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showInkAnnotation="0" defaultThemeVersion="124226"/>
  <bookViews>
    <workbookView xWindow="0" yWindow="0" windowWidth="20490" windowHeight="7755"/>
  </bookViews>
  <sheets>
    <sheet name="Profits 2016" sheetId="9" r:id="rId1"/>
    <sheet name="Payments" sheetId="11" r:id="rId2"/>
    <sheet name="Shipping Sheet" sheetId="10" r:id="rId3"/>
    <sheet name="RMA's" sheetId="8" r:id="rId4"/>
    <sheet name="Weight Calculator" sheetId="2" r:id="rId5"/>
    <sheet name="Sheet1" sheetId="12" r:id="rId6"/>
  </sheets>
  <calcPr calcId="144525"/>
</workbook>
</file>

<file path=xl/calcChain.xml><?xml version="1.0" encoding="utf-8"?>
<calcChain xmlns="http://schemas.openxmlformats.org/spreadsheetml/2006/main">
  <c r="N7465" i="9" l="1"/>
  <c r="J7464" i="9"/>
  <c r="K7464" i="9"/>
  <c r="J7463" i="9"/>
  <c r="K7463" i="9"/>
  <c r="N7462" i="9"/>
  <c r="N7463" i="9"/>
  <c r="N7464" i="9"/>
  <c r="K7462" i="9"/>
  <c r="N7461" i="9"/>
  <c r="K7461" i="9"/>
  <c r="N7460" i="9"/>
  <c r="J7460" i="9"/>
  <c r="K7460" i="9"/>
  <c r="N7459" i="9"/>
  <c r="I7459" i="9"/>
  <c r="K7459" i="9"/>
  <c r="J7455" i="9"/>
  <c r="K7455" i="9"/>
  <c r="N7452" i="9"/>
  <c r="N7453" i="9"/>
  <c r="N7454" i="9"/>
  <c r="N7455" i="9"/>
  <c r="N7456" i="9"/>
  <c r="N7457" i="9"/>
  <c r="N7458" i="9"/>
  <c r="N7451" i="9"/>
  <c r="O7451" i="9"/>
  <c r="K7451" i="9"/>
  <c r="N7447" i="9"/>
  <c r="N7448" i="9"/>
  <c r="N7449" i="9"/>
  <c r="N7450" i="9"/>
  <c r="K7450" i="9"/>
  <c r="I7448" i="9"/>
  <c r="K7448" i="9"/>
  <c r="I7447" i="9"/>
  <c r="K7447" i="9"/>
  <c r="N7434" i="9"/>
  <c r="N7435" i="9"/>
  <c r="N7436" i="9"/>
  <c r="N7437" i="9"/>
  <c r="N7438" i="9"/>
  <c r="N7439" i="9"/>
  <c r="N7440" i="9"/>
  <c r="N7441" i="9"/>
  <c r="N7442" i="9"/>
  <c r="N7443" i="9"/>
  <c r="N7444" i="9"/>
  <c r="N7445" i="9"/>
  <c r="N7446" i="9"/>
  <c r="I7446" i="9"/>
  <c r="K7446" i="9"/>
  <c r="I7445" i="9"/>
  <c r="K7445" i="9"/>
  <c r="I7444" i="9"/>
  <c r="K7444" i="9"/>
  <c r="I7443" i="9"/>
  <c r="K7443" i="9"/>
  <c r="I7442" i="9"/>
  <c r="K7442" i="9"/>
  <c r="I7441" i="9"/>
  <c r="K7441" i="9"/>
  <c r="I7440" i="9"/>
  <c r="K7440" i="9"/>
  <c r="J7439" i="9"/>
  <c r="K7439" i="9"/>
  <c r="I7438" i="9"/>
  <c r="J7438" i="9"/>
  <c r="K7438" i="9"/>
  <c r="I7437" i="9"/>
  <c r="J7437" i="9"/>
  <c r="K7437" i="9"/>
  <c r="I7436" i="9"/>
  <c r="J7436" i="9"/>
  <c r="K7436" i="9"/>
  <c r="I7435" i="9"/>
  <c r="J7435" i="9"/>
  <c r="K7435" i="9"/>
  <c r="K7434" i="9"/>
  <c r="I7416" i="9"/>
  <c r="K7416" i="9"/>
  <c r="N7416" i="9"/>
  <c r="O7416" i="9"/>
  <c r="N7417" i="9"/>
  <c r="O7417" i="9"/>
  <c r="I7418" i="9"/>
  <c r="K7418" i="9"/>
  <c r="N7418" i="9"/>
  <c r="O7418" i="9"/>
  <c r="I7419" i="9"/>
  <c r="K7419" i="9"/>
  <c r="N7419" i="9"/>
  <c r="O7419" i="9"/>
  <c r="I7420" i="9"/>
  <c r="J7420" i="9"/>
  <c r="K7420" i="9"/>
  <c r="N7420" i="9"/>
  <c r="O7420" i="9"/>
  <c r="N7421" i="9"/>
  <c r="K7421" i="9"/>
  <c r="O7421" i="9"/>
  <c r="K7422" i="9"/>
  <c r="N7422" i="9"/>
  <c r="O7422" i="9"/>
  <c r="N7423" i="9"/>
  <c r="O7423" i="9"/>
  <c r="J7424" i="9"/>
  <c r="K7424" i="9"/>
  <c r="N7424" i="9"/>
  <c r="O7424" i="9"/>
  <c r="I7425" i="9"/>
  <c r="K7425" i="9"/>
  <c r="N7425" i="9"/>
  <c r="O7425" i="9"/>
  <c r="I7426" i="9"/>
  <c r="K7426" i="9"/>
  <c r="N7426" i="9"/>
  <c r="O7426" i="9"/>
  <c r="N7427" i="9"/>
  <c r="O7427" i="9"/>
  <c r="K7428" i="9"/>
  <c r="N7428" i="9"/>
  <c r="O7428" i="9"/>
  <c r="N7429" i="9"/>
  <c r="O7429" i="9"/>
  <c r="N7430" i="9"/>
  <c r="O7430" i="9"/>
  <c r="N7431" i="9"/>
  <c r="O7431" i="9"/>
  <c r="N7432" i="9"/>
  <c r="O7432" i="9"/>
  <c r="N7433" i="9"/>
  <c r="J7433" i="9"/>
  <c r="K7433" i="9"/>
  <c r="O7433" i="9"/>
  <c r="N7414" i="9"/>
  <c r="N7415" i="9"/>
  <c r="I7408" i="9"/>
  <c r="K7408" i="9"/>
  <c r="N7408" i="9"/>
  <c r="O7408" i="9"/>
  <c r="I7409" i="9"/>
  <c r="K7409" i="9"/>
  <c r="N7409" i="9"/>
  <c r="O7409" i="9"/>
  <c r="I7410" i="9"/>
  <c r="K7410" i="9"/>
  <c r="N7410" i="9"/>
  <c r="O7410" i="9"/>
  <c r="I7411" i="9"/>
  <c r="K7411" i="9"/>
  <c r="N7411" i="9"/>
  <c r="O7411" i="9"/>
  <c r="I7412" i="9"/>
  <c r="K7412" i="9"/>
  <c r="N7412" i="9"/>
  <c r="O7412" i="9"/>
  <c r="I7413" i="9"/>
  <c r="K7413" i="9"/>
  <c r="N7413" i="9"/>
  <c r="O7413" i="9"/>
  <c r="I7414" i="9"/>
  <c r="K7414" i="9"/>
  <c r="O7414" i="9"/>
  <c r="O7415" i="9"/>
  <c r="N7393" i="9"/>
  <c r="K7393" i="9"/>
  <c r="O7393" i="9"/>
  <c r="I7394" i="9"/>
  <c r="J7394" i="9"/>
  <c r="K7394" i="9"/>
  <c r="N7394" i="9"/>
  <c r="O7394" i="9"/>
  <c r="I7395" i="9"/>
  <c r="J7395" i="9"/>
  <c r="K7395" i="9"/>
  <c r="N7395" i="9"/>
  <c r="O7395" i="9"/>
  <c r="N7396" i="9"/>
  <c r="I7396" i="9"/>
  <c r="J7396" i="9"/>
  <c r="K7396" i="9"/>
  <c r="O7396" i="9"/>
  <c r="N7397" i="9"/>
  <c r="O7397" i="9"/>
  <c r="N7398" i="9"/>
  <c r="I7398" i="9"/>
  <c r="J7398" i="9"/>
  <c r="K7398" i="9"/>
  <c r="O7398" i="9"/>
  <c r="I7399" i="9"/>
  <c r="J7399" i="9"/>
  <c r="K7399" i="9"/>
  <c r="N7399" i="9"/>
  <c r="O7399" i="9"/>
  <c r="I7400" i="9"/>
  <c r="J7400" i="9"/>
  <c r="K7400" i="9"/>
  <c r="N7400" i="9"/>
  <c r="O7400" i="9"/>
  <c r="I7401" i="9"/>
  <c r="J7401" i="9"/>
  <c r="K7401" i="9"/>
  <c r="N7401" i="9"/>
  <c r="O7401" i="9"/>
  <c r="N7402" i="9"/>
  <c r="I7402" i="9"/>
  <c r="J7402" i="9"/>
  <c r="K7402" i="9"/>
  <c r="O7402" i="9"/>
  <c r="I7403" i="9"/>
  <c r="J7403" i="9"/>
  <c r="K7403" i="9"/>
  <c r="N7403" i="9"/>
  <c r="O7403" i="9"/>
  <c r="I7404" i="9"/>
  <c r="K7404" i="9"/>
  <c r="N7404" i="9"/>
  <c r="O7404" i="9"/>
  <c r="N7405" i="9"/>
  <c r="I7405" i="9"/>
  <c r="K7405" i="9"/>
  <c r="O7405" i="9"/>
  <c r="N7406" i="9"/>
  <c r="I7406" i="9"/>
  <c r="K7406" i="9"/>
  <c r="O7406" i="9"/>
  <c r="N7407" i="9"/>
  <c r="O7407" i="9"/>
  <c r="J7392" i="9"/>
  <c r="K7392" i="9"/>
  <c r="N7392" i="9"/>
  <c r="O7392" i="9"/>
  <c r="D2352" i="11"/>
  <c r="AG2352" i="11"/>
  <c r="AH2352" i="11"/>
  <c r="G2352" i="11"/>
  <c r="AF2352" i="11"/>
  <c r="AI2352" i="11"/>
  <c r="P2352" i="11"/>
  <c r="O2352" i="11"/>
  <c r="F2352" i="11"/>
  <c r="E2352" i="11"/>
  <c r="C2352" i="11"/>
  <c r="B2352" i="11"/>
  <c r="A2352" i="11"/>
  <c r="D2351" i="11"/>
  <c r="AG2351" i="11"/>
  <c r="AH2351" i="11"/>
  <c r="G2351" i="11"/>
  <c r="AF2351" i="11"/>
  <c r="AI2351" i="11"/>
  <c r="P2351" i="11"/>
  <c r="O2351" i="11"/>
  <c r="F2351" i="11"/>
  <c r="E2351" i="11"/>
  <c r="C2351" i="11"/>
  <c r="B2351" i="11"/>
  <c r="A2351" i="11"/>
  <c r="D2350" i="11"/>
  <c r="AG2350" i="11"/>
  <c r="AH2350" i="11"/>
  <c r="G2350" i="11"/>
  <c r="AF2350" i="11"/>
  <c r="AI2350" i="11"/>
  <c r="P2350" i="11"/>
  <c r="O2350" i="11"/>
  <c r="F2350" i="11"/>
  <c r="E2350" i="11"/>
  <c r="C2350" i="11"/>
  <c r="B2350" i="11"/>
  <c r="A2350" i="11"/>
  <c r="D2349" i="11"/>
  <c r="AG2349" i="11"/>
  <c r="AH2349" i="11"/>
  <c r="G2349" i="11"/>
  <c r="AF2349" i="11"/>
  <c r="AI2349" i="11"/>
  <c r="P2349" i="11"/>
  <c r="O2349" i="11"/>
  <c r="F2349" i="11"/>
  <c r="E2349" i="11"/>
  <c r="C2349" i="11"/>
  <c r="B2349" i="11"/>
  <c r="A2349" i="11"/>
  <c r="D2348" i="11"/>
  <c r="AG2348" i="11"/>
  <c r="AH2348" i="11"/>
  <c r="G2348" i="11"/>
  <c r="AF2348" i="11"/>
  <c r="AI2348" i="11"/>
  <c r="P2348" i="11"/>
  <c r="O2348" i="11"/>
  <c r="F2348" i="11"/>
  <c r="E2348" i="11"/>
  <c r="C2348" i="11"/>
  <c r="B2348" i="11"/>
  <c r="A2348" i="11"/>
  <c r="D2347" i="11"/>
  <c r="AG2347" i="11"/>
  <c r="AH2347" i="11"/>
  <c r="G2347" i="11"/>
  <c r="AF2347" i="11"/>
  <c r="AI2347" i="11"/>
  <c r="P2347" i="11"/>
  <c r="O2347" i="11"/>
  <c r="F2347" i="11"/>
  <c r="E2347" i="11"/>
  <c r="C2347" i="11"/>
  <c r="B2347" i="11"/>
  <c r="A2347" i="11"/>
  <c r="D2346" i="11"/>
  <c r="AG2346" i="11"/>
  <c r="AH2346" i="11"/>
  <c r="G2346" i="11"/>
  <c r="AF2346" i="11"/>
  <c r="AI2346" i="11"/>
  <c r="P2346" i="11"/>
  <c r="O2346" i="11"/>
  <c r="F2346" i="11"/>
  <c r="E2346" i="11"/>
  <c r="C2346" i="11"/>
  <c r="B2346" i="11"/>
  <c r="A2346" i="11"/>
  <c r="D2345" i="11"/>
  <c r="AG2345" i="11"/>
  <c r="AH2345" i="11"/>
  <c r="G2345" i="11"/>
  <c r="AF2345" i="11"/>
  <c r="AI2345" i="11"/>
  <c r="P2345" i="11"/>
  <c r="O2345" i="11"/>
  <c r="F2345" i="11"/>
  <c r="E2345" i="11"/>
  <c r="C2345" i="11"/>
  <c r="B2345" i="11"/>
  <c r="A2345" i="11"/>
  <c r="D2344" i="11"/>
  <c r="AG2344" i="11"/>
  <c r="AH2344" i="11"/>
  <c r="G2344" i="11"/>
  <c r="AF2344" i="11"/>
  <c r="AI2344" i="11"/>
  <c r="P2344" i="11"/>
  <c r="O2344" i="11"/>
  <c r="F2344" i="11"/>
  <c r="E2344" i="11"/>
  <c r="C2344" i="11"/>
  <c r="B2344" i="11"/>
  <c r="A2344" i="11"/>
  <c r="D2343" i="11"/>
  <c r="AG2343" i="11"/>
  <c r="AH2343" i="11"/>
  <c r="G2343" i="11"/>
  <c r="AF2343" i="11"/>
  <c r="AI2343" i="11"/>
  <c r="P2343" i="11"/>
  <c r="O2343" i="11"/>
  <c r="F2343" i="11"/>
  <c r="E2343" i="11"/>
  <c r="C2343" i="11"/>
  <c r="B2343" i="11"/>
  <c r="A2343" i="11"/>
  <c r="D2342" i="11"/>
  <c r="AG2342" i="11"/>
  <c r="AH2342" i="11"/>
  <c r="G2342" i="11"/>
  <c r="AF2342" i="11"/>
  <c r="AI2342" i="11"/>
  <c r="P2342" i="11"/>
  <c r="O2342" i="11"/>
  <c r="F2342" i="11"/>
  <c r="E2342" i="11"/>
  <c r="C2342" i="11"/>
  <c r="B2342" i="11"/>
  <c r="A2342" i="11"/>
  <c r="D2341" i="11"/>
  <c r="AG2341" i="11"/>
  <c r="AH2341" i="11"/>
  <c r="G2341" i="11"/>
  <c r="AF2341" i="11"/>
  <c r="AI2341" i="11"/>
  <c r="P2341" i="11"/>
  <c r="O2341" i="11"/>
  <c r="F2341" i="11"/>
  <c r="E2341" i="11"/>
  <c r="C2341" i="11"/>
  <c r="B2341" i="11"/>
  <c r="A2341" i="11"/>
  <c r="D2340" i="11"/>
  <c r="AG2340" i="11"/>
  <c r="AH2340" i="11"/>
  <c r="G2340" i="11"/>
  <c r="AF2340" i="11"/>
  <c r="AI2340" i="11"/>
  <c r="P2340" i="11"/>
  <c r="O2340" i="11"/>
  <c r="F2340" i="11"/>
  <c r="E2340" i="11"/>
  <c r="C2340" i="11"/>
  <c r="B2340" i="11"/>
  <c r="A2340" i="11"/>
  <c r="D2339" i="11"/>
  <c r="AG2339" i="11"/>
  <c r="AH2339" i="11"/>
  <c r="G2339" i="11"/>
  <c r="AF2339" i="11"/>
  <c r="AI2339" i="11"/>
  <c r="P2339" i="11"/>
  <c r="O2339" i="11"/>
  <c r="F2339" i="11"/>
  <c r="E2339" i="11"/>
  <c r="C2339" i="11"/>
  <c r="B2339" i="11"/>
  <c r="A2339" i="11"/>
  <c r="D2338" i="11"/>
  <c r="AG2338" i="11"/>
  <c r="AH2338" i="11"/>
  <c r="G2338" i="11"/>
  <c r="AF2338" i="11"/>
  <c r="AI2338" i="11"/>
  <c r="P2338" i="11"/>
  <c r="O2338" i="11"/>
  <c r="F2338" i="11"/>
  <c r="E2338" i="11"/>
  <c r="C2338" i="11"/>
  <c r="B2338" i="11"/>
  <c r="A2338" i="11"/>
  <c r="D2337" i="11"/>
  <c r="AG2337" i="11"/>
  <c r="AH2337" i="11"/>
  <c r="G2337" i="11"/>
  <c r="AF2337" i="11"/>
  <c r="AI2337" i="11"/>
  <c r="P2337" i="11"/>
  <c r="O2337" i="11"/>
  <c r="F2337" i="11"/>
  <c r="E2337" i="11"/>
  <c r="C2337" i="11"/>
  <c r="B2337" i="11"/>
  <c r="A2337" i="11"/>
  <c r="D2336" i="11"/>
  <c r="AG2336" i="11"/>
  <c r="AH2336" i="11"/>
  <c r="G2336" i="11"/>
  <c r="AF2336" i="11"/>
  <c r="AI2336" i="11"/>
  <c r="P2336" i="11"/>
  <c r="O2336" i="11"/>
  <c r="F2336" i="11"/>
  <c r="E2336" i="11"/>
  <c r="C2336" i="11"/>
  <c r="B2336" i="11"/>
  <c r="A2336" i="11"/>
  <c r="D2335" i="11"/>
  <c r="AG2335" i="11"/>
  <c r="AH2335" i="11"/>
  <c r="G2335" i="11"/>
  <c r="AF2335" i="11"/>
  <c r="AI2335" i="11"/>
  <c r="P2335" i="11"/>
  <c r="O2335" i="11"/>
  <c r="F2335" i="11"/>
  <c r="E2335" i="11"/>
  <c r="C2335" i="11"/>
  <c r="B2335" i="11"/>
  <c r="A2335" i="11"/>
  <c r="D2334" i="11"/>
  <c r="AG2334" i="11"/>
  <c r="AH2334" i="11"/>
  <c r="G2334" i="11"/>
  <c r="AF2334" i="11"/>
  <c r="AI2334" i="11"/>
  <c r="P2334" i="11"/>
  <c r="O2334" i="11"/>
  <c r="F2334" i="11"/>
  <c r="E2334" i="11"/>
  <c r="C2334" i="11"/>
  <c r="B2334" i="11"/>
  <c r="A2334" i="11"/>
  <c r="D2333" i="11"/>
  <c r="AG2333" i="11"/>
  <c r="AH2333" i="11"/>
  <c r="G2333" i="11"/>
  <c r="AF2333" i="11"/>
  <c r="AI2333" i="11"/>
  <c r="P2333" i="11"/>
  <c r="O2333" i="11"/>
  <c r="F2333" i="11"/>
  <c r="E2333" i="11"/>
  <c r="C2333" i="11"/>
  <c r="B2333" i="11"/>
  <c r="A2333" i="11"/>
  <c r="D2332" i="11"/>
  <c r="AG2332" i="11"/>
  <c r="AH2332" i="11"/>
  <c r="G2332" i="11"/>
  <c r="AF2332" i="11"/>
  <c r="AI2332" i="11"/>
  <c r="P2332" i="11"/>
  <c r="O2332" i="11"/>
  <c r="F2332" i="11"/>
  <c r="E2332" i="11"/>
  <c r="C2332" i="11"/>
  <c r="B2332" i="11"/>
  <c r="A2332" i="11"/>
  <c r="D2331" i="11"/>
  <c r="AG2331" i="11"/>
  <c r="AH2331" i="11"/>
  <c r="G2331" i="11"/>
  <c r="AF2331" i="11"/>
  <c r="AI2331" i="11"/>
  <c r="P2331" i="11"/>
  <c r="O2331" i="11"/>
  <c r="F2331" i="11"/>
  <c r="E2331" i="11"/>
  <c r="C2331" i="11"/>
  <c r="B2331" i="11"/>
  <c r="A2331" i="11"/>
  <c r="D2330" i="11"/>
  <c r="AG2330" i="11"/>
  <c r="AH2330" i="11"/>
  <c r="G2330" i="11"/>
  <c r="AF2330" i="11"/>
  <c r="AI2330" i="11"/>
  <c r="P2330" i="11"/>
  <c r="O2330" i="11"/>
  <c r="F2330" i="11"/>
  <c r="E2330" i="11"/>
  <c r="C2330" i="11"/>
  <c r="B2330" i="11"/>
  <c r="A2330" i="11"/>
  <c r="D2329" i="11"/>
  <c r="AG2329" i="11"/>
  <c r="AH2329" i="11"/>
  <c r="G2329" i="11"/>
  <c r="AF2329" i="11"/>
  <c r="AI2329" i="11"/>
  <c r="P2329" i="11"/>
  <c r="O2329" i="11"/>
  <c r="F2329" i="11"/>
  <c r="E2329" i="11"/>
  <c r="C2329" i="11"/>
  <c r="B2329" i="11"/>
  <c r="A2329" i="11"/>
  <c r="D2328" i="11"/>
  <c r="AG2328" i="11"/>
  <c r="AH2328" i="11"/>
  <c r="G2328" i="11"/>
  <c r="AF2328" i="11"/>
  <c r="AI2328" i="11"/>
  <c r="P2328" i="11"/>
  <c r="O2328" i="11"/>
  <c r="F2328" i="11"/>
  <c r="E2328" i="11"/>
  <c r="C2328" i="11"/>
  <c r="B2328" i="11"/>
  <c r="A2328" i="11"/>
  <c r="D2327" i="11"/>
  <c r="AG2327" i="11"/>
  <c r="AH2327" i="11"/>
  <c r="G2327" i="11"/>
  <c r="AF2327" i="11"/>
  <c r="AI2327" i="11"/>
  <c r="P2327" i="11"/>
  <c r="O2327" i="11"/>
  <c r="F2327" i="11"/>
  <c r="E2327" i="11"/>
  <c r="C2327" i="11"/>
  <c r="B2327" i="11"/>
  <c r="A2327" i="11"/>
  <c r="D2326" i="11"/>
  <c r="AG2326" i="11"/>
  <c r="AH2326" i="11"/>
  <c r="G2326" i="11"/>
  <c r="AF2326" i="11"/>
  <c r="AI2326" i="11"/>
  <c r="P2326" i="11"/>
  <c r="O2326" i="11"/>
  <c r="F2326" i="11"/>
  <c r="E2326" i="11"/>
  <c r="C2326" i="11"/>
  <c r="B2326" i="11"/>
  <c r="A2326" i="11"/>
  <c r="D2325" i="11"/>
  <c r="AG2325" i="11"/>
  <c r="AH2325" i="11"/>
  <c r="G2325" i="11"/>
  <c r="AF2325" i="11"/>
  <c r="AI2325" i="11"/>
  <c r="P2325" i="11"/>
  <c r="O2325" i="11"/>
  <c r="F2325" i="11"/>
  <c r="E2325" i="11"/>
  <c r="C2325" i="11"/>
  <c r="B2325" i="11"/>
  <c r="A2325" i="11"/>
  <c r="D2324" i="11"/>
  <c r="AG2324" i="11"/>
  <c r="AH2324" i="11"/>
  <c r="G2324" i="11"/>
  <c r="AF2324" i="11"/>
  <c r="AI2324" i="11"/>
  <c r="P2324" i="11"/>
  <c r="O2324" i="11"/>
  <c r="F2324" i="11"/>
  <c r="E2324" i="11"/>
  <c r="C2324" i="11"/>
  <c r="B2324" i="11"/>
  <c r="A2324" i="11"/>
  <c r="D2323" i="11"/>
  <c r="AG2323" i="11"/>
  <c r="AH2323" i="11"/>
  <c r="G2323" i="11"/>
  <c r="AF2323" i="11"/>
  <c r="AI2323" i="11"/>
  <c r="P2323" i="11"/>
  <c r="O2323" i="11"/>
  <c r="F2323" i="11"/>
  <c r="E2323" i="11"/>
  <c r="C2323" i="11"/>
  <c r="B2323" i="11"/>
  <c r="A2323" i="11"/>
  <c r="D2322" i="11"/>
  <c r="AG2322" i="11"/>
  <c r="AH2322" i="11"/>
  <c r="G2322" i="11"/>
  <c r="AF2322" i="11"/>
  <c r="AI2322" i="11"/>
  <c r="P2322" i="11"/>
  <c r="O2322" i="11"/>
  <c r="F2322" i="11"/>
  <c r="E2322" i="11"/>
  <c r="C2322" i="11"/>
  <c r="B2322" i="11"/>
  <c r="A2322" i="11"/>
  <c r="D2321" i="11"/>
  <c r="AG2321" i="11"/>
  <c r="AH2321" i="11"/>
  <c r="G2321" i="11"/>
  <c r="AF2321" i="11"/>
  <c r="AI2321" i="11"/>
  <c r="P2321" i="11"/>
  <c r="O2321" i="11"/>
  <c r="F2321" i="11"/>
  <c r="E2321" i="11"/>
  <c r="C2321" i="11"/>
  <c r="B2321" i="11"/>
  <c r="A2321" i="11"/>
  <c r="D2320" i="11"/>
  <c r="AG2320" i="11"/>
  <c r="AH2320" i="11"/>
  <c r="G2320" i="11"/>
  <c r="AF2320" i="11"/>
  <c r="AI2320" i="11"/>
  <c r="P2320" i="11"/>
  <c r="O2320" i="11"/>
  <c r="F2320" i="11"/>
  <c r="E2320" i="11"/>
  <c r="C2320" i="11"/>
  <c r="B2320" i="11"/>
  <c r="A2320" i="11"/>
  <c r="D2319" i="11"/>
  <c r="AG2319" i="11"/>
  <c r="AH2319" i="11"/>
  <c r="G2319" i="11"/>
  <c r="AF2319" i="11"/>
  <c r="AI2319" i="11"/>
  <c r="P2319" i="11"/>
  <c r="O2319" i="11"/>
  <c r="F2319" i="11"/>
  <c r="E2319" i="11"/>
  <c r="C2319" i="11"/>
  <c r="B2319" i="11"/>
  <c r="A2319" i="11"/>
  <c r="D2318" i="11"/>
  <c r="AG2318" i="11"/>
  <c r="AH2318" i="11"/>
  <c r="G2318" i="11"/>
  <c r="AF2318" i="11"/>
  <c r="AI2318" i="11"/>
  <c r="P2318" i="11"/>
  <c r="O2318" i="11"/>
  <c r="F2318" i="11"/>
  <c r="E2318" i="11"/>
  <c r="C2318" i="11"/>
  <c r="B2318" i="11"/>
  <c r="A2318" i="11"/>
  <c r="D2317" i="11"/>
  <c r="AG2317" i="11"/>
  <c r="AH2317" i="11"/>
  <c r="G2317" i="11"/>
  <c r="AF2317" i="11"/>
  <c r="AI2317" i="11"/>
  <c r="P2317" i="11"/>
  <c r="O2317" i="11"/>
  <c r="F2317" i="11"/>
  <c r="E2317" i="11"/>
  <c r="C2317" i="11"/>
  <c r="B2317" i="11"/>
  <c r="A2317" i="11"/>
  <c r="D2316" i="11"/>
  <c r="AG2316" i="11"/>
  <c r="AH2316" i="11"/>
  <c r="G2316" i="11"/>
  <c r="AF2316" i="11"/>
  <c r="AI2316" i="11"/>
  <c r="P2316" i="11"/>
  <c r="O2316" i="11"/>
  <c r="F2316" i="11"/>
  <c r="E2316" i="11"/>
  <c r="C2316" i="11"/>
  <c r="B2316" i="11"/>
  <c r="A2316" i="11"/>
  <c r="D2315" i="11"/>
  <c r="AG2315" i="11"/>
  <c r="AH2315" i="11"/>
  <c r="G2315" i="11"/>
  <c r="AF2315" i="11"/>
  <c r="AI2315" i="11"/>
  <c r="P2315" i="11"/>
  <c r="O2315" i="11"/>
  <c r="F2315" i="11"/>
  <c r="E2315" i="11"/>
  <c r="C2315" i="11"/>
  <c r="B2315" i="11"/>
  <c r="A2315" i="11"/>
  <c r="D2314" i="11"/>
  <c r="AG2314" i="11"/>
  <c r="AH2314" i="11"/>
  <c r="G2314" i="11"/>
  <c r="AF2314" i="11"/>
  <c r="AI2314" i="11"/>
  <c r="P2314" i="11"/>
  <c r="O2314" i="11"/>
  <c r="F2314" i="11"/>
  <c r="E2314" i="11"/>
  <c r="C2314" i="11"/>
  <c r="B2314" i="11"/>
  <c r="A2314" i="11"/>
  <c r="D2313" i="11"/>
  <c r="AG2313" i="11"/>
  <c r="AH2313" i="11"/>
  <c r="G2313" i="11"/>
  <c r="AF2313" i="11"/>
  <c r="AI2313" i="11"/>
  <c r="P2313" i="11"/>
  <c r="O2313" i="11"/>
  <c r="F2313" i="11"/>
  <c r="E2313" i="11"/>
  <c r="C2313" i="11"/>
  <c r="B2313" i="11"/>
  <c r="A2313" i="11"/>
  <c r="D2312" i="11"/>
  <c r="AG2312" i="11"/>
  <c r="AH2312" i="11"/>
  <c r="G2312" i="11"/>
  <c r="AF2312" i="11"/>
  <c r="AI2312" i="11"/>
  <c r="P2312" i="11"/>
  <c r="O2312" i="11"/>
  <c r="F2312" i="11"/>
  <c r="E2312" i="11"/>
  <c r="C2312" i="11"/>
  <c r="B2312" i="11"/>
  <c r="A2312" i="11"/>
  <c r="D2311" i="11"/>
  <c r="AG2311" i="11"/>
  <c r="AH2311" i="11"/>
  <c r="G2311" i="11"/>
  <c r="AF2311" i="11"/>
  <c r="AI2311" i="11"/>
  <c r="P2311" i="11"/>
  <c r="O2311" i="11"/>
  <c r="F2311" i="11"/>
  <c r="E2311" i="11"/>
  <c r="C2311" i="11"/>
  <c r="B2311" i="11"/>
  <c r="A2311" i="11"/>
  <c r="D2310" i="11"/>
  <c r="AG2310" i="11"/>
  <c r="AH2310" i="11"/>
  <c r="G2310" i="11"/>
  <c r="AF2310" i="11"/>
  <c r="AI2310" i="11"/>
  <c r="P2310" i="11"/>
  <c r="O2310" i="11"/>
  <c r="F2310" i="11"/>
  <c r="E2310" i="11"/>
  <c r="C2310" i="11"/>
  <c r="B2310" i="11"/>
  <c r="A2310" i="11"/>
  <c r="D2309" i="11"/>
  <c r="AG2309" i="11"/>
  <c r="AH2309" i="11"/>
  <c r="G2309" i="11"/>
  <c r="AF2309" i="11"/>
  <c r="AI2309" i="11"/>
  <c r="P2309" i="11"/>
  <c r="O2309" i="11"/>
  <c r="F2309" i="11"/>
  <c r="E2309" i="11"/>
  <c r="C2309" i="11"/>
  <c r="B2309" i="11"/>
  <c r="A2309" i="11"/>
  <c r="D2308" i="11"/>
  <c r="AG2308" i="11"/>
  <c r="AH2308" i="11"/>
  <c r="G2308" i="11"/>
  <c r="AF2308" i="11"/>
  <c r="AI2308" i="11"/>
  <c r="P2308" i="11"/>
  <c r="O2308" i="11"/>
  <c r="F2308" i="11"/>
  <c r="E2308" i="11"/>
  <c r="C2308" i="11"/>
  <c r="B2308" i="11"/>
  <c r="A2308" i="11"/>
  <c r="D2307" i="11"/>
  <c r="AG2307" i="11"/>
  <c r="AH2307" i="11"/>
  <c r="G2307" i="11"/>
  <c r="AF2307" i="11"/>
  <c r="AI2307" i="11"/>
  <c r="P2307" i="11"/>
  <c r="O2307" i="11"/>
  <c r="F2307" i="11"/>
  <c r="E2307" i="11"/>
  <c r="C2307" i="11"/>
  <c r="B2307" i="11"/>
  <c r="A2307" i="11"/>
  <c r="D2306" i="11"/>
  <c r="AG2306" i="11"/>
  <c r="AH2306" i="11"/>
  <c r="G2306" i="11"/>
  <c r="AF2306" i="11"/>
  <c r="AI2306" i="11"/>
  <c r="P2306" i="11"/>
  <c r="O2306" i="11"/>
  <c r="F2306" i="11"/>
  <c r="E2306" i="11"/>
  <c r="C2306" i="11"/>
  <c r="B2306" i="11"/>
  <c r="A2306" i="11"/>
  <c r="D2305" i="11"/>
  <c r="AG2305" i="11"/>
  <c r="AH2305" i="11"/>
  <c r="G2305" i="11"/>
  <c r="AF2305" i="11"/>
  <c r="AI2305" i="11"/>
  <c r="P2305" i="11"/>
  <c r="O2305" i="11"/>
  <c r="F2305" i="11"/>
  <c r="E2305" i="11"/>
  <c r="C2305" i="11"/>
  <c r="B2305" i="11"/>
  <c r="A2305" i="11"/>
  <c r="D2304" i="11"/>
  <c r="AG2304" i="11"/>
  <c r="AH2304" i="11"/>
  <c r="G2304" i="11"/>
  <c r="AF2304" i="11"/>
  <c r="AI2304" i="11"/>
  <c r="P2304" i="11"/>
  <c r="O2304" i="11"/>
  <c r="F2304" i="11"/>
  <c r="E2304" i="11"/>
  <c r="C2304" i="11"/>
  <c r="B2304" i="11"/>
  <c r="A2304" i="11"/>
  <c r="D2303" i="11"/>
  <c r="AG2303" i="11"/>
  <c r="AH2303" i="11"/>
  <c r="G2303" i="11"/>
  <c r="AF2303" i="11"/>
  <c r="AI2303" i="11"/>
  <c r="P2303" i="11"/>
  <c r="O2303" i="11"/>
  <c r="F2303" i="11"/>
  <c r="E2303" i="11"/>
  <c r="C2303" i="11"/>
  <c r="B2303" i="11"/>
  <c r="A2303" i="11"/>
  <c r="D2302" i="11"/>
  <c r="AG2302" i="11"/>
  <c r="AH2302" i="11"/>
  <c r="G2302" i="11"/>
  <c r="AF2302" i="11"/>
  <c r="AI2302" i="11"/>
  <c r="P2302" i="11"/>
  <c r="O2302" i="11"/>
  <c r="F2302" i="11"/>
  <c r="E2302" i="11"/>
  <c r="C2302" i="11"/>
  <c r="B2302" i="11"/>
  <c r="A2302" i="11"/>
  <c r="D2301" i="11"/>
  <c r="AG2301" i="11"/>
  <c r="AH2301" i="11"/>
  <c r="G2301" i="11"/>
  <c r="AF2301" i="11"/>
  <c r="AI2301" i="11"/>
  <c r="P2301" i="11"/>
  <c r="O2301" i="11"/>
  <c r="F2301" i="11"/>
  <c r="E2301" i="11"/>
  <c r="C2301" i="11"/>
  <c r="B2301" i="11"/>
  <c r="A2301" i="11"/>
  <c r="D2300" i="11"/>
  <c r="AG2300" i="11"/>
  <c r="AH2300" i="11"/>
  <c r="G2300" i="11"/>
  <c r="AF2300" i="11"/>
  <c r="AI2300" i="11"/>
  <c r="P2300" i="11"/>
  <c r="O2300" i="11"/>
  <c r="F2300" i="11"/>
  <c r="E2300" i="11"/>
  <c r="C2300" i="11"/>
  <c r="B2300" i="11"/>
  <c r="A2300" i="11"/>
  <c r="D2299" i="11"/>
  <c r="AG2299" i="11"/>
  <c r="AH2299" i="11"/>
  <c r="G2299" i="11"/>
  <c r="AF2299" i="11"/>
  <c r="AI2299" i="11"/>
  <c r="P2299" i="11"/>
  <c r="O2299" i="11"/>
  <c r="F2299" i="11"/>
  <c r="E2299" i="11"/>
  <c r="C2299" i="11"/>
  <c r="B2299" i="11"/>
  <c r="A2299" i="11"/>
  <c r="D2298" i="11"/>
  <c r="AG2298" i="11"/>
  <c r="AH2298" i="11"/>
  <c r="G2298" i="11"/>
  <c r="AF2298" i="11"/>
  <c r="AI2298" i="11"/>
  <c r="P2298" i="11"/>
  <c r="O2298" i="11"/>
  <c r="F2298" i="11"/>
  <c r="E2298" i="11"/>
  <c r="C2298" i="11"/>
  <c r="B2298" i="11"/>
  <c r="A2298" i="11"/>
  <c r="D2297" i="11"/>
  <c r="AG2297" i="11"/>
  <c r="AH2297" i="11"/>
  <c r="G2297" i="11"/>
  <c r="AF2297" i="11"/>
  <c r="AI2297" i="11"/>
  <c r="P2297" i="11"/>
  <c r="O2297" i="11"/>
  <c r="F2297" i="11"/>
  <c r="E2297" i="11"/>
  <c r="C2297" i="11"/>
  <c r="B2297" i="11"/>
  <c r="A2297" i="11"/>
  <c r="D2296" i="11"/>
  <c r="AG2296" i="11"/>
  <c r="AH2296" i="11"/>
  <c r="G2296" i="11"/>
  <c r="AF2296" i="11"/>
  <c r="AI2296" i="11"/>
  <c r="P2296" i="11"/>
  <c r="O2296" i="11"/>
  <c r="F2296" i="11"/>
  <c r="E2296" i="11"/>
  <c r="C2296" i="11"/>
  <c r="B2296" i="11"/>
  <c r="A2296" i="11"/>
  <c r="D2295" i="11"/>
  <c r="AG2295" i="11"/>
  <c r="AH2295" i="11"/>
  <c r="G2295" i="11"/>
  <c r="AF2295" i="11"/>
  <c r="AI2295" i="11"/>
  <c r="P2295" i="11"/>
  <c r="O2295" i="11"/>
  <c r="F2295" i="11"/>
  <c r="E2295" i="11"/>
  <c r="C2295" i="11"/>
  <c r="B2295" i="11"/>
  <c r="A2295" i="11"/>
  <c r="D2294" i="11"/>
  <c r="AG2294" i="11"/>
  <c r="AH2294" i="11"/>
  <c r="G2294" i="11"/>
  <c r="AF2294" i="11"/>
  <c r="AI2294" i="11"/>
  <c r="P2294" i="11"/>
  <c r="O2294" i="11"/>
  <c r="F2294" i="11"/>
  <c r="E2294" i="11"/>
  <c r="C2294" i="11"/>
  <c r="B2294" i="11"/>
  <c r="A2294" i="11"/>
  <c r="D2293" i="11"/>
  <c r="AG2293" i="11"/>
  <c r="AH2293" i="11"/>
  <c r="G2293" i="11"/>
  <c r="AF2293" i="11"/>
  <c r="AI2293" i="11"/>
  <c r="P2293" i="11"/>
  <c r="O2293" i="11"/>
  <c r="F2293" i="11"/>
  <c r="E2293" i="11"/>
  <c r="C2293" i="11"/>
  <c r="B2293" i="11"/>
  <c r="A2293" i="11"/>
  <c r="D2292" i="11"/>
  <c r="AG2292" i="11"/>
  <c r="AH2292" i="11"/>
  <c r="G2292" i="11"/>
  <c r="AF2292" i="11"/>
  <c r="AI2292" i="11"/>
  <c r="P2292" i="11"/>
  <c r="O2292" i="11"/>
  <c r="F2292" i="11"/>
  <c r="E2292" i="11"/>
  <c r="C2292" i="11"/>
  <c r="B2292" i="11"/>
  <c r="A2292" i="11"/>
  <c r="D2291" i="11"/>
  <c r="AG2291" i="11"/>
  <c r="AH2291" i="11"/>
  <c r="G2291" i="11"/>
  <c r="AF2291" i="11"/>
  <c r="AI2291" i="11"/>
  <c r="P2291" i="11"/>
  <c r="O2291" i="11"/>
  <c r="F2291" i="11"/>
  <c r="E2291" i="11"/>
  <c r="C2291" i="11"/>
  <c r="B2291" i="11"/>
  <c r="A2291" i="11"/>
  <c r="D2290" i="11"/>
  <c r="AG2290" i="11"/>
  <c r="AH2290" i="11"/>
  <c r="G2290" i="11"/>
  <c r="AF2290" i="11"/>
  <c r="AI2290" i="11"/>
  <c r="P2290" i="11"/>
  <c r="O2290" i="11"/>
  <c r="F2290" i="11"/>
  <c r="E2290" i="11"/>
  <c r="C2290" i="11"/>
  <c r="B2290" i="11"/>
  <c r="A2290" i="11"/>
  <c r="D2289" i="11"/>
  <c r="AG2289" i="11"/>
  <c r="AH2289" i="11"/>
  <c r="G2289" i="11"/>
  <c r="AF2289" i="11"/>
  <c r="AI2289" i="11"/>
  <c r="P2289" i="11"/>
  <c r="O2289" i="11"/>
  <c r="F2289" i="11"/>
  <c r="E2289" i="11"/>
  <c r="C2289" i="11"/>
  <c r="B2289" i="11"/>
  <c r="A2289" i="11"/>
  <c r="D2288" i="11"/>
  <c r="AG2288" i="11"/>
  <c r="AH2288" i="11"/>
  <c r="G2288" i="11"/>
  <c r="AF2288" i="11"/>
  <c r="AI2288" i="11"/>
  <c r="P2288" i="11"/>
  <c r="O2288" i="11"/>
  <c r="F2288" i="11"/>
  <c r="E2288" i="11"/>
  <c r="C2288" i="11"/>
  <c r="B2288" i="11"/>
  <c r="A2288" i="11"/>
  <c r="D2287" i="11"/>
  <c r="AG2287" i="11"/>
  <c r="AH2287" i="11"/>
  <c r="G2287" i="11"/>
  <c r="AF2287" i="11"/>
  <c r="AI2287" i="11"/>
  <c r="P2287" i="11"/>
  <c r="O2287" i="11"/>
  <c r="F2287" i="11"/>
  <c r="E2287" i="11"/>
  <c r="C2287" i="11"/>
  <c r="B2287" i="11"/>
  <c r="A2287" i="11"/>
  <c r="D2286" i="11"/>
  <c r="AG2286" i="11"/>
  <c r="AH2286" i="11"/>
  <c r="G2286" i="11"/>
  <c r="AF2286" i="11"/>
  <c r="AI2286" i="11"/>
  <c r="P2286" i="11"/>
  <c r="O2286" i="11"/>
  <c r="F2286" i="11"/>
  <c r="E2286" i="11"/>
  <c r="C2286" i="11"/>
  <c r="B2286" i="11"/>
  <c r="A2286" i="11"/>
  <c r="D2285" i="11"/>
  <c r="AG2285" i="11"/>
  <c r="AH2285" i="11"/>
  <c r="G2285" i="11"/>
  <c r="AF2285" i="11"/>
  <c r="AI2285" i="11"/>
  <c r="P2285" i="11"/>
  <c r="O2285" i="11"/>
  <c r="F2285" i="11"/>
  <c r="E2285" i="11"/>
  <c r="C2285" i="11"/>
  <c r="B2285" i="11"/>
  <c r="A2285" i="11"/>
  <c r="D2284" i="11"/>
  <c r="AG2284" i="11"/>
  <c r="AH2284" i="11"/>
  <c r="G2284" i="11"/>
  <c r="AF2284" i="11"/>
  <c r="AI2284" i="11"/>
  <c r="P2284" i="11"/>
  <c r="O2284" i="11"/>
  <c r="F2284" i="11"/>
  <c r="E2284" i="11"/>
  <c r="C2284" i="11"/>
  <c r="B2284" i="11"/>
  <c r="A2284" i="11"/>
  <c r="D2283" i="11"/>
  <c r="AG2283" i="11"/>
  <c r="AH2283" i="11"/>
  <c r="G2283" i="11"/>
  <c r="AF2283" i="11"/>
  <c r="AI2283" i="11"/>
  <c r="P2283" i="11"/>
  <c r="O2283" i="11"/>
  <c r="F2283" i="11"/>
  <c r="E2283" i="11"/>
  <c r="C2283" i="11"/>
  <c r="B2283" i="11"/>
  <c r="A2283" i="11"/>
  <c r="D2282" i="11"/>
  <c r="AG2282" i="11"/>
  <c r="AH2282" i="11"/>
  <c r="G2282" i="11"/>
  <c r="AF2282" i="11"/>
  <c r="AI2282" i="11"/>
  <c r="P2282" i="11"/>
  <c r="O2282" i="11"/>
  <c r="F2282" i="11"/>
  <c r="E2282" i="11"/>
  <c r="C2282" i="11"/>
  <c r="B2282" i="11"/>
  <c r="A2282" i="11"/>
  <c r="D2281" i="11"/>
  <c r="AG2281" i="11"/>
  <c r="AH2281" i="11"/>
  <c r="G2281" i="11"/>
  <c r="AF2281" i="11"/>
  <c r="AI2281" i="11"/>
  <c r="P2281" i="11"/>
  <c r="O2281" i="11"/>
  <c r="F2281" i="11"/>
  <c r="E2281" i="11"/>
  <c r="C2281" i="11"/>
  <c r="B2281" i="11"/>
  <c r="A2281" i="11"/>
  <c r="D2280" i="11"/>
  <c r="AG2280" i="11"/>
  <c r="AH2280" i="11"/>
  <c r="G2280" i="11"/>
  <c r="AF2280" i="11"/>
  <c r="AI2280" i="11"/>
  <c r="P2280" i="11"/>
  <c r="O2280" i="11"/>
  <c r="F2280" i="11"/>
  <c r="E2280" i="11"/>
  <c r="C2280" i="11"/>
  <c r="B2280" i="11"/>
  <c r="A2280" i="11"/>
  <c r="D2279" i="11"/>
  <c r="AG2279" i="11"/>
  <c r="AH2279" i="11"/>
  <c r="G2279" i="11"/>
  <c r="AF2279" i="11"/>
  <c r="AI2279" i="11"/>
  <c r="P2279" i="11"/>
  <c r="O2279" i="11"/>
  <c r="F2279" i="11"/>
  <c r="E2279" i="11"/>
  <c r="C2279" i="11"/>
  <c r="B2279" i="11"/>
  <c r="A2279" i="11"/>
  <c r="D2278" i="11"/>
  <c r="AG2278" i="11"/>
  <c r="AH2278" i="11"/>
  <c r="G2278" i="11"/>
  <c r="AF2278" i="11"/>
  <c r="AI2278" i="11"/>
  <c r="P2278" i="11"/>
  <c r="O2278" i="11"/>
  <c r="F2278" i="11"/>
  <c r="E2278" i="11"/>
  <c r="C2278" i="11"/>
  <c r="B2278" i="11"/>
  <c r="A2278" i="11"/>
  <c r="D2277" i="11"/>
  <c r="AG2277" i="11"/>
  <c r="AH2277" i="11"/>
  <c r="G2277" i="11"/>
  <c r="AF2277" i="11"/>
  <c r="AI2277" i="11"/>
  <c r="P2277" i="11"/>
  <c r="O2277" i="11"/>
  <c r="F2277" i="11"/>
  <c r="E2277" i="11"/>
  <c r="C2277" i="11"/>
  <c r="B2277" i="11"/>
  <c r="A2277" i="11"/>
  <c r="D2276" i="11"/>
  <c r="AG2276" i="11"/>
  <c r="AH2276" i="11"/>
  <c r="G2276" i="11"/>
  <c r="AF2276" i="11"/>
  <c r="AI2276" i="11"/>
  <c r="P2276" i="11"/>
  <c r="O2276" i="11"/>
  <c r="F2276" i="11"/>
  <c r="E2276" i="11"/>
  <c r="C2276" i="11"/>
  <c r="B2276" i="11"/>
  <c r="A2276" i="11"/>
  <c r="D2275" i="11"/>
  <c r="AG2275" i="11"/>
  <c r="AH2275" i="11"/>
  <c r="G2275" i="11"/>
  <c r="AF2275" i="11"/>
  <c r="AI2275" i="11"/>
  <c r="P2275" i="11"/>
  <c r="O2275" i="11"/>
  <c r="F2275" i="11"/>
  <c r="E2275" i="11"/>
  <c r="C2275" i="11"/>
  <c r="B2275" i="11"/>
  <c r="A2275" i="11"/>
  <c r="D2274" i="11"/>
  <c r="AG2274" i="11"/>
  <c r="AH2274" i="11"/>
  <c r="G2274" i="11"/>
  <c r="AF2274" i="11"/>
  <c r="AI2274" i="11"/>
  <c r="P2274" i="11"/>
  <c r="O2274" i="11"/>
  <c r="F2274" i="11"/>
  <c r="E2274" i="11"/>
  <c r="C2274" i="11"/>
  <c r="B2274" i="11"/>
  <c r="A2274" i="11"/>
  <c r="D2273" i="11"/>
  <c r="AG2273" i="11"/>
  <c r="AH2273" i="11"/>
  <c r="G2273" i="11"/>
  <c r="AF2273" i="11"/>
  <c r="AI2273" i="11"/>
  <c r="P2273" i="11"/>
  <c r="O2273" i="11"/>
  <c r="F2273" i="11"/>
  <c r="E2273" i="11"/>
  <c r="C2273" i="11"/>
  <c r="B2273" i="11"/>
  <c r="A2273" i="11"/>
  <c r="D2272" i="11"/>
  <c r="AG2272" i="11"/>
  <c r="AH2272" i="11"/>
  <c r="G2272" i="11"/>
  <c r="AF2272" i="11"/>
  <c r="AI2272" i="11"/>
  <c r="P2272" i="11"/>
  <c r="O2272" i="11"/>
  <c r="F2272" i="11"/>
  <c r="E2272" i="11"/>
  <c r="C2272" i="11"/>
  <c r="B2272" i="11"/>
  <c r="A2272" i="11"/>
  <c r="D2271" i="11"/>
  <c r="AG2271" i="11"/>
  <c r="AH2271" i="11"/>
  <c r="G2271" i="11"/>
  <c r="AF2271" i="11"/>
  <c r="AI2271" i="11"/>
  <c r="P2271" i="11"/>
  <c r="O2271" i="11"/>
  <c r="F2271" i="11"/>
  <c r="E2271" i="11"/>
  <c r="C2271" i="11"/>
  <c r="B2271" i="11"/>
  <c r="A2271" i="11"/>
  <c r="D2270" i="11"/>
  <c r="AG2270" i="11"/>
  <c r="AH2270" i="11"/>
  <c r="G2270" i="11"/>
  <c r="AF2270" i="11"/>
  <c r="AI2270" i="11"/>
  <c r="P2270" i="11"/>
  <c r="O2270" i="11"/>
  <c r="F2270" i="11"/>
  <c r="E2270" i="11"/>
  <c r="C2270" i="11"/>
  <c r="B2270" i="11"/>
  <c r="A2270" i="11"/>
  <c r="D2269" i="11"/>
  <c r="AG2269" i="11"/>
  <c r="AH2269" i="11"/>
  <c r="G2269" i="11"/>
  <c r="AF2269" i="11"/>
  <c r="AI2269" i="11"/>
  <c r="P2269" i="11"/>
  <c r="O2269" i="11"/>
  <c r="F2269" i="11"/>
  <c r="E2269" i="11"/>
  <c r="C2269" i="11"/>
  <c r="B2269" i="11"/>
  <c r="A2269" i="11"/>
  <c r="D2268" i="11"/>
  <c r="AG2268" i="11"/>
  <c r="AH2268" i="11"/>
  <c r="G2268" i="11"/>
  <c r="AF2268" i="11"/>
  <c r="AI2268" i="11"/>
  <c r="P2268" i="11"/>
  <c r="O2268" i="11"/>
  <c r="F2268" i="11"/>
  <c r="E2268" i="11"/>
  <c r="C2268" i="11"/>
  <c r="B2268" i="11"/>
  <c r="A2268" i="11"/>
  <c r="D2267" i="11"/>
  <c r="AG2267" i="11"/>
  <c r="AH2267" i="11"/>
  <c r="G2267" i="11"/>
  <c r="AF2267" i="11"/>
  <c r="AI2267" i="11"/>
  <c r="P2267" i="11"/>
  <c r="O2267" i="11"/>
  <c r="F2267" i="11"/>
  <c r="E2267" i="11"/>
  <c r="C2267" i="11"/>
  <c r="B2267" i="11"/>
  <c r="A2267" i="11"/>
  <c r="D2266" i="11"/>
  <c r="AG2266" i="11"/>
  <c r="AH2266" i="11"/>
  <c r="G2266" i="11"/>
  <c r="AF2266" i="11"/>
  <c r="AI2266" i="11"/>
  <c r="P2266" i="11"/>
  <c r="O2266" i="11"/>
  <c r="F2266" i="11"/>
  <c r="E2266" i="11"/>
  <c r="C2266" i="11"/>
  <c r="B2266" i="11"/>
  <c r="A2266" i="11"/>
  <c r="D2265" i="11"/>
  <c r="AG2265" i="11"/>
  <c r="AH2265" i="11"/>
  <c r="G2265" i="11"/>
  <c r="AF2265" i="11"/>
  <c r="AI2265" i="11"/>
  <c r="P2265" i="11"/>
  <c r="O2265" i="11"/>
  <c r="F2265" i="11"/>
  <c r="E2265" i="11"/>
  <c r="C2265" i="11"/>
  <c r="B2265" i="11"/>
  <c r="A2265" i="11"/>
  <c r="D2264" i="11"/>
  <c r="AG2264" i="11"/>
  <c r="AH2264" i="11"/>
  <c r="G2264" i="11"/>
  <c r="AF2264" i="11"/>
  <c r="AI2264" i="11"/>
  <c r="P2264" i="11"/>
  <c r="O2264" i="11"/>
  <c r="F2264" i="11"/>
  <c r="E2264" i="11"/>
  <c r="C2264" i="11"/>
  <c r="B2264" i="11"/>
  <c r="A2264" i="11"/>
  <c r="D2263" i="11"/>
  <c r="AG2263" i="11"/>
  <c r="AH2263" i="11"/>
  <c r="G2263" i="11"/>
  <c r="AF2263" i="11"/>
  <c r="AI2263" i="11"/>
  <c r="P2263" i="11"/>
  <c r="O2263" i="11"/>
  <c r="F2263" i="11"/>
  <c r="E2263" i="11"/>
  <c r="C2263" i="11"/>
  <c r="B2263" i="11"/>
  <c r="A2263" i="11"/>
  <c r="D2262" i="11"/>
  <c r="AG2262" i="11"/>
  <c r="AH2262" i="11"/>
  <c r="G2262" i="11"/>
  <c r="AF2262" i="11"/>
  <c r="AI2262" i="11"/>
  <c r="P2262" i="11"/>
  <c r="O2262" i="11"/>
  <c r="F2262" i="11"/>
  <c r="E2262" i="11"/>
  <c r="C2262" i="11"/>
  <c r="B2262" i="11"/>
  <c r="A2262" i="11"/>
  <c r="D2261" i="11"/>
  <c r="AG2261" i="11"/>
  <c r="AH2261" i="11"/>
  <c r="G2261" i="11"/>
  <c r="AF2261" i="11"/>
  <c r="AI2261" i="11"/>
  <c r="P2261" i="11"/>
  <c r="O2261" i="11"/>
  <c r="F2261" i="11"/>
  <c r="E2261" i="11"/>
  <c r="C2261" i="11"/>
  <c r="B2261" i="11"/>
  <c r="A2261" i="11"/>
  <c r="D2260" i="11"/>
  <c r="AG2260" i="11"/>
  <c r="AH2260" i="11"/>
  <c r="G2260" i="11"/>
  <c r="AF2260" i="11"/>
  <c r="AI2260" i="11"/>
  <c r="P2260" i="11"/>
  <c r="O2260" i="11"/>
  <c r="F2260" i="11"/>
  <c r="E2260" i="11"/>
  <c r="C2260" i="11"/>
  <c r="B2260" i="11"/>
  <c r="A2260" i="11"/>
  <c r="D2259" i="11"/>
  <c r="AG2259" i="11"/>
  <c r="AH2259" i="11"/>
  <c r="G2259" i="11"/>
  <c r="AF2259" i="11"/>
  <c r="AI2259" i="11"/>
  <c r="P2259" i="11"/>
  <c r="O2259" i="11"/>
  <c r="F2259" i="11"/>
  <c r="E2259" i="11"/>
  <c r="C2259" i="11"/>
  <c r="B2259" i="11"/>
  <c r="A2259" i="11"/>
  <c r="D2258" i="11"/>
  <c r="AG2258" i="11"/>
  <c r="AH2258" i="11"/>
  <c r="G2258" i="11"/>
  <c r="AF2258" i="11"/>
  <c r="AI2258" i="11"/>
  <c r="P2258" i="11"/>
  <c r="O2258" i="11"/>
  <c r="F2258" i="11"/>
  <c r="E2258" i="11"/>
  <c r="C2258" i="11"/>
  <c r="B2258" i="11"/>
  <c r="A2258" i="11"/>
  <c r="D2257" i="11"/>
  <c r="AG2257" i="11"/>
  <c r="AH2257" i="11"/>
  <c r="G2257" i="11"/>
  <c r="AF2257" i="11"/>
  <c r="AI2257" i="11"/>
  <c r="P2257" i="11"/>
  <c r="O2257" i="11"/>
  <c r="F2257" i="11"/>
  <c r="E2257" i="11"/>
  <c r="C2257" i="11"/>
  <c r="B2257" i="11"/>
  <c r="A2257" i="11"/>
  <c r="D2256" i="11"/>
  <c r="AG2256" i="11"/>
  <c r="AH2256" i="11"/>
  <c r="G2256" i="11"/>
  <c r="AF2256" i="11"/>
  <c r="AI2256" i="11"/>
  <c r="P2256" i="11"/>
  <c r="O2256" i="11"/>
  <c r="F2256" i="11"/>
  <c r="E2256" i="11"/>
  <c r="C2256" i="11"/>
  <c r="B2256" i="11"/>
  <c r="A2256" i="11"/>
  <c r="D2255" i="11"/>
  <c r="AG2255" i="11"/>
  <c r="AH2255" i="11"/>
  <c r="G2255" i="11"/>
  <c r="AF2255" i="11"/>
  <c r="AI2255" i="11"/>
  <c r="P2255" i="11"/>
  <c r="O2255" i="11"/>
  <c r="F2255" i="11"/>
  <c r="E2255" i="11"/>
  <c r="C2255" i="11"/>
  <c r="B2255" i="11"/>
  <c r="A2255" i="11"/>
  <c r="D2254" i="11"/>
  <c r="AG2254" i="11"/>
  <c r="AH2254" i="11"/>
  <c r="G2254" i="11"/>
  <c r="AF2254" i="11"/>
  <c r="AI2254" i="11"/>
  <c r="P2254" i="11"/>
  <c r="O2254" i="11"/>
  <c r="F2254" i="11"/>
  <c r="E2254" i="11"/>
  <c r="C2254" i="11"/>
  <c r="B2254" i="11"/>
  <c r="A2254" i="11"/>
  <c r="D2253" i="11"/>
  <c r="AG2253" i="11"/>
  <c r="AH2253" i="11"/>
  <c r="G2253" i="11"/>
  <c r="AF2253" i="11"/>
  <c r="AI2253" i="11"/>
  <c r="P2253" i="11"/>
  <c r="O2253" i="11"/>
  <c r="F2253" i="11"/>
  <c r="E2253" i="11"/>
  <c r="C2253" i="11"/>
  <c r="B2253" i="11"/>
  <c r="A2253" i="11"/>
  <c r="D2252" i="11"/>
  <c r="AG2252" i="11"/>
  <c r="AH2252" i="11"/>
  <c r="G2252" i="11"/>
  <c r="AF2252" i="11"/>
  <c r="AI2252" i="11"/>
  <c r="P2252" i="11"/>
  <c r="O2252" i="11"/>
  <c r="F2252" i="11"/>
  <c r="E2252" i="11"/>
  <c r="C2252" i="11"/>
  <c r="B2252" i="11"/>
  <c r="A2252" i="11"/>
  <c r="D2251" i="11"/>
  <c r="AG2251" i="11"/>
  <c r="AH2251" i="11"/>
  <c r="G2251" i="11"/>
  <c r="AF2251" i="11"/>
  <c r="AI2251" i="11"/>
  <c r="P2251" i="11"/>
  <c r="O2251" i="11"/>
  <c r="F2251" i="11"/>
  <c r="E2251" i="11"/>
  <c r="C2251" i="11"/>
  <c r="B2251" i="11"/>
  <c r="A2251" i="11"/>
  <c r="D2250" i="11"/>
  <c r="AG2250" i="11"/>
  <c r="AH2250" i="11"/>
  <c r="G2250" i="11"/>
  <c r="AF2250" i="11"/>
  <c r="AI2250" i="11"/>
  <c r="P2250" i="11"/>
  <c r="O2250" i="11"/>
  <c r="F2250" i="11"/>
  <c r="E2250" i="11"/>
  <c r="C2250" i="11"/>
  <c r="B2250" i="11"/>
  <c r="A2250" i="11"/>
  <c r="D2249" i="11"/>
  <c r="AG2249" i="11"/>
  <c r="AH2249" i="11"/>
  <c r="G2249" i="11"/>
  <c r="AF2249" i="11"/>
  <c r="AI2249" i="11"/>
  <c r="P2249" i="11"/>
  <c r="O2249" i="11"/>
  <c r="F2249" i="11"/>
  <c r="E2249" i="11"/>
  <c r="C2249" i="11"/>
  <c r="B2249" i="11"/>
  <c r="A2249" i="11"/>
  <c r="D2248" i="11"/>
  <c r="AG2248" i="11"/>
  <c r="AH2248" i="11"/>
  <c r="G2248" i="11"/>
  <c r="AF2248" i="11"/>
  <c r="AI2248" i="11"/>
  <c r="P2248" i="11"/>
  <c r="O2248" i="11"/>
  <c r="F2248" i="11"/>
  <c r="E2248" i="11"/>
  <c r="C2248" i="11"/>
  <c r="B2248" i="11"/>
  <c r="A2248" i="11"/>
  <c r="D2247" i="11"/>
  <c r="AG2247" i="11"/>
  <c r="AH2247" i="11"/>
  <c r="G2247" i="11"/>
  <c r="AF2247" i="11"/>
  <c r="AI2247" i="11"/>
  <c r="P2247" i="11"/>
  <c r="O2247" i="11"/>
  <c r="F2247" i="11"/>
  <c r="E2247" i="11"/>
  <c r="C2247" i="11"/>
  <c r="B2247" i="11"/>
  <c r="A2247" i="11"/>
  <c r="D2246" i="11"/>
  <c r="AG2246" i="11"/>
  <c r="AH2246" i="11"/>
  <c r="G2246" i="11"/>
  <c r="AF2246" i="11"/>
  <c r="AI2246" i="11"/>
  <c r="P2246" i="11"/>
  <c r="O2246" i="11"/>
  <c r="F2246" i="11"/>
  <c r="E2246" i="11"/>
  <c r="C2246" i="11"/>
  <c r="B2246" i="11"/>
  <c r="A2246" i="11"/>
  <c r="D2245" i="11"/>
  <c r="AG2245" i="11"/>
  <c r="AH2245" i="11"/>
  <c r="G2245" i="11"/>
  <c r="AF2245" i="11"/>
  <c r="AI2245" i="11"/>
  <c r="P2245" i="11"/>
  <c r="O2245" i="11"/>
  <c r="F2245" i="11"/>
  <c r="E2245" i="11"/>
  <c r="C2245" i="11"/>
  <c r="B2245" i="11"/>
  <c r="A2245" i="11"/>
  <c r="D2244" i="11"/>
  <c r="AG2244" i="11"/>
  <c r="AH2244" i="11"/>
  <c r="G2244" i="11"/>
  <c r="AF2244" i="11"/>
  <c r="AI2244" i="11"/>
  <c r="P2244" i="11"/>
  <c r="O2244" i="11"/>
  <c r="F2244" i="11"/>
  <c r="E2244" i="11"/>
  <c r="C2244" i="11"/>
  <c r="B2244" i="11"/>
  <c r="A2244" i="11"/>
  <c r="D2243" i="11"/>
  <c r="AG2243" i="11"/>
  <c r="AH2243" i="11"/>
  <c r="G2243" i="11"/>
  <c r="AF2243" i="11"/>
  <c r="AI2243" i="11"/>
  <c r="P2243" i="11"/>
  <c r="O2243" i="11"/>
  <c r="F2243" i="11"/>
  <c r="E2243" i="11"/>
  <c r="C2243" i="11"/>
  <c r="B2243" i="11"/>
  <c r="A2243" i="11"/>
  <c r="D2242" i="11"/>
  <c r="AG2242" i="11"/>
  <c r="AH2242" i="11"/>
  <c r="G2242" i="11"/>
  <c r="AF2242" i="11"/>
  <c r="AI2242" i="11"/>
  <c r="P2242" i="11"/>
  <c r="O2242" i="11"/>
  <c r="F2242" i="11"/>
  <c r="E2242" i="11"/>
  <c r="C2242" i="11"/>
  <c r="B2242" i="11"/>
  <c r="A2242" i="11"/>
  <c r="D2241" i="11"/>
  <c r="AG2241" i="11"/>
  <c r="AH2241" i="11"/>
  <c r="G2241" i="11"/>
  <c r="AF2241" i="11"/>
  <c r="AI2241" i="11"/>
  <c r="P2241" i="11"/>
  <c r="O2241" i="11"/>
  <c r="F2241" i="11"/>
  <c r="E2241" i="11"/>
  <c r="C2241" i="11"/>
  <c r="B2241" i="11"/>
  <c r="A2241" i="11"/>
  <c r="D2240" i="11"/>
  <c r="AG2240" i="11"/>
  <c r="AH2240" i="11"/>
  <c r="G2240" i="11"/>
  <c r="AF2240" i="11"/>
  <c r="AI2240" i="11"/>
  <c r="P2240" i="11"/>
  <c r="O2240" i="11"/>
  <c r="F2240" i="11"/>
  <c r="E2240" i="11"/>
  <c r="C2240" i="11"/>
  <c r="B2240" i="11"/>
  <c r="A2240" i="11"/>
  <c r="D2239" i="11"/>
  <c r="AG2239" i="11"/>
  <c r="AH2239" i="11"/>
  <c r="G2239" i="11"/>
  <c r="AF2239" i="11"/>
  <c r="AI2239" i="11"/>
  <c r="P2239" i="11"/>
  <c r="O2239" i="11"/>
  <c r="F2239" i="11"/>
  <c r="E2239" i="11"/>
  <c r="C2239" i="11"/>
  <c r="B2239" i="11"/>
  <c r="A2239" i="11"/>
  <c r="D2238" i="11"/>
  <c r="AG2238" i="11"/>
  <c r="AH2238" i="11"/>
  <c r="G2238" i="11"/>
  <c r="AF2238" i="11"/>
  <c r="AI2238" i="11"/>
  <c r="P2238" i="11"/>
  <c r="O2238" i="11"/>
  <c r="F2238" i="11"/>
  <c r="E2238" i="11"/>
  <c r="C2238" i="11"/>
  <c r="B2238" i="11"/>
  <c r="A2238" i="11"/>
  <c r="D2237" i="11"/>
  <c r="AG2237" i="11"/>
  <c r="AH2237" i="11"/>
  <c r="G2237" i="11"/>
  <c r="AF2237" i="11"/>
  <c r="AI2237" i="11"/>
  <c r="P2237" i="11"/>
  <c r="O2237" i="11"/>
  <c r="F2237" i="11"/>
  <c r="E2237" i="11"/>
  <c r="C2237" i="11"/>
  <c r="B2237" i="11"/>
  <c r="A2237" i="11"/>
  <c r="D2236" i="11"/>
  <c r="AG2236" i="11"/>
  <c r="AH2236" i="11"/>
  <c r="G2236" i="11"/>
  <c r="AF2236" i="11"/>
  <c r="AI2236" i="11"/>
  <c r="P2236" i="11"/>
  <c r="O2236" i="11"/>
  <c r="F2236" i="11"/>
  <c r="E2236" i="11"/>
  <c r="C2236" i="11"/>
  <c r="B2236" i="11"/>
  <c r="A2236" i="11"/>
  <c r="D2235" i="11"/>
  <c r="AG2235" i="11"/>
  <c r="AH2235" i="11"/>
  <c r="G2235" i="11"/>
  <c r="AF2235" i="11"/>
  <c r="AI2235" i="11"/>
  <c r="P2235" i="11"/>
  <c r="O2235" i="11"/>
  <c r="F2235" i="11"/>
  <c r="E2235" i="11"/>
  <c r="C2235" i="11"/>
  <c r="B2235" i="11"/>
  <c r="A2235" i="11"/>
  <c r="D2234" i="11"/>
  <c r="AG2234" i="11"/>
  <c r="AH2234" i="11"/>
  <c r="G2234" i="11"/>
  <c r="AF2234" i="11"/>
  <c r="AI2234" i="11"/>
  <c r="P2234" i="11"/>
  <c r="O2234" i="11"/>
  <c r="F2234" i="11"/>
  <c r="E2234" i="11"/>
  <c r="C2234" i="11"/>
  <c r="B2234" i="11"/>
  <c r="A2234" i="11"/>
  <c r="D2233" i="11"/>
  <c r="AG2233" i="11"/>
  <c r="AH2233" i="11"/>
  <c r="G2233" i="11"/>
  <c r="AF2233" i="11"/>
  <c r="AI2233" i="11"/>
  <c r="P2233" i="11"/>
  <c r="O2233" i="11"/>
  <c r="F2233" i="11"/>
  <c r="E2233" i="11"/>
  <c r="C2233" i="11"/>
  <c r="B2233" i="11"/>
  <c r="A2233" i="11"/>
  <c r="D2232" i="11"/>
  <c r="AG2232" i="11"/>
  <c r="AH2232" i="11"/>
  <c r="G2232" i="11"/>
  <c r="AF2232" i="11"/>
  <c r="AI2232" i="11"/>
  <c r="P2232" i="11"/>
  <c r="O2232" i="11"/>
  <c r="F2232" i="11"/>
  <c r="E2232" i="11"/>
  <c r="C2232" i="11"/>
  <c r="B2232" i="11"/>
  <c r="A2232" i="11"/>
  <c r="D2231" i="11"/>
  <c r="AG2231" i="11"/>
  <c r="AH2231" i="11"/>
  <c r="G2231" i="11"/>
  <c r="AF2231" i="11"/>
  <c r="AI2231" i="11"/>
  <c r="P2231" i="11"/>
  <c r="O2231" i="11"/>
  <c r="F2231" i="11"/>
  <c r="E2231" i="11"/>
  <c r="C2231" i="11"/>
  <c r="B2231" i="11"/>
  <c r="A2231" i="11"/>
  <c r="D2230" i="11"/>
  <c r="AG2230" i="11"/>
  <c r="AH2230" i="11"/>
  <c r="G2230" i="11"/>
  <c r="AF2230" i="11"/>
  <c r="AI2230" i="11"/>
  <c r="P2230" i="11"/>
  <c r="O2230" i="11"/>
  <c r="F2230" i="11"/>
  <c r="E2230" i="11"/>
  <c r="C2230" i="11"/>
  <c r="B2230" i="11"/>
  <c r="A2230" i="11"/>
  <c r="D2229" i="11"/>
  <c r="AG2229" i="11"/>
  <c r="AH2229" i="11"/>
  <c r="G2229" i="11"/>
  <c r="AF2229" i="11"/>
  <c r="AI2229" i="11"/>
  <c r="P2229" i="11"/>
  <c r="O2229" i="11"/>
  <c r="F2229" i="11"/>
  <c r="E2229" i="11"/>
  <c r="C2229" i="11"/>
  <c r="B2229" i="11"/>
  <c r="A2229" i="11"/>
  <c r="D2228" i="11"/>
  <c r="AG2228" i="11"/>
  <c r="AH2228" i="11"/>
  <c r="G2228" i="11"/>
  <c r="AF2228" i="11"/>
  <c r="AI2228" i="11"/>
  <c r="P2228" i="11"/>
  <c r="O2228" i="11"/>
  <c r="F2228" i="11"/>
  <c r="E2228" i="11"/>
  <c r="C2228" i="11"/>
  <c r="B2228" i="11"/>
  <c r="A2228" i="11"/>
  <c r="D2227" i="11"/>
  <c r="AG2227" i="11"/>
  <c r="AH2227" i="11"/>
  <c r="G2227" i="11"/>
  <c r="AF2227" i="11"/>
  <c r="AI2227" i="11"/>
  <c r="P2227" i="11"/>
  <c r="O2227" i="11"/>
  <c r="F2227" i="11"/>
  <c r="E2227" i="11"/>
  <c r="C2227" i="11"/>
  <c r="B2227" i="11"/>
  <c r="A2227" i="11"/>
  <c r="D2226" i="11"/>
  <c r="AG2226" i="11"/>
  <c r="AH2226" i="11"/>
  <c r="G2226" i="11"/>
  <c r="AF2226" i="11"/>
  <c r="AI2226" i="11"/>
  <c r="P2226" i="11"/>
  <c r="O2226" i="11"/>
  <c r="F2226" i="11"/>
  <c r="E2226" i="11"/>
  <c r="C2226" i="11"/>
  <c r="B2226" i="11"/>
  <c r="A2226" i="11"/>
  <c r="D2225" i="11"/>
  <c r="AG2225" i="11"/>
  <c r="AH2225" i="11"/>
  <c r="G2225" i="11"/>
  <c r="AF2225" i="11"/>
  <c r="AI2225" i="11"/>
  <c r="P2225" i="11"/>
  <c r="O2225" i="11"/>
  <c r="F2225" i="11"/>
  <c r="E2225" i="11"/>
  <c r="C2225" i="11"/>
  <c r="B2225" i="11"/>
  <c r="A2225" i="11"/>
  <c r="D2224" i="11"/>
  <c r="AG2224" i="11"/>
  <c r="AH2224" i="11"/>
  <c r="G2224" i="11"/>
  <c r="AF2224" i="11"/>
  <c r="AI2224" i="11"/>
  <c r="P2224" i="11"/>
  <c r="O2224" i="11"/>
  <c r="F2224" i="11"/>
  <c r="E2224" i="11"/>
  <c r="C2224" i="11"/>
  <c r="B2224" i="11"/>
  <c r="A2224" i="11"/>
  <c r="D2223" i="11"/>
  <c r="AG2223" i="11"/>
  <c r="AH2223" i="11"/>
  <c r="G2223" i="11"/>
  <c r="AF2223" i="11"/>
  <c r="AI2223" i="11"/>
  <c r="P2223" i="11"/>
  <c r="O2223" i="11"/>
  <c r="F2223" i="11"/>
  <c r="E2223" i="11"/>
  <c r="C2223" i="11"/>
  <c r="B2223" i="11"/>
  <c r="A2223" i="11"/>
  <c r="D2222" i="11"/>
  <c r="AG2222" i="11"/>
  <c r="AH2222" i="11"/>
  <c r="G2222" i="11"/>
  <c r="AF2222" i="11"/>
  <c r="AI2222" i="11"/>
  <c r="P2222" i="11"/>
  <c r="O2222" i="11"/>
  <c r="F2222" i="11"/>
  <c r="E2222" i="11"/>
  <c r="C2222" i="11"/>
  <c r="B2222" i="11"/>
  <c r="A2222" i="11"/>
  <c r="D2221" i="11"/>
  <c r="AG2221" i="11"/>
  <c r="AH2221" i="11"/>
  <c r="G2221" i="11"/>
  <c r="AF2221" i="11"/>
  <c r="AI2221" i="11"/>
  <c r="P2221" i="11"/>
  <c r="O2221" i="11"/>
  <c r="F2221" i="11"/>
  <c r="E2221" i="11"/>
  <c r="C2221" i="11"/>
  <c r="B2221" i="11"/>
  <c r="A2221" i="11"/>
  <c r="D2220" i="11"/>
  <c r="AG2220" i="11"/>
  <c r="AH2220" i="11"/>
  <c r="G2220" i="11"/>
  <c r="AF2220" i="11"/>
  <c r="AI2220" i="11"/>
  <c r="P2220" i="11"/>
  <c r="O2220" i="11"/>
  <c r="F2220" i="11"/>
  <c r="E2220" i="11"/>
  <c r="C2220" i="11"/>
  <c r="B2220" i="11"/>
  <c r="A2220" i="11"/>
  <c r="D2219" i="11"/>
  <c r="AG2219" i="11"/>
  <c r="AH2219" i="11"/>
  <c r="G2219" i="11"/>
  <c r="AF2219" i="11"/>
  <c r="AI2219" i="11"/>
  <c r="P2219" i="11"/>
  <c r="O2219" i="11"/>
  <c r="F2219" i="11"/>
  <c r="E2219" i="11"/>
  <c r="C2219" i="11"/>
  <c r="B2219" i="11"/>
  <c r="A2219" i="11"/>
  <c r="D2218" i="11"/>
  <c r="AG2218" i="11"/>
  <c r="AH2218" i="11"/>
  <c r="G2218" i="11"/>
  <c r="AF2218" i="11"/>
  <c r="AI2218" i="11"/>
  <c r="P2218" i="11"/>
  <c r="O2218" i="11"/>
  <c r="F2218" i="11"/>
  <c r="E2218" i="11"/>
  <c r="C2218" i="11"/>
  <c r="B2218" i="11"/>
  <c r="A2218" i="11"/>
  <c r="D2217" i="11"/>
  <c r="AG2217" i="11"/>
  <c r="AH2217" i="11"/>
  <c r="G2217" i="11"/>
  <c r="AF2217" i="11"/>
  <c r="AI2217" i="11"/>
  <c r="P2217" i="11"/>
  <c r="O2217" i="11"/>
  <c r="F2217" i="11"/>
  <c r="E2217" i="11"/>
  <c r="C2217" i="11"/>
  <c r="B2217" i="11"/>
  <c r="A2217" i="11"/>
  <c r="D2216" i="11"/>
  <c r="AG2216" i="11"/>
  <c r="AH2216" i="11"/>
  <c r="G2216" i="11"/>
  <c r="AF2216" i="11"/>
  <c r="AI2216" i="11"/>
  <c r="P2216" i="11"/>
  <c r="O2216" i="11"/>
  <c r="F2216" i="11"/>
  <c r="E2216" i="11"/>
  <c r="C2216" i="11"/>
  <c r="B2216" i="11"/>
  <c r="A2216" i="11"/>
  <c r="D2215" i="11"/>
  <c r="AG2215" i="11"/>
  <c r="AH2215" i="11"/>
  <c r="G2215" i="11"/>
  <c r="AF2215" i="11"/>
  <c r="AI2215" i="11"/>
  <c r="P2215" i="11"/>
  <c r="O2215" i="11"/>
  <c r="F2215" i="11"/>
  <c r="E2215" i="11"/>
  <c r="C2215" i="11"/>
  <c r="B2215" i="11"/>
  <c r="A2215" i="11"/>
  <c r="D2214" i="11"/>
  <c r="AG2214" i="11"/>
  <c r="AH2214" i="11"/>
  <c r="G2214" i="11"/>
  <c r="AF2214" i="11"/>
  <c r="AI2214" i="11"/>
  <c r="P2214" i="11"/>
  <c r="O2214" i="11"/>
  <c r="F2214" i="11"/>
  <c r="E2214" i="11"/>
  <c r="C2214" i="11"/>
  <c r="B2214" i="11"/>
  <c r="A2214" i="11"/>
  <c r="D2213" i="11"/>
  <c r="AG2213" i="11"/>
  <c r="AH2213" i="11"/>
  <c r="G2213" i="11"/>
  <c r="AF2213" i="11"/>
  <c r="AI2213" i="11"/>
  <c r="P2213" i="11"/>
  <c r="O2213" i="11"/>
  <c r="F2213" i="11"/>
  <c r="E2213" i="11"/>
  <c r="C2213" i="11"/>
  <c r="B2213" i="11"/>
  <c r="A2213" i="11"/>
  <c r="D2212" i="11"/>
  <c r="AG2212" i="11"/>
  <c r="AH2212" i="11"/>
  <c r="G2212" i="11"/>
  <c r="AF2212" i="11"/>
  <c r="AI2212" i="11"/>
  <c r="P2212" i="11"/>
  <c r="O2212" i="11"/>
  <c r="F2212" i="11"/>
  <c r="E2212" i="11"/>
  <c r="C2212" i="11"/>
  <c r="B2212" i="11"/>
  <c r="A2212" i="11"/>
  <c r="D2211" i="11"/>
  <c r="AG2211" i="11"/>
  <c r="AH2211" i="11"/>
  <c r="G2211" i="11"/>
  <c r="AF2211" i="11"/>
  <c r="AI2211" i="11"/>
  <c r="P2211" i="11"/>
  <c r="O2211" i="11"/>
  <c r="F2211" i="11"/>
  <c r="E2211" i="11"/>
  <c r="C2211" i="11"/>
  <c r="B2211" i="11"/>
  <c r="A2211" i="11"/>
  <c r="D2210" i="11"/>
  <c r="AG2210" i="11"/>
  <c r="AH2210" i="11"/>
  <c r="G2210" i="11"/>
  <c r="AF2210" i="11"/>
  <c r="AI2210" i="11"/>
  <c r="P2210" i="11"/>
  <c r="O2210" i="11"/>
  <c r="F2210" i="11"/>
  <c r="E2210" i="11"/>
  <c r="C2210" i="11"/>
  <c r="B2210" i="11"/>
  <c r="A2210" i="11"/>
  <c r="D2209" i="11"/>
  <c r="AG2209" i="11"/>
  <c r="AH2209" i="11"/>
  <c r="G2209" i="11"/>
  <c r="AF2209" i="11"/>
  <c r="AI2209" i="11"/>
  <c r="P2209" i="11"/>
  <c r="O2209" i="11"/>
  <c r="F2209" i="11"/>
  <c r="E2209" i="11"/>
  <c r="C2209" i="11"/>
  <c r="B2209" i="11"/>
  <c r="A2209" i="11"/>
  <c r="D2208" i="11"/>
  <c r="AG2208" i="11"/>
  <c r="AH2208" i="11"/>
  <c r="G2208" i="11"/>
  <c r="AF2208" i="11"/>
  <c r="AI2208" i="11"/>
  <c r="P2208" i="11"/>
  <c r="O2208" i="11"/>
  <c r="F2208" i="11"/>
  <c r="E2208" i="11"/>
  <c r="C2208" i="11"/>
  <c r="B2208" i="11"/>
  <c r="A2208" i="11"/>
  <c r="D2207" i="11"/>
  <c r="AG2207" i="11"/>
  <c r="AH2207" i="11"/>
  <c r="G2207" i="11"/>
  <c r="AF2207" i="11"/>
  <c r="AI2207" i="11"/>
  <c r="P2207" i="11"/>
  <c r="O2207" i="11"/>
  <c r="F2207" i="11"/>
  <c r="E2207" i="11"/>
  <c r="C2207" i="11"/>
  <c r="B2207" i="11"/>
  <c r="A2207" i="11"/>
  <c r="D2206" i="11"/>
  <c r="AG2206" i="11"/>
  <c r="AH2206" i="11"/>
  <c r="G2206" i="11"/>
  <c r="AF2206" i="11"/>
  <c r="AI2206" i="11"/>
  <c r="P2206" i="11"/>
  <c r="O2206" i="11"/>
  <c r="F2206" i="11"/>
  <c r="E2206" i="11"/>
  <c r="C2206" i="11"/>
  <c r="B2206" i="11"/>
  <c r="A2206" i="11"/>
  <c r="D2205" i="11"/>
  <c r="AG2205" i="11"/>
  <c r="AH2205" i="11"/>
  <c r="G2205" i="11"/>
  <c r="AF2205" i="11"/>
  <c r="AI2205" i="11"/>
  <c r="P2205" i="11"/>
  <c r="O2205" i="11"/>
  <c r="F2205" i="11"/>
  <c r="E2205" i="11"/>
  <c r="C2205" i="11"/>
  <c r="B2205" i="11"/>
  <c r="A2205" i="11"/>
  <c r="D2204" i="11"/>
  <c r="AG2204" i="11"/>
  <c r="AH2204" i="11"/>
  <c r="G2204" i="11"/>
  <c r="AF2204" i="11"/>
  <c r="AI2204" i="11"/>
  <c r="P2204" i="11"/>
  <c r="O2204" i="11"/>
  <c r="F2204" i="11"/>
  <c r="E2204" i="11"/>
  <c r="C2204" i="11"/>
  <c r="B2204" i="11"/>
  <c r="A2204" i="11"/>
  <c r="D2203" i="11"/>
  <c r="AG2203" i="11"/>
  <c r="AH2203" i="11"/>
  <c r="G2203" i="11"/>
  <c r="AF2203" i="11"/>
  <c r="AI2203" i="11"/>
  <c r="P2203" i="11"/>
  <c r="O2203" i="11"/>
  <c r="F2203" i="11"/>
  <c r="E2203" i="11"/>
  <c r="C2203" i="11"/>
  <c r="B2203" i="11"/>
  <c r="A2203" i="11"/>
  <c r="D2202" i="11"/>
  <c r="AG2202" i="11"/>
  <c r="AH2202" i="11"/>
  <c r="G2202" i="11"/>
  <c r="AF2202" i="11"/>
  <c r="AI2202" i="11"/>
  <c r="P2202" i="11"/>
  <c r="O2202" i="11"/>
  <c r="F2202" i="11"/>
  <c r="E2202" i="11"/>
  <c r="C2202" i="11"/>
  <c r="B2202" i="11"/>
  <c r="A2202" i="11"/>
  <c r="D2201" i="11"/>
  <c r="AG2201" i="11"/>
  <c r="AH2201" i="11"/>
  <c r="G2201" i="11"/>
  <c r="AF2201" i="11"/>
  <c r="AI2201" i="11"/>
  <c r="P2201" i="11"/>
  <c r="O2201" i="11"/>
  <c r="F2201" i="11"/>
  <c r="E2201" i="11"/>
  <c r="C2201" i="11"/>
  <c r="B2201" i="11"/>
  <c r="A2201" i="11"/>
  <c r="D2200" i="11"/>
  <c r="AG2200" i="11"/>
  <c r="AH2200" i="11"/>
  <c r="G2200" i="11"/>
  <c r="AF2200" i="11"/>
  <c r="AI2200" i="11"/>
  <c r="P2200" i="11"/>
  <c r="O2200" i="11"/>
  <c r="F2200" i="11"/>
  <c r="E2200" i="11"/>
  <c r="C2200" i="11"/>
  <c r="B2200" i="11"/>
  <c r="A2200" i="11"/>
  <c r="D2199" i="11"/>
  <c r="AG2199" i="11"/>
  <c r="AH2199" i="11"/>
  <c r="G2199" i="11"/>
  <c r="AF2199" i="11"/>
  <c r="AI2199" i="11"/>
  <c r="P2199" i="11"/>
  <c r="O2199" i="11"/>
  <c r="F2199" i="11"/>
  <c r="E2199" i="11"/>
  <c r="C2199" i="11"/>
  <c r="B2199" i="11"/>
  <c r="A2199" i="11"/>
  <c r="D2198" i="11"/>
  <c r="AG2198" i="11"/>
  <c r="AH2198" i="11"/>
  <c r="G2198" i="11"/>
  <c r="AF2198" i="11"/>
  <c r="AI2198" i="11"/>
  <c r="P2198" i="11"/>
  <c r="O2198" i="11"/>
  <c r="F2198" i="11"/>
  <c r="E2198" i="11"/>
  <c r="C2198" i="11"/>
  <c r="B2198" i="11"/>
  <c r="A2198" i="11"/>
  <c r="D2197" i="11"/>
  <c r="AG2197" i="11"/>
  <c r="AH2197" i="11"/>
  <c r="G2197" i="11"/>
  <c r="AF2197" i="11"/>
  <c r="AI2197" i="11"/>
  <c r="P2197" i="11"/>
  <c r="O2197" i="11"/>
  <c r="F2197" i="11"/>
  <c r="E2197" i="11"/>
  <c r="C2197" i="11"/>
  <c r="B2197" i="11"/>
  <c r="A2197" i="11"/>
  <c r="D2196" i="11"/>
  <c r="AG2196" i="11"/>
  <c r="AH2196" i="11"/>
  <c r="G2196" i="11"/>
  <c r="AF2196" i="11"/>
  <c r="AI2196" i="11"/>
  <c r="P2196" i="11"/>
  <c r="O2196" i="11"/>
  <c r="F2196" i="11"/>
  <c r="E2196" i="11"/>
  <c r="C2196" i="11"/>
  <c r="B2196" i="11"/>
  <c r="A2196" i="11"/>
  <c r="D2195" i="11"/>
  <c r="AG2195" i="11"/>
  <c r="AH2195" i="11"/>
  <c r="G2195" i="11"/>
  <c r="AF2195" i="11"/>
  <c r="AI2195" i="11"/>
  <c r="P2195" i="11"/>
  <c r="O2195" i="11"/>
  <c r="F2195" i="11"/>
  <c r="E2195" i="11"/>
  <c r="C2195" i="11"/>
  <c r="B2195" i="11"/>
  <c r="A2195" i="11"/>
  <c r="D2194" i="11"/>
  <c r="AG2194" i="11"/>
  <c r="AH2194" i="11"/>
  <c r="G2194" i="11"/>
  <c r="AF2194" i="11"/>
  <c r="AI2194" i="11"/>
  <c r="P2194" i="11"/>
  <c r="O2194" i="11"/>
  <c r="F2194" i="11"/>
  <c r="E2194" i="11"/>
  <c r="C2194" i="11"/>
  <c r="B2194" i="11"/>
  <c r="A2194" i="11"/>
  <c r="D2193" i="11"/>
  <c r="AG2193" i="11"/>
  <c r="AH2193" i="11"/>
  <c r="G2193" i="11"/>
  <c r="AF2193" i="11"/>
  <c r="AI2193" i="11"/>
  <c r="P2193" i="11"/>
  <c r="O2193" i="11"/>
  <c r="F2193" i="11"/>
  <c r="E2193" i="11"/>
  <c r="C2193" i="11"/>
  <c r="B2193" i="11"/>
  <c r="A2193" i="11"/>
  <c r="D2192" i="11"/>
  <c r="AG2192" i="11"/>
  <c r="AH2192" i="11"/>
  <c r="G2192" i="11"/>
  <c r="AF2192" i="11"/>
  <c r="AI2192" i="11"/>
  <c r="P2192" i="11"/>
  <c r="O2192" i="11"/>
  <c r="F2192" i="11"/>
  <c r="E2192" i="11"/>
  <c r="C2192" i="11"/>
  <c r="B2192" i="11"/>
  <c r="A2192" i="11"/>
  <c r="D2191" i="11"/>
  <c r="AG2191" i="11"/>
  <c r="AH2191" i="11"/>
  <c r="G2191" i="11"/>
  <c r="AF2191" i="11"/>
  <c r="AI2191" i="11"/>
  <c r="P2191" i="11"/>
  <c r="O2191" i="11"/>
  <c r="F2191" i="11"/>
  <c r="E2191" i="11"/>
  <c r="C2191" i="11"/>
  <c r="B2191" i="11"/>
  <c r="A2191" i="11"/>
  <c r="D2190" i="11"/>
  <c r="AG2190" i="11"/>
  <c r="AH2190" i="11"/>
  <c r="G2190" i="11"/>
  <c r="AF2190" i="11"/>
  <c r="AI2190" i="11"/>
  <c r="P2190" i="11"/>
  <c r="O2190" i="11"/>
  <c r="F2190" i="11"/>
  <c r="E2190" i="11"/>
  <c r="C2190" i="11"/>
  <c r="B2190" i="11"/>
  <c r="A2190" i="11"/>
  <c r="D2189" i="11"/>
  <c r="AG2189" i="11"/>
  <c r="AH2189" i="11"/>
  <c r="G2189" i="11"/>
  <c r="AF2189" i="11"/>
  <c r="AI2189" i="11"/>
  <c r="P2189" i="11"/>
  <c r="O2189" i="11"/>
  <c r="F2189" i="11"/>
  <c r="E2189" i="11"/>
  <c r="C2189" i="11"/>
  <c r="B2189" i="11"/>
  <c r="A2189" i="11"/>
  <c r="D2188" i="11"/>
  <c r="AG2188" i="11"/>
  <c r="AH2188" i="11"/>
  <c r="G2188" i="11"/>
  <c r="AF2188" i="11"/>
  <c r="AI2188" i="11"/>
  <c r="P2188" i="11"/>
  <c r="O2188" i="11"/>
  <c r="F2188" i="11"/>
  <c r="E2188" i="11"/>
  <c r="C2188" i="11"/>
  <c r="B2188" i="11"/>
  <c r="A2188" i="11"/>
  <c r="D2187" i="11"/>
  <c r="AG2187" i="11"/>
  <c r="AH2187" i="11"/>
  <c r="G2187" i="11"/>
  <c r="AF2187" i="11"/>
  <c r="AI2187" i="11"/>
  <c r="P2187" i="11"/>
  <c r="O2187" i="11"/>
  <c r="F2187" i="11"/>
  <c r="E2187" i="11"/>
  <c r="C2187" i="11"/>
  <c r="B2187" i="11"/>
  <c r="A2187" i="11"/>
  <c r="D2186" i="11"/>
  <c r="AG2186" i="11"/>
  <c r="AH2186" i="11"/>
  <c r="G2186" i="11"/>
  <c r="AF2186" i="11"/>
  <c r="AI2186" i="11"/>
  <c r="P2186" i="11"/>
  <c r="O2186" i="11"/>
  <c r="F2186" i="11"/>
  <c r="E2186" i="11"/>
  <c r="C2186" i="11"/>
  <c r="B2186" i="11"/>
  <c r="A2186" i="11"/>
  <c r="D2185" i="11"/>
  <c r="AG2185" i="11"/>
  <c r="AH2185" i="11"/>
  <c r="G2185" i="11"/>
  <c r="AF2185" i="11"/>
  <c r="AI2185" i="11"/>
  <c r="P2185" i="11"/>
  <c r="O2185" i="11"/>
  <c r="F2185" i="11"/>
  <c r="E2185" i="11"/>
  <c r="C2185" i="11"/>
  <c r="B2185" i="11"/>
  <c r="A2185" i="11"/>
  <c r="D2184" i="11"/>
  <c r="AG2184" i="11"/>
  <c r="AH2184" i="11"/>
  <c r="G2184" i="11"/>
  <c r="AF2184" i="11"/>
  <c r="AI2184" i="11"/>
  <c r="P2184" i="11"/>
  <c r="O2184" i="11"/>
  <c r="F2184" i="11"/>
  <c r="E2184" i="11"/>
  <c r="C2184" i="11"/>
  <c r="B2184" i="11"/>
  <c r="A2184" i="11"/>
  <c r="D2183" i="11"/>
  <c r="AG2183" i="11"/>
  <c r="AH2183" i="11"/>
  <c r="G2183" i="11"/>
  <c r="AF2183" i="11"/>
  <c r="AI2183" i="11"/>
  <c r="P2183" i="11"/>
  <c r="O2183" i="11"/>
  <c r="F2183" i="11"/>
  <c r="E2183" i="11"/>
  <c r="C2183" i="11"/>
  <c r="B2183" i="11"/>
  <c r="A2183" i="11"/>
  <c r="D2182" i="11"/>
  <c r="AG2182" i="11"/>
  <c r="AH2182" i="11"/>
  <c r="G2182" i="11"/>
  <c r="AF2182" i="11"/>
  <c r="AI2182" i="11"/>
  <c r="P2182" i="11"/>
  <c r="O2182" i="11"/>
  <c r="F2182" i="11"/>
  <c r="E2182" i="11"/>
  <c r="C2182" i="11"/>
  <c r="B2182" i="11"/>
  <c r="A2182" i="11"/>
  <c r="D2181" i="11"/>
  <c r="AG2181" i="11"/>
  <c r="AH2181" i="11"/>
  <c r="G2181" i="11"/>
  <c r="AF2181" i="11"/>
  <c r="AI2181" i="11"/>
  <c r="P2181" i="11"/>
  <c r="O2181" i="11"/>
  <c r="F2181" i="11"/>
  <c r="E2181" i="11"/>
  <c r="C2181" i="11"/>
  <c r="B2181" i="11"/>
  <c r="A2181" i="11"/>
  <c r="D2180" i="11"/>
  <c r="AG2180" i="11"/>
  <c r="AH2180" i="11"/>
  <c r="G2180" i="11"/>
  <c r="AF2180" i="11"/>
  <c r="AI2180" i="11"/>
  <c r="P2180" i="11"/>
  <c r="O2180" i="11"/>
  <c r="F2180" i="11"/>
  <c r="E2180" i="11"/>
  <c r="C2180" i="11"/>
  <c r="B2180" i="11"/>
  <c r="A2180" i="11"/>
  <c r="D2179" i="11"/>
  <c r="AG2179" i="11"/>
  <c r="AH2179" i="11"/>
  <c r="G2179" i="11"/>
  <c r="AF2179" i="11"/>
  <c r="AI2179" i="11"/>
  <c r="P2179" i="11"/>
  <c r="O2179" i="11"/>
  <c r="F2179" i="11"/>
  <c r="E2179" i="11"/>
  <c r="C2179" i="11"/>
  <c r="B2179" i="11"/>
  <c r="A2179" i="11"/>
  <c r="D2178" i="11"/>
  <c r="AG2178" i="11"/>
  <c r="AH2178" i="11"/>
  <c r="G2178" i="11"/>
  <c r="AF2178" i="11"/>
  <c r="AI2178" i="11"/>
  <c r="P2178" i="11"/>
  <c r="O2178" i="11"/>
  <c r="F2178" i="11"/>
  <c r="E2178" i="11"/>
  <c r="C2178" i="11"/>
  <c r="B2178" i="11"/>
  <c r="A2178" i="11"/>
  <c r="D2177" i="11"/>
  <c r="AG2177" i="11"/>
  <c r="AH2177" i="11"/>
  <c r="G2177" i="11"/>
  <c r="AF2177" i="11"/>
  <c r="AI2177" i="11"/>
  <c r="P2177" i="11"/>
  <c r="O2177" i="11"/>
  <c r="F2177" i="11"/>
  <c r="E2177" i="11"/>
  <c r="C2177" i="11"/>
  <c r="B2177" i="11"/>
  <c r="A2177" i="11"/>
  <c r="D2176" i="11"/>
  <c r="AG2176" i="11"/>
  <c r="AH2176" i="11"/>
  <c r="G2176" i="11"/>
  <c r="AF2176" i="11"/>
  <c r="AI2176" i="11"/>
  <c r="P2176" i="11"/>
  <c r="O2176" i="11"/>
  <c r="F2176" i="11"/>
  <c r="E2176" i="11"/>
  <c r="C2176" i="11"/>
  <c r="B2176" i="11"/>
  <c r="A2176" i="11"/>
  <c r="I7391" i="9"/>
  <c r="J7391" i="9"/>
  <c r="K7391" i="9"/>
  <c r="D2175" i="11"/>
  <c r="AG2175" i="11"/>
  <c r="AH2175" i="11"/>
  <c r="N7391" i="9"/>
  <c r="G2175" i="11"/>
  <c r="AF2175" i="11"/>
  <c r="AI2175" i="11"/>
  <c r="P2175" i="11"/>
  <c r="O2175" i="11"/>
  <c r="F2175" i="11"/>
  <c r="E2175" i="11"/>
  <c r="C2175" i="11"/>
  <c r="B2175" i="11"/>
  <c r="A2175" i="11"/>
  <c r="I7390" i="9"/>
  <c r="J7390" i="9"/>
  <c r="K7390" i="9"/>
  <c r="D2174" i="11"/>
  <c r="AG2174" i="11"/>
  <c r="AH2174" i="11"/>
  <c r="N7390" i="9"/>
  <c r="G2174" i="11"/>
  <c r="AF2174" i="11"/>
  <c r="AI2174" i="11"/>
  <c r="P2174" i="11"/>
  <c r="O2174" i="11"/>
  <c r="F2174" i="11"/>
  <c r="E2174" i="11"/>
  <c r="C2174" i="11"/>
  <c r="B2174" i="11"/>
  <c r="A2174" i="11"/>
  <c r="I7389" i="9"/>
  <c r="J7389" i="9"/>
  <c r="K7389" i="9"/>
  <c r="D2173" i="11"/>
  <c r="AG2173" i="11"/>
  <c r="AH2173" i="11"/>
  <c r="N7389" i="9"/>
  <c r="G2173" i="11"/>
  <c r="AF2173" i="11"/>
  <c r="AI2173" i="11"/>
  <c r="P2173" i="11"/>
  <c r="O2173" i="11"/>
  <c r="F2173" i="11"/>
  <c r="E2173" i="11"/>
  <c r="C2173" i="11"/>
  <c r="B2173" i="11"/>
  <c r="A2173" i="11"/>
  <c r="J7388" i="9"/>
  <c r="K7388" i="9"/>
  <c r="D2172" i="11"/>
  <c r="AG2172" i="11"/>
  <c r="AH2172" i="11"/>
  <c r="N7388" i="9"/>
  <c r="G2172" i="11"/>
  <c r="AF2172" i="11"/>
  <c r="AI2172" i="11"/>
  <c r="P2172" i="11"/>
  <c r="O2172" i="11"/>
  <c r="F2172" i="11"/>
  <c r="E2172" i="11"/>
  <c r="C2172" i="11"/>
  <c r="B2172" i="11"/>
  <c r="A2172" i="11"/>
  <c r="J7387" i="9"/>
  <c r="K7387" i="9"/>
  <c r="D2171" i="11"/>
  <c r="AG2171" i="11"/>
  <c r="AH2171" i="11"/>
  <c r="N7387" i="9"/>
  <c r="G2171" i="11"/>
  <c r="AF2171" i="11"/>
  <c r="AI2171" i="11"/>
  <c r="P2171" i="11"/>
  <c r="O2171" i="11"/>
  <c r="F2171" i="11"/>
  <c r="E2171" i="11"/>
  <c r="C2171" i="11"/>
  <c r="B2171" i="11"/>
  <c r="A2171" i="11"/>
  <c r="J7386" i="9"/>
  <c r="K7386" i="9"/>
  <c r="D2170" i="11"/>
  <c r="AG2170" i="11"/>
  <c r="AH2170" i="11"/>
  <c r="N7386" i="9"/>
  <c r="G2170" i="11"/>
  <c r="AF2170" i="11"/>
  <c r="AI2170" i="11"/>
  <c r="P2170" i="11"/>
  <c r="O2170" i="11"/>
  <c r="F2170" i="11"/>
  <c r="E2170" i="11"/>
  <c r="C2170" i="11"/>
  <c r="B2170" i="11"/>
  <c r="A2170" i="11"/>
  <c r="D2169" i="11"/>
  <c r="AG2169" i="11"/>
  <c r="AH2169" i="11"/>
  <c r="N7385" i="9"/>
  <c r="G2169" i="11"/>
  <c r="AF2169" i="11"/>
  <c r="AI2169" i="11"/>
  <c r="P2169" i="11"/>
  <c r="O2169" i="11"/>
  <c r="F2169" i="11"/>
  <c r="E2169" i="11"/>
  <c r="C2169" i="11"/>
  <c r="B2169" i="11"/>
  <c r="A2169" i="11"/>
  <c r="D2168" i="11"/>
  <c r="AG2168" i="11"/>
  <c r="AH2168" i="11"/>
  <c r="N7384" i="9"/>
  <c r="G2168" i="11"/>
  <c r="AF2168" i="11"/>
  <c r="AI2168" i="11"/>
  <c r="P2168" i="11"/>
  <c r="O2168" i="11"/>
  <c r="F2168" i="11"/>
  <c r="E2168" i="11"/>
  <c r="C2168" i="11"/>
  <c r="B2168" i="11"/>
  <c r="A2168" i="11"/>
  <c r="D2167" i="11"/>
  <c r="AG2167" i="11"/>
  <c r="AH2167" i="11"/>
  <c r="N7383" i="9"/>
  <c r="G2167" i="11"/>
  <c r="AF2167" i="11"/>
  <c r="AI2167" i="11"/>
  <c r="P2167" i="11"/>
  <c r="O2167" i="11"/>
  <c r="F2167" i="11"/>
  <c r="E2167" i="11"/>
  <c r="C2167" i="11"/>
  <c r="B2167" i="11"/>
  <c r="A2167" i="11"/>
  <c r="D2166" i="11"/>
  <c r="AG2166" i="11"/>
  <c r="AH2166" i="11"/>
  <c r="N7382" i="9"/>
  <c r="G2166" i="11"/>
  <c r="AF2166" i="11"/>
  <c r="AI2166" i="11"/>
  <c r="P2166" i="11"/>
  <c r="O2166" i="11"/>
  <c r="F2166" i="11"/>
  <c r="E2166" i="11"/>
  <c r="C2166" i="11"/>
  <c r="B2166" i="11"/>
  <c r="A2166" i="11"/>
  <c r="K7381" i="9"/>
  <c r="D2165" i="11"/>
  <c r="AG2165" i="11"/>
  <c r="AH2165" i="11"/>
  <c r="N7381" i="9"/>
  <c r="G2165" i="11"/>
  <c r="AF2165" i="11"/>
  <c r="AI2165" i="11"/>
  <c r="P2165" i="11"/>
  <c r="O2165" i="11"/>
  <c r="F2165" i="11"/>
  <c r="E2165" i="11"/>
  <c r="C2165" i="11"/>
  <c r="B2165" i="11"/>
  <c r="A2165" i="11"/>
  <c r="I7380" i="9"/>
  <c r="K7380" i="9"/>
  <c r="D2164" i="11"/>
  <c r="AG2164" i="11"/>
  <c r="AH2164" i="11"/>
  <c r="N7380" i="9"/>
  <c r="G2164" i="11"/>
  <c r="AF2164" i="11"/>
  <c r="AI2164" i="11"/>
  <c r="P2164" i="11"/>
  <c r="O2164" i="11"/>
  <c r="F2164" i="11"/>
  <c r="E2164" i="11"/>
  <c r="C2164" i="11"/>
  <c r="B2164" i="11"/>
  <c r="A2164" i="11"/>
  <c r="D2163" i="11"/>
  <c r="AG2163" i="11"/>
  <c r="AH2163" i="11"/>
  <c r="N7379" i="9"/>
  <c r="G2163" i="11"/>
  <c r="AF2163" i="11"/>
  <c r="AI2163" i="11"/>
  <c r="P2163" i="11"/>
  <c r="O2163" i="11"/>
  <c r="F2163" i="11"/>
  <c r="E2163" i="11"/>
  <c r="C2163" i="11"/>
  <c r="B2163" i="11"/>
  <c r="A2163" i="11"/>
  <c r="I7378" i="9"/>
  <c r="K7378" i="9"/>
  <c r="D2162" i="11"/>
  <c r="AG2162" i="11"/>
  <c r="AH2162" i="11"/>
  <c r="N7378" i="9"/>
  <c r="G2162" i="11"/>
  <c r="AF2162" i="11"/>
  <c r="AI2162" i="11"/>
  <c r="P2162" i="11"/>
  <c r="O2162" i="11"/>
  <c r="F2162" i="11"/>
  <c r="E2162" i="11"/>
  <c r="C2162" i="11"/>
  <c r="B2162" i="11"/>
  <c r="A2162" i="11"/>
  <c r="I7377" i="9"/>
  <c r="K7377" i="9"/>
  <c r="D2161" i="11"/>
  <c r="AG2161" i="11"/>
  <c r="AH2161" i="11"/>
  <c r="N7377" i="9"/>
  <c r="G2161" i="11"/>
  <c r="AF2161" i="11"/>
  <c r="AI2161" i="11"/>
  <c r="P2161" i="11"/>
  <c r="O2161" i="11"/>
  <c r="F2161" i="11"/>
  <c r="E2161" i="11"/>
  <c r="C2161" i="11"/>
  <c r="B2161" i="11"/>
  <c r="A2161" i="11"/>
  <c r="D2160" i="11"/>
  <c r="AG2160" i="11"/>
  <c r="AH2160" i="11"/>
  <c r="N7376" i="9"/>
  <c r="G2160" i="11"/>
  <c r="AF2160" i="11"/>
  <c r="AI2160" i="11"/>
  <c r="P2160" i="11"/>
  <c r="O2160" i="11"/>
  <c r="F2160" i="11"/>
  <c r="E2160" i="11"/>
  <c r="C2160" i="11"/>
  <c r="B2160" i="11"/>
  <c r="A2160" i="11"/>
  <c r="O7384" i="9"/>
  <c r="O7391" i="9"/>
  <c r="O7389" i="9"/>
  <c r="O7390" i="9"/>
  <c r="O7385" i="9"/>
  <c r="O7386" i="9"/>
  <c r="O7387" i="9"/>
  <c r="O7388" i="9"/>
  <c r="I7041" i="9"/>
  <c r="K7041" i="9"/>
  <c r="N7041" i="9"/>
  <c r="O7041" i="9"/>
  <c r="J7042" i="9"/>
  <c r="K7042" i="9"/>
  <c r="N7042" i="9"/>
  <c r="O7042" i="9"/>
  <c r="J7043" i="9"/>
  <c r="K7043" i="9"/>
  <c r="N7043" i="9"/>
  <c r="O7043" i="9"/>
  <c r="J7044" i="9"/>
  <c r="K7044" i="9"/>
  <c r="N7044" i="9"/>
  <c r="O7044" i="9"/>
  <c r="N7045" i="9"/>
  <c r="O7045" i="9"/>
  <c r="J7046" i="9"/>
  <c r="K7046" i="9"/>
  <c r="N7046" i="9"/>
  <c r="O7046" i="9"/>
  <c r="J7047" i="9"/>
  <c r="K7047" i="9"/>
  <c r="N7047" i="9"/>
  <c r="O7047" i="9"/>
  <c r="I7048" i="9"/>
  <c r="J7048" i="9"/>
  <c r="K7048" i="9"/>
  <c r="N7048" i="9"/>
  <c r="O7048" i="9"/>
  <c r="I7049" i="9"/>
  <c r="J7049" i="9"/>
  <c r="K7049" i="9"/>
  <c r="N7049" i="9"/>
  <c r="O7049" i="9"/>
  <c r="I7050" i="9"/>
  <c r="K7050" i="9"/>
  <c r="N7050" i="9"/>
  <c r="O7050" i="9"/>
  <c r="I7051" i="9"/>
  <c r="K7051" i="9"/>
  <c r="N7051" i="9"/>
  <c r="O7051" i="9"/>
  <c r="K7052" i="9"/>
  <c r="N7052" i="9"/>
  <c r="O7052" i="9"/>
  <c r="N7053" i="9"/>
  <c r="O7053" i="9"/>
  <c r="N7054" i="9"/>
  <c r="O7054" i="9"/>
  <c r="N7055" i="9"/>
  <c r="O7055" i="9"/>
  <c r="O7056" i="9"/>
  <c r="K7057" i="9"/>
  <c r="N7057" i="9"/>
  <c r="O7057" i="9"/>
  <c r="I7058" i="9"/>
  <c r="J7058" i="9"/>
  <c r="K7058" i="9"/>
  <c r="N7058" i="9"/>
  <c r="O7058" i="9"/>
  <c r="I7059" i="9"/>
  <c r="J7059" i="9"/>
  <c r="K7059" i="9"/>
  <c r="N7059" i="9"/>
  <c r="O7059" i="9"/>
  <c r="I7060" i="9"/>
  <c r="J7060" i="9"/>
  <c r="K7060" i="9"/>
  <c r="N7060" i="9"/>
  <c r="O7060" i="9"/>
  <c r="I7061" i="9"/>
  <c r="K7061" i="9"/>
  <c r="N7061" i="9"/>
  <c r="O7061" i="9"/>
  <c r="N7062" i="9"/>
  <c r="O7062" i="9"/>
  <c r="I7063" i="9"/>
  <c r="K7063" i="9"/>
  <c r="N7063" i="9"/>
  <c r="O7063" i="9"/>
  <c r="N7064" i="9"/>
  <c r="O7064" i="9"/>
  <c r="I7065" i="9"/>
  <c r="K7065" i="9"/>
  <c r="N7065" i="9"/>
  <c r="O7065" i="9"/>
  <c r="I7066" i="9"/>
  <c r="K7066" i="9"/>
  <c r="N7066" i="9"/>
  <c r="O7066" i="9"/>
  <c r="I7067" i="9"/>
  <c r="K7067" i="9"/>
  <c r="N7067" i="9"/>
  <c r="O7067" i="9"/>
  <c r="N7068" i="9"/>
  <c r="O7068" i="9"/>
  <c r="I7069" i="9"/>
  <c r="K7069" i="9"/>
  <c r="N7069" i="9"/>
  <c r="O7069" i="9"/>
  <c r="I7070" i="9"/>
  <c r="J7070" i="9"/>
  <c r="K7070" i="9"/>
  <c r="N7070" i="9"/>
  <c r="O7070" i="9"/>
  <c r="K7071" i="9"/>
  <c r="N7071" i="9"/>
  <c r="O7071" i="9"/>
  <c r="J7072" i="9"/>
  <c r="K7072" i="9"/>
  <c r="N7072" i="9"/>
  <c r="O7072" i="9"/>
  <c r="J7073" i="9"/>
  <c r="K7073" i="9"/>
  <c r="N7073" i="9"/>
  <c r="O7073" i="9"/>
  <c r="N7074" i="9"/>
  <c r="O7074" i="9"/>
  <c r="J7075" i="9"/>
  <c r="K7075" i="9"/>
  <c r="N7075" i="9"/>
  <c r="O7075" i="9"/>
  <c r="N7076" i="9"/>
  <c r="O7076" i="9"/>
  <c r="I7077" i="9"/>
  <c r="K7077" i="9"/>
  <c r="N7077" i="9"/>
  <c r="O7077" i="9"/>
  <c r="K7078" i="9"/>
  <c r="N7078" i="9"/>
  <c r="O7078" i="9"/>
  <c r="O7079" i="9"/>
  <c r="I7080" i="9"/>
  <c r="J7080" i="9"/>
  <c r="K7080" i="9"/>
  <c r="N7080" i="9"/>
  <c r="O7080" i="9"/>
  <c r="K7081" i="9"/>
  <c r="N7081" i="9"/>
  <c r="O7081" i="9"/>
  <c r="N7082" i="9"/>
  <c r="O7082" i="9"/>
  <c r="N7083" i="9"/>
  <c r="O7083" i="9"/>
  <c r="J7084" i="9"/>
  <c r="K7084" i="9"/>
  <c r="N7084" i="9"/>
  <c r="O7084" i="9"/>
  <c r="J7085" i="9"/>
  <c r="K7085" i="9"/>
  <c r="N7085" i="9"/>
  <c r="O7085" i="9"/>
  <c r="I7086" i="9"/>
  <c r="J7086" i="9"/>
  <c r="K7086" i="9"/>
  <c r="N7086" i="9"/>
  <c r="O7086" i="9"/>
  <c r="I7087" i="9"/>
  <c r="J7087" i="9"/>
  <c r="K7087" i="9"/>
  <c r="N7087" i="9"/>
  <c r="O7087" i="9"/>
  <c r="I7088" i="9"/>
  <c r="J7088" i="9"/>
  <c r="K7088" i="9"/>
  <c r="N7088" i="9"/>
  <c r="O7088" i="9"/>
  <c r="I7089" i="9"/>
  <c r="J7089" i="9"/>
  <c r="K7089" i="9"/>
  <c r="N7089" i="9"/>
  <c r="O7089" i="9"/>
  <c r="I7090" i="9"/>
  <c r="J7090" i="9"/>
  <c r="K7090" i="9"/>
  <c r="N7090" i="9"/>
  <c r="O7090" i="9"/>
  <c r="I7091" i="9"/>
  <c r="J7091" i="9"/>
  <c r="K7091" i="9"/>
  <c r="N7091" i="9"/>
  <c r="O7091" i="9"/>
  <c r="I7092" i="9"/>
  <c r="J7092" i="9"/>
  <c r="K7092" i="9"/>
  <c r="N7092" i="9"/>
  <c r="O7092" i="9"/>
  <c r="I7093" i="9"/>
  <c r="J7093" i="9"/>
  <c r="K7093" i="9"/>
  <c r="N7093" i="9"/>
  <c r="O7093" i="9"/>
  <c r="I7094" i="9"/>
  <c r="J7094" i="9"/>
  <c r="K7094" i="9"/>
  <c r="N7094" i="9"/>
  <c r="O7094" i="9"/>
  <c r="I7095" i="9"/>
  <c r="J7095" i="9"/>
  <c r="K7095" i="9"/>
  <c r="N7095" i="9"/>
  <c r="O7095" i="9"/>
  <c r="I7096" i="9"/>
  <c r="J7096" i="9"/>
  <c r="K7096" i="9"/>
  <c r="N7096" i="9"/>
  <c r="O7096" i="9"/>
  <c r="I7097" i="9"/>
  <c r="J7097" i="9"/>
  <c r="K7097" i="9"/>
  <c r="N7097" i="9"/>
  <c r="O7097" i="9"/>
  <c r="I7098" i="9"/>
  <c r="J7098" i="9"/>
  <c r="K7098" i="9"/>
  <c r="N7098" i="9"/>
  <c r="O7098" i="9"/>
  <c r="I7099" i="9"/>
  <c r="J7099" i="9"/>
  <c r="K7099" i="9"/>
  <c r="N7099" i="9"/>
  <c r="O7099" i="9"/>
  <c r="I7100" i="9"/>
  <c r="J7100" i="9"/>
  <c r="K7100" i="9"/>
  <c r="N7100" i="9"/>
  <c r="O7100" i="9"/>
  <c r="I7101" i="9"/>
  <c r="K7101" i="9"/>
  <c r="N7101" i="9"/>
  <c r="O7101" i="9"/>
  <c r="I7102" i="9"/>
  <c r="K7102" i="9"/>
  <c r="N7102" i="9"/>
  <c r="O7102" i="9"/>
  <c r="I7103" i="9"/>
  <c r="K7103" i="9"/>
  <c r="N7103" i="9"/>
  <c r="O7103" i="9"/>
  <c r="I7104" i="9"/>
  <c r="K7104" i="9"/>
  <c r="N7104" i="9"/>
  <c r="O7104" i="9"/>
  <c r="N7105" i="9"/>
  <c r="O7105" i="9"/>
  <c r="I7106" i="9"/>
  <c r="K7106" i="9"/>
  <c r="N7106" i="9"/>
  <c r="O7106" i="9"/>
  <c r="I7107" i="9"/>
  <c r="K7107" i="9"/>
  <c r="N7107" i="9"/>
  <c r="O7107" i="9"/>
  <c r="N7108" i="9"/>
  <c r="O7108" i="9"/>
  <c r="I7109" i="9"/>
  <c r="K7109" i="9"/>
  <c r="N7109" i="9"/>
  <c r="O7109" i="9"/>
  <c r="I7110" i="9"/>
  <c r="K7110" i="9"/>
  <c r="N7110" i="9"/>
  <c r="O7110" i="9"/>
  <c r="I7111" i="9"/>
  <c r="K7111" i="9"/>
  <c r="N7111" i="9"/>
  <c r="O7111" i="9"/>
  <c r="I7112" i="9"/>
  <c r="K7112" i="9"/>
  <c r="N7112" i="9"/>
  <c r="O7112" i="9"/>
  <c r="I7113" i="9"/>
  <c r="K7113" i="9"/>
  <c r="N7113" i="9"/>
  <c r="O7113" i="9"/>
  <c r="N7114" i="9"/>
  <c r="O7114" i="9"/>
  <c r="I7115" i="9"/>
  <c r="K7115" i="9"/>
  <c r="N7115" i="9"/>
  <c r="O7115" i="9"/>
  <c r="I7116" i="9"/>
  <c r="K7116" i="9"/>
  <c r="N7116" i="9"/>
  <c r="O7116" i="9"/>
  <c r="N7117" i="9"/>
  <c r="O7117" i="9"/>
  <c r="I7118" i="9"/>
  <c r="K7118" i="9"/>
  <c r="N7118" i="9"/>
  <c r="O7118" i="9"/>
  <c r="I7119" i="9"/>
  <c r="K7119" i="9"/>
  <c r="N7119" i="9"/>
  <c r="O7119" i="9"/>
  <c r="I7120" i="9"/>
  <c r="K7120" i="9"/>
  <c r="N7120" i="9"/>
  <c r="O7120" i="9"/>
  <c r="I7121" i="9"/>
  <c r="K7121" i="9"/>
  <c r="N7121" i="9"/>
  <c r="O7121" i="9"/>
  <c r="I7122" i="9"/>
  <c r="K7122" i="9"/>
  <c r="N7122" i="9"/>
  <c r="O7122" i="9"/>
  <c r="I7123" i="9"/>
  <c r="K7123" i="9"/>
  <c r="N7123" i="9"/>
  <c r="O7123" i="9"/>
  <c r="N7124" i="9"/>
  <c r="O7124" i="9"/>
  <c r="I7125" i="9"/>
  <c r="K7125" i="9"/>
  <c r="N7125" i="9"/>
  <c r="O7125" i="9"/>
  <c r="N7126" i="9"/>
  <c r="O7126" i="9"/>
  <c r="I7127" i="9"/>
  <c r="K7127" i="9"/>
  <c r="N7127" i="9"/>
  <c r="O7127" i="9"/>
  <c r="I7128" i="9"/>
  <c r="K7128" i="9"/>
  <c r="N7128" i="9"/>
  <c r="O7128" i="9"/>
  <c r="I7129" i="9"/>
  <c r="J7129" i="9"/>
  <c r="K7129" i="9"/>
  <c r="N7129" i="9"/>
  <c r="O7129" i="9"/>
  <c r="J7130" i="9"/>
  <c r="K7130" i="9"/>
  <c r="N7130" i="9"/>
  <c r="O7130" i="9"/>
  <c r="N7131" i="9"/>
  <c r="O7131" i="9"/>
  <c r="N7132" i="9"/>
  <c r="O7132" i="9"/>
  <c r="J7133" i="9"/>
  <c r="K7133" i="9"/>
  <c r="N7133" i="9"/>
  <c r="O7133" i="9"/>
  <c r="J7134" i="9"/>
  <c r="K7134" i="9"/>
  <c r="N7134" i="9"/>
  <c r="O7134" i="9"/>
  <c r="K7135" i="9"/>
  <c r="N7135" i="9"/>
  <c r="O7135" i="9"/>
  <c r="J7136" i="9"/>
  <c r="K7136" i="9"/>
  <c r="N7136" i="9"/>
  <c r="O7136" i="9"/>
  <c r="J7137" i="9"/>
  <c r="K7137" i="9"/>
  <c r="N7137" i="9"/>
  <c r="O7137" i="9"/>
  <c r="N7138" i="9"/>
  <c r="O7138" i="9"/>
  <c r="J7139" i="9"/>
  <c r="K7139" i="9"/>
  <c r="N7139" i="9"/>
  <c r="O7139" i="9"/>
  <c r="I7140" i="9"/>
  <c r="J7140" i="9"/>
  <c r="K7140" i="9"/>
  <c r="N7140" i="9"/>
  <c r="O7140" i="9"/>
  <c r="I7141" i="9"/>
  <c r="J7141" i="9"/>
  <c r="K7141" i="9"/>
  <c r="N7141" i="9"/>
  <c r="O7141" i="9"/>
  <c r="I7142" i="9"/>
  <c r="J7142" i="9"/>
  <c r="K7142" i="9"/>
  <c r="N7142" i="9"/>
  <c r="O7142" i="9"/>
  <c r="I7143" i="9"/>
  <c r="J7143" i="9"/>
  <c r="K7143" i="9"/>
  <c r="N7143" i="9"/>
  <c r="O7143" i="9"/>
  <c r="I7144" i="9"/>
  <c r="J7144" i="9"/>
  <c r="K7144" i="9"/>
  <c r="N7144" i="9"/>
  <c r="O7144" i="9"/>
  <c r="I7145" i="9"/>
  <c r="J7145" i="9"/>
  <c r="K7145" i="9"/>
  <c r="N7145" i="9"/>
  <c r="O7145" i="9"/>
  <c r="I7146" i="9"/>
  <c r="J7146" i="9"/>
  <c r="K7146" i="9"/>
  <c r="N7146" i="9"/>
  <c r="O7146" i="9"/>
  <c r="I7147" i="9"/>
  <c r="J7147" i="9"/>
  <c r="K7147" i="9"/>
  <c r="N7147" i="9"/>
  <c r="O7147" i="9"/>
  <c r="I7148" i="9"/>
  <c r="J7148" i="9"/>
  <c r="K7148" i="9"/>
  <c r="N7148" i="9"/>
  <c r="O7148" i="9"/>
  <c r="I7149" i="9"/>
  <c r="J7149" i="9"/>
  <c r="K7149" i="9"/>
  <c r="N7149" i="9"/>
  <c r="O7149" i="9"/>
  <c r="I7150" i="9"/>
  <c r="J7150" i="9"/>
  <c r="K7150" i="9"/>
  <c r="N7150" i="9"/>
  <c r="O7150" i="9"/>
  <c r="I7151" i="9"/>
  <c r="J7151" i="9"/>
  <c r="K7151" i="9"/>
  <c r="N7151" i="9"/>
  <c r="O7151" i="9"/>
  <c r="I7152" i="9"/>
  <c r="K7152" i="9"/>
  <c r="N7152" i="9"/>
  <c r="O7152" i="9"/>
  <c r="I7153" i="9"/>
  <c r="K7153" i="9"/>
  <c r="N7153" i="9"/>
  <c r="O7153" i="9"/>
  <c r="I7154" i="9"/>
  <c r="K7154" i="9"/>
  <c r="N7154" i="9"/>
  <c r="O7154" i="9"/>
  <c r="I7155" i="9"/>
  <c r="J7155" i="9"/>
  <c r="K7155" i="9"/>
  <c r="N7155" i="9"/>
  <c r="O7155" i="9"/>
  <c r="K7156" i="9"/>
  <c r="N7156" i="9"/>
  <c r="O7156" i="9"/>
  <c r="J7157" i="9"/>
  <c r="K7157" i="9"/>
  <c r="N7157" i="9"/>
  <c r="O7157" i="9"/>
  <c r="N7158" i="9"/>
  <c r="O7158" i="9"/>
  <c r="N7159" i="9"/>
  <c r="O7159" i="9"/>
  <c r="N7160" i="9"/>
  <c r="O7160" i="9"/>
  <c r="N7161" i="9"/>
  <c r="O7161" i="9"/>
  <c r="N7162" i="9"/>
  <c r="O7162" i="9"/>
  <c r="N7163" i="9"/>
  <c r="O7163" i="9"/>
  <c r="J7164" i="9"/>
  <c r="K7164" i="9"/>
  <c r="N7164" i="9"/>
  <c r="O7164" i="9"/>
  <c r="J7165" i="9"/>
  <c r="K7165" i="9"/>
  <c r="N7165" i="9"/>
  <c r="O7165" i="9"/>
  <c r="J7166" i="9"/>
  <c r="K7166" i="9"/>
  <c r="N7166" i="9"/>
  <c r="O7166" i="9"/>
  <c r="K7167" i="9"/>
  <c r="N7167" i="9"/>
  <c r="O7167" i="9"/>
  <c r="J7168" i="9"/>
  <c r="K7168" i="9"/>
  <c r="N7168" i="9"/>
  <c r="O7168" i="9"/>
  <c r="N7169" i="9"/>
  <c r="O7169" i="9"/>
  <c r="I7170" i="9"/>
  <c r="J7170" i="9"/>
  <c r="K7170" i="9"/>
  <c r="N7170" i="9"/>
  <c r="O7170" i="9"/>
  <c r="I7171" i="9"/>
  <c r="K7171" i="9"/>
  <c r="N7171" i="9"/>
  <c r="O7171" i="9"/>
  <c r="I7172" i="9"/>
  <c r="K7172" i="9"/>
  <c r="N7172" i="9"/>
  <c r="O7172" i="9"/>
  <c r="I7173" i="9"/>
  <c r="J7173" i="9"/>
  <c r="K7173" i="9"/>
  <c r="N7173" i="9"/>
  <c r="O7173" i="9"/>
  <c r="J7174" i="9"/>
  <c r="K7174" i="9"/>
  <c r="N7174" i="9"/>
  <c r="O7174" i="9"/>
  <c r="J7175" i="9"/>
  <c r="K7175" i="9"/>
  <c r="M7175" i="9"/>
  <c r="N7175" i="9"/>
  <c r="O7175" i="9"/>
  <c r="N7176" i="9"/>
  <c r="O7176" i="9"/>
  <c r="K7177" i="9"/>
  <c r="N7177" i="9"/>
  <c r="O7177" i="9"/>
  <c r="N7178" i="9"/>
  <c r="O7178" i="9"/>
  <c r="I7179" i="9"/>
  <c r="J7179" i="9"/>
  <c r="K7179" i="9"/>
  <c r="N7179" i="9"/>
  <c r="O7179" i="9"/>
  <c r="I7180" i="9"/>
  <c r="J7180" i="9"/>
  <c r="K7180" i="9"/>
  <c r="N7180" i="9"/>
  <c r="O7180" i="9"/>
  <c r="I7181" i="9"/>
  <c r="J7181" i="9"/>
  <c r="K7181" i="9"/>
  <c r="N7181" i="9"/>
  <c r="O7181" i="9"/>
  <c r="I7182" i="9"/>
  <c r="J7182" i="9"/>
  <c r="K7182" i="9"/>
  <c r="N7182" i="9"/>
  <c r="O7182" i="9"/>
  <c r="I7183" i="9"/>
  <c r="J7183" i="9"/>
  <c r="K7183" i="9"/>
  <c r="N7183" i="9"/>
  <c r="O7183" i="9"/>
  <c r="I7184" i="9"/>
  <c r="K7184" i="9"/>
  <c r="N7184" i="9"/>
  <c r="O7184" i="9"/>
  <c r="I7185" i="9"/>
  <c r="K7185" i="9"/>
  <c r="N7185" i="9"/>
  <c r="O7185" i="9"/>
  <c r="I7186" i="9"/>
  <c r="K7186" i="9"/>
  <c r="N7186" i="9"/>
  <c r="O7186" i="9"/>
  <c r="J7187" i="9"/>
  <c r="K7187" i="9"/>
  <c r="N7187" i="9"/>
  <c r="O7187" i="9"/>
  <c r="J7188" i="9"/>
  <c r="K7188" i="9"/>
  <c r="N7188" i="9"/>
  <c r="O7188" i="9"/>
  <c r="J7189" i="9"/>
  <c r="K7189" i="9"/>
  <c r="N7189" i="9"/>
  <c r="O7189" i="9"/>
  <c r="J7190" i="9"/>
  <c r="K7190" i="9"/>
  <c r="N7190" i="9"/>
  <c r="O7190" i="9"/>
  <c r="J7191" i="9"/>
  <c r="K7191" i="9"/>
  <c r="N7191" i="9"/>
  <c r="O7191" i="9"/>
  <c r="J7192" i="9"/>
  <c r="K7192" i="9"/>
  <c r="N7192" i="9"/>
  <c r="O7192" i="9"/>
  <c r="J7193" i="9"/>
  <c r="K7193" i="9"/>
  <c r="M7193" i="9"/>
  <c r="N7193" i="9"/>
  <c r="O7193" i="9"/>
  <c r="I7194" i="9"/>
  <c r="J7194" i="9"/>
  <c r="K7194" i="9"/>
  <c r="N7194" i="9"/>
  <c r="O7194" i="9"/>
  <c r="I7195" i="9"/>
  <c r="K7195" i="9"/>
  <c r="N7195" i="9"/>
  <c r="O7195" i="9"/>
  <c r="I7196" i="9"/>
  <c r="J7196" i="9"/>
  <c r="K7196" i="9"/>
  <c r="N7196" i="9"/>
  <c r="O7196" i="9"/>
  <c r="J7197" i="9"/>
  <c r="K7197" i="9"/>
  <c r="N7197" i="9"/>
  <c r="O7197" i="9"/>
  <c r="J7198" i="9"/>
  <c r="K7198" i="9"/>
  <c r="N7198" i="9"/>
  <c r="O7198" i="9"/>
  <c r="J7199" i="9"/>
  <c r="K7199" i="9"/>
  <c r="N7199" i="9"/>
  <c r="O7199" i="9"/>
  <c r="N7200" i="9"/>
  <c r="O7200" i="9"/>
  <c r="N7201" i="9"/>
  <c r="O7201" i="9"/>
  <c r="I7202" i="9"/>
  <c r="K7202" i="9"/>
  <c r="N7202" i="9"/>
  <c r="O7202" i="9"/>
  <c r="I7203" i="9"/>
  <c r="J7203" i="9"/>
  <c r="K7203" i="9"/>
  <c r="N7203" i="9"/>
  <c r="O7203" i="9"/>
  <c r="I7204" i="9"/>
  <c r="J7204" i="9"/>
  <c r="K7204" i="9"/>
  <c r="N7204" i="9"/>
  <c r="O7204" i="9"/>
  <c r="I7205" i="9"/>
  <c r="J7205" i="9"/>
  <c r="K7205" i="9"/>
  <c r="N7205" i="9"/>
  <c r="O7205" i="9"/>
  <c r="I7206" i="9"/>
  <c r="J7206" i="9"/>
  <c r="K7206" i="9"/>
  <c r="N7206" i="9"/>
  <c r="O7206" i="9"/>
  <c r="I7207" i="9"/>
  <c r="J7207" i="9"/>
  <c r="K7207" i="9"/>
  <c r="N7207" i="9"/>
  <c r="O7207" i="9"/>
  <c r="I7208" i="9"/>
  <c r="J7208" i="9"/>
  <c r="K7208" i="9"/>
  <c r="N7208" i="9"/>
  <c r="O7208" i="9"/>
  <c r="I7209" i="9"/>
  <c r="J7209" i="9"/>
  <c r="K7209" i="9"/>
  <c r="N7209" i="9"/>
  <c r="O7209" i="9"/>
  <c r="I7210" i="9"/>
  <c r="K7210" i="9"/>
  <c r="N7210" i="9"/>
  <c r="O7210" i="9"/>
  <c r="I7211" i="9"/>
  <c r="K7211" i="9"/>
  <c r="N7211" i="9"/>
  <c r="O7211" i="9"/>
  <c r="K7212" i="9"/>
  <c r="N7212" i="9"/>
  <c r="O7212" i="9"/>
  <c r="N7213" i="9"/>
  <c r="O7213" i="9"/>
  <c r="N7214" i="9"/>
  <c r="O7214" i="9"/>
  <c r="N7215" i="9"/>
  <c r="O7215" i="9"/>
  <c r="J7216" i="9"/>
  <c r="K7216" i="9"/>
  <c r="N7216" i="9"/>
  <c r="O7216" i="9"/>
  <c r="I7217" i="9"/>
  <c r="J7217" i="9"/>
  <c r="K7217" i="9"/>
  <c r="N7217" i="9"/>
  <c r="O7217" i="9"/>
  <c r="J7218" i="9"/>
  <c r="K7218" i="9"/>
  <c r="M7218" i="9"/>
  <c r="N7218" i="9"/>
  <c r="O7218" i="9"/>
  <c r="I7219" i="9"/>
  <c r="J7219" i="9"/>
  <c r="K7219" i="9"/>
  <c r="N7219" i="9"/>
  <c r="O7219" i="9"/>
  <c r="J7220" i="9"/>
  <c r="K7220" i="9"/>
  <c r="N7220" i="9"/>
  <c r="O7220" i="9"/>
  <c r="I7221" i="9"/>
  <c r="K7221" i="9"/>
  <c r="N7221" i="9"/>
  <c r="O7221" i="9"/>
  <c r="I7222" i="9"/>
  <c r="K7222" i="9"/>
  <c r="N7222" i="9"/>
  <c r="O7222" i="9"/>
  <c r="N7223" i="9"/>
  <c r="O7223" i="9"/>
  <c r="I7224" i="9"/>
  <c r="K7224" i="9"/>
  <c r="N7224" i="9"/>
  <c r="O7224" i="9"/>
  <c r="J7225" i="9"/>
  <c r="K7225" i="9"/>
  <c r="N7225" i="9"/>
  <c r="O7225" i="9"/>
  <c r="N7226" i="9"/>
  <c r="O7226" i="9"/>
  <c r="N7227" i="9"/>
  <c r="O7227" i="9"/>
  <c r="I7228" i="9"/>
  <c r="J7228" i="9"/>
  <c r="K7228" i="9"/>
  <c r="N7228" i="9"/>
  <c r="O7228" i="9"/>
  <c r="I7229" i="9"/>
  <c r="J7229" i="9"/>
  <c r="K7229" i="9"/>
  <c r="N7229" i="9"/>
  <c r="O7229" i="9"/>
  <c r="I7230" i="9"/>
  <c r="J7230" i="9"/>
  <c r="K7230" i="9"/>
  <c r="N7230" i="9"/>
  <c r="O7230" i="9"/>
  <c r="I7231" i="9"/>
  <c r="J7231" i="9"/>
  <c r="K7231" i="9"/>
  <c r="N7231" i="9"/>
  <c r="O7231" i="9"/>
  <c r="J7232" i="9"/>
  <c r="K7232" i="9"/>
  <c r="N7232" i="9"/>
  <c r="O7232" i="9"/>
  <c r="I7233" i="9"/>
  <c r="J7233" i="9"/>
  <c r="K7233" i="9"/>
  <c r="N7233" i="9"/>
  <c r="O7233" i="9"/>
  <c r="I7234" i="9"/>
  <c r="J7234" i="9"/>
  <c r="K7234" i="9"/>
  <c r="N7234" i="9"/>
  <c r="O7234" i="9"/>
  <c r="I7235" i="9"/>
  <c r="J7235" i="9"/>
  <c r="K7235" i="9"/>
  <c r="N7235" i="9"/>
  <c r="O7235" i="9"/>
  <c r="I7236" i="9"/>
  <c r="K7236" i="9"/>
  <c r="N7236" i="9"/>
  <c r="O7236" i="9"/>
  <c r="I7237" i="9"/>
  <c r="K7237" i="9"/>
  <c r="N7237" i="9"/>
  <c r="O7237" i="9"/>
  <c r="I7238" i="9"/>
  <c r="J7238" i="9"/>
  <c r="K7238" i="9"/>
  <c r="M7238" i="9"/>
  <c r="N7238" i="9"/>
  <c r="O7238" i="9"/>
  <c r="I7239" i="9"/>
  <c r="J7239" i="9"/>
  <c r="K7239" i="9"/>
  <c r="N7239" i="9"/>
  <c r="O7239" i="9"/>
  <c r="I7240" i="9"/>
  <c r="K7240" i="9"/>
  <c r="N7240" i="9"/>
  <c r="O7240" i="9"/>
  <c r="J7241" i="9"/>
  <c r="K7241" i="9"/>
  <c r="N7241" i="9"/>
  <c r="O7241" i="9"/>
  <c r="N7242" i="9"/>
  <c r="O7242" i="9"/>
  <c r="I7243" i="9"/>
  <c r="J7243" i="9"/>
  <c r="K7243" i="9"/>
  <c r="N7243" i="9"/>
  <c r="O7243" i="9"/>
  <c r="J7244" i="9"/>
  <c r="K7244" i="9"/>
  <c r="N7244" i="9"/>
  <c r="O7244" i="9"/>
  <c r="J7245" i="9"/>
  <c r="K7245" i="9"/>
  <c r="N7245" i="9"/>
  <c r="O7245" i="9"/>
  <c r="J7246" i="9"/>
  <c r="K7246" i="9"/>
  <c r="N7246" i="9"/>
  <c r="O7246" i="9"/>
  <c r="J7247" i="9"/>
  <c r="K7247" i="9"/>
  <c r="N7247" i="9"/>
  <c r="O7247" i="9"/>
  <c r="J7248" i="9"/>
  <c r="K7248" i="9"/>
  <c r="N7248" i="9"/>
  <c r="O7248" i="9"/>
  <c r="I7249" i="9"/>
  <c r="J7249" i="9"/>
  <c r="K7249" i="9"/>
  <c r="N7249" i="9"/>
  <c r="O7249" i="9"/>
  <c r="I7250" i="9"/>
  <c r="J7250" i="9"/>
  <c r="K7250" i="9"/>
  <c r="N7250" i="9"/>
  <c r="O7250" i="9"/>
  <c r="I7251" i="9"/>
  <c r="J7251" i="9"/>
  <c r="K7251" i="9"/>
  <c r="N7251" i="9"/>
  <c r="O7251" i="9"/>
  <c r="I7252" i="9"/>
  <c r="J7252" i="9"/>
  <c r="K7252" i="9"/>
  <c r="N7252" i="9"/>
  <c r="O7252" i="9"/>
  <c r="I7253" i="9"/>
  <c r="J7253" i="9"/>
  <c r="K7253" i="9"/>
  <c r="N7253" i="9"/>
  <c r="O7253" i="9"/>
  <c r="I7254" i="9"/>
  <c r="J7254" i="9"/>
  <c r="K7254" i="9"/>
  <c r="N7254" i="9"/>
  <c r="O7254" i="9"/>
  <c r="I7255" i="9"/>
  <c r="J7255" i="9"/>
  <c r="K7255" i="9"/>
  <c r="N7255" i="9"/>
  <c r="O7255" i="9"/>
  <c r="I7256" i="9"/>
  <c r="J7256" i="9"/>
  <c r="K7256" i="9"/>
  <c r="N7256" i="9"/>
  <c r="O7256" i="9"/>
  <c r="I7257" i="9"/>
  <c r="J7257" i="9"/>
  <c r="K7257" i="9"/>
  <c r="N7257" i="9"/>
  <c r="O7257" i="9"/>
  <c r="I7258" i="9"/>
  <c r="J7258" i="9"/>
  <c r="K7258" i="9"/>
  <c r="N7258" i="9"/>
  <c r="O7258" i="9"/>
  <c r="I7259" i="9"/>
  <c r="J7259" i="9"/>
  <c r="K7259" i="9"/>
  <c r="N7259" i="9"/>
  <c r="O7259" i="9"/>
  <c r="I7260" i="9"/>
  <c r="J7260" i="9"/>
  <c r="K7260" i="9"/>
  <c r="M7260" i="9"/>
  <c r="N7260" i="9"/>
  <c r="O7260" i="9"/>
  <c r="I7261" i="9"/>
  <c r="J7261" i="9"/>
  <c r="K7261" i="9"/>
  <c r="N7261" i="9"/>
  <c r="O7261" i="9"/>
  <c r="I7262" i="9"/>
  <c r="K7262" i="9"/>
  <c r="N7262" i="9"/>
  <c r="O7262" i="9"/>
  <c r="I7263" i="9"/>
  <c r="K7263" i="9"/>
  <c r="N7263" i="9"/>
  <c r="O7263" i="9"/>
  <c r="I7264" i="9"/>
  <c r="K7264" i="9"/>
  <c r="N7264" i="9"/>
  <c r="O7264" i="9"/>
  <c r="I7265" i="9"/>
  <c r="K7265" i="9"/>
  <c r="N7265" i="9"/>
  <c r="O7265" i="9"/>
  <c r="I7266" i="9"/>
  <c r="K7266" i="9"/>
  <c r="N7266" i="9"/>
  <c r="O7266" i="9"/>
  <c r="I7267" i="9"/>
  <c r="K7267" i="9"/>
  <c r="N7267" i="9"/>
  <c r="O7267" i="9"/>
  <c r="I7268" i="9"/>
  <c r="K7268" i="9"/>
  <c r="N7268" i="9"/>
  <c r="O7268" i="9"/>
  <c r="I7269" i="9"/>
  <c r="K7269" i="9"/>
  <c r="N7269" i="9"/>
  <c r="O7269" i="9"/>
  <c r="I7270" i="9"/>
  <c r="K7270" i="9"/>
  <c r="N7270" i="9"/>
  <c r="O7270" i="9"/>
  <c r="I7271" i="9"/>
  <c r="K7271" i="9"/>
  <c r="N7271" i="9"/>
  <c r="O7271" i="9"/>
  <c r="I7272" i="9"/>
  <c r="J7272" i="9"/>
  <c r="K7272" i="9"/>
  <c r="N7272" i="9"/>
  <c r="O7272" i="9"/>
  <c r="I7273" i="9"/>
  <c r="K7273" i="9"/>
  <c r="N7273" i="9"/>
  <c r="O7273" i="9"/>
  <c r="I7274" i="9"/>
  <c r="K7274" i="9"/>
  <c r="N7274" i="9"/>
  <c r="O7274" i="9"/>
  <c r="N7275" i="9"/>
  <c r="O7275" i="9"/>
  <c r="K7276" i="9"/>
  <c r="N7276" i="9"/>
  <c r="O7276" i="9"/>
  <c r="N7277" i="9"/>
  <c r="O7277" i="9"/>
  <c r="N7278" i="9"/>
  <c r="O7278" i="9"/>
  <c r="N7279" i="9"/>
  <c r="O7279" i="9"/>
  <c r="N7280" i="9"/>
  <c r="O7280" i="9"/>
  <c r="N7281" i="9"/>
  <c r="O7281" i="9"/>
  <c r="N7282" i="9"/>
  <c r="O7282" i="9"/>
  <c r="J7283" i="9"/>
  <c r="K7283" i="9"/>
  <c r="N7283" i="9"/>
  <c r="O7283" i="9"/>
  <c r="N7284" i="9"/>
  <c r="O7284" i="9"/>
  <c r="I7285" i="9"/>
  <c r="J7285" i="9"/>
  <c r="K7285" i="9"/>
  <c r="N7285" i="9"/>
  <c r="O7285" i="9"/>
  <c r="I7286" i="9"/>
  <c r="J7286" i="9"/>
  <c r="K7286" i="9"/>
  <c r="N7286" i="9"/>
  <c r="O7286" i="9"/>
  <c r="I7287" i="9"/>
  <c r="J7287" i="9"/>
  <c r="K7287" i="9"/>
  <c r="N7287" i="9"/>
  <c r="O7287" i="9"/>
  <c r="I7288" i="9"/>
  <c r="J7288" i="9"/>
  <c r="K7288" i="9"/>
  <c r="N7288" i="9"/>
  <c r="O7288" i="9"/>
  <c r="I7289" i="9"/>
  <c r="J7289" i="9"/>
  <c r="K7289" i="9"/>
  <c r="N7289" i="9"/>
  <c r="O7289" i="9"/>
  <c r="I7290" i="9"/>
  <c r="J7290" i="9"/>
  <c r="K7290" i="9"/>
  <c r="N7290" i="9"/>
  <c r="O7290" i="9"/>
  <c r="I7291" i="9"/>
  <c r="K7291" i="9"/>
  <c r="N7291" i="9"/>
  <c r="O7291" i="9"/>
  <c r="N7292" i="9"/>
  <c r="O7292" i="9"/>
  <c r="I7293" i="9"/>
  <c r="K7293" i="9"/>
  <c r="N7293" i="9"/>
  <c r="O7293" i="9"/>
  <c r="I7294" i="9"/>
  <c r="K7294" i="9"/>
  <c r="N7294" i="9"/>
  <c r="O7294" i="9"/>
  <c r="I7295" i="9"/>
  <c r="J7295" i="9"/>
  <c r="K7295" i="9"/>
  <c r="N7295" i="9"/>
  <c r="O7295" i="9"/>
  <c r="I7296" i="9"/>
  <c r="J7296" i="9"/>
  <c r="K7296" i="9"/>
  <c r="N7296" i="9"/>
  <c r="O7296" i="9"/>
  <c r="J7297" i="9"/>
  <c r="K7297" i="9"/>
  <c r="N7297" i="9"/>
  <c r="O7297" i="9"/>
  <c r="J7298" i="9"/>
  <c r="K7298" i="9"/>
  <c r="N7298" i="9"/>
  <c r="O7298" i="9"/>
  <c r="I7299" i="9"/>
  <c r="K7299" i="9"/>
  <c r="N7299" i="9"/>
  <c r="O7299" i="9"/>
  <c r="I7300" i="9"/>
  <c r="K7300" i="9"/>
  <c r="N7300" i="9"/>
  <c r="O7300" i="9"/>
  <c r="J7301" i="9"/>
  <c r="K7301" i="9"/>
  <c r="N7301" i="9"/>
  <c r="O7301" i="9"/>
  <c r="I7302" i="9"/>
  <c r="J7302" i="9"/>
  <c r="K7302" i="9"/>
  <c r="N7302" i="9"/>
  <c r="O7302" i="9"/>
  <c r="I7303" i="9"/>
  <c r="J7303" i="9"/>
  <c r="K7303" i="9"/>
  <c r="N7303" i="9"/>
  <c r="O7303" i="9"/>
  <c r="I7304" i="9"/>
  <c r="J7304" i="9"/>
  <c r="K7304" i="9"/>
  <c r="N7304" i="9"/>
  <c r="O7304" i="9"/>
  <c r="I7305" i="9"/>
  <c r="J7305" i="9"/>
  <c r="K7305" i="9"/>
  <c r="N7305" i="9"/>
  <c r="O7305" i="9"/>
  <c r="I7306" i="9"/>
  <c r="J7306" i="9"/>
  <c r="K7306" i="9"/>
  <c r="N7306" i="9"/>
  <c r="O7306" i="9"/>
  <c r="I7307" i="9"/>
  <c r="K7307" i="9"/>
  <c r="N7307" i="9"/>
  <c r="O7307" i="9"/>
  <c r="N7308" i="9"/>
  <c r="O7308" i="9"/>
  <c r="I7309" i="9"/>
  <c r="K7309" i="9"/>
  <c r="N7309" i="9"/>
  <c r="O7309" i="9"/>
  <c r="I7310" i="9"/>
  <c r="K7310" i="9"/>
  <c r="N7310" i="9"/>
  <c r="O7310" i="9"/>
  <c r="I7311" i="9"/>
  <c r="K7311" i="9"/>
  <c r="N7311" i="9"/>
  <c r="O7311" i="9"/>
  <c r="K7312" i="9"/>
  <c r="N7312" i="9"/>
  <c r="O7312" i="9"/>
  <c r="K7313" i="9"/>
  <c r="N7313" i="9"/>
  <c r="O7313" i="9"/>
  <c r="J7314" i="9"/>
  <c r="K7314" i="9"/>
  <c r="N7314" i="9"/>
  <c r="O7314" i="9"/>
  <c r="N7315" i="9"/>
  <c r="K7315" i="9"/>
  <c r="O7315" i="9"/>
  <c r="I7316" i="9"/>
  <c r="J7316" i="9"/>
  <c r="K7316" i="9"/>
  <c r="N7316" i="9"/>
  <c r="O7316" i="9"/>
  <c r="I7317" i="9"/>
  <c r="J7317" i="9"/>
  <c r="K7317" i="9"/>
  <c r="N7317" i="9"/>
  <c r="O7317" i="9"/>
  <c r="I7318" i="9"/>
  <c r="J7318" i="9"/>
  <c r="K7318" i="9"/>
  <c r="N7318" i="9"/>
  <c r="O7318" i="9"/>
  <c r="I7319" i="9"/>
  <c r="J7319" i="9"/>
  <c r="K7319" i="9"/>
  <c r="N7319" i="9"/>
  <c r="O7319" i="9"/>
  <c r="I7320" i="9"/>
  <c r="J7320" i="9"/>
  <c r="K7320" i="9"/>
  <c r="N7320" i="9"/>
  <c r="O7320" i="9"/>
  <c r="I7321" i="9"/>
  <c r="J7321" i="9"/>
  <c r="K7321" i="9"/>
  <c r="N7321" i="9"/>
  <c r="O7321" i="9"/>
  <c r="I7322" i="9"/>
  <c r="J7322" i="9"/>
  <c r="K7322" i="9"/>
  <c r="N7322" i="9"/>
  <c r="O7322" i="9"/>
  <c r="I7323" i="9"/>
  <c r="J7323" i="9"/>
  <c r="K7323" i="9"/>
  <c r="N7323" i="9"/>
  <c r="O7323" i="9"/>
  <c r="I7324" i="9"/>
  <c r="J7324" i="9"/>
  <c r="K7324" i="9"/>
  <c r="N7324" i="9"/>
  <c r="O7324" i="9"/>
  <c r="I7325" i="9"/>
  <c r="J7325" i="9"/>
  <c r="K7325" i="9"/>
  <c r="N7325" i="9"/>
  <c r="O7325" i="9"/>
  <c r="N7326" i="9"/>
  <c r="I7326" i="9"/>
  <c r="J7326" i="9"/>
  <c r="K7326" i="9"/>
  <c r="O7326" i="9"/>
  <c r="I7327" i="9"/>
  <c r="J7327" i="9"/>
  <c r="K7327" i="9"/>
  <c r="N7327" i="9"/>
  <c r="O7327" i="9"/>
  <c r="I7328" i="9"/>
  <c r="J7328" i="9"/>
  <c r="K7328" i="9"/>
  <c r="N7328" i="9"/>
  <c r="O7328" i="9"/>
  <c r="I7329" i="9"/>
  <c r="J7329" i="9"/>
  <c r="K7329" i="9"/>
  <c r="N7329" i="9"/>
  <c r="O7329" i="9"/>
  <c r="I7330" i="9"/>
  <c r="J7330" i="9"/>
  <c r="K7330" i="9"/>
  <c r="N7330" i="9"/>
  <c r="O7330" i="9"/>
  <c r="I7331" i="9"/>
  <c r="J7331" i="9"/>
  <c r="K7331" i="9"/>
  <c r="N7331" i="9"/>
  <c r="O7331" i="9"/>
  <c r="I7332" i="9"/>
  <c r="J7332" i="9"/>
  <c r="K7332" i="9"/>
  <c r="N7332" i="9"/>
  <c r="O7332" i="9"/>
  <c r="I7333" i="9"/>
  <c r="J7333" i="9"/>
  <c r="K7333" i="9"/>
  <c r="N7333" i="9"/>
  <c r="O7333" i="9"/>
  <c r="I7334" i="9"/>
  <c r="J7334" i="9"/>
  <c r="K7334" i="9"/>
  <c r="N7334" i="9"/>
  <c r="O7334" i="9"/>
  <c r="I7335" i="9"/>
  <c r="J7335" i="9"/>
  <c r="K7335" i="9"/>
  <c r="N7335" i="9"/>
  <c r="O7335" i="9"/>
  <c r="I7336" i="9"/>
  <c r="K7336" i="9"/>
  <c r="N7336" i="9"/>
  <c r="O7336" i="9"/>
  <c r="N7337" i="9"/>
  <c r="I7337" i="9"/>
  <c r="K7337" i="9"/>
  <c r="O7337" i="9"/>
  <c r="I7338" i="9"/>
  <c r="K7338" i="9"/>
  <c r="N7338" i="9"/>
  <c r="O7338" i="9"/>
  <c r="N7339" i="9"/>
  <c r="O7339" i="9"/>
  <c r="I7340" i="9"/>
  <c r="K7340" i="9"/>
  <c r="N7340" i="9"/>
  <c r="O7340" i="9"/>
  <c r="I7341" i="9"/>
  <c r="K7341" i="9"/>
  <c r="N7341" i="9"/>
  <c r="O7341" i="9"/>
  <c r="I7342" i="9"/>
  <c r="K7342" i="9"/>
  <c r="N7342" i="9"/>
  <c r="O7342" i="9"/>
  <c r="I7343" i="9"/>
  <c r="K7343" i="9"/>
  <c r="N7343" i="9"/>
  <c r="O7343" i="9"/>
  <c r="I7344" i="9"/>
  <c r="K7344" i="9"/>
  <c r="N7344" i="9"/>
  <c r="O7344" i="9"/>
  <c r="N7345" i="9"/>
  <c r="I7345" i="9"/>
  <c r="K7345" i="9"/>
  <c r="O7345" i="9"/>
  <c r="I7346" i="9"/>
  <c r="K7346" i="9"/>
  <c r="N7346" i="9"/>
  <c r="O7346" i="9"/>
  <c r="I7347" i="9"/>
  <c r="K7347" i="9"/>
  <c r="N7347" i="9"/>
  <c r="O7347" i="9"/>
  <c r="I7348" i="9"/>
  <c r="K7348" i="9"/>
  <c r="N7348" i="9"/>
  <c r="O7348" i="9"/>
  <c r="I7349" i="9"/>
  <c r="K7349" i="9"/>
  <c r="N7349" i="9"/>
  <c r="O7349" i="9"/>
  <c r="N7350" i="9"/>
  <c r="O7350" i="9"/>
  <c r="N7355" i="9"/>
  <c r="N7356" i="9"/>
  <c r="J7357" i="9"/>
  <c r="K7357" i="9"/>
  <c r="N7357" i="9"/>
  <c r="O7357" i="9"/>
  <c r="J7358" i="9"/>
  <c r="K7358" i="9"/>
  <c r="N7358" i="9"/>
  <c r="O7358" i="9"/>
  <c r="N7359" i="9"/>
  <c r="O7359" i="9"/>
  <c r="J7360" i="9"/>
  <c r="K7360" i="9"/>
  <c r="N7360" i="9"/>
  <c r="O7360" i="9"/>
  <c r="N7361" i="9"/>
  <c r="J7361" i="9"/>
  <c r="K7361" i="9"/>
  <c r="O7361" i="9"/>
  <c r="K7362" i="9"/>
  <c r="N7362" i="9"/>
  <c r="O7362" i="9"/>
  <c r="J7365" i="9"/>
  <c r="K7365" i="9"/>
  <c r="N7365" i="9"/>
  <c r="O7365" i="9"/>
  <c r="N7366" i="9"/>
  <c r="J7366" i="9"/>
  <c r="K7366" i="9"/>
  <c r="O7366" i="9"/>
  <c r="I7367" i="9"/>
  <c r="J7367" i="9"/>
  <c r="K7367" i="9"/>
  <c r="N7367" i="9"/>
  <c r="O7367" i="9"/>
  <c r="I7368" i="9"/>
  <c r="J7368" i="9"/>
  <c r="K7368" i="9"/>
  <c r="N7368" i="9"/>
  <c r="O7368" i="9"/>
  <c r="I7369" i="9"/>
  <c r="J7369" i="9"/>
  <c r="K7369" i="9"/>
  <c r="N7369" i="9"/>
  <c r="O7369" i="9"/>
  <c r="I7370" i="9"/>
  <c r="J7370" i="9"/>
  <c r="K7370" i="9"/>
  <c r="N7370" i="9"/>
  <c r="O7370" i="9"/>
  <c r="I7371" i="9"/>
  <c r="J7371" i="9"/>
  <c r="K7371" i="9"/>
  <c r="N7371" i="9"/>
  <c r="O7371" i="9"/>
  <c r="N7372" i="9"/>
  <c r="I7372" i="9"/>
  <c r="J7372" i="9"/>
  <c r="K7372" i="9"/>
  <c r="O7372" i="9"/>
  <c r="I7373" i="9"/>
  <c r="K7373" i="9"/>
  <c r="N7373" i="9"/>
  <c r="O7373" i="9"/>
  <c r="I7374" i="9"/>
  <c r="K7374" i="9"/>
  <c r="N7374" i="9"/>
  <c r="O7374" i="9"/>
  <c r="I7375" i="9"/>
  <c r="K7375" i="9"/>
  <c r="N7375" i="9"/>
  <c r="O7375" i="9"/>
  <c r="O7376" i="9"/>
  <c r="O7377" i="9"/>
  <c r="O7378" i="9"/>
  <c r="O7379" i="9"/>
  <c r="O7380" i="9"/>
  <c r="O7381" i="9"/>
  <c r="O7382" i="9"/>
  <c r="O7383" i="9"/>
  <c r="K6795" i="9"/>
  <c r="N6795" i="9"/>
  <c r="O6795" i="9"/>
  <c r="K6796" i="9"/>
  <c r="N6796" i="9"/>
  <c r="O6796" i="9"/>
  <c r="I6797" i="9"/>
  <c r="J6797" i="9"/>
  <c r="K6797" i="9"/>
  <c r="N6797" i="9"/>
  <c r="O6797" i="9"/>
  <c r="I6798" i="9"/>
  <c r="J6798" i="9"/>
  <c r="K6798" i="9"/>
  <c r="N6798" i="9"/>
  <c r="O6798" i="9"/>
  <c r="I6799" i="9"/>
  <c r="K6799" i="9"/>
  <c r="N6799" i="9"/>
  <c r="O6799" i="9"/>
  <c r="N6800" i="9"/>
  <c r="O6800" i="9"/>
  <c r="I6801" i="9"/>
  <c r="K6801" i="9"/>
  <c r="N6801" i="9"/>
  <c r="O6801" i="9"/>
  <c r="N6802" i="9"/>
  <c r="O6802" i="9"/>
  <c r="I6803" i="9"/>
  <c r="K6803" i="9"/>
  <c r="N6803" i="9"/>
  <c r="O6803" i="9"/>
  <c r="I6804" i="9"/>
  <c r="K6804" i="9"/>
  <c r="N6804" i="9"/>
  <c r="O6804" i="9"/>
  <c r="I6805" i="9"/>
  <c r="K6805" i="9"/>
  <c r="N6805" i="9"/>
  <c r="O6805" i="9"/>
  <c r="I6806" i="9"/>
  <c r="K6806" i="9"/>
  <c r="N6806" i="9"/>
  <c r="O6806" i="9"/>
  <c r="N6807" i="9"/>
  <c r="O6807" i="9"/>
  <c r="I6808" i="9"/>
  <c r="K6808" i="9"/>
  <c r="N6808" i="9"/>
  <c r="O6808" i="9"/>
  <c r="I6809" i="9"/>
  <c r="K6809" i="9"/>
  <c r="N6809" i="9"/>
  <c r="O6809" i="9"/>
  <c r="K6810" i="9"/>
  <c r="N6810" i="9"/>
  <c r="O6810" i="9"/>
  <c r="N6811" i="9"/>
  <c r="O6811" i="9"/>
  <c r="N6812" i="9"/>
  <c r="O6812" i="9"/>
  <c r="N6813" i="9"/>
  <c r="O6813" i="9"/>
  <c r="I6814" i="9"/>
  <c r="J6814" i="9"/>
  <c r="K6814" i="9"/>
  <c r="N6814" i="9"/>
  <c r="O6814" i="9"/>
  <c r="I6815" i="9"/>
  <c r="J6815" i="9"/>
  <c r="K6815" i="9"/>
  <c r="N6815" i="9"/>
  <c r="O6815" i="9"/>
  <c r="J6816" i="9"/>
  <c r="K6816" i="9"/>
  <c r="N6816" i="9"/>
  <c r="O6816" i="9"/>
  <c r="N6817" i="9"/>
  <c r="O6817" i="9"/>
  <c r="N6818" i="9"/>
  <c r="O6818" i="9"/>
  <c r="J6819" i="9"/>
  <c r="K6819" i="9"/>
  <c r="M6819" i="9"/>
  <c r="N6819" i="9"/>
  <c r="O6819" i="9"/>
  <c r="N6820" i="9"/>
  <c r="O6820" i="9"/>
  <c r="N6821" i="9"/>
  <c r="O6821" i="9"/>
  <c r="N6822" i="9"/>
  <c r="O6822" i="9"/>
  <c r="N6823" i="9"/>
  <c r="O6823" i="9"/>
  <c r="N6824" i="9"/>
  <c r="O6824" i="9"/>
  <c r="N6825" i="9"/>
  <c r="O6825" i="9"/>
  <c r="N6826" i="9"/>
  <c r="O6826" i="9"/>
  <c r="N6827" i="9"/>
  <c r="O6827" i="9"/>
  <c r="N6828" i="9"/>
  <c r="O6828" i="9"/>
  <c r="J6829" i="9"/>
  <c r="K6829" i="9"/>
  <c r="N6829" i="9"/>
  <c r="O6829" i="9"/>
  <c r="I6830" i="9"/>
  <c r="J6830" i="9"/>
  <c r="K6830" i="9"/>
  <c r="N6830" i="9"/>
  <c r="O6830" i="9"/>
  <c r="I6831" i="9"/>
  <c r="J6831" i="9"/>
  <c r="K6831" i="9"/>
  <c r="N6831" i="9"/>
  <c r="O6831" i="9"/>
  <c r="I6832" i="9"/>
  <c r="J6832" i="9"/>
  <c r="K6832" i="9"/>
  <c r="N6832" i="9"/>
  <c r="O6832" i="9"/>
  <c r="I6833" i="9"/>
  <c r="J6833" i="9"/>
  <c r="K6833" i="9"/>
  <c r="N6833" i="9"/>
  <c r="O6833" i="9"/>
  <c r="I6834" i="9"/>
  <c r="J6834" i="9"/>
  <c r="K6834" i="9"/>
  <c r="N6834" i="9"/>
  <c r="O6834" i="9"/>
  <c r="I6835" i="9"/>
  <c r="J6835" i="9"/>
  <c r="K6835" i="9"/>
  <c r="N6835" i="9"/>
  <c r="O6835" i="9"/>
  <c r="I6836" i="9"/>
  <c r="J6836" i="9"/>
  <c r="K6836" i="9"/>
  <c r="N6836" i="9"/>
  <c r="O6836" i="9"/>
  <c r="I6837" i="9"/>
  <c r="J6837" i="9"/>
  <c r="K6837" i="9"/>
  <c r="N6837" i="9"/>
  <c r="O6837" i="9"/>
  <c r="I6838" i="9"/>
  <c r="K6838" i="9"/>
  <c r="N6838" i="9"/>
  <c r="O6838" i="9"/>
  <c r="I6839" i="9"/>
  <c r="K6839" i="9"/>
  <c r="N6839" i="9"/>
  <c r="O6839" i="9"/>
  <c r="I6840" i="9"/>
  <c r="K6840" i="9"/>
  <c r="N6840" i="9"/>
  <c r="O6840" i="9"/>
  <c r="I6841" i="9"/>
  <c r="K6841" i="9"/>
  <c r="N6841" i="9"/>
  <c r="O6841" i="9"/>
  <c r="I6842" i="9"/>
  <c r="K6842" i="9"/>
  <c r="N6842" i="9"/>
  <c r="O6842" i="9"/>
  <c r="J6843" i="9"/>
  <c r="K6843" i="9"/>
  <c r="M6843" i="9"/>
  <c r="N6843" i="9"/>
  <c r="O6843" i="9"/>
  <c r="I6844" i="9"/>
  <c r="J6844" i="9"/>
  <c r="K6844" i="9"/>
  <c r="N6844" i="9"/>
  <c r="O6844" i="9"/>
  <c r="J6845" i="9"/>
  <c r="K6845" i="9"/>
  <c r="N6845" i="9"/>
  <c r="O6845" i="9"/>
  <c r="J6846" i="9"/>
  <c r="K6846" i="9"/>
  <c r="N6846" i="9"/>
  <c r="O6846" i="9"/>
  <c r="I6847" i="9"/>
  <c r="K6847" i="9"/>
  <c r="N6847" i="9"/>
  <c r="O6847" i="9"/>
  <c r="I6848" i="9"/>
  <c r="K6848" i="9"/>
  <c r="N6848" i="9"/>
  <c r="O6848" i="9"/>
  <c r="I6849" i="9"/>
  <c r="K6849" i="9"/>
  <c r="N6849" i="9"/>
  <c r="O6849" i="9"/>
  <c r="K6850" i="9"/>
  <c r="N6850" i="9"/>
  <c r="O6850" i="9"/>
  <c r="N6851" i="9"/>
  <c r="O6851" i="9"/>
  <c r="J6852" i="9"/>
  <c r="K6852" i="9"/>
  <c r="M6852" i="9"/>
  <c r="N6852" i="9"/>
  <c r="O6852" i="9"/>
  <c r="J6853" i="9"/>
  <c r="K6853" i="9"/>
  <c r="N6853" i="9"/>
  <c r="O6853" i="9"/>
  <c r="J6854" i="9"/>
  <c r="K6854" i="9"/>
  <c r="N6854" i="9"/>
  <c r="O6854" i="9"/>
  <c r="J6855" i="9"/>
  <c r="K6855" i="9"/>
  <c r="N6855" i="9"/>
  <c r="O6855" i="9"/>
  <c r="K6856" i="9"/>
  <c r="N6856" i="9"/>
  <c r="O6856" i="9"/>
  <c r="K6857" i="9"/>
  <c r="N6857" i="9"/>
  <c r="O6857" i="9"/>
  <c r="K6858" i="9"/>
  <c r="N6858" i="9"/>
  <c r="O6858" i="9"/>
  <c r="K6859" i="9"/>
  <c r="N6859" i="9"/>
  <c r="O6859" i="9"/>
  <c r="K6860" i="9"/>
  <c r="N6860" i="9"/>
  <c r="O6860" i="9"/>
  <c r="K6861" i="9"/>
  <c r="N6861" i="9"/>
  <c r="O6861" i="9"/>
  <c r="J6862" i="9"/>
  <c r="K6862" i="9"/>
  <c r="N6862" i="9"/>
  <c r="O6862" i="9"/>
  <c r="I6863" i="9"/>
  <c r="J6863" i="9"/>
  <c r="K6863" i="9"/>
  <c r="N6863" i="9"/>
  <c r="O6863" i="9"/>
  <c r="I6864" i="9"/>
  <c r="J6864" i="9"/>
  <c r="K6864" i="9"/>
  <c r="N6864" i="9"/>
  <c r="O6864" i="9"/>
  <c r="I6865" i="9"/>
  <c r="J6865" i="9"/>
  <c r="K6865" i="9"/>
  <c r="N6865" i="9"/>
  <c r="O6865" i="9"/>
  <c r="I6866" i="9"/>
  <c r="J6866" i="9"/>
  <c r="K6866" i="9"/>
  <c r="N6866" i="9"/>
  <c r="O6866" i="9"/>
  <c r="I6867" i="9"/>
  <c r="J6867" i="9"/>
  <c r="K6867" i="9"/>
  <c r="N6867" i="9"/>
  <c r="O6867" i="9"/>
  <c r="I6868" i="9"/>
  <c r="J6868" i="9"/>
  <c r="K6868" i="9"/>
  <c r="N6868" i="9"/>
  <c r="O6868" i="9"/>
  <c r="I6869" i="9"/>
  <c r="J6869" i="9"/>
  <c r="K6869" i="9"/>
  <c r="N6869" i="9"/>
  <c r="O6869" i="9"/>
  <c r="I6870" i="9"/>
  <c r="J6870" i="9"/>
  <c r="K6870" i="9"/>
  <c r="N6870" i="9"/>
  <c r="O6870" i="9"/>
  <c r="I6871" i="9"/>
  <c r="J6871" i="9"/>
  <c r="K6871" i="9"/>
  <c r="N6871" i="9"/>
  <c r="O6871" i="9"/>
  <c r="I6872" i="9"/>
  <c r="K6872" i="9"/>
  <c r="N6872" i="9"/>
  <c r="O6872" i="9"/>
  <c r="K6873" i="9"/>
  <c r="N6873" i="9"/>
  <c r="O6873" i="9"/>
  <c r="I6874" i="9"/>
  <c r="K6874" i="9"/>
  <c r="N6874" i="9"/>
  <c r="O6874" i="9"/>
  <c r="J6875" i="9"/>
  <c r="K6875" i="9"/>
  <c r="N6875" i="9"/>
  <c r="O6875" i="9"/>
  <c r="J6876" i="9"/>
  <c r="K6876" i="9"/>
  <c r="N6876" i="9"/>
  <c r="O6876" i="9"/>
  <c r="I6877" i="9"/>
  <c r="K6877" i="9"/>
  <c r="N6877" i="9"/>
  <c r="O6877" i="9"/>
  <c r="I6878" i="9"/>
  <c r="K6878" i="9"/>
  <c r="N6878" i="9"/>
  <c r="O6878" i="9"/>
  <c r="I6879" i="9"/>
  <c r="K6879" i="9"/>
  <c r="N6879" i="9"/>
  <c r="O6879" i="9"/>
  <c r="I6880" i="9"/>
  <c r="J6880" i="9"/>
  <c r="K6880" i="9"/>
  <c r="N6880" i="9"/>
  <c r="O6880" i="9"/>
  <c r="J6881" i="9"/>
  <c r="K6881" i="9"/>
  <c r="M6881" i="9"/>
  <c r="N6881" i="9"/>
  <c r="O6881" i="9"/>
  <c r="J6882" i="9"/>
  <c r="K6882" i="9"/>
  <c r="N6882" i="9"/>
  <c r="O6882" i="9"/>
  <c r="J6883" i="9"/>
  <c r="K6883" i="9"/>
  <c r="N6883" i="9"/>
  <c r="O6883" i="9"/>
  <c r="N6884" i="9"/>
  <c r="O6884" i="9"/>
  <c r="J6885" i="9"/>
  <c r="K6885" i="9"/>
  <c r="M6885" i="9"/>
  <c r="N6885" i="9"/>
  <c r="O6885" i="9"/>
  <c r="J6886" i="9"/>
  <c r="K6886" i="9"/>
  <c r="N6886" i="9"/>
  <c r="O6886" i="9"/>
  <c r="J6887" i="9"/>
  <c r="K6887" i="9"/>
  <c r="N6887" i="9"/>
  <c r="O6887" i="9"/>
  <c r="J6888" i="9"/>
  <c r="K6888" i="9"/>
  <c r="N6888" i="9"/>
  <c r="O6888" i="9"/>
  <c r="J6889" i="9"/>
  <c r="K6889" i="9"/>
  <c r="N6889" i="9"/>
  <c r="O6889" i="9"/>
  <c r="N6890" i="9"/>
  <c r="O6890" i="9"/>
  <c r="I6891" i="9"/>
  <c r="J6891" i="9"/>
  <c r="K6891" i="9"/>
  <c r="N6891" i="9"/>
  <c r="O6891" i="9"/>
  <c r="I6892" i="9"/>
  <c r="J6892" i="9"/>
  <c r="K6892" i="9"/>
  <c r="N6892" i="9"/>
  <c r="O6892" i="9"/>
  <c r="I6893" i="9"/>
  <c r="J6893" i="9"/>
  <c r="K6893" i="9"/>
  <c r="N6893" i="9"/>
  <c r="O6893" i="9"/>
  <c r="I6894" i="9"/>
  <c r="J6894" i="9"/>
  <c r="K6894" i="9"/>
  <c r="N6894" i="9"/>
  <c r="O6894" i="9"/>
  <c r="I6895" i="9"/>
  <c r="J6895" i="9"/>
  <c r="K6895" i="9"/>
  <c r="N6895" i="9"/>
  <c r="O6895" i="9"/>
  <c r="I6896" i="9"/>
  <c r="J6896" i="9"/>
  <c r="K6896" i="9"/>
  <c r="N6896" i="9"/>
  <c r="O6896" i="9"/>
  <c r="I6897" i="9"/>
  <c r="J6897" i="9"/>
  <c r="K6897" i="9"/>
  <c r="N6897" i="9"/>
  <c r="O6897" i="9"/>
  <c r="I6898" i="9"/>
  <c r="J6898" i="9"/>
  <c r="K6898" i="9"/>
  <c r="N6898" i="9"/>
  <c r="O6898" i="9"/>
  <c r="I6899" i="9"/>
  <c r="J6899" i="9"/>
  <c r="K6899" i="9"/>
  <c r="N6899" i="9"/>
  <c r="O6899" i="9"/>
  <c r="I6900" i="9"/>
  <c r="J6900" i="9"/>
  <c r="K6900" i="9"/>
  <c r="N6900" i="9"/>
  <c r="O6900" i="9"/>
  <c r="I6901" i="9"/>
  <c r="J6901" i="9"/>
  <c r="K6901" i="9"/>
  <c r="N6901" i="9"/>
  <c r="O6901" i="9"/>
  <c r="I6902" i="9"/>
  <c r="J6902" i="9"/>
  <c r="K6902" i="9"/>
  <c r="N6902" i="9"/>
  <c r="O6902" i="9"/>
  <c r="N6903" i="9"/>
  <c r="O6903" i="9"/>
  <c r="I6904" i="9"/>
  <c r="J6904" i="9"/>
  <c r="K6904" i="9"/>
  <c r="N6904" i="9"/>
  <c r="O6904" i="9"/>
  <c r="I6905" i="9"/>
  <c r="J6905" i="9"/>
  <c r="K6905" i="9"/>
  <c r="N6905" i="9"/>
  <c r="O6905" i="9"/>
  <c r="I6906" i="9"/>
  <c r="J6906" i="9"/>
  <c r="K6906" i="9"/>
  <c r="N6906" i="9"/>
  <c r="O6906" i="9"/>
  <c r="I6907" i="9"/>
  <c r="J6907" i="9"/>
  <c r="K6907" i="9"/>
  <c r="N6907" i="9"/>
  <c r="O6907" i="9"/>
  <c r="I6908" i="9"/>
  <c r="J6908" i="9"/>
  <c r="K6908" i="9"/>
  <c r="N6908" i="9"/>
  <c r="O6908" i="9"/>
  <c r="I6909" i="9"/>
  <c r="J6909" i="9"/>
  <c r="K6909" i="9"/>
  <c r="N6909" i="9"/>
  <c r="O6909" i="9"/>
  <c r="I6910" i="9"/>
  <c r="J6910" i="9"/>
  <c r="K6910" i="9"/>
  <c r="N6910" i="9"/>
  <c r="O6910" i="9"/>
  <c r="N6911" i="9"/>
  <c r="O6911" i="9"/>
  <c r="I6912" i="9"/>
  <c r="J6912" i="9"/>
  <c r="K6912" i="9"/>
  <c r="N6912" i="9"/>
  <c r="O6912" i="9"/>
  <c r="I6913" i="9"/>
  <c r="J6913" i="9"/>
  <c r="K6913" i="9"/>
  <c r="N6913" i="9"/>
  <c r="O6913" i="9"/>
  <c r="I6914" i="9"/>
  <c r="J6914" i="9"/>
  <c r="K6914" i="9"/>
  <c r="N6914" i="9"/>
  <c r="O6914" i="9"/>
  <c r="I6915" i="9"/>
  <c r="J6915" i="9"/>
  <c r="K6915" i="9"/>
  <c r="N6915" i="9"/>
  <c r="O6915" i="9"/>
  <c r="I6916" i="9"/>
  <c r="K6916" i="9"/>
  <c r="N6916" i="9"/>
  <c r="O6916" i="9"/>
  <c r="I6917" i="9"/>
  <c r="K6917" i="9"/>
  <c r="N6917" i="9"/>
  <c r="O6917" i="9"/>
  <c r="I6918" i="9"/>
  <c r="K6918" i="9"/>
  <c r="N6918" i="9"/>
  <c r="O6918" i="9"/>
  <c r="I6919" i="9"/>
  <c r="K6919" i="9"/>
  <c r="N6919" i="9"/>
  <c r="O6919" i="9"/>
  <c r="I6920" i="9"/>
  <c r="K6920" i="9"/>
  <c r="N6920" i="9"/>
  <c r="O6920" i="9"/>
  <c r="I6921" i="9"/>
  <c r="K6921" i="9"/>
  <c r="N6921" i="9"/>
  <c r="O6921" i="9"/>
  <c r="N6922" i="9"/>
  <c r="O6922" i="9"/>
  <c r="I6923" i="9"/>
  <c r="K6923" i="9"/>
  <c r="N6923" i="9"/>
  <c r="O6923" i="9"/>
  <c r="I6924" i="9"/>
  <c r="K6924" i="9"/>
  <c r="N6924" i="9"/>
  <c r="O6924" i="9"/>
  <c r="N6925" i="9"/>
  <c r="O6925" i="9"/>
  <c r="I6926" i="9"/>
  <c r="K6926" i="9"/>
  <c r="N6926" i="9"/>
  <c r="O6926" i="9"/>
  <c r="I6927" i="9"/>
  <c r="K6927" i="9"/>
  <c r="N6927" i="9"/>
  <c r="O6927" i="9"/>
  <c r="I6928" i="9"/>
  <c r="K6928" i="9"/>
  <c r="N6928" i="9"/>
  <c r="O6928" i="9"/>
  <c r="I6929" i="9"/>
  <c r="K6929" i="9"/>
  <c r="N6929" i="9"/>
  <c r="O6929" i="9"/>
  <c r="I6930" i="9"/>
  <c r="K6930" i="9"/>
  <c r="N6930" i="9"/>
  <c r="O6930" i="9"/>
  <c r="I6931" i="9"/>
  <c r="K6931" i="9"/>
  <c r="N6931" i="9"/>
  <c r="O6931" i="9"/>
  <c r="J6932" i="9"/>
  <c r="K6932" i="9"/>
  <c r="N6932" i="9"/>
  <c r="O6932" i="9"/>
  <c r="I6933" i="9"/>
  <c r="J6933" i="9"/>
  <c r="K6933" i="9"/>
  <c r="N6933" i="9"/>
  <c r="O6933" i="9"/>
  <c r="K6934" i="9"/>
  <c r="N6934" i="9"/>
  <c r="O6934" i="9"/>
  <c r="J6935" i="9"/>
  <c r="K6935" i="9"/>
  <c r="N6935" i="9"/>
  <c r="O6935" i="9"/>
  <c r="J6936" i="9"/>
  <c r="K6936" i="9"/>
  <c r="N6936" i="9"/>
  <c r="O6936" i="9"/>
  <c r="J6937" i="9"/>
  <c r="K6937" i="9"/>
  <c r="N6937" i="9"/>
  <c r="O6937" i="9"/>
  <c r="K6938" i="9"/>
  <c r="N6938" i="9"/>
  <c r="O6938" i="9"/>
  <c r="K6939" i="9"/>
  <c r="N6939" i="9"/>
  <c r="O6939" i="9"/>
  <c r="J6940" i="9"/>
  <c r="K6940" i="9"/>
  <c r="N6940" i="9"/>
  <c r="O6940" i="9"/>
  <c r="I6941" i="9"/>
  <c r="K6941" i="9"/>
  <c r="N6941" i="9"/>
  <c r="O6941" i="9"/>
  <c r="I6942" i="9"/>
  <c r="K6942" i="9"/>
  <c r="N6942" i="9"/>
  <c r="O6942" i="9"/>
  <c r="I6943" i="9"/>
  <c r="J6943" i="9"/>
  <c r="K6943" i="9"/>
  <c r="N6943" i="9"/>
  <c r="O6943" i="9"/>
  <c r="I6944" i="9"/>
  <c r="J6944" i="9"/>
  <c r="K6944" i="9"/>
  <c r="N6944" i="9"/>
  <c r="O6944" i="9"/>
  <c r="I6945" i="9"/>
  <c r="J6945" i="9"/>
  <c r="K6945" i="9"/>
  <c r="N6945" i="9"/>
  <c r="O6945" i="9"/>
  <c r="I6946" i="9"/>
  <c r="J6946" i="9"/>
  <c r="K6946" i="9"/>
  <c r="N6946" i="9"/>
  <c r="O6946" i="9"/>
  <c r="I6947" i="9"/>
  <c r="J6947" i="9"/>
  <c r="K6947" i="9"/>
  <c r="N6947" i="9"/>
  <c r="O6947" i="9"/>
  <c r="I6948" i="9"/>
  <c r="J6948" i="9"/>
  <c r="K6948" i="9"/>
  <c r="N6948" i="9"/>
  <c r="O6948" i="9"/>
  <c r="I6949" i="9"/>
  <c r="J6949" i="9"/>
  <c r="K6949" i="9"/>
  <c r="N6949" i="9"/>
  <c r="O6949" i="9"/>
  <c r="I6950" i="9"/>
  <c r="J6950" i="9"/>
  <c r="K6950" i="9"/>
  <c r="N6950" i="9"/>
  <c r="O6950" i="9"/>
  <c r="I6951" i="9"/>
  <c r="K6951" i="9"/>
  <c r="N6951" i="9"/>
  <c r="O6951" i="9"/>
  <c r="N6952" i="9"/>
  <c r="O6952" i="9"/>
  <c r="I6953" i="9"/>
  <c r="K6953" i="9"/>
  <c r="N6953" i="9"/>
  <c r="O6953" i="9"/>
  <c r="I6954" i="9"/>
  <c r="K6954" i="9"/>
  <c r="N6954" i="9"/>
  <c r="O6954" i="9"/>
  <c r="I6955" i="9"/>
  <c r="K6955" i="9"/>
  <c r="N6955" i="9"/>
  <c r="O6955" i="9"/>
  <c r="I6956" i="9"/>
  <c r="K6956" i="9"/>
  <c r="N6956" i="9"/>
  <c r="O6956" i="9"/>
  <c r="I6957" i="9"/>
  <c r="K6957" i="9"/>
  <c r="N6957" i="9"/>
  <c r="O6957" i="9"/>
  <c r="N6958" i="9"/>
  <c r="O6958" i="9"/>
  <c r="I6959" i="9"/>
  <c r="K6959" i="9"/>
  <c r="N6959" i="9"/>
  <c r="O6959" i="9"/>
  <c r="J6960" i="9"/>
  <c r="K6960" i="9"/>
  <c r="N6960" i="9"/>
  <c r="O6960" i="9"/>
  <c r="J6961" i="9"/>
  <c r="K6961" i="9"/>
  <c r="N6961" i="9"/>
  <c r="O6961" i="9"/>
  <c r="N6962" i="9"/>
  <c r="O6962" i="9"/>
  <c r="N6963" i="9"/>
  <c r="O6963" i="9"/>
  <c r="J6964" i="9"/>
  <c r="K6964" i="9"/>
  <c r="N6964" i="9"/>
  <c r="O6964" i="9"/>
  <c r="J6965" i="9"/>
  <c r="K6965" i="9"/>
  <c r="N6965" i="9"/>
  <c r="O6965" i="9"/>
  <c r="K6966" i="9"/>
  <c r="N6966" i="9"/>
  <c r="O6966" i="9"/>
  <c r="J6967" i="9"/>
  <c r="K6967" i="9"/>
  <c r="N6967" i="9"/>
  <c r="O6967" i="9"/>
  <c r="J6968" i="9"/>
  <c r="K6968" i="9"/>
  <c r="N6968" i="9"/>
  <c r="O6968" i="9"/>
  <c r="J6969" i="9"/>
  <c r="K6969" i="9"/>
  <c r="N6969" i="9"/>
  <c r="O6969" i="9"/>
  <c r="N6970" i="9"/>
  <c r="O6970" i="9"/>
  <c r="N6971" i="9"/>
  <c r="O6971" i="9"/>
  <c r="I6972" i="9"/>
  <c r="K6972" i="9"/>
  <c r="N6972" i="9"/>
  <c r="O6972" i="9"/>
  <c r="I6973" i="9"/>
  <c r="K6973" i="9"/>
  <c r="N6973" i="9"/>
  <c r="O6973" i="9"/>
  <c r="I6974" i="9"/>
  <c r="K6974" i="9"/>
  <c r="N6974" i="9"/>
  <c r="O6974" i="9"/>
  <c r="I6975" i="9"/>
  <c r="K6975" i="9"/>
  <c r="N6975" i="9"/>
  <c r="O6975" i="9"/>
  <c r="I6976" i="9"/>
  <c r="K6976" i="9"/>
  <c r="N6976" i="9"/>
  <c r="O6976" i="9"/>
  <c r="I6977" i="9"/>
  <c r="K6977" i="9"/>
  <c r="N6977" i="9"/>
  <c r="O6977" i="9"/>
  <c r="I6978" i="9"/>
  <c r="K6978" i="9"/>
  <c r="N6978" i="9"/>
  <c r="O6978" i="9"/>
  <c r="I6979" i="9"/>
  <c r="K6979" i="9"/>
  <c r="N6979" i="9"/>
  <c r="O6979" i="9"/>
  <c r="N6980" i="9"/>
  <c r="O6980" i="9"/>
  <c r="I6981" i="9"/>
  <c r="J6981" i="9"/>
  <c r="K6981" i="9"/>
  <c r="N6981" i="9"/>
  <c r="O6981" i="9"/>
  <c r="I6982" i="9"/>
  <c r="J6982" i="9"/>
  <c r="K6982" i="9"/>
  <c r="N6982" i="9"/>
  <c r="O6982" i="9"/>
  <c r="I6983" i="9"/>
  <c r="J6983" i="9"/>
  <c r="K6983" i="9"/>
  <c r="N6983" i="9"/>
  <c r="O6983" i="9"/>
  <c r="J6984" i="9"/>
  <c r="K6984" i="9"/>
  <c r="N6984" i="9"/>
  <c r="O6984" i="9"/>
  <c r="J6985" i="9"/>
  <c r="K6985" i="9"/>
  <c r="N6985" i="9"/>
  <c r="O6985" i="9"/>
  <c r="J6986" i="9"/>
  <c r="K6986" i="9"/>
  <c r="N6986" i="9"/>
  <c r="O6986" i="9"/>
  <c r="J6987" i="9"/>
  <c r="K6987" i="9"/>
  <c r="N6987" i="9"/>
  <c r="O6987" i="9"/>
  <c r="K6988" i="9"/>
  <c r="N6988" i="9"/>
  <c r="O6988" i="9"/>
  <c r="I6989" i="9"/>
  <c r="J6989" i="9"/>
  <c r="K6989" i="9"/>
  <c r="N6989" i="9"/>
  <c r="O6989" i="9"/>
  <c r="I6990" i="9"/>
  <c r="K6990" i="9"/>
  <c r="N6990" i="9"/>
  <c r="O6990" i="9"/>
  <c r="I6991" i="9"/>
  <c r="K6991" i="9"/>
  <c r="N6991" i="9"/>
  <c r="O6991" i="9"/>
  <c r="I6992" i="9"/>
  <c r="K6992" i="9"/>
  <c r="N6992" i="9"/>
  <c r="O6992" i="9"/>
  <c r="I6993" i="9"/>
  <c r="K6993" i="9"/>
  <c r="N6993" i="9"/>
  <c r="O6993" i="9"/>
  <c r="I6994" i="9"/>
  <c r="K6994" i="9"/>
  <c r="N6994" i="9"/>
  <c r="O6994" i="9"/>
  <c r="J6995" i="9"/>
  <c r="K6995" i="9"/>
  <c r="N6995" i="9"/>
  <c r="O6995" i="9"/>
  <c r="N6996" i="9"/>
  <c r="O6996" i="9"/>
  <c r="N6997" i="9"/>
  <c r="O6997" i="9"/>
  <c r="N6998" i="9"/>
  <c r="O6998" i="9"/>
  <c r="N6999" i="9"/>
  <c r="O6999" i="9"/>
  <c r="N7000" i="9"/>
  <c r="O7000" i="9"/>
  <c r="N7001" i="9"/>
  <c r="O7001" i="9"/>
  <c r="N7002" i="9"/>
  <c r="O7002" i="9"/>
  <c r="N7003" i="9"/>
  <c r="O7003" i="9"/>
  <c r="N7004" i="9"/>
  <c r="O7004" i="9"/>
  <c r="N7005" i="9"/>
  <c r="O7005" i="9"/>
  <c r="N7006" i="9"/>
  <c r="O7006" i="9"/>
  <c r="N7007" i="9"/>
  <c r="O7007" i="9"/>
  <c r="N7008" i="9"/>
  <c r="O7008" i="9"/>
  <c r="N7009" i="9"/>
  <c r="O7009" i="9"/>
  <c r="J7010" i="9"/>
  <c r="K7010" i="9"/>
  <c r="N7010" i="9"/>
  <c r="O7010" i="9"/>
  <c r="I7011" i="9"/>
  <c r="K7011" i="9"/>
  <c r="N7011" i="9"/>
  <c r="O7011" i="9"/>
  <c r="I7012" i="9"/>
  <c r="K7012" i="9"/>
  <c r="N7012" i="9"/>
  <c r="O7012" i="9"/>
  <c r="I7013" i="9"/>
  <c r="K7013" i="9"/>
  <c r="N7013" i="9"/>
  <c r="O7013" i="9"/>
  <c r="I7014" i="9"/>
  <c r="J7014" i="9"/>
  <c r="K7014" i="9"/>
  <c r="N7014" i="9"/>
  <c r="O7014" i="9"/>
  <c r="I7015" i="9"/>
  <c r="J7015" i="9"/>
  <c r="K7015" i="9"/>
  <c r="N7015" i="9"/>
  <c r="O7015" i="9"/>
  <c r="I7016" i="9"/>
  <c r="J7016" i="9"/>
  <c r="K7016" i="9"/>
  <c r="N7016" i="9"/>
  <c r="O7016" i="9"/>
  <c r="I7017" i="9"/>
  <c r="J7017" i="9"/>
  <c r="K7017" i="9"/>
  <c r="N7017" i="9"/>
  <c r="O7017" i="9"/>
  <c r="N7018" i="9"/>
  <c r="O7018" i="9"/>
  <c r="I7019" i="9"/>
  <c r="J7019" i="9"/>
  <c r="K7019" i="9"/>
  <c r="N7019" i="9"/>
  <c r="O7019" i="9"/>
  <c r="I7020" i="9"/>
  <c r="J7020" i="9"/>
  <c r="K7020" i="9"/>
  <c r="N7020" i="9"/>
  <c r="O7020" i="9"/>
  <c r="I7021" i="9"/>
  <c r="J7021" i="9"/>
  <c r="K7021" i="9"/>
  <c r="N7021" i="9"/>
  <c r="O7021" i="9"/>
  <c r="I7022" i="9"/>
  <c r="J7022" i="9"/>
  <c r="K7022" i="9"/>
  <c r="N7022" i="9"/>
  <c r="O7022" i="9"/>
  <c r="I7023" i="9"/>
  <c r="J7023" i="9"/>
  <c r="K7023" i="9"/>
  <c r="N7023" i="9"/>
  <c r="O7023" i="9"/>
  <c r="I7024" i="9"/>
  <c r="J7024" i="9"/>
  <c r="K7024" i="9"/>
  <c r="N7024" i="9"/>
  <c r="O7024" i="9"/>
  <c r="I7025" i="9"/>
  <c r="J7025" i="9"/>
  <c r="K7025" i="9"/>
  <c r="N7025" i="9"/>
  <c r="O7025" i="9"/>
  <c r="I7026" i="9"/>
  <c r="K7026" i="9"/>
  <c r="N7026" i="9"/>
  <c r="O7026" i="9"/>
  <c r="N7027" i="9"/>
  <c r="O7027" i="9"/>
  <c r="J7028" i="9"/>
  <c r="K7028" i="9"/>
  <c r="N7028" i="9"/>
  <c r="O7028" i="9"/>
  <c r="N7029" i="9"/>
  <c r="O7029" i="9"/>
  <c r="K7030" i="9"/>
  <c r="N7030" i="9"/>
  <c r="O7030" i="9"/>
  <c r="N7031" i="9"/>
  <c r="O7031" i="9"/>
  <c r="N7032" i="9"/>
  <c r="O7032" i="9"/>
  <c r="K7033" i="9"/>
  <c r="N7033" i="9"/>
  <c r="O7033" i="9"/>
  <c r="I7034" i="9"/>
  <c r="J7034" i="9"/>
  <c r="K7034" i="9"/>
  <c r="N7034" i="9"/>
  <c r="O7034" i="9"/>
  <c r="I7035" i="9"/>
  <c r="K7035" i="9"/>
  <c r="N7035" i="9"/>
  <c r="O7035" i="9"/>
  <c r="N7036" i="9"/>
  <c r="O7036" i="9"/>
  <c r="J7037" i="9"/>
  <c r="K7037" i="9"/>
  <c r="N7037" i="9"/>
  <c r="O7037" i="9"/>
  <c r="J7038" i="9"/>
  <c r="K7038" i="9"/>
  <c r="N7038" i="9"/>
  <c r="O7038" i="9"/>
  <c r="N7039" i="9"/>
  <c r="O7039" i="9"/>
  <c r="I7040" i="9"/>
  <c r="J7040" i="9"/>
  <c r="K7040" i="9"/>
  <c r="N7040" i="9"/>
  <c r="O7040" i="9"/>
  <c r="N6418" i="9"/>
  <c r="O6418" i="9"/>
  <c r="I6419" i="9"/>
  <c r="K6419" i="9"/>
  <c r="N6419" i="9"/>
  <c r="O6419" i="9"/>
  <c r="I6420" i="9"/>
  <c r="K6420" i="9"/>
  <c r="N6420" i="9"/>
  <c r="O6420" i="9"/>
  <c r="N6421" i="9"/>
  <c r="O6421" i="9"/>
  <c r="J6422" i="9"/>
  <c r="K6422" i="9"/>
  <c r="N6422" i="9"/>
  <c r="O6422" i="9"/>
  <c r="J6423" i="9"/>
  <c r="K6423" i="9"/>
  <c r="N6423" i="9"/>
  <c r="O6423" i="9"/>
  <c r="K6424" i="9"/>
  <c r="N6424" i="9"/>
  <c r="O6424" i="9"/>
  <c r="N6425" i="9"/>
  <c r="O6425" i="9"/>
  <c r="N6426" i="9"/>
  <c r="O6426" i="9"/>
  <c r="J6427" i="9"/>
  <c r="K6427" i="9"/>
  <c r="N6427" i="9"/>
  <c r="O6427" i="9"/>
  <c r="J6428" i="9"/>
  <c r="K6428" i="9"/>
  <c r="N6428" i="9"/>
  <c r="O6428" i="9"/>
  <c r="I6429" i="9"/>
  <c r="J6429" i="9"/>
  <c r="K6429" i="9"/>
  <c r="N6429" i="9"/>
  <c r="O6429" i="9"/>
  <c r="I6430" i="9"/>
  <c r="K6430" i="9"/>
  <c r="N6430" i="9"/>
  <c r="O6430" i="9"/>
  <c r="I6431" i="9"/>
  <c r="K6431" i="9"/>
  <c r="N6431" i="9"/>
  <c r="O6431" i="9"/>
  <c r="N6432" i="9"/>
  <c r="O6432" i="9"/>
  <c r="I6433" i="9"/>
  <c r="J6433" i="9"/>
  <c r="K6433" i="9"/>
  <c r="N6433" i="9"/>
  <c r="O6433" i="9"/>
  <c r="J6434" i="9"/>
  <c r="K6434" i="9"/>
  <c r="N6434" i="9"/>
  <c r="O6434" i="9"/>
  <c r="J6435" i="9"/>
  <c r="K6435" i="9"/>
  <c r="N6435" i="9"/>
  <c r="O6435" i="9"/>
  <c r="J6436" i="9"/>
  <c r="K6436" i="9"/>
  <c r="N6436" i="9"/>
  <c r="O6436" i="9"/>
  <c r="J6437" i="9"/>
  <c r="K6437" i="9"/>
  <c r="N6437" i="9"/>
  <c r="O6437" i="9"/>
  <c r="I6438" i="9"/>
  <c r="J6438" i="9"/>
  <c r="K6438" i="9"/>
  <c r="N6438" i="9"/>
  <c r="O6438" i="9"/>
  <c r="I6439" i="9"/>
  <c r="J6439" i="9"/>
  <c r="K6439" i="9"/>
  <c r="N6439" i="9"/>
  <c r="O6439" i="9"/>
  <c r="I6440" i="9"/>
  <c r="J6440" i="9"/>
  <c r="K6440" i="9"/>
  <c r="N6440" i="9"/>
  <c r="O6440" i="9"/>
  <c r="I6441" i="9"/>
  <c r="J6441" i="9"/>
  <c r="K6441" i="9"/>
  <c r="N6441" i="9"/>
  <c r="O6441" i="9"/>
  <c r="I6442" i="9"/>
  <c r="J6442" i="9"/>
  <c r="K6442" i="9"/>
  <c r="N6442" i="9"/>
  <c r="O6442" i="9"/>
  <c r="I6443" i="9"/>
  <c r="J6443" i="9"/>
  <c r="K6443" i="9"/>
  <c r="N6443" i="9"/>
  <c r="O6443" i="9"/>
  <c r="I6444" i="9"/>
  <c r="J6444" i="9"/>
  <c r="K6444" i="9"/>
  <c r="N6444" i="9"/>
  <c r="O6444" i="9"/>
  <c r="I6445" i="9"/>
  <c r="J6445" i="9"/>
  <c r="K6445" i="9"/>
  <c r="N6445" i="9"/>
  <c r="O6445" i="9"/>
  <c r="I6446" i="9"/>
  <c r="J6446" i="9"/>
  <c r="K6446" i="9"/>
  <c r="N6446" i="9"/>
  <c r="O6446" i="9"/>
  <c r="I6447" i="9"/>
  <c r="J6447" i="9"/>
  <c r="K6447" i="9"/>
  <c r="N6447" i="9"/>
  <c r="O6447" i="9"/>
  <c r="I6448" i="9"/>
  <c r="J6448" i="9"/>
  <c r="K6448" i="9"/>
  <c r="N6448" i="9"/>
  <c r="O6448" i="9"/>
  <c r="I6449" i="9"/>
  <c r="K6449" i="9"/>
  <c r="N6449" i="9"/>
  <c r="O6449" i="9"/>
  <c r="I6450" i="9"/>
  <c r="K6450" i="9"/>
  <c r="N6450" i="9"/>
  <c r="O6450" i="9"/>
  <c r="I6451" i="9"/>
  <c r="K6451" i="9"/>
  <c r="N6451" i="9"/>
  <c r="O6451" i="9"/>
  <c r="N6452" i="9"/>
  <c r="O6452" i="9"/>
  <c r="I6453" i="9"/>
  <c r="K6453" i="9"/>
  <c r="N6453" i="9"/>
  <c r="O6453" i="9"/>
  <c r="I6454" i="9"/>
  <c r="K6454" i="9"/>
  <c r="N6454" i="9"/>
  <c r="O6454" i="9"/>
  <c r="I6455" i="9"/>
  <c r="K6455" i="9"/>
  <c r="N6455" i="9"/>
  <c r="O6455" i="9"/>
  <c r="I6456" i="9"/>
  <c r="K6456" i="9"/>
  <c r="M6456" i="9"/>
  <c r="N6456" i="9"/>
  <c r="O6456" i="9"/>
  <c r="N6457" i="9"/>
  <c r="O6457" i="9"/>
  <c r="I6458" i="9"/>
  <c r="K6458" i="9"/>
  <c r="N6458" i="9"/>
  <c r="O6458" i="9"/>
  <c r="I6459" i="9"/>
  <c r="K6459" i="9"/>
  <c r="N6459" i="9"/>
  <c r="O6459" i="9"/>
  <c r="I6460" i="9"/>
  <c r="K6460" i="9"/>
  <c r="N6460" i="9"/>
  <c r="O6460" i="9"/>
  <c r="J6461" i="9"/>
  <c r="K6461" i="9"/>
  <c r="N6461" i="9"/>
  <c r="O6461" i="9"/>
  <c r="K6462" i="9"/>
  <c r="N6462" i="9"/>
  <c r="O6462" i="9"/>
  <c r="I6463" i="9"/>
  <c r="K6463" i="9"/>
  <c r="N6463" i="9"/>
  <c r="O6463" i="9"/>
  <c r="N6464" i="9"/>
  <c r="O6464" i="9"/>
  <c r="I6465" i="9"/>
  <c r="K6465" i="9"/>
  <c r="N6465" i="9"/>
  <c r="O6465" i="9"/>
  <c r="I6466" i="9"/>
  <c r="K6466" i="9"/>
  <c r="N6466" i="9"/>
  <c r="O6466" i="9"/>
  <c r="I6467" i="9"/>
  <c r="J6467" i="9"/>
  <c r="K6467" i="9"/>
  <c r="N6467" i="9"/>
  <c r="O6467" i="9"/>
  <c r="I6468" i="9"/>
  <c r="J6468" i="9"/>
  <c r="K6468" i="9"/>
  <c r="M6468" i="9"/>
  <c r="N6468" i="9"/>
  <c r="O6468" i="9"/>
  <c r="I6469" i="9"/>
  <c r="J6469" i="9"/>
  <c r="K6469" i="9"/>
  <c r="N6469" i="9"/>
  <c r="O6469" i="9"/>
  <c r="J6470" i="9"/>
  <c r="K6470" i="9"/>
  <c r="M6470" i="9"/>
  <c r="N6470" i="9"/>
  <c r="O6470" i="9"/>
  <c r="I6471" i="9"/>
  <c r="J6471" i="9"/>
  <c r="K6471" i="9"/>
  <c r="N6471" i="9"/>
  <c r="O6471" i="9"/>
  <c r="I6472" i="9"/>
  <c r="J6472" i="9"/>
  <c r="K6472" i="9"/>
  <c r="N6472" i="9"/>
  <c r="O6472" i="9"/>
  <c r="I6473" i="9"/>
  <c r="J6473" i="9"/>
  <c r="K6473" i="9"/>
  <c r="N6473" i="9"/>
  <c r="O6473" i="9"/>
  <c r="J6474" i="9"/>
  <c r="K6474" i="9"/>
  <c r="N6474" i="9"/>
  <c r="O6474" i="9"/>
  <c r="J6475" i="9"/>
  <c r="K6475" i="9"/>
  <c r="N6475" i="9"/>
  <c r="O6475" i="9"/>
  <c r="J6476" i="9"/>
  <c r="K6476" i="9"/>
  <c r="N6476" i="9"/>
  <c r="O6476" i="9"/>
  <c r="K6477" i="9"/>
  <c r="N6477" i="9"/>
  <c r="O6477" i="9"/>
  <c r="N6478" i="9"/>
  <c r="O6478" i="9"/>
  <c r="N6479" i="9"/>
  <c r="O6479" i="9"/>
  <c r="N6480" i="9"/>
  <c r="O6480" i="9"/>
  <c r="N6481" i="9"/>
  <c r="O6481" i="9"/>
  <c r="N6482" i="9"/>
  <c r="O6482" i="9"/>
  <c r="N6483" i="9"/>
  <c r="O6483" i="9"/>
  <c r="N6484" i="9"/>
  <c r="O6484" i="9"/>
  <c r="J6485" i="9"/>
  <c r="K6485" i="9"/>
  <c r="N6485" i="9"/>
  <c r="O6485" i="9"/>
  <c r="I6486" i="9"/>
  <c r="J6486" i="9"/>
  <c r="K6486" i="9"/>
  <c r="N6486" i="9"/>
  <c r="O6486" i="9"/>
  <c r="I6487" i="9"/>
  <c r="J6487" i="9"/>
  <c r="K6487" i="9"/>
  <c r="N6487" i="9"/>
  <c r="O6487" i="9"/>
  <c r="I6488" i="9"/>
  <c r="J6488" i="9"/>
  <c r="K6488" i="9"/>
  <c r="N6488" i="9"/>
  <c r="O6488" i="9"/>
  <c r="I6489" i="9"/>
  <c r="J6489" i="9"/>
  <c r="K6489" i="9"/>
  <c r="N6489" i="9"/>
  <c r="O6489" i="9"/>
  <c r="I6490" i="9"/>
  <c r="J6490" i="9"/>
  <c r="K6490" i="9"/>
  <c r="N6490" i="9"/>
  <c r="O6490" i="9"/>
  <c r="I6491" i="9"/>
  <c r="J6491" i="9"/>
  <c r="K6491" i="9"/>
  <c r="N6491" i="9"/>
  <c r="O6491" i="9"/>
  <c r="I6492" i="9"/>
  <c r="J6492" i="9"/>
  <c r="K6492" i="9"/>
  <c r="N6492" i="9"/>
  <c r="O6492" i="9"/>
  <c r="I6493" i="9"/>
  <c r="J6493" i="9"/>
  <c r="K6493" i="9"/>
  <c r="N6493" i="9"/>
  <c r="O6493" i="9"/>
  <c r="I6494" i="9"/>
  <c r="J6494" i="9"/>
  <c r="K6494" i="9"/>
  <c r="N6494" i="9"/>
  <c r="O6494" i="9"/>
  <c r="I6495" i="9"/>
  <c r="J6495" i="9"/>
  <c r="K6495" i="9"/>
  <c r="N6495" i="9"/>
  <c r="O6495" i="9"/>
  <c r="I6496" i="9"/>
  <c r="K6496" i="9"/>
  <c r="N6496" i="9"/>
  <c r="O6496" i="9"/>
  <c r="I6497" i="9"/>
  <c r="K6497" i="9"/>
  <c r="N6497" i="9"/>
  <c r="O6497" i="9"/>
  <c r="I6498" i="9"/>
  <c r="K6498" i="9"/>
  <c r="N6498" i="9"/>
  <c r="O6498" i="9"/>
  <c r="I6499" i="9"/>
  <c r="J6499" i="9"/>
  <c r="K6499" i="9"/>
  <c r="N6499" i="9"/>
  <c r="O6499" i="9"/>
  <c r="I6500" i="9"/>
  <c r="K6500" i="9"/>
  <c r="N6500" i="9"/>
  <c r="O6500" i="9"/>
  <c r="N6501" i="9"/>
  <c r="O6501" i="9"/>
  <c r="I6502" i="9"/>
  <c r="K6502" i="9"/>
  <c r="N6502" i="9"/>
  <c r="O6502" i="9"/>
  <c r="I6503" i="9"/>
  <c r="K6503" i="9"/>
  <c r="N6503" i="9"/>
  <c r="O6503" i="9"/>
  <c r="I6504" i="9"/>
  <c r="J6504" i="9"/>
  <c r="K6504" i="9"/>
  <c r="N6504" i="9"/>
  <c r="O6504" i="9"/>
  <c r="I6505" i="9"/>
  <c r="J6505" i="9"/>
  <c r="K6505" i="9"/>
  <c r="N6505" i="9"/>
  <c r="O6505" i="9"/>
  <c r="I6506" i="9"/>
  <c r="J6506" i="9"/>
  <c r="K6506" i="9"/>
  <c r="N6506" i="9"/>
  <c r="O6506" i="9"/>
  <c r="I6507" i="9"/>
  <c r="J6507" i="9"/>
  <c r="K6507" i="9"/>
  <c r="N6507" i="9"/>
  <c r="O6507" i="9"/>
  <c r="I6508" i="9"/>
  <c r="J6508" i="9"/>
  <c r="K6508" i="9"/>
  <c r="N6508" i="9"/>
  <c r="O6508" i="9"/>
  <c r="I6509" i="9"/>
  <c r="J6509" i="9"/>
  <c r="K6509" i="9"/>
  <c r="N6509" i="9"/>
  <c r="O6509" i="9"/>
  <c r="J6510" i="9"/>
  <c r="K6510" i="9"/>
  <c r="N6510" i="9"/>
  <c r="O6510" i="9"/>
  <c r="J6511" i="9"/>
  <c r="K6511" i="9"/>
  <c r="N6511" i="9"/>
  <c r="O6511" i="9"/>
  <c r="N6512" i="9"/>
  <c r="O6512" i="9"/>
  <c r="N6513" i="9"/>
  <c r="O6513" i="9"/>
  <c r="N6514" i="9"/>
  <c r="O6514" i="9"/>
  <c r="I6515" i="9"/>
  <c r="K6515" i="9"/>
  <c r="N6515" i="9"/>
  <c r="O6515" i="9"/>
  <c r="J6516" i="9"/>
  <c r="K6516" i="9"/>
  <c r="N6516" i="9"/>
  <c r="O6516" i="9"/>
  <c r="J6517" i="9"/>
  <c r="K6517" i="9"/>
  <c r="N6517" i="9"/>
  <c r="O6517" i="9"/>
  <c r="I6518" i="9"/>
  <c r="J6518" i="9"/>
  <c r="K6518" i="9"/>
  <c r="N6518" i="9"/>
  <c r="O6518" i="9"/>
  <c r="I6519" i="9"/>
  <c r="J6519" i="9"/>
  <c r="K6519" i="9"/>
  <c r="N6519" i="9"/>
  <c r="O6519" i="9"/>
  <c r="I6520" i="9"/>
  <c r="J6520" i="9"/>
  <c r="K6520" i="9"/>
  <c r="N6520" i="9"/>
  <c r="O6520" i="9"/>
  <c r="I6521" i="9"/>
  <c r="J6521" i="9"/>
  <c r="K6521" i="9"/>
  <c r="N6521" i="9"/>
  <c r="O6521" i="9"/>
  <c r="I6522" i="9"/>
  <c r="J6522" i="9"/>
  <c r="K6522" i="9"/>
  <c r="N6522" i="9"/>
  <c r="O6522" i="9"/>
  <c r="I6523" i="9"/>
  <c r="J6523" i="9"/>
  <c r="K6523" i="9"/>
  <c r="N6523" i="9"/>
  <c r="O6523" i="9"/>
  <c r="I6524" i="9"/>
  <c r="J6524" i="9"/>
  <c r="K6524" i="9"/>
  <c r="N6524" i="9"/>
  <c r="O6524" i="9"/>
  <c r="I6525" i="9"/>
  <c r="J6525" i="9"/>
  <c r="K6525" i="9"/>
  <c r="N6525" i="9"/>
  <c r="O6525" i="9"/>
  <c r="I6526" i="9"/>
  <c r="J6526" i="9"/>
  <c r="K6526" i="9"/>
  <c r="N6526" i="9"/>
  <c r="O6526" i="9"/>
  <c r="I6527" i="9"/>
  <c r="J6527" i="9"/>
  <c r="K6527" i="9"/>
  <c r="N6527" i="9"/>
  <c r="O6527" i="9"/>
  <c r="I6528" i="9"/>
  <c r="J6528" i="9"/>
  <c r="K6528" i="9"/>
  <c r="N6528" i="9"/>
  <c r="O6528" i="9"/>
  <c r="I6529" i="9"/>
  <c r="K6529" i="9"/>
  <c r="N6529" i="9"/>
  <c r="O6529" i="9"/>
  <c r="I6530" i="9"/>
  <c r="K6530" i="9"/>
  <c r="N6530" i="9"/>
  <c r="O6530" i="9"/>
  <c r="I6531" i="9"/>
  <c r="K6531" i="9"/>
  <c r="N6531" i="9"/>
  <c r="O6531" i="9"/>
  <c r="I6532" i="9"/>
  <c r="K6532" i="9"/>
  <c r="N6532" i="9"/>
  <c r="O6532" i="9"/>
  <c r="I6533" i="9"/>
  <c r="K6533" i="9"/>
  <c r="N6533" i="9"/>
  <c r="O6533" i="9"/>
  <c r="I6534" i="9"/>
  <c r="K6534" i="9"/>
  <c r="N6534" i="9"/>
  <c r="O6534" i="9"/>
  <c r="N6535" i="9"/>
  <c r="O6535" i="9"/>
  <c r="I6536" i="9"/>
  <c r="K6536" i="9"/>
  <c r="N6536" i="9"/>
  <c r="O6536" i="9"/>
  <c r="I6537" i="9"/>
  <c r="K6537" i="9"/>
  <c r="N6537" i="9"/>
  <c r="O6537" i="9"/>
  <c r="N6538" i="9"/>
  <c r="O6538" i="9"/>
  <c r="I6539" i="9"/>
  <c r="K6539" i="9"/>
  <c r="N6539" i="9"/>
  <c r="O6539" i="9"/>
  <c r="I6540" i="9"/>
  <c r="K6540" i="9"/>
  <c r="N6540" i="9"/>
  <c r="O6540" i="9"/>
  <c r="I6541" i="9"/>
  <c r="K6541" i="9"/>
  <c r="N6541" i="9"/>
  <c r="O6541" i="9"/>
  <c r="I6542" i="9"/>
  <c r="K6542" i="9"/>
  <c r="N6542" i="9"/>
  <c r="O6542" i="9"/>
  <c r="I6543" i="9"/>
  <c r="K6543" i="9"/>
  <c r="N6543" i="9"/>
  <c r="O6543" i="9"/>
  <c r="I6544" i="9"/>
  <c r="K6544" i="9"/>
  <c r="N6544" i="9"/>
  <c r="O6544" i="9"/>
  <c r="I6545" i="9"/>
  <c r="K6545" i="9"/>
  <c r="N6545" i="9"/>
  <c r="O6545" i="9"/>
  <c r="N6546" i="9"/>
  <c r="O6546" i="9"/>
  <c r="I6547" i="9"/>
  <c r="K6547" i="9"/>
  <c r="N6547" i="9"/>
  <c r="O6547" i="9"/>
  <c r="N6548" i="9"/>
  <c r="O6548" i="9"/>
  <c r="I6549" i="9"/>
  <c r="J6549" i="9"/>
  <c r="K6549" i="9"/>
  <c r="N6549" i="9"/>
  <c r="O6549" i="9"/>
  <c r="I6550" i="9"/>
  <c r="J6550" i="9"/>
  <c r="K6550" i="9"/>
  <c r="N6550" i="9"/>
  <c r="O6550" i="9"/>
  <c r="J6551" i="9"/>
  <c r="K6551" i="9"/>
  <c r="N6551" i="9"/>
  <c r="O6551" i="9"/>
  <c r="N6552" i="9"/>
  <c r="O6552" i="9"/>
  <c r="N6553" i="9"/>
  <c r="O6553" i="9"/>
  <c r="J6554" i="9"/>
  <c r="K6554" i="9"/>
  <c r="M6554" i="9"/>
  <c r="N6554" i="9"/>
  <c r="O6554" i="9"/>
  <c r="J6555" i="9"/>
  <c r="K6555" i="9"/>
  <c r="N6555" i="9"/>
  <c r="O6555" i="9"/>
  <c r="J6556" i="9"/>
  <c r="K6556" i="9"/>
  <c r="N6556" i="9"/>
  <c r="O6556" i="9"/>
  <c r="J6557" i="9"/>
  <c r="K6557" i="9"/>
  <c r="N6557" i="9"/>
  <c r="O6557" i="9"/>
  <c r="J6558" i="9"/>
  <c r="K6558" i="9"/>
  <c r="N6558" i="9"/>
  <c r="O6558" i="9"/>
  <c r="J6559" i="9"/>
  <c r="K6559" i="9"/>
  <c r="N6559" i="9"/>
  <c r="O6559" i="9"/>
  <c r="K6560" i="9"/>
  <c r="N6560" i="9"/>
  <c r="O6560" i="9"/>
  <c r="I6561" i="9"/>
  <c r="K6561" i="9"/>
  <c r="N6561" i="9"/>
  <c r="O6561" i="9"/>
  <c r="I6562" i="9"/>
  <c r="K6562" i="9"/>
  <c r="N6562" i="9"/>
  <c r="O6562" i="9"/>
  <c r="N6563" i="9"/>
  <c r="O6563" i="9"/>
  <c r="J6564" i="9"/>
  <c r="K6564" i="9"/>
  <c r="N6564" i="9"/>
  <c r="O6564" i="9"/>
  <c r="J6565" i="9"/>
  <c r="K6565" i="9"/>
  <c r="N6565" i="9"/>
  <c r="O6565" i="9"/>
  <c r="J6566" i="9"/>
  <c r="K6566" i="9"/>
  <c r="N6566" i="9"/>
  <c r="O6566" i="9"/>
  <c r="I6567" i="9"/>
  <c r="J6567" i="9"/>
  <c r="K6567" i="9"/>
  <c r="N6567" i="9"/>
  <c r="O6567" i="9"/>
  <c r="I6568" i="9"/>
  <c r="J6568" i="9"/>
  <c r="K6568" i="9"/>
  <c r="N6568" i="9"/>
  <c r="O6568" i="9"/>
  <c r="I6569" i="9"/>
  <c r="J6569" i="9"/>
  <c r="K6569" i="9"/>
  <c r="N6569" i="9"/>
  <c r="O6569" i="9"/>
  <c r="I6570" i="9"/>
  <c r="J6570" i="9"/>
  <c r="K6570" i="9"/>
  <c r="N6570" i="9"/>
  <c r="O6570" i="9"/>
  <c r="I6571" i="9"/>
  <c r="J6571" i="9"/>
  <c r="K6571" i="9"/>
  <c r="N6571" i="9"/>
  <c r="O6571" i="9"/>
  <c r="I6572" i="9"/>
  <c r="K6572" i="9"/>
  <c r="N6572" i="9"/>
  <c r="O6572" i="9"/>
  <c r="N6573" i="9"/>
  <c r="O6573" i="9"/>
  <c r="I6574" i="9"/>
  <c r="K6574" i="9"/>
  <c r="N6574" i="9"/>
  <c r="O6574" i="9"/>
  <c r="I6575" i="9"/>
  <c r="K6575" i="9"/>
  <c r="N6575" i="9"/>
  <c r="O6575" i="9"/>
  <c r="I6576" i="9"/>
  <c r="K6576" i="9"/>
  <c r="N6576" i="9"/>
  <c r="O6576" i="9"/>
  <c r="I6577" i="9"/>
  <c r="K6577" i="9"/>
  <c r="N6577" i="9"/>
  <c r="O6577" i="9"/>
  <c r="I6578" i="9"/>
  <c r="K6578" i="9"/>
  <c r="N6578" i="9"/>
  <c r="O6578" i="9"/>
  <c r="I6579" i="9"/>
  <c r="K6579" i="9"/>
  <c r="N6579" i="9"/>
  <c r="O6579" i="9"/>
  <c r="I6580" i="9"/>
  <c r="K6580" i="9"/>
  <c r="N6580" i="9"/>
  <c r="O6580" i="9"/>
  <c r="J6581" i="9"/>
  <c r="K6581" i="9"/>
  <c r="M6581" i="9"/>
  <c r="N6581" i="9"/>
  <c r="O6581" i="9"/>
  <c r="J6582" i="9"/>
  <c r="K6582" i="9"/>
  <c r="N6582" i="9"/>
  <c r="O6582" i="9"/>
  <c r="J6583" i="9"/>
  <c r="K6583" i="9"/>
  <c r="N6583" i="9"/>
  <c r="O6583" i="9"/>
  <c r="N6584" i="9"/>
  <c r="O6584" i="9"/>
  <c r="I6585" i="9"/>
  <c r="K6585" i="9"/>
  <c r="N6585" i="9"/>
  <c r="O6585" i="9"/>
  <c r="I6586" i="9"/>
  <c r="J6586" i="9"/>
  <c r="K6586" i="9"/>
  <c r="N6586" i="9"/>
  <c r="O6586" i="9"/>
  <c r="I6587" i="9"/>
  <c r="J6587" i="9"/>
  <c r="K6587" i="9"/>
  <c r="N6587" i="9"/>
  <c r="O6587" i="9"/>
  <c r="I6588" i="9"/>
  <c r="K6588" i="9"/>
  <c r="N6588" i="9"/>
  <c r="O6588" i="9"/>
  <c r="J6589" i="9"/>
  <c r="K6589" i="9"/>
  <c r="N6589" i="9"/>
  <c r="O6589" i="9"/>
  <c r="J6590" i="9"/>
  <c r="K6590" i="9"/>
  <c r="M6590" i="9"/>
  <c r="N6590" i="9"/>
  <c r="O6590" i="9"/>
  <c r="J6591" i="9"/>
  <c r="K6591" i="9"/>
  <c r="N6591" i="9"/>
  <c r="O6591" i="9"/>
  <c r="J6592" i="9"/>
  <c r="K6592" i="9"/>
  <c r="N6592" i="9"/>
  <c r="O6592" i="9"/>
  <c r="J6593" i="9"/>
  <c r="K6593" i="9"/>
  <c r="N6593" i="9"/>
  <c r="O6593" i="9"/>
  <c r="J6594" i="9"/>
  <c r="K6594" i="9"/>
  <c r="N6594" i="9"/>
  <c r="O6594" i="9"/>
  <c r="K6595" i="9"/>
  <c r="N6595" i="9"/>
  <c r="O6595" i="9"/>
  <c r="I6596" i="9"/>
  <c r="J6596" i="9"/>
  <c r="K6596" i="9"/>
  <c r="N6596" i="9"/>
  <c r="O6596" i="9"/>
  <c r="I6597" i="9"/>
  <c r="J6597" i="9"/>
  <c r="K6597" i="9"/>
  <c r="N6597" i="9"/>
  <c r="O6597" i="9"/>
  <c r="I6598" i="9"/>
  <c r="J6598" i="9"/>
  <c r="K6598" i="9"/>
  <c r="N6598" i="9"/>
  <c r="O6598" i="9"/>
  <c r="I6599" i="9"/>
  <c r="J6599" i="9"/>
  <c r="K6599" i="9"/>
  <c r="N6599" i="9"/>
  <c r="O6599" i="9"/>
  <c r="I6600" i="9"/>
  <c r="J6600" i="9"/>
  <c r="K6600" i="9"/>
  <c r="N6600" i="9"/>
  <c r="O6600" i="9"/>
  <c r="I6601" i="9"/>
  <c r="J6601" i="9"/>
  <c r="K6601" i="9"/>
  <c r="N6601" i="9"/>
  <c r="O6601" i="9"/>
  <c r="N6602" i="9"/>
  <c r="O6602" i="9"/>
  <c r="J6603" i="9"/>
  <c r="K6603" i="9"/>
  <c r="N6603" i="9"/>
  <c r="O6603" i="9"/>
  <c r="I6604" i="9"/>
  <c r="K6604" i="9"/>
  <c r="N6604" i="9"/>
  <c r="O6604" i="9"/>
  <c r="I6605" i="9"/>
  <c r="K6605" i="9"/>
  <c r="N6605" i="9"/>
  <c r="O6605" i="9"/>
  <c r="I6606" i="9"/>
  <c r="J6606" i="9"/>
  <c r="K6606" i="9"/>
  <c r="N6606" i="9"/>
  <c r="O6606" i="9"/>
  <c r="I6607" i="9"/>
  <c r="K6607" i="9"/>
  <c r="N6607" i="9"/>
  <c r="O6607" i="9"/>
  <c r="I6608" i="9"/>
  <c r="K6608" i="9"/>
  <c r="N6608" i="9"/>
  <c r="O6608" i="9"/>
  <c r="I6609" i="9"/>
  <c r="K6609" i="9"/>
  <c r="N6609" i="9"/>
  <c r="O6609" i="9"/>
  <c r="I6610" i="9"/>
  <c r="K6610" i="9"/>
  <c r="N6610" i="9"/>
  <c r="O6610" i="9"/>
  <c r="I6611" i="9"/>
  <c r="J6611" i="9"/>
  <c r="K6611" i="9"/>
  <c r="N6611" i="9"/>
  <c r="O6611" i="9"/>
  <c r="N6612" i="9"/>
  <c r="O6612" i="9"/>
  <c r="I6613" i="9"/>
  <c r="J6613" i="9"/>
  <c r="K6613" i="9"/>
  <c r="N6613" i="9"/>
  <c r="O6613" i="9"/>
  <c r="I6614" i="9"/>
  <c r="J6614" i="9"/>
  <c r="K6614" i="9"/>
  <c r="N6614" i="9"/>
  <c r="O6614" i="9"/>
  <c r="I6615" i="9"/>
  <c r="K6615" i="9"/>
  <c r="N6615" i="9"/>
  <c r="O6615" i="9"/>
  <c r="J6616" i="9"/>
  <c r="K6616" i="9"/>
  <c r="N6616" i="9"/>
  <c r="O6616" i="9"/>
  <c r="K6617" i="9"/>
  <c r="N6617" i="9"/>
  <c r="O6617" i="9"/>
  <c r="J6618" i="9"/>
  <c r="K6618" i="9"/>
  <c r="N6618" i="9"/>
  <c r="O6618" i="9"/>
  <c r="J6619" i="9"/>
  <c r="K6619" i="9"/>
  <c r="N6619" i="9"/>
  <c r="O6619" i="9"/>
  <c r="I6620" i="9"/>
  <c r="J6620" i="9"/>
  <c r="K6620" i="9"/>
  <c r="N6620" i="9"/>
  <c r="O6620" i="9"/>
  <c r="I6621" i="9"/>
  <c r="J6621" i="9"/>
  <c r="K6621" i="9"/>
  <c r="N6621" i="9"/>
  <c r="O6621" i="9"/>
  <c r="I6622" i="9"/>
  <c r="J6622" i="9"/>
  <c r="K6622" i="9"/>
  <c r="M6622" i="9"/>
  <c r="N6622" i="9"/>
  <c r="O6622" i="9"/>
  <c r="I6623" i="9"/>
  <c r="J6623" i="9"/>
  <c r="K6623" i="9"/>
  <c r="N6623" i="9"/>
  <c r="O6623" i="9"/>
  <c r="I6624" i="9"/>
  <c r="J6624" i="9"/>
  <c r="K6624" i="9"/>
  <c r="N6624" i="9"/>
  <c r="O6624" i="9"/>
  <c r="I6625" i="9"/>
  <c r="J6625" i="9"/>
  <c r="K6625" i="9"/>
  <c r="N6625" i="9"/>
  <c r="O6625" i="9"/>
  <c r="I6626" i="9"/>
  <c r="K6626" i="9"/>
  <c r="N6626" i="9"/>
  <c r="O6626" i="9"/>
  <c r="I6627" i="9"/>
  <c r="K6627" i="9"/>
  <c r="M6627" i="9"/>
  <c r="N6627" i="9"/>
  <c r="O6627" i="9"/>
  <c r="I6628" i="9"/>
  <c r="K6628" i="9"/>
  <c r="N6628" i="9"/>
  <c r="O6628" i="9"/>
  <c r="I6629" i="9"/>
  <c r="K6629" i="9"/>
  <c r="N6629" i="9"/>
  <c r="O6629" i="9"/>
  <c r="I6630" i="9"/>
  <c r="K6630" i="9"/>
  <c r="N6630" i="9"/>
  <c r="O6630" i="9"/>
  <c r="N6631" i="9"/>
  <c r="O6631" i="9"/>
  <c r="I6632" i="9"/>
  <c r="K6632" i="9"/>
  <c r="N6632" i="9"/>
  <c r="O6632" i="9"/>
  <c r="I6633" i="9"/>
  <c r="K6633" i="9"/>
  <c r="N6633" i="9"/>
  <c r="O6633" i="9"/>
  <c r="I6634" i="9"/>
  <c r="K6634" i="9"/>
  <c r="N6634" i="9"/>
  <c r="O6634" i="9"/>
  <c r="N6635" i="9"/>
  <c r="O6635" i="9"/>
  <c r="J6636" i="9"/>
  <c r="K6636" i="9"/>
  <c r="N6636" i="9"/>
  <c r="O6636" i="9"/>
  <c r="I6637" i="9"/>
  <c r="K6637" i="9"/>
  <c r="N6637" i="9"/>
  <c r="O6637" i="9"/>
  <c r="I6638" i="9"/>
  <c r="K6638" i="9"/>
  <c r="N6638" i="9"/>
  <c r="O6638" i="9"/>
  <c r="I6639" i="9"/>
  <c r="J6639" i="9"/>
  <c r="K6639" i="9"/>
  <c r="N6639" i="9"/>
  <c r="O6639" i="9"/>
  <c r="K6640" i="9"/>
  <c r="N6640" i="9"/>
  <c r="O6640" i="9"/>
  <c r="K6641" i="9"/>
  <c r="N6641" i="9"/>
  <c r="O6641" i="9"/>
  <c r="I6642" i="9"/>
  <c r="J6642" i="9"/>
  <c r="K6642" i="9"/>
  <c r="N6642" i="9"/>
  <c r="O6642" i="9"/>
  <c r="J6643" i="9"/>
  <c r="K6643" i="9"/>
  <c r="N6643" i="9"/>
  <c r="O6643" i="9"/>
  <c r="J6644" i="9"/>
  <c r="K6644" i="9"/>
  <c r="N6644" i="9"/>
  <c r="O6644" i="9"/>
  <c r="J6645" i="9"/>
  <c r="K6645" i="9"/>
  <c r="N6645" i="9"/>
  <c r="O6645" i="9"/>
  <c r="I6646" i="9"/>
  <c r="K6646" i="9"/>
  <c r="N6646" i="9"/>
  <c r="O6646" i="9"/>
  <c r="I6647" i="9"/>
  <c r="K6647" i="9"/>
  <c r="N6647" i="9"/>
  <c r="O6647" i="9"/>
  <c r="I6648" i="9"/>
  <c r="J6648" i="9"/>
  <c r="K6648" i="9"/>
  <c r="N6648" i="9"/>
  <c r="O6648" i="9"/>
  <c r="I6649" i="9"/>
  <c r="J6649" i="9"/>
  <c r="K6649" i="9"/>
  <c r="N6649" i="9"/>
  <c r="O6649" i="9"/>
  <c r="I6650" i="9"/>
  <c r="K6650" i="9"/>
  <c r="N6650" i="9"/>
  <c r="O6650" i="9"/>
  <c r="I6651" i="9"/>
  <c r="K6651" i="9"/>
  <c r="N6651" i="9"/>
  <c r="O6651" i="9"/>
  <c r="N6652" i="9"/>
  <c r="O6652" i="9"/>
  <c r="J6653" i="9"/>
  <c r="K6653" i="9"/>
  <c r="N6653" i="9"/>
  <c r="O6653" i="9"/>
  <c r="I6654" i="9"/>
  <c r="K6654" i="9"/>
  <c r="N6654" i="9"/>
  <c r="O6654" i="9"/>
  <c r="J6655" i="9"/>
  <c r="K6655" i="9"/>
  <c r="N6655" i="9"/>
  <c r="O6655" i="9"/>
  <c r="N6656" i="9"/>
  <c r="O6656" i="9"/>
  <c r="N6657" i="9"/>
  <c r="O6657" i="9"/>
  <c r="N6658" i="9"/>
  <c r="O6658" i="9"/>
  <c r="N6659" i="9"/>
  <c r="O6659" i="9"/>
  <c r="I6660" i="9"/>
  <c r="J6660" i="9"/>
  <c r="K6660" i="9"/>
  <c r="N6660" i="9"/>
  <c r="O6660" i="9"/>
  <c r="I6661" i="9"/>
  <c r="K6661" i="9"/>
  <c r="N6661" i="9"/>
  <c r="O6661" i="9"/>
  <c r="I6662" i="9"/>
  <c r="K6662" i="9"/>
  <c r="N6662" i="9"/>
  <c r="O6662" i="9"/>
  <c r="N6663" i="9"/>
  <c r="O6663" i="9"/>
  <c r="I6664" i="9"/>
  <c r="K6664" i="9"/>
  <c r="N6664" i="9"/>
  <c r="O6664" i="9"/>
  <c r="I6665" i="9"/>
  <c r="K6665" i="9"/>
  <c r="N6665" i="9"/>
  <c r="O6665" i="9"/>
  <c r="J6666" i="9"/>
  <c r="K6666" i="9"/>
  <c r="N6666" i="9"/>
  <c r="O6666" i="9"/>
  <c r="J6667" i="9"/>
  <c r="K6667" i="9"/>
  <c r="N6667" i="9"/>
  <c r="O6667" i="9"/>
  <c r="J6668" i="9"/>
  <c r="K6668" i="9"/>
  <c r="N6668" i="9"/>
  <c r="O6668" i="9"/>
  <c r="K6669" i="9"/>
  <c r="N6669" i="9"/>
  <c r="O6669" i="9"/>
  <c r="N6670" i="9"/>
  <c r="O6670" i="9"/>
  <c r="J6671" i="9"/>
  <c r="K6671" i="9"/>
  <c r="N6671" i="9"/>
  <c r="O6671" i="9"/>
  <c r="N6672" i="9"/>
  <c r="O6672" i="9"/>
  <c r="N6673" i="9"/>
  <c r="J6673" i="9"/>
  <c r="K6673" i="9"/>
  <c r="O6673" i="9"/>
  <c r="N6674" i="9"/>
  <c r="O6674" i="9"/>
  <c r="N6675" i="9"/>
  <c r="O6675" i="9"/>
  <c r="N6676" i="9"/>
  <c r="O6676" i="9"/>
  <c r="N6677" i="9"/>
  <c r="O6677" i="9"/>
  <c r="N6678" i="9"/>
  <c r="O6678" i="9"/>
  <c r="N6679" i="9"/>
  <c r="O6679" i="9"/>
  <c r="N6680" i="9"/>
  <c r="O6680" i="9"/>
  <c r="J6681" i="9"/>
  <c r="K6681" i="9"/>
  <c r="M6681" i="9"/>
  <c r="N6681" i="9"/>
  <c r="O6681" i="9"/>
  <c r="K6682" i="9"/>
  <c r="N6682" i="9"/>
  <c r="O6682" i="9"/>
  <c r="K6683" i="9"/>
  <c r="N6683" i="9"/>
  <c r="O6683" i="9"/>
  <c r="K6684" i="9"/>
  <c r="N6684" i="9"/>
  <c r="O6684" i="9"/>
  <c r="I6685" i="9"/>
  <c r="J6685" i="9"/>
  <c r="K6685" i="9"/>
  <c r="N6685" i="9"/>
  <c r="O6685" i="9"/>
  <c r="I6686" i="9"/>
  <c r="J6686" i="9"/>
  <c r="K6686" i="9"/>
  <c r="M6686" i="9"/>
  <c r="N6686" i="9"/>
  <c r="O6686" i="9"/>
  <c r="I6687" i="9"/>
  <c r="J6687" i="9"/>
  <c r="K6687" i="9"/>
  <c r="N6687" i="9"/>
  <c r="O6687" i="9"/>
  <c r="K6688" i="9"/>
  <c r="N6688" i="9"/>
  <c r="O6688" i="9"/>
  <c r="N6689" i="9"/>
  <c r="O6689" i="9"/>
  <c r="N6690" i="9"/>
  <c r="O6690" i="9"/>
  <c r="J6691" i="9"/>
  <c r="K6691" i="9"/>
  <c r="N6691" i="9"/>
  <c r="O6691" i="9"/>
  <c r="J6692" i="9"/>
  <c r="K6692" i="9"/>
  <c r="N6692" i="9"/>
  <c r="O6692" i="9"/>
  <c r="J6693" i="9"/>
  <c r="K6693" i="9"/>
  <c r="N6693" i="9"/>
  <c r="O6693" i="9"/>
  <c r="K6694" i="9"/>
  <c r="N6694" i="9"/>
  <c r="O6694" i="9"/>
  <c r="K6695" i="9"/>
  <c r="N6695" i="9"/>
  <c r="O6695" i="9"/>
  <c r="K6696" i="9"/>
  <c r="N6696" i="9"/>
  <c r="O6696" i="9"/>
  <c r="I6697" i="9"/>
  <c r="J6697" i="9"/>
  <c r="K6697" i="9"/>
  <c r="N6697" i="9"/>
  <c r="O6697" i="9"/>
  <c r="I6698" i="9"/>
  <c r="J6698" i="9"/>
  <c r="K6698" i="9"/>
  <c r="N6698" i="9"/>
  <c r="O6698" i="9"/>
  <c r="I6699" i="9"/>
  <c r="J6699" i="9"/>
  <c r="K6699" i="9"/>
  <c r="N6699" i="9"/>
  <c r="O6699" i="9"/>
  <c r="I6700" i="9"/>
  <c r="J6700" i="9"/>
  <c r="K6700" i="9"/>
  <c r="N6700" i="9"/>
  <c r="O6700" i="9"/>
  <c r="I6701" i="9"/>
  <c r="J6701" i="9"/>
  <c r="K6701" i="9"/>
  <c r="N6701" i="9"/>
  <c r="O6701" i="9"/>
  <c r="I6702" i="9"/>
  <c r="J6702" i="9"/>
  <c r="K6702" i="9"/>
  <c r="N6702" i="9"/>
  <c r="O6702" i="9"/>
  <c r="I6703" i="9"/>
  <c r="J6703" i="9"/>
  <c r="K6703" i="9"/>
  <c r="N6703" i="9"/>
  <c r="O6703" i="9"/>
  <c r="I6704" i="9"/>
  <c r="J6704" i="9"/>
  <c r="K6704" i="9"/>
  <c r="N6704" i="9"/>
  <c r="O6704" i="9"/>
  <c r="I6705" i="9"/>
  <c r="J6705" i="9"/>
  <c r="K6705" i="9"/>
  <c r="N6705" i="9"/>
  <c r="O6705" i="9"/>
  <c r="I6706" i="9"/>
  <c r="J6706" i="9"/>
  <c r="K6706" i="9"/>
  <c r="N6706" i="9"/>
  <c r="O6706" i="9"/>
  <c r="I6707" i="9"/>
  <c r="J6707" i="9"/>
  <c r="K6707" i="9"/>
  <c r="N6707" i="9"/>
  <c r="O6707" i="9"/>
  <c r="I6708" i="9"/>
  <c r="J6708" i="9"/>
  <c r="K6708" i="9"/>
  <c r="N6708" i="9"/>
  <c r="O6708" i="9"/>
  <c r="I6709" i="9"/>
  <c r="J6709" i="9"/>
  <c r="K6709" i="9"/>
  <c r="N6709" i="9"/>
  <c r="O6709" i="9"/>
  <c r="I6710" i="9"/>
  <c r="J6710" i="9"/>
  <c r="K6710" i="9"/>
  <c r="N6710" i="9"/>
  <c r="O6710" i="9"/>
  <c r="I6711" i="9"/>
  <c r="J6711" i="9"/>
  <c r="K6711" i="9"/>
  <c r="N6711" i="9"/>
  <c r="O6711" i="9"/>
  <c r="I6712" i="9"/>
  <c r="J6712" i="9"/>
  <c r="K6712" i="9"/>
  <c r="N6712" i="9"/>
  <c r="O6712" i="9"/>
  <c r="I6713" i="9"/>
  <c r="K6713" i="9"/>
  <c r="N6713" i="9"/>
  <c r="O6713" i="9"/>
  <c r="I6714" i="9"/>
  <c r="K6714" i="9"/>
  <c r="N6714" i="9"/>
  <c r="O6714" i="9"/>
  <c r="K6715" i="9"/>
  <c r="N6715" i="9"/>
  <c r="O6715" i="9"/>
  <c r="N6716" i="9"/>
  <c r="O6716" i="9"/>
  <c r="N6717" i="9"/>
  <c r="O6717" i="9"/>
  <c r="I6718" i="9"/>
  <c r="K6718" i="9"/>
  <c r="N6718" i="9"/>
  <c r="O6718" i="9"/>
  <c r="I6719" i="9"/>
  <c r="K6719" i="9"/>
  <c r="N6719" i="9"/>
  <c r="O6719" i="9"/>
  <c r="I6720" i="9"/>
  <c r="K6720" i="9"/>
  <c r="N6720" i="9"/>
  <c r="O6720" i="9"/>
  <c r="I6721" i="9"/>
  <c r="K6721" i="9"/>
  <c r="N6721" i="9"/>
  <c r="O6721" i="9"/>
  <c r="I6722" i="9"/>
  <c r="K6722" i="9"/>
  <c r="N6722" i="9"/>
  <c r="O6722" i="9"/>
  <c r="I6723" i="9"/>
  <c r="K6723" i="9"/>
  <c r="N6723" i="9"/>
  <c r="O6723" i="9"/>
  <c r="I6724" i="9"/>
  <c r="K6724" i="9"/>
  <c r="N6724" i="9"/>
  <c r="O6724" i="9"/>
  <c r="N6725" i="9"/>
  <c r="O6725" i="9"/>
  <c r="I6726" i="9"/>
  <c r="K6726" i="9"/>
  <c r="N6726" i="9"/>
  <c r="O6726" i="9"/>
  <c r="I6727" i="9"/>
  <c r="K6727" i="9"/>
  <c r="N6727" i="9"/>
  <c r="O6727" i="9"/>
  <c r="I6728" i="9"/>
  <c r="K6728" i="9"/>
  <c r="N6728" i="9"/>
  <c r="O6728" i="9"/>
  <c r="N6729" i="9"/>
  <c r="O6729" i="9"/>
  <c r="N6730" i="9"/>
  <c r="O6730" i="9"/>
  <c r="N6731" i="9"/>
  <c r="O6731" i="9"/>
  <c r="N6732" i="9"/>
  <c r="O6732" i="9"/>
  <c r="N6733" i="9"/>
  <c r="O6733" i="9"/>
  <c r="I6734" i="9"/>
  <c r="K6734" i="9"/>
  <c r="N6734" i="9"/>
  <c r="O6734" i="9"/>
  <c r="I6735" i="9"/>
  <c r="K6735" i="9"/>
  <c r="N6735" i="9"/>
  <c r="O6735" i="9"/>
  <c r="I6736" i="9"/>
  <c r="K6736" i="9"/>
  <c r="N6736" i="9"/>
  <c r="O6736" i="9"/>
  <c r="I6737" i="9"/>
  <c r="K6737" i="9"/>
  <c r="N6737" i="9"/>
  <c r="O6737" i="9"/>
  <c r="I6738" i="9"/>
  <c r="K6738" i="9"/>
  <c r="N6738" i="9"/>
  <c r="O6738" i="9"/>
  <c r="I6739" i="9"/>
  <c r="K6739" i="9"/>
  <c r="N6739" i="9"/>
  <c r="O6739" i="9"/>
  <c r="I6740" i="9"/>
  <c r="K6740" i="9"/>
  <c r="N6740" i="9"/>
  <c r="O6740" i="9"/>
  <c r="I6741" i="9"/>
  <c r="K6741" i="9"/>
  <c r="N6741" i="9"/>
  <c r="O6741" i="9"/>
  <c r="I6742" i="9"/>
  <c r="K6742" i="9"/>
  <c r="N6742" i="9"/>
  <c r="O6742" i="9"/>
  <c r="I6743" i="9"/>
  <c r="K6743" i="9"/>
  <c r="N6743" i="9"/>
  <c r="O6743" i="9"/>
  <c r="I6744" i="9"/>
  <c r="K6744" i="9"/>
  <c r="N6744" i="9"/>
  <c r="O6744" i="9"/>
  <c r="K6745" i="9"/>
  <c r="E6745" i="9"/>
  <c r="N6745" i="9"/>
  <c r="O6745" i="9"/>
  <c r="J6746" i="9"/>
  <c r="K6746" i="9"/>
  <c r="N6746" i="9"/>
  <c r="O6746" i="9"/>
  <c r="J6747" i="9"/>
  <c r="K6747" i="9"/>
  <c r="N6747" i="9"/>
  <c r="O6747" i="9"/>
  <c r="J6748" i="9"/>
  <c r="K6748" i="9"/>
  <c r="N6748" i="9"/>
  <c r="O6748" i="9"/>
  <c r="I6749" i="9"/>
  <c r="J6749" i="9"/>
  <c r="K6749" i="9"/>
  <c r="N6749" i="9"/>
  <c r="O6749" i="9"/>
  <c r="J6750" i="9"/>
  <c r="K6750" i="9"/>
  <c r="N6750" i="9"/>
  <c r="O6750" i="9"/>
  <c r="J6751" i="9"/>
  <c r="K6751" i="9"/>
  <c r="N6751" i="9"/>
  <c r="O6751" i="9"/>
  <c r="I6752" i="9"/>
  <c r="J6752" i="9"/>
  <c r="K6752" i="9"/>
  <c r="N6752" i="9"/>
  <c r="O6752" i="9"/>
  <c r="I6753" i="9"/>
  <c r="J6753" i="9"/>
  <c r="K6753" i="9"/>
  <c r="N6753" i="9"/>
  <c r="O6753" i="9"/>
  <c r="I6754" i="9"/>
  <c r="J6754" i="9"/>
  <c r="K6754" i="9"/>
  <c r="N6754" i="9"/>
  <c r="O6754" i="9"/>
  <c r="I6755" i="9"/>
  <c r="J6755" i="9"/>
  <c r="K6755" i="9"/>
  <c r="N6755" i="9"/>
  <c r="O6755" i="9"/>
  <c r="I6756" i="9"/>
  <c r="J6756" i="9"/>
  <c r="K6756" i="9"/>
  <c r="N6756" i="9"/>
  <c r="O6756" i="9"/>
  <c r="I6757" i="9"/>
  <c r="J6757" i="9"/>
  <c r="K6757" i="9"/>
  <c r="N6757" i="9"/>
  <c r="O6757" i="9"/>
  <c r="I6758" i="9"/>
  <c r="J6758" i="9"/>
  <c r="K6758" i="9"/>
  <c r="N6758" i="9"/>
  <c r="O6758" i="9"/>
  <c r="I6759" i="9"/>
  <c r="J6759" i="9"/>
  <c r="K6759" i="9"/>
  <c r="N6759" i="9"/>
  <c r="O6759" i="9"/>
  <c r="I6760" i="9"/>
  <c r="K6760" i="9"/>
  <c r="N6760" i="9"/>
  <c r="O6760" i="9"/>
  <c r="I6761" i="9"/>
  <c r="K6761" i="9"/>
  <c r="N6761" i="9"/>
  <c r="O6761" i="9"/>
  <c r="N6762" i="9"/>
  <c r="O6762" i="9"/>
  <c r="I6763" i="9"/>
  <c r="K6763" i="9"/>
  <c r="N6763" i="9"/>
  <c r="O6763" i="9"/>
  <c r="I6764" i="9"/>
  <c r="K6764" i="9"/>
  <c r="N6764" i="9"/>
  <c r="O6764" i="9"/>
  <c r="I6765" i="9"/>
  <c r="K6765" i="9"/>
  <c r="N6765" i="9"/>
  <c r="O6765" i="9"/>
  <c r="I6766" i="9"/>
  <c r="K6766" i="9"/>
  <c r="N6766" i="9"/>
  <c r="O6766" i="9"/>
  <c r="N6767" i="9"/>
  <c r="O6767" i="9"/>
  <c r="I6768" i="9"/>
  <c r="K6768" i="9"/>
  <c r="N6768" i="9"/>
  <c r="O6768" i="9"/>
  <c r="N6769" i="9"/>
  <c r="O6769" i="9"/>
  <c r="I6770" i="9"/>
  <c r="K6770" i="9"/>
  <c r="N6770" i="9"/>
  <c r="O6770" i="9"/>
  <c r="I6771" i="9"/>
  <c r="K6771" i="9"/>
  <c r="N6771" i="9"/>
  <c r="O6771" i="9"/>
  <c r="I6772" i="9"/>
  <c r="K6772" i="9"/>
  <c r="N6772" i="9"/>
  <c r="O6772" i="9"/>
  <c r="N6773" i="9"/>
  <c r="O6773" i="9"/>
  <c r="I6774" i="9"/>
  <c r="K6774" i="9"/>
  <c r="N6774" i="9"/>
  <c r="O6774" i="9"/>
  <c r="I6775" i="9"/>
  <c r="J6775" i="9"/>
  <c r="K6775" i="9"/>
  <c r="N6775" i="9"/>
  <c r="O6775" i="9"/>
  <c r="J6776" i="9"/>
  <c r="K6776" i="9"/>
  <c r="N6776" i="9"/>
  <c r="O6776" i="9"/>
  <c r="N6777" i="9"/>
  <c r="O6777" i="9"/>
  <c r="J6778" i="9"/>
  <c r="K6778" i="9"/>
  <c r="N6778" i="9"/>
  <c r="O6778" i="9"/>
  <c r="K6779" i="9"/>
  <c r="N6779" i="9"/>
  <c r="O6779" i="9"/>
  <c r="N6780" i="9"/>
  <c r="O6780" i="9"/>
  <c r="N6781" i="9"/>
  <c r="O6781" i="9"/>
  <c r="N6782" i="9"/>
  <c r="O6782" i="9"/>
  <c r="N6783" i="9"/>
  <c r="O6783" i="9"/>
  <c r="K6784" i="9"/>
  <c r="N6784" i="9"/>
  <c r="O6784" i="9"/>
  <c r="I6785" i="9"/>
  <c r="K6785" i="9"/>
  <c r="N6785" i="9"/>
  <c r="O6785" i="9"/>
  <c r="N6786" i="9"/>
  <c r="O6786" i="9"/>
  <c r="I6787" i="9"/>
  <c r="K6787" i="9"/>
  <c r="N6787" i="9"/>
  <c r="O6787" i="9"/>
  <c r="I6788" i="9"/>
  <c r="J6788" i="9"/>
  <c r="K6788" i="9"/>
  <c r="N6788" i="9"/>
  <c r="O6788" i="9"/>
  <c r="I6789" i="9"/>
  <c r="K6789" i="9"/>
  <c r="N6789" i="9"/>
  <c r="O6789" i="9"/>
  <c r="J6790" i="9"/>
  <c r="K6790" i="9"/>
  <c r="N6790" i="9"/>
  <c r="O6790" i="9"/>
  <c r="J6791" i="9"/>
  <c r="K6791" i="9"/>
  <c r="N6791" i="9"/>
  <c r="O6791" i="9"/>
  <c r="K6792" i="9"/>
  <c r="N6792" i="9"/>
  <c r="O6792" i="9"/>
  <c r="K6793" i="9"/>
  <c r="N6793" i="9"/>
  <c r="O6793" i="9"/>
  <c r="K6794" i="9"/>
  <c r="N6794" i="9"/>
  <c r="O6794" i="9"/>
  <c r="N6191" i="9"/>
  <c r="O6191" i="9"/>
  <c r="N6192" i="9"/>
  <c r="O6192" i="9"/>
  <c r="J6193" i="9"/>
  <c r="K6193" i="9"/>
  <c r="N6193" i="9"/>
  <c r="O6193" i="9"/>
  <c r="K6194" i="9"/>
  <c r="N6194" i="9"/>
  <c r="O6194" i="9"/>
  <c r="N6195" i="9"/>
  <c r="O6195" i="9"/>
  <c r="N6196" i="9"/>
  <c r="O6196" i="9"/>
  <c r="N6197" i="9"/>
  <c r="O6197" i="9"/>
  <c r="N6198" i="9"/>
  <c r="O6198" i="9"/>
  <c r="N6199" i="9"/>
  <c r="O6199" i="9"/>
  <c r="K6200" i="9"/>
  <c r="N6200" i="9"/>
  <c r="O6200" i="9"/>
  <c r="I6201" i="9"/>
  <c r="J6201" i="9"/>
  <c r="K6201" i="9"/>
  <c r="N6201" i="9"/>
  <c r="O6201" i="9"/>
  <c r="I6202" i="9"/>
  <c r="J6202" i="9"/>
  <c r="K6202" i="9"/>
  <c r="N6202" i="9"/>
  <c r="O6202" i="9"/>
  <c r="I6203" i="9"/>
  <c r="J6203" i="9"/>
  <c r="K6203" i="9"/>
  <c r="N6203" i="9"/>
  <c r="O6203" i="9"/>
  <c r="I6204" i="9"/>
  <c r="J6204" i="9"/>
  <c r="K6204" i="9"/>
  <c r="M6204" i="9"/>
  <c r="N6204" i="9"/>
  <c r="O6204" i="9"/>
  <c r="I6205" i="9"/>
  <c r="J6205" i="9"/>
  <c r="K6205" i="9"/>
  <c r="N6205" i="9"/>
  <c r="O6205" i="9"/>
  <c r="I6206" i="9"/>
  <c r="J6206" i="9"/>
  <c r="K6206" i="9"/>
  <c r="N6206" i="9"/>
  <c r="O6206" i="9"/>
  <c r="I6207" i="9"/>
  <c r="J6207" i="9"/>
  <c r="K6207" i="9"/>
  <c r="N6207" i="9"/>
  <c r="O6207" i="9"/>
  <c r="I6208" i="9"/>
  <c r="J6208" i="9"/>
  <c r="K6208" i="9"/>
  <c r="N6208" i="9"/>
  <c r="O6208" i="9"/>
  <c r="I6209" i="9"/>
  <c r="J6209" i="9"/>
  <c r="K6209" i="9"/>
  <c r="N6209" i="9"/>
  <c r="O6209" i="9"/>
  <c r="I6210" i="9"/>
  <c r="J6210" i="9"/>
  <c r="K6210" i="9"/>
  <c r="N6210" i="9"/>
  <c r="O6210" i="9"/>
  <c r="I6211" i="9"/>
  <c r="J6211" i="9"/>
  <c r="K6211" i="9"/>
  <c r="N6211" i="9"/>
  <c r="O6211" i="9"/>
  <c r="I6212" i="9"/>
  <c r="J6212" i="9"/>
  <c r="K6212" i="9"/>
  <c r="N6212" i="9"/>
  <c r="O6212" i="9"/>
  <c r="I6213" i="9"/>
  <c r="K6213" i="9"/>
  <c r="N6213" i="9"/>
  <c r="O6213" i="9"/>
  <c r="I6214" i="9"/>
  <c r="K6214" i="9"/>
  <c r="N6214" i="9"/>
  <c r="O6214" i="9"/>
  <c r="I6215" i="9"/>
  <c r="K6215" i="9"/>
  <c r="N6215" i="9"/>
  <c r="O6215" i="9"/>
  <c r="I6216" i="9"/>
  <c r="K6216" i="9"/>
  <c r="N6216" i="9"/>
  <c r="O6216" i="9"/>
  <c r="K6217" i="9"/>
  <c r="N6217" i="9"/>
  <c r="O6217" i="9"/>
  <c r="N6218" i="9"/>
  <c r="O6218" i="9"/>
  <c r="N6219" i="9"/>
  <c r="O6219" i="9"/>
  <c r="N6220" i="9"/>
  <c r="O6220" i="9"/>
  <c r="N6221" i="9"/>
  <c r="O6221" i="9"/>
  <c r="N6222" i="9"/>
  <c r="O6222" i="9"/>
  <c r="N6223" i="9"/>
  <c r="O6223" i="9"/>
  <c r="N6224" i="9"/>
  <c r="O6224" i="9"/>
  <c r="N6225" i="9"/>
  <c r="O6225" i="9"/>
  <c r="N6226" i="9"/>
  <c r="O6226" i="9"/>
  <c r="N6227" i="9"/>
  <c r="O6227" i="9"/>
  <c r="N6228" i="9"/>
  <c r="O6228" i="9"/>
  <c r="N6229" i="9"/>
  <c r="O6229" i="9"/>
  <c r="N6230" i="9"/>
  <c r="O6230" i="9"/>
  <c r="N6231" i="9"/>
  <c r="O6231" i="9"/>
  <c r="N6232" i="9"/>
  <c r="O6232" i="9"/>
  <c r="N6233" i="9"/>
  <c r="O6233" i="9"/>
  <c r="N6234" i="9"/>
  <c r="O6234" i="9"/>
  <c r="N6235" i="9"/>
  <c r="O6235" i="9"/>
  <c r="N6236" i="9"/>
  <c r="O6236" i="9"/>
  <c r="N6237" i="9"/>
  <c r="O6237" i="9"/>
  <c r="N6238" i="9"/>
  <c r="O6238" i="9"/>
  <c r="N6239" i="9"/>
  <c r="O6239" i="9"/>
  <c r="N6240" i="9"/>
  <c r="O6240" i="9"/>
  <c r="N6241" i="9"/>
  <c r="O6241" i="9"/>
  <c r="N6242" i="9"/>
  <c r="O6242" i="9"/>
  <c r="N6243" i="9"/>
  <c r="O6243" i="9"/>
  <c r="N6244" i="9"/>
  <c r="O6244" i="9"/>
  <c r="N6245" i="9"/>
  <c r="O6245" i="9"/>
  <c r="N6246" i="9"/>
  <c r="O6246" i="9"/>
  <c r="N6247" i="9"/>
  <c r="O6247" i="9"/>
  <c r="N6248" i="9"/>
  <c r="O6248" i="9"/>
  <c r="N6249" i="9"/>
  <c r="O6249" i="9"/>
  <c r="N6250" i="9"/>
  <c r="O6250" i="9"/>
  <c r="K6251" i="9"/>
  <c r="N6251" i="9"/>
  <c r="O6251" i="9"/>
  <c r="N6252" i="9"/>
  <c r="O6252" i="9"/>
  <c r="I6253" i="9"/>
  <c r="J6253" i="9"/>
  <c r="K6253" i="9"/>
  <c r="N6253" i="9"/>
  <c r="O6253" i="9"/>
  <c r="I6254" i="9"/>
  <c r="J6254" i="9"/>
  <c r="K6254" i="9"/>
  <c r="N6254" i="9"/>
  <c r="O6254" i="9"/>
  <c r="I6255" i="9"/>
  <c r="J6255" i="9"/>
  <c r="K6255" i="9"/>
  <c r="N6255" i="9"/>
  <c r="O6255" i="9"/>
  <c r="J6256" i="9"/>
  <c r="K6256" i="9"/>
  <c r="N6256" i="9"/>
  <c r="O6256" i="9"/>
  <c r="K6257" i="9"/>
  <c r="N6257" i="9"/>
  <c r="O6257" i="9"/>
  <c r="N6258" i="9"/>
  <c r="O6258" i="9"/>
  <c r="N6259" i="9"/>
  <c r="O6259" i="9"/>
  <c r="N6260" i="9"/>
  <c r="O6260" i="9"/>
  <c r="N6261" i="9"/>
  <c r="O6261" i="9"/>
  <c r="N6262" i="9"/>
  <c r="O6262" i="9"/>
  <c r="N6263" i="9"/>
  <c r="O6263" i="9"/>
  <c r="N6264" i="9"/>
  <c r="O6264" i="9"/>
  <c r="K6265" i="9"/>
  <c r="M6265" i="9"/>
  <c r="N6265" i="9"/>
  <c r="O6265" i="9"/>
  <c r="K6266" i="9"/>
  <c r="N6266" i="9"/>
  <c r="O6266" i="9"/>
  <c r="N6267" i="9"/>
  <c r="O6267" i="9"/>
  <c r="N6268" i="9"/>
  <c r="O6268" i="9"/>
  <c r="I6269" i="9"/>
  <c r="J6269" i="9"/>
  <c r="K6269" i="9"/>
  <c r="N6269" i="9"/>
  <c r="O6269" i="9"/>
  <c r="I6270" i="9"/>
  <c r="J6270" i="9"/>
  <c r="K6270" i="9"/>
  <c r="N6270" i="9"/>
  <c r="O6270" i="9"/>
  <c r="I6271" i="9"/>
  <c r="J6271" i="9"/>
  <c r="K6271" i="9"/>
  <c r="N6271" i="9"/>
  <c r="O6271" i="9"/>
  <c r="I6272" i="9"/>
  <c r="J6272" i="9"/>
  <c r="K6272" i="9"/>
  <c r="N6272" i="9"/>
  <c r="O6272" i="9"/>
  <c r="I6273" i="9"/>
  <c r="K6273" i="9"/>
  <c r="N6273" i="9"/>
  <c r="O6273" i="9"/>
  <c r="I6274" i="9"/>
  <c r="K6274" i="9"/>
  <c r="M6274" i="9"/>
  <c r="N6274" i="9"/>
  <c r="O6274" i="9"/>
  <c r="I6275" i="9"/>
  <c r="K6275" i="9"/>
  <c r="N6275" i="9"/>
  <c r="O6275" i="9"/>
  <c r="I6276" i="9"/>
  <c r="K6276" i="9"/>
  <c r="N6276" i="9"/>
  <c r="O6276" i="9"/>
  <c r="K6277" i="9"/>
  <c r="N6277" i="9"/>
  <c r="O6277" i="9"/>
  <c r="K6278" i="9"/>
  <c r="N6278" i="9"/>
  <c r="O6278" i="9"/>
  <c r="N6279" i="9"/>
  <c r="O6279" i="9"/>
  <c r="N6280" i="9"/>
  <c r="O6280" i="9"/>
  <c r="N6281" i="9"/>
  <c r="O6281" i="9"/>
  <c r="N6282" i="9"/>
  <c r="O6282" i="9"/>
  <c r="N6283" i="9"/>
  <c r="O6283" i="9"/>
  <c r="N6284" i="9"/>
  <c r="O6284" i="9"/>
  <c r="J6285" i="9"/>
  <c r="K6285" i="9"/>
  <c r="N6285" i="9"/>
  <c r="O6285" i="9"/>
  <c r="J6286" i="9"/>
  <c r="K6286" i="9"/>
  <c r="N6286" i="9"/>
  <c r="O6286" i="9"/>
  <c r="J6287" i="9"/>
  <c r="K6287" i="9"/>
  <c r="N6287" i="9"/>
  <c r="O6287" i="9"/>
  <c r="J6288" i="9"/>
  <c r="K6288" i="9"/>
  <c r="N6288" i="9"/>
  <c r="O6288" i="9"/>
  <c r="I6289" i="9"/>
  <c r="J6289" i="9"/>
  <c r="K6289" i="9"/>
  <c r="N6289" i="9"/>
  <c r="O6289" i="9"/>
  <c r="I6290" i="9"/>
  <c r="J6290" i="9"/>
  <c r="K6290" i="9"/>
  <c r="N6290" i="9"/>
  <c r="O6290" i="9"/>
  <c r="I6291" i="9"/>
  <c r="J6291" i="9"/>
  <c r="K6291" i="9"/>
  <c r="N6291" i="9"/>
  <c r="O6291" i="9"/>
  <c r="I6292" i="9"/>
  <c r="K6292" i="9"/>
  <c r="N6292" i="9"/>
  <c r="O6292" i="9"/>
  <c r="N6293" i="9"/>
  <c r="O6293" i="9"/>
  <c r="J6294" i="9"/>
  <c r="K6294" i="9"/>
  <c r="N6294" i="9"/>
  <c r="O6294" i="9"/>
  <c r="J6295" i="9"/>
  <c r="K6295" i="9"/>
  <c r="N6295" i="9"/>
  <c r="O6295" i="9"/>
  <c r="I6296" i="9"/>
  <c r="J6296" i="9"/>
  <c r="K6296" i="9"/>
  <c r="N6296" i="9"/>
  <c r="O6296" i="9"/>
  <c r="J6297" i="9"/>
  <c r="K6297" i="9"/>
  <c r="N6297" i="9"/>
  <c r="O6297" i="9"/>
  <c r="J6298" i="9"/>
  <c r="K6298" i="9"/>
  <c r="N6298" i="9"/>
  <c r="O6298" i="9"/>
  <c r="I6299" i="9"/>
  <c r="J6299" i="9"/>
  <c r="K6299" i="9"/>
  <c r="N6299" i="9"/>
  <c r="O6299" i="9"/>
  <c r="I6300" i="9"/>
  <c r="J6300" i="9"/>
  <c r="K6300" i="9"/>
  <c r="N6300" i="9"/>
  <c r="O6300" i="9"/>
  <c r="I6301" i="9"/>
  <c r="J6301" i="9"/>
  <c r="K6301" i="9"/>
  <c r="N6301" i="9"/>
  <c r="O6301" i="9"/>
  <c r="I6302" i="9"/>
  <c r="J6302" i="9"/>
  <c r="K6302" i="9"/>
  <c r="N6302" i="9"/>
  <c r="O6302" i="9"/>
  <c r="I6303" i="9"/>
  <c r="J6303" i="9"/>
  <c r="K6303" i="9"/>
  <c r="N6303" i="9"/>
  <c r="O6303" i="9"/>
  <c r="I6304" i="9"/>
  <c r="K6304" i="9"/>
  <c r="N6304" i="9"/>
  <c r="O6304" i="9"/>
  <c r="J6305" i="9"/>
  <c r="K6305" i="9"/>
  <c r="N6305" i="9"/>
  <c r="O6305" i="9"/>
  <c r="J6306" i="9"/>
  <c r="K6306" i="9"/>
  <c r="N6306" i="9"/>
  <c r="O6306" i="9"/>
  <c r="N6307" i="9"/>
  <c r="O6307" i="9"/>
  <c r="I6308" i="9"/>
  <c r="K6308" i="9"/>
  <c r="N6308" i="9"/>
  <c r="O6308" i="9"/>
  <c r="I6309" i="9"/>
  <c r="K6309" i="9"/>
  <c r="N6309" i="9"/>
  <c r="O6309" i="9"/>
  <c r="I6310" i="9"/>
  <c r="K6310" i="9"/>
  <c r="N6310" i="9"/>
  <c r="O6310" i="9"/>
  <c r="I6311" i="9"/>
  <c r="K6311" i="9"/>
  <c r="N6311" i="9"/>
  <c r="O6311" i="9"/>
  <c r="I6312" i="9"/>
  <c r="K6312" i="9"/>
  <c r="N6312" i="9"/>
  <c r="O6312" i="9"/>
  <c r="I6313" i="9"/>
  <c r="J6313" i="9"/>
  <c r="K6313" i="9"/>
  <c r="N6313" i="9"/>
  <c r="O6313" i="9"/>
  <c r="J6314" i="9"/>
  <c r="K6314" i="9"/>
  <c r="N6314" i="9"/>
  <c r="O6314" i="9"/>
  <c r="I6315" i="9"/>
  <c r="J6315" i="9"/>
  <c r="K6315" i="9"/>
  <c r="N6315" i="9"/>
  <c r="O6315" i="9"/>
  <c r="I6316" i="9"/>
  <c r="J6316" i="9"/>
  <c r="K6316" i="9"/>
  <c r="N6316" i="9"/>
  <c r="O6316" i="9"/>
  <c r="I6317" i="9"/>
  <c r="J6317" i="9"/>
  <c r="K6317" i="9"/>
  <c r="N6317" i="9"/>
  <c r="O6317" i="9"/>
  <c r="I6318" i="9"/>
  <c r="J6318" i="9"/>
  <c r="K6318" i="9"/>
  <c r="N6318" i="9"/>
  <c r="O6318" i="9"/>
  <c r="J6319" i="9"/>
  <c r="K6319" i="9"/>
  <c r="N6319" i="9"/>
  <c r="O6319" i="9"/>
  <c r="I6320" i="9"/>
  <c r="J6320" i="9"/>
  <c r="K6320" i="9"/>
  <c r="N6320" i="9"/>
  <c r="O6320" i="9"/>
  <c r="J6321" i="9"/>
  <c r="K6321" i="9"/>
  <c r="N6321" i="9"/>
  <c r="O6321" i="9"/>
  <c r="N6322" i="9"/>
  <c r="O6322" i="9"/>
  <c r="I6323" i="9"/>
  <c r="J6323" i="9"/>
  <c r="K6323" i="9"/>
  <c r="N6323" i="9"/>
  <c r="O6323" i="9"/>
  <c r="I6324" i="9"/>
  <c r="J6324" i="9"/>
  <c r="K6324" i="9"/>
  <c r="N6324" i="9"/>
  <c r="O6324" i="9"/>
  <c r="I6325" i="9"/>
  <c r="J6325" i="9"/>
  <c r="K6325" i="9"/>
  <c r="N6325" i="9"/>
  <c r="O6325" i="9"/>
  <c r="I6326" i="9"/>
  <c r="J6326" i="9"/>
  <c r="K6326" i="9"/>
  <c r="N6326" i="9"/>
  <c r="O6326" i="9"/>
  <c r="I6327" i="9"/>
  <c r="J6327" i="9"/>
  <c r="K6327" i="9"/>
  <c r="N6327" i="9"/>
  <c r="O6327" i="9"/>
  <c r="I6328" i="9"/>
  <c r="J6328" i="9"/>
  <c r="K6328" i="9"/>
  <c r="N6328" i="9"/>
  <c r="O6328" i="9"/>
  <c r="I6329" i="9"/>
  <c r="J6329" i="9"/>
  <c r="K6329" i="9"/>
  <c r="N6329" i="9"/>
  <c r="O6329" i="9"/>
  <c r="I6330" i="9"/>
  <c r="J6330" i="9"/>
  <c r="K6330" i="9"/>
  <c r="N6330" i="9"/>
  <c r="O6330" i="9"/>
  <c r="N6331" i="9"/>
  <c r="O6331" i="9"/>
  <c r="I6332" i="9"/>
  <c r="J6332" i="9"/>
  <c r="K6332" i="9"/>
  <c r="N6332" i="9"/>
  <c r="O6332" i="9"/>
  <c r="I6333" i="9"/>
  <c r="J6333" i="9"/>
  <c r="K6333" i="9"/>
  <c r="N6333" i="9"/>
  <c r="O6333" i="9"/>
  <c r="I6334" i="9"/>
  <c r="J6334" i="9"/>
  <c r="K6334" i="9"/>
  <c r="N6334" i="9"/>
  <c r="O6334" i="9"/>
  <c r="I6335" i="9"/>
  <c r="J6335" i="9"/>
  <c r="K6335" i="9"/>
  <c r="N6335" i="9"/>
  <c r="O6335" i="9"/>
  <c r="I6336" i="9"/>
  <c r="J6336" i="9"/>
  <c r="K6336" i="9"/>
  <c r="N6336" i="9"/>
  <c r="O6336" i="9"/>
  <c r="I6337" i="9"/>
  <c r="J6337" i="9"/>
  <c r="K6337" i="9"/>
  <c r="N6337" i="9"/>
  <c r="O6337" i="9"/>
  <c r="I6338" i="9"/>
  <c r="J6338" i="9"/>
  <c r="K6338" i="9"/>
  <c r="N6338" i="9"/>
  <c r="O6338" i="9"/>
  <c r="I6339" i="9"/>
  <c r="J6339" i="9"/>
  <c r="K6339" i="9"/>
  <c r="N6339" i="9"/>
  <c r="O6339" i="9"/>
  <c r="I6340" i="9"/>
  <c r="K6340" i="9"/>
  <c r="N6340" i="9"/>
  <c r="O6340" i="9"/>
  <c r="I6341" i="9"/>
  <c r="K6341" i="9"/>
  <c r="N6341" i="9"/>
  <c r="O6341" i="9"/>
  <c r="I6342" i="9"/>
  <c r="K6342" i="9"/>
  <c r="N6342" i="9"/>
  <c r="O6342" i="9"/>
  <c r="I6343" i="9"/>
  <c r="K6343" i="9"/>
  <c r="N6343" i="9"/>
  <c r="O6343" i="9"/>
  <c r="I6344" i="9"/>
  <c r="K6344" i="9"/>
  <c r="N6344" i="9"/>
  <c r="O6344" i="9"/>
  <c r="I6345" i="9"/>
  <c r="K6345" i="9"/>
  <c r="N6345" i="9"/>
  <c r="O6345" i="9"/>
  <c r="I6346" i="9"/>
  <c r="K6346" i="9"/>
  <c r="N6346" i="9"/>
  <c r="O6346" i="9"/>
  <c r="I6347" i="9"/>
  <c r="K6347" i="9"/>
  <c r="N6347" i="9"/>
  <c r="O6347" i="9"/>
  <c r="N6348" i="9"/>
  <c r="O6348" i="9"/>
  <c r="I6349" i="9"/>
  <c r="K6349" i="9"/>
  <c r="N6349" i="9"/>
  <c r="O6349" i="9"/>
  <c r="I6350" i="9"/>
  <c r="K6350" i="9"/>
  <c r="N6350" i="9"/>
  <c r="O6350" i="9"/>
  <c r="K6351" i="9"/>
  <c r="N6351" i="9"/>
  <c r="O6351" i="9"/>
  <c r="N6352" i="9"/>
  <c r="O6352" i="9"/>
  <c r="N6353" i="9"/>
  <c r="O6353" i="9"/>
  <c r="J6354" i="9"/>
  <c r="K6354" i="9"/>
  <c r="N6354" i="9"/>
  <c r="O6354" i="9"/>
  <c r="J6355" i="9"/>
  <c r="K6355" i="9"/>
  <c r="N6355" i="9"/>
  <c r="O6355" i="9"/>
  <c r="N6356" i="9"/>
  <c r="O6356" i="9"/>
  <c r="N6357" i="9"/>
  <c r="O6357" i="9"/>
  <c r="N6358" i="9"/>
  <c r="O6358" i="9"/>
  <c r="N6359" i="9"/>
  <c r="O6359" i="9"/>
  <c r="J6360" i="9"/>
  <c r="K6360" i="9"/>
  <c r="N6360" i="9"/>
  <c r="O6360" i="9"/>
  <c r="I6361" i="9"/>
  <c r="J6361" i="9"/>
  <c r="K6361" i="9"/>
  <c r="N6361" i="9"/>
  <c r="O6361" i="9"/>
  <c r="I6362" i="9"/>
  <c r="J6362" i="9"/>
  <c r="K6362" i="9"/>
  <c r="M6362" i="9"/>
  <c r="N6362" i="9"/>
  <c r="O6362" i="9"/>
  <c r="J6363" i="9"/>
  <c r="K6363" i="9"/>
  <c r="N6363" i="9"/>
  <c r="O6363" i="9"/>
  <c r="K6364" i="9"/>
  <c r="N6364" i="9"/>
  <c r="O6364" i="9"/>
  <c r="N6365" i="9"/>
  <c r="O6365" i="9"/>
  <c r="J6366" i="9"/>
  <c r="K6366" i="9"/>
  <c r="N6366" i="9"/>
  <c r="O6366" i="9"/>
  <c r="J6367" i="9"/>
  <c r="K6367" i="9"/>
  <c r="N6367" i="9"/>
  <c r="O6367" i="9"/>
  <c r="J6368" i="9"/>
  <c r="K6368" i="9"/>
  <c r="N6368" i="9"/>
  <c r="O6368" i="9"/>
  <c r="I6369" i="9"/>
  <c r="J6369" i="9"/>
  <c r="K6369" i="9"/>
  <c r="N6369" i="9"/>
  <c r="O6369" i="9"/>
  <c r="I6370" i="9"/>
  <c r="J6370" i="9"/>
  <c r="K6370" i="9"/>
  <c r="N6370" i="9"/>
  <c r="O6370" i="9"/>
  <c r="I6371" i="9"/>
  <c r="J6371" i="9"/>
  <c r="K6371" i="9"/>
  <c r="N6371" i="9"/>
  <c r="O6371" i="9"/>
  <c r="I6372" i="9"/>
  <c r="J6372" i="9"/>
  <c r="K6372" i="9"/>
  <c r="N6372" i="9"/>
  <c r="O6372" i="9"/>
  <c r="I6373" i="9"/>
  <c r="J6373" i="9"/>
  <c r="K6373" i="9"/>
  <c r="N6373" i="9"/>
  <c r="O6373" i="9"/>
  <c r="I6374" i="9"/>
  <c r="J6374" i="9"/>
  <c r="K6374" i="9"/>
  <c r="N6374" i="9"/>
  <c r="O6374" i="9"/>
  <c r="I6375" i="9"/>
  <c r="J6375" i="9"/>
  <c r="K6375" i="9"/>
  <c r="N6375" i="9"/>
  <c r="O6375" i="9"/>
  <c r="I6376" i="9"/>
  <c r="J6376" i="9"/>
  <c r="K6376" i="9"/>
  <c r="N6376" i="9"/>
  <c r="O6376" i="9"/>
  <c r="I6377" i="9"/>
  <c r="J6377" i="9"/>
  <c r="K6377" i="9"/>
  <c r="N6377" i="9"/>
  <c r="O6377" i="9"/>
  <c r="I6378" i="9"/>
  <c r="J6378" i="9"/>
  <c r="K6378" i="9"/>
  <c r="N6378" i="9"/>
  <c r="O6378" i="9"/>
  <c r="I6379" i="9"/>
  <c r="K6379" i="9"/>
  <c r="N6379" i="9"/>
  <c r="O6379" i="9"/>
  <c r="I6380" i="9"/>
  <c r="K6380" i="9"/>
  <c r="N6380" i="9"/>
  <c r="O6380" i="9"/>
  <c r="N6381" i="9"/>
  <c r="O6381" i="9"/>
  <c r="I6382" i="9"/>
  <c r="K6382" i="9"/>
  <c r="N6382" i="9"/>
  <c r="O6382" i="9"/>
  <c r="I6383" i="9"/>
  <c r="K6383" i="9"/>
  <c r="N6383" i="9"/>
  <c r="O6383" i="9"/>
  <c r="N6384" i="9"/>
  <c r="O6384" i="9"/>
  <c r="K6385" i="9"/>
  <c r="N6385" i="9"/>
  <c r="O6385" i="9"/>
  <c r="J6386" i="9"/>
  <c r="K6386" i="9"/>
  <c r="N6386" i="9"/>
  <c r="O6386" i="9"/>
  <c r="K6387" i="9"/>
  <c r="N6387" i="9"/>
  <c r="O6387" i="9"/>
  <c r="N6388" i="9"/>
  <c r="O6388" i="9"/>
  <c r="N6389" i="9"/>
  <c r="O6389" i="9"/>
  <c r="N6390" i="9"/>
  <c r="O6390" i="9"/>
  <c r="N6391" i="9"/>
  <c r="O6391" i="9"/>
  <c r="N6392" i="9"/>
  <c r="O6392" i="9"/>
  <c r="K6393" i="9"/>
  <c r="N6393" i="9"/>
  <c r="O6393" i="9"/>
  <c r="N6394" i="9"/>
  <c r="O6394" i="9"/>
  <c r="J6395" i="9"/>
  <c r="K6395" i="9"/>
  <c r="N6395" i="9"/>
  <c r="O6395" i="9"/>
  <c r="K6396" i="9"/>
  <c r="N6396" i="9"/>
  <c r="O6396" i="9"/>
  <c r="N6397" i="9"/>
  <c r="O6397" i="9"/>
  <c r="N6398" i="9"/>
  <c r="O6398" i="9"/>
  <c r="N6399" i="9"/>
  <c r="O6399" i="9"/>
  <c r="N6400" i="9"/>
  <c r="O6400" i="9"/>
  <c r="N6401" i="9"/>
  <c r="O6401" i="9"/>
  <c r="N6402" i="9"/>
  <c r="O6402" i="9"/>
  <c r="N6403" i="9"/>
  <c r="O6403" i="9"/>
  <c r="N6404" i="9"/>
  <c r="O6404" i="9"/>
  <c r="N6405" i="9"/>
  <c r="O6405" i="9"/>
  <c r="N6406" i="9"/>
  <c r="O6406" i="9"/>
  <c r="J6407" i="9"/>
  <c r="K6407" i="9"/>
  <c r="M6407" i="9"/>
  <c r="N6407" i="9"/>
  <c r="O6407" i="9"/>
  <c r="J6408" i="9"/>
  <c r="K6408" i="9"/>
  <c r="N6408" i="9"/>
  <c r="O6408" i="9"/>
  <c r="J6409" i="9"/>
  <c r="K6409" i="9"/>
  <c r="M6409" i="9"/>
  <c r="N6409" i="9"/>
  <c r="O6409" i="9"/>
  <c r="I6410" i="9"/>
  <c r="J6410" i="9"/>
  <c r="K6410" i="9"/>
  <c r="N6410" i="9"/>
  <c r="O6410" i="9"/>
  <c r="I6411" i="9"/>
  <c r="J6411" i="9"/>
  <c r="K6411" i="9"/>
  <c r="N6411" i="9"/>
  <c r="O6411" i="9"/>
  <c r="I6412" i="9"/>
  <c r="J6412" i="9"/>
  <c r="K6412" i="9"/>
  <c r="N6412" i="9"/>
  <c r="O6412" i="9"/>
  <c r="I6413" i="9"/>
  <c r="J6413" i="9"/>
  <c r="K6413" i="9"/>
  <c r="N6413" i="9"/>
  <c r="O6413" i="9"/>
  <c r="I6414" i="9"/>
  <c r="K6414" i="9"/>
  <c r="N6414" i="9"/>
  <c r="O6414" i="9"/>
  <c r="N6415" i="9"/>
  <c r="O6415" i="9"/>
  <c r="I6416" i="9"/>
  <c r="K6416" i="9"/>
  <c r="N6416" i="9"/>
  <c r="O6416" i="9"/>
  <c r="I6417" i="9"/>
  <c r="K6417" i="9"/>
  <c r="N6417" i="9"/>
  <c r="O6417" i="9"/>
  <c r="N6179" i="9"/>
  <c r="O6179" i="9"/>
  <c r="I6180" i="9"/>
  <c r="K6180" i="9"/>
  <c r="N6180" i="9"/>
  <c r="O6180" i="9"/>
  <c r="N6181" i="9"/>
  <c r="O6181" i="9"/>
  <c r="I6182" i="9"/>
  <c r="K6182" i="9"/>
  <c r="N6182" i="9"/>
  <c r="O6182" i="9"/>
  <c r="J6183" i="9"/>
  <c r="K6183" i="9"/>
  <c r="N6183" i="9"/>
  <c r="O6183" i="9"/>
  <c r="J6184" i="9"/>
  <c r="K6184" i="9"/>
  <c r="N6184" i="9"/>
  <c r="O6184" i="9"/>
  <c r="J6185" i="9"/>
  <c r="K6185" i="9"/>
  <c r="N6185" i="9"/>
  <c r="O6185" i="9"/>
  <c r="J6186" i="9"/>
  <c r="K6186" i="9"/>
  <c r="N6186" i="9"/>
  <c r="O6186" i="9"/>
  <c r="J6187" i="9"/>
  <c r="K6187" i="9"/>
  <c r="N6187" i="9"/>
  <c r="O6187" i="9"/>
  <c r="J6188" i="9"/>
  <c r="K6188" i="9"/>
  <c r="N6188" i="9"/>
  <c r="O6188" i="9"/>
  <c r="N6189" i="9"/>
  <c r="O6189" i="9"/>
  <c r="N6190" i="9"/>
  <c r="O6190" i="9"/>
  <c r="I6063" i="9"/>
  <c r="J6063" i="9"/>
  <c r="K6063" i="9"/>
  <c r="N6063" i="9"/>
  <c r="O6063" i="9"/>
  <c r="I6064" i="9"/>
  <c r="K6064" i="9"/>
  <c r="N6064" i="9"/>
  <c r="O6064" i="9"/>
  <c r="I6065" i="9"/>
  <c r="K6065" i="9"/>
  <c r="N6065" i="9"/>
  <c r="O6065" i="9"/>
  <c r="N6066" i="9"/>
  <c r="O6066" i="9"/>
  <c r="I6067" i="9"/>
  <c r="K6067" i="9"/>
  <c r="N6067" i="9"/>
  <c r="O6067" i="9"/>
  <c r="N6068" i="9"/>
  <c r="O6068" i="9"/>
  <c r="I6069" i="9"/>
  <c r="K6069" i="9"/>
  <c r="N6069" i="9"/>
  <c r="O6069" i="9"/>
  <c r="J6070" i="9"/>
  <c r="K6070" i="9"/>
  <c r="N6070" i="9"/>
  <c r="O6070" i="9"/>
  <c r="I6071" i="9"/>
  <c r="K6071" i="9"/>
  <c r="N6071" i="9"/>
  <c r="O6071" i="9"/>
  <c r="I6072" i="9"/>
  <c r="K6072" i="9"/>
  <c r="N6072" i="9"/>
  <c r="O6072" i="9"/>
  <c r="N6073" i="9"/>
  <c r="O6073" i="9"/>
  <c r="I6074" i="9"/>
  <c r="J6074" i="9"/>
  <c r="K6074" i="9"/>
  <c r="N6074" i="9"/>
  <c r="O6074" i="9"/>
  <c r="I6075" i="9"/>
  <c r="K6075" i="9"/>
  <c r="N6075" i="9"/>
  <c r="O6075" i="9"/>
  <c r="J6076" i="9"/>
  <c r="K6076" i="9"/>
  <c r="N6076" i="9"/>
  <c r="O6076" i="9"/>
  <c r="K6077" i="9"/>
  <c r="N6077" i="9"/>
  <c r="O6077" i="9"/>
  <c r="N6078" i="9"/>
  <c r="O6078" i="9"/>
  <c r="N6079" i="9"/>
  <c r="O6079" i="9"/>
  <c r="N6080" i="9"/>
  <c r="O6080" i="9"/>
  <c r="N6081" i="9"/>
  <c r="O6081" i="9"/>
  <c r="N6082" i="9"/>
  <c r="O6082" i="9"/>
  <c r="N6083" i="9"/>
  <c r="O6083" i="9"/>
  <c r="J6084" i="9"/>
  <c r="K6084" i="9"/>
  <c r="M6084" i="9"/>
  <c r="N6084" i="9"/>
  <c r="O6084" i="9"/>
  <c r="K6085" i="9"/>
  <c r="N6085" i="9"/>
  <c r="O6085" i="9"/>
  <c r="N6086" i="9"/>
  <c r="O6086" i="9"/>
  <c r="N6087" i="9"/>
  <c r="O6087" i="9"/>
  <c r="J6088" i="9"/>
  <c r="K6088" i="9"/>
  <c r="N6088" i="9"/>
  <c r="O6088" i="9"/>
  <c r="K6089" i="9"/>
  <c r="N6089" i="9"/>
  <c r="O6089" i="9"/>
  <c r="I6090" i="9"/>
  <c r="J6090" i="9"/>
  <c r="K6090" i="9"/>
  <c r="N6090" i="9"/>
  <c r="O6090" i="9"/>
  <c r="J6091" i="9"/>
  <c r="K6091" i="9"/>
  <c r="N6091" i="9"/>
  <c r="O6091" i="9"/>
  <c r="K6092" i="9"/>
  <c r="N6092" i="9"/>
  <c r="O6092" i="9"/>
  <c r="N6093" i="9"/>
  <c r="O6093" i="9"/>
  <c r="N6094" i="9"/>
  <c r="O6094" i="9"/>
  <c r="I6095" i="9"/>
  <c r="J6095" i="9"/>
  <c r="K6095" i="9"/>
  <c r="N6095" i="9"/>
  <c r="O6095" i="9"/>
  <c r="I6096" i="9"/>
  <c r="J6096" i="9"/>
  <c r="K6096" i="9"/>
  <c r="N6096" i="9"/>
  <c r="O6096" i="9"/>
  <c r="I6097" i="9"/>
  <c r="J6097" i="9"/>
  <c r="K6097" i="9"/>
  <c r="N6097" i="9"/>
  <c r="O6097" i="9"/>
  <c r="I6098" i="9"/>
  <c r="J6098" i="9"/>
  <c r="K6098" i="9"/>
  <c r="N6098" i="9"/>
  <c r="O6098" i="9"/>
  <c r="I6099" i="9"/>
  <c r="J6099" i="9"/>
  <c r="K6099" i="9"/>
  <c r="N6099" i="9"/>
  <c r="O6099" i="9"/>
  <c r="I6100" i="9"/>
  <c r="J6100" i="9"/>
  <c r="K6100" i="9"/>
  <c r="N6100" i="9"/>
  <c r="O6100" i="9"/>
  <c r="I6101" i="9"/>
  <c r="J6101" i="9"/>
  <c r="K6101" i="9"/>
  <c r="N6101" i="9"/>
  <c r="O6101" i="9"/>
  <c r="I6102" i="9"/>
  <c r="J6102" i="9"/>
  <c r="K6102" i="9"/>
  <c r="N6102" i="9"/>
  <c r="O6102" i="9"/>
  <c r="I6103" i="9"/>
  <c r="J6103" i="9"/>
  <c r="K6103" i="9"/>
  <c r="N6103" i="9"/>
  <c r="O6103" i="9"/>
  <c r="I6104" i="9"/>
  <c r="J6104" i="9"/>
  <c r="K6104" i="9"/>
  <c r="N6104" i="9"/>
  <c r="O6104" i="9"/>
  <c r="I6105" i="9"/>
  <c r="K6105" i="9"/>
  <c r="N6105" i="9"/>
  <c r="O6105" i="9"/>
  <c r="N6106" i="9"/>
  <c r="O6106" i="9"/>
  <c r="I6107" i="9"/>
  <c r="J6107" i="9"/>
  <c r="K6107" i="9"/>
  <c r="N6107" i="9"/>
  <c r="O6107" i="9"/>
  <c r="I6108" i="9"/>
  <c r="J6108" i="9"/>
  <c r="K6108" i="9"/>
  <c r="N6108" i="9"/>
  <c r="O6108" i="9"/>
  <c r="I6109" i="9"/>
  <c r="J6109" i="9"/>
  <c r="K6109" i="9"/>
  <c r="N6109" i="9"/>
  <c r="O6109" i="9"/>
  <c r="I6110" i="9"/>
  <c r="K6110" i="9"/>
  <c r="N6110" i="9"/>
  <c r="O6110" i="9"/>
  <c r="I6111" i="9"/>
  <c r="K6111" i="9"/>
  <c r="N6111" i="9"/>
  <c r="O6111" i="9"/>
  <c r="I6112" i="9"/>
  <c r="K6112" i="9"/>
  <c r="N6112" i="9"/>
  <c r="O6112" i="9"/>
  <c r="J6113" i="9"/>
  <c r="K6113" i="9"/>
  <c r="M6113" i="9"/>
  <c r="N6113" i="9"/>
  <c r="O6113" i="9"/>
  <c r="J6114" i="9"/>
  <c r="K6114" i="9"/>
  <c r="N6114" i="9"/>
  <c r="O6114" i="9"/>
  <c r="J6115" i="9"/>
  <c r="K6115" i="9"/>
  <c r="N6115" i="9"/>
  <c r="O6115" i="9"/>
  <c r="N6116" i="9"/>
  <c r="O6116" i="9"/>
  <c r="J6117" i="9"/>
  <c r="K6117" i="9"/>
  <c r="N6117" i="9"/>
  <c r="O6117" i="9"/>
  <c r="J6118" i="9"/>
  <c r="K6118" i="9"/>
  <c r="N6118" i="9"/>
  <c r="O6118" i="9"/>
  <c r="J6119" i="9"/>
  <c r="K6119" i="9"/>
  <c r="N6119" i="9"/>
  <c r="O6119" i="9"/>
  <c r="J6120" i="9"/>
  <c r="K6120" i="9"/>
  <c r="N6120" i="9"/>
  <c r="O6120" i="9"/>
  <c r="I6121" i="9"/>
  <c r="J6121" i="9"/>
  <c r="K6121" i="9"/>
  <c r="N6121" i="9"/>
  <c r="O6121" i="9"/>
  <c r="J6122" i="9"/>
  <c r="K6122" i="9"/>
  <c r="N6122" i="9"/>
  <c r="O6122" i="9"/>
  <c r="J6123" i="9"/>
  <c r="K6123" i="9"/>
  <c r="N6123" i="9"/>
  <c r="O6123" i="9"/>
  <c r="I6124" i="9"/>
  <c r="J6124" i="9"/>
  <c r="K6124" i="9"/>
  <c r="N6124" i="9"/>
  <c r="O6124" i="9"/>
  <c r="K6125" i="9"/>
  <c r="N6125" i="9"/>
  <c r="O6125" i="9"/>
  <c r="I6126" i="9"/>
  <c r="J6126" i="9"/>
  <c r="K6126" i="9"/>
  <c r="N6126" i="9"/>
  <c r="O6126" i="9"/>
  <c r="I6127" i="9"/>
  <c r="J6127" i="9"/>
  <c r="K6127" i="9"/>
  <c r="N6127" i="9"/>
  <c r="O6127" i="9"/>
  <c r="I6128" i="9"/>
  <c r="J6128" i="9"/>
  <c r="K6128" i="9"/>
  <c r="N6128" i="9"/>
  <c r="O6128" i="9"/>
  <c r="I6129" i="9"/>
  <c r="J6129" i="9"/>
  <c r="K6129" i="9"/>
  <c r="N6129" i="9"/>
  <c r="O6129" i="9"/>
  <c r="I6130" i="9"/>
  <c r="J6130" i="9"/>
  <c r="K6130" i="9"/>
  <c r="N6130" i="9"/>
  <c r="O6130" i="9"/>
  <c r="I6131" i="9"/>
  <c r="J6131" i="9"/>
  <c r="K6131" i="9"/>
  <c r="N6131" i="9"/>
  <c r="O6131" i="9"/>
  <c r="I6132" i="9"/>
  <c r="J6132" i="9"/>
  <c r="K6132" i="9"/>
  <c r="N6132" i="9"/>
  <c r="O6132" i="9"/>
  <c r="I6133" i="9"/>
  <c r="J6133" i="9"/>
  <c r="K6133" i="9"/>
  <c r="N6133" i="9"/>
  <c r="O6133" i="9"/>
  <c r="I6134" i="9"/>
  <c r="J6134" i="9"/>
  <c r="K6134" i="9"/>
  <c r="N6134" i="9"/>
  <c r="O6134" i="9"/>
  <c r="I6135" i="9"/>
  <c r="J6135" i="9"/>
  <c r="K6135" i="9"/>
  <c r="N6135" i="9"/>
  <c r="O6135" i="9"/>
  <c r="I6136" i="9"/>
  <c r="J6136" i="9"/>
  <c r="K6136" i="9"/>
  <c r="M6136" i="9"/>
  <c r="N6136" i="9"/>
  <c r="O6136" i="9"/>
  <c r="I6137" i="9"/>
  <c r="J6137" i="9"/>
  <c r="K6137" i="9"/>
  <c r="N6137" i="9"/>
  <c r="O6137" i="9"/>
  <c r="I6138" i="9"/>
  <c r="J6138" i="9"/>
  <c r="K6138" i="9"/>
  <c r="N6138" i="9"/>
  <c r="O6138" i="9"/>
  <c r="I6139" i="9"/>
  <c r="J6139" i="9"/>
  <c r="K6139" i="9"/>
  <c r="N6139" i="9"/>
  <c r="O6139" i="9"/>
  <c r="I6140" i="9"/>
  <c r="J6140" i="9"/>
  <c r="K6140" i="9"/>
  <c r="N6140" i="9"/>
  <c r="O6140" i="9"/>
  <c r="I6141" i="9"/>
  <c r="J6141" i="9"/>
  <c r="K6141" i="9"/>
  <c r="N6141" i="9"/>
  <c r="O6141" i="9"/>
  <c r="I6142" i="9"/>
  <c r="J6142" i="9"/>
  <c r="K6142" i="9"/>
  <c r="N6142" i="9"/>
  <c r="O6142" i="9"/>
  <c r="I6143" i="9"/>
  <c r="J6143" i="9"/>
  <c r="K6143" i="9"/>
  <c r="N6143" i="9"/>
  <c r="O6143" i="9"/>
  <c r="I6144" i="9"/>
  <c r="J6144" i="9"/>
  <c r="K6144" i="9"/>
  <c r="N6144" i="9"/>
  <c r="O6144" i="9"/>
  <c r="I6145" i="9"/>
  <c r="J6145" i="9"/>
  <c r="K6145" i="9"/>
  <c r="N6145" i="9"/>
  <c r="O6145" i="9"/>
  <c r="N6146" i="9"/>
  <c r="O6146" i="9"/>
  <c r="I6147" i="9"/>
  <c r="J6147" i="9"/>
  <c r="K6147" i="9"/>
  <c r="N6147" i="9"/>
  <c r="O6147" i="9"/>
  <c r="I6148" i="9"/>
  <c r="K6148" i="9"/>
  <c r="N6148" i="9"/>
  <c r="O6148" i="9"/>
  <c r="I6149" i="9"/>
  <c r="K6149" i="9"/>
  <c r="N6149" i="9"/>
  <c r="O6149" i="9"/>
  <c r="I6150" i="9"/>
  <c r="K6150" i="9"/>
  <c r="N6150" i="9"/>
  <c r="O6150" i="9"/>
  <c r="I6151" i="9"/>
  <c r="K6151" i="9"/>
  <c r="N6151" i="9"/>
  <c r="O6151" i="9"/>
  <c r="I6152" i="9"/>
  <c r="K6152" i="9"/>
  <c r="N6152" i="9"/>
  <c r="O6152" i="9"/>
  <c r="I6153" i="9"/>
  <c r="K6153" i="9"/>
  <c r="N6153" i="9"/>
  <c r="O6153" i="9"/>
  <c r="I6154" i="9"/>
  <c r="K6154" i="9"/>
  <c r="N6154" i="9"/>
  <c r="O6154" i="9"/>
  <c r="I6155" i="9"/>
  <c r="K6155" i="9"/>
  <c r="N6155" i="9"/>
  <c r="O6155" i="9"/>
  <c r="I6156" i="9"/>
  <c r="K6156" i="9"/>
  <c r="N6156" i="9"/>
  <c r="O6156" i="9"/>
  <c r="I6157" i="9"/>
  <c r="K6157" i="9"/>
  <c r="N6157" i="9"/>
  <c r="O6157" i="9"/>
  <c r="I6158" i="9"/>
  <c r="K6158" i="9"/>
  <c r="N6158" i="9"/>
  <c r="O6158" i="9"/>
  <c r="I6159" i="9"/>
  <c r="K6159" i="9"/>
  <c r="N6159" i="9"/>
  <c r="O6159" i="9"/>
  <c r="I6160" i="9"/>
  <c r="K6160" i="9"/>
  <c r="M6160" i="9"/>
  <c r="N6160" i="9"/>
  <c r="O6160" i="9"/>
  <c r="I6161" i="9"/>
  <c r="K6161" i="9"/>
  <c r="N6161" i="9"/>
  <c r="O6161" i="9"/>
  <c r="I6162" i="9"/>
  <c r="J6162" i="9"/>
  <c r="K6162" i="9"/>
  <c r="N6162" i="9"/>
  <c r="O6162" i="9"/>
  <c r="I6163" i="9"/>
  <c r="J6163" i="9"/>
  <c r="K6163" i="9"/>
  <c r="N6163" i="9"/>
  <c r="O6163" i="9"/>
  <c r="J6164" i="9"/>
  <c r="K6164" i="9"/>
  <c r="N6164" i="9"/>
  <c r="O6164" i="9"/>
  <c r="J6165" i="9"/>
  <c r="K6165" i="9"/>
  <c r="N6165" i="9"/>
  <c r="O6165" i="9"/>
  <c r="K6166" i="9"/>
  <c r="N6166" i="9"/>
  <c r="O6166" i="9"/>
  <c r="N6167" i="9"/>
  <c r="O6167" i="9"/>
  <c r="I6168" i="9"/>
  <c r="J6168" i="9"/>
  <c r="K6168" i="9"/>
  <c r="N6168" i="9"/>
  <c r="O6168" i="9"/>
  <c r="I6169" i="9"/>
  <c r="J6169" i="9"/>
  <c r="K6169" i="9"/>
  <c r="N6169" i="9"/>
  <c r="O6169" i="9"/>
  <c r="I6170" i="9"/>
  <c r="J6170" i="9"/>
  <c r="K6170" i="9"/>
  <c r="N6170" i="9"/>
  <c r="O6170" i="9"/>
  <c r="I6171" i="9"/>
  <c r="J6171" i="9"/>
  <c r="K6171" i="9"/>
  <c r="N6171" i="9"/>
  <c r="O6171" i="9"/>
  <c r="I6172" i="9"/>
  <c r="J6172" i="9"/>
  <c r="K6172" i="9"/>
  <c r="N6172" i="9"/>
  <c r="O6172" i="9"/>
  <c r="I6173" i="9"/>
  <c r="J6173" i="9"/>
  <c r="K6173" i="9"/>
  <c r="N6173" i="9"/>
  <c r="O6173" i="9"/>
  <c r="I6174" i="9"/>
  <c r="J6174" i="9"/>
  <c r="K6174" i="9"/>
  <c r="N6174" i="9"/>
  <c r="O6174" i="9"/>
  <c r="I6175" i="9"/>
  <c r="J6175" i="9"/>
  <c r="K6175" i="9"/>
  <c r="N6175" i="9"/>
  <c r="O6175" i="9"/>
  <c r="I6176" i="9"/>
  <c r="J6176" i="9"/>
  <c r="K6176" i="9"/>
  <c r="N6176" i="9"/>
  <c r="O6176" i="9"/>
  <c r="I6177" i="9"/>
  <c r="K6177" i="9"/>
  <c r="N6177" i="9"/>
  <c r="O6177" i="9"/>
  <c r="I6178" i="9"/>
  <c r="K6178" i="9"/>
  <c r="N6178" i="9"/>
  <c r="O6178" i="9"/>
  <c r="I6061" i="9"/>
  <c r="J6061" i="9"/>
  <c r="K6061" i="9"/>
  <c r="N6061" i="9"/>
  <c r="O6061" i="9"/>
  <c r="I6062" i="9"/>
  <c r="J6062" i="9"/>
  <c r="K6062" i="9"/>
  <c r="N6062" i="9"/>
  <c r="O6062" i="9"/>
  <c r="M5984" i="9"/>
  <c r="N5984" i="9"/>
  <c r="O5984" i="9"/>
  <c r="I5985" i="9"/>
  <c r="K5985" i="9"/>
  <c r="N5985" i="9"/>
  <c r="O5985" i="9"/>
  <c r="I5986" i="9"/>
  <c r="K5986" i="9"/>
  <c r="N5986" i="9"/>
  <c r="O5986" i="9"/>
  <c r="I5987" i="9"/>
  <c r="K5987" i="9"/>
  <c r="N5987" i="9"/>
  <c r="O5987" i="9"/>
  <c r="N5988" i="9"/>
  <c r="O5988" i="9"/>
  <c r="J5989" i="9"/>
  <c r="K5989" i="9"/>
  <c r="N5989" i="9"/>
  <c r="O5989" i="9"/>
  <c r="J5990" i="9"/>
  <c r="K5990" i="9"/>
  <c r="N5990" i="9"/>
  <c r="O5990" i="9"/>
  <c r="I5991" i="9"/>
  <c r="K5991" i="9"/>
  <c r="N5991" i="9"/>
  <c r="O5991" i="9"/>
  <c r="I5992" i="9"/>
  <c r="K5992" i="9"/>
  <c r="N5992" i="9"/>
  <c r="O5992" i="9"/>
  <c r="I5993" i="9"/>
  <c r="J5993" i="9"/>
  <c r="K5993" i="9"/>
  <c r="N5993" i="9"/>
  <c r="O5993" i="9"/>
  <c r="K5994" i="9"/>
  <c r="N5994" i="9"/>
  <c r="O5994" i="9"/>
  <c r="J5995" i="9"/>
  <c r="K5995" i="9"/>
  <c r="N5995" i="9"/>
  <c r="O5995" i="9"/>
  <c r="J5996" i="9"/>
  <c r="K5996" i="9"/>
  <c r="N5996" i="9"/>
  <c r="O5996" i="9"/>
  <c r="I5997" i="9"/>
  <c r="J5997" i="9"/>
  <c r="K5997" i="9"/>
  <c r="N5997" i="9"/>
  <c r="O5997" i="9"/>
  <c r="I5998" i="9"/>
  <c r="J5998" i="9"/>
  <c r="K5998" i="9"/>
  <c r="N5998" i="9"/>
  <c r="O5998" i="9"/>
  <c r="I5999" i="9"/>
  <c r="J5999" i="9"/>
  <c r="K5999" i="9"/>
  <c r="N5999" i="9"/>
  <c r="O5999" i="9"/>
  <c r="I6000" i="9"/>
  <c r="J6000" i="9"/>
  <c r="K6000" i="9"/>
  <c r="N6000" i="9"/>
  <c r="O6000" i="9"/>
  <c r="I6001" i="9"/>
  <c r="J6001" i="9"/>
  <c r="K6001" i="9"/>
  <c r="M6001" i="9"/>
  <c r="N6001" i="9"/>
  <c r="O6001" i="9"/>
  <c r="M6002" i="9"/>
  <c r="N6002" i="9"/>
  <c r="O6002" i="9"/>
  <c r="I6003" i="9"/>
  <c r="J6003" i="9"/>
  <c r="K6003" i="9"/>
  <c r="N6003" i="9"/>
  <c r="O6003" i="9"/>
  <c r="I6004" i="9"/>
  <c r="J6004" i="9"/>
  <c r="K6004" i="9"/>
  <c r="N6004" i="9"/>
  <c r="O6004" i="9"/>
  <c r="I6005" i="9"/>
  <c r="K6005" i="9"/>
  <c r="M6005" i="9"/>
  <c r="N6005" i="9"/>
  <c r="O6005" i="9"/>
  <c r="I6006" i="9"/>
  <c r="K6006" i="9"/>
  <c r="N6006" i="9"/>
  <c r="O6006" i="9"/>
  <c r="I6007" i="9"/>
  <c r="K6007" i="9"/>
  <c r="N6007" i="9"/>
  <c r="O6007" i="9"/>
  <c r="I6008" i="9"/>
  <c r="K6008" i="9"/>
  <c r="N6008" i="9"/>
  <c r="O6008" i="9"/>
  <c r="N6009" i="9"/>
  <c r="O6009" i="9"/>
  <c r="K6010" i="9"/>
  <c r="N6010" i="9"/>
  <c r="O6010" i="9"/>
  <c r="N6011" i="9"/>
  <c r="O6011" i="9"/>
  <c r="I6012" i="9"/>
  <c r="J6012" i="9"/>
  <c r="K6012" i="9"/>
  <c r="N6012" i="9"/>
  <c r="O6012" i="9"/>
  <c r="J6013" i="9"/>
  <c r="K6013" i="9"/>
  <c r="N6013" i="9"/>
  <c r="O6013" i="9"/>
  <c r="I6014" i="9"/>
  <c r="J6014" i="9"/>
  <c r="K6014" i="9"/>
  <c r="N6014" i="9"/>
  <c r="O6014" i="9"/>
  <c r="I6015" i="9"/>
  <c r="J6015" i="9"/>
  <c r="K6015" i="9"/>
  <c r="N6015" i="9"/>
  <c r="O6015" i="9"/>
  <c r="K6016" i="9"/>
  <c r="N6016" i="9"/>
  <c r="O6016" i="9"/>
  <c r="N6017" i="9"/>
  <c r="O6017" i="9"/>
  <c r="N6018" i="9"/>
  <c r="O6018" i="9"/>
  <c r="N6019" i="9"/>
  <c r="O6019" i="9"/>
  <c r="N6020" i="9"/>
  <c r="O6020" i="9"/>
  <c r="N6021" i="9"/>
  <c r="O6021" i="9"/>
  <c r="N6022" i="9"/>
  <c r="O6022" i="9"/>
  <c r="N6023" i="9"/>
  <c r="O6023" i="9"/>
  <c r="N6024" i="9"/>
  <c r="O6024" i="9"/>
  <c r="I6025" i="9"/>
  <c r="J6025" i="9"/>
  <c r="K6025" i="9"/>
  <c r="N6025" i="9"/>
  <c r="O6025" i="9"/>
  <c r="I6026" i="9"/>
  <c r="J6026" i="9"/>
  <c r="K6026" i="9"/>
  <c r="N6026" i="9"/>
  <c r="O6026" i="9"/>
  <c r="J6027" i="9"/>
  <c r="K6027" i="9"/>
  <c r="N6027" i="9"/>
  <c r="O6027" i="9"/>
  <c r="I6028" i="9"/>
  <c r="K6028" i="9"/>
  <c r="N6028" i="9"/>
  <c r="O6028" i="9"/>
  <c r="K6029" i="9"/>
  <c r="N6029" i="9"/>
  <c r="O6029" i="9"/>
  <c r="I6030" i="9"/>
  <c r="J6030" i="9"/>
  <c r="K6030" i="9"/>
  <c r="N6030" i="9"/>
  <c r="O6030" i="9"/>
  <c r="I6031" i="9"/>
  <c r="J6031" i="9"/>
  <c r="K6031" i="9"/>
  <c r="N6031" i="9"/>
  <c r="O6031" i="9"/>
  <c r="I6032" i="9"/>
  <c r="J6032" i="9"/>
  <c r="K6032" i="9"/>
  <c r="N6032" i="9"/>
  <c r="O6032" i="9"/>
  <c r="I6033" i="9"/>
  <c r="J6033" i="9"/>
  <c r="K6033" i="9"/>
  <c r="N6033" i="9"/>
  <c r="O6033" i="9"/>
  <c r="I6034" i="9"/>
  <c r="J6034" i="9"/>
  <c r="K6034" i="9"/>
  <c r="N6034" i="9"/>
  <c r="O6034" i="9"/>
  <c r="I6035" i="9"/>
  <c r="K6035" i="9"/>
  <c r="N6035" i="9"/>
  <c r="O6035" i="9"/>
  <c r="I6036" i="9"/>
  <c r="K6036" i="9"/>
  <c r="N6036" i="9"/>
  <c r="O6036" i="9"/>
  <c r="I6037" i="9"/>
  <c r="K6037" i="9"/>
  <c r="N6037" i="9"/>
  <c r="O6037" i="9"/>
  <c r="I6038" i="9"/>
  <c r="K6038" i="9"/>
  <c r="N6038" i="9"/>
  <c r="O6038" i="9"/>
  <c r="I6039" i="9"/>
  <c r="J6039" i="9"/>
  <c r="K6039" i="9"/>
  <c r="N6039" i="9"/>
  <c r="O6039" i="9"/>
  <c r="I6040" i="9"/>
  <c r="K6040" i="9"/>
  <c r="N6040" i="9"/>
  <c r="O6040" i="9"/>
  <c r="I6041" i="9"/>
  <c r="K6041" i="9"/>
  <c r="N6041" i="9"/>
  <c r="O6041" i="9"/>
  <c r="I6042" i="9"/>
  <c r="J6042" i="9"/>
  <c r="K6042" i="9"/>
  <c r="N6042" i="9"/>
  <c r="O6042" i="9"/>
  <c r="I6043" i="9"/>
  <c r="K6043" i="9"/>
  <c r="N6043" i="9"/>
  <c r="O6043" i="9"/>
  <c r="I6044" i="9"/>
  <c r="J6044" i="9"/>
  <c r="K6044" i="9"/>
  <c r="N6044" i="9"/>
  <c r="O6044" i="9"/>
  <c r="I6045" i="9"/>
  <c r="J6045" i="9"/>
  <c r="K6045" i="9"/>
  <c r="N6045" i="9"/>
  <c r="O6045" i="9"/>
  <c r="J6046" i="9"/>
  <c r="K6046" i="9"/>
  <c r="N6046" i="9"/>
  <c r="O6046" i="9"/>
  <c r="J6047" i="9"/>
  <c r="K6047" i="9"/>
  <c r="N6047" i="9"/>
  <c r="O6047" i="9"/>
  <c r="I6048" i="9"/>
  <c r="J6048" i="9"/>
  <c r="K6048" i="9"/>
  <c r="N6048" i="9"/>
  <c r="O6048" i="9"/>
  <c r="I6049" i="9"/>
  <c r="J6049" i="9"/>
  <c r="K6049" i="9"/>
  <c r="N6049" i="9"/>
  <c r="O6049" i="9"/>
  <c r="I6050" i="9"/>
  <c r="J6050" i="9"/>
  <c r="K6050" i="9"/>
  <c r="N6050" i="9"/>
  <c r="O6050" i="9"/>
  <c r="J6051" i="9"/>
  <c r="K6051" i="9"/>
  <c r="N6051" i="9"/>
  <c r="O6051" i="9"/>
  <c r="K6052" i="9"/>
  <c r="N6052" i="9"/>
  <c r="O6052" i="9"/>
  <c r="N6053" i="9"/>
  <c r="O6053" i="9"/>
  <c r="J6054" i="9"/>
  <c r="K6054" i="9"/>
  <c r="N6054" i="9"/>
  <c r="O6054" i="9"/>
  <c r="N6055" i="9"/>
  <c r="O6055" i="9"/>
  <c r="J6056" i="9"/>
  <c r="K6056" i="9"/>
  <c r="N6056" i="9"/>
  <c r="O6056" i="9"/>
  <c r="J6057" i="9"/>
  <c r="K6057" i="9"/>
  <c r="N6057" i="9"/>
  <c r="O6057" i="9"/>
  <c r="I6058" i="9"/>
  <c r="J6058" i="9"/>
  <c r="K6058" i="9"/>
  <c r="N6058" i="9"/>
  <c r="O6058" i="9"/>
  <c r="I6059" i="9"/>
  <c r="J6059" i="9"/>
  <c r="K6059" i="9"/>
  <c r="N6059" i="9"/>
  <c r="O6059" i="9"/>
  <c r="I6060" i="9"/>
  <c r="J6060" i="9"/>
  <c r="K6060" i="9"/>
  <c r="N6060" i="9"/>
  <c r="O6060" i="9"/>
  <c r="I5977" i="9"/>
  <c r="K5977" i="9"/>
  <c r="N5977" i="9"/>
  <c r="O5977" i="9"/>
  <c r="I5978" i="9"/>
  <c r="K5978" i="9"/>
  <c r="N5978" i="9"/>
  <c r="O5978" i="9"/>
  <c r="I5979" i="9"/>
  <c r="K5979" i="9"/>
  <c r="N5979" i="9"/>
  <c r="O5979" i="9"/>
  <c r="I5980" i="9"/>
  <c r="K5980" i="9"/>
  <c r="N5980" i="9"/>
  <c r="O5980" i="9"/>
  <c r="N5981" i="9"/>
  <c r="O5981" i="9"/>
  <c r="I5982" i="9"/>
  <c r="K5982" i="9"/>
  <c r="M5982" i="9"/>
  <c r="N5982" i="9"/>
  <c r="O5982" i="9"/>
  <c r="M5983" i="9"/>
  <c r="N5983" i="9"/>
  <c r="O5983" i="9"/>
  <c r="I5953" i="9"/>
  <c r="J5953" i="9"/>
  <c r="K5953" i="9"/>
  <c r="N5953" i="9"/>
  <c r="O5953" i="9"/>
  <c r="I5954" i="9"/>
  <c r="J5954" i="9"/>
  <c r="K5954" i="9"/>
  <c r="N5954" i="9"/>
  <c r="O5954" i="9"/>
  <c r="I5955" i="9"/>
  <c r="J5955" i="9"/>
  <c r="K5955" i="9"/>
  <c r="N5955" i="9"/>
  <c r="O5955" i="9"/>
  <c r="I5956" i="9"/>
  <c r="J5956" i="9"/>
  <c r="K5956" i="9"/>
  <c r="N5956" i="9"/>
  <c r="O5956" i="9"/>
  <c r="I5957" i="9"/>
  <c r="J5957" i="9"/>
  <c r="K5957" i="9"/>
  <c r="N5957" i="9"/>
  <c r="O5957" i="9"/>
  <c r="I5958" i="9"/>
  <c r="J5958" i="9"/>
  <c r="K5958" i="9"/>
  <c r="N5958" i="9"/>
  <c r="O5958" i="9"/>
  <c r="I5959" i="9"/>
  <c r="J5959" i="9"/>
  <c r="K5959" i="9"/>
  <c r="N5959" i="9"/>
  <c r="O5959" i="9"/>
  <c r="I5960" i="9"/>
  <c r="J5960" i="9"/>
  <c r="K5960" i="9"/>
  <c r="N5960" i="9"/>
  <c r="O5960" i="9"/>
  <c r="I5961" i="9"/>
  <c r="J5961" i="9"/>
  <c r="K5961" i="9"/>
  <c r="N5961" i="9"/>
  <c r="O5961" i="9"/>
  <c r="I5962" i="9"/>
  <c r="J5962" i="9"/>
  <c r="K5962" i="9"/>
  <c r="N5962" i="9"/>
  <c r="O5962" i="9"/>
  <c r="I5963" i="9"/>
  <c r="J5963" i="9"/>
  <c r="K5963" i="9"/>
  <c r="N5963" i="9"/>
  <c r="O5963" i="9"/>
  <c r="I5964" i="9"/>
  <c r="J5964" i="9"/>
  <c r="K5964" i="9"/>
  <c r="N5964" i="9"/>
  <c r="O5964" i="9"/>
  <c r="I5965" i="9"/>
  <c r="J5965" i="9"/>
  <c r="K5965" i="9"/>
  <c r="N5965" i="9"/>
  <c r="O5965" i="9"/>
  <c r="I5966" i="9"/>
  <c r="J5966" i="9"/>
  <c r="K5966" i="9"/>
  <c r="N5966" i="9"/>
  <c r="O5966" i="9"/>
  <c r="I5967" i="9"/>
  <c r="J5967" i="9"/>
  <c r="K5967" i="9"/>
  <c r="N5967" i="9"/>
  <c r="O5967" i="9"/>
  <c r="I5968" i="9"/>
  <c r="J5968" i="9"/>
  <c r="K5968" i="9"/>
  <c r="N5968" i="9"/>
  <c r="O5968" i="9"/>
  <c r="J5969" i="9"/>
  <c r="K5969" i="9"/>
  <c r="N5969" i="9"/>
  <c r="O5969" i="9"/>
  <c r="I5970" i="9"/>
  <c r="K5970" i="9"/>
  <c r="N5970" i="9"/>
  <c r="O5970" i="9"/>
  <c r="I5971" i="9"/>
  <c r="K5971" i="9"/>
  <c r="N5971" i="9"/>
  <c r="O5971" i="9"/>
  <c r="I5972" i="9"/>
  <c r="K5972" i="9"/>
  <c r="N5972" i="9"/>
  <c r="O5972" i="9"/>
  <c r="I5973" i="9"/>
  <c r="K5973" i="9"/>
  <c r="N5973" i="9"/>
  <c r="O5973" i="9"/>
  <c r="I5974" i="9"/>
  <c r="K5974" i="9"/>
  <c r="N5974" i="9"/>
  <c r="O5974" i="9"/>
  <c r="I5975" i="9"/>
  <c r="K5975" i="9"/>
  <c r="N5975" i="9"/>
  <c r="O5975" i="9"/>
  <c r="I5976" i="9"/>
  <c r="K5976" i="9"/>
  <c r="N5976" i="9"/>
  <c r="O5976" i="9"/>
  <c r="I5951" i="9"/>
  <c r="J5951" i="9"/>
  <c r="K5951" i="9"/>
  <c r="N5951" i="9"/>
  <c r="O5951" i="9"/>
  <c r="I5952" i="9"/>
  <c r="J5952" i="9"/>
  <c r="K5952" i="9"/>
  <c r="N5952" i="9"/>
  <c r="O5952" i="9"/>
  <c r="I5926" i="9"/>
  <c r="K5926" i="9"/>
  <c r="N5926" i="9"/>
  <c r="O5926" i="9"/>
  <c r="I5927" i="9"/>
  <c r="K5927" i="9"/>
  <c r="N5927" i="9"/>
  <c r="O5927" i="9"/>
  <c r="I5928" i="9"/>
  <c r="K5928" i="9"/>
  <c r="N5928" i="9"/>
  <c r="O5928" i="9"/>
  <c r="J5929" i="9"/>
  <c r="K5929" i="9"/>
  <c r="N5929" i="9"/>
  <c r="O5929" i="9"/>
  <c r="I5930" i="9"/>
  <c r="K5930" i="9"/>
  <c r="N5930" i="9"/>
  <c r="O5930" i="9"/>
  <c r="I5931" i="9"/>
  <c r="J5931" i="9"/>
  <c r="K5931" i="9"/>
  <c r="N5931" i="9"/>
  <c r="O5931" i="9"/>
  <c r="I5932" i="9"/>
  <c r="J5932" i="9"/>
  <c r="K5932" i="9"/>
  <c r="M5932" i="9"/>
  <c r="N5932" i="9"/>
  <c r="O5932" i="9"/>
  <c r="I5933" i="9"/>
  <c r="K5933" i="9"/>
  <c r="N5933" i="9"/>
  <c r="O5933" i="9"/>
  <c r="K5934" i="9"/>
  <c r="N5934" i="9"/>
  <c r="O5934" i="9"/>
  <c r="N5935" i="9"/>
  <c r="O5935" i="9"/>
  <c r="J5936" i="9"/>
  <c r="K5936" i="9"/>
  <c r="N5936" i="9"/>
  <c r="O5936" i="9"/>
  <c r="I5937" i="9"/>
  <c r="J5937" i="9"/>
  <c r="K5937" i="9"/>
  <c r="N5937" i="9"/>
  <c r="O5937" i="9"/>
  <c r="J5938" i="9"/>
  <c r="K5938" i="9"/>
  <c r="N5938" i="9"/>
  <c r="O5938" i="9"/>
  <c r="K5939" i="9"/>
  <c r="N5939" i="9"/>
  <c r="O5939" i="9"/>
  <c r="N5940" i="9"/>
  <c r="O5940" i="9"/>
  <c r="N5941" i="9"/>
  <c r="O5941" i="9"/>
  <c r="N5942" i="9"/>
  <c r="O5942" i="9"/>
  <c r="N5943" i="9"/>
  <c r="O5943" i="9"/>
  <c r="K5944" i="9"/>
  <c r="N5944" i="9"/>
  <c r="O5944" i="9"/>
  <c r="N5945" i="9"/>
  <c r="O5945" i="9"/>
  <c r="K5946" i="9"/>
  <c r="N5946" i="9"/>
  <c r="O5946" i="9"/>
  <c r="N5947" i="9"/>
  <c r="O5947" i="9"/>
  <c r="N5948" i="9"/>
  <c r="O5948" i="9"/>
  <c r="N5949" i="9"/>
  <c r="O5949" i="9"/>
  <c r="N5950" i="9"/>
  <c r="O5950" i="9"/>
  <c r="N5597" i="9"/>
  <c r="O5597" i="9"/>
  <c r="J5598" i="9"/>
  <c r="K5598" i="9"/>
  <c r="N5598" i="9"/>
  <c r="O5598" i="9"/>
  <c r="J5599" i="9"/>
  <c r="K5599" i="9"/>
  <c r="N5599" i="9"/>
  <c r="O5599" i="9"/>
  <c r="K5600" i="9"/>
  <c r="N5600" i="9"/>
  <c r="O5600" i="9"/>
  <c r="N5601" i="9"/>
  <c r="O5601" i="9"/>
  <c r="N5602" i="9"/>
  <c r="O5602" i="9"/>
  <c r="N5603" i="9"/>
  <c r="O5603" i="9"/>
  <c r="N5604" i="9"/>
  <c r="O5604" i="9"/>
  <c r="J5605" i="9"/>
  <c r="K5605" i="9"/>
  <c r="N5605" i="9"/>
  <c r="O5605" i="9"/>
  <c r="N5606" i="9"/>
  <c r="O5606" i="9"/>
  <c r="J5607" i="9"/>
  <c r="K5607" i="9"/>
  <c r="N5607" i="9"/>
  <c r="O5607" i="9"/>
  <c r="N5608" i="9"/>
  <c r="O5608" i="9"/>
  <c r="J5609" i="9"/>
  <c r="K5609" i="9"/>
  <c r="N5609" i="9"/>
  <c r="O5609" i="9"/>
  <c r="I5610" i="9"/>
  <c r="J5610" i="9"/>
  <c r="K5610" i="9"/>
  <c r="N5610" i="9"/>
  <c r="O5610" i="9"/>
  <c r="I5611" i="9"/>
  <c r="J5611" i="9"/>
  <c r="K5611" i="9"/>
  <c r="N5611" i="9"/>
  <c r="O5611" i="9"/>
  <c r="I5612" i="9"/>
  <c r="J5612" i="9"/>
  <c r="K5612" i="9"/>
  <c r="N5612" i="9"/>
  <c r="O5612" i="9"/>
  <c r="I5613" i="9"/>
  <c r="J5613" i="9"/>
  <c r="K5613" i="9"/>
  <c r="N5613" i="9"/>
  <c r="O5613" i="9"/>
  <c r="I5614" i="9"/>
  <c r="J5614" i="9"/>
  <c r="K5614" i="9"/>
  <c r="N5614" i="9"/>
  <c r="O5614" i="9"/>
  <c r="I5615" i="9"/>
  <c r="J5615" i="9"/>
  <c r="K5615" i="9"/>
  <c r="N5615" i="9"/>
  <c r="O5615" i="9"/>
  <c r="I5616" i="9"/>
  <c r="J5616" i="9"/>
  <c r="K5616" i="9"/>
  <c r="N5616" i="9"/>
  <c r="O5616" i="9"/>
  <c r="I5617" i="9"/>
  <c r="J5617" i="9"/>
  <c r="K5617" i="9"/>
  <c r="N5617" i="9"/>
  <c r="O5617" i="9"/>
  <c r="I5618" i="9"/>
  <c r="J5618" i="9"/>
  <c r="K5618" i="9"/>
  <c r="N5618" i="9"/>
  <c r="O5618" i="9"/>
  <c r="I5619" i="9"/>
  <c r="J5619" i="9"/>
  <c r="K5619" i="9"/>
  <c r="N5619" i="9"/>
  <c r="O5619" i="9"/>
  <c r="I5620" i="9"/>
  <c r="J5620" i="9"/>
  <c r="K5620" i="9"/>
  <c r="N5620" i="9"/>
  <c r="O5620" i="9"/>
  <c r="I5621" i="9"/>
  <c r="J5621" i="9"/>
  <c r="K5621" i="9"/>
  <c r="N5621" i="9"/>
  <c r="O5621" i="9"/>
  <c r="I5622" i="9"/>
  <c r="J5622" i="9"/>
  <c r="K5622" i="9"/>
  <c r="N5622" i="9"/>
  <c r="O5622" i="9"/>
  <c r="I5623" i="9"/>
  <c r="J5623" i="9"/>
  <c r="K5623" i="9"/>
  <c r="N5623" i="9"/>
  <c r="O5623" i="9"/>
  <c r="I5624" i="9"/>
  <c r="J5624" i="9"/>
  <c r="K5624" i="9"/>
  <c r="N5624" i="9"/>
  <c r="O5624" i="9"/>
  <c r="J5625" i="9"/>
  <c r="K5625" i="9"/>
  <c r="N5625" i="9"/>
  <c r="O5625" i="9"/>
  <c r="N5626" i="9"/>
  <c r="O5626" i="9"/>
  <c r="N5627" i="9"/>
  <c r="O5627" i="9"/>
  <c r="N5628" i="9"/>
  <c r="O5628" i="9"/>
  <c r="N5629" i="9"/>
  <c r="O5629" i="9"/>
  <c r="I5630" i="9"/>
  <c r="K5630" i="9"/>
  <c r="N5630" i="9"/>
  <c r="O5630" i="9"/>
  <c r="I5631" i="9"/>
  <c r="K5631" i="9"/>
  <c r="N5631" i="9"/>
  <c r="O5631" i="9"/>
  <c r="K5632" i="9"/>
  <c r="N5632" i="9"/>
  <c r="O5632" i="9"/>
  <c r="J5633" i="9"/>
  <c r="K5633" i="9"/>
  <c r="N5633" i="9"/>
  <c r="O5633" i="9"/>
  <c r="N5634" i="9"/>
  <c r="O5634" i="9"/>
  <c r="J5635" i="9"/>
  <c r="K5635" i="9"/>
  <c r="N5635" i="9"/>
  <c r="O5635" i="9"/>
  <c r="J5636" i="9"/>
  <c r="K5636" i="9"/>
  <c r="N5636" i="9"/>
  <c r="O5636" i="9"/>
  <c r="J5637" i="9"/>
  <c r="K5637" i="9"/>
  <c r="N5637" i="9"/>
  <c r="O5637" i="9"/>
  <c r="I5638" i="9"/>
  <c r="K5638" i="9"/>
  <c r="N5638" i="9"/>
  <c r="O5638" i="9"/>
  <c r="I5639" i="9"/>
  <c r="K5639" i="9"/>
  <c r="N5639" i="9"/>
  <c r="O5639" i="9"/>
  <c r="I5640" i="9"/>
  <c r="K5640" i="9"/>
  <c r="N5640" i="9"/>
  <c r="O5640" i="9"/>
  <c r="I5641" i="9"/>
  <c r="K5641" i="9"/>
  <c r="N5641" i="9"/>
  <c r="O5641" i="9"/>
  <c r="I5642" i="9"/>
  <c r="K5642" i="9"/>
  <c r="N5642" i="9"/>
  <c r="O5642" i="9"/>
  <c r="I5643" i="9"/>
  <c r="K5643" i="9"/>
  <c r="M5643" i="9"/>
  <c r="N5643" i="9"/>
  <c r="O5643" i="9"/>
  <c r="I5644" i="9"/>
  <c r="J5644" i="9"/>
  <c r="K5644" i="9"/>
  <c r="N5644" i="9"/>
  <c r="O5644" i="9"/>
  <c r="I5645" i="9"/>
  <c r="K5645" i="9"/>
  <c r="N5645" i="9"/>
  <c r="O5645" i="9"/>
  <c r="N5646" i="9"/>
  <c r="O5646" i="9"/>
  <c r="I5647" i="9"/>
  <c r="K5647" i="9"/>
  <c r="N5647" i="9"/>
  <c r="O5647" i="9"/>
  <c r="I5648" i="9"/>
  <c r="K5648" i="9"/>
  <c r="N5648" i="9"/>
  <c r="O5648" i="9"/>
  <c r="I5649" i="9"/>
  <c r="K5649" i="9"/>
  <c r="N5649" i="9"/>
  <c r="O5649" i="9"/>
  <c r="I5650" i="9"/>
  <c r="K5650" i="9"/>
  <c r="N5650" i="9"/>
  <c r="O5650" i="9"/>
  <c r="I5651" i="9"/>
  <c r="K5651" i="9"/>
  <c r="N5651" i="9"/>
  <c r="O5651" i="9"/>
  <c r="I5652" i="9"/>
  <c r="K5652" i="9"/>
  <c r="N5652" i="9"/>
  <c r="O5652" i="9"/>
  <c r="I5653" i="9"/>
  <c r="K5653" i="9"/>
  <c r="M5653" i="9"/>
  <c r="N5653" i="9"/>
  <c r="O5653" i="9"/>
  <c r="N5654" i="9"/>
  <c r="O5654" i="9"/>
  <c r="I5655" i="9"/>
  <c r="K5655" i="9"/>
  <c r="N5655" i="9"/>
  <c r="O5655" i="9"/>
  <c r="I5656" i="9"/>
  <c r="K5656" i="9"/>
  <c r="N5656" i="9"/>
  <c r="O5656" i="9"/>
  <c r="J5657" i="9"/>
  <c r="K5657" i="9"/>
  <c r="N5657" i="9"/>
  <c r="O5657" i="9"/>
  <c r="J5658" i="9"/>
  <c r="K5658" i="9"/>
  <c r="N5658" i="9"/>
  <c r="O5658" i="9"/>
  <c r="N5659" i="9"/>
  <c r="O5659" i="9"/>
  <c r="J5660" i="9"/>
  <c r="K5660" i="9"/>
  <c r="N5660" i="9"/>
  <c r="O5660" i="9"/>
  <c r="K5661" i="9"/>
  <c r="N5661" i="9"/>
  <c r="O5661" i="9"/>
  <c r="N5662" i="9"/>
  <c r="O5662" i="9"/>
  <c r="N5663" i="9"/>
  <c r="O5663" i="9"/>
  <c r="I5664" i="9"/>
  <c r="J5664" i="9"/>
  <c r="K5664" i="9"/>
  <c r="N5664" i="9"/>
  <c r="O5664" i="9"/>
  <c r="I5665" i="9"/>
  <c r="J5665" i="9"/>
  <c r="K5665" i="9"/>
  <c r="N5665" i="9"/>
  <c r="O5665" i="9"/>
  <c r="I5666" i="9"/>
  <c r="J5666" i="9"/>
  <c r="K5666" i="9"/>
  <c r="N5666" i="9"/>
  <c r="O5666" i="9"/>
  <c r="I5667" i="9"/>
  <c r="J5667" i="9"/>
  <c r="K5667" i="9"/>
  <c r="N5667" i="9"/>
  <c r="O5667" i="9"/>
  <c r="I5668" i="9"/>
  <c r="J5668" i="9"/>
  <c r="K5668" i="9"/>
  <c r="N5668" i="9"/>
  <c r="O5668" i="9"/>
  <c r="I5669" i="9"/>
  <c r="J5669" i="9"/>
  <c r="K5669" i="9"/>
  <c r="N5669" i="9"/>
  <c r="O5669" i="9"/>
  <c r="I5670" i="9"/>
  <c r="K5670" i="9"/>
  <c r="N5670" i="9"/>
  <c r="O5670" i="9"/>
  <c r="I5671" i="9"/>
  <c r="K5671" i="9"/>
  <c r="N5671" i="9"/>
  <c r="O5671" i="9"/>
  <c r="I5672" i="9"/>
  <c r="K5672" i="9"/>
  <c r="N5672" i="9"/>
  <c r="O5672" i="9"/>
  <c r="I5673" i="9"/>
  <c r="K5673" i="9"/>
  <c r="M5673" i="9"/>
  <c r="N5673" i="9"/>
  <c r="O5673" i="9"/>
  <c r="N5674" i="9"/>
  <c r="O5674" i="9"/>
  <c r="I5675" i="9"/>
  <c r="K5675" i="9"/>
  <c r="N5675" i="9"/>
  <c r="O5675" i="9"/>
  <c r="I5676" i="9"/>
  <c r="K5676" i="9"/>
  <c r="N5676" i="9"/>
  <c r="O5676" i="9"/>
  <c r="J5677" i="9"/>
  <c r="K5677" i="9"/>
  <c r="N5677" i="9"/>
  <c r="O5677" i="9"/>
  <c r="J5678" i="9"/>
  <c r="K5678" i="9"/>
  <c r="N5678" i="9"/>
  <c r="O5678" i="9"/>
  <c r="J5679" i="9"/>
  <c r="K5679" i="9"/>
  <c r="N5679" i="9"/>
  <c r="O5679" i="9"/>
  <c r="N5680" i="9"/>
  <c r="O5680" i="9"/>
  <c r="N5681" i="9"/>
  <c r="O5681" i="9"/>
  <c r="I5682" i="9"/>
  <c r="J5682" i="9"/>
  <c r="K5682" i="9"/>
  <c r="N5682" i="9"/>
  <c r="O5682" i="9"/>
  <c r="I5683" i="9"/>
  <c r="K5683" i="9"/>
  <c r="N5683" i="9"/>
  <c r="O5683" i="9"/>
  <c r="I5684" i="9"/>
  <c r="J5684" i="9"/>
  <c r="K5684" i="9"/>
  <c r="N5684" i="9"/>
  <c r="O5684" i="9"/>
  <c r="I5685" i="9"/>
  <c r="J5685" i="9"/>
  <c r="K5685" i="9"/>
  <c r="N5685" i="9"/>
  <c r="O5685" i="9"/>
  <c r="I5686" i="9"/>
  <c r="J5686" i="9"/>
  <c r="K5686" i="9"/>
  <c r="N5686" i="9"/>
  <c r="O5686" i="9"/>
  <c r="I5687" i="9"/>
  <c r="J5687" i="9"/>
  <c r="K5687" i="9"/>
  <c r="N5687" i="9"/>
  <c r="O5687" i="9"/>
  <c r="I5688" i="9"/>
  <c r="J5688" i="9"/>
  <c r="K5688" i="9"/>
  <c r="N5688" i="9"/>
  <c r="O5688" i="9"/>
  <c r="I5689" i="9"/>
  <c r="J5689" i="9"/>
  <c r="K5689" i="9"/>
  <c r="N5689" i="9"/>
  <c r="O5689" i="9"/>
  <c r="I5690" i="9"/>
  <c r="J5690" i="9"/>
  <c r="K5690" i="9"/>
  <c r="N5690" i="9"/>
  <c r="O5690" i="9"/>
  <c r="I5691" i="9"/>
  <c r="J5691" i="9"/>
  <c r="K5691" i="9"/>
  <c r="N5691" i="9"/>
  <c r="O5691" i="9"/>
  <c r="I5692" i="9"/>
  <c r="J5692" i="9"/>
  <c r="K5692" i="9"/>
  <c r="N5692" i="9"/>
  <c r="O5692" i="9"/>
  <c r="K5693" i="9"/>
  <c r="N5693" i="9"/>
  <c r="O5693" i="9"/>
  <c r="N5694" i="9"/>
  <c r="O5694" i="9"/>
  <c r="J5695" i="9"/>
  <c r="K5695" i="9"/>
  <c r="N5695" i="9"/>
  <c r="O5695" i="9"/>
  <c r="I5696" i="9"/>
  <c r="K5696" i="9"/>
  <c r="N5696" i="9"/>
  <c r="O5696" i="9"/>
  <c r="I5697" i="9"/>
  <c r="K5697" i="9"/>
  <c r="N5697" i="9"/>
  <c r="O5697" i="9"/>
  <c r="I5698" i="9"/>
  <c r="K5698" i="9"/>
  <c r="N5698" i="9"/>
  <c r="O5698" i="9"/>
  <c r="J5699" i="9"/>
  <c r="K5699" i="9"/>
  <c r="N5699" i="9"/>
  <c r="O5699" i="9"/>
  <c r="J5700" i="9"/>
  <c r="K5700" i="9"/>
  <c r="N5700" i="9"/>
  <c r="O5700" i="9"/>
  <c r="N5701" i="9"/>
  <c r="O5701" i="9"/>
  <c r="N5702" i="9"/>
  <c r="O5702" i="9"/>
  <c r="I5703" i="9"/>
  <c r="J5703" i="9"/>
  <c r="K5703" i="9"/>
  <c r="N5703" i="9"/>
  <c r="O5703" i="9"/>
  <c r="I5704" i="9"/>
  <c r="K5704" i="9"/>
  <c r="N5704" i="9"/>
  <c r="O5704" i="9"/>
  <c r="I5705" i="9"/>
  <c r="K5705" i="9"/>
  <c r="N5705" i="9"/>
  <c r="O5705" i="9"/>
  <c r="I5706" i="9"/>
  <c r="J5706" i="9"/>
  <c r="K5706" i="9"/>
  <c r="N5706" i="9"/>
  <c r="O5706" i="9"/>
  <c r="K5707" i="9"/>
  <c r="N5707" i="9"/>
  <c r="O5707" i="9"/>
  <c r="N5708" i="9"/>
  <c r="O5708" i="9"/>
  <c r="N5709" i="9"/>
  <c r="O5709" i="9"/>
  <c r="N5710" i="9"/>
  <c r="O5710" i="9"/>
  <c r="O5711" i="9"/>
  <c r="O5712" i="9"/>
  <c r="O5713" i="9"/>
  <c r="J5714" i="9"/>
  <c r="K5714" i="9"/>
  <c r="N5714" i="9"/>
  <c r="O5714" i="9"/>
  <c r="J5715" i="9"/>
  <c r="K5715" i="9"/>
  <c r="M5715" i="9"/>
  <c r="N5715" i="9"/>
  <c r="O5715" i="9"/>
  <c r="J5716" i="9"/>
  <c r="K5716" i="9"/>
  <c r="N5716" i="9"/>
  <c r="O5716" i="9"/>
  <c r="J5717" i="9"/>
  <c r="K5717" i="9"/>
  <c r="N5717" i="9"/>
  <c r="O5717" i="9"/>
  <c r="J5718" i="9"/>
  <c r="K5718" i="9"/>
  <c r="N5718" i="9"/>
  <c r="O5718" i="9"/>
  <c r="J5719" i="9"/>
  <c r="K5719" i="9"/>
  <c r="N5719" i="9"/>
  <c r="O5719" i="9"/>
  <c r="N5720" i="9"/>
  <c r="O5720" i="9"/>
  <c r="K5721" i="9"/>
  <c r="N5721" i="9"/>
  <c r="O5721" i="9"/>
  <c r="N5722" i="9"/>
  <c r="O5722" i="9"/>
  <c r="J5723" i="9"/>
  <c r="K5723" i="9"/>
  <c r="N5723" i="9"/>
  <c r="O5723" i="9"/>
  <c r="I5724" i="9"/>
  <c r="J5724" i="9"/>
  <c r="K5724" i="9"/>
  <c r="N5724" i="9"/>
  <c r="O5724" i="9"/>
  <c r="I5725" i="9"/>
  <c r="J5725" i="9"/>
  <c r="K5725" i="9"/>
  <c r="N5725" i="9"/>
  <c r="O5725" i="9"/>
  <c r="I5726" i="9"/>
  <c r="J5726" i="9"/>
  <c r="K5726" i="9"/>
  <c r="N5726" i="9"/>
  <c r="O5726" i="9"/>
  <c r="I5727" i="9"/>
  <c r="J5727" i="9"/>
  <c r="K5727" i="9"/>
  <c r="M5727" i="9"/>
  <c r="N5727" i="9"/>
  <c r="O5727" i="9"/>
  <c r="I5728" i="9"/>
  <c r="J5728" i="9"/>
  <c r="K5728" i="9"/>
  <c r="N5728" i="9"/>
  <c r="O5728" i="9"/>
  <c r="I5729" i="9"/>
  <c r="K5729" i="9"/>
  <c r="N5729" i="9"/>
  <c r="O5729" i="9"/>
  <c r="I5730" i="9"/>
  <c r="K5730" i="9"/>
  <c r="N5730" i="9"/>
  <c r="O5730" i="9"/>
  <c r="I5731" i="9"/>
  <c r="K5731" i="9"/>
  <c r="N5731" i="9"/>
  <c r="O5731" i="9"/>
  <c r="I5732" i="9"/>
  <c r="K5732" i="9"/>
  <c r="N5732" i="9"/>
  <c r="O5732" i="9"/>
  <c r="K5733" i="9"/>
  <c r="N5733" i="9"/>
  <c r="O5733" i="9"/>
  <c r="N5734" i="9"/>
  <c r="O5734" i="9"/>
  <c r="N5735" i="9"/>
  <c r="O5735" i="9"/>
  <c r="M5736" i="9"/>
  <c r="N5736" i="9"/>
  <c r="O5736" i="9"/>
  <c r="N5737" i="9"/>
  <c r="O5737" i="9"/>
  <c r="K5738" i="9"/>
  <c r="N5738" i="9"/>
  <c r="O5738" i="9"/>
  <c r="I5739" i="9"/>
  <c r="J5739" i="9"/>
  <c r="K5739" i="9"/>
  <c r="N5739" i="9"/>
  <c r="O5739" i="9"/>
  <c r="J5740" i="9"/>
  <c r="K5740" i="9"/>
  <c r="N5740" i="9"/>
  <c r="O5740" i="9"/>
  <c r="I5741" i="9"/>
  <c r="J5741" i="9"/>
  <c r="K5741" i="9"/>
  <c r="N5741" i="9"/>
  <c r="O5741" i="9"/>
  <c r="J5742" i="9"/>
  <c r="K5742" i="9"/>
  <c r="N5742" i="9"/>
  <c r="O5742" i="9"/>
  <c r="I5743" i="9"/>
  <c r="J5743" i="9"/>
  <c r="K5743" i="9"/>
  <c r="N5743" i="9"/>
  <c r="O5743" i="9"/>
  <c r="I5744" i="9"/>
  <c r="J5744" i="9"/>
  <c r="K5744" i="9"/>
  <c r="N5744" i="9"/>
  <c r="O5744" i="9"/>
  <c r="J5745" i="9"/>
  <c r="K5745" i="9"/>
  <c r="N5745" i="9"/>
  <c r="O5745" i="9"/>
  <c r="I5746" i="9"/>
  <c r="K5746" i="9"/>
  <c r="N5746" i="9"/>
  <c r="O5746" i="9"/>
  <c r="I5747" i="9"/>
  <c r="K5747" i="9"/>
  <c r="N5747" i="9"/>
  <c r="O5747" i="9"/>
  <c r="I5748" i="9"/>
  <c r="K5748" i="9"/>
  <c r="N5748" i="9"/>
  <c r="O5748" i="9"/>
  <c r="J5749" i="9"/>
  <c r="K5749" i="9"/>
  <c r="N5749" i="9"/>
  <c r="O5749" i="9"/>
  <c r="J5750" i="9"/>
  <c r="K5750" i="9"/>
  <c r="N5750" i="9"/>
  <c r="O5750" i="9"/>
  <c r="N5751" i="9"/>
  <c r="O5751" i="9"/>
  <c r="I5752" i="9"/>
  <c r="J5752" i="9"/>
  <c r="K5752" i="9"/>
  <c r="N5752" i="9"/>
  <c r="O5752" i="9"/>
  <c r="K5753" i="9"/>
  <c r="N5753" i="9"/>
  <c r="O5753" i="9"/>
  <c r="N5754" i="9"/>
  <c r="O5754" i="9"/>
  <c r="N5755" i="9"/>
  <c r="O5755" i="9"/>
  <c r="N5756" i="9"/>
  <c r="O5756" i="9"/>
  <c r="N5757" i="9"/>
  <c r="O5757" i="9"/>
  <c r="N5758" i="9"/>
  <c r="O5758" i="9"/>
  <c r="N5759" i="9"/>
  <c r="O5759" i="9"/>
  <c r="N5760" i="9"/>
  <c r="O5760" i="9"/>
  <c r="N5761" i="9"/>
  <c r="O5761" i="9"/>
  <c r="N5762" i="9"/>
  <c r="O5762" i="9"/>
  <c r="N5763" i="9"/>
  <c r="O5763" i="9"/>
  <c r="N5764" i="9"/>
  <c r="O5764" i="9"/>
  <c r="N5765" i="9"/>
  <c r="O5765" i="9"/>
  <c r="N5766" i="9"/>
  <c r="O5766" i="9"/>
  <c r="N5767" i="9"/>
  <c r="O5767" i="9"/>
  <c r="N5768" i="9"/>
  <c r="O5768" i="9"/>
  <c r="N5769" i="9"/>
  <c r="O5769" i="9"/>
  <c r="N5770" i="9"/>
  <c r="O5770" i="9"/>
  <c r="N5771" i="9"/>
  <c r="O5771" i="9"/>
  <c r="N5772" i="9"/>
  <c r="O5772" i="9"/>
  <c r="J5773" i="9"/>
  <c r="K5773" i="9"/>
  <c r="N5773" i="9"/>
  <c r="O5773" i="9"/>
  <c r="N5774" i="9"/>
  <c r="O5774" i="9"/>
  <c r="I5775" i="9"/>
  <c r="J5775" i="9"/>
  <c r="K5775" i="9"/>
  <c r="N5775" i="9"/>
  <c r="O5775" i="9"/>
  <c r="I5776" i="9"/>
  <c r="K5776" i="9"/>
  <c r="N5776" i="9"/>
  <c r="O5776" i="9"/>
  <c r="I5777" i="9"/>
  <c r="J5777" i="9"/>
  <c r="K5777" i="9"/>
  <c r="N5777" i="9"/>
  <c r="O5777" i="9"/>
  <c r="I5778" i="9"/>
  <c r="J5778" i="9"/>
  <c r="K5778" i="9"/>
  <c r="N5778" i="9"/>
  <c r="O5778" i="9"/>
  <c r="I5779" i="9"/>
  <c r="J5779" i="9"/>
  <c r="K5779" i="9"/>
  <c r="N5779" i="9"/>
  <c r="O5779" i="9"/>
  <c r="J5780" i="9"/>
  <c r="K5780" i="9"/>
  <c r="N5780" i="9"/>
  <c r="O5780" i="9"/>
  <c r="I5781" i="9"/>
  <c r="J5781" i="9"/>
  <c r="K5781" i="9"/>
  <c r="N5781" i="9"/>
  <c r="O5781" i="9"/>
  <c r="I5782" i="9"/>
  <c r="J5782" i="9"/>
  <c r="K5782" i="9"/>
  <c r="N5782" i="9"/>
  <c r="O5782" i="9"/>
  <c r="I5783" i="9"/>
  <c r="J5783" i="9"/>
  <c r="K5783" i="9"/>
  <c r="N5783" i="9"/>
  <c r="O5783" i="9"/>
  <c r="I5784" i="9"/>
  <c r="J5784" i="9"/>
  <c r="K5784" i="9"/>
  <c r="N5784" i="9"/>
  <c r="O5784" i="9"/>
  <c r="I5785" i="9"/>
  <c r="J5785" i="9"/>
  <c r="K5785" i="9"/>
  <c r="N5785" i="9"/>
  <c r="O5785" i="9"/>
  <c r="I5786" i="9"/>
  <c r="J5786" i="9"/>
  <c r="K5786" i="9"/>
  <c r="N5786" i="9"/>
  <c r="O5786" i="9"/>
  <c r="J5787" i="9"/>
  <c r="K5787" i="9"/>
  <c r="N5787" i="9"/>
  <c r="O5787" i="9"/>
  <c r="I5788" i="9"/>
  <c r="J5788" i="9"/>
  <c r="K5788" i="9"/>
  <c r="N5788" i="9"/>
  <c r="O5788" i="9"/>
  <c r="I5789" i="9"/>
  <c r="J5789" i="9"/>
  <c r="K5789" i="9"/>
  <c r="N5789" i="9"/>
  <c r="O5789" i="9"/>
  <c r="N5790" i="9"/>
  <c r="O5790" i="9"/>
  <c r="I5791" i="9"/>
  <c r="J5791" i="9"/>
  <c r="K5791" i="9"/>
  <c r="N5791" i="9"/>
  <c r="O5791" i="9"/>
  <c r="I5792" i="9"/>
  <c r="J5792" i="9"/>
  <c r="K5792" i="9"/>
  <c r="M5792" i="9"/>
  <c r="N5792" i="9"/>
  <c r="O5792" i="9"/>
  <c r="I5793" i="9"/>
  <c r="J5793" i="9"/>
  <c r="K5793" i="9"/>
  <c r="M5793" i="9"/>
  <c r="N5793" i="9"/>
  <c r="O5793" i="9"/>
  <c r="I5794" i="9"/>
  <c r="J5794" i="9"/>
  <c r="K5794" i="9"/>
  <c r="N5794" i="9"/>
  <c r="O5794" i="9"/>
  <c r="I5795" i="9"/>
  <c r="J5795" i="9"/>
  <c r="K5795" i="9"/>
  <c r="N5795" i="9"/>
  <c r="O5795" i="9"/>
  <c r="I5796" i="9"/>
  <c r="J5796" i="9"/>
  <c r="K5796" i="9"/>
  <c r="N5796" i="9"/>
  <c r="O5796" i="9"/>
  <c r="I5797" i="9"/>
  <c r="J5797" i="9"/>
  <c r="K5797" i="9"/>
  <c r="N5797" i="9"/>
  <c r="O5797" i="9"/>
  <c r="K5798" i="9"/>
  <c r="N5798" i="9"/>
  <c r="O5798" i="9"/>
  <c r="N5799" i="9"/>
  <c r="O5799" i="9"/>
  <c r="J5800" i="9"/>
  <c r="K5800" i="9"/>
  <c r="N5800" i="9"/>
  <c r="O5800" i="9"/>
  <c r="I5801" i="9"/>
  <c r="K5801" i="9"/>
  <c r="N5801" i="9"/>
  <c r="O5801" i="9"/>
  <c r="I5802" i="9"/>
  <c r="K5802" i="9"/>
  <c r="N5802" i="9"/>
  <c r="O5802" i="9"/>
  <c r="I5803" i="9"/>
  <c r="K5803" i="9"/>
  <c r="N5803" i="9"/>
  <c r="O5803" i="9"/>
  <c r="N5804" i="9"/>
  <c r="O5804" i="9"/>
  <c r="I5805" i="9"/>
  <c r="K5805" i="9"/>
  <c r="N5805" i="9"/>
  <c r="O5805" i="9"/>
  <c r="I5806" i="9"/>
  <c r="K5806" i="9"/>
  <c r="N5806" i="9"/>
  <c r="O5806" i="9"/>
  <c r="I5807" i="9"/>
  <c r="K5807" i="9"/>
  <c r="N5807" i="9"/>
  <c r="O5807" i="9"/>
  <c r="I5808" i="9"/>
  <c r="K5808" i="9"/>
  <c r="N5808" i="9"/>
  <c r="O5808" i="9"/>
  <c r="I5809" i="9"/>
  <c r="K5809" i="9"/>
  <c r="N5809" i="9"/>
  <c r="O5809" i="9"/>
  <c r="I5810" i="9"/>
  <c r="K5810" i="9"/>
  <c r="N5810" i="9"/>
  <c r="O5810" i="9"/>
  <c r="I5811" i="9"/>
  <c r="K5811" i="9"/>
  <c r="N5811" i="9"/>
  <c r="O5811" i="9"/>
  <c r="I5812" i="9"/>
  <c r="K5812" i="9"/>
  <c r="N5812" i="9"/>
  <c r="O5812" i="9"/>
  <c r="I5813" i="9"/>
  <c r="K5813" i="9"/>
  <c r="N5813" i="9"/>
  <c r="O5813" i="9"/>
  <c r="J5814" i="9"/>
  <c r="K5814" i="9"/>
  <c r="N5814" i="9"/>
  <c r="O5814" i="9"/>
  <c r="J5815" i="9"/>
  <c r="K5815" i="9"/>
  <c r="N5815" i="9"/>
  <c r="O5815" i="9"/>
  <c r="I5816" i="9"/>
  <c r="K5816" i="9"/>
  <c r="N5816" i="9"/>
  <c r="O5816" i="9"/>
  <c r="I5817" i="9"/>
  <c r="K5817" i="9"/>
  <c r="N5817" i="9"/>
  <c r="O5817" i="9"/>
  <c r="J5818" i="9"/>
  <c r="K5818" i="9"/>
  <c r="N5818" i="9"/>
  <c r="O5818" i="9"/>
  <c r="K5819" i="9"/>
  <c r="N5819" i="9"/>
  <c r="O5819" i="9"/>
  <c r="J5820" i="9"/>
  <c r="K5820" i="9"/>
  <c r="N5820" i="9"/>
  <c r="O5820" i="9"/>
  <c r="N5821" i="9"/>
  <c r="O5821" i="9"/>
  <c r="K5822" i="9"/>
  <c r="N5822" i="9"/>
  <c r="O5822" i="9"/>
  <c r="J5823" i="9"/>
  <c r="K5823" i="9"/>
  <c r="N5823" i="9"/>
  <c r="O5823" i="9"/>
  <c r="I5824" i="9"/>
  <c r="J5824" i="9"/>
  <c r="K5824" i="9"/>
  <c r="N5824" i="9"/>
  <c r="O5824" i="9"/>
  <c r="I5825" i="9"/>
  <c r="K5825" i="9"/>
  <c r="N5825" i="9"/>
  <c r="O5825" i="9"/>
  <c r="N5826" i="9"/>
  <c r="O5826" i="9"/>
  <c r="I5827" i="9"/>
  <c r="K5827" i="9"/>
  <c r="N5827" i="9"/>
  <c r="O5827" i="9"/>
  <c r="J5828" i="9"/>
  <c r="K5828" i="9"/>
  <c r="N5828" i="9"/>
  <c r="O5828" i="9"/>
  <c r="I5829" i="9"/>
  <c r="J5829" i="9"/>
  <c r="K5829" i="9"/>
  <c r="N5829" i="9"/>
  <c r="O5829" i="9"/>
  <c r="I5830" i="9"/>
  <c r="J5830" i="9"/>
  <c r="K5830" i="9"/>
  <c r="N5830" i="9"/>
  <c r="O5830" i="9"/>
  <c r="I5831" i="9"/>
  <c r="J5831" i="9"/>
  <c r="K5831" i="9"/>
  <c r="N5831" i="9"/>
  <c r="O5831" i="9"/>
  <c r="I5832" i="9"/>
  <c r="J5832" i="9"/>
  <c r="K5832" i="9"/>
  <c r="N5832" i="9"/>
  <c r="O5832" i="9"/>
  <c r="I5833" i="9"/>
  <c r="J5833" i="9"/>
  <c r="K5833" i="9"/>
  <c r="N5833" i="9"/>
  <c r="O5833" i="9"/>
  <c r="I5834" i="9"/>
  <c r="J5834" i="9"/>
  <c r="K5834" i="9"/>
  <c r="N5834" i="9"/>
  <c r="O5834" i="9"/>
  <c r="I5835" i="9"/>
  <c r="J5835" i="9"/>
  <c r="K5835" i="9"/>
  <c r="N5835" i="9"/>
  <c r="O5835" i="9"/>
  <c r="I5836" i="9"/>
  <c r="K5836" i="9"/>
  <c r="N5836" i="9"/>
  <c r="O5836" i="9"/>
  <c r="I5837" i="9"/>
  <c r="K5837" i="9"/>
  <c r="N5837" i="9"/>
  <c r="O5837" i="9"/>
  <c r="I5838" i="9"/>
  <c r="K5838" i="9"/>
  <c r="N5838" i="9"/>
  <c r="O5838" i="9"/>
  <c r="I5839" i="9"/>
  <c r="K5839" i="9"/>
  <c r="N5839" i="9"/>
  <c r="O5839" i="9"/>
  <c r="K5840" i="9"/>
  <c r="N5840" i="9"/>
  <c r="O5840" i="9"/>
  <c r="I5841" i="9"/>
  <c r="J5841" i="9"/>
  <c r="K5841" i="9"/>
  <c r="N5841" i="9"/>
  <c r="O5841" i="9"/>
  <c r="I5842" i="9"/>
  <c r="J5842" i="9"/>
  <c r="K5842" i="9"/>
  <c r="N5842" i="9"/>
  <c r="O5842" i="9"/>
  <c r="I5843" i="9"/>
  <c r="J5843" i="9"/>
  <c r="K5843" i="9"/>
  <c r="N5843" i="9"/>
  <c r="O5843" i="9"/>
  <c r="J5844" i="9"/>
  <c r="K5844" i="9"/>
  <c r="N5844" i="9"/>
  <c r="O5844" i="9"/>
  <c r="J5845" i="9"/>
  <c r="K5845" i="9"/>
  <c r="N5845" i="9"/>
  <c r="O5845" i="9"/>
  <c r="J5846" i="9"/>
  <c r="K5846" i="9"/>
  <c r="N5846" i="9"/>
  <c r="O5846" i="9"/>
  <c r="J5847" i="9"/>
  <c r="K5847" i="9"/>
  <c r="N5847" i="9"/>
  <c r="O5847" i="9"/>
  <c r="J5848" i="9"/>
  <c r="K5848" i="9"/>
  <c r="N5848" i="9"/>
  <c r="O5848" i="9"/>
  <c r="J5849" i="9"/>
  <c r="K5849" i="9"/>
  <c r="N5849" i="9"/>
  <c r="O5849" i="9"/>
  <c r="J5850" i="9"/>
  <c r="K5850" i="9"/>
  <c r="N5850" i="9"/>
  <c r="O5850" i="9"/>
  <c r="N5851" i="9"/>
  <c r="O5851" i="9"/>
  <c r="K5852" i="9"/>
  <c r="N5852" i="9"/>
  <c r="O5852" i="9"/>
  <c r="N5853" i="9"/>
  <c r="O5853" i="9"/>
  <c r="N5854" i="9"/>
  <c r="O5854" i="9"/>
  <c r="N5855" i="9"/>
  <c r="O5855" i="9"/>
  <c r="N5856" i="9"/>
  <c r="O5856" i="9"/>
  <c r="N5857" i="9"/>
  <c r="O5857" i="9"/>
  <c r="N5858" i="9"/>
  <c r="O5858" i="9"/>
  <c r="N5859" i="9"/>
  <c r="O5859" i="9"/>
  <c r="N5860" i="9"/>
  <c r="O5860" i="9"/>
  <c r="N5861" i="9"/>
  <c r="O5861" i="9"/>
  <c r="N5862" i="9"/>
  <c r="O5862" i="9"/>
  <c r="J5863" i="9"/>
  <c r="K5863" i="9"/>
  <c r="N5863" i="9"/>
  <c r="O5863" i="9"/>
  <c r="K5864" i="9"/>
  <c r="N5864" i="9"/>
  <c r="O5864" i="9"/>
  <c r="I5865" i="9"/>
  <c r="J5865" i="9"/>
  <c r="K5865" i="9"/>
  <c r="N5865" i="9"/>
  <c r="O5865" i="9"/>
  <c r="I5866" i="9"/>
  <c r="J5866" i="9"/>
  <c r="K5866" i="9"/>
  <c r="N5866" i="9"/>
  <c r="O5866" i="9"/>
  <c r="I5867" i="9"/>
  <c r="J5867" i="9"/>
  <c r="K5867" i="9"/>
  <c r="N5867" i="9"/>
  <c r="O5867" i="9"/>
  <c r="I5868" i="9"/>
  <c r="J5868" i="9"/>
  <c r="K5868" i="9"/>
  <c r="N5868" i="9"/>
  <c r="O5868" i="9"/>
  <c r="I5869" i="9"/>
  <c r="J5869" i="9"/>
  <c r="K5869" i="9"/>
  <c r="N5869" i="9"/>
  <c r="O5869" i="9"/>
  <c r="I5870" i="9"/>
  <c r="K5870" i="9"/>
  <c r="M5870" i="9"/>
  <c r="N5870" i="9"/>
  <c r="O5870" i="9"/>
  <c r="I5871" i="9"/>
  <c r="J5871" i="9"/>
  <c r="K5871" i="9"/>
  <c r="N5871" i="9"/>
  <c r="O5871" i="9"/>
  <c r="I5872" i="9"/>
  <c r="K5872" i="9"/>
  <c r="N5872" i="9"/>
  <c r="O5872" i="9"/>
  <c r="I5873" i="9"/>
  <c r="K5873" i="9"/>
  <c r="M5873" i="9"/>
  <c r="N5873" i="9"/>
  <c r="O5873" i="9"/>
  <c r="N5874" i="9"/>
  <c r="O5874" i="9"/>
  <c r="I5875" i="9"/>
  <c r="K5875" i="9"/>
  <c r="N5875" i="9"/>
  <c r="O5875" i="9"/>
  <c r="N5876" i="9"/>
  <c r="O5876" i="9"/>
  <c r="I5877" i="9"/>
  <c r="J5877" i="9"/>
  <c r="K5877" i="9"/>
  <c r="N5877" i="9"/>
  <c r="O5877" i="9"/>
  <c r="J5878" i="9"/>
  <c r="K5878" i="9"/>
  <c r="N5878" i="9"/>
  <c r="O5878" i="9"/>
  <c r="I5879" i="9"/>
  <c r="J5879" i="9"/>
  <c r="K5879" i="9"/>
  <c r="N5879" i="9"/>
  <c r="O5879" i="9"/>
  <c r="I5880" i="9"/>
  <c r="K5880" i="9"/>
  <c r="N5880" i="9"/>
  <c r="O5880" i="9"/>
  <c r="I5881" i="9"/>
  <c r="K5881" i="9"/>
  <c r="N5881" i="9"/>
  <c r="O5881" i="9"/>
  <c r="I5882" i="9"/>
  <c r="J5882" i="9"/>
  <c r="K5882" i="9"/>
  <c r="N5882" i="9"/>
  <c r="O5882" i="9"/>
  <c r="J5883" i="9"/>
  <c r="K5883" i="9"/>
  <c r="N5883" i="9"/>
  <c r="O5883" i="9"/>
  <c r="J5884" i="9"/>
  <c r="K5884" i="9"/>
  <c r="N5884" i="9"/>
  <c r="O5884" i="9"/>
  <c r="K5885" i="9"/>
  <c r="N5885" i="9"/>
  <c r="O5885" i="9"/>
  <c r="J5886" i="9"/>
  <c r="K5886" i="9"/>
  <c r="N5886" i="9"/>
  <c r="O5886" i="9"/>
  <c r="N5887" i="9"/>
  <c r="O5887" i="9"/>
  <c r="J5888" i="9"/>
  <c r="K5888" i="9"/>
  <c r="N5888" i="9"/>
  <c r="O5888" i="9"/>
  <c r="N5889" i="9"/>
  <c r="O5889" i="9"/>
  <c r="J5890" i="9"/>
  <c r="K5890" i="9"/>
  <c r="N5890" i="9"/>
  <c r="O5890" i="9"/>
  <c r="I5891" i="9"/>
  <c r="J5891" i="9"/>
  <c r="K5891" i="9"/>
  <c r="N5891" i="9"/>
  <c r="O5891" i="9"/>
  <c r="I5892" i="9"/>
  <c r="J5892" i="9"/>
  <c r="K5892" i="9"/>
  <c r="M5892" i="9"/>
  <c r="N5892" i="9"/>
  <c r="O5892" i="9"/>
  <c r="I5893" i="9"/>
  <c r="J5893" i="9"/>
  <c r="K5893" i="9"/>
  <c r="N5893" i="9"/>
  <c r="O5893" i="9"/>
  <c r="I5894" i="9"/>
  <c r="J5894" i="9"/>
  <c r="K5894" i="9"/>
  <c r="N5894" i="9"/>
  <c r="O5894" i="9"/>
  <c r="I5895" i="9"/>
  <c r="J5895" i="9"/>
  <c r="K5895" i="9"/>
  <c r="N5895" i="9"/>
  <c r="O5895" i="9"/>
  <c r="I5896" i="9"/>
  <c r="J5896" i="9"/>
  <c r="K5896" i="9"/>
  <c r="N5896" i="9"/>
  <c r="O5896" i="9"/>
  <c r="I5897" i="9"/>
  <c r="J5897" i="9"/>
  <c r="K5897" i="9"/>
  <c r="N5897" i="9"/>
  <c r="O5897" i="9"/>
  <c r="I5898" i="9"/>
  <c r="J5898" i="9"/>
  <c r="K5898" i="9"/>
  <c r="N5898" i="9"/>
  <c r="O5898" i="9"/>
  <c r="I5899" i="9"/>
  <c r="K5899" i="9"/>
  <c r="N5899" i="9"/>
  <c r="O5899" i="9"/>
  <c r="I5900" i="9"/>
  <c r="K5900" i="9"/>
  <c r="N5900" i="9"/>
  <c r="O5900" i="9"/>
  <c r="I5901" i="9"/>
  <c r="K5901" i="9"/>
  <c r="N5901" i="9"/>
  <c r="O5901" i="9"/>
  <c r="I5902" i="9"/>
  <c r="K5902" i="9"/>
  <c r="N5902" i="9"/>
  <c r="O5902" i="9"/>
  <c r="I5903" i="9"/>
  <c r="K5903" i="9"/>
  <c r="N5903" i="9"/>
  <c r="O5903" i="9"/>
  <c r="I5904" i="9"/>
  <c r="K5904" i="9"/>
  <c r="N5904" i="9"/>
  <c r="O5904" i="9"/>
  <c r="I5905" i="9"/>
  <c r="K5905" i="9"/>
  <c r="N5905" i="9"/>
  <c r="O5905" i="9"/>
  <c r="K5906" i="9"/>
  <c r="N5906" i="9"/>
  <c r="O5906" i="9"/>
  <c r="J5907" i="9"/>
  <c r="K5907" i="9"/>
  <c r="M5907" i="9"/>
  <c r="N5907" i="9"/>
  <c r="O5907" i="9"/>
  <c r="I5908" i="9"/>
  <c r="J5908" i="9"/>
  <c r="K5908" i="9"/>
  <c r="N5908" i="9"/>
  <c r="O5908" i="9"/>
  <c r="J5909" i="9"/>
  <c r="K5909" i="9"/>
  <c r="N5909" i="9"/>
  <c r="O5909" i="9"/>
  <c r="I5910" i="9"/>
  <c r="J5910" i="9"/>
  <c r="K5910" i="9"/>
  <c r="N5910" i="9"/>
  <c r="O5910" i="9"/>
  <c r="I5911" i="9"/>
  <c r="J5911" i="9"/>
  <c r="K5911" i="9"/>
  <c r="N5911" i="9"/>
  <c r="O5911" i="9"/>
  <c r="I5912" i="9"/>
  <c r="K5912" i="9"/>
  <c r="N5912" i="9"/>
  <c r="O5912" i="9"/>
  <c r="J5913" i="9"/>
  <c r="K5913" i="9"/>
  <c r="N5913" i="9"/>
  <c r="O5913" i="9"/>
  <c r="N5914" i="9"/>
  <c r="O5914" i="9"/>
  <c r="J5915" i="9"/>
  <c r="K5915" i="9"/>
  <c r="N5915" i="9"/>
  <c r="O5915" i="9"/>
  <c r="J5916" i="9"/>
  <c r="K5916" i="9"/>
  <c r="N5916" i="9"/>
  <c r="O5916" i="9"/>
  <c r="N5917" i="9"/>
  <c r="O5917" i="9"/>
  <c r="J5918" i="9"/>
  <c r="K5918" i="9"/>
  <c r="N5918" i="9"/>
  <c r="O5918" i="9"/>
  <c r="I5919" i="9"/>
  <c r="J5919" i="9"/>
  <c r="K5919" i="9"/>
  <c r="N5919" i="9"/>
  <c r="O5919" i="9"/>
  <c r="I5920" i="9"/>
  <c r="J5920" i="9"/>
  <c r="K5920" i="9"/>
  <c r="N5920" i="9"/>
  <c r="O5920" i="9"/>
  <c r="I5921" i="9"/>
  <c r="J5921" i="9"/>
  <c r="K5921" i="9"/>
  <c r="N5921" i="9"/>
  <c r="O5921" i="9"/>
  <c r="I5922" i="9"/>
  <c r="J5922" i="9"/>
  <c r="K5922" i="9"/>
  <c r="N5922" i="9"/>
  <c r="O5922" i="9"/>
  <c r="I5923" i="9"/>
  <c r="J5923" i="9"/>
  <c r="K5923" i="9"/>
  <c r="N5923" i="9"/>
  <c r="O5923" i="9"/>
  <c r="I5924" i="9"/>
  <c r="J5924" i="9"/>
  <c r="K5924" i="9"/>
  <c r="N5924" i="9"/>
  <c r="O5924" i="9"/>
  <c r="I5925" i="9"/>
  <c r="J5925" i="9"/>
  <c r="K5925" i="9"/>
  <c r="N5925" i="9"/>
  <c r="O5925" i="9"/>
  <c r="I5192" i="9"/>
  <c r="J5192" i="9"/>
  <c r="K5192" i="9"/>
  <c r="M5192" i="9"/>
  <c r="N5192" i="9"/>
  <c r="O5192" i="9"/>
  <c r="I5193" i="9"/>
  <c r="J5193" i="9"/>
  <c r="K5193" i="9"/>
  <c r="N5193" i="9"/>
  <c r="O5193" i="9"/>
  <c r="I5194" i="9"/>
  <c r="J5194" i="9"/>
  <c r="K5194" i="9"/>
  <c r="N5194" i="9"/>
  <c r="O5194" i="9"/>
  <c r="I5195" i="9"/>
  <c r="J5195" i="9"/>
  <c r="K5195" i="9"/>
  <c r="M5195" i="9"/>
  <c r="N5195" i="9"/>
  <c r="O5195" i="9"/>
  <c r="I5196" i="9"/>
  <c r="J5196" i="9"/>
  <c r="K5196" i="9"/>
  <c r="N5196" i="9"/>
  <c r="O5196" i="9"/>
  <c r="I5197" i="9"/>
  <c r="K5197" i="9"/>
  <c r="N5197" i="9"/>
  <c r="O5197" i="9"/>
  <c r="I5198" i="9"/>
  <c r="K5198" i="9"/>
  <c r="M5198" i="9"/>
  <c r="N5198" i="9"/>
  <c r="O5198" i="9"/>
  <c r="I5199" i="9"/>
  <c r="K5199" i="9"/>
  <c r="M5199" i="9"/>
  <c r="N5199" i="9"/>
  <c r="O5199" i="9"/>
  <c r="I5200" i="9"/>
  <c r="K5200" i="9"/>
  <c r="M5200" i="9"/>
  <c r="N5200" i="9"/>
  <c r="O5200" i="9"/>
  <c r="I5201" i="9"/>
  <c r="K5201" i="9"/>
  <c r="N5201" i="9"/>
  <c r="O5201" i="9"/>
  <c r="I5202" i="9"/>
  <c r="K5202" i="9"/>
  <c r="M5202" i="9"/>
  <c r="N5202" i="9"/>
  <c r="O5202" i="9"/>
  <c r="I5203" i="9"/>
  <c r="K5203" i="9"/>
  <c r="N5203" i="9"/>
  <c r="O5203" i="9"/>
  <c r="I5204" i="9"/>
  <c r="K5204" i="9"/>
  <c r="N5204" i="9"/>
  <c r="O5204" i="9"/>
  <c r="I5205" i="9"/>
  <c r="K5205" i="9"/>
  <c r="N5205" i="9"/>
  <c r="O5205" i="9"/>
  <c r="J5206" i="9"/>
  <c r="K5206" i="9"/>
  <c r="N5206" i="9"/>
  <c r="O5206" i="9"/>
  <c r="N5207" i="9"/>
  <c r="O5207" i="9"/>
  <c r="N5208" i="9"/>
  <c r="O5208" i="9"/>
  <c r="I5209" i="9"/>
  <c r="K5209" i="9"/>
  <c r="N5209" i="9"/>
  <c r="O5209" i="9"/>
  <c r="I5210" i="9"/>
  <c r="J5210" i="9"/>
  <c r="K5210" i="9"/>
  <c r="N5210" i="9"/>
  <c r="O5210" i="9"/>
  <c r="J5211" i="9"/>
  <c r="K5211" i="9"/>
  <c r="N5211" i="9"/>
  <c r="O5211" i="9"/>
  <c r="I5212" i="9"/>
  <c r="J5212" i="9"/>
  <c r="K5212" i="9"/>
  <c r="M5212" i="9"/>
  <c r="N5212" i="9"/>
  <c r="O5212" i="9"/>
  <c r="I5213" i="9"/>
  <c r="J5213" i="9"/>
  <c r="K5213" i="9"/>
  <c r="N5213" i="9"/>
  <c r="O5213" i="9"/>
  <c r="I5214" i="9"/>
  <c r="J5214" i="9"/>
  <c r="K5214" i="9"/>
  <c r="N5214" i="9"/>
  <c r="O5214" i="9"/>
  <c r="J5215" i="9"/>
  <c r="K5215" i="9"/>
  <c r="N5215" i="9"/>
  <c r="O5215" i="9"/>
  <c r="N5216" i="9"/>
  <c r="O5216" i="9"/>
  <c r="N5217" i="9"/>
  <c r="O5217" i="9"/>
  <c r="K5218" i="9"/>
  <c r="N5218" i="9"/>
  <c r="O5218" i="9"/>
  <c r="I5219" i="9"/>
  <c r="K5219" i="9"/>
  <c r="M5219" i="9"/>
  <c r="N5219" i="9"/>
  <c r="O5219" i="9"/>
  <c r="I5220" i="9"/>
  <c r="K5220" i="9"/>
  <c r="M5220" i="9"/>
  <c r="N5220" i="9"/>
  <c r="O5220" i="9"/>
  <c r="I5221" i="9"/>
  <c r="K5221" i="9"/>
  <c r="N5221" i="9"/>
  <c r="O5221" i="9"/>
  <c r="I5222" i="9"/>
  <c r="K5222" i="9"/>
  <c r="N5222" i="9"/>
  <c r="O5222" i="9"/>
  <c r="I5223" i="9"/>
  <c r="K5223" i="9"/>
  <c r="N5223" i="9"/>
  <c r="O5223" i="9"/>
  <c r="I5224" i="9"/>
  <c r="K5224" i="9"/>
  <c r="N5224" i="9"/>
  <c r="O5224" i="9"/>
  <c r="I5225" i="9"/>
  <c r="J5225" i="9"/>
  <c r="K5225" i="9"/>
  <c r="M5225" i="9"/>
  <c r="N5225" i="9"/>
  <c r="O5225" i="9"/>
  <c r="K5226" i="9"/>
  <c r="N5226" i="9"/>
  <c r="O5226" i="9"/>
  <c r="I5227" i="9"/>
  <c r="J5227" i="9"/>
  <c r="K5227" i="9"/>
  <c r="M5227" i="9"/>
  <c r="N5227" i="9"/>
  <c r="O5227" i="9"/>
  <c r="I5228" i="9"/>
  <c r="J5228" i="9"/>
  <c r="K5228" i="9"/>
  <c r="M5228" i="9"/>
  <c r="N5228" i="9"/>
  <c r="O5228" i="9"/>
  <c r="I5229" i="9"/>
  <c r="J5229" i="9"/>
  <c r="K5229" i="9"/>
  <c r="N5229" i="9"/>
  <c r="O5229" i="9"/>
  <c r="I5230" i="9"/>
  <c r="K5230" i="9"/>
  <c r="N5230" i="9"/>
  <c r="O5230" i="9"/>
  <c r="I5231" i="9"/>
  <c r="K5231" i="9"/>
  <c r="N5231" i="9"/>
  <c r="O5231" i="9"/>
  <c r="J5232" i="9"/>
  <c r="K5232" i="9"/>
  <c r="N5232" i="9"/>
  <c r="O5232" i="9"/>
  <c r="K5233" i="9"/>
  <c r="N5233" i="9"/>
  <c r="O5233" i="9"/>
  <c r="N5234" i="9"/>
  <c r="O5234" i="9"/>
  <c r="N5235" i="9"/>
  <c r="O5235" i="9"/>
  <c r="I5236" i="9"/>
  <c r="K5236" i="9"/>
  <c r="N5236" i="9"/>
  <c r="O5236" i="9"/>
  <c r="K5237" i="9"/>
  <c r="N5237" i="9"/>
  <c r="O5237" i="9"/>
  <c r="N5238" i="9"/>
  <c r="O5238" i="9"/>
  <c r="I5239" i="9"/>
  <c r="K5239" i="9"/>
  <c r="N5239" i="9"/>
  <c r="O5239" i="9"/>
  <c r="N5240" i="9"/>
  <c r="O5240" i="9"/>
  <c r="J5241" i="9"/>
  <c r="K5241" i="9"/>
  <c r="N5241" i="9"/>
  <c r="O5241" i="9"/>
  <c r="K5242" i="9"/>
  <c r="N5242" i="9"/>
  <c r="O5242" i="9"/>
  <c r="N5243" i="9"/>
  <c r="O5243" i="9"/>
  <c r="I5244" i="9"/>
  <c r="K5244" i="9"/>
  <c r="N5244" i="9"/>
  <c r="O5244" i="9"/>
  <c r="I5245" i="9"/>
  <c r="K5245" i="9"/>
  <c r="N5245" i="9"/>
  <c r="O5245" i="9"/>
  <c r="I5246" i="9"/>
  <c r="J5246" i="9"/>
  <c r="K5246" i="9"/>
  <c r="N5246" i="9"/>
  <c r="O5246" i="9"/>
  <c r="I5247" i="9"/>
  <c r="J5247" i="9"/>
  <c r="K5247" i="9"/>
  <c r="N5247" i="9"/>
  <c r="O5247" i="9"/>
  <c r="I5248" i="9"/>
  <c r="J5248" i="9"/>
  <c r="K5248" i="9"/>
  <c r="N5248" i="9"/>
  <c r="O5248" i="9"/>
  <c r="I5249" i="9"/>
  <c r="J5249" i="9"/>
  <c r="K5249" i="9"/>
  <c r="N5249" i="9"/>
  <c r="O5249" i="9"/>
  <c r="I5250" i="9"/>
  <c r="J5250" i="9"/>
  <c r="K5250" i="9"/>
  <c r="N5250" i="9"/>
  <c r="O5250" i="9"/>
  <c r="I5251" i="9"/>
  <c r="J5251" i="9"/>
  <c r="K5251" i="9"/>
  <c r="N5251" i="9"/>
  <c r="O5251" i="9"/>
  <c r="I5252" i="9"/>
  <c r="J5252" i="9"/>
  <c r="K5252" i="9"/>
  <c r="N5252" i="9"/>
  <c r="O5252" i="9"/>
  <c r="I5253" i="9"/>
  <c r="J5253" i="9"/>
  <c r="K5253" i="9"/>
  <c r="N5253" i="9"/>
  <c r="O5253" i="9"/>
  <c r="I5254" i="9"/>
  <c r="J5254" i="9"/>
  <c r="K5254" i="9"/>
  <c r="N5254" i="9"/>
  <c r="O5254" i="9"/>
  <c r="J5255" i="9"/>
  <c r="K5255" i="9"/>
  <c r="N5255" i="9"/>
  <c r="O5255" i="9"/>
  <c r="J5256" i="9"/>
  <c r="K5256" i="9"/>
  <c r="N5256" i="9"/>
  <c r="O5256" i="9"/>
  <c r="I5257" i="9"/>
  <c r="J5257" i="9"/>
  <c r="K5257" i="9"/>
  <c r="N5257" i="9"/>
  <c r="O5257" i="9"/>
  <c r="I5258" i="9"/>
  <c r="K5258" i="9"/>
  <c r="M5258" i="9"/>
  <c r="N5258" i="9"/>
  <c r="O5258" i="9"/>
  <c r="I5259" i="9"/>
  <c r="K5259" i="9"/>
  <c r="N5259" i="9"/>
  <c r="O5259" i="9"/>
  <c r="I5260" i="9"/>
  <c r="J5260" i="9"/>
  <c r="K5260" i="9"/>
  <c r="N5260" i="9"/>
  <c r="O5260" i="9"/>
  <c r="I5261" i="9"/>
  <c r="J5261" i="9"/>
  <c r="K5261" i="9"/>
  <c r="N5261" i="9"/>
  <c r="O5261" i="9"/>
  <c r="N5262" i="9"/>
  <c r="O5262" i="9"/>
  <c r="I5263" i="9"/>
  <c r="J5263" i="9"/>
  <c r="K5263" i="9"/>
  <c r="N5263" i="9"/>
  <c r="O5263" i="9"/>
  <c r="I5264" i="9"/>
  <c r="K5264" i="9"/>
  <c r="N5264" i="9"/>
  <c r="O5264" i="9"/>
  <c r="I5265" i="9"/>
  <c r="J5265" i="9"/>
  <c r="K5265" i="9"/>
  <c r="N5265" i="9"/>
  <c r="O5265" i="9"/>
  <c r="I5266" i="9"/>
  <c r="K5266" i="9"/>
  <c r="N5266" i="9"/>
  <c r="O5266" i="9"/>
  <c r="N5267" i="9"/>
  <c r="O5267" i="9"/>
  <c r="J5268" i="9"/>
  <c r="K5268" i="9"/>
  <c r="N5268" i="9"/>
  <c r="O5268" i="9"/>
  <c r="I5269" i="9"/>
  <c r="J5269" i="9"/>
  <c r="K5269" i="9"/>
  <c r="N5269" i="9"/>
  <c r="O5269" i="9"/>
  <c r="J5270" i="9"/>
  <c r="K5270" i="9"/>
  <c r="N5270" i="9"/>
  <c r="O5270" i="9"/>
  <c r="J5271" i="9"/>
  <c r="K5271" i="9"/>
  <c r="N5271" i="9"/>
  <c r="O5271" i="9"/>
  <c r="J5272" i="9"/>
  <c r="K5272" i="9"/>
  <c r="N5272" i="9"/>
  <c r="O5272" i="9"/>
  <c r="K5273" i="9"/>
  <c r="N5273" i="9"/>
  <c r="O5273" i="9"/>
  <c r="J5274" i="9"/>
  <c r="K5274" i="9"/>
  <c r="N5274" i="9"/>
  <c r="O5274" i="9"/>
  <c r="N5275" i="9"/>
  <c r="O5275" i="9"/>
  <c r="N5276" i="9"/>
  <c r="O5276" i="9"/>
  <c r="N5277" i="9"/>
  <c r="O5277" i="9"/>
  <c r="N5278" i="9"/>
  <c r="O5278" i="9"/>
  <c r="N5279" i="9"/>
  <c r="O5279" i="9"/>
  <c r="N5280" i="9"/>
  <c r="O5280" i="9"/>
  <c r="N5281" i="9"/>
  <c r="O5281" i="9"/>
  <c r="N5282" i="9"/>
  <c r="O5282" i="9"/>
  <c r="I5283" i="9"/>
  <c r="J5283" i="9"/>
  <c r="K5283" i="9"/>
  <c r="N5283" i="9"/>
  <c r="O5283" i="9"/>
  <c r="I5284" i="9"/>
  <c r="J5284" i="9"/>
  <c r="K5284" i="9"/>
  <c r="N5284" i="9"/>
  <c r="O5284" i="9"/>
  <c r="N5285" i="9"/>
  <c r="O5285" i="9"/>
  <c r="I5286" i="9"/>
  <c r="J5286" i="9"/>
  <c r="K5286" i="9"/>
  <c r="N5286" i="9"/>
  <c r="O5286" i="9"/>
  <c r="I5287" i="9"/>
  <c r="J5287" i="9"/>
  <c r="K5287" i="9"/>
  <c r="N5287" i="9"/>
  <c r="O5287" i="9"/>
  <c r="I5288" i="9"/>
  <c r="J5288" i="9"/>
  <c r="K5288" i="9"/>
  <c r="N5288" i="9"/>
  <c r="O5288" i="9"/>
  <c r="I5289" i="9"/>
  <c r="J5289" i="9"/>
  <c r="K5289" i="9"/>
  <c r="N5289" i="9"/>
  <c r="O5289" i="9"/>
  <c r="I5290" i="9"/>
  <c r="J5290" i="9"/>
  <c r="K5290" i="9"/>
  <c r="N5290" i="9"/>
  <c r="O5290" i="9"/>
  <c r="I5291" i="9"/>
  <c r="J5291" i="9"/>
  <c r="K5291" i="9"/>
  <c r="N5291" i="9"/>
  <c r="O5291" i="9"/>
  <c r="N5292" i="9"/>
  <c r="O5292" i="9"/>
  <c r="I5293" i="9"/>
  <c r="J5293" i="9"/>
  <c r="K5293" i="9"/>
  <c r="N5293" i="9"/>
  <c r="O5293" i="9"/>
  <c r="I5294" i="9"/>
  <c r="J5294" i="9"/>
  <c r="K5294" i="9"/>
  <c r="N5294" i="9"/>
  <c r="O5294" i="9"/>
  <c r="I5295" i="9"/>
  <c r="J5295" i="9"/>
  <c r="K5295" i="9"/>
  <c r="N5295" i="9"/>
  <c r="O5295" i="9"/>
  <c r="I5296" i="9"/>
  <c r="J5296" i="9"/>
  <c r="K5296" i="9"/>
  <c r="N5296" i="9"/>
  <c r="O5296" i="9"/>
  <c r="I5297" i="9"/>
  <c r="J5297" i="9"/>
  <c r="K5297" i="9"/>
  <c r="N5297" i="9"/>
  <c r="O5297" i="9"/>
  <c r="I5298" i="9"/>
  <c r="J5298" i="9"/>
  <c r="K5298" i="9"/>
  <c r="N5298" i="9"/>
  <c r="O5298" i="9"/>
  <c r="I5299" i="9"/>
  <c r="J5299" i="9"/>
  <c r="K5299" i="9"/>
  <c r="N5299" i="9"/>
  <c r="O5299" i="9"/>
  <c r="I5300" i="9"/>
  <c r="J5300" i="9"/>
  <c r="K5300" i="9"/>
  <c r="N5300" i="9"/>
  <c r="O5300" i="9"/>
  <c r="I5301" i="9"/>
  <c r="J5301" i="9"/>
  <c r="K5301" i="9"/>
  <c r="N5301" i="9"/>
  <c r="O5301" i="9"/>
  <c r="I5302" i="9"/>
  <c r="J5302" i="9"/>
  <c r="K5302" i="9"/>
  <c r="N5302" i="9"/>
  <c r="O5302" i="9"/>
  <c r="I5303" i="9"/>
  <c r="J5303" i="9"/>
  <c r="K5303" i="9"/>
  <c r="N5303" i="9"/>
  <c r="O5303" i="9"/>
  <c r="I5304" i="9"/>
  <c r="J5304" i="9"/>
  <c r="K5304" i="9"/>
  <c r="N5304" i="9"/>
  <c r="O5304" i="9"/>
  <c r="I5305" i="9"/>
  <c r="J5305" i="9"/>
  <c r="K5305" i="9"/>
  <c r="N5305" i="9"/>
  <c r="O5305" i="9"/>
  <c r="I5306" i="9"/>
  <c r="J5306" i="9"/>
  <c r="K5306" i="9"/>
  <c r="N5306" i="9"/>
  <c r="O5306" i="9"/>
  <c r="I5307" i="9"/>
  <c r="J5307" i="9"/>
  <c r="K5307" i="9"/>
  <c r="N5307" i="9"/>
  <c r="O5307" i="9"/>
  <c r="I5308" i="9"/>
  <c r="J5308" i="9"/>
  <c r="K5308" i="9"/>
  <c r="N5308" i="9"/>
  <c r="O5308" i="9"/>
  <c r="I5309" i="9"/>
  <c r="J5309" i="9"/>
  <c r="K5309" i="9"/>
  <c r="N5309" i="9"/>
  <c r="O5309" i="9"/>
  <c r="I5310" i="9"/>
  <c r="J5310" i="9"/>
  <c r="K5310" i="9"/>
  <c r="N5310" i="9"/>
  <c r="O5310" i="9"/>
  <c r="I5311" i="9"/>
  <c r="J5311" i="9"/>
  <c r="K5311" i="9"/>
  <c r="N5311" i="9"/>
  <c r="O5311" i="9"/>
  <c r="J5312" i="9"/>
  <c r="K5312" i="9"/>
  <c r="N5312" i="9"/>
  <c r="O5312" i="9"/>
  <c r="J5313" i="9"/>
  <c r="K5313" i="9"/>
  <c r="N5313" i="9"/>
  <c r="O5313" i="9"/>
  <c r="N5314" i="9"/>
  <c r="O5314" i="9"/>
  <c r="J5315" i="9"/>
  <c r="K5315" i="9"/>
  <c r="N5315" i="9"/>
  <c r="O5315" i="9"/>
  <c r="I5316" i="9"/>
  <c r="K5316" i="9"/>
  <c r="N5316" i="9"/>
  <c r="O5316" i="9"/>
  <c r="I5317" i="9"/>
  <c r="K5317" i="9"/>
  <c r="N5317" i="9"/>
  <c r="O5317" i="9"/>
  <c r="I5318" i="9"/>
  <c r="K5318" i="9"/>
  <c r="N5318" i="9"/>
  <c r="O5318" i="9"/>
  <c r="I5319" i="9"/>
  <c r="K5319" i="9"/>
  <c r="N5319" i="9"/>
  <c r="O5319" i="9"/>
  <c r="I5320" i="9"/>
  <c r="K5320" i="9"/>
  <c r="N5320" i="9"/>
  <c r="O5320" i="9"/>
  <c r="I5321" i="9"/>
  <c r="K5321" i="9"/>
  <c r="N5321" i="9"/>
  <c r="O5321" i="9"/>
  <c r="I5322" i="9"/>
  <c r="K5322" i="9"/>
  <c r="N5322" i="9"/>
  <c r="O5322" i="9"/>
  <c r="I5323" i="9"/>
  <c r="K5323" i="9"/>
  <c r="N5323" i="9"/>
  <c r="O5323" i="9"/>
  <c r="I5324" i="9"/>
  <c r="K5324" i="9"/>
  <c r="N5324" i="9"/>
  <c r="O5324" i="9"/>
  <c r="I5325" i="9"/>
  <c r="K5325" i="9"/>
  <c r="N5325" i="9"/>
  <c r="O5325" i="9"/>
  <c r="I5326" i="9"/>
  <c r="K5326" i="9"/>
  <c r="N5326" i="9"/>
  <c r="O5326" i="9"/>
  <c r="I5327" i="9"/>
  <c r="K5327" i="9"/>
  <c r="N5327" i="9"/>
  <c r="O5327" i="9"/>
  <c r="N5328" i="9"/>
  <c r="O5328" i="9"/>
  <c r="I5329" i="9"/>
  <c r="K5329" i="9"/>
  <c r="N5329" i="9"/>
  <c r="O5329" i="9"/>
  <c r="I5330" i="9"/>
  <c r="K5330" i="9"/>
  <c r="N5330" i="9"/>
  <c r="O5330" i="9"/>
  <c r="I5331" i="9"/>
  <c r="K5331" i="9"/>
  <c r="N5331" i="9"/>
  <c r="O5331" i="9"/>
  <c r="I5332" i="9"/>
  <c r="K5332" i="9"/>
  <c r="N5332" i="9"/>
  <c r="O5332" i="9"/>
  <c r="I5333" i="9"/>
  <c r="K5333" i="9"/>
  <c r="N5333" i="9"/>
  <c r="O5333" i="9"/>
  <c r="I5334" i="9"/>
  <c r="K5334" i="9"/>
  <c r="N5334" i="9"/>
  <c r="O5334" i="9"/>
  <c r="I5335" i="9"/>
  <c r="K5335" i="9"/>
  <c r="N5335" i="9"/>
  <c r="O5335" i="9"/>
  <c r="J5336" i="9"/>
  <c r="K5336" i="9"/>
  <c r="N5336" i="9"/>
  <c r="O5336" i="9"/>
  <c r="J5337" i="9"/>
  <c r="K5337" i="9"/>
  <c r="N5337" i="9"/>
  <c r="O5337" i="9"/>
  <c r="N5338" i="9"/>
  <c r="O5338" i="9"/>
  <c r="I5339" i="9"/>
  <c r="K5339" i="9"/>
  <c r="N5339" i="9"/>
  <c r="O5339" i="9"/>
  <c r="I5340" i="9"/>
  <c r="K5340" i="9"/>
  <c r="N5340" i="9"/>
  <c r="O5340" i="9"/>
  <c r="J5341" i="9"/>
  <c r="K5341" i="9"/>
  <c r="N5341" i="9"/>
  <c r="O5341" i="9"/>
  <c r="K5342" i="9"/>
  <c r="N5342" i="9"/>
  <c r="O5342" i="9"/>
  <c r="I5343" i="9"/>
  <c r="K5343" i="9"/>
  <c r="N5343" i="9"/>
  <c r="O5343" i="9"/>
  <c r="I5344" i="9"/>
  <c r="K5344" i="9"/>
  <c r="N5344" i="9"/>
  <c r="O5344" i="9"/>
  <c r="I5345" i="9"/>
  <c r="J5345" i="9"/>
  <c r="K5345" i="9"/>
  <c r="N5345" i="9"/>
  <c r="O5345" i="9"/>
  <c r="I5346" i="9"/>
  <c r="J5346" i="9"/>
  <c r="K5346" i="9"/>
  <c r="N5346" i="9"/>
  <c r="O5346" i="9"/>
  <c r="I5347" i="9"/>
  <c r="J5347" i="9"/>
  <c r="K5347" i="9"/>
  <c r="N5347" i="9"/>
  <c r="O5347" i="9"/>
  <c r="I5348" i="9"/>
  <c r="J5348" i="9"/>
  <c r="K5348" i="9"/>
  <c r="N5348" i="9"/>
  <c r="O5348" i="9"/>
  <c r="I5349" i="9"/>
  <c r="J5349" i="9"/>
  <c r="K5349" i="9"/>
  <c r="N5349" i="9"/>
  <c r="O5349" i="9"/>
  <c r="I5350" i="9"/>
  <c r="J5350" i="9"/>
  <c r="K5350" i="9"/>
  <c r="N5350" i="9"/>
  <c r="O5350" i="9"/>
  <c r="I5351" i="9"/>
  <c r="J5351" i="9"/>
  <c r="K5351" i="9"/>
  <c r="N5351" i="9"/>
  <c r="O5351" i="9"/>
  <c r="K5352" i="9"/>
  <c r="N5352" i="9"/>
  <c r="O5352" i="9"/>
  <c r="I5353" i="9"/>
  <c r="J5353" i="9"/>
  <c r="K5353" i="9"/>
  <c r="M5353" i="9"/>
  <c r="N5353" i="9"/>
  <c r="O5353" i="9"/>
  <c r="I5354" i="9"/>
  <c r="K5354" i="9"/>
  <c r="N5354" i="9"/>
  <c r="O5354" i="9"/>
  <c r="J5355" i="9"/>
  <c r="K5355" i="9"/>
  <c r="N5355" i="9"/>
  <c r="O5355" i="9"/>
  <c r="I5356" i="9"/>
  <c r="K5356" i="9"/>
  <c r="N5356" i="9"/>
  <c r="O5356" i="9"/>
  <c r="I5357" i="9"/>
  <c r="J5357" i="9"/>
  <c r="K5357" i="9"/>
  <c r="N5357" i="9"/>
  <c r="O5357" i="9"/>
  <c r="K5358" i="9"/>
  <c r="N5358" i="9"/>
  <c r="O5358" i="9"/>
  <c r="K5359" i="9"/>
  <c r="N5359" i="9"/>
  <c r="O5359" i="9"/>
  <c r="J5360" i="9"/>
  <c r="K5360" i="9"/>
  <c r="N5360" i="9"/>
  <c r="O5360" i="9"/>
  <c r="N5361" i="9"/>
  <c r="O5361" i="9"/>
  <c r="K5362" i="9"/>
  <c r="N5362" i="9"/>
  <c r="O5362" i="9"/>
  <c r="J5363" i="9"/>
  <c r="K5363" i="9"/>
  <c r="N5363" i="9"/>
  <c r="O5363" i="9"/>
  <c r="J5364" i="9"/>
  <c r="K5364" i="9"/>
  <c r="N5364" i="9"/>
  <c r="O5364" i="9"/>
  <c r="I5365" i="9"/>
  <c r="J5365" i="9"/>
  <c r="K5365" i="9"/>
  <c r="N5365" i="9"/>
  <c r="O5365" i="9"/>
  <c r="J5366" i="9"/>
  <c r="K5366" i="9"/>
  <c r="N5366" i="9"/>
  <c r="O5366" i="9"/>
  <c r="I5367" i="9"/>
  <c r="J5367" i="9"/>
  <c r="K5367" i="9"/>
  <c r="N5367" i="9"/>
  <c r="O5367" i="9"/>
  <c r="I5368" i="9"/>
  <c r="J5368" i="9"/>
  <c r="K5368" i="9"/>
  <c r="N5368" i="9"/>
  <c r="O5368" i="9"/>
  <c r="J5369" i="9"/>
  <c r="K5369" i="9"/>
  <c r="N5369" i="9"/>
  <c r="O5369" i="9"/>
  <c r="K5370" i="9"/>
  <c r="M5370" i="9"/>
  <c r="N5370" i="9"/>
  <c r="O5370" i="9"/>
  <c r="I5371" i="9"/>
  <c r="K5371" i="9"/>
  <c r="N5371" i="9"/>
  <c r="O5371" i="9"/>
  <c r="I5372" i="9"/>
  <c r="K5372" i="9"/>
  <c r="N5372" i="9"/>
  <c r="O5372" i="9"/>
  <c r="I5373" i="9"/>
  <c r="K5373" i="9"/>
  <c r="N5373" i="9"/>
  <c r="O5373" i="9"/>
  <c r="J5374" i="9"/>
  <c r="K5374" i="9"/>
  <c r="N5374" i="9"/>
  <c r="O5374" i="9"/>
  <c r="J5375" i="9"/>
  <c r="K5375" i="9"/>
  <c r="N5375" i="9"/>
  <c r="O5375" i="9"/>
  <c r="I5376" i="9"/>
  <c r="K5376" i="9"/>
  <c r="N5376" i="9"/>
  <c r="O5376" i="9"/>
  <c r="I5377" i="9"/>
  <c r="J5377" i="9"/>
  <c r="K5377" i="9"/>
  <c r="N5377" i="9"/>
  <c r="O5377" i="9"/>
  <c r="J5378" i="9"/>
  <c r="K5378" i="9"/>
  <c r="N5378" i="9"/>
  <c r="O5378" i="9"/>
  <c r="J5379" i="9"/>
  <c r="K5379" i="9"/>
  <c r="N5379" i="9"/>
  <c r="O5379" i="9"/>
  <c r="I5380" i="9"/>
  <c r="J5380" i="9"/>
  <c r="K5380" i="9"/>
  <c r="N5380" i="9"/>
  <c r="O5380" i="9"/>
  <c r="J5381" i="9"/>
  <c r="K5381" i="9"/>
  <c r="N5381" i="9"/>
  <c r="O5381" i="9"/>
  <c r="I5382" i="9"/>
  <c r="K5382" i="9"/>
  <c r="E5382" i="9"/>
  <c r="M5382" i="9"/>
  <c r="N5382" i="9"/>
  <c r="O5382" i="9"/>
  <c r="J5383" i="9"/>
  <c r="K5383" i="9"/>
  <c r="N5383" i="9"/>
  <c r="O5383" i="9"/>
  <c r="N5384" i="9"/>
  <c r="O5384" i="9"/>
  <c r="I5385" i="9"/>
  <c r="J5385" i="9"/>
  <c r="K5385" i="9"/>
  <c r="N5385" i="9"/>
  <c r="O5385" i="9"/>
  <c r="J5386" i="9"/>
  <c r="K5386" i="9"/>
  <c r="N5386" i="9"/>
  <c r="O5386" i="9"/>
  <c r="I5387" i="9"/>
  <c r="J5387" i="9"/>
  <c r="K5387" i="9"/>
  <c r="N5387" i="9"/>
  <c r="O5387" i="9"/>
  <c r="I5388" i="9"/>
  <c r="K5388" i="9"/>
  <c r="N5388" i="9"/>
  <c r="O5388" i="9"/>
  <c r="I5389" i="9"/>
  <c r="K5389" i="9"/>
  <c r="N5389" i="9"/>
  <c r="O5389" i="9"/>
  <c r="I5390" i="9"/>
  <c r="J5390" i="9"/>
  <c r="K5390" i="9"/>
  <c r="M5390" i="9"/>
  <c r="N5390" i="9"/>
  <c r="O5390" i="9"/>
  <c r="I5391" i="9"/>
  <c r="J5391" i="9"/>
  <c r="K5391" i="9"/>
  <c r="N5391" i="9"/>
  <c r="O5391" i="9"/>
  <c r="I5392" i="9"/>
  <c r="J5392" i="9"/>
  <c r="K5392" i="9"/>
  <c r="N5392" i="9"/>
  <c r="O5392" i="9"/>
  <c r="I5393" i="9"/>
  <c r="J5393" i="9"/>
  <c r="K5393" i="9"/>
  <c r="N5393" i="9"/>
  <c r="O5393" i="9"/>
  <c r="I5394" i="9"/>
  <c r="J5394" i="9"/>
  <c r="K5394" i="9"/>
  <c r="N5394" i="9"/>
  <c r="O5394" i="9"/>
  <c r="I5395" i="9"/>
  <c r="J5395" i="9"/>
  <c r="K5395" i="9"/>
  <c r="M5395" i="9"/>
  <c r="N5395" i="9"/>
  <c r="O5395" i="9"/>
  <c r="J5396" i="9"/>
  <c r="K5396" i="9"/>
  <c r="N5396" i="9"/>
  <c r="O5396" i="9"/>
  <c r="J5397" i="9"/>
  <c r="K5397" i="9"/>
  <c r="N5397" i="9"/>
  <c r="O5397" i="9"/>
  <c r="N5398" i="9"/>
  <c r="O5398" i="9"/>
  <c r="N5399" i="9"/>
  <c r="O5399" i="9"/>
  <c r="N5400" i="9"/>
  <c r="O5400" i="9"/>
  <c r="N5401" i="9"/>
  <c r="O5401" i="9"/>
  <c r="I5402" i="9"/>
  <c r="J5402" i="9"/>
  <c r="K5402" i="9"/>
  <c r="N5402" i="9"/>
  <c r="O5402" i="9"/>
  <c r="J5403" i="9"/>
  <c r="K5403" i="9"/>
  <c r="N5403" i="9"/>
  <c r="O5403" i="9"/>
  <c r="I5404" i="9"/>
  <c r="K5404" i="9"/>
  <c r="N5404" i="9"/>
  <c r="O5404" i="9"/>
  <c r="I5405" i="9"/>
  <c r="J5405" i="9"/>
  <c r="K5405" i="9"/>
  <c r="N5405" i="9"/>
  <c r="O5405" i="9"/>
  <c r="J5406" i="9"/>
  <c r="K5406" i="9"/>
  <c r="N5406" i="9"/>
  <c r="O5406" i="9"/>
  <c r="I5407" i="9"/>
  <c r="J5407" i="9"/>
  <c r="K5407" i="9"/>
  <c r="N5407" i="9"/>
  <c r="O5407" i="9"/>
  <c r="I5408" i="9"/>
  <c r="K5408" i="9"/>
  <c r="N5408" i="9"/>
  <c r="O5408" i="9"/>
  <c r="I5409" i="9"/>
  <c r="J5409" i="9"/>
  <c r="K5409" i="9"/>
  <c r="N5409" i="9"/>
  <c r="O5409" i="9"/>
  <c r="I5410" i="9"/>
  <c r="J5410" i="9"/>
  <c r="K5410" i="9"/>
  <c r="N5410" i="9"/>
  <c r="O5410" i="9"/>
  <c r="I5411" i="9"/>
  <c r="J5411" i="9"/>
  <c r="K5411" i="9"/>
  <c r="N5411" i="9"/>
  <c r="O5411" i="9"/>
  <c r="I5412" i="9"/>
  <c r="J5412" i="9"/>
  <c r="K5412" i="9"/>
  <c r="N5412" i="9"/>
  <c r="O5412" i="9"/>
  <c r="N5413" i="9"/>
  <c r="O5413" i="9"/>
  <c r="I5414" i="9"/>
  <c r="J5414" i="9"/>
  <c r="K5414" i="9"/>
  <c r="N5414" i="9"/>
  <c r="O5414" i="9"/>
  <c r="I5415" i="9"/>
  <c r="J5415" i="9"/>
  <c r="K5415" i="9"/>
  <c r="M5415" i="9"/>
  <c r="N5415" i="9"/>
  <c r="O5415" i="9"/>
  <c r="I5416" i="9"/>
  <c r="J5416" i="9"/>
  <c r="K5416" i="9"/>
  <c r="N5416" i="9"/>
  <c r="O5416" i="9"/>
  <c r="I5417" i="9"/>
  <c r="J5417" i="9"/>
  <c r="K5417" i="9"/>
  <c r="N5417" i="9"/>
  <c r="O5417" i="9"/>
  <c r="I5418" i="9"/>
  <c r="J5418" i="9"/>
  <c r="K5418" i="9"/>
  <c r="N5418" i="9"/>
  <c r="O5418" i="9"/>
  <c r="I5419" i="9"/>
  <c r="J5419" i="9"/>
  <c r="K5419" i="9"/>
  <c r="N5419" i="9"/>
  <c r="O5419" i="9"/>
  <c r="I5420" i="9"/>
  <c r="J5420" i="9"/>
  <c r="K5420" i="9"/>
  <c r="M5420" i="9"/>
  <c r="N5420" i="9"/>
  <c r="O5420" i="9"/>
  <c r="I5421" i="9"/>
  <c r="J5421" i="9"/>
  <c r="K5421" i="9"/>
  <c r="N5421" i="9"/>
  <c r="O5421" i="9"/>
  <c r="I5422" i="9"/>
  <c r="J5422" i="9"/>
  <c r="K5422" i="9"/>
  <c r="N5422" i="9"/>
  <c r="O5422" i="9"/>
  <c r="I5423" i="9"/>
  <c r="J5423" i="9"/>
  <c r="K5423" i="9"/>
  <c r="N5423" i="9"/>
  <c r="O5423" i="9"/>
  <c r="I5424" i="9"/>
  <c r="J5424" i="9"/>
  <c r="K5424" i="9"/>
  <c r="N5424" i="9"/>
  <c r="O5424" i="9"/>
  <c r="I5425" i="9"/>
  <c r="J5425" i="9"/>
  <c r="K5425" i="9"/>
  <c r="N5425" i="9"/>
  <c r="O5425" i="9"/>
  <c r="I5426" i="9"/>
  <c r="K5426" i="9"/>
  <c r="N5426" i="9"/>
  <c r="O5426" i="9"/>
  <c r="I5427" i="9"/>
  <c r="K5427" i="9"/>
  <c r="N5427" i="9"/>
  <c r="O5427" i="9"/>
  <c r="N5428" i="9"/>
  <c r="O5428" i="9"/>
  <c r="I5429" i="9"/>
  <c r="K5429" i="9"/>
  <c r="N5429" i="9"/>
  <c r="O5429" i="9"/>
  <c r="I5430" i="9"/>
  <c r="K5430" i="9"/>
  <c r="N5430" i="9"/>
  <c r="O5430" i="9"/>
  <c r="I5431" i="9"/>
  <c r="K5431" i="9"/>
  <c r="N5431" i="9"/>
  <c r="O5431" i="9"/>
  <c r="I5432" i="9"/>
  <c r="K5432" i="9"/>
  <c r="N5432" i="9"/>
  <c r="O5432" i="9"/>
  <c r="I5433" i="9"/>
  <c r="K5433" i="9"/>
  <c r="M5433" i="9"/>
  <c r="N5433" i="9"/>
  <c r="O5433" i="9"/>
  <c r="J5434" i="9"/>
  <c r="K5434" i="9"/>
  <c r="N5434" i="9"/>
  <c r="O5434" i="9"/>
  <c r="K5435" i="9"/>
  <c r="N5435" i="9"/>
  <c r="O5435" i="9"/>
  <c r="N5436" i="9"/>
  <c r="O5436" i="9"/>
  <c r="N5437" i="9"/>
  <c r="O5437" i="9"/>
  <c r="N5438" i="9"/>
  <c r="O5438" i="9"/>
  <c r="N5439" i="9"/>
  <c r="O5439" i="9"/>
  <c r="N5440" i="9"/>
  <c r="O5440" i="9"/>
  <c r="N5441" i="9"/>
  <c r="O5441" i="9"/>
  <c r="N5442" i="9"/>
  <c r="O5442" i="9"/>
  <c r="N5443" i="9"/>
  <c r="O5443" i="9"/>
  <c r="N5444" i="9"/>
  <c r="O5444" i="9"/>
  <c r="N5445" i="9"/>
  <c r="O5445" i="9"/>
  <c r="J5446" i="9"/>
  <c r="K5446" i="9"/>
  <c r="N5446" i="9"/>
  <c r="O5446" i="9"/>
  <c r="N5447" i="9"/>
  <c r="O5447" i="9"/>
  <c r="K5448" i="9"/>
  <c r="N5448" i="9"/>
  <c r="O5448" i="9"/>
  <c r="N5449" i="9"/>
  <c r="O5449" i="9"/>
  <c r="J5450" i="9"/>
  <c r="K5450" i="9"/>
  <c r="N5450" i="9"/>
  <c r="O5450" i="9"/>
  <c r="J5451" i="9"/>
  <c r="K5451" i="9"/>
  <c r="N5451" i="9"/>
  <c r="O5451" i="9"/>
  <c r="N5452" i="9"/>
  <c r="O5452" i="9"/>
  <c r="J5453" i="9"/>
  <c r="K5453" i="9"/>
  <c r="M5453" i="9"/>
  <c r="N5453" i="9"/>
  <c r="O5453" i="9"/>
  <c r="J5454" i="9"/>
  <c r="K5454" i="9"/>
  <c r="N5454" i="9"/>
  <c r="O5454" i="9"/>
  <c r="I5455" i="9"/>
  <c r="J5455" i="9"/>
  <c r="K5455" i="9"/>
  <c r="N5455" i="9"/>
  <c r="O5455" i="9"/>
  <c r="I5456" i="9"/>
  <c r="J5456" i="9"/>
  <c r="K5456" i="9"/>
  <c r="N5456" i="9"/>
  <c r="O5456" i="9"/>
  <c r="I5457" i="9"/>
  <c r="K5457" i="9"/>
  <c r="N5457" i="9"/>
  <c r="O5457" i="9"/>
  <c r="J5458" i="9"/>
  <c r="K5458" i="9"/>
  <c r="N5458" i="9"/>
  <c r="O5458" i="9"/>
  <c r="K5459" i="9"/>
  <c r="N5459" i="9"/>
  <c r="O5459" i="9"/>
  <c r="J5460" i="9"/>
  <c r="K5460" i="9"/>
  <c r="N5460" i="9"/>
  <c r="O5460" i="9"/>
  <c r="J5461" i="9"/>
  <c r="K5461" i="9"/>
  <c r="N5461" i="9"/>
  <c r="O5461" i="9"/>
  <c r="J5462" i="9"/>
  <c r="K5462" i="9"/>
  <c r="N5462" i="9"/>
  <c r="O5462" i="9"/>
  <c r="I5463" i="9"/>
  <c r="J5463" i="9"/>
  <c r="K5463" i="9"/>
  <c r="N5463" i="9"/>
  <c r="O5463" i="9"/>
  <c r="J5464" i="9"/>
  <c r="K5464" i="9"/>
  <c r="N5464" i="9"/>
  <c r="O5464" i="9"/>
  <c r="I5465" i="9"/>
  <c r="K5465" i="9"/>
  <c r="N5465" i="9"/>
  <c r="O5465" i="9"/>
  <c r="I5466" i="9"/>
  <c r="K5466" i="9"/>
  <c r="N5466" i="9"/>
  <c r="O5466" i="9"/>
  <c r="I5467" i="9"/>
  <c r="K5467" i="9"/>
  <c r="N5467" i="9"/>
  <c r="O5467" i="9"/>
  <c r="I5468" i="9"/>
  <c r="K5468" i="9"/>
  <c r="N5468" i="9"/>
  <c r="O5468" i="9"/>
  <c r="I5469" i="9"/>
  <c r="K5469" i="9"/>
  <c r="N5469" i="9"/>
  <c r="O5469" i="9"/>
  <c r="I5470" i="9"/>
  <c r="K5470" i="9"/>
  <c r="N5470" i="9"/>
  <c r="O5470" i="9"/>
  <c r="I5471" i="9"/>
  <c r="K5471" i="9"/>
  <c r="N5471" i="9"/>
  <c r="O5471" i="9"/>
  <c r="I5472" i="9"/>
  <c r="K5472" i="9"/>
  <c r="N5472" i="9"/>
  <c r="O5472" i="9"/>
  <c r="J5473" i="9"/>
  <c r="K5473" i="9"/>
  <c r="N5473" i="9"/>
  <c r="O5473" i="9"/>
  <c r="K5474" i="9"/>
  <c r="N5474" i="9"/>
  <c r="O5474" i="9"/>
  <c r="J5475" i="9"/>
  <c r="K5475" i="9"/>
  <c r="N5475" i="9"/>
  <c r="O5475" i="9"/>
  <c r="K5476" i="9"/>
  <c r="N5476" i="9"/>
  <c r="O5476" i="9"/>
  <c r="J5477" i="9"/>
  <c r="K5477" i="9"/>
  <c r="N5477" i="9"/>
  <c r="O5477" i="9"/>
  <c r="J5478" i="9"/>
  <c r="K5478" i="9"/>
  <c r="N5478" i="9"/>
  <c r="O5478" i="9"/>
  <c r="J5479" i="9"/>
  <c r="K5479" i="9"/>
  <c r="N5479" i="9"/>
  <c r="O5479" i="9"/>
  <c r="I5480" i="9"/>
  <c r="K5480" i="9"/>
  <c r="N5480" i="9"/>
  <c r="O5480" i="9"/>
  <c r="I5481" i="9"/>
  <c r="K5481" i="9"/>
  <c r="M5481" i="9"/>
  <c r="N5481" i="9"/>
  <c r="O5481" i="9"/>
  <c r="I5482" i="9"/>
  <c r="K5482" i="9"/>
  <c r="N5482" i="9"/>
  <c r="O5482" i="9"/>
  <c r="I5483" i="9"/>
  <c r="K5483" i="9"/>
  <c r="N5483" i="9"/>
  <c r="O5483" i="9"/>
  <c r="J5484" i="9"/>
  <c r="K5484" i="9"/>
  <c r="N5484" i="9"/>
  <c r="O5484" i="9"/>
  <c r="J5485" i="9"/>
  <c r="K5485" i="9"/>
  <c r="N5485" i="9"/>
  <c r="O5485" i="9"/>
  <c r="K5486" i="9"/>
  <c r="N5486" i="9"/>
  <c r="O5486" i="9"/>
  <c r="K5487" i="9"/>
  <c r="N5487" i="9"/>
  <c r="O5487" i="9"/>
  <c r="J5488" i="9"/>
  <c r="K5488" i="9"/>
  <c r="N5488" i="9"/>
  <c r="O5488" i="9"/>
  <c r="J5489" i="9"/>
  <c r="K5489" i="9"/>
  <c r="N5489" i="9"/>
  <c r="O5489" i="9"/>
  <c r="K5490" i="9"/>
  <c r="N5490" i="9"/>
  <c r="O5490" i="9"/>
  <c r="K5491" i="9"/>
  <c r="N5491" i="9"/>
  <c r="O5491" i="9"/>
  <c r="K5492" i="9"/>
  <c r="N5492" i="9"/>
  <c r="O5492" i="9"/>
  <c r="K5493" i="9"/>
  <c r="N5493" i="9"/>
  <c r="O5493" i="9"/>
  <c r="J5494" i="9"/>
  <c r="K5494" i="9"/>
  <c r="N5494" i="9"/>
  <c r="O5494" i="9"/>
  <c r="N5495" i="9"/>
  <c r="O5495" i="9"/>
  <c r="N5496" i="9"/>
  <c r="O5496" i="9"/>
  <c r="J5497" i="9"/>
  <c r="K5497" i="9"/>
  <c r="N5497" i="9"/>
  <c r="O5497" i="9"/>
  <c r="J5498" i="9"/>
  <c r="K5498" i="9"/>
  <c r="N5498" i="9"/>
  <c r="O5498" i="9"/>
  <c r="I5499" i="9"/>
  <c r="J5499" i="9"/>
  <c r="K5499" i="9"/>
  <c r="N5499" i="9"/>
  <c r="O5499" i="9"/>
  <c r="I5500" i="9"/>
  <c r="J5500" i="9"/>
  <c r="K5500" i="9"/>
  <c r="N5500" i="9"/>
  <c r="O5500" i="9"/>
  <c r="I5501" i="9"/>
  <c r="J5501" i="9"/>
  <c r="K5501" i="9"/>
  <c r="N5501" i="9"/>
  <c r="O5501" i="9"/>
  <c r="I5502" i="9"/>
  <c r="J5502" i="9"/>
  <c r="K5502" i="9"/>
  <c r="N5502" i="9"/>
  <c r="O5502" i="9"/>
  <c r="I5503" i="9"/>
  <c r="J5503" i="9"/>
  <c r="K5503" i="9"/>
  <c r="N5503" i="9"/>
  <c r="O5503" i="9"/>
  <c r="N5504" i="9"/>
  <c r="O5504" i="9"/>
  <c r="I5505" i="9"/>
  <c r="J5505" i="9"/>
  <c r="K5505" i="9"/>
  <c r="N5505" i="9"/>
  <c r="O5505" i="9"/>
  <c r="I5506" i="9"/>
  <c r="J5506" i="9"/>
  <c r="K5506" i="9"/>
  <c r="N5506" i="9"/>
  <c r="O5506" i="9"/>
  <c r="I5507" i="9"/>
  <c r="J5507" i="9"/>
  <c r="K5507" i="9"/>
  <c r="N5507" i="9"/>
  <c r="O5507" i="9"/>
  <c r="I5508" i="9"/>
  <c r="J5508" i="9"/>
  <c r="K5508" i="9"/>
  <c r="N5508" i="9"/>
  <c r="O5508" i="9"/>
  <c r="I5509" i="9"/>
  <c r="J5509" i="9"/>
  <c r="K5509" i="9"/>
  <c r="N5509" i="9"/>
  <c r="O5509" i="9"/>
  <c r="I5510" i="9"/>
  <c r="J5510" i="9"/>
  <c r="K5510" i="9"/>
  <c r="N5510" i="9"/>
  <c r="O5510" i="9"/>
  <c r="I5511" i="9"/>
  <c r="J5511" i="9"/>
  <c r="K5511" i="9"/>
  <c r="N5511" i="9"/>
  <c r="O5511" i="9"/>
  <c r="I5512" i="9"/>
  <c r="K5512" i="9"/>
  <c r="N5512" i="9"/>
  <c r="O5512" i="9"/>
  <c r="I5513" i="9"/>
  <c r="K5513" i="9"/>
  <c r="N5513" i="9"/>
  <c r="O5513" i="9"/>
  <c r="I5514" i="9"/>
  <c r="K5514" i="9"/>
  <c r="N5514" i="9"/>
  <c r="O5514" i="9"/>
  <c r="I5515" i="9"/>
  <c r="K5515" i="9"/>
  <c r="N5515" i="9"/>
  <c r="O5515" i="9"/>
  <c r="I5516" i="9"/>
  <c r="K5516" i="9"/>
  <c r="N5516" i="9"/>
  <c r="O5516" i="9"/>
  <c r="K5517" i="9"/>
  <c r="N5517" i="9"/>
  <c r="O5517" i="9"/>
  <c r="N5518" i="9"/>
  <c r="O5518" i="9"/>
  <c r="J5519" i="9"/>
  <c r="K5519" i="9"/>
  <c r="N5519" i="9"/>
  <c r="O5519" i="9"/>
  <c r="J5520" i="9"/>
  <c r="K5520" i="9"/>
  <c r="M5520" i="9"/>
  <c r="N5520" i="9"/>
  <c r="O5520" i="9"/>
  <c r="J5521" i="9"/>
  <c r="K5521" i="9"/>
  <c r="N5521" i="9"/>
  <c r="O5521" i="9"/>
  <c r="J5522" i="9"/>
  <c r="K5522" i="9"/>
  <c r="N5522" i="9"/>
  <c r="O5522" i="9"/>
  <c r="K5523" i="9"/>
  <c r="N5523" i="9"/>
  <c r="O5523" i="9"/>
  <c r="J5524" i="9"/>
  <c r="K5524" i="9"/>
  <c r="N5524" i="9"/>
  <c r="O5524" i="9"/>
  <c r="N5525" i="9"/>
  <c r="O5525" i="9"/>
  <c r="N5526" i="9"/>
  <c r="O5526" i="9"/>
  <c r="N5527" i="9"/>
  <c r="O5527" i="9"/>
  <c r="N5528" i="9"/>
  <c r="O5528" i="9"/>
  <c r="J5529" i="9"/>
  <c r="K5529" i="9"/>
  <c r="N5529" i="9"/>
  <c r="O5529" i="9"/>
  <c r="J5530" i="9"/>
  <c r="K5530" i="9"/>
  <c r="N5530" i="9"/>
  <c r="O5530" i="9"/>
  <c r="J5531" i="9"/>
  <c r="K5531" i="9"/>
  <c r="N5531" i="9"/>
  <c r="O5531" i="9"/>
  <c r="J5532" i="9"/>
  <c r="K5532" i="9"/>
  <c r="N5532" i="9"/>
  <c r="O5532" i="9"/>
  <c r="I5533" i="9"/>
  <c r="J5533" i="9"/>
  <c r="K5533" i="9"/>
  <c r="N5533" i="9"/>
  <c r="O5533" i="9"/>
  <c r="I5534" i="9"/>
  <c r="J5534" i="9"/>
  <c r="K5534" i="9"/>
  <c r="N5534" i="9"/>
  <c r="O5534" i="9"/>
  <c r="I5535" i="9"/>
  <c r="J5535" i="9"/>
  <c r="K5535" i="9"/>
  <c r="N5535" i="9"/>
  <c r="O5535" i="9"/>
  <c r="I5536" i="9"/>
  <c r="J5536" i="9"/>
  <c r="K5536" i="9"/>
  <c r="N5536" i="9"/>
  <c r="O5536" i="9"/>
  <c r="I5537" i="9"/>
  <c r="K5537" i="9"/>
  <c r="N5537" i="9"/>
  <c r="O5537" i="9"/>
  <c r="N5538" i="9"/>
  <c r="O5538" i="9"/>
  <c r="I5539" i="9"/>
  <c r="J5539" i="9"/>
  <c r="K5539" i="9"/>
  <c r="N5539" i="9"/>
  <c r="O5539" i="9"/>
  <c r="I5540" i="9"/>
  <c r="J5540" i="9"/>
  <c r="K5540" i="9"/>
  <c r="N5540" i="9"/>
  <c r="O5540" i="9"/>
  <c r="I5541" i="9"/>
  <c r="J5541" i="9"/>
  <c r="K5541" i="9"/>
  <c r="N5541" i="9"/>
  <c r="O5541" i="9"/>
  <c r="I5542" i="9"/>
  <c r="J5542" i="9"/>
  <c r="K5542" i="9"/>
  <c r="N5542" i="9"/>
  <c r="O5542" i="9"/>
  <c r="I5543" i="9"/>
  <c r="K5543" i="9"/>
  <c r="N5543" i="9"/>
  <c r="O5543" i="9"/>
  <c r="I5544" i="9"/>
  <c r="K5544" i="9"/>
  <c r="N5544" i="9"/>
  <c r="O5544" i="9"/>
  <c r="N5545" i="9"/>
  <c r="O5545" i="9"/>
  <c r="I5546" i="9"/>
  <c r="K5546" i="9"/>
  <c r="N5546" i="9"/>
  <c r="O5546" i="9"/>
  <c r="I5547" i="9"/>
  <c r="K5547" i="9"/>
  <c r="N5547" i="9"/>
  <c r="O5547" i="9"/>
  <c r="I5548" i="9"/>
  <c r="K5548" i="9"/>
  <c r="N5548" i="9"/>
  <c r="O5548" i="9"/>
  <c r="I5549" i="9"/>
  <c r="K5549" i="9"/>
  <c r="N5549" i="9"/>
  <c r="O5549" i="9"/>
  <c r="I5550" i="9"/>
  <c r="K5550" i="9"/>
  <c r="N5550" i="9"/>
  <c r="O5550" i="9"/>
  <c r="I5551" i="9"/>
  <c r="K5551" i="9"/>
  <c r="N5551" i="9"/>
  <c r="O5551" i="9"/>
  <c r="J5552" i="9"/>
  <c r="K5552" i="9"/>
  <c r="N5552" i="9"/>
  <c r="O5552" i="9"/>
  <c r="J5553" i="9"/>
  <c r="K5553" i="9"/>
  <c r="N5553" i="9"/>
  <c r="O5553" i="9"/>
  <c r="I5554" i="9"/>
  <c r="J5554" i="9"/>
  <c r="K5554" i="9"/>
  <c r="N5554" i="9"/>
  <c r="O5554" i="9"/>
  <c r="I5555" i="9"/>
  <c r="J5555" i="9"/>
  <c r="K5555" i="9"/>
  <c r="N5555" i="9"/>
  <c r="O5555" i="9"/>
  <c r="K5556" i="9"/>
  <c r="N5556" i="9"/>
  <c r="O5556" i="9"/>
  <c r="N5557" i="9"/>
  <c r="O5557" i="9"/>
  <c r="N5558" i="9"/>
  <c r="O5558" i="9"/>
  <c r="N5559" i="9"/>
  <c r="O5559" i="9"/>
  <c r="N5560" i="9"/>
  <c r="O5560" i="9"/>
  <c r="N5561" i="9"/>
  <c r="O5561" i="9"/>
  <c r="N5562" i="9"/>
  <c r="O5562" i="9"/>
  <c r="J5563" i="9"/>
  <c r="K5563" i="9"/>
  <c r="N5563" i="9"/>
  <c r="O5563" i="9"/>
  <c r="N5564" i="9"/>
  <c r="O5564" i="9"/>
  <c r="K5565" i="9"/>
  <c r="N5565" i="9"/>
  <c r="O5565" i="9"/>
  <c r="K5566" i="9"/>
  <c r="N5566" i="9"/>
  <c r="O5566" i="9"/>
  <c r="N5567" i="9"/>
  <c r="O5567" i="9"/>
  <c r="K5568" i="9"/>
  <c r="N5568" i="9"/>
  <c r="O5568" i="9"/>
  <c r="N5569" i="9"/>
  <c r="O5569" i="9"/>
  <c r="J5570" i="9"/>
  <c r="K5570" i="9"/>
  <c r="N5570" i="9"/>
  <c r="O5570" i="9"/>
  <c r="J5571" i="9"/>
  <c r="K5571" i="9"/>
  <c r="N5571" i="9"/>
  <c r="O5571" i="9"/>
  <c r="I5572" i="9"/>
  <c r="J5572" i="9"/>
  <c r="K5572" i="9"/>
  <c r="N5572" i="9"/>
  <c r="O5572" i="9"/>
  <c r="I5573" i="9"/>
  <c r="J5573" i="9"/>
  <c r="K5573" i="9"/>
  <c r="N5573" i="9"/>
  <c r="O5573" i="9"/>
  <c r="I5574" i="9"/>
  <c r="J5574" i="9"/>
  <c r="K5574" i="9"/>
  <c r="N5574" i="9"/>
  <c r="O5574" i="9"/>
  <c r="I5575" i="9"/>
  <c r="J5575" i="9"/>
  <c r="K5575" i="9"/>
  <c r="N5575" i="9"/>
  <c r="O5575" i="9"/>
  <c r="I5576" i="9"/>
  <c r="J5576" i="9"/>
  <c r="K5576" i="9"/>
  <c r="N5576" i="9"/>
  <c r="O5576" i="9"/>
  <c r="I5577" i="9"/>
  <c r="J5577" i="9"/>
  <c r="K5577" i="9"/>
  <c r="N5577" i="9"/>
  <c r="O5577" i="9"/>
  <c r="I5578" i="9"/>
  <c r="J5578" i="9"/>
  <c r="K5578" i="9"/>
  <c r="N5578" i="9"/>
  <c r="O5578" i="9"/>
  <c r="I5579" i="9"/>
  <c r="K5579" i="9"/>
  <c r="N5579" i="9"/>
  <c r="O5579" i="9"/>
  <c r="I5580" i="9"/>
  <c r="K5580" i="9"/>
  <c r="N5580" i="9"/>
  <c r="O5580" i="9"/>
  <c r="I5581" i="9"/>
  <c r="K5581" i="9"/>
  <c r="N5581" i="9"/>
  <c r="O5581" i="9"/>
  <c r="I5582" i="9"/>
  <c r="K5582" i="9"/>
  <c r="N5582" i="9"/>
  <c r="O5582" i="9"/>
  <c r="I5583" i="9"/>
  <c r="K5583" i="9"/>
  <c r="N5583" i="9"/>
  <c r="O5583" i="9"/>
  <c r="N5584" i="9"/>
  <c r="O5584" i="9"/>
  <c r="J5585" i="9"/>
  <c r="K5585" i="9"/>
  <c r="N5585" i="9"/>
  <c r="O5585" i="9"/>
  <c r="I5586" i="9"/>
  <c r="K5586" i="9"/>
  <c r="N5586" i="9"/>
  <c r="O5586" i="9"/>
  <c r="I5587" i="9"/>
  <c r="K5587" i="9"/>
  <c r="N5587" i="9"/>
  <c r="O5587" i="9"/>
  <c r="I5588" i="9"/>
  <c r="K5588" i="9"/>
  <c r="N5588" i="9"/>
  <c r="O5588" i="9"/>
  <c r="N5589" i="9"/>
  <c r="O5589" i="9"/>
  <c r="J5590" i="9"/>
  <c r="K5590" i="9"/>
  <c r="N5590" i="9"/>
  <c r="O5590" i="9"/>
  <c r="I5591" i="9"/>
  <c r="J5591" i="9"/>
  <c r="K5591" i="9"/>
  <c r="N5591" i="9"/>
  <c r="O5591" i="9"/>
  <c r="I5592" i="9"/>
  <c r="K5592" i="9"/>
  <c r="N5592" i="9"/>
  <c r="O5592" i="9"/>
  <c r="K5593" i="9"/>
  <c r="N5593" i="9"/>
  <c r="O5593" i="9"/>
  <c r="N5594" i="9"/>
  <c r="O5594" i="9"/>
  <c r="N5595" i="9"/>
  <c r="O5595" i="9"/>
  <c r="I5596" i="9"/>
  <c r="K5596" i="9"/>
  <c r="M5596" i="9"/>
  <c r="N5596" i="9"/>
  <c r="O5596" i="9"/>
  <c r="I5179" i="9"/>
  <c r="J5179" i="9"/>
  <c r="K5179" i="9"/>
  <c r="M5179" i="9"/>
  <c r="N5179" i="9"/>
  <c r="O5179" i="9"/>
  <c r="I5180" i="9"/>
  <c r="K5180" i="9"/>
  <c r="N5180" i="9"/>
  <c r="O5180" i="9"/>
  <c r="J5181" i="9"/>
  <c r="K5181" i="9"/>
  <c r="M5181" i="9"/>
  <c r="N5181" i="9"/>
  <c r="O5181" i="9"/>
  <c r="I5182" i="9"/>
  <c r="K5182" i="9"/>
  <c r="N5182" i="9"/>
  <c r="O5182" i="9"/>
  <c r="J5183" i="9"/>
  <c r="K5183" i="9"/>
  <c r="N5183" i="9"/>
  <c r="O5183" i="9"/>
  <c r="I5184" i="9"/>
  <c r="J5184" i="9"/>
  <c r="K5184" i="9"/>
  <c r="N5184" i="9"/>
  <c r="O5184" i="9"/>
  <c r="J5185" i="9"/>
  <c r="K5185" i="9"/>
  <c r="N5185" i="9"/>
  <c r="O5185" i="9"/>
  <c r="J5186" i="9"/>
  <c r="K5186" i="9"/>
  <c r="N5186" i="9"/>
  <c r="O5186" i="9"/>
  <c r="J5187" i="9"/>
  <c r="K5187" i="9"/>
  <c r="N5187" i="9"/>
  <c r="O5187" i="9"/>
  <c r="J5188" i="9"/>
  <c r="K5188" i="9"/>
  <c r="N5188" i="9"/>
  <c r="O5188" i="9"/>
  <c r="J5189" i="9"/>
  <c r="K5189" i="9"/>
  <c r="M5189" i="9"/>
  <c r="N5189" i="9"/>
  <c r="O5189" i="9"/>
  <c r="I5190" i="9"/>
  <c r="J5190" i="9"/>
  <c r="K5190" i="9"/>
  <c r="N5190" i="9"/>
  <c r="O5190" i="9"/>
  <c r="I5191" i="9"/>
  <c r="J5191" i="9"/>
  <c r="K5191" i="9"/>
  <c r="M5191" i="9"/>
  <c r="N5191" i="9"/>
  <c r="O5191" i="9"/>
  <c r="N7363" i="9"/>
  <c r="N7364" i="9"/>
  <c r="J7363" i="9"/>
  <c r="K7363" i="9"/>
  <c r="N7352" i="9"/>
  <c r="N7353" i="9"/>
  <c r="N7354" i="9"/>
  <c r="N7351" i="9"/>
  <c r="K7351" i="9"/>
  <c r="R1668" i="11"/>
  <c r="D2159" i="11"/>
  <c r="AG2159" i="11"/>
  <c r="AH2159" i="11"/>
  <c r="G2159" i="11"/>
  <c r="AF2159" i="11"/>
  <c r="AI2159" i="11"/>
  <c r="P2159" i="11"/>
  <c r="O2159" i="11"/>
  <c r="F2159" i="11"/>
  <c r="E2159" i="11"/>
  <c r="C2159" i="11"/>
  <c r="B2159" i="11"/>
  <c r="A2159" i="11"/>
  <c r="D2158" i="11"/>
  <c r="AG2158" i="11"/>
  <c r="AH2158" i="11"/>
  <c r="G2158" i="11"/>
  <c r="AF2158" i="11"/>
  <c r="AI2158" i="11"/>
  <c r="P2158" i="11"/>
  <c r="O2158" i="11"/>
  <c r="F2158" i="11"/>
  <c r="E2158" i="11"/>
  <c r="C2158" i="11"/>
  <c r="B2158" i="11"/>
  <c r="A2158" i="11"/>
  <c r="D2157" i="11"/>
  <c r="AG2157" i="11"/>
  <c r="AH2157" i="11"/>
  <c r="G2157" i="11"/>
  <c r="AF2157" i="11"/>
  <c r="AI2157" i="11"/>
  <c r="P2157" i="11"/>
  <c r="O2157" i="11"/>
  <c r="F2157" i="11"/>
  <c r="E2157" i="11"/>
  <c r="C2157" i="11"/>
  <c r="B2157" i="11"/>
  <c r="A2157" i="11"/>
  <c r="D2156" i="11"/>
  <c r="AG2156" i="11"/>
  <c r="AH2156" i="11"/>
  <c r="G2156" i="11"/>
  <c r="AF2156" i="11"/>
  <c r="AI2156" i="11"/>
  <c r="P2156" i="11"/>
  <c r="O2156" i="11"/>
  <c r="F2156" i="11"/>
  <c r="E2156" i="11"/>
  <c r="C2156" i="11"/>
  <c r="B2156" i="11"/>
  <c r="A2156" i="11"/>
  <c r="D2155" i="11"/>
  <c r="AG2155" i="11"/>
  <c r="AH2155" i="11"/>
  <c r="G2155" i="11"/>
  <c r="AF2155" i="11"/>
  <c r="AI2155" i="11"/>
  <c r="P2155" i="11"/>
  <c r="O2155" i="11"/>
  <c r="F2155" i="11"/>
  <c r="E2155" i="11"/>
  <c r="C2155" i="11"/>
  <c r="B2155" i="11"/>
  <c r="A2155" i="11"/>
  <c r="D2154" i="11"/>
  <c r="AG2154" i="11"/>
  <c r="AH2154" i="11"/>
  <c r="G2154" i="11"/>
  <c r="AF2154" i="11"/>
  <c r="AI2154" i="11"/>
  <c r="P2154" i="11"/>
  <c r="O2154" i="11"/>
  <c r="F2154" i="11"/>
  <c r="E2154" i="11"/>
  <c r="C2154" i="11"/>
  <c r="B2154" i="11"/>
  <c r="A2154" i="11"/>
  <c r="D2153" i="11"/>
  <c r="AG2153" i="11"/>
  <c r="AH2153" i="11"/>
  <c r="G2153" i="11"/>
  <c r="AF2153" i="11"/>
  <c r="AI2153" i="11"/>
  <c r="P2153" i="11"/>
  <c r="O2153" i="11"/>
  <c r="F2153" i="11"/>
  <c r="E2153" i="11"/>
  <c r="C2153" i="11"/>
  <c r="B2153" i="11"/>
  <c r="A2153" i="11"/>
  <c r="D2152" i="11"/>
  <c r="AG2152" i="11"/>
  <c r="AH2152" i="11"/>
  <c r="G2152" i="11"/>
  <c r="AF2152" i="11"/>
  <c r="AI2152" i="11"/>
  <c r="P2152" i="11"/>
  <c r="O2152" i="11"/>
  <c r="F2152" i="11"/>
  <c r="E2152" i="11"/>
  <c r="C2152" i="11"/>
  <c r="B2152" i="11"/>
  <c r="A2152" i="11"/>
  <c r="D2151" i="11"/>
  <c r="AG2151" i="11"/>
  <c r="AH2151" i="11"/>
  <c r="G2151" i="11"/>
  <c r="AF2151" i="11"/>
  <c r="AI2151" i="11"/>
  <c r="P2151" i="11"/>
  <c r="O2151" i="11"/>
  <c r="F2151" i="11"/>
  <c r="E2151" i="11"/>
  <c r="C2151" i="11"/>
  <c r="B2151" i="11"/>
  <c r="A2151" i="11"/>
  <c r="D2150" i="11"/>
  <c r="AG2150" i="11"/>
  <c r="AH2150" i="11"/>
  <c r="G2150" i="11"/>
  <c r="AF2150" i="11"/>
  <c r="AI2150" i="11"/>
  <c r="P2150" i="11"/>
  <c r="O2150" i="11"/>
  <c r="F2150" i="11"/>
  <c r="E2150" i="11"/>
  <c r="C2150" i="11"/>
  <c r="B2150" i="11"/>
  <c r="A2150" i="11"/>
  <c r="D2149" i="11"/>
  <c r="AG2149" i="11"/>
  <c r="AH2149" i="11"/>
  <c r="G2149" i="11"/>
  <c r="AF2149" i="11"/>
  <c r="AI2149" i="11"/>
  <c r="P2149" i="11"/>
  <c r="O2149" i="11"/>
  <c r="F2149" i="11"/>
  <c r="E2149" i="11"/>
  <c r="C2149" i="11"/>
  <c r="B2149" i="11"/>
  <c r="A2149" i="11"/>
  <c r="D2148" i="11"/>
  <c r="AG2148" i="11"/>
  <c r="AH2148" i="11"/>
  <c r="G2148" i="11"/>
  <c r="AF2148" i="11"/>
  <c r="AI2148" i="11"/>
  <c r="P2148" i="11"/>
  <c r="O2148" i="11"/>
  <c r="F2148" i="11"/>
  <c r="E2148" i="11"/>
  <c r="C2148" i="11"/>
  <c r="B2148" i="11"/>
  <c r="A2148" i="11"/>
  <c r="D2147" i="11"/>
  <c r="AG2147" i="11"/>
  <c r="AH2147" i="11"/>
  <c r="G2147" i="11"/>
  <c r="AF2147" i="11"/>
  <c r="AI2147" i="11"/>
  <c r="P2147" i="11"/>
  <c r="O2147" i="11"/>
  <c r="F2147" i="11"/>
  <c r="E2147" i="11"/>
  <c r="C2147" i="11"/>
  <c r="B2147" i="11"/>
  <c r="A2147" i="11"/>
  <c r="D2146" i="11"/>
  <c r="AG2146" i="11"/>
  <c r="AH2146" i="11"/>
  <c r="G2146" i="11"/>
  <c r="AF2146" i="11"/>
  <c r="AI2146" i="11"/>
  <c r="P2146" i="11"/>
  <c r="O2146" i="11"/>
  <c r="F2146" i="11"/>
  <c r="E2146" i="11"/>
  <c r="C2146" i="11"/>
  <c r="B2146" i="11"/>
  <c r="A2146" i="11"/>
  <c r="D2145" i="11"/>
  <c r="AG2145" i="11"/>
  <c r="AH2145" i="11"/>
  <c r="G2145" i="11"/>
  <c r="AF2145" i="11"/>
  <c r="AI2145" i="11"/>
  <c r="P2145" i="11"/>
  <c r="O2145" i="11"/>
  <c r="F2145" i="11"/>
  <c r="E2145" i="11"/>
  <c r="C2145" i="11"/>
  <c r="B2145" i="11"/>
  <c r="A2145" i="11"/>
  <c r="D2144" i="11"/>
  <c r="AG2144" i="11"/>
  <c r="AH2144" i="11"/>
  <c r="G2144" i="11"/>
  <c r="AF2144" i="11"/>
  <c r="AI2144" i="11"/>
  <c r="P2144" i="11"/>
  <c r="O2144" i="11"/>
  <c r="F2144" i="11"/>
  <c r="E2144" i="11"/>
  <c r="C2144" i="11"/>
  <c r="B2144" i="11"/>
  <c r="A2144" i="11"/>
  <c r="D2143" i="11"/>
  <c r="AG2143" i="11"/>
  <c r="AH2143" i="11"/>
  <c r="G2143" i="11"/>
  <c r="AF2143" i="11"/>
  <c r="AI2143" i="11"/>
  <c r="P2143" i="11"/>
  <c r="O2143" i="11"/>
  <c r="F2143" i="11"/>
  <c r="E2143" i="11"/>
  <c r="C2143" i="11"/>
  <c r="B2143" i="11"/>
  <c r="A2143" i="11"/>
  <c r="D2142" i="11"/>
  <c r="AG2142" i="11"/>
  <c r="AH2142" i="11"/>
  <c r="G2142" i="11"/>
  <c r="AF2142" i="11"/>
  <c r="AI2142" i="11"/>
  <c r="P2142" i="11"/>
  <c r="O2142" i="11"/>
  <c r="F2142" i="11"/>
  <c r="E2142" i="11"/>
  <c r="C2142" i="11"/>
  <c r="B2142" i="11"/>
  <c r="A2142" i="11"/>
  <c r="D2141" i="11"/>
  <c r="AG2141" i="11"/>
  <c r="AH2141" i="11"/>
  <c r="G2141" i="11"/>
  <c r="AF2141" i="11"/>
  <c r="AI2141" i="11"/>
  <c r="P2141" i="11"/>
  <c r="O2141" i="11"/>
  <c r="F2141" i="11"/>
  <c r="E2141" i="11"/>
  <c r="C2141" i="11"/>
  <c r="B2141" i="11"/>
  <c r="A2141" i="11"/>
  <c r="D2140" i="11"/>
  <c r="AG2140" i="11"/>
  <c r="AH2140" i="11"/>
  <c r="G2140" i="11"/>
  <c r="AF2140" i="11"/>
  <c r="AI2140" i="11"/>
  <c r="P2140" i="11"/>
  <c r="O2140" i="11"/>
  <c r="F2140" i="11"/>
  <c r="E2140" i="11"/>
  <c r="C2140" i="11"/>
  <c r="B2140" i="11"/>
  <c r="A2140" i="11"/>
  <c r="D2139" i="11"/>
  <c r="AG2139" i="11"/>
  <c r="AH2139" i="11"/>
  <c r="G2139" i="11"/>
  <c r="AF2139" i="11"/>
  <c r="AI2139" i="11"/>
  <c r="P2139" i="11"/>
  <c r="O2139" i="11"/>
  <c r="F2139" i="11"/>
  <c r="E2139" i="11"/>
  <c r="C2139" i="11"/>
  <c r="B2139" i="11"/>
  <c r="A2139" i="11"/>
  <c r="D2138" i="11"/>
  <c r="AG2138" i="11"/>
  <c r="AH2138" i="11"/>
  <c r="G2138" i="11"/>
  <c r="AF2138" i="11"/>
  <c r="AI2138" i="11"/>
  <c r="P2138" i="11"/>
  <c r="O2138" i="11"/>
  <c r="F2138" i="11"/>
  <c r="E2138" i="11"/>
  <c r="C2138" i="11"/>
  <c r="B2138" i="11"/>
  <c r="A2138" i="11"/>
  <c r="D2137" i="11"/>
  <c r="AG2137" i="11"/>
  <c r="AH2137" i="11"/>
  <c r="G2137" i="11"/>
  <c r="AF2137" i="11"/>
  <c r="AI2137" i="11"/>
  <c r="P2137" i="11"/>
  <c r="O2137" i="11"/>
  <c r="F2137" i="11"/>
  <c r="E2137" i="11"/>
  <c r="C2137" i="11"/>
  <c r="B2137" i="11"/>
  <c r="A2137" i="11"/>
  <c r="D2136" i="11"/>
  <c r="AG2136" i="11"/>
  <c r="AH2136" i="11"/>
  <c r="G2136" i="11"/>
  <c r="AF2136" i="11"/>
  <c r="AI2136" i="11"/>
  <c r="P2136" i="11"/>
  <c r="O2136" i="11"/>
  <c r="F2136" i="11"/>
  <c r="E2136" i="11"/>
  <c r="C2136" i="11"/>
  <c r="B2136" i="11"/>
  <c r="A2136" i="11"/>
  <c r="D2135" i="11"/>
  <c r="AG2135" i="11"/>
  <c r="AH2135" i="11"/>
  <c r="G2135" i="11"/>
  <c r="AF2135" i="11"/>
  <c r="AI2135" i="11"/>
  <c r="P2135" i="11"/>
  <c r="O2135" i="11"/>
  <c r="F2135" i="11"/>
  <c r="E2135" i="11"/>
  <c r="C2135" i="11"/>
  <c r="B2135" i="11"/>
  <c r="A2135" i="11"/>
  <c r="D2134" i="11"/>
  <c r="AG2134" i="11"/>
  <c r="AH2134" i="11"/>
  <c r="G2134" i="11"/>
  <c r="AF2134" i="11"/>
  <c r="AI2134" i="11"/>
  <c r="P2134" i="11"/>
  <c r="O2134" i="11"/>
  <c r="F2134" i="11"/>
  <c r="E2134" i="11"/>
  <c r="C2134" i="11"/>
  <c r="B2134" i="11"/>
  <c r="A2134" i="11"/>
  <c r="D2133" i="11"/>
  <c r="AG2133" i="11"/>
  <c r="AH2133" i="11"/>
  <c r="G2133" i="11"/>
  <c r="AF2133" i="11"/>
  <c r="AI2133" i="11"/>
  <c r="P2133" i="11"/>
  <c r="O2133" i="11"/>
  <c r="F2133" i="11"/>
  <c r="E2133" i="11"/>
  <c r="C2133" i="11"/>
  <c r="B2133" i="11"/>
  <c r="A2133" i="11"/>
  <c r="D2132" i="11"/>
  <c r="AG2132" i="11"/>
  <c r="AH2132" i="11"/>
  <c r="G2132" i="11"/>
  <c r="AF2132" i="11"/>
  <c r="AI2132" i="11"/>
  <c r="P2132" i="11"/>
  <c r="O2132" i="11"/>
  <c r="F2132" i="11"/>
  <c r="E2132" i="11"/>
  <c r="C2132" i="11"/>
  <c r="B2132" i="11"/>
  <c r="A2132" i="11"/>
  <c r="D2131" i="11"/>
  <c r="AG2131" i="11"/>
  <c r="AH2131" i="11"/>
  <c r="G2131" i="11"/>
  <c r="AF2131" i="11"/>
  <c r="AI2131" i="11"/>
  <c r="P2131" i="11"/>
  <c r="O2131" i="11"/>
  <c r="F2131" i="11"/>
  <c r="E2131" i="11"/>
  <c r="C2131" i="11"/>
  <c r="B2131" i="11"/>
  <c r="A2131" i="11"/>
  <c r="D2130" i="11"/>
  <c r="AG2130" i="11"/>
  <c r="AH2130" i="11"/>
  <c r="G2130" i="11"/>
  <c r="AF2130" i="11"/>
  <c r="AI2130" i="11"/>
  <c r="P2130" i="11"/>
  <c r="O2130" i="11"/>
  <c r="F2130" i="11"/>
  <c r="E2130" i="11"/>
  <c r="C2130" i="11"/>
  <c r="B2130" i="11"/>
  <c r="A2130" i="11"/>
  <c r="D2129" i="11"/>
  <c r="AG2129" i="11"/>
  <c r="AH2129" i="11"/>
  <c r="G2129" i="11"/>
  <c r="AF2129" i="11"/>
  <c r="AI2129" i="11"/>
  <c r="P2129" i="11"/>
  <c r="O2129" i="11"/>
  <c r="F2129" i="11"/>
  <c r="E2129" i="11"/>
  <c r="C2129" i="11"/>
  <c r="B2129" i="11"/>
  <c r="A2129" i="11"/>
  <c r="D2128" i="11"/>
  <c r="AG2128" i="11"/>
  <c r="AH2128" i="11"/>
  <c r="G2128" i="11"/>
  <c r="AF2128" i="11"/>
  <c r="AI2128" i="11"/>
  <c r="P2128" i="11"/>
  <c r="O2128" i="11"/>
  <c r="F2128" i="11"/>
  <c r="E2128" i="11"/>
  <c r="C2128" i="11"/>
  <c r="B2128" i="11"/>
  <c r="A2128" i="11"/>
  <c r="D2127" i="11"/>
  <c r="AG2127" i="11"/>
  <c r="AH2127" i="11"/>
  <c r="G2127" i="11"/>
  <c r="AF2127" i="11"/>
  <c r="AI2127" i="11"/>
  <c r="P2127" i="11"/>
  <c r="O2127" i="11"/>
  <c r="F2127" i="11"/>
  <c r="E2127" i="11"/>
  <c r="C2127" i="11"/>
  <c r="B2127" i="11"/>
  <c r="A2127" i="11"/>
  <c r="D2126" i="11"/>
  <c r="AG2126" i="11"/>
  <c r="AH2126" i="11"/>
  <c r="G2126" i="11"/>
  <c r="AF2126" i="11"/>
  <c r="AI2126" i="11"/>
  <c r="P2126" i="11"/>
  <c r="O2126" i="11"/>
  <c r="F2126" i="11"/>
  <c r="E2126" i="11"/>
  <c r="C2126" i="11"/>
  <c r="B2126" i="11"/>
  <c r="A2126" i="11"/>
  <c r="D2125" i="11"/>
  <c r="AG2125" i="11"/>
  <c r="AH2125" i="11"/>
  <c r="G2125" i="11"/>
  <c r="AF2125" i="11"/>
  <c r="AI2125" i="11"/>
  <c r="P2125" i="11"/>
  <c r="O2125" i="11"/>
  <c r="F2125" i="11"/>
  <c r="E2125" i="11"/>
  <c r="C2125" i="11"/>
  <c r="B2125" i="11"/>
  <c r="A2125" i="11"/>
  <c r="D2124" i="11"/>
  <c r="AG2124" i="11"/>
  <c r="AH2124" i="11"/>
  <c r="G2124" i="11"/>
  <c r="AF2124" i="11"/>
  <c r="AI2124" i="11"/>
  <c r="P2124" i="11"/>
  <c r="O2124" i="11"/>
  <c r="F2124" i="11"/>
  <c r="E2124" i="11"/>
  <c r="C2124" i="11"/>
  <c r="B2124" i="11"/>
  <c r="A2124" i="11"/>
  <c r="D2123" i="11"/>
  <c r="AG2123" i="11"/>
  <c r="AH2123" i="11"/>
  <c r="G2123" i="11"/>
  <c r="AF2123" i="11"/>
  <c r="AI2123" i="11"/>
  <c r="P2123" i="11"/>
  <c r="O2123" i="11"/>
  <c r="F2123" i="11"/>
  <c r="E2123" i="11"/>
  <c r="C2123" i="11"/>
  <c r="B2123" i="11"/>
  <c r="A2123" i="11"/>
  <c r="D2122" i="11"/>
  <c r="AG2122" i="11"/>
  <c r="AH2122" i="11"/>
  <c r="G2122" i="11"/>
  <c r="AF2122" i="11"/>
  <c r="AI2122" i="11"/>
  <c r="P2122" i="11"/>
  <c r="O2122" i="11"/>
  <c r="F2122" i="11"/>
  <c r="E2122" i="11"/>
  <c r="C2122" i="11"/>
  <c r="B2122" i="11"/>
  <c r="A2122" i="11"/>
  <c r="D2121" i="11"/>
  <c r="AG2121" i="11"/>
  <c r="AH2121" i="11"/>
  <c r="G2121" i="11"/>
  <c r="AF2121" i="11"/>
  <c r="AI2121" i="11"/>
  <c r="P2121" i="11"/>
  <c r="O2121" i="11"/>
  <c r="F2121" i="11"/>
  <c r="E2121" i="11"/>
  <c r="C2121" i="11"/>
  <c r="B2121" i="11"/>
  <c r="A2121" i="11"/>
  <c r="D2120" i="11"/>
  <c r="AG2120" i="11"/>
  <c r="AH2120" i="11"/>
  <c r="G2120" i="11"/>
  <c r="AF2120" i="11"/>
  <c r="AI2120" i="11"/>
  <c r="P2120" i="11"/>
  <c r="O2120" i="11"/>
  <c r="F2120" i="11"/>
  <c r="E2120" i="11"/>
  <c r="C2120" i="11"/>
  <c r="B2120" i="11"/>
  <c r="A2120" i="11"/>
  <c r="D2119" i="11"/>
  <c r="AG2119" i="11"/>
  <c r="AH2119" i="11"/>
  <c r="G2119" i="11"/>
  <c r="AF2119" i="11"/>
  <c r="AI2119" i="11"/>
  <c r="P2119" i="11"/>
  <c r="O2119" i="11"/>
  <c r="F2119" i="11"/>
  <c r="E2119" i="11"/>
  <c r="C2119" i="11"/>
  <c r="B2119" i="11"/>
  <c r="A2119" i="11"/>
  <c r="D2118" i="11"/>
  <c r="AG2118" i="11"/>
  <c r="AH2118" i="11"/>
  <c r="G2118" i="11"/>
  <c r="AF2118" i="11"/>
  <c r="AI2118" i="11"/>
  <c r="P2118" i="11"/>
  <c r="O2118" i="11"/>
  <c r="F2118" i="11"/>
  <c r="E2118" i="11"/>
  <c r="C2118" i="11"/>
  <c r="B2118" i="11"/>
  <c r="A2118" i="11"/>
  <c r="D2117" i="11"/>
  <c r="AG2117" i="11"/>
  <c r="AH2117" i="11"/>
  <c r="G2117" i="11"/>
  <c r="AF2117" i="11"/>
  <c r="AI2117" i="11"/>
  <c r="P2117" i="11"/>
  <c r="O2117" i="11"/>
  <c r="F2117" i="11"/>
  <c r="E2117" i="11"/>
  <c r="C2117" i="11"/>
  <c r="B2117" i="11"/>
  <c r="A2117" i="11"/>
  <c r="D2116" i="11"/>
  <c r="AG2116" i="11"/>
  <c r="AH2116" i="11"/>
  <c r="G2116" i="11"/>
  <c r="AF2116" i="11"/>
  <c r="AI2116" i="11"/>
  <c r="P2116" i="11"/>
  <c r="O2116" i="11"/>
  <c r="F2116" i="11"/>
  <c r="E2116" i="11"/>
  <c r="C2116" i="11"/>
  <c r="B2116" i="11"/>
  <c r="A2116" i="11"/>
  <c r="D2115" i="11"/>
  <c r="AG2115" i="11"/>
  <c r="AH2115" i="11"/>
  <c r="G2115" i="11"/>
  <c r="AF2115" i="11"/>
  <c r="AI2115" i="11"/>
  <c r="P2115" i="11"/>
  <c r="O2115" i="11"/>
  <c r="F2115" i="11"/>
  <c r="E2115" i="11"/>
  <c r="C2115" i="11"/>
  <c r="B2115" i="11"/>
  <c r="A2115" i="11"/>
  <c r="D2114" i="11"/>
  <c r="AG2114" i="11"/>
  <c r="AH2114" i="11"/>
  <c r="G2114" i="11"/>
  <c r="AF2114" i="11"/>
  <c r="AI2114" i="11"/>
  <c r="P2114" i="11"/>
  <c r="O2114" i="11"/>
  <c r="F2114" i="11"/>
  <c r="E2114" i="11"/>
  <c r="C2114" i="11"/>
  <c r="B2114" i="11"/>
  <c r="A2114" i="11"/>
  <c r="D2113" i="11"/>
  <c r="AG2113" i="11"/>
  <c r="AH2113" i="11"/>
  <c r="G2113" i="11"/>
  <c r="AF2113" i="11"/>
  <c r="AI2113" i="11"/>
  <c r="P2113" i="11"/>
  <c r="O2113" i="11"/>
  <c r="F2113" i="11"/>
  <c r="E2113" i="11"/>
  <c r="C2113" i="11"/>
  <c r="B2113" i="11"/>
  <c r="A2113" i="11"/>
  <c r="D2112" i="11"/>
  <c r="AG2112" i="11"/>
  <c r="AH2112" i="11"/>
  <c r="G2112" i="11"/>
  <c r="AF2112" i="11"/>
  <c r="AI2112" i="11"/>
  <c r="P2112" i="11"/>
  <c r="O2112" i="11"/>
  <c r="F2112" i="11"/>
  <c r="E2112" i="11"/>
  <c r="C2112" i="11"/>
  <c r="B2112" i="11"/>
  <c r="A2112" i="11"/>
  <c r="D2111" i="11"/>
  <c r="AG2111" i="11"/>
  <c r="AH2111" i="11"/>
  <c r="G2111" i="11"/>
  <c r="AF2111" i="11"/>
  <c r="AI2111" i="11"/>
  <c r="P2111" i="11"/>
  <c r="O2111" i="11"/>
  <c r="F2111" i="11"/>
  <c r="E2111" i="11"/>
  <c r="C2111" i="11"/>
  <c r="B2111" i="11"/>
  <c r="A2111" i="11"/>
  <c r="D2110" i="11"/>
  <c r="AG2110" i="11"/>
  <c r="AH2110" i="11"/>
  <c r="G2110" i="11"/>
  <c r="AF2110" i="11"/>
  <c r="AI2110" i="11"/>
  <c r="P2110" i="11"/>
  <c r="O2110" i="11"/>
  <c r="F2110" i="11"/>
  <c r="E2110" i="11"/>
  <c r="C2110" i="11"/>
  <c r="B2110" i="11"/>
  <c r="A2110" i="11"/>
  <c r="D2109" i="11"/>
  <c r="AG2109" i="11"/>
  <c r="AH2109" i="11"/>
  <c r="G2109" i="11"/>
  <c r="AF2109" i="11"/>
  <c r="AI2109" i="11"/>
  <c r="P2109" i="11"/>
  <c r="O2109" i="11"/>
  <c r="F2109" i="11"/>
  <c r="E2109" i="11"/>
  <c r="C2109" i="11"/>
  <c r="B2109" i="11"/>
  <c r="A2109" i="11"/>
  <c r="D2108" i="11"/>
  <c r="AG2108" i="11"/>
  <c r="AH2108" i="11"/>
  <c r="G2108" i="11"/>
  <c r="AF2108" i="11"/>
  <c r="AI2108" i="11"/>
  <c r="P2108" i="11"/>
  <c r="O2108" i="11"/>
  <c r="F2108" i="11"/>
  <c r="E2108" i="11"/>
  <c r="C2108" i="11"/>
  <c r="B2108" i="11"/>
  <c r="A2108" i="11"/>
  <c r="D2107" i="11"/>
  <c r="AG2107" i="11"/>
  <c r="AH2107" i="11"/>
  <c r="G2107" i="11"/>
  <c r="AF2107" i="11"/>
  <c r="AI2107" i="11"/>
  <c r="P2107" i="11"/>
  <c r="O2107" i="11"/>
  <c r="F2107" i="11"/>
  <c r="E2107" i="11"/>
  <c r="C2107" i="11"/>
  <c r="B2107" i="11"/>
  <c r="A2107" i="11"/>
  <c r="D2106" i="11"/>
  <c r="AG2106" i="11"/>
  <c r="AH2106" i="11"/>
  <c r="G2106" i="11"/>
  <c r="AF2106" i="11"/>
  <c r="AI2106" i="11"/>
  <c r="P2106" i="11"/>
  <c r="O2106" i="11"/>
  <c r="F2106" i="11"/>
  <c r="E2106" i="11"/>
  <c r="C2106" i="11"/>
  <c r="B2106" i="11"/>
  <c r="A2106" i="11"/>
  <c r="D2105" i="11"/>
  <c r="AG2105" i="11"/>
  <c r="AH2105" i="11"/>
  <c r="G2105" i="11"/>
  <c r="AF2105" i="11"/>
  <c r="AI2105" i="11"/>
  <c r="P2105" i="11"/>
  <c r="O2105" i="11"/>
  <c r="F2105" i="11"/>
  <c r="E2105" i="11"/>
  <c r="C2105" i="11"/>
  <c r="B2105" i="11"/>
  <c r="A2105" i="11"/>
  <c r="D2104" i="11"/>
  <c r="AG2104" i="11"/>
  <c r="AH2104" i="11"/>
  <c r="G2104" i="11"/>
  <c r="AF2104" i="11"/>
  <c r="AI2104" i="11"/>
  <c r="P2104" i="11"/>
  <c r="O2104" i="11"/>
  <c r="F2104" i="11"/>
  <c r="E2104" i="11"/>
  <c r="C2104" i="11"/>
  <c r="B2104" i="11"/>
  <c r="A2104" i="11"/>
  <c r="D2103" i="11"/>
  <c r="AG2103" i="11"/>
  <c r="AH2103" i="11"/>
  <c r="G2103" i="11"/>
  <c r="AF2103" i="11"/>
  <c r="AI2103" i="11"/>
  <c r="P2103" i="11"/>
  <c r="O2103" i="11"/>
  <c r="F2103" i="11"/>
  <c r="E2103" i="11"/>
  <c r="C2103" i="11"/>
  <c r="B2103" i="11"/>
  <c r="A2103" i="11"/>
  <c r="D2102" i="11"/>
  <c r="AG2102" i="11"/>
  <c r="AH2102" i="11"/>
  <c r="G2102" i="11"/>
  <c r="AF2102" i="11"/>
  <c r="AI2102" i="11"/>
  <c r="P2102" i="11"/>
  <c r="O2102" i="11"/>
  <c r="F2102" i="11"/>
  <c r="E2102" i="11"/>
  <c r="C2102" i="11"/>
  <c r="B2102" i="11"/>
  <c r="A2102" i="11"/>
  <c r="D2101" i="11"/>
  <c r="AG2101" i="11"/>
  <c r="AH2101" i="11"/>
  <c r="G2101" i="11"/>
  <c r="AF2101" i="11"/>
  <c r="AI2101" i="11"/>
  <c r="P2101" i="11"/>
  <c r="O2101" i="11"/>
  <c r="F2101" i="11"/>
  <c r="E2101" i="11"/>
  <c r="C2101" i="11"/>
  <c r="B2101" i="11"/>
  <c r="A2101" i="11"/>
  <c r="D2100" i="11"/>
  <c r="AG2100" i="11"/>
  <c r="AH2100" i="11"/>
  <c r="G2100" i="11"/>
  <c r="AF2100" i="11"/>
  <c r="AI2100" i="11"/>
  <c r="P2100" i="11"/>
  <c r="O2100" i="11"/>
  <c r="F2100" i="11"/>
  <c r="E2100" i="11"/>
  <c r="C2100" i="11"/>
  <c r="B2100" i="11"/>
  <c r="A2100" i="11"/>
  <c r="D2099" i="11"/>
  <c r="AG2099" i="11"/>
  <c r="AH2099" i="11"/>
  <c r="G2099" i="11"/>
  <c r="AF2099" i="11"/>
  <c r="AI2099" i="11"/>
  <c r="P2099" i="11"/>
  <c r="O2099" i="11"/>
  <c r="F2099" i="11"/>
  <c r="E2099" i="11"/>
  <c r="C2099" i="11"/>
  <c r="B2099" i="11"/>
  <c r="A2099" i="11"/>
  <c r="D2098" i="11"/>
  <c r="AG2098" i="11"/>
  <c r="AH2098" i="11"/>
  <c r="G2098" i="11"/>
  <c r="AF2098" i="11"/>
  <c r="AI2098" i="11"/>
  <c r="P2098" i="11"/>
  <c r="O2098" i="11"/>
  <c r="F2098" i="11"/>
  <c r="E2098" i="11"/>
  <c r="C2098" i="11"/>
  <c r="B2098" i="11"/>
  <c r="A2098" i="11"/>
  <c r="D2097" i="11"/>
  <c r="AG2097" i="11"/>
  <c r="AH2097" i="11"/>
  <c r="G2097" i="11"/>
  <c r="AF2097" i="11"/>
  <c r="AI2097" i="11"/>
  <c r="P2097" i="11"/>
  <c r="O2097" i="11"/>
  <c r="F2097" i="11"/>
  <c r="E2097" i="11"/>
  <c r="C2097" i="11"/>
  <c r="B2097" i="11"/>
  <c r="A2097" i="11"/>
  <c r="D2096" i="11"/>
  <c r="AG2096" i="11"/>
  <c r="AH2096" i="11"/>
  <c r="G2096" i="11"/>
  <c r="AF2096" i="11"/>
  <c r="AI2096" i="11"/>
  <c r="P2096" i="11"/>
  <c r="O2096" i="11"/>
  <c r="F2096" i="11"/>
  <c r="E2096" i="11"/>
  <c r="C2096" i="11"/>
  <c r="B2096" i="11"/>
  <c r="A2096" i="11"/>
  <c r="D2095" i="11"/>
  <c r="AG2095" i="11"/>
  <c r="AH2095" i="11"/>
  <c r="G2095" i="11"/>
  <c r="AF2095" i="11"/>
  <c r="AI2095" i="11"/>
  <c r="P2095" i="11"/>
  <c r="O2095" i="11"/>
  <c r="F2095" i="11"/>
  <c r="E2095" i="11"/>
  <c r="C2095" i="11"/>
  <c r="B2095" i="11"/>
  <c r="A2095" i="11"/>
  <c r="D2094" i="11"/>
  <c r="AG2094" i="11"/>
  <c r="AH2094" i="11"/>
  <c r="G2094" i="11"/>
  <c r="AF2094" i="11"/>
  <c r="AI2094" i="11"/>
  <c r="P2094" i="11"/>
  <c r="O2094" i="11"/>
  <c r="F2094" i="11"/>
  <c r="E2094" i="11"/>
  <c r="C2094" i="11"/>
  <c r="B2094" i="11"/>
  <c r="A2094" i="11"/>
  <c r="D2093" i="11"/>
  <c r="AG2093" i="11"/>
  <c r="AH2093" i="11"/>
  <c r="G2093" i="11"/>
  <c r="AF2093" i="11"/>
  <c r="AI2093" i="11"/>
  <c r="P2093" i="11"/>
  <c r="O2093" i="11"/>
  <c r="F2093" i="11"/>
  <c r="E2093" i="11"/>
  <c r="C2093" i="11"/>
  <c r="B2093" i="11"/>
  <c r="A2093" i="11"/>
  <c r="D2092" i="11"/>
  <c r="AG2092" i="11"/>
  <c r="AH2092" i="11"/>
  <c r="G2092" i="11"/>
  <c r="AF2092" i="11"/>
  <c r="AI2092" i="11"/>
  <c r="P2092" i="11"/>
  <c r="O2092" i="11"/>
  <c r="F2092" i="11"/>
  <c r="E2092" i="11"/>
  <c r="C2092" i="11"/>
  <c r="B2092" i="11"/>
  <c r="A2092" i="11"/>
  <c r="D2091" i="11"/>
  <c r="AG2091" i="11"/>
  <c r="AH2091" i="11"/>
  <c r="G2091" i="11"/>
  <c r="AF2091" i="11"/>
  <c r="AI2091" i="11"/>
  <c r="P2091" i="11"/>
  <c r="O2091" i="11"/>
  <c r="F2091" i="11"/>
  <c r="E2091" i="11"/>
  <c r="C2091" i="11"/>
  <c r="B2091" i="11"/>
  <c r="A2091" i="11"/>
  <c r="D2090" i="11"/>
  <c r="AG2090" i="11"/>
  <c r="AH2090" i="11"/>
  <c r="G2090" i="11"/>
  <c r="AF2090" i="11"/>
  <c r="AI2090" i="11"/>
  <c r="P2090" i="11"/>
  <c r="O2090" i="11"/>
  <c r="F2090" i="11"/>
  <c r="E2090" i="11"/>
  <c r="C2090" i="11"/>
  <c r="B2090" i="11"/>
  <c r="A2090" i="11"/>
  <c r="D2089" i="11"/>
  <c r="AG2089" i="11"/>
  <c r="AH2089" i="11"/>
  <c r="G2089" i="11"/>
  <c r="AF2089" i="11"/>
  <c r="AI2089" i="11"/>
  <c r="P2089" i="11"/>
  <c r="O2089" i="11"/>
  <c r="F2089" i="11"/>
  <c r="E2089" i="11"/>
  <c r="C2089" i="11"/>
  <c r="B2089" i="11"/>
  <c r="A2089" i="11"/>
  <c r="D2088" i="11"/>
  <c r="AG2088" i="11"/>
  <c r="AH2088" i="11"/>
  <c r="G2088" i="11"/>
  <c r="AF2088" i="11"/>
  <c r="AI2088" i="11"/>
  <c r="P2088" i="11"/>
  <c r="O2088" i="11"/>
  <c r="F2088" i="11"/>
  <c r="E2088" i="11"/>
  <c r="C2088" i="11"/>
  <c r="B2088" i="11"/>
  <c r="A2088" i="11"/>
  <c r="D2087" i="11"/>
  <c r="AG2087" i="11"/>
  <c r="AH2087" i="11"/>
  <c r="G2087" i="11"/>
  <c r="AF2087" i="11"/>
  <c r="AI2087" i="11"/>
  <c r="P2087" i="11"/>
  <c r="O2087" i="11"/>
  <c r="F2087" i="11"/>
  <c r="E2087" i="11"/>
  <c r="C2087" i="11"/>
  <c r="B2087" i="11"/>
  <c r="A2087" i="11"/>
  <c r="D2086" i="11"/>
  <c r="AG2086" i="11"/>
  <c r="AH2086" i="11"/>
  <c r="G2086" i="11"/>
  <c r="AF2086" i="11"/>
  <c r="AI2086" i="11"/>
  <c r="P2086" i="11"/>
  <c r="O2086" i="11"/>
  <c r="F2086" i="11"/>
  <c r="E2086" i="11"/>
  <c r="C2086" i="11"/>
  <c r="B2086" i="11"/>
  <c r="A2086" i="11"/>
  <c r="D2085" i="11"/>
  <c r="AG2085" i="11"/>
  <c r="AH2085" i="11"/>
  <c r="G2085" i="11"/>
  <c r="AF2085" i="11"/>
  <c r="AI2085" i="11"/>
  <c r="P2085" i="11"/>
  <c r="O2085" i="11"/>
  <c r="F2085" i="11"/>
  <c r="E2085" i="11"/>
  <c r="C2085" i="11"/>
  <c r="B2085" i="11"/>
  <c r="A2085" i="11"/>
  <c r="D2084" i="11"/>
  <c r="AG2084" i="11"/>
  <c r="AH2084" i="11"/>
  <c r="G2084" i="11"/>
  <c r="AF2084" i="11"/>
  <c r="AI2084" i="11"/>
  <c r="P2084" i="11"/>
  <c r="O2084" i="11"/>
  <c r="F2084" i="11"/>
  <c r="E2084" i="11"/>
  <c r="C2084" i="11"/>
  <c r="B2084" i="11"/>
  <c r="A2084" i="11"/>
  <c r="D2083" i="11"/>
  <c r="AG2083" i="11"/>
  <c r="AH2083" i="11"/>
  <c r="G2083" i="11"/>
  <c r="AF2083" i="11"/>
  <c r="AI2083" i="11"/>
  <c r="P2083" i="11"/>
  <c r="O2083" i="11"/>
  <c r="F2083" i="11"/>
  <c r="E2083" i="11"/>
  <c r="C2083" i="11"/>
  <c r="B2083" i="11"/>
  <c r="A2083" i="11"/>
  <c r="D2082" i="11"/>
  <c r="AG2082" i="11"/>
  <c r="AH2082" i="11"/>
  <c r="G2082" i="11"/>
  <c r="AF2082" i="11"/>
  <c r="AI2082" i="11"/>
  <c r="P2082" i="11"/>
  <c r="O2082" i="11"/>
  <c r="F2082" i="11"/>
  <c r="E2082" i="11"/>
  <c r="C2082" i="11"/>
  <c r="B2082" i="11"/>
  <c r="A2082" i="11"/>
  <c r="D2081" i="11"/>
  <c r="AG2081" i="11"/>
  <c r="AH2081" i="11"/>
  <c r="G2081" i="11"/>
  <c r="AF2081" i="11"/>
  <c r="AI2081" i="11"/>
  <c r="P2081" i="11"/>
  <c r="O2081" i="11"/>
  <c r="F2081" i="11"/>
  <c r="E2081" i="11"/>
  <c r="C2081" i="11"/>
  <c r="B2081" i="11"/>
  <c r="A2081" i="11"/>
  <c r="D2080" i="11"/>
  <c r="AG2080" i="11"/>
  <c r="AH2080" i="11"/>
  <c r="G2080" i="11"/>
  <c r="AF2080" i="11"/>
  <c r="AI2080" i="11"/>
  <c r="P2080" i="11"/>
  <c r="O2080" i="11"/>
  <c r="F2080" i="11"/>
  <c r="E2080" i="11"/>
  <c r="C2080" i="11"/>
  <c r="B2080" i="11"/>
  <c r="A2080" i="11"/>
  <c r="D2079" i="11"/>
  <c r="AG2079" i="11"/>
  <c r="AH2079" i="11"/>
  <c r="G2079" i="11"/>
  <c r="AF2079" i="11"/>
  <c r="AI2079" i="11"/>
  <c r="P2079" i="11"/>
  <c r="O2079" i="11"/>
  <c r="F2079" i="11"/>
  <c r="E2079" i="11"/>
  <c r="C2079" i="11"/>
  <c r="B2079" i="11"/>
  <c r="A2079" i="11"/>
  <c r="D2078" i="11"/>
  <c r="AG2078" i="11"/>
  <c r="AH2078" i="11"/>
  <c r="G2078" i="11"/>
  <c r="AF2078" i="11"/>
  <c r="AI2078" i="11"/>
  <c r="P2078" i="11"/>
  <c r="O2078" i="11"/>
  <c r="F2078" i="11"/>
  <c r="E2078" i="11"/>
  <c r="C2078" i="11"/>
  <c r="B2078" i="11"/>
  <c r="A2078" i="11"/>
  <c r="D2077" i="11"/>
  <c r="AG2077" i="11"/>
  <c r="AH2077" i="11"/>
  <c r="G2077" i="11"/>
  <c r="AF2077" i="11"/>
  <c r="AI2077" i="11"/>
  <c r="P2077" i="11"/>
  <c r="O2077" i="11"/>
  <c r="F2077" i="11"/>
  <c r="E2077" i="11"/>
  <c r="C2077" i="11"/>
  <c r="B2077" i="11"/>
  <c r="A2077" i="11"/>
  <c r="D2076" i="11"/>
  <c r="AG2076" i="11"/>
  <c r="AH2076" i="11"/>
  <c r="G2076" i="11"/>
  <c r="AF2076" i="11"/>
  <c r="AI2076" i="11"/>
  <c r="P2076" i="11"/>
  <c r="O2076" i="11"/>
  <c r="F2076" i="11"/>
  <c r="E2076" i="11"/>
  <c r="C2076" i="11"/>
  <c r="B2076" i="11"/>
  <c r="A2076" i="11"/>
  <c r="D2075" i="11"/>
  <c r="AG2075" i="11"/>
  <c r="AH2075" i="11"/>
  <c r="G2075" i="11"/>
  <c r="AF2075" i="11"/>
  <c r="AI2075" i="11"/>
  <c r="P2075" i="11"/>
  <c r="O2075" i="11"/>
  <c r="F2075" i="11"/>
  <c r="E2075" i="11"/>
  <c r="C2075" i="11"/>
  <c r="B2075" i="11"/>
  <c r="A2075" i="11"/>
  <c r="D2074" i="11"/>
  <c r="AG2074" i="11"/>
  <c r="AH2074" i="11"/>
  <c r="G2074" i="11"/>
  <c r="AF2074" i="11"/>
  <c r="AI2074" i="11"/>
  <c r="P2074" i="11"/>
  <c r="O2074" i="11"/>
  <c r="F2074" i="11"/>
  <c r="E2074" i="11"/>
  <c r="C2074" i="11"/>
  <c r="B2074" i="11"/>
  <c r="A2074" i="11"/>
  <c r="D2073" i="11"/>
  <c r="AG2073" i="11"/>
  <c r="AH2073" i="11"/>
  <c r="G2073" i="11"/>
  <c r="AF2073" i="11"/>
  <c r="AI2073" i="11"/>
  <c r="P2073" i="11"/>
  <c r="O2073" i="11"/>
  <c r="F2073" i="11"/>
  <c r="E2073" i="11"/>
  <c r="C2073" i="11"/>
  <c r="B2073" i="11"/>
  <c r="A2073" i="11"/>
  <c r="W1220" i="11"/>
  <c r="W1218" i="11"/>
  <c r="W1217" i="11"/>
  <c r="W1201" i="11"/>
  <c r="W782" i="11"/>
  <c r="W781" i="11"/>
  <c r="W780" i="11"/>
  <c r="W678" i="11"/>
  <c r="W657" i="11"/>
  <c r="W656" i="11"/>
  <c r="G648" i="11"/>
  <c r="M648" i="11"/>
  <c r="M527" i="11"/>
  <c r="M1449" i="11"/>
  <c r="P1530" i="11"/>
  <c r="P1529" i="11"/>
  <c r="P1528" i="11"/>
  <c r="P1527" i="11"/>
  <c r="D1531" i="11"/>
  <c r="AG1531" i="11"/>
  <c r="AH1531" i="11"/>
  <c r="G1531" i="11"/>
  <c r="AF1531" i="11"/>
  <c r="AI1531" i="11"/>
  <c r="P1531" i="11"/>
  <c r="O1531" i="11"/>
  <c r="F1531" i="11"/>
  <c r="E1531" i="11"/>
  <c r="C1531" i="11"/>
  <c r="B1531" i="11"/>
  <c r="A1531" i="11"/>
  <c r="D1530" i="11"/>
  <c r="AG1530" i="11"/>
  <c r="AH1530" i="11"/>
  <c r="G1530" i="11"/>
  <c r="AF1530" i="11"/>
  <c r="AI1530" i="11"/>
  <c r="O1530" i="11"/>
  <c r="F1530" i="11"/>
  <c r="E1530" i="11"/>
  <c r="C1530" i="11"/>
  <c r="B1530" i="11"/>
  <c r="A1530" i="11"/>
  <c r="D1529" i="11"/>
  <c r="AG1529" i="11"/>
  <c r="AH1529" i="11"/>
  <c r="G1529" i="11"/>
  <c r="AF1529" i="11"/>
  <c r="AI1529" i="11"/>
  <c r="O1529" i="11"/>
  <c r="F1529" i="11"/>
  <c r="E1529" i="11"/>
  <c r="C1529" i="11"/>
  <c r="B1529" i="11"/>
  <c r="A1529" i="11"/>
  <c r="D1528" i="11"/>
  <c r="AG1528" i="11"/>
  <c r="AH1528" i="11"/>
  <c r="G1528" i="11"/>
  <c r="AF1528" i="11"/>
  <c r="AI1528" i="11"/>
  <c r="O1528" i="11"/>
  <c r="F1528" i="11"/>
  <c r="E1528" i="11"/>
  <c r="C1528" i="11"/>
  <c r="B1528" i="11"/>
  <c r="A1528" i="11"/>
  <c r="D1527" i="11"/>
  <c r="AG1527" i="11"/>
  <c r="AH1527" i="11"/>
  <c r="G1527" i="11"/>
  <c r="AF1527" i="11"/>
  <c r="AI1527" i="11"/>
  <c r="O1527" i="11"/>
  <c r="F1527" i="11"/>
  <c r="E1527" i="11"/>
  <c r="C1527" i="11"/>
  <c r="B1527" i="11"/>
  <c r="A1527" i="11"/>
  <c r="R1473" i="11"/>
  <c r="R1414" i="11"/>
  <c r="R1409" i="11"/>
  <c r="W1291" i="11"/>
  <c r="G1921" i="11"/>
  <c r="G1920" i="11"/>
  <c r="G1741" i="11"/>
  <c r="G1740" i="11"/>
  <c r="G1739" i="11"/>
  <c r="G1738" i="11"/>
  <c r="G1737" i="11"/>
  <c r="G1736" i="11"/>
  <c r="G1735" i="11"/>
  <c r="G1734" i="11"/>
  <c r="G1733" i="11"/>
  <c r="G1732" i="11"/>
  <c r="G1731" i="11"/>
  <c r="G1730" i="11"/>
  <c r="G1729" i="11"/>
  <c r="G1728" i="11"/>
  <c r="G1727" i="11"/>
  <c r="G1726" i="11"/>
  <c r="G1725" i="11"/>
  <c r="G1724" i="11"/>
  <c r="G1723" i="11"/>
  <c r="G1722" i="11"/>
  <c r="G1721" i="11"/>
  <c r="G1720" i="11"/>
  <c r="G1719" i="11"/>
  <c r="G1718" i="11"/>
  <c r="G1717" i="11"/>
  <c r="G1716" i="11"/>
  <c r="G1715" i="11"/>
  <c r="G1714" i="11"/>
  <c r="G1713" i="11"/>
  <c r="M1180" i="11"/>
  <c r="W1435" i="11"/>
  <c r="W1425" i="11"/>
  <c r="W1419" i="11"/>
  <c r="W1405" i="11"/>
  <c r="W1400" i="11"/>
  <c r="W1395" i="11"/>
  <c r="W1392" i="11"/>
  <c r="W1387" i="11"/>
  <c r="W1380" i="11"/>
  <c r="W1367" i="11"/>
  <c r="W1363" i="11"/>
  <c r="W1362" i="11"/>
  <c r="W1358" i="11"/>
  <c r="W1356" i="11"/>
  <c r="W1355" i="11"/>
  <c r="W1351" i="11"/>
  <c r="W1349" i="11"/>
  <c r="R1341" i="11"/>
  <c r="W1341" i="11"/>
  <c r="W1337" i="11"/>
  <c r="W1334" i="11"/>
  <c r="W1330" i="11"/>
  <c r="W1329" i="11"/>
  <c r="W1328" i="11"/>
  <c r="W1327" i="11"/>
  <c r="W1326" i="11"/>
  <c r="W1324" i="11"/>
  <c r="W1323" i="11"/>
  <c r="W1319" i="11"/>
  <c r="W1316" i="11"/>
  <c r="W1314" i="11"/>
  <c r="W1313" i="11"/>
  <c r="W1310" i="11"/>
  <c r="W1309" i="11"/>
  <c r="W1308" i="11"/>
  <c r="W1307" i="11"/>
  <c r="W1306" i="11"/>
  <c r="W1304" i="11"/>
  <c r="W1303" i="11"/>
  <c r="W1302" i="11"/>
  <c r="W1301" i="11"/>
  <c r="W1300" i="11"/>
  <c r="W1299" i="11"/>
  <c r="W1298" i="11"/>
  <c r="W1294" i="11"/>
  <c r="W1290" i="11"/>
  <c r="W1289" i="11"/>
  <c r="W1287" i="11"/>
  <c r="W1286" i="11"/>
  <c r="W1285" i="11"/>
  <c r="W1284" i="11"/>
  <c r="W1281" i="11"/>
  <c r="W1280" i="11"/>
  <c r="W1278" i="11"/>
  <c r="W1276" i="11"/>
  <c r="W1275" i="11"/>
  <c r="W1274" i="11"/>
  <c r="W1273" i="11"/>
  <c r="W1263" i="11"/>
  <c r="W1261" i="11"/>
  <c r="W1260" i="11"/>
  <c r="W1259" i="11"/>
  <c r="W1258" i="11"/>
  <c r="W1257" i="11"/>
  <c r="W1256" i="11"/>
  <c r="R1255" i="11"/>
  <c r="W1255" i="11"/>
  <c r="W1254" i="11"/>
  <c r="W1248" i="11"/>
  <c r="W1247" i="11"/>
  <c r="W1246" i="11"/>
  <c r="W1245" i="11"/>
  <c r="W1244" i="11"/>
  <c r="W1243" i="11"/>
  <c r="W1241" i="11"/>
  <c r="W1240" i="11"/>
  <c r="W1238" i="11"/>
  <c r="W1237" i="11"/>
  <c r="W1236" i="11"/>
  <c r="W1235" i="11"/>
  <c r="W1234" i="11"/>
  <c r="W1233" i="11"/>
  <c r="W1232" i="11"/>
  <c r="W1231" i="11"/>
  <c r="W1230" i="11"/>
  <c r="W1229" i="11"/>
  <c r="W1228" i="11"/>
  <c r="W1227" i="11"/>
  <c r="W1226" i="11"/>
  <c r="W1225" i="11"/>
  <c r="W1224" i="11"/>
  <c r="W1215" i="11"/>
  <c r="W1214" i="11"/>
  <c r="W1207" i="11"/>
  <c r="W1204" i="11"/>
  <c r="W1198" i="11"/>
  <c r="W1197" i="11"/>
  <c r="R1196" i="11"/>
  <c r="W1196" i="11"/>
  <c r="W1168" i="11"/>
  <c r="W1160" i="11"/>
  <c r="W1159" i="11"/>
  <c r="W1153" i="11"/>
  <c r="R1138" i="11"/>
  <c r="W1138" i="11"/>
  <c r="W1132" i="11"/>
  <c r="W1125" i="11"/>
  <c r="W1119" i="11"/>
  <c r="W1083" i="11"/>
  <c r="W775" i="11"/>
  <c r="W856" i="11"/>
  <c r="W837" i="11"/>
  <c r="W834" i="11"/>
  <c r="W833" i="11"/>
  <c r="W828" i="11"/>
  <c r="W827" i="11"/>
  <c r="W826" i="11"/>
  <c r="W822" i="11"/>
  <c r="W814" i="11"/>
  <c r="W813" i="11"/>
  <c r="W802" i="11"/>
  <c r="W800" i="11"/>
  <c r="R792" i="11"/>
  <c r="W792" i="11"/>
  <c r="R789" i="11"/>
  <c r="W789" i="11"/>
  <c r="W786" i="11"/>
  <c r="W785" i="11"/>
  <c r="W778" i="11"/>
  <c r="W776" i="11"/>
  <c r="W774" i="11"/>
  <c r="W773" i="11"/>
  <c r="R771" i="11"/>
  <c r="W771" i="11"/>
  <c r="R770" i="11"/>
  <c r="W770" i="11"/>
  <c r="R769" i="11"/>
  <c r="W769" i="11"/>
  <c r="W761" i="11"/>
  <c r="W760" i="11"/>
  <c r="W759" i="11"/>
  <c r="W758" i="11"/>
  <c r="W757" i="11"/>
  <c r="W756" i="11"/>
  <c r="W755" i="11"/>
  <c r="W766" i="11"/>
  <c r="W765" i="11"/>
  <c r="W746" i="11"/>
  <c r="W753" i="11"/>
  <c r="W750" i="11"/>
  <c r="W743" i="11"/>
  <c r="W739" i="11"/>
  <c r="W738" i="11"/>
  <c r="W724" i="11"/>
  <c r="W720" i="11"/>
  <c r="W718" i="11"/>
  <c r="W717" i="11"/>
  <c r="W716" i="11"/>
  <c r="W715" i="11"/>
  <c r="W709" i="11"/>
  <c r="W708" i="11"/>
  <c r="W713" i="11"/>
  <c r="W706" i="11"/>
  <c r="W704" i="11"/>
  <c r="W699" i="11"/>
  <c r="W697" i="11"/>
  <c r="W695" i="11"/>
  <c r="W692" i="11"/>
  <c r="W691" i="11"/>
  <c r="W690" i="11"/>
  <c r="W688" i="11"/>
  <c r="W687" i="11"/>
  <c r="W686" i="11"/>
  <c r="W685" i="11"/>
  <c r="W684" i="11"/>
  <c r="W683" i="11"/>
  <c r="W682" i="11"/>
  <c r="W681" i="11"/>
  <c r="W667" i="11"/>
  <c r="W666" i="11"/>
  <c r="W663" i="11"/>
  <c r="W662" i="11"/>
  <c r="W655" i="11"/>
  <c r="W654" i="11"/>
  <c r="W653" i="11"/>
  <c r="W652" i="11"/>
  <c r="W636" i="11"/>
  <c r="W634" i="11"/>
  <c r="W633" i="11"/>
  <c r="W628" i="11"/>
  <c r="W625" i="11"/>
  <c r="W624" i="11"/>
  <c r="W618" i="11"/>
  <c r="W616" i="11"/>
  <c r="W603" i="11"/>
  <c r="W600" i="11"/>
  <c r="W598" i="11"/>
  <c r="W597" i="11"/>
  <c r="W592" i="11"/>
  <c r="W983" i="11"/>
  <c r="M983" i="11"/>
  <c r="R1149" i="11"/>
  <c r="R1052" i="11"/>
  <c r="D2072" i="11"/>
  <c r="AG2072" i="11"/>
  <c r="AH2072" i="11"/>
  <c r="G2072" i="11"/>
  <c r="AF2072" i="11"/>
  <c r="AI2072" i="11"/>
  <c r="P2072" i="11"/>
  <c r="O2072" i="11"/>
  <c r="F2072" i="11"/>
  <c r="E2072" i="11"/>
  <c r="C2072" i="11"/>
  <c r="B2072" i="11"/>
  <c r="A2072" i="11"/>
  <c r="D2071" i="11"/>
  <c r="AG2071" i="11"/>
  <c r="AH2071" i="11"/>
  <c r="G2071" i="11"/>
  <c r="AF2071" i="11"/>
  <c r="AI2071" i="11"/>
  <c r="P2071" i="11"/>
  <c r="O2071" i="11"/>
  <c r="F2071" i="11"/>
  <c r="E2071" i="11"/>
  <c r="C2071" i="11"/>
  <c r="B2071" i="11"/>
  <c r="A2071" i="11"/>
  <c r="D2070" i="11"/>
  <c r="AG2070" i="11"/>
  <c r="AH2070" i="11"/>
  <c r="G2070" i="11"/>
  <c r="AF2070" i="11"/>
  <c r="AI2070" i="11"/>
  <c r="P2070" i="11"/>
  <c r="O2070" i="11"/>
  <c r="F2070" i="11"/>
  <c r="E2070" i="11"/>
  <c r="C2070" i="11"/>
  <c r="B2070" i="11"/>
  <c r="A2070" i="11"/>
  <c r="D2069" i="11"/>
  <c r="AG2069" i="11"/>
  <c r="AH2069" i="11"/>
  <c r="G2069" i="11"/>
  <c r="AF2069" i="11"/>
  <c r="AI2069" i="11"/>
  <c r="P2069" i="11"/>
  <c r="O2069" i="11"/>
  <c r="F2069" i="11"/>
  <c r="E2069" i="11"/>
  <c r="C2069" i="11"/>
  <c r="B2069" i="11"/>
  <c r="A2069" i="11"/>
  <c r="D2068" i="11"/>
  <c r="AG2068" i="11"/>
  <c r="AH2068" i="11"/>
  <c r="G2068" i="11"/>
  <c r="AF2068" i="11"/>
  <c r="AI2068" i="11"/>
  <c r="P2068" i="11"/>
  <c r="O2068" i="11"/>
  <c r="F2068" i="11"/>
  <c r="E2068" i="11"/>
  <c r="C2068" i="11"/>
  <c r="B2068" i="11"/>
  <c r="A2068" i="11"/>
  <c r="D2067" i="11"/>
  <c r="AG2067" i="11"/>
  <c r="AH2067" i="11"/>
  <c r="G2067" i="11"/>
  <c r="AF2067" i="11"/>
  <c r="AI2067" i="11"/>
  <c r="P2067" i="11"/>
  <c r="O2067" i="11"/>
  <c r="F2067" i="11"/>
  <c r="E2067" i="11"/>
  <c r="C2067" i="11"/>
  <c r="B2067" i="11"/>
  <c r="A2067" i="11"/>
  <c r="D2066" i="11"/>
  <c r="AG2066" i="11"/>
  <c r="AH2066" i="11"/>
  <c r="G2066" i="11"/>
  <c r="AF2066" i="11"/>
  <c r="AI2066" i="11"/>
  <c r="P2066" i="11"/>
  <c r="O2066" i="11"/>
  <c r="F2066" i="11"/>
  <c r="E2066" i="11"/>
  <c r="C2066" i="11"/>
  <c r="B2066" i="11"/>
  <c r="A2066" i="11"/>
  <c r="D2065" i="11"/>
  <c r="AG2065" i="11"/>
  <c r="AH2065" i="11"/>
  <c r="G2065" i="11"/>
  <c r="AF2065" i="11"/>
  <c r="AI2065" i="11"/>
  <c r="P2065" i="11"/>
  <c r="O2065" i="11"/>
  <c r="F2065" i="11"/>
  <c r="E2065" i="11"/>
  <c r="C2065" i="11"/>
  <c r="B2065" i="11"/>
  <c r="A2065" i="11"/>
  <c r="D2064" i="11"/>
  <c r="AG2064" i="11"/>
  <c r="AH2064" i="11"/>
  <c r="G2064" i="11"/>
  <c r="AF2064" i="11"/>
  <c r="AI2064" i="11"/>
  <c r="P2064" i="11"/>
  <c r="O2064" i="11"/>
  <c r="F2064" i="11"/>
  <c r="E2064" i="11"/>
  <c r="C2064" i="11"/>
  <c r="B2064" i="11"/>
  <c r="A2064" i="11"/>
  <c r="D2063" i="11"/>
  <c r="AG2063" i="11"/>
  <c r="AH2063" i="11"/>
  <c r="G2063" i="11"/>
  <c r="AF2063" i="11"/>
  <c r="AI2063" i="11"/>
  <c r="P2063" i="11"/>
  <c r="O2063" i="11"/>
  <c r="F2063" i="11"/>
  <c r="E2063" i="11"/>
  <c r="C2063" i="11"/>
  <c r="B2063" i="11"/>
  <c r="A2063" i="11"/>
  <c r="D2062" i="11"/>
  <c r="AG2062" i="11"/>
  <c r="AH2062" i="11"/>
  <c r="G2062" i="11"/>
  <c r="AF2062" i="11"/>
  <c r="AI2062" i="11"/>
  <c r="P2062" i="11"/>
  <c r="O2062" i="11"/>
  <c r="F2062" i="11"/>
  <c r="E2062" i="11"/>
  <c r="C2062" i="11"/>
  <c r="B2062" i="11"/>
  <c r="A2062" i="11"/>
  <c r="D2061" i="11"/>
  <c r="AG2061" i="11"/>
  <c r="AH2061" i="11"/>
  <c r="G2061" i="11"/>
  <c r="AF2061" i="11"/>
  <c r="AI2061" i="11"/>
  <c r="P2061" i="11"/>
  <c r="O2061" i="11"/>
  <c r="F2061" i="11"/>
  <c r="E2061" i="11"/>
  <c r="C2061" i="11"/>
  <c r="B2061" i="11"/>
  <c r="A2061" i="11"/>
  <c r="D2060" i="11"/>
  <c r="AG2060" i="11"/>
  <c r="AH2060" i="11"/>
  <c r="G2060" i="11"/>
  <c r="AF2060" i="11"/>
  <c r="AI2060" i="11"/>
  <c r="P2060" i="11"/>
  <c r="O2060" i="11"/>
  <c r="F2060" i="11"/>
  <c r="E2060" i="11"/>
  <c r="C2060" i="11"/>
  <c r="B2060" i="11"/>
  <c r="A2060" i="11"/>
  <c r="D2059" i="11"/>
  <c r="AG2059" i="11"/>
  <c r="AH2059" i="11"/>
  <c r="G2059" i="11"/>
  <c r="AF2059" i="11"/>
  <c r="AI2059" i="11"/>
  <c r="P2059" i="11"/>
  <c r="O2059" i="11"/>
  <c r="F2059" i="11"/>
  <c r="E2059" i="11"/>
  <c r="C2059" i="11"/>
  <c r="B2059" i="11"/>
  <c r="A2059" i="11"/>
  <c r="D2058" i="11"/>
  <c r="AG2058" i="11"/>
  <c r="AH2058" i="11"/>
  <c r="G2058" i="11"/>
  <c r="AF2058" i="11"/>
  <c r="AI2058" i="11"/>
  <c r="P2058" i="11"/>
  <c r="O2058" i="11"/>
  <c r="F2058" i="11"/>
  <c r="E2058" i="11"/>
  <c r="C2058" i="11"/>
  <c r="B2058" i="11"/>
  <c r="A2058" i="11"/>
  <c r="D2057" i="11"/>
  <c r="AG2057" i="11"/>
  <c r="AH2057" i="11"/>
  <c r="G2057" i="11"/>
  <c r="AF2057" i="11"/>
  <c r="AI2057" i="11"/>
  <c r="P2057" i="11"/>
  <c r="O2057" i="11"/>
  <c r="F2057" i="11"/>
  <c r="E2057" i="11"/>
  <c r="C2057" i="11"/>
  <c r="B2057" i="11"/>
  <c r="A2057" i="11"/>
  <c r="D2056" i="11"/>
  <c r="AG2056" i="11"/>
  <c r="AH2056" i="11"/>
  <c r="G2056" i="11"/>
  <c r="AF2056" i="11"/>
  <c r="AI2056" i="11"/>
  <c r="P2056" i="11"/>
  <c r="O2056" i="11"/>
  <c r="F2056" i="11"/>
  <c r="E2056" i="11"/>
  <c r="C2056" i="11"/>
  <c r="B2056" i="11"/>
  <c r="A2056" i="11"/>
  <c r="D2055" i="11"/>
  <c r="AG2055" i="11"/>
  <c r="AH2055" i="11"/>
  <c r="G2055" i="11"/>
  <c r="AF2055" i="11"/>
  <c r="AI2055" i="11"/>
  <c r="P2055" i="11"/>
  <c r="O2055" i="11"/>
  <c r="F2055" i="11"/>
  <c r="E2055" i="11"/>
  <c r="C2055" i="11"/>
  <c r="B2055" i="11"/>
  <c r="A2055" i="11"/>
  <c r="D2054" i="11"/>
  <c r="AG2054" i="11"/>
  <c r="AH2054" i="11"/>
  <c r="G2054" i="11"/>
  <c r="AF2054" i="11"/>
  <c r="AI2054" i="11"/>
  <c r="P2054" i="11"/>
  <c r="O2054" i="11"/>
  <c r="F2054" i="11"/>
  <c r="E2054" i="11"/>
  <c r="C2054" i="11"/>
  <c r="B2054" i="11"/>
  <c r="A2054" i="11"/>
  <c r="D2053" i="11"/>
  <c r="AG2053" i="11"/>
  <c r="AH2053" i="11"/>
  <c r="G2053" i="11"/>
  <c r="AF2053" i="11"/>
  <c r="AI2053" i="11"/>
  <c r="P2053" i="11"/>
  <c r="O2053" i="11"/>
  <c r="F2053" i="11"/>
  <c r="E2053" i="11"/>
  <c r="C2053" i="11"/>
  <c r="B2053" i="11"/>
  <c r="A2053" i="11"/>
  <c r="D2052" i="11"/>
  <c r="AG2052" i="11"/>
  <c r="AH2052" i="11"/>
  <c r="G2052" i="11"/>
  <c r="AF2052" i="11"/>
  <c r="AI2052" i="11"/>
  <c r="P2052" i="11"/>
  <c r="O2052" i="11"/>
  <c r="F2052" i="11"/>
  <c r="E2052" i="11"/>
  <c r="C2052" i="11"/>
  <c r="B2052" i="11"/>
  <c r="A2052" i="11"/>
  <c r="D2051" i="11"/>
  <c r="AG2051" i="11"/>
  <c r="AH2051" i="11"/>
  <c r="G2051" i="11"/>
  <c r="AF2051" i="11"/>
  <c r="AI2051" i="11"/>
  <c r="P2051" i="11"/>
  <c r="O2051" i="11"/>
  <c r="F2051" i="11"/>
  <c r="E2051" i="11"/>
  <c r="C2051" i="11"/>
  <c r="B2051" i="11"/>
  <c r="A2051" i="11"/>
  <c r="D2050" i="11"/>
  <c r="AG2050" i="11"/>
  <c r="AH2050" i="11"/>
  <c r="G2050" i="11"/>
  <c r="AF2050" i="11"/>
  <c r="AI2050" i="11"/>
  <c r="P2050" i="11"/>
  <c r="O2050" i="11"/>
  <c r="F2050" i="11"/>
  <c r="E2050" i="11"/>
  <c r="C2050" i="11"/>
  <c r="B2050" i="11"/>
  <c r="A2050" i="11"/>
  <c r="D2049" i="11"/>
  <c r="AG2049" i="11"/>
  <c r="AH2049" i="11"/>
  <c r="G2049" i="11"/>
  <c r="AF2049" i="11"/>
  <c r="AI2049" i="11"/>
  <c r="P2049" i="11"/>
  <c r="O2049" i="11"/>
  <c r="F2049" i="11"/>
  <c r="E2049" i="11"/>
  <c r="C2049" i="11"/>
  <c r="B2049" i="11"/>
  <c r="A2049" i="11"/>
  <c r="D2048" i="11"/>
  <c r="AG2048" i="11"/>
  <c r="AH2048" i="11"/>
  <c r="G2048" i="11"/>
  <c r="AF2048" i="11"/>
  <c r="AI2048" i="11"/>
  <c r="P2048" i="11"/>
  <c r="O2048" i="11"/>
  <c r="F2048" i="11"/>
  <c r="E2048" i="11"/>
  <c r="C2048" i="11"/>
  <c r="B2048" i="11"/>
  <c r="A2048" i="11"/>
  <c r="D2047" i="11"/>
  <c r="AG2047" i="11"/>
  <c r="AH2047" i="11"/>
  <c r="G2047" i="11"/>
  <c r="AF2047" i="11"/>
  <c r="AI2047" i="11"/>
  <c r="P2047" i="11"/>
  <c r="O2047" i="11"/>
  <c r="F2047" i="11"/>
  <c r="E2047" i="11"/>
  <c r="C2047" i="11"/>
  <c r="B2047" i="11"/>
  <c r="A2047" i="11"/>
  <c r="D2046" i="11"/>
  <c r="AG2046" i="11"/>
  <c r="AH2046" i="11"/>
  <c r="G2046" i="11"/>
  <c r="AF2046" i="11"/>
  <c r="AI2046" i="11"/>
  <c r="P2046" i="11"/>
  <c r="O2046" i="11"/>
  <c r="F2046" i="11"/>
  <c r="E2046" i="11"/>
  <c r="C2046" i="11"/>
  <c r="B2046" i="11"/>
  <c r="A2046" i="11"/>
  <c r="D2045" i="11"/>
  <c r="AG2045" i="11"/>
  <c r="AH2045" i="11"/>
  <c r="G2045" i="11"/>
  <c r="AF2045" i="11"/>
  <c r="AI2045" i="11"/>
  <c r="P2045" i="11"/>
  <c r="O2045" i="11"/>
  <c r="F2045" i="11"/>
  <c r="E2045" i="11"/>
  <c r="C2045" i="11"/>
  <c r="B2045" i="11"/>
  <c r="A2045" i="11"/>
  <c r="D2044" i="11"/>
  <c r="AG2044" i="11"/>
  <c r="AH2044" i="11"/>
  <c r="G2044" i="11"/>
  <c r="AF2044" i="11"/>
  <c r="AI2044" i="11"/>
  <c r="P2044" i="11"/>
  <c r="O2044" i="11"/>
  <c r="F2044" i="11"/>
  <c r="E2044" i="11"/>
  <c r="C2044" i="11"/>
  <c r="B2044" i="11"/>
  <c r="A2044" i="11"/>
  <c r="D2043" i="11"/>
  <c r="AG2043" i="11"/>
  <c r="AH2043" i="11"/>
  <c r="G2043" i="11"/>
  <c r="AF2043" i="11"/>
  <c r="AI2043" i="11"/>
  <c r="P2043" i="11"/>
  <c r="O2043" i="11"/>
  <c r="F2043" i="11"/>
  <c r="E2043" i="11"/>
  <c r="C2043" i="11"/>
  <c r="B2043" i="11"/>
  <c r="A2043" i="11"/>
  <c r="D2042" i="11"/>
  <c r="AG2042" i="11"/>
  <c r="AH2042" i="11"/>
  <c r="G2042" i="11"/>
  <c r="AF2042" i="11"/>
  <c r="AI2042" i="11"/>
  <c r="P2042" i="11"/>
  <c r="O2042" i="11"/>
  <c r="F2042" i="11"/>
  <c r="E2042" i="11"/>
  <c r="C2042" i="11"/>
  <c r="B2042" i="11"/>
  <c r="A2042" i="11"/>
  <c r="D2041" i="11"/>
  <c r="AG2041" i="11"/>
  <c r="AH2041" i="11"/>
  <c r="G2041" i="11"/>
  <c r="AF2041" i="11"/>
  <c r="AI2041" i="11"/>
  <c r="P2041" i="11"/>
  <c r="O2041" i="11"/>
  <c r="F2041" i="11"/>
  <c r="E2041" i="11"/>
  <c r="C2041" i="11"/>
  <c r="B2041" i="11"/>
  <c r="A2041" i="11"/>
  <c r="D2040" i="11"/>
  <c r="AG2040" i="11"/>
  <c r="AH2040" i="11"/>
  <c r="G2040" i="11"/>
  <c r="AF2040" i="11"/>
  <c r="AI2040" i="11"/>
  <c r="P2040" i="11"/>
  <c r="O2040" i="11"/>
  <c r="F2040" i="11"/>
  <c r="E2040" i="11"/>
  <c r="C2040" i="11"/>
  <c r="B2040" i="11"/>
  <c r="A2040" i="11"/>
  <c r="D2039" i="11"/>
  <c r="AG2039" i="11"/>
  <c r="AH2039" i="11"/>
  <c r="G2039" i="11"/>
  <c r="AF2039" i="11"/>
  <c r="AI2039" i="11"/>
  <c r="P2039" i="11"/>
  <c r="O2039" i="11"/>
  <c r="F2039" i="11"/>
  <c r="E2039" i="11"/>
  <c r="C2039" i="11"/>
  <c r="B2039" i="11"/>
  <c r="A2039" i="11"/>
  <c r="D2038" i="11"/>
  <c r="AG2038" i="11"/>
  <c r="AH2038" i="11"/>
  <c r="G2038" i="11"/>
  <c r="AF2038" i="11"/>
  <c r="AI2038" i="11"/>
  <c r="P2038" i="11"/>
  <c r="O2038" i="11"/>
  <c r="F2038" i="11"/>
  <c r="E2038" i="11"/>
  <c r="C2038" i="11"/>
  <c r="B2038" i="11"/>
  <c r="A2038" i="11"/>
  <c r="D2037" i="11"/>
  <c r="AG2037" i="11"/>
  <c r="AH2037" i="11"/>
  <c r="G2037" i="11"/>
  <c r="AF2037" i="11"/>
  <c r="AI2037" i="11"/>
  <c r="P2037" i="11"/>
  <c r="O2037" i="11"/>
  <c r="F2037" i="11"/>
  <c r="E2037" i="11"/>
  <c r="C2037" i="11"/>
  <c r="B2037" i="11"/>
  <c r="A2037" i="11"/>
  <c r="D2036" i="11"/>
  <c r="AG2036" i="11"/>
  <c r="AH2036" i="11"/>
  <c r="G2036" i="11"/>
  <c r="AF2036" i="11"/>
  <c r="AI2036" i="11"/>
  <c r="P2036" i="11"/>
  <c r="O2036" i="11"/>
  <c r="F2036" i="11"/>
  <c r="E2036" i="11"/>
  <c r="C2036" i="11"/>
  <c r="B2036" i="11"/>
  <c r="A2036" i="11"/>
  <c r="D2035" i="11"/>
  <c r="AG2035" i="11"/>
  <c r="AH2035" i="11"/>
  <c r="G2035" i="11"/>
  <c r="AF2035" i="11"/>
  <c r="AI2035" i="11"/>
  <c r="P2035" i="11"/>
  <c r="O2035" i="11"/>
  <c r="F2035" i="11"/>
  <c r="E2035" i="11"/>
  <c r="C2035" i="11"/>
  <c r="B2035" i="11"/>
  <c r="A2035" i="11"/>
  <c r="D2034" i="11"/>
  <c r="AG2034" i="11"/>
  <c r="AH2034" i="11"/>
  <c r="G2034" i="11"/>
  <c r="AF2034" i="11"/>
  <c r="AI2034" i="11"/>
  <c r="P2034" i="11"/>
  <c r="O2034" i="11"/>
  <c r="F2034" i="11"/>
  <c r="E2034" i="11"/>
  <c r="C2034" i="11"/>
  <c r="B2034" i="11"/>
  <c r="A2034" i="11"/>
  <c r="D2033" i="11"/>
  <c r="AG2033" i="11"/>
  <c r="AH2033" i="11"/>
  <c r="G2033" i="11"/>
  <c r="AF2033" i="11"/>
  <c r="AI2033" i="11"/>
  <c r="P2033" i="11"/>
  <c r="O2033" i="11"/>
  <c r="F2033" i="11"/>
  <c r="E2033" i="11"/>
  <c r="C2033" i="11"/>
  <c r="B2033" i="11"/>
  <c r="A2033" i="11"/>
  <c r="D2032" i="11"/>
  <c r="AG2032" i="11"/>
  <c r="AH2032" i="11"/>
  <c r="G2032" i="11"/>
  <c r="AF2032" i="11"/>
  <c r="AI2032" i="11"/>
  <c r="P2032" i="11"/>
  <c r="O2032" i="11"/>
  <c r="F2032" i="11"/>
  <c r="E2032" i="11"/>
  <c r="C2032" i="11"/>
  <c r="B2032" i="11"/>
  <c r="A2032" i="11"/>
  <c r="D2031" i="11"/>
  <c r="AG2031" i="11"/>
  <c r="AH2031" i="11"/>
  <c r="G2031" i="11"/>
  <c r="AF2031" i="11"/>
  <c r="AI2031" i="11"/>
  <c r="P2031" i="11"/>
  <c r="O2031" i="11"/>
  <c r="F2031" i="11"/>
  <c r="E2031" i="11"/>
  <c r="C2031" i="11"/>
  <c r="B2031" i="11"/>
  <c r="A2031" i="11"/>
  <c r="D2030" i="11"/>
  <c r="AG2030" i="11"/>
  <c r="AH2030" i="11"/>
  <c r="G2030" i="11"/>
  <c r="AF2030" i="11"/>
  <c r="AI2030" i="11"/>
  <c r="P2030" i="11"/>
  <c r="O2030" i="11"/>
  <c r="F2030" i="11"/>
  <c r="E2030" i="11"/>
  <c r="C2030" i="11"/>
  <c r="B2030" i="11"/>
  <c r="A2030" i="11"/>
  <c r="D2029" i="11"/>
  <c r="AG2029" i="11"/>
  <c r="AH2029" i="11"/>
  <c r="G2029" i="11"/>
  <c r="AF2029" i="11"/>
  <c r="AI2029" i="11"/>
  <c r="P2029" i="11"/>
  <c r="O2029" i="11"/>
  <c r="F2029" i="11"/>
  <c r="E2029" i="11"/>
  <c r="C2029" i="11"/>
  <c r="B2029" i="11"/>
  <c r="A2029" i="11"/>
  <c r="D2028" i="11"/>
  <c r="AG2028" i="11"/>
  <c r="AH2028" i="11"/>
  <c r="G2028" i="11"/>
  <c r="AF2028" i="11"/>
  <c r="AI2028" i="11"/>
  <c r="P2028" i="11"/>
  <c r="O2028" i="11"/>
  <c r="F2028" i="11"/>
  <c r="E2028" i="11"/>
  <c r="C2028" i="11"/>
  <c r="B2028" i="11"/>
  <c r="A2028" i="11"/>
  <c r="D2027" i="11"/>
  <c r="AG2027" i="11"/>
  <c r="AH2027" i="11"/>
  <c r="G2027" i="11"/>
  <c r="AF2027" i="11"/>
  <c r="AI2027" i="11"/>
  <c r="P2027" i="11"/>
  <c r="O2027" i="11"/>
  <c r="F2027" i="11"/>
  <c r="E2027" i="11"/>
  <c r="C2027" i="11"/>
  <c r="B2027" i="11"/>
  <c r="A2027" i="11"/>
  <c r="D2026" i="11"/>
  <c r="AG2026" i="11"/>
  <c r="AH2026" i="11"/>
  <c r="G2026" i="11"/>
  <c r="AF2026" i="11"/>
  <c r="AI2026" i="11"/>
  <c r="P2026" i="11"/>
  <c r="O2026" i="11"/>
  <c r="F2026" i="11"/>
  <c r="E2026" i="11"/>
  <c r="C2026" i="11"/>
  <c r="B2026" i="11"/>
  <c r="A2026" i="11"/>
  <c r="D2025" i="11"/>
  <c r="AG2025" i="11"/>
  <c r="AH2025" i="11"/>
  <c r="G2025" i="11"/>
  <c r="AF2025" i="11"/>
  <c r="AI2025" i="11"/>
  <c r="P2025" i="11"/>
  <c r="O2025" i="11"/>
  <c r="F2025" i="11"/>
  <c r="E2025" i="11"/>
  <c r="C2025" i="11"/>
  <c r="B2025" i="11"/>
  <c r="A2025" i="11"/>
  <c r="D2024" i="11"/>
  <c r="AG2024" i="11"/>
  <c r="AH2024" i="11"/>
  <c r="G2024" i="11"/>
  <c r="AF2024" i="11"/>
  <c r="AI2024" i="11"/>
  <c r="P2024" i="11"/>
  <c r="O2024" i="11"/>
  <c r="F2024" i="11"/>
  <c r="E2024" i="11"/>
  <c r="C2024" i="11"/>
  <c r="B2024" i="11"/>
  <c r="A2024" i="11"/>
  <c r="D2023" i="11"/>
  <c r="AG2023" i="11"/>
  <c r="AH2023" i="11"/>
  <c r="G2023" i="11"/>
  <c r="AF2023" i="11"/>
  <c r="AI2023" i="11"/>
  <c r="P2023" i="11"/>
  <c r="O2023" i="11"/>
  <c r="F2023" i="11"/>
  <c r="E2023" i="11"/>
  <c r="C2023" i="11"/>
  <c r="B2023" i="11"/>
  <c r="A2023" i="11"/>
  <c r="D2022" i="11"/>
  <c r="AG2022" i="11"/>
  <c r="AH2022" i="11"/>
  <c r="G2022" i="11"/>
  <c r="AF2022" i="11"/>
  <c r="AI2022" i="11"/>
  <c r="P2022" i="11"/>
  <c r="O2022" i="11"/>
  <c r="F2022" i="11"/>
  <c r="E2022" i="11"/>
  <c r="C2022" i="11"/>
  <c r="B2022" i="11"/>
  <c r="A2022" i="11"/>
  <c r="D2021" i="11"/>
  <c r="AG2021" i="11"/>
  <c r="AH2021" i="11"/>
  <c r="G2021" i="11"/>
  <c r="AF2021" i="11"/>
  <c r="AI2021" i="11"/>
  <c r="P2021" i="11"/>
  <c r="O2021" i="11"/>
  <c r="F2021" i="11"/>
  <c r="E2021" i="11"/>
  <c r="C2021" i="11"/>
  <c r="B2021" i="11"/>
  <c r="A2021" i="11"/>
  <c r="D2020" i="11"/>
  <c r="AG2020" i="11"/>
  <c r="AH2020" i="11"/>
  <c r="G2020" i="11"/>
  <c r="AF2020" i="11"/>
  <c r="AI2020" i="11"/>
  <c r="P2020" i="11"/>
  <c r="O2020" i="11"/>
  <c r="F2020" i="11"/>
  <c r="E2020" i="11"/>
  <c r="C2020" i="11"/>
  <c r="B2020" i="11"/>
  <c r="A2020" i="11"/>
  <c r="D2019" i="11"/>
  <c r="AG2019" i="11"/>
  <c r="AH2019" i="11"/>
  <c r="G2019" i="11"/>
  <c r="AF2019" i="11"/>
  <c r="AI2019" i="11"/>
  <c r="P2019" i="11"/>
  <c r="O2019" i="11"/>
  <c r="F2019" i="11"/>
  <c r="E2019" i="11"/>
  <c r="C2019" i="11"/>
  <c r="B2019" i="11"/>
  <c r="A2019" i="11"/>
  <c r="D2018" i="11"/>
  <c r="AG2018" i="11"/>
  <c r="AH2018" i="11"/>
  <c r="G2018" i="11"/>
  <c r="AF2018" i="11"/>
  <c r="AI2018" i="11"/>
  <c r="P2018" i="11"/>
  <c r="O2018" i="11"/>
  <c r="F2018" i="11"/>
  <c r="E2018" i="11"/>
  <c r="C2018" i="11"/>
  <c r="B2018" i="11"/>
  <c r="A2018" i="11"/>
  <c r="D2017" i="11"/>
  <c r="AG2017" i="11"/>
  <c r="AH2017" i="11"/>
  <c r="G2017" i="11"/>
  <c r="AF2017" i="11"/>
  <c r="AI2017" i="11"/>
  <c r="P2017" i="11"/>
  <c r="O2017" i="11"/>
  <c r="F2017" i="11"/>
  <c r="E2017" i="11"/>
  <c r="C2017" i="11"/>
  <c r="B2017" i="11"/>
  <c r="A2017" i="11"/>
  <c r="D2016" i="11"/>
  <c r="AG2016" i="11"/>
  <c r="AH2016" i="11"/>
  <c r="G2016" i="11"/>
  <c r="AF2016" i="11"/>
  <c r="AI2016" i="11"/>
  <c r="P2016" i="11"/>
  <c r="O2016" i="11"/>
  <c r="F2016" i="11"/>
  <c r="E2016" i="11"/>
  <c r="C2016" i="11"/>
  <c r="B2016" i="11"/>
  <c r="A2016" i="11"/>
  <c r="D2015" i="11"/>
  <c r="AG2015" i="11"/>
  <c r="AH2015" i="11"/>
  <c r="G2015" i="11"/>
  <c r="AF2015" i="11"/>
  <c r="AI2015" i="11"/>
  <c r="P2015" i="11"/>
  <c r="O2015" i="11"/>
  <c r="F2015" i="11"/>
  <c r="E2015" i="11"/>
  <c r="C2015" i="11"/>
  <c r="B2015" i="11"/>
  <c r="A2015" i="11"/>
  <c r="D2014" i="11"/>
  <c r="AG2014" i="11"/>
  <c r="AH2014" i="11"/>
  <c r="G2014" i="11"/>
  <c r="AF2014" i="11"/>
  <c r="AI2014" i="11"/>
  <c r="P2014" i="11"/>
  <c r="O2014" i="11"/>
  <c r="F2014" i="11"/>
  <c r="E2014" i="11"/>
  <c r="C2014" i="11"/>
  <c r="B2014" i="11"/>
  <c r="A2014" i="11"/>
  <c r="D2013" i="11"/>
  <c r="AG2013" i="11"/>
  <c r="AH2013" i="11"/>
  <c r="G2013" i="11"/>
  <c r="AF2013" i="11"/>
  <c r="AI2013" i="11"/>
  <c r="P2013" i="11"/>
  <c r="O2013" i="11"/>
  <c r="F2013" i="11"/>
  <c r="E2013" i="11"/>
  <c r="C2013" i="11"/>
  <c r="B2013" i="11"/>
  <c r="A2013" i="11"/>
  <c r="D2012" i="11"/>
  <c r="AG2012" i="11"/>
  <c r="AH2012" i="11"/>
  <c r="G2012" i="11"/>
  <c r="AF2012" i="11"/>
  <c r="AI2012" i="11"/>
  <c r="P2012" i="11"/>
  <c r="O2012" i="11"/>
  <c r="F2012" i="11"/>
  <c r="E2012" i="11"/>
  <c r="C2012" i="11"/>
  <c r="B2012" i="11"/>
  <c r="A2012" i="11"/>
  <c r="D2011" i="11"/>
  <c r="AG2011" i="11"/>
  <c r="AH2011" i="11"/>
  <c r="G2011" i="11"/>
  <c r="AF2011" i="11"/>
  <c r="AI2011" i="11"/>
  <c r="P2011" i="11"/>
  <c r="O2011" i="11"/>
  <c r="F2011" i="11"/>
  <c r="E2011" i="11"/>
  <c r="C2011" i="11"/>
  <c r="B2011" i="11"/>
  <c r="A2011" i="11"/>
  <c r="D2010" i="11"/>
  <c r="AG2010" i="11"/>
  <c r="AH2010" i="11"/>
  <c r="G2010" i="11"/>
  <c r="AF2010" i="11"/>
  <c r="AI2010" i="11"/>
  <c r="P2010" i="11"/>
  <c r="O2010" i="11"/>
  <c r="F2010" i="11"/>
  <c r="E2010" i="11"/>
  <c r="C2010" i="11"/>
  <c r="B2010" i="11"/>
  <c r="A2010" i="11"/>
  <c r="D2009" i="11"/>
  <c r="AG2009" i="11"/>
  <c r="AH2009" i="11"/>
  <c r="G2009" i="11"/>
  <c r="AF2009" i="11"/>
  <c r="AI2009" i="11"/>
  <c r="P2009" i="11"/>
  <c r="O2009" i="11"/>
  <c r="F2009" i="11"/>
  <c r="E2009" i="11"/>
  <c r="C2009" i="11"/>
  <c r="B2009" i="11"/>
  <c r="A2009" i="11"/>
  <c r="D2008" i="11"/>
  <c r="AG2008" i="11"/>
  <c r="AH2008" i="11"/>
  <c r="G2008" i="11"/>
  <c r="AF2008" i="11"/>
  <c r="AI2008" i="11"/>
  <c r="P2008" i="11"/>
  <c r="O2008" i="11"/>
  <c r="F2008" i="11"/>
  <c r="E2008" i="11"/>
  <c r="C2008" i="11"/>
  <c r="B2008" i="11"/>
  <c r="A2008" i="11"/>
  <c r="D2007" i="11"/>
  <c r="AG2007" i="11"/>
  <c r="AH2007" i="11"/>
  <c r="G2007" i="11"/>
  <c r="AF2007" i="11"/>
  <c r="AI2007" i="11"/>
  <c r="P2007" i="11"/>
  <c r="O2007" i="11"/>
  <c r="F2007" i="11"/>
  <c r="E2007" i="11"/>
  <c r="C2007" i="11"/>
  <c r="B2007" i="11"/>
  <c r="A2007" i="11"/>
  <c r="D2006" i="11"/>
  <c r="AG2006" i="11"/>
  <c r="AH2006" i="11"/>
  <c r="G2006" i="11"/>
  <c r="AF2006" i="11"/>
  <c r="AI2006" i="11"/>
  <c r="P2006" i="11"/>
  <c r="O2006" i="11"/>
  <c r="F2006" i="11"/>
  <c r="E2006" i="11"/>
  <c r="C2006" i="11"/>
  <c r="B2006" i="11"/>
  <c r="A2006" i="11"/>
  <c r="D2005" i="11"/>
  <c r="AG2005" i="11"/>
  <c r="AH2005" i="11"/>
  <c r="G2005" i="11"/>
  <c r="AF2005" i="11"/>
  <c r="AI2005" i="11"/>
  <c r="P2005" i="11"/>
  <c r="O2005" i="11"/>
  <c r="F2005" i="11"/>
  <c r="E2005" i="11"/>
  <c r="C2005" i="11"/>
  <c r="B2005" i="11"/>
  <c r="A2005" i="11"/>
  <c r="D2004" i="11"/>
  <c r="AG2004" i="11"/>
  <c r="AH2004" i="11"/>
  <c r="G2004" i="11"/>
  <c r="AF2004" i="11"/>
  <c r="AI2004" i="11"/>
  <c r="P2004" i="11"/>
  <c r="O2004" i="11"/>
  <c r="F2004" i="11"/>
  <c r="E2004" i="11"/>
  <c r="C2004" i="11"/>
  <c r="B2004" i="11"/>
  <c r="A2004" i="11"/>
  <c r="D2003" i="11"/>
  <c r="AG2003" i="11"/>
  <c r="AH2003" i="11"/>
  <c r="G2003" i="11"/>
  <c r="AF2003" i="11"/>
  <c r="AI2003" i="11"/>
  <c r="P2003" i="11"/>
  <c r="O2003" i="11"/>
  <c r="F2003" i="11"/>
  <c r="E2003" i="11"/>
  <c r="C2003" i="11"/>
  <c r="B2003" i="11"/>
  <c r="A2003" i="11"/>
  <c r="D2002" i="11"/>
  <c r="AG2002" i="11"/>
  <c r="AH2002" i="11"/>
  <c r="G2002" i="11"/>
  <c r="AF2002" i="11"/>
  <c r="AI2002" i="11"/>
  <c r="P2002" i="11"/>
  <c r="O2002" i="11"/>
  <c r="F2002" i="11"/>
  <c r="E2002" i="11"/>
  <c r="C2002" i="11"/>
  <c r="B2002" i="11"/>
  <c r="A2002" i="11"/>
  <c r="D2001" i="11"/>
  <c r="AG2001" i="11"/>
  <c r="AH2001" i="11"/>
  <c r="G2001" i="11"/>
  <c r="AF2001" i="11"/>
  <c r="AI2001" i="11"/>
  <c r="P2001" i="11"/>
  <c r="O2001" i="11"/>
  <c r="F2001" i="11"/>
  <c r="E2001" i="11"/>
  <c r="C2001" i="11"/>
  <c r="B2001" i="11"/>
  <c r="A2001" i="11"/>
  <c r="D2000" i="11"/>
  <c r="AG2000" i="11"/>
  <c r="AH2000" i="11"/>
  <c r="G2000" i="11"/>
  <c r="AF2000" i="11"/>
  <c r="AI2000" i="11"/>
  <c r="P2000" i="11"/>
  <c r="O2000" i="11"/>
  <c r="F2000" i="11"/>
  <c r="E2000" i="11"/>
  <c r="C2000" i="11"/>
  <c r="B2000" i="11"/>
  <c r="A2000" i="11"/>
  <c r="D1999" i="11"/>
  <c r="AG1999" i="11"/>
  <c r="AH1999" i="11"/>
  <c r="G1999" i="11"/>
  <c r="AF1999" i="11"/>
  <c r="AI1999" i="11"/>
  <c r="P1999" i="11"/>
  <c r="O1999" i="11"/>
  <c r="F1999" i="11"/>
  <c r="E1999" i="11"/>
  <c r="C1999" i="11"/>
  <c r="B1999" i="11"/>
  <c r="A1999" i="11"/>
  <c r="D1998" i="11"/>
  <c r="AG1998" i="11"/>
  <c r="AH1998" i="11"/>
  <c r="G1998" i="11"/>
  <c r="AF1998" i="11"/>
  <c r="AI1998" i="11"/>
  <c r="P1998" i="11"/>
  <c r="O1998" i="11"/>
  <c r="F1998" i="11"/>
  <c r="E1998" i="11"/>
  <c r="C1998" i="11"/>
  <c r="B1998" i="11"/>
  <c r="A1998" i="11"/>
  <c r="D1997" i="11"/>
  <c r="AG1997" i="11"/>
  <c r="AH1997" i="11"/>
  <c r="G1997" i="11"/>
  <c r="AF1997" i="11"/>
  <c r="AI1997" i="11"/>
  <c r="P1997" i="11"/>
  <c r="O1997" i="11"/>
  <c r="F1997" i="11"/>
  <c r="E1997" i="11"/>
  <c r="C1997" i="11"/>
  <c r="B1997" i="11"/>
  <c r="A1997" i="11"/>
  <c r="D1996" i="11"/>
  <c r="AG1996" i="11"/>
  <c r="AH1996" i="11"/>
  <c r="G1996" i="11"/>
  <c r="AF1996" i="11"/>
  <c r="AI1996" i="11"/>
  <c r="P1996" i="11"/>
  <c r="O1996" i="11"/>
  <c r="F1996" i="11"/>
  <c r="E1996" i="11"/>
  <c r="C1996" i="11"/>
  <c r="B1996" i="11"/>
  <c r="A1996" i="11"/>
  <c r="D1995" i="11"/>
  <c r="AG1995" i="11"/>
  <c r="AH1995" i="11"/>
  <c r="G1995" i="11"/>
  <c r="AF1995" i="11"/>
  <c r="AI1995" i="11"/>
  <c r="P1995" i="11"/>
  <c r="O1995" i="11"/>
  <c r="F1995" i="11"/>
  <c r="E1995" i="11"/>
  <c r="C1995" i="11"/>
  <c r="B1995" i="11"/>
  <c r="A1995" i="11"/>
  <c r="D1994" i="11"/>
  <c r="AG1994" i="11"/>
  <c r="AH1994" i="11"/>
  <c r="G1994" i="11"/>
  <c r="AF1994" i="11"/>
  <c r="AI1994" i="11"/>
  <c r="P1994" i="11"/>
  <c r="O1994" i="11"/>
  <c r="F1994" i="11"/>
  <c r="E1994" i="11"/>
  <c r="C1994" i="11"/>
  <c r="B1994" i="11"/>
  <c r="A1994" i="11"/>
  <c r="D1993" i="11"/>
  <c r="AG1993" i="11"/>
  <c r="AH1993" i="11"/>
  <c r="G1993" i="11"/>
  <c r="AF1993" i="11"/>
  <c r="AI1993" i="11"/>
  <c r="P1993" i="11"/>
  <c r="O1993" i="11"/>
  <c r="F1993" i="11"/>
  <c r="E1993" i="11"/>
  <c r="C1993" i="11"/>
  <c r="B1993" i="11"/>
  <c r="A1993" i="11"/>
  <c r="D1992" i="11"/>
  <c r="AG1992" i="11"/>
  <c r="AH1992" i="11"/>
  <c r="G1992" i="11"/>
  <c r="AF1992" i="11"/>
  <c r="AI1992" i="11"/>
  <c r="P1992" i="11"/>
  <c r="O1992" i="11"/>
  <c r="F1992" i="11"/>
  <c r="E1992" i="11"/>
  <c r="C1992" i="11"/>
  <c r="B1992" i="11"/>
  <c r="A1992" i="11"/>
  <c r="D1991" i="11"/>
  <c r="AG1991" i="11"/>
  <c r="AH1991" i="11"/>
  <c r="G1991" i="11"/>
  <c r="AF1991" i="11"/>
  <c r="AI1991" i="11"/>
  <c r="P1991" i="11"/>
  <c r="O1991" i="11"/>
  <c r="F1991" i="11"/>
  <c r="E1991" i="11"/>
  <c r="C1991" i="11"/>
  <c r="B1991" i="11"/>
  <c r="A1991" i="11"/>
  <c r="D1990" i="11"/>
  <c r="AG1990" i="11"/>
  <c r="AH1990" i="11"/>
  <c r="G1990" i="11"/>
  <c r="AF1990" i="11"/>
  <c r="AI1990" i="11"/>
  <c r="P1990" i="11"/>
  <c r="O1990" i="11"/>
  <c r="F1990" i="11"/>
  <c r="E1990" i="11"/>
  <c r="C1990" i="11"/>
  <c r="B1990" i="11"/>
  <c r="A1990" i="11"/>
  <c r="D1989" i="11"/>
  <c r="AG1989" i="11"/>
  <c r="AH1989" i="11"/>
  <c r="G1989" i="11"/>
  <c r="AF1989" i="11"/>
  <c r="AI1989" i="11"/>
  <c r="P1989" i="11"/>
  <c r="O1989" i="11"/>
  <c r="F1989" i="11"/>
  <c r="E1989" i="11"/>
  <c r="C1989" i="11"/>
  <c r="B1989" i="11"/>
  <c r="A1989" i="11"/>
  <c r="D1988" i="11"/>
  <c r="AG1988" i="11"/>
  <c r="AH1988" i="11"/>
  <c r="G1988" i="11"/>
  <c r="AF1988" i="11"/>
  <c r="AI1988" i="11"/>
  <c r="P1988" i="11"/>
  <c r="O1988" i="11"/>
  <c r="F1988" i="11"/>
  <c r="E1988" i="11"/>
  <c r="C1988" i="11"/>
  <c r="B1988" i="11"/>
  <c r="A1988" i="11"/>
  <c r="D1987" i="11"/>
  <c r="AG1987" i="11"/>
  <c r="AH1987" i="11"/>
  <c r="G1987" i="11"/>
  <c r="AF1987" i="11"/>
  <c r="AI1987" i="11"/>
  <c r="P1987" i="11"/>
  <c r="O1987" i="11"/>
  <c r="F1987" i="11"/>
  <c r="E1987" i="11"/>
  <c r="C1987" i="11"/>
  <c r="B1987" i="11"/>
  <c r="A1987" i="11"/>
  <c r="D1986" i="11"/>
  <c r="AG1986" i="11"/>
  <c r="AH1986" i="11"/>
  <c r="G1986" i="11"/>
  <c r="AF1986" i="11"/>
  <c r="AI1986" i="11"/>
  <c r="P1986" i="11"/>
  <c r="O1986" i="11"/>
  <c r="F1986" i="11"/>
  <c r="E1986" i="11"/>
  <c r="C1986" i="11"/>
  <c r="B1986" i="11"/>
  <c r="A1986" i="11"/>
  <c r="D1985" i="11"/>
  <c r="AG1985" i="11"/>
  <c r="AH1985" i="11"/>
  <c r="G1985" i="11"/>
  <c r="AF1985" i="11"/>
  <c r="AI1985" i="11"/>
  <c r="P1985" i="11"/>
  <c r="O1985" i="11"/>
  <c r="F1985" i="11"/>
  <c r="E1985" i="11"/>
  <c r="C1985" i="11"/>
  <c r="B1985" i="11"/>
  <c r="A1985" i="11"/>
  <c r="D1984" i="11"/>
  <c r="AG1984" i="11"/>
  <c r="AH1984" i="11"/>
  <c r="G1984" i="11"/>
  <c r="AF1984" i="11"/>
  <c r="AI1984" i="11"/>
  <c r="P1984" i="11"/>
  <c r="O1984" i="11"/>
  <c r="F1984" i="11"/>
  <c r="E1984" i="11"/>
  <c r="C1984" i="11"/>
  <c r="B1984" i="11"/>
  <c r="A1984" i="11"/>
  <c r="D1983" i="11"/>
  <c r="AG1983" i="11"/>
  <c r="AH1983" i="11"/>
  <c r="G1983" i="11"/>
  <c r="AF1983" i="11"/>
  <c r="AI1983" i="11"/>
  <c r="P1983" i="11"/>
  <c r="O1983" i="11"/>
  <c r="F1983" i="11"/>
  <c r="E1983" i="11"/>
  <c r="C1983" i="11"/>
  <c r="B1983" i="11"/>
  <c r="A1983" i="11"/>
  <c r="D1982" i="11"/>
  <c r="AG1982" i="11"/>
  <c r="AH1982" i="11"/>
  <c r="G1982" i="11"/>
  <c r="AF1982" i="11"/>
  <c r="AI1982" i="11"/>
  <c r="P1982" i="11"/>
  <c r="O1982" i="11"/>
  <c r="F1982" i="11"/>
  <c r="E1982" i="11"/>
  <c r="C1982" i="11"/>
  <c r="B1982" i="11"/>
  <c r="A1982" i="11"/>
  <c r="D1981" i="11"/>
  <c r="AG1981" i="11"/>
  <c r="AH1981" i="11"/>
  <c r="G1981" i="11"/>
  <c r="AF1981" i="11"/>
  <c r="AI1981" i="11"/>
  <c r="P1981" i="11"/>
  <c r="O1981" i="11"/>
  <c r="F1981" i="11"/>
  <c r="E1981" i="11"/>
  <c r="C1981" i="11"/>
  <c r="B1981" i="11"/>
  <c r="A1981" i="11"/>
  <c r="D1980" i="11"/>
  <c r="AG1980" i="11"/>
  <c r="AH1980" i="11"/>
  <c r="G1980" i="11"/>
  <c r="AF1980" i="11"/>
  <c r="AI1980" i="11"/>
  <c r="P1980" i="11"/>
  <c r="O1980" i="11"/>
  <c r="F1980" i="11"/>
  <c r="E1980" i="11"/>
  <c r="C1980" i="11"/>
  <c r="B1980" i="11"/>
  <c r="A1980" i="11"/>
  <c r="D1979" i="11"/>
  <c r="AG1979" i="11"/>
  <c r="AH1979" i="11"/>
  <c r="G1979" i="11"/>
  <c r="AF1979" i="11"/>
  <c r="AI1979" i="11"/>
  <c r="P1979" i="11"/>
  <c r="O1979" i="11"/>
  <c r="F1979" i="11"/>
  <c r="E1979" i="11"/>
  <c r="C1979" i="11"/>
  <c r="B1979" i="11"/>
  <c r="A1979" i="11"/>
  <c r="D1978" i="11"/>
  <c r="AG1978" i="11"/>
  <c r="AH1978" i="11"/>
  <c r="G1978" i="11"/>
  <c r="AF1978" i="11"/>
  <c r="AI1978" i="11"/>
  <c r="P1978" i="11"/>
  <c r="O1978" i="11"/>
  <c r="F1978" i="11"/>
  <c r="E1978" i="11"/>
  <c r="C1978" i="11"/>
  <c r="B1978" i="11"/>
  <c r="A1978" i="11"/>
  <c r="D1977" i="11"/>
  <c r="AG1977" i="11"/>
  <c r="AH1977" i="11"/>
  <c r="G1977" i="11"/>
  <c r="AF1977" i="11"/>
  <c r="AI1977" i="11"/>
  <c r="P1977" i="11"/>
  <c r="O1977" i="11"/>
  <c r="F1977" i="11"/>
  <c r="E1977" i="11"/>
  <c r="C1977" i="11"/>
  <c r="B1977" i="11"/>
  <c r="A1977" i="11"/>
  <c r="D1976" i="11"/>
  <c r="AG1976" i="11"/>
  <c r="AH1976" i="11"/>
  <c r="G1976" i="11"/>
  <c r="AF1976" i="11"/>
  <c r="AI1976" i="11"/>
  <c r="P1976" i="11"/>
  <c r="O1976" i="11"/>
  <c r="F1976" i="11"/>
  <c r="E1976" i="11"/>
  <c r="C1976" i="11"/>
  <c r="B1976" i="11"/>
  <c r="A1976" i="11"/>
  <c r="D1975" i="11"/>
  <c r="AG1975" i="11"/>
  <c r="AH1975" i="11"/>
  <c r="G1975" i="11"/>
  <c r="AF1975" i="11"/>
  <c r="AI1975" i="11"/>
  <c r="P1975" i="11"/>
  <c r="O1975" i="11"/>
  <c r="F1975" i="11"/>
  <c r="E1975" i="11"/>
  <c r="C1975" i="11"/>
  <c r="B1975" i="11"/>
  <c r="A1975" i="11"/>
  <c r="D1974" i="11"/>
  <c r="AG1974" i="11"/>
  <c r="AH1974" i="11"/>
  <c r="G1974" i="11"/>
  <c r="AF1974" i="11"/>
  <c r="AI1974" i="11"/>
  <c r="P1974" i="11"/>
  <c r="O1974" i="11"/>
  <c r="F1974" i="11"/>
  <c r="E1974" i="11"/>
  <c r="C1974" i="11"/>
  <c r="B1974" i="11"/>
  <c r="A1974" i="11"/>
  <c r="D1973" i="11"/>
  <c r="AG1973" i="11"/>
  <c r="AH1973" i="11"/>
  <c r="G1973" i="11"/>
  <c r="AF1973" i="11"/>
  <c r="AI1973" i="11"/>
  <c r="P1973" i="11"/>
  <c r="O1973" i="11"/>
  <c r="F1973" i="11"/>
  <c r="E1973" i="11"/>
  <c r="C1973" i="11"/>
  <c r="B1973" i="11"/>
  <c r="A1973" i="11"/>
  <c r="D1972" i="11"/>
  <c r="AG1972" i="11"/>
  <c r="AH1972" i="11"/>
  <c r="G1972" i="11"/>
  <c r="AF1972" i="11"/>
  <c r="AI1972" i="11"/>
  <c r="P1972" i="11"/>
  <c r="O1972" i="11"/>
  <c r="F1972" i="11"/>
  <c r="E1972" i="11"/>
  <c r="C1972" i="11"/>
  <c r="B1972" i="11"/>
  <c r="A1972" i="11"/>
  <c r="D1971" i="11"/>
  <c r="AG1971" i="11"/>
  <c r="AH1971" i="11"/>
  <c r="G1971" i="11"/>
  <c r="AF1971" i="11"/>
  <c r="AI1971" i="11"/>
  <c r="P1971" i="11"/>
  <c r="O1971" i="11"/>
  <c r="F1971" i="11"/>
  <c r="E1971" i="11"/>
  <c r="C1971" i="11"/>
  <c r="B1971" i="11"/>
  <c r="A1971" i="11"/>
  <c r="D1970" i="11"/>
  <c r="AG1970" i="11"/>
  <c r="AH1970" i="11"/>
  <c r="G1970" i="11"/>
  <c r="AF1970" i="11"/>
  <c r="AI1970" i="11"/>
  <c r="P1970" i="11"/>
  <c r="O1970" i="11"/>
  <c r="F1970" i="11"/>
  <c r="E1970" i="11"/>
  <c r="C1970" i="11"/>
  <c r="B1970" i="11"/>
  <c r="A1970" i="11"/>
  <c r="D1969" i="11"/>
  <c r="AG1969" i="11"/>
  <c r="AH1969" i="11"/>
  <c r="G1969" i="11"/>
  <c r="AF1969" i="11"/>
  <c r="AI1969" i="11"/>
  <c r="P1969" i="11"/>
  <c r="O1969" i="11"/>
  <c r="F1969" i="11"/>
  <c r="E1969" i="11"/>
  <c r="C1969" i="11"/>
  <c r="B1969" i="11"/>
  <c r="A1969" i="11"/>
  <c r="D1968" i="11"/>
  <c r="AG1968" i="11"/>
  <c r="AH1968" i="11"/>
  <c r="G1968" i="11"/>
  <c r="AF1968" i="11"/>
  <c r="AI1968" i="11"/>
  <c r="P1968" i="11"/>
  <c r="O1968" i="11"/>
  <c r="F1968" i="11"/>
  <c r="E1968" i="11"/>
  <c r="C1968" i="11"/>
  <c r="B1968" i="11"/>
  <c r="A1968" i="11"/>
  <c r="D1967" i="11"/>
  <c r="AG1967" i="11"/>
  <c r="AH1967" i="11"/>
  <c r="G1967" i="11"/>
  <c r="AF1967" i="11"/>
  <c r="AI1967" i="11"/>
  <c r="P1967" i="11"/>
  <c r="O1967" i="11"/>
  <c r="F1967" i="11"/>
  <c r="E1967" i="11"/>
  <c r="C1967" i="11"/>
  <c r="B1967" i="11"/>
  <c r="A1967" i="11"/>
  <c r="D1966" i="11"/>
  <c r="AG1966" i="11"/>
  <c r="AH1966" i="11"/>
  <c r="G1966" i="11"/>
  <c r="AF1966" i="11"/>
  <c r="AI1966" i="11"/>
  <c r="P1966" i="11"/>
  <c r="O1966" i="11"/>
  <c r="F1966" i="11"/>
  <c r="E1966" i="11"/>
  <c r="C1966" i="11"/>
  <c r="B1966" i="11"/>
  <c r="A1966" i="11"/>
  <c r="D1965" i="11"/>
  <c r="AG1965" i="11"/>
  <c r="AH1965" i="11"/>
  <c r="G1965" i="11"/>
  <c r="AF1965" i="11"/>
  <c r="AI1965" i="11"/>
  <c r="P1965" i="11"/>
  <c r="O1965" i="11"/>
  <c r="F1965" i="11"/>
  <c r="E1965" i="11"/>
  <c r="C1965" i="11"/>
  <c r="B1965" i="11"/>
  <c r="A1965" i="11"/>
  <c r="D1964" i="11"/>
  <c r="AG1964" i="11"/>
  <c r="AH1964" i="11"/>
  <c r="G1964" i="11"/>
  <c r="AF1964" i="11"/>
  <c r="AI1964" i="11"/>
  <c r="P1964" i="11"/>
  <c r="O1964" i="11"/>
  <c r="F1964" i="11"/>
  <c r="E1964" i="11"/>
  <c r="C1964" i="11"/>
  <c r="B1964" i="11"/>
  <c r="A1964" i="11"/>
  <c r="D1963" i="11"/>
  <c r="AG1963" i="11"/>
  <c r="AH1963" i="11"/>
  <c r="G1963" i="11"/>
  <c r="AF1963" i="11"/>
  <c r="AI1963" i="11"/>
  <c r="P1963" i="11"/>
  <c r="O1963" i="11"/>
  <c r="F1963" i="11"/>
  <c r="E1963" i="11"/>
  <c r="C1963" i="11"/>
  <c r="B1963" i="11"/>
  <c r="A1963" i="11"/>
  <c r="D1962" i="11"/>
  <c r="AG1962" i="11"/>
  <c r="AH1962" i="11"/>
  <c r="G1962" i="11"/>
  <c r="AF1962" i="11"/>
  <c r="AI1962" i="11"/>
  <c r="P1962" i="11"/>
  <c r="O1962" i="11"/>
  <c r="F1962" i="11"/>
  <c r="E1962" i="11"/>
  <c r="C1962" i="11"/>
  <c r="B1962" i="11"/>
  <c r="A1962" i="11"/>
  <c r="D1961" i="11"/>
  <c r="AG1961" i="11"/>
  <c r="AH1961" i="11"/>
  <c r="G1961" i="11"/>
  <c r="AF1961" i="11"/>
  <c r="AI1961" i="11"/>
  <c r="P1961" i="11"/>
  <c r="O1961" i="11"/>
  <c r="F1961" i="11"/>
  <c r="E1961" i="11"/>
  <c r="C1961" i="11"/>
  <c r="B1961" i="11"/>
  <c r="A1961" i="11"/>
  <c r="D1960" i="11"/>
  <c r="AG1960" i="11"/>
  <c r="AH1960" i="11"/>
  <c r="G1960" i="11"/>
  <c r="AF1960" i="11"/>
  <c r="AI1960" i="11"/>
  <c r="P1960" i="11"/>
  <c r="O1960" i="11"/>
  <c r="F1960" i="11"/>
  <c r="E1960" i="11"/>
  <c r="C1960" i="11"/>
  <c r="B1960" i="11"/>
  <c r="A1960" i="11"/>
  <c r="D1959" i="11"/>
  <c r="AG1959" i="11"/>
  <c r="AH1959" i="11"/>
  <c r="G1959" i="11"/>
  <c r="AF1959" i="11"/>
  <c r="AI1959" i="11"/>
  <c r="P1959" i="11"/>
  <c r="O1959" i="11"/>
  <c r="F1959" i="11"/>
  <c r="E1959" i="11"/>
  <c r="C1959" i="11"/>
  <c r="B1959" i="11"/>
  <c r="A1959" i="11"/>
  <c r="D1958" i="11"/>
  <c r="AG1958" i="11"/>
  <c r="AH1958" i="11"/>
  <c r="G1958" i="11"/>
  <c r="AF1958" i="11"/>
  <c r="AI1958" i="11"/>
  <c r="P1958" i="11"/>
  <c r="O1958" i="11"/>
  <c r="F1958" i="11"/>
  <c r="E1958" i="11"/>
  <c r="C1958" i="11"/>
  <c r="B1958" i="11"/>
  <c r="A1958" i="11"/>
  <c r="D1957" i="11"/>
  <c r="AG1957" i="11"/>
  <c r="AH1957" i="11"/>
  <c r="G1957" i="11"/>
  <c r="AF1957" i="11"/>
  <c r="AI1957" i="11"/>
  <c r="P1957" i="11"/>
  <c r="O1957" i="11"/>
  <c r="F1957" i="11"/>
  <c r="E1957" i="11"/>
  <c r="C1957" i="11"/>
  <c r="B1957" i="11"/>
  <c r="A1957" i="11"/>
  <c r="D1956" i="11"/>
  <c r="AG1956" i="11"/>
  <c r="AH1956" i="11"/>
  <c r="G1956" i="11"/>
  <c r="AF1956" i="11"/>
  <c r="AI1956" i="11"/>
  <c r="P1956" i="11"/>
  <c r="O1956" i="11"/>
  <c r="F1956" i="11"/>
  <c r="E1956" i="11"/>
  <c r="C1956" i="11"/>
  <c r="B1956" i="11"/>
  <c r="A1956" i="11"/>
  <c r="D1955" i="11"/>
  <c r="AG1955" i="11"/>
  <c r="AH1955" i="11"/>
  <c r="G1955" i="11"/>
  <c r="AF1955" i="11"/>
  <c r="AI1955" i="11"/>
  <c r="P1955" i="11"/>
  <c r="O1955" i="11"/>
  <c r="F1955" i="11"/>
  <c r="E1955" i="11"/>
  <c r="C1955" i="11"/>
  <c r="B1955" i="11"/>
  <c r="A1955" i="11"/>
  <c r="D1954" i="11"/>
  <c r="AG1954" i="11"/>
  <c r="AH1954" i="11"/>
  <c r="G1954" i="11"/>
  <c r="AF1954" i="11"/>
  <c r="AI1954" i="11"/>
  <c r="P1954" i="11"/>
  <c r="O1954" i="11"/>
  <c r="F1954" i="11"/>
  <c r="E1954" i="11"/>
  <c r="C1954" i="11"/>
  <c r="B1954" i="11"/>
  <c r="A1954" i="11"/>
  <c r="D1953" i="11"/>
  <c r="AG1953" i="11"/>
  <c r="AH1953" i="11"/>
  <c r="G1953" i="11"/>
  <c r="AF1953" i="11"/>
  <c r="AI1953" i="11"/>
  <c r="P1953" i="11"/>
  <c r="O1953" i="11"/>
  <c r="F1953" i="11"/>
  <c r="E1953" i="11"/>
  <c r="C1953" i="11"/>
  <c r="B1953" i="11"/>
  <c r="A1953" i="11"/>
  <c r="D1952" i="11"/>
  <c r="AG1952" i="11"/>
  <c r="AH1952" i="11"/>
  <c r="G1952" i="11"/>
  <c r="AF1952" i="11"/>
  <c r="AI1952" i="11"/>
  <c r="P1952" i="11"/>
  <c r="O1952" i="11"/>
  <c r="F1952" i="11"/>
  <c r="E1952" i="11"/>
  <c r="C1952" i="11"/>
  <c r="B1952" i="11"/>
  <c r="A1952" i="11"/>
  <c r="D1951" i="11"/>
  <c r="AG1951" i="11"/>
  <c r="AH1951" i="11"/>
  <c r="G1951" i="11"/>
  <c r="AF1951" i="11"/>
  <c r="AI1951" i="11"/>
  <c r="P1951" i="11"/>
  <c r="O1951" i="11"/>
  <c r="F1951" i="11"/>
  <c r="E1951" i="11"/>
  <c r="C1951" i="11"/>
  <c r="B1951" i="11"/>
  <c r="A1951" i="11"/>
  <c r="D1950" i="11"/>
  <c r="AG1950" i="11"/>
  <c r="AH1950" i="11"/>
  <c r="G1950" i="11"/>
  <c r="AF1950" i="11"/>
  <c r="AI1950" i="11"/>
  <c r="P1950" i="11"/>
  <c r="O1950" i="11"/>
  <c r="F1950" i="11"/>
  <c r="E1950" i="11"/>
  <c r="C1950" i="11"/>
  <c r="B1950" i="11"/>
  <c r="A1950" i="11"/>
  <c r="D1949" i="11"/>
  <c r="AG1949" i="11"/>
  <c r="AH1949" i="11"/>
  <c r="G1949" i="11"/>
  <c r="AF1949" i="11"/>
  <c r="AI1949" i="11"/>
  <c r="P1949" i="11"/>
  <c r="O1949" i="11"/>
  <c r="F1949" i="11"/>
  <c r="E1949" i="11"/>
  <c r="C1949" i="11"/>
  <c r="B1949" i="11"/>
  <c r="A1949" i="11"/>
  <c r="D1948" i="11"/>
  <c r="AG1948" i="11"/>
  <c r="AH1948" i="11"/>
  <c r="G1948" i="11"/>
  <c r="AF1948" i="11"/>
  <c r="AI1948" i="11"/>
  <c r="P1948" i="11"/>
  <c r="O1948" i="11"/>
  <c r="F1948" i="11"/>
  <c r="E1948" i="11"/>
  <c r="C1948" i="11"/>
  <c r="B1948" i="11"/>
  <c r="A1948" i="11"/>
  <c r="D1947" i="11"/>
  <c r="AG1947" i="11"/>
  <c r="AH1947" i="11"/>
  <c r="G1947" i="11"/>
  <c r="AF1947" i="11"/>
  <c r="AI1947" i="11"/>
  <c r="P1947" i="11"/>
  <c r="O1947" i="11"/>
  <c r="F1947" i="11"/>
  <c r="E1947" i="11"/>
  <c r="C1947" i="11"/>
  <c r="B1947" i="11"/>
  <c r="A1947" i="11"/>
  <c r="D1946" i="11"/>
  <c r="AG1946" i="11"/>
  <c r="AH1946" i="11"/>
  <c r="G1946" i="11"/>
  <c r="AF1946" i="11"/>
  <c r="AI1946" i="11"/>
  <c r="P1946" i="11"/>
  <c r="O1946" i="11"/>
  <c r="F1946" i="11"/>
  <c r="E1946" i="11"/>
  <c r="C1946" i="11"/>
  <c r="B1946" i="11"/>
  <c r="A1946" i="11"/>
  <c r="D1945" i="11"/>
  <c r="AG1945" i="11"/>
  <c r="AH1945" i="11"/>
  <c r="G1945" i="11"/>
  <c r="AF1945" i="11"/>
  <c r="AI1945" i="11"/>
  <c r="P1945" i="11"/>
  <c r="O1945" i="11"/>
  <c r="F1945" i="11"/>
  <c r="E1945" i="11"/>
  <c r="C1945" i="11"/>
  <c r="B1945" i="11"/>
  <c r="A1945" i="11"/>
  <c r="D1944" i="11"/>
  <c r="AG1944" i="11"/>
  <c r="AH1944" i="11"/>
  <c r="G1944" i="11"/>
  <c r="AF1944" i="11"/>
  <c r="AI1944" i="11"/>
  <c r="P1944" i="11"/>
  <c r="O1944" i="11"/>
  <c r="F1944" i="11"/>
  <c r="E1944" i="11"/>
  <c r="C1944" i="11"/>
  <c r="B1944" i="11"/>
  <c r="A1944" i="11"/>
  <c r="D1943" i="11"/>
  <c r="AG1943" i="11"/>
  <c r="AH1943" i="11"/>
  <c r="G1943" i="11"/>
  <c r="AF1943" i="11"/>
  <c r="AI1943" i="11"/>
  <c r="P1943" i="11"/>
  <c r="O1943" i="11"/>
  <c r="F1943" i="11"/>
  <c r="E1943" i="11"/>
  <c r="C1943" i="11"/>
  <c r="B1943" i="11"/>
  <c r="A1943" i="11"/>
  <c r="D1942" i="11"/>
  <c r="AG1942" i="11"/>
  <c r="AH1942" i="11"/>
  <c r="G1942" i="11"/>
  <c r="AF1942" i="11"/>
  <c r="AI1942" i="11"/>
  <c r="P1942" i="11"/>
  <c r="O1942" i="11"/>
  <c r="F1942" i="11"/>
  <c r="E1942" i="11"/>
  <c r="C1942" i="11"/>
  <c r="B1942" i="11"/>
  <c r="A1942" i="11"/>
  <c r="D1941" i="11"/>
  <c r="AG1941" i="11"/>
  <c r="AH1941" i="11"/>
  <c r="G1941" i="11"/>
  <c r="AF1941" i="11"/>
  <c r="AI1941" i="11"/>
  <c r="P1941" i="11"/>
  <c r="O1941" i="11"/>
  <c r="F1941" i="11"/>
  <c r="E1941" i="11"/>
  <c r="C1941" i="11"/>
  <c r="B1941" i="11"/>
  <c r="A1941" i="11"/>
  <c r="D1940" i="11"/>
  <c r="AG1940" i="11"/>
  <c r="AH1940" i="11"/>
  <c r="G1940" i="11"/>
  <c r="AF1940" i="11"/>
  <c r="AI1940" i="11"/>
  <c r="P1940" i="11"/>
  <c r="O1940" i="11"/>
  <c r="F1940" i="11"/>
  <c r="E1940" i="11"/>
  <c r="C1940" i="11"/>
  <c r="B1940" i="11"/>
  <c r="A1940" i="11"/>
  <c r="D1939" i="11"/>
  <c r="AG1939" i="11"/>
  <c r="AH1939" i="11"/>
  <c r="G1939" i="11"/>
  <c r="AF1939" i="11"/>
  <c r="AI1939" i="11"/>
  <c r="P1939" i="11"/>
  <c r="O1939" i="11"/>
  <c r="F1939" i="11"/>
  <c r="E1939" i="11"/>
  <c r="C1939" i="11"/>
  <c r="B1939" i="11"/>
  <c r="A1939" i="11"/>
  <c r="D1938" i="11"/>
  <c r="AG1938" i="11"/>
  <c r="AH1938" i="11"/>
  <c r="G1938" i="11"/>
  <c r="AF1938" i="11"/>
  <c r="AI1938" i="11"/>
  <c r="P1938" i="11"/>
  <c r="O1938" i="11"/>
  <c r="F1938" i="11"/>
  <c r="E1938" i="11"/>
  <c r="C1938" i="11"/>
  <c r="B1938" i="11"/>
  <c r="A1938" i="11"/>
  <c r="D1937" i="11"/>
  <c r="AG1937" i="11"/>
  <c r="AH1937" i="11"/>
  <c r="G1937" i="11"/>
  <c r="AF1937" i="11"/>
  <c r="AI1937" i="11"/>
  <c r="P1937" i="11"/>
  <c r="O1937" i="11"/>
  <c r="F1937" i="11"/>
  <c r="E1937" i="11"/>
  <c r="C1937" i="11"/>
  <c r="B1937" i="11"/>
  <c r="A1937" i="11"/>
  <c r="D1936" i="11"/>
  <c r="AG1936" i="11"/>
  <c r="AH1936" i="11"/>
  <c r="G1936" i="11"/>
  <c r="AF1936" i="11"/>
  <c r="AI1936" i="11"/>
  <c r="P1936" i="11"/>
  <c r="O1936" i="11"/>
  <c r="F1936" i="11"/>
  <c r="E1936" i="11"/>
  <c r="C1936" i="11"/>
  <c r="B1936" i="11"/>
  <c r="A1936" i="11"/>
  <c r="D1935" i="11"/>
  <c r="AG1935" i="11"/>
  <c r="AH1935" i="11"/>
  <c r="G1935" i="11"/>
  <c r="AF1935" i="11"/>
  <c r="AI1935" i="11"/>
  <c r="P1935" i="11"/>
  <c r="O1935" i="11"/>
  <c r="F1935" i="11"/>
  <c r="E1935" i="11"/>
  <c r="C1935" i="11"/>
  <c r="B1935" i="11"/>
  <c r="A1935" i="11"/>
  <c r="D1934" i="11"/>
  <c r="AG1934" i="11"/>
  <c r="AH1934" i="11"/>
  <c r="G1934" i="11"/>
  <c r="AF1934" i="11"/>
  <c r="AI1934" i="11"/>
  <c r="P1934" i="11"/>
  <c r="O1934" i="11"/>
  <c r="F1934" i="11"/>
  <c r="E1934" i="11"/>
  <c r="C1934" i="11"/>
  <c r="B1934" i="11"/>
  <c r="A1934" i="11"/>
  <c r="D1933" i="11"/>
  <c r="AG1933" i="11"/>
  <c r="AH1933" i="11"/>
  <c r="G1933" i="11"/>
  <c r="AF1933" i="11"/>
  <c r="AI1933" i="11"/>
  <c r="P1933" i="11"/>
  <c r="O1933" i="11"/>
  <c r="F1933" i="11"/>
  <c r="E1933" i="11"/>
  <c r="C1933" i="11"/>
  <c r="B1933" i="11"/>
  <c r="A1933" i="11"/>
  <c r="D1932" i="11"/>
  <c r="AG1932" i="11"/>
  <c r="AH1932" i="11"/>
  <c r="G1932" i="11"/>
  <c r="AF1932" i="11"/>
  <c r="AI1932" i="11"/>
  <c r="P1932" i="11"/>
  <c r="O1932" i="11"/>
  <c r="F1932" i="11"/>
  <c r="E1932" i="11"/>
  <c r="C1932" i="11"/>
  <c r="B1932" i="11"/>
  <c r="A1932" i="11"/>
  <c r="D1931" i="11"/>
  <c r="AG1931" i="11"/>
  <c r="AH1931" i="11"/>
  <c r="G1931" i="11"/>
  <c r="AF1931" i="11"/>
  <c r="AI1931" i="11"/>
  <c r="P1931" i="11"/>
  <c r="O1931" i="11"/>
  <c r="F1931" i="11"/>
  <c r="E1931" i="11"/>
  <c r="C1931" i="11"/>
  <c r="B1931" i="11"/>
  <c r="A1931" i="11"/>
  <c r="D1930" i="11"/>
  <c r="AG1930" i="11"/>
  <c r="AH1930" i="11"/>
  <c r="G1930" i="11"/>
  <c r="AF1930" i="11"/>
  <c r="AI1930" i="11"/>
  <c r="P1930" i="11"/>
  <c r="O1930" i="11"/>
  <c r="F1930" i="11"/>
  <c r="E1930" i="11"/>
  <c r="C1930" i="11"/>
  <c r="B1930" i="11"/>
  <c r="A1930" i="11"/>
  <c r="D1929" i="11"/>
  <c r="AG1929" i="11"/>
  <c r="AH1929" i="11"/>
  <c r="G1929" i="11"/>
  <c r="AF1929" i="11"/>
  <c r="AI1929" i="11"/>
  <c r="P1929" i="11"/>
  <c r="O1929" i="11"/>
  <c r="F1929" i="11"/>
  <c r="E1929" i="11"/>
  <c r="C1929" i="11"/>
  <c r="B1929" i="11"/>
  <c r="A1929" i="11"/>
  <c r="D1928" i="11"/>
  <c r="AG1928" i="11"/>
  <c r="AH1928" i="11"/>
  <c r="G1928" i="11"/>
  <c r="AF1928" i="11"/>
  <c r="AI1928" i="11"/>
  <c r="P1928" i="11"/>
  <c r="O1928" i="11"/>
  <c r="F1928" i="11"/>
  <c r="E1928" i="11"/>
  <c r="C1928" i="11"/>
  <c r="B1928" i="11"/>
  <c r="A1928" i="11"/>
  <c r="D1927" i="11"/>
  <c r="AG1927" i="11"/>
  <c r="AH1927" i="11"/>
  <c r="G1927" i="11"/>
  <c r="AF1927" i="11"/>
  <c r="AI1927" i="11"/>
  <c r="P1927" i="11"/>
  <c r="O1927" i="11"/>
  <c r="F1927" i="11"/>
  <c r="E1927" i="11"/>
  <c r="C1927" i="11"/>
  <c r="B1927" i="11"/>
  <c r="A1927" i="11"/>
  <c r="D1926" i="11"/>
  <c r="AG1926" i="11"/>
  <c r="AH1926" i="11"/>
  <c r="G1926" i="11"/>
  <c r="AF1926" i="11"/>
  <c r="AI1926" i="11"/>
  <c r="P1926" i="11"/>
  <c r="O1926" i="11"/>
  <c r="F1926" i="11"/>
  <c r="E1926" i="11"/>
  <c r="C1926" i="11"/>
  <c r="B1926" i="11"/>
  <c r="A1926" i="11"/>
  <c r="D1925" i="11"/>
  <c r="AG1925" i="11"/>
  <c r="AH1925" i="11"/>
  <c r="G1925" i="11"/>
  <c r="AF1925" i="11"/>
  <c r="AI1925" i="11"/>
  <c r="P1925" i="11"/>
  <c r="O1925" i="11"/>
  <c r="F1925" i="11"/>
  <c r="E1925" i="11"/>
  <c r="C1925" i="11"/>
  <c r="B1925" i="11"/>
  <c r="A1925" i="11"/>
  <c r="D1924" i="11"/>
  <c r="AG1924" i="11"/>
  <c r="AH1924" i="11"/>
  <c r="G1924" i="11"/>
  <c r="AF1924" i="11"/>
  <c r="AI1924" i="11"/>
  <c r="P1924" i="11"/>
  <c r="O1924" i="11"/>
  <c r="F1924" i="11"/>
  <c r="E1924" i="11"/>
  <c r="C1924" i="11"/>
  <c r="B1924" i="11"/>
  <c r="A1924" i="11"/>
  <c r="D1923" i="11"/>
  <c r="AG1923" i="11"/>
  <c r="AH1923" i="11"/>
  <c r="G1923" i="11"/>
  <c r="AF1923" i="11"/>
  <c r="AI1923" i="11"/>
  <c r="P1923" i="11"/>
  <c r="O1923" i="11"/>
  <c r="F1923" i="11"/>
  <c r="E1923" i="11"/>
  <c r="C1923" i="11"/>
  <c r="B1923" i="11"/>
  <c r="A1923" i="11"/>
  <c r="D1922" i="11"/>
  <c r="AG1922" i="11"/>
  <c r="AH1922" i="11"/>
  <c r="G1922" i="11"/>
  <c r="AF1922" i="11"/>
  <c r="AI1922" i="11"/>
  <c r="P1922" i="11"/>
  <c r="O1922" i="11"/>
  <c r="F1922" i="11"/>
  <c r="E1922" i="11"/>
  <c r="C1922" i="11"/>
  <c r="B1922" i="11"/>
  <c r="A1922" i="11"/>
  <c r="D1921" i="11"/>
  <c r="AG1921" i="11"/>
  <c r="AH1921" i="11"/>
  <c r="AF1921" i="11"/>
  <c r="AI1921" i="11"/>
  <c r="P1921" i="11"/>
  <c r="O1921" i="11"/>
  <c r="F1921" i="11"/>
  <c r="E1921" i="11"/>
  <c r="C1921" i="11"/>
  <c r="B1921" i="11"/>
  <c r="A1921" i="11"/>
  <c r="D1920" i="11"/>
  <c r="AG1920" i="11"/>
  <c r="AH1920" i="11"/>
  <c r="AF1920" i="11"/>
  <c r="AI1920" i="11"/>
  <c r="P1920" i="11"/>
  <c r="O1920" i="11"/>
  <c r="F1920" i="11"/>
  <c r="E1920" i="11"/>
  <c r="C1920" i="11"/>
  <c r="B1920" i="11"/>
  <c r="A1920" i="11"/>
  <c r="D1919" i="11"/>
  <c r="AG1919" i="11"/>
  <c r="AH1919" i="11"/>
  <c r="G1919" i="11"/>
  <c r="AF1919" i="11"/>
  <c r="AI1919" i="11"/>
  <c r="P1919" i="11"/>
  <c r="O1919" i="11"/>
  <c r="F1919" i="11"/>
  <c r="E1919" i="11"/>
  <c r="C1919" i="11"/>
  <c r="B1919" i="11"/>
  <c r="A1919" i="11"/>
  <c r="D1918" i="11"/>
  <c r="AG1918" i="11"/>
  <c r="AH1918" i="11"/>
  <c r="G1918" i="11"/>
  <c r="AF1918" i="11"/>
  <c r="AI1918" i="11"/>
  <c r="P1918" i="11"/>
  <c r="O1918" i="11"/>
  <c r="F1918" i="11"/>
  <c r="E1918" i="11"/>
  <c r="C1918" i="11"/>
  <c r="B1918" i="11"/>
  <c r="A1918" i="11"/>
  <c r="D1917" i="11"/>
  <c r="AG1917" i="11"/>
  <c r="AH1917" i="11"/>
  <c r="G1917" i="11"/>
  <c r="AF1917" i="11"/>
  <c r="AI1917" i="11"/>
  <c r="P1917" i="11"/>
  <c r="O1917" i="11"/>
  <c r="F1917" i="11"/>
  <c r="E1917" i="11"/>
  <c r="C1917" i="11"/>
  <c r="B1917" i="11"/>
  <c r="A1917" i="11"/>
  <c r="D1916" i="11"/>
  <c r="AG1916" i="11"/>
  <c r="AH1916" i="11"/>
  <c r="G1916" i="11"/>
  <c r="AF1916" i="11"/>
  <c r="AI1916" i="11"/>
  <c r="P1916" i="11"/>
  <c r="O1916" i="11"/>
  <c r="F1916" i="11"/>
  <c r="E1916" i="11"/>
  <c r="C1916" i="11"/>
  <c r="B1916" i="11"/>
  <c r="A1916" i="11"/>
  <c r="D1915" i="11"/>
  <c r="AG1915" i="11"/>
  <c r="AH1915" i="11"/>
  <c r="G1915" i="11"/>
  <c r="AF1915" i="11"/>
  <c r="AI1915" i="11"/>
  <c r="P1915" i="11"/>
  <c r="O1915" i="11"/>
  <c r="F1915" i="11"/>
  <c r="E1915" i="11"/>
  <c r="C1915" i="11"/>
  <c r="B1915" i="11"/>
  <c r="A1915" i="11"/>
  <c r="D1914" i="11"/>
  <c r="AG1914" i="11"/>
  <c r="AH1914" i="11"/>
  <c r="G1914" i="11"/>
  <c r="AF1914" i="11"/>
  <c r="AI1914" i="11"/>
  <c r="P1914" i="11"/>
  <c r="O1914" i="11"/>
  <c r="F1914" i="11"/>
  <c r="E1914" i="11"/>
  <c r="C1914" i="11"/>
  <c r="B1914" i="11"/>
  <c r="A1914" i="11"/>
  <c r="D1913" i="11"/>
  <c r="AG1913" i="11"/>
  <c r="AH1913" i="11"/>
  <c r="G1913" i="11"/>
  <c r="AF1913" i="11"/>
  <c r="AI1913" i="11"/>
  <c r="P1913" i="11"/>
  <c r="O1913" i="11"/>
  <c r="F1913" i="11"/>
  <c r="E1913" i="11"/>
  <c r="C1913" i="11"/>
  <c r="B1913" i="11"/>
  <c r="A1913" i="11"/>
  <c r="D1912" i="11"/>
  <c r="AG1912" i="11"/>
  <c r="AH1912" i="11"/>
  <c r="G1912" i="11"/>
  <c r="AF1912" i="11"/>
  <c r="AI1912" i="11"/>
  <c r="P1912" i="11"/>
  <c r="O1912" i="11"/>
  <c r="F1912" i="11"/>
  <c r="E1912" i="11"/>
  <c r="C1912" i="11"/>
  <c r="B1912" i="11"/>
  <c r="A1912" i="11"/>
  <c r="D1911" i="11"/>
  <c r="AG1911" i="11"/>
  <c r="AH1911" i="11"/>
  <c r="G1911" i="11"/>
  <c r="AF1911" i="11"/>
  <c r="AI1911" i="11"/>
  <c r="P1911" i="11"/>
  <c r="O1911" i="11"/>
  <c r="F1911" i="11"/>
  <c r="E1911" i="11"/>
  <c r="C1911" i="11"/>
  <c r="B1911" i="11"/>
  <c r="A1911" i="11"/>
  <c r="D1910" i="11"/>
  <c r="AG1910" i="11"/>
  <c r="AH1910" i="11"/>
  <c r="G1910" i="11"/>
  <c r="AF1910" i="11"/>
  <c r="AI1910" i="11"/>
  <c r="P1910" i="11"/>
  <c r="O1910" i="11"/>
  <c r="F1910" i="11"/>
  <c r="E1910" i="11"/>
  <c r="C1910" i="11"/>
  <c r="B1910" i="11"/>
  <c r="A1910" i="11"/>
  <c r="D1909" i="11"/>
  <c r="AG1909" i="11"/>
  <c r="AH1909" i="11"/>
  <c r="G1909" i="11"/>
  <c r="AF1909" i="11"/>
  <c r="AI1909" i="11"/>
  <c r="P1909" i="11"/>
  <c r="O1909" i="11"/>
  <c r="F1909" i="11"/>
  <c r="E1909" i="11"/>
  <c r="C1909" i="11"/>
  <c r="B1909" i="11"/>
  <c r="A1909" i="11"/>
  <c r="D1908" i="11"/>
  <c r="AG1908" i="11"/>
  <c r="AH1908" i="11"/>
  <c r="G1908" i="11"/>
  <c r="AF1908" i="11"/>
  <c r="AI1908" i="11"/>
  <c r="P1908" i="11"/>
  <c r="O1908" i="11"/>
  <c r="F1908" i="11"/>
  <c r="E1908" i="11"/>
  <c r="C1908" i="11"/>
  <c r="B1908" i="11"/>
  <c r="A1908" i="11"/>
  <c r="D1907" i="11"/>
  <c r="AG1907" i="11"/>
  <c r="AH1907" i="11"/>
  <c r="G1907" i="11"/>
  <c r="AF1907" i="11"/>
  <c r="AI1907" i="11"/>
  <c r="P1907" i="11"/>
  <c r="O1907" i="11"/>
  <c r="F1907" i="11"/>
  <c r="E1907" i="11"/>
  <c r="C1907" i="11"/>
  <c r="B1907" i="11"/>
  <c r="A1907" i="11"/>
  <c r="D1906" i="11"/>
  <c r="AG1906" i="11"/>
  <c r="AH1906" i="11"/>
  <c r="G1906" i="11"/>
  <c r="AF1906" i="11"/>
  <c r="AI1906" i="11"/>
  <c r="P1906" i="11"/>
  <c r="O1906" i="11"/>
  <c r="F1906" i="11"/>
  <c r="E1906" i="11"/>
  <c r="C1906" i="11"/>
  <c r="B1906" i="11"/>
  <c r="A1906" i="11"/>
  <c r="D1905" i="11"/>
  <c r="AG1905" i="11"/>
  <c r="AH1905" i="11"/>
  <c r="G1905" i="11"/>
  <c r="AF1905" i="11"/>
  <c r="AI1905" i="11"/>
  <c r="P1905" i="11"/>
  <c r="O1905" i="11"/>
  <c r="F1905" i="11"/>
  <c r="E1905" i="11"/>
  <c r="C1905" i="11"/>
  <c r="B1905" i="11"/>
  <c r="A1905" i="11"/>
  <c r="D1904" i="11"/>
  <c r="AG1904" i="11"/>
  <c r="AH1904" i="11"/>
  <c r="G1904" i="11"/>
  <c r="AF1904" i="11"/>
  <c r="AI1904" i="11"/>
  <c r="P1904" i="11"/>
  <c r="O1904" i="11"/>
  <c r="F1904" i="11"/>
  <c r="E1904" i="11"/>
  <c r="C1904" i="11"/>
  <c r="B1904" i="11"/>
  <c r="A1904" i="11"/>
  <c r="D1903" i="11"/>
  <c r="AG1903" i="11"/>
  <c r="AH1903" i="11"/>
  <c r="G1903" i="11"/>
  <c r="AF1903" i="11"/>
  <c r="AI1903" i="11"/>
  <c r="P1903" i="11"/>
  <c r="O1903" i="11"/>
  <c r="F1903" i="11"/>
  <c r="E1903" i="11"/>
  <c r="C1903" i="11"/>
  <c r="B1903" i="11"/>
  <c r="A1903" i="11"/>
  <c r="D1902" i="11"/>
  <c r="AG1902" i="11"/>
  <c r="AH1902" i="11"/>
  <c r="G1902" i="11"/>
  <c r="AF1902" i="11"/>
  <c r="AI1902" i="11"/>
  <c r="P1902" i="11"/>
  <c r="O1902" i="11"/>
  <c r="F1902" i="11"/>
  <c r="E1902" i="11"/>
  <c r="C1902" i="11"/>
  <c r="B1902" i="11"/>
  <c r="A1902" i="11"/>
  <c r="D1901" i="11"/>
  <c r="AG1901" i="11"/>
  <c r="AH1901" i="11"/>
  <c r="G1901" i="11"/>
  <c r="AF1901" i="11"/>
  <c r="AI1901" i="11"/>
  <c r="P1901" i="11"/>
  <c r="O1901" i="11"/>
  <c r="F1901" i="11"/>
  <c r="E1901" i="11"/>
  <c r="C1901" i="11"/>
  <c r="B1901" i="11"/>
  <c r="A1901" i="11"/>
  <c r="D1900" i="11"/>
  <c r="AG1900" i="11"/>
  <c r="AH1900" i="11"/>
  <c r="G1900" i="11"/>
  <c r="AF1900" i="11"/>
  <c r="AI1900" i="11"/>
  <c r="P1900" i="11"/>
  <c r="O1900" i="11"/>
  <c r="F1900" i="11"/>
  <c r="E1900" i="11"/>
  <c r="C1900" i="11"/>
  <c r="B1900" i="11"/>
  <c r="A1900" i="11"/>
  <c r="D1899" i="11"/>
  <c r="AG1899" i="11"/>
  <c r="AH1899" i="11"/>
  <c r="G1899" i="11"/>
  <c r="AF1899" i="11"/>
  <c r="AI1899" i="11"/>
  <c r="P1899" i="11"/>
  <c r="O1899" i="11"/>
  <c r="F1899" i="11"/>
  <c r="E1899" i="11"/>
  <c r="C1899" i="11"/>
  <c r="B1899" i="11"/>
  <c r="A1899" i="11"/>
  <c r="D1898" i="11"/>
  <c r="AG1898" i="11"/>
  <c r="AH1898" i="11"/>
  <c r="G1898" i="11"/>
  <c r="AF1898" i="11"/>
  <c r="AI1898" i="11"/>
  <c r="P1898" i="11"/>
  <c r="O1898" i="11"/>
  <c r="F1898" i="11"/>
  <c r="E1898" i="11"/>
  <c r="C1898" i="11"/>
  <c r="B1898" i="11"/>
  <c r="A1898" i="11"/>
  <c r="D1897" i="11"/>
  <c r="AG1897" i="11"/>
  <c r="AH1897" i="11"/>
  <c r="G1897" i="11"/>
  <c r="AF1897" i="11"/>
  <c r="AI1897" i="11"/>
  <c r="P1897" i="11"/>
  <c r="O1897" i="11"/>
  <c r="F1897" i="11"/>
  <c r="E1897" i="11"/>
  <c r="C1897" i="11"/>
  <c r="B1897" i="11"/>
  <c r="A1897" i="11"/>
  <c r="D1896" i="11"/>
  <c r="AG1896" i="11"/>
  <c r="AH1896" i="11"/>
  <c r="G1896" i="11"/>
  <c r="AF1896" i="11"/>
  <c r="AI1896" i="11"/>
  <c r="P1896" i="11"/>
  <c r="O1896" i="11"/>
  <c r="F1896" i="11"/>
  <c r="E1896" i="11"/>
  <c r="C1896" i="11"/>
  <c r="B1896" i="11"/>
  <c r="A1896" i="11"/>
  <c r="D1895" i="11"/>
  <c r="AG1895" i="11"/>
  <c r="AH1895" i="11"/>
  <c r="G1895" i="11"/>
  <c r="AF1895" i="11"/>
  <c r="AI1895" i="11"/>
  <c r="P1895" i="11"/>
  <c r="O1895" i="11"/>
  <c r="F1895" i="11"/>
  <c r="E1895" i="11"/>
  <c r="C1895" i="11"/>
  <c r="B1895" i="11"/>
  <c r="A1895" i="11"/>
  <c r="D1894" i="11"/>
  <c r="AG1894" i="11"/>
  <c r="AH1894" i="11"/>
  <c r="G1894" i="11"/>
  <c r="AF1894" i="11"/>
  <c r="AI1894" i="11"/>
  <c r="P1894" i="11"/>
  <c r="O1894" i="11"/>
  <c r="F1894" i="11"/>
  <c r="E1894" i="11"/>
  <c r="C1894" i="11"/>
  <c r="B1894" i="11"/>
  <c r="A1894" i="11"/>
  <c r="D1893" i="11"/>
  <c r="AG1893" i="11"/>
  <c r="AH1893" i="11"/>
  <c r="G1893" i="11"/>
  <c r="AF1893" i="11"/>
  <c r="AI1893" i="11"/>
  <c r="P1893" i="11"/>
  <c r="O1893" i="11"/>
  <c r="F1893" i="11"/>
  <c r="E1893" i="11"/>
  <c r="C1893" i="11"/>
  <c r="B1893" i="11"/>
  <c r="A1893" i="11"/>
  <c r="D1892" i="11"/>
  <c r="AG1892" i="11"/>
  <c r="AH1892" i="11"/>
  <c r="G1892" i="11"/>
  <c r="AF1892" i="11"/>
  <c r="AI1892" i="11"/>
  <c r="P1892" i="11"/>
  <c r="O1892" i="11"/>
  <c r="F1892" i="11"/>
  <c r="E1892" i="11"/>
  <c r="C1892" i="11"/>
  <c r="B1892" i="11"/>
  <c r="A1892" i="11"/>
  <c r="D1891" i="11"/>
  <c r="AG1891" i="11"/>
  <c r="AH1891" i="11"/>
  <c r="G1891" i="11"/>
  <c r="AF1891" i="11"/>
  <c r="AI1891" i="11"/>
  <c r="P1891" i="11"/>
  <c r="O1891" i="11"/>
  <c r="F1891" i="11"/>
  <c r="E1891" i="11"/>
  <c r="C1891" i="11"/>
  <c r="B1891" i="11"/>
  <c r="A1891" i="11"/>
  <c r="D1890" i="11"/>
  <c r="AG1890" i="11"/>
  <c r="AH1890" i="11"/>
  <c r="G1890" i="11"/>
  <c r="AF1890" i="11"/>
  <c r="AI1890" i="11"/>
  <c r="P1890" i="11"/>
  <c r="O1890" i="11"/>
  <c r="F1890" i="11"/>
  <c r="E1890" i="11"/>
  <c r="C1890" i="11"/>
  <c r="B1890" i="11"/>
  <c r="A1890" i="11"/>
  <c r="D1889" i="11"/>
  <c r="AG1889" i="11"/>
  <c r="AH1889" i="11"/>
  <c r="G1889" i="11"/>
  <c r="AF1889" i="11"/>
  <c r="AI1889" i="11"/>
  <c r="P1889" i="11"/>
  <c r="O1889" i="11"/>
  <c r="F1889" i="11"/>
  <c r="E1889" i="11"/>
  <c r="C1889" i="11"/>
  <c r="B1889" i="11"/>
  <c r="A1889" i="11"/>
  <c r="D1888" i="11"/>
  <c r="AG1888" i="11"/>
  <c r="AH1888" i="11"/>
  <c r="G1888" i="11"/>
  <c r="AF1888" i="11"/>
  <c r="AI1888" i="11"/>
  <c r="P1888" i="11"/>
  <c r="O1888" i="11"/>
  <c r="F1888" i="11"/>
  <c r="E1888" i="11"/>
  <c r="C1888" i="11"/>
  <c r="B1888" i="11"/>
  <c r="A1888" i="11"/>
  <c r="D1887" i="11"/>
  <c r="AG1887" i="11"/>
  <c r="AH1887" i="11"/>
  <c r="G1887" i="11"/>
  <c r="AF1887" i="11"/>
  <c r="AI1887" i="11"/>
  <c r="P1887" i="11"/>
  <c r="O1887" i="11"/>
  <c r="F1887" i="11"/>
  <c r="E1887" i="11"/>
  <c r="C1887" i="11"/>
  <c r="B1887" i="11"/>
  <c r="A1887" i="11"/>
  <c r="D1886" i="11"/>
  <c r="AG1886" i="11"/>
  <c r="AH1886" i="11"/>
  <c r="G1886" i="11"/>
  <c r="AF1886" i="11"/>
  <c r="AI1886" i="11"/>
  <c r="P1886" i="11"/>
  <c r="O1886" i="11"/>
  <c r="F1886" i="11"/>
  <c r="E1886" i="11"/>
  <c r="C1886" i="11"/>
  <c r="B1886" i="11"/>
  <c r="A1886" i="11"/>
  <c r="D1885" i="11"/>
  <c r="AG1885" i="11"/>
  <c r="AH1885" i="11"/>
  <c r="G1885" i="11"/>
  <c r="AF1885" i="11"/>
  <c r="AI1885" i="11"/>
  <c r="P1885" i="11"/>
  <c r="O1885" i="11"/>
  <c r="F1885" i="11"/>
  <c r="E1885" i="11"/>
  <c r="C1885" i="11"/>
  <c r="B1885" i="11"/>
  <c r="A1885" i="11"/>
  <c r="D1884" i="11"/>
  <c r="AG1884" i="11"/>
  <c r="AH1884" i="11"/>
  <c r="G1884" i="11"/>
  <c r="AF1884" i="11"/>
  <c r="AI1884" i="11"/>
  <c r="P1884" i="11"/>
  <c r="O1884" i="11"/>
  <c r="F1884" i="11"/>
  <c r="E1884" i="11"/>
  <c r="C1884" i="11"/>
  <c r="B1884" i="11"/>
  <c r="A1884" i="11"/>
  <c r="D1883" i="11"/>
  <c r="AG1883" i="11"/>
  <c r="AH1883" i="11"/>
  <c r="G1883" i="11"/>
  <c r="AF1883" i="11"/>
  <c r="AI1883" i="11"/>
  <c r="P1883" i="11"/>
  <c r="O1883" i="11"/>
  <c r="F1883" i="11"/>
  <c r="E1883" i="11"/>
  <c r="C1883" i="11"/>
  <c r="B1883" i="11"/>
  <c r="A1883" i="11"/>
  <c r="D1882" i="11"/>
  <c r="AG1882" i="11"/>
  <c r="AH1882" i="11"/>
  <c r="G1882" i="11"/>
  <c r="AF1882" i="11"/>
  <c r="AI1882" i="11"/>
  <c r="P1882" i="11"/>
  <c r="O1882" i="11"/>
  <c r="F1882" i="11"/>
  <c r="E1882" i="11"/>
  <c r="C1882" i="11"/>
  <c r="B1882" i="11"/>
  <c r="A1882" i="11"/>
  <c r="D1881" i="11"/>
  <c r="AG1881" i="11"/>
  <c r="AH1881" i="11"/>
  <c r="G1881" i="11"/>
  <c r="AF1881" i="11"/>
  <c r="AI1881" i="11"/>
  <c r="P1881" i="11"/>
  <c r="O1881" i="11"/>
  <c r="F1881" i="11"/>
  <c r="E1881" i="11"/>
  <c r="C1881" i="11"/>
  <c r="B1881" i="11"/>
  <c r="A1881" i="11"/>
  <c r="D1880" i="11"/>
  <c r="AG1880" i="11"/>
  <c r="AH1880" i="11"/>
  <c r="G1880" i="11"/>
  <c r="AF1880" i="11"/>
  <c r="AI1880" i="11"/>
  <c r="P1880" i="11"/>
  <c r="O1880" i="11"/>
  <c r="F1880" i="11"/>
  <c r="E1880" i="11"/>
  <c r="C1880" i="11"/>
  <c r="B1880" i="11"/>
  <c r="A1880" i="11"/>
  <c r="D1879" i="11"/>
  <c r="AG1879" i="11"/>
  <c r="AH1879" i="11"/>
  <c r="G1879" i="11"/>
  <c r="AF1879" i="11"/>
  <c r="AI1879" i="11"/>
  <c r="P1879" i="11"/>
  <c r="O1879" i="11"/>
  <c r="F1879" i="11"/>
  <c r="E1879" i="11"/>
  <c r="C1879" i="11"/>
  <c r="B1879" i="11"/>
  <c r="A1879" i="11"/>
  <c r="D1878" i="11"/>
  <c r="AG1878" i="11"/>
  <c r="AH1878" i="11"/>
  <c r="G1878" i="11"/>
  <c r="AF1878" i="11"/>
  <c r="AI1878" i="11"/>
  <c r="P1878" i="11"/>
  <c r="O1878" i="11"/>
  <c r="F1878" i="11"/>
  <c r="E1878" i="11"/>
  <c r="C1878" i="11"/>
  <c r="B1878" i="11"/>
  <c r="A1878" i="11"/>
  <c r="D1877" i="11"/>
  <c r="AG1877" i="11"/>
  <c r="AH1877" i="11"/>
  <c r="G1877" i="11"/>
  <c r="AF1877" i="11"/>
  <c r="AI1877" i="11"/>
  <c r="P1877" i="11"/>
  <c r="O1877" i="11"/>
  <c r="F1877" i="11"/>
  <c r="E1877" i="11"/>
  <c r="C1877" i="11"/>
  <c r="B1877" i="11"/>
  <c r="A1877" i="11"/>
  <c r="D1876" i="11"/>
  <c r="AG1876" i="11"/>
  <c r="AH1876" i="11"/>
  <c r="G1876" i="11"/>
  <c r="AF1876" i="11"/>
  <c r="AI1876" i="11"/>
  <c r="P1876" i="11"/>
  <c r="O1876" i="11"/>
  <c r="F1876" i="11"/>
  <c r="E1876" i="11"/>
  <c r="C1876" i="11"/>
  <c r="B1876" i="11"/>
  <c r="A1876" i="11"/>
  <c r="D1875" i="11"/>
  <c r="AG1875" i="11"/>
  <c r="AH1875" i="11"/>
  <c r="G1875" i="11"/>
  <c r="AF1875" i="11"/>
  <c r="AI1875" i="11"/>
  <c r="P1875" i="11"/>
  <c r="O1875" i="11"/>
  <c r="F1875" i="11"/>
  <c r="E1875" i="11"/>
  <c r="C1875" i="11"/>
  <c r="B1875" i="11"/>
  <c r="A1875" i="11"/>
  <c r="D1874" i="11"/>
  <c r="AG1874" i="11"/>
  <c r="AH1874" i="11"/>
  <c r="G1874" i="11"/>
  <c r="AF1874" i="11"/>
  <c r="AI1874" i="11"/>
  <c r="P1874" i="11"/>
  <c r="O1874" i="11"/>
  <c r="F1874" i="11"/>
  <c r="E1874" i="11"/>
  <c r="C1874" i="11"/>
  <c r="B1874" i="11"/>
  <c r="A1874" i="11"/>
  <c r="D1873" i="11"/>
  <c r="AG1873" i="11"/>
  <c r="AH1873" i="11"/>
  <c r="G1873" i="11"/>
  <c r="AF1873" i="11"/>
  <c r="AI1873" i="11"/>
  <c r="P1873" i="11"/>
  <c r="O1873" i="11"/>
  <c r="F1873" i="11"/>
  <c r="E1873" i="11"/>
  <c r="C1873" i="11"/>
  <c r="B1873" i="11"/>
  <c r="A1873" i="11"/>
  <c r="D1872" i="11"/>
  <c r="AG1872" i="11"/>
  <c r="AH1872" i="11"/>
  <c r="G1872" i="11"/>
  <c r="AF1872" i="11"/>
  <c r="AI1872" i="11"/>
  <c r="P1872" i="11"/>
  <c r="O1872" i="11"/>
  <c r="F1872" i="11"/>
  <c r="E1872" i="11"/>
  <c r="C1872" i="11"/>
  <c r="B1872" i="11"/>
  <c r="A1872" i="11"/>
  <c r="D1871" i="11"/>
  <c r="AG1871" i="11"/>
  <c r="AH1871" i="11"/>
  <c r="G1871" i="11"/>
  <c r="AF1871" i="11"/>
  <c r="AI1871" i="11"/>
  <c r="P1871" i="11"/>
  <c r="O1871" i="11"/>
  <c r="F1871" i="11"/>
  <c r="E1871" i="11"/>
  <c r="C1871" i="11"/>
  <c r="B1871" i="11"/>
  <c r="A1871" i="11"/>
  <c r="D1870" i="11"/>
  <c r="AG1870" i="11"/>
  <c r="AH1870" i="11"/>
  <c r="G1870" i="11"/>
  <c r="AF1870" i="11"/>
  <c r="AI1870" i="11"/>
  <c r="P1870" i="11"/>
  <c r="O1870" i="11"/>
  <c r="F1870" i="11"/>
  <c r="E1870" i="11"/>
  <c r="C1870" i="11"/>
  <c r="B1870" i="11"/>
  <c r="A1870" i="11"/>
  <c r="D1869" i="11"/>
  <c r="AG1869" i="11"/>
  <c r="AH1869" i="11"/>
  <c r="G1869" i="11"/>
  <c r="AF1869" i="11"/>
  <c r="AI1869" i="11"/>
  <c r="P1869" i="11"/>
  <c r="O1869" i="11"/>
  <c r="F1869" i="11"/>
  <c r="E1869" i="11"/>
  <c r="C1869" i="11"/>
  <c r="B1869" i="11"/>
  <c r="A1869" i="11"/>
  <c r="D1868" i="11"/>
  <c r="AG1868" i="11"/>
  <c r="AH1868" i="11"/>
  <c r="G1868" i="11"/>
  <c r="AF1868" i="11"/>
  <c r="AI1868" i="11"/>
  <c r="P1868" i="11"/>
  <c r="O1868" i="11"/>
  <c r="F1868" i="11"/>
  <c r="E1868" i="11"/>
  <c r="C1868" i="11"/>
  <c r="B1868" i="11"/>
  <c r="A1868" i="11"/>
  <c r="D1867" i="11"/>
  <c r="AG1867" i="11"/>
  <c r="AH1867" i="11"/>
  <c r="G1867" i="11"/>
  <c r="AF1867" i="11"/>
  <c r="AI1867" i="11"/>
  <c r="P1867" i="11"/>
  <c r="O1867" i="11"/>
  <c r="F1867" i="11"/>
  <c r="E1867" i="11"/>
  <c r="C1867" i="11"/>
  <c r="B1867" i="11"/>
  <c r="A1867" i="11"/>
  <c r="D1866" i="11"/>
  <c r="AG1866" i="11"/>
  <c r="AH1866" i="11"/>
  <c r="G1866" i="11"/>
  <c r="AF1866" i="11"/>
  <c r="AI1866" i="11"/>
  <c r="P1866" i="11"/>
  <c r="O1866" i="11"/>
  <c r="F1866" i="11"/>
  <c r="E1866" i="11"/>
  <c r="C1866" i="11"/>
  <c r="B1866" i="11"/>
  <c r="A1866" i="11"/>
  <c r="D1865" i="11"/>
  <c r="AG1865" i="11"/>
  <c r="AH1865" i="11"/>
  <c r="G1865" i="11"/>
  <c r="AF1865" i="11"/>
  <c r="AI1865" i="11"/>
  <c r="P1865" i="11"/>
  <c r="O1865" i="11"/>
  <c r="F1865" i="11"/>
  <c r="E1865" i="11"/>
  <c r="C1865" i="11"/>
  <c r="B1865" i="11"/>
  <c r="A1865" i="11"/>
  <c r="D1864" i="11"/>
  <c r="AG1864" i="11"/>
  <c r="AH1864" i="11"/>
  <c r="G1864" i="11"/>
  <c r="AF1864" i="11"/>
  <c r="AI1864" i="11"/>
  <c r="P1864" i="11"/>
  <c r="O1864" i="11"/>
  <c r="F1864" i="11"/>
  <c r="E1864" i="11"/>
  <c r="C1864" i="11"/>
  <c r="B1864" i="11"/>
  <c r="A1864" i="11"/>
  <c r="D1863" i="11"/>
  <c r="AG1863" i="11"/>
  <c r="AH1863" i="11"/>
  <c r="G1863" i="11"/>
  <c r="AF1863" i="11"/>
  <c r="AI1863" i="11"/>
  <c r="P1863" i="11"/>
  <c r="O1863" i="11"/>
  <c r="F1863" i="11"/>
  <c r="E1863" i="11"/>
  <c r="C1863" i="11"/>
  <c r="B1863" i="11"/>
  <c r="A1863" i="11"/>
  <c r="D1862" i="11"/>
  <c r="AG1862" i="11"/>
  <c r="AH1862" i="11"/>
  <c r="G1862" i="11"/>
  <c r="AF1862" i="11"/>
  <c r="AI1862" i="11"/>
  <c r="P1862" i="11"/>
  <c r="O1862" i="11"/>
  <c r="F1862" i="11"/>
  <c r="E1862" i="11"/>
  <c r="C1862" i="11"/>
  <c r="B1862" i="11"/>
  <c r="A1862" i="11"/>
  <c r="D1861" i="11"/>
  <c r="AG1861" i="11"/>
  <c r="AH1861" i="11"/>
  <c r="G1861" i="11"/>
  <c r="AF1861" i="11"/>
  <c r="AI1861" i="11"/>
  <c r="P1861" i="11"/>
  <c r="O1861" i="11"/>
  <c r="F1861" i="11"/>
  <c r="E1861" i="11"/>
  <c r="C1861" i="11"/>
  <c r="B1861" i="11"/>
  <c r="A1861" i="11"/>
  <c r="D1860" i="11"/>
  <c r="AG1860" i="11"/>
  <c r="AH1860" i="11"/>
  <c r="G1860" i="11"/>
  <c r="AF1860" i="11"/>
  <c r="AI1860" i="11"/>
  <c r="P1860" i="11"/>
  <c r="O1860" i="11"/>
  <c r="F1860" i="11"/>
  <c r="E1860" i="11"/>
  <c r="C1860" i="11"/>
  <c r="B1860" i="11"/>
  <c r="A1860" i="11"/>
  <c r="D1859" i="11"/>
  <c r="AG1859" i="11"/>
  <c r="AH1859" i="11"/>
  <c r="G1859" i="11"/>
  <c r="AF1859" i="11"/>
  <c r="AI1859" i="11"/>
  <c r="P1859" i="11"/>
  <c r="O1859" i="11"/>
  <c r="F1859" i="11"/>
  <c r="E1859" i="11"/>
  <c r="C1859" i="11"/>
  <c r="B1859" i="11"/>
  <c r="A1859" i="11"/>
  <c r="D1858" i="11"/>
  <c r="AG1858" i="11"/>
  <c r="AH1858" i="11"/>
  <c r="G1858" i="11"/>
  <c r="AF1858" i="11"/>
  <c r="AI1858" i="11"/>
  <c r="P1858" i="11"/>
  <c r="O1858" i="11"/>
  <c r="F1858" i="11"/>
  <c r="E1858" i="11"/>
  <c r="C1858" i="11"/>
  <c r="B1858" i="11"/>
  <c r="A1858" i="11"/>
  <c r="D1857" i="11"/>
  <c r="AG1857" i="11"/>
  <c r="AH1857" i="11"/>
  <c r="G1857" i="11"/>
  <c r="AF1857" i="11"/>
  <c r="AI1857" i="11"/>
  <c r="P1857" i="11"/>
  <c r="O1857" i="11"/>
  <c r="F1857" i="11"/>
  <c r="E1857" i="11"/>
  <c r="C1857" i="11"/>
  <c r="B1857" i="11"/>
  <c r="A1857" i="11"/>
  <c r="D1856" i="11"/>
  <c r="AG1856" i="11"/>
  <c r="AH1856" i="11"/>
  <c r="G1856" i="11"/>
  <c r="AF1856" i="11"/>
  <c r="AI1856" i="11"/>
  <c r="P1856" i="11"/>
  <c r="O1856" i="11"/>
  <c r="F1856" i="11"/>
  <c r="E1856" i="11"/>
  <c r="C1856" i="11"/>
  <c r="B1856" i="11"/>
  <c r="A1856" i="11"/>
  <c r="D1855" i="11"/>
  <c r="AG1855" i="11"/>
  <c r="AH1855" i="11"/>
  <c r="G1855" i="11"/>
  <c r="AF1855" i="11"/>
  <c r="AI1855" i="11"/>
  <c r="P1855" i="11"/>
  <c r="O1855" i="11"/>
  <c r="F1855" i="11"/>
  <c r="E1855" i="11"/>
  <c r="C1855" i="11"/>
  <c r="B1855" i="11"/>
  <c r="A1855" i="11"/>
  <c r="D1854" i="11"/>
  <c r="AG1854" i="11"/>
  <c r="AH1854" i="11"/>
  <c r="G1854" i="11"/>
  <c r="AF1854" i="11"/>
  <c r="AI1854" i="11"/>
  <c r="P1854" i="11"/>
  <c r="O1854" i="11"/>
  <c r="F1854" i="11"/>
  <c r="E1854" i="11"/>
  <c r="C1854" i="11"/>
  <c r="B1854" i="11"/>
  <c r="A1854" i="11"/>
  <c r="D1853" i="11"/>
  <c r="AG1853" i="11"/>
  <c r="AH1853" i="11"/>
  <c r="G1853" i="11"/>
  <c r="AF1853" i="11"/>
  <c r="AI1853" i="11"/>
  <c r="P1853" i="11"/>
  <c r="O1853" i="11"/>
  <c r="F1853" i="11"/>
  <c r="E1853" i="11"/>
  <c r="C1853" i="11"/>
  <c r="B1853" i="11"/>
  <c r="A1853" i="11"/>
  <c r="D1852" i="11"/>
  <c r="AG1852" i="11"/>
  <c r="AH1852" i="11"/>
  <c r="G1852" i="11"/>
  <c r="AF1852" i="11"/>
  <c r="AI1852" i="11"/>
  <c r="P1852" i="11"/>
  <c r="O1852" i="11"/>
  <c r="F1852" i="11"/>
  <c r="E1852" i="11"/>
  <c r="C1852" i="11"/>
  <c r="B1852" i="11"/>
  <c r="A1852" i="11"/>
  <c r="D1851" i="11"/>
  <c r="AG1851" i="11"/>
  <c r="AH1851" i="11"/>
  <c r="G1851" i="11"/>
  <c r="AF1851" i="11"/>
  <c r="AI1851" i="11"/>
  <c r="P1851" i="11"/>
  <c r="O1851" i="11"/>
  <c r="F1851" i="11"/>
  <c r="E1851" i="11"/>
  <c r="C1851" i="11"/>
  <c r="B1851" i="11"/>
  <c r="A1851" i="11"/>
  <c r="D1850" i="11"/>
  <c r="AG1850" i="11"/>
  <c r="AH1850" i="11"/>
  <c r="G1850" i="11"/>
  <c r="AF1850" i="11"/>
  <c r="AI1850" i="11"/>
  <c r="P1850" i="11"/>
  <c r="O1850" i="11"/>
  <c r="F1850" i="11"/>
  <c r="E1850" i="11"/>
  <c r="C1850" i="11"/>
  <c r="B1850" i="11"/>
  <c r="A1850" i="11"/>
  <c r="D1849" i="11"/>
  <c r="AG1849" i="11"/>
  <c r="AH1849" i="11"/>
  <c r="G1849" i="11"/>
  <c r="AF1849" i="11"/>
  <c r="AI1849" i="11"/>
  <c r="P1849" i="11"/>
  <c r="O1849" i="11"/>
  <c r="F1849" i="11"/>
  <c r="E1849" i="11"/>
  <c r="C1849" i="11"/>
  <c r="B1849" i="11"/>
  <c r="A1849" i="11"/>
  <c r="D1848" i="11"/>
  <c r="AG1848" i="11"/>
  <c r="AH1848" i="11"/>
  <c r="G1848" i="11"/>
  <c r="AF1848" i="11"/>
  <c r="AI1848" i="11"/>
  <c r="P1848" i="11"/>
  <c r="O1848" i="11"/>
  <c r="F1848" i="11"/>
  <c r="E1848" i="11"/>
  <c r="C1848" i="11"/>
  <c r="B1848" i="11"/>
  <c r="A1848" i="11"/>
  <c r="D1847" i="11"/>
  <c r="AG1847" i="11"/>
  <c r="AH1847" i="11"/>
  <c r="G1847" i="11"/>
  <c r="AF1847" i="11"/>
  <c r="AI1847" i="11"/>
  <c r="P1847" i="11"/>
  <c r="O1847" i="11"/>
  <c r="F1847" i="11"/>
  <c r="E1847" i="11"/>
  <c r="C1847" i="11"/>
  <c r="B1847" i="11"/>
  <c r="A1847" i="11"/>
  <c r="D1846" i="11"/>
  <c r="AG1846" i="11"/>
  <c r="AH1846" i="11"/>
  <c r="G1846" i="11"/>
  <c r="AF1846" i="11"/>
  <c r="AI1846" i="11"/>
  <c r="P1846" i="11"/>
  <c r="O1846" i="11"/>
  <c r="F1846" i="11"/>
  <c r="E1846" i="11"/>
  <c r="C1846" i="11"/>
  <c r="B1846" i="11"/>
  <c r="A1846" i="11"/>
  <c r="D1845" i="11"/>
  <c r="AG1845" i="11"/>
  <c r="AH1845" i="11"/>
  <c r="G1845" i="11"/>
  <c r="AF1845" i="11"/>
  <c r="AI1845" i="11"/>
  <c r="P1845" i="11"/>
  <c r="O1845" i="11"/>
  <c r="F1845" i="11"/>
  <c r="E1845" i="11"/>
  <c r="C1845" i="11"/>
  <c r="B1845" i="11"/>
  <c r="A1845" i="11"/>
  <c r="D1844" i="11"/>
  <c r="AG1844" i="11"/>
  <c r="AH1844" i="11"/>
  <c r="G1844" i="11"/>
  <c r="AF1844" i="11"/>
  <c r="AI1844" i="11"/>
  <c r="P1844" i="11"/>
  <c r="O1844" i="11"/>
  <c r="F1844" i="11"/>
  <c r="E1844" i="11"/>
  <c r="C1844" i="11"/>
  <c r="B1844" i="11"/>
  <c r="A1844" i="11"/>
  <c r="D1843" i="11"/>
  <c r="AG1843" i="11"/>
  <c r="AH1843" i="11"/>
  <c r="G1843" i="11"/>
  <c r="AF1843" i="11"/>
  <c r="AI1843" i="11"/>
  <c r="P1843" i="11"/>
  <c r="O1843" i="11"/>
  <c r="F1843" i="11"/>
  <c r="E1843" i="11"/>
  <c r="C1843" i="11"/>
  <c r="B1843" i="11"/>
  <c r="A1843" i="11"/>
  <c r="D1842" i="11"/>
  <c r="AG1842" i="11"/>
  <c r="AH1842" i="11"/>
  <c r="G1842" i="11"/>
  <c r="AF1842" i="11"/>
  <c r="AI1842" i="11"/>
  <c r="P1842" i="11"/>
  <c r="O1842" i="11"/>
  <c r="F1842" i="11"/>
  <c r="E1842" i="11"/>
  <c r="C1842" i="11"/>
  <c r="B1842" i="11"/>
  <c r="A1842" i="11"/>
  <c r="D1841" i="11"/>
  <c r="AG1841" i="11"/>
  <c r="AH1841" i="11"/>
  <c r="G1841" i="11"/>
  <c r="AF1841" i="11"/>
  <c r="AI1841" i="11"/>
  <c r="P1841" i="11"/>
  <c r="O1841" i="11"/>
  <c r="F1841" i="11"/>
  <c r="E1841" i="11"/>
  <c r="C1841" i="11"/>
  <c r="B1841" i="11"/>
  <c r="A1841" i="11"/>
  <c r="D1840" i="11"/>
  <c r="AG1840" i="11"/>
  <c r="AH1840" i="11"/>
  <c r="G1840" i="11"/>
  <c r="AF1840" i="11"/>
  <c r="AI1840" i="11"/>
  <c r="P1840" i="11"/>
  <c r="O1840" i="11"/>
  <c r="F1840" i="11"/>
  <c r="E1840" i="11"/>
  <c r="C1840" i="11"/>
  <c r="B1840" i="11"/>
  <c r="A1840" i="11"/>
  <c r="D1839" i="11"/>
  <c r="AG1839" i="11"/>
  <c r="AH1839" i="11"/>
  <c r="G1839" i="11"/>
  <c r="AF1839" i="11"/>
  <c r="AI1839" i="11"/>
  <c r="P1839" i="11"/>
  <c r="O1839" i="11"/>
  <c r="F1839" i="11"/>
  <c r="E1839" i="11"/>
  <c r="C1839" i="11"/>
  <c r="B1839" i="11"/>
  <c r="A1839" i="11"/>
  <c r="D1838" i="11"/>
  <c r="AG1838" i="11"/>
  <c r="AH1838" i="11"/>
  <c r="G1838" i="11"/>
  <c r="AF1838" i="11"/>
  <c r="AI1838" i="11"/>
  <c r="P1838" i="11"/>
  <c r="O1838" i="11"/>
  <c r="F1838" i="11"/>
  <c r="E1838" i="11"/>
  <c r="C1838" i="11"/>
  <c r="B1838" i="11"/>
  <c r="A1838" i="11"/>
  <c r="D1837" i="11"/>
  <c r="AG1837" i="11"/>
  <c r="AH1837" i="11"/>
  <c r="G1837" i="11"/>
  <c r="AF1837" i="11"/>
  <c r="AI1837" i="11"/>
  <c r="P1837" i="11"/>
  <c r="O1837" i="11"/>
  <c r="F1837" i="11"/>
  <c r="E1837" i="11"/>
  <c r="C1837" i="11"/>
  <c r="B1837" i="11"/>
  <c r="A1837" i="11"/>
  <c r="D1836" i="11"/>
  <c r="AG1836" i="11"/>
  <c r="AH1836" i="11"/>
  <c r="G1836" i="11"/>
  <c r="AF1836" i="11"/>
  <c r="AI1836" i="11"/>
  <c r="P1836" i="11"/>
  <c r="O1836" i="11"/>
  <c r="F1836" i="11"/>
  <c r="E1836" i="11"/>
  <c r="C1836" i="11"/>
  <c r="B1836" i="11"/>
  <c r="A1836" i="11"/>
  <c r="D1835" i="11"/>
  <c r="AG1835" i="11"/>
  <c r="AH1835" i="11"/>
  <c r="G1835" i="11"/>
  <c r="AF1835" i="11"/>
  <c r="AI1835" i="11"/>
  <c r="P1835" i="11"/>
  <c r="O1835" i="11"/>
  <c r="F1835" i="11"/>
  <c r="E1835" i="11"/>
  <c r="C1835" i="11"/>
  <c r="B1835" i="11"/>
  <c r="A1835" i="11"/>
  <c r="D1834" i="11"/>
  <c r="AG1834" i="11"/>
  <c r="AH1834" i="11"/>
  <c r="G1834" i="11"/>
  <c r="AF1834" i="11"/>
  <c r="AI1834" i="11"/>
  <c r="P1834" i="11"/>
  <c r="O1834" i="11"/>
  <c r="F1834" i="11"/>
  <c r="E1834" i="11"/>
  <c r="C1834" i="11"/>
  <c r="B1834" i="11"/>
  <c r="A1834" i="11"/>
  <c r="D1833" i="11"/>
  <c r="AG1833" i="11"/>
  <c r="AH1833" i="11"/>
  <c r="G1833" i="11"/>
  <c r="AF1833" i="11"/>
  <c r="AI1833" i="11"/>
  <c r="P1833" i="11"/>
  <c r="O1833" i="11"/>
  <c r="F1833" i="11"/>
  <c r="E1833" i="11"/>
  <c r="C1833" i="11"/>
  <c r="B1833" i="11"/>
  <c r="A1833" i="11"/>
  <c r="D1832" i="11"/>
  <c r="AG1832" i="11"/>
  <c r="AH1832" i="11"/>
  <c r="G1832" i="11"/>
  <c r="AF1832" i="11"/>
  <c r="AI1832" i="11"/>
  <c r="P1832" i="11"/>
  <c r="O1832" i="11"/>
  <c r="F1832" i="11"/>
  <c r="E1832" i="11"/>
  <c r="C1832" i="11"/>
  <c r="B1832" i="11"/>
  <c r="A1832" i="11"/>
  <c r="D1831" i="11"/>
  <c r="AG1831" i="11"/>
  <c r="AH1831" i="11"/>
  <c r="G1831" i="11"/>
  <c r="AF1831" i="11"/>
  <c r="AI1831" i="11"/>
  <c r="P1831" i="11"/>
  <c r="O1831" i="11"/>
  <c r="F1831" i="11"/>
  <c r="E1831" i="11"/>
  <c r="C1831" i="11"/>
  <c r="B1831" i="11"/>
  <c r="A1831" i="11"/>
  <c r="D1830" i="11"/>
  <c r="AG1830" i="11"/>
  <c r="AH1830" i="11"/>
  <c r="G1830" i="11"/>
  <c r="AF1830" i="11"/>
  <c r="AI1830" i="11"/>
  <c r="P1830" i="11"/>
  <c r="O1830" i="11"/>
  <c r="F1830" i="11"/>
  <c r="E1830" i="11"/>
  <c r="C1830" i="11"/>
  <c r="B1830" i="11"/>
  <c r="A1830" i="11"/>
  <c r="D1829" i="11"/>
  <c r="AG1829" i="11"/>
  <c r="AH1829" i="11"/>
  <c r="G1829" i="11"/>
  <c r="AF1829" i="11"/>
  <c r="AI1829" i="11"/>
  <c r="P1829" i="11"/>
  <c r="O1829" i="11"/>
  <c r="F1829" i="11"/>
  <c r="E1829" i="11"/>
  <c r="C1829" i="11"/>
  <c r="B1829" i="11"/>
  <c r="A1829" i="11"/>
  <c r="D1828" i="11"/>
  <c r="AG1828" i="11"/>
  <c r="AH1828" i="11"/>
  <c r="G1828" i="11"/>
  <c r="AF1828" i="11"/>
  <c r="AI1828" i="11"/>
  <c r="P1828" i="11"/>
  <c r="O1828" i="11"/>
  <c r="F1828" i="11"/>
  <c r="E1828" i="11"/>
  <c r="C1828" i="11"/>
  <c r="B1828" i="11"/>
  <c r="A1828" i="11"/>
  <c r="D1827" i="11"/>
  <c r="AG1827" i="11"/>
  <c r="AH1827" i="11"/>
  <c r="G1827" i="11"/>
  <c r="AF1827" i="11"/>
  <c r="AI1827" i="11"/>
  <c r="P1827" i="11"/>
  <c r="O1827" i="11"/>
  <c r="F1827" i="11"/>
  <c r="E1827" i="11"/>
  <c r="C1827" i="11"/>
  <c r="B1827" i="11"/>
  <c r="A1827" i="11"/>
  <c r="D1826" i="11"/>
  <c r="AG1826" i="11"/>
  <c r="AH1826" i="11"/>
  <c r="G1826" i="11"/>
  <c r="AF1826" i="11"/>
  <c r="AI1826" i="11"/>
  <c r="P1826" i="11"/>
  <c r="O1826" i="11"/>
  <c r="F1826" i="11"/>
  <c r="E1826" i="11"/>
  <c r="C1826" i="11"/>
  <c r="B1826" i="11"/>
  <c r="A1826" i="11"/>
  <c r="D1825" i="11"/>
  <c r="AG1825" i="11"/>
  <c r="AH1825" i="11"/>
  <c r="G1825" i="11"/>
  <c r="AF1825" i="11"/>
  <c r="AI1825" i="11"/>
  <c r="P1825" i="11"/>
  <c r="O1825" i="11"/>
  <c r="F1825" i="11"/>
  <c r="E1825" i="11"/>
  <c r="C1825" i="11"/>
  <c r="B1825" i="11"/>
  <c r="A1825" i="11"/>
  <c r="D1824" i="11"/>
  <c r="AG1824" i="11"/>
  <c r="AH1824" i="11"/>
  <c r="G1824" i="11"/>
  <c r="AF1824" i="11"/>
  <c r="AI1824" i="11"/>
  <c r="P1824" i="11"/>
  <c r="O1824" i="11"/>
  <c r="F1824" i="11"/>
  <c r="E1824" i="11"/>
  <c r="C1824" i="11"/>
  <c r="B1824" i="11"/>
  <c r="A1824" i="11"/>
  <c r="D1823" i="11"/>
  <c r="AG1823" i="11"/>
  <c r="AH1823" i="11"/>
  <c r="G1823" i="11"/>
  <c r="AF1823" i="11"/>
  <c r="AI1823" i="11"/>
  <c r="P1823" i="11"/>
  <c r="O1823" i="11"/>
  <c r="F1823" i="11"/>
  <c r="E1823" i="11"/>
  <c r="C1823" i="11"/>
  <c r="B1823" i="11"/>
  <c r="A1823" i="11"/>
  <c r="D1822" i="11"/>
  <c r="AG1822" i="11"/>
  <c r="AH1822" i="11"/>
  <c r="G1822" i="11"/>
  <c r="AF1822" i="11"/>
  <c r="AI1822" i="11"/>
  <c r="P1822" i="11"/>
  <c r="O1822" i="11"/>
  <c r="F1822" i="11"/>
  <c r="E1822" i="11"/>
  <c r="C1822" i="11"/>
  <c r="B1822" i="11"/>
  <c r="A1822" i="11"/>
  <c r="D1821" i="11"/>
  <c r="AG1821" i="11"/>
  <c r="AH1821" i="11"/>
  <c r="G1821" i="11"/>
  <c r="AF1821" i="11"/>
  <c r="AI1821" i="11"/>
  <c r="P1821" i="11"/>
  <c r="O1821" i="11"/>
  <c r="F1821" i="11"/>
  <c r="E1821" i="11"/>
  <c r="C1821" i="11"/>
  <c r="B1821" i="11"/>
  <c r="A1821" i="11"/>
  <c r="D1820" i="11"/>
  <c r="AG1820" i="11"/>
  <c r="AH1820" i="11"/>
  <c r="G1820" i="11"/>
  <c r="AF1820" i="11"/>
  <c r="AI1820" i="11"/>
  <c r="P1820" i="11"/>
  <c r="O1820" i="11"/>
  <c r="F1820" i="11"/>
  <c r="E1820" i="11"/>
  <c r="C1820" i="11"/>
  <c r="B1820" i="11"/>
  <c r="A1820" i="11"/>
  <c r="D1819" i="11"/>
  <c r="AG1819" i="11"/>
  <c r="AH1819" i="11"/>
  <c r="G1819" i="11"/>
  <c r="AF1819" i="11"/>
  <c r="AI1819" i="11"/>
  <c r="P1819" i="11"/>
  <c r="O1819" i="11"/>
  <c r="F1819" i="11"/>
  <c r="E1819" i="11"/>
  <c r="C1819" i="11"/>
  <c r="B1819" i="11"/>
  <c r="A1819" i="11"/>
  <c r="D1818" i="11"/>
  <c r="AG1818" i="11"/>
  <c r="AH1818" i="11"/>
  <c r="G1818" i="11"/>
  <c r="AF1818" i="11"/>
  <c r="AI1818" i="11"/>
  <c r="P1818" i="11"/>
  <c r="O1818" i="11"/>
  <c r="F1818" i="11"/>
  <c r="E1818" i="11"/>
  <c r="C1818" i="11"/>
  <c r="B1818" i="11"/>
  <c r="A1818" i="11"/>
  <c r="D1817" i="11"/>
  <c r="AG1817" i="11"/>
  <c r="AH1817" i="11"/>
  <c r="G1817" i="11"/>
  <c r="AF1817" i="11"/>
  <c r="AI1817" i="11"/>
  <c r="P1817" i="11"/>
  <c r="O1817" i="11"/>
  <c r="F1817" i="11"/>
  <c r="E1817" i="11"/>
  <c r="C1817" i="11"/>
  <c r="B1817" i="11"/>
  <c r="A1817" i="11"/>
  <c r="D1816" i="11"/>
  <c r="AG1816" i="11"/>
  <c r="AH1816" i="11"/>
  <c r="G1816" i="11"/>
  <c r="AF1816" i="11"/>
  <c r="AI1816" i="11"/>
  <c r="P1816" i="11"/>
  <c r="O1816" i="11"/>
  <c r="F1816" i="11"/>
  <c r="E1816" i="11"/>
  <c r="C1816" i="11"/>
  <c r="B1816" i="11"/>
  <c r="A1816" i="11"/>
  <c r="D1815" i="11"/>
  <c r="AG1815" i="11"/>
  <c r="AH1815" i="11"/>
  <c r="G1815" i="11"/>
  <c r="AF1815" i="11"/>
  <c r="AI1815" i="11"/>
  <c r="P1815" i="11"/>
  <c r="O1815" i="11"/>
  <c r="F1815" i="11"/>
  <c r="E1815" i="11"/>
  <c r="C1815" i="11"/>
  <c r="B1815" i="11"/>
  <c r="A1815" i="11"/>
  <c r="D1814" i="11"/>
  <c r="AG1814" i="11"/>
  <c r="AH1814" i="11"/>
  <c r="G1814" i="11"/>
  <c r="AF1814" i="11"/>
  <c r="AI1814" i="11"/>
  <c r="P1814" i="11"/>
  <c r="O1814" i="11"/>
  <c r="F1814" i="11"/>
  <c r="E1814" i="11"/>
  <c r="C1814" i="11"/>
  <c r="B1814" i="11"/>
  <c r="A1814" i="11"/>
  <c r="D1813" i="11"/>
  <c r="AG1813" i="11"/>
  <c r="AH1813" i="11"/>
  <c r="G1813" i="11"/>
  <c r="AF1813" i="11"/>
  <c r="AI1813" i="11"/>
  <c r="P1813" i="11"/>
  <c r="O1813" i="11"/>
  <c r="F1813" i="11"/>
  <c r="E1813" i="11"/>
  <c r="C1813" i="11"/>
  <c r="B1813" i="11"/>
  <c r="A1813" i="11"/>
  <c r="D1812" i="11"/>
  <c r="AG1812" i="11"/>
  <c r="AH1812" i="11"/>
  <c r="G1812" i="11"/>
  <c r="AF1812" i="11"/>
  <c r="AI1812" i="11"/>
  <c r="P1812" i="11"/>
  <c r="O1812" i="11"/>
  <c r="F1812" i="11"/>
  <c r="E1812" i="11"/>
  <c r="C1812" i="11"/>
  <c r="B1812" i="11"/>
  <c r="A1812" i="11"/>
  <c r="D1811" i="11"/>
  <c r="AG1811" i="11"/>
  <c r="AH1811" i="11"/>
  <c r="G1811" i="11"/>
  <c r="AF1811" i="11"/>
  <c r="AI1811" i="11"/>
  <c r="P1811" i="11"/>
  <c r="O1811" i="11"/>
  <c r="F1811" i="11"/>
  <c r="E1811" i="11"/>
  <c r="C1811" i="11"/>
  <c r="B1811" i="11"/>
  <c r="A1811" i="11"/>
  <c r="D1810" i="11"/>
  <c r="AG1810" i="11"/>
  <c r="AH1810" i="11"/>
  <c r="G1810" i="11"/>
  <c r="AF1810" i="11"/>
  <c r="AI1810" i="11"/>
  <c r="P1810" i="11"/>
  <c r="O1810" i="11"/>
  <c r="F1810" i="11"/>
  <c r="E1810" i="11"/>
  <c r="C1810" i="11"/>
  <c r="B1810" i="11"/>
  <c r="A1810" i="11"/>
  <c r="D1809" i="11"/>
  <c r="AG1809" i="11"/>
  <c r="AH1809" i="11"/>
  <c r="G1809" i="11"/>
  <c r="AF1809" i="11"/>
  <c r="AI1809" i="11"/>
  <c r="P1809" i="11"/>
  <c r="O1809" i="11"/>
  <c r="F1809" i="11"/>
  <c r="E1809" i="11"/>
  <c r="C1809" i="11"/>
  <c r="B1809" i="11"/>
  <c r="A1809" i="11"/>
  <c r="D1808" i="11"/>
  <c r="AG1808" i="11"/>
  <c r="AH1808" i="11"/>
  <c r="G1808" i="11"/>
  <c r="AF1808" i="11"/>
  <c r="AI1808" i="11"/>
  <c r="P1808" i="11"/>
  <c r="O1808" i="11"/>
  <c r="F1808" i="11"/>
  <c r="E1808" i="11"/>
  <c r="C1808" i="11"/>
  <c r="B1808" i="11"/>
  <c r="A1808" i="11"/>
  <c r="D1807" i="11"/>
  <c r="AG1807" i="11"/>
  <c r="AH1807" i="11"/>
  <c r="G1807" i="11"/>
  <c r="AF1807" i="11"/>
  <c r="AI1807" i="11"/>
  <c r="P1807" i="11"/>
  <c r="O1807" i="11"/>
  <c r="F1807" i="11"/>
  <c r="E1807" i="11"/>
  <c r="C1807" i="11"/>
  <c r="B1807" i="11"/>
  <c r="A1807" i="11"/>
  <c r="D1806" i="11"/>
  <c r="AG1806" i="11"/>
  <c r="AH1806" i="11"/>
  <c r="G1806" i="11"/>
  <c r="AF1806" i="11"/>
  <c r="AI1806" i="11"/>
  <c r="P1806" i="11"/>
  <c r="O1806" i="11"/>
  <c r="F1806" i="11"/>
  <c r="E1806" i="11"/>
  <c r="C1806" i="11"/>
  <c r="B1806" i="11"/>
  <c r="A1806" i="11"/>
  <c r="D1805" i="11"/>
  <c r="AG1805" i="11"/>
  <c r="AH1805" i="11"/>
  <c r="G1805" i="11"/>
  <c r="AF1805" i="11"/>
  <c r="AI1805" i="11"/>
  <c r="P1805" i="11"/>
  <c r="O1805" i="11"/>
  <c r="F1805" i="11"/>
  <c r="E1805" i="11"/>
  <c r="C1805" i="11"/>
  <c r="B1805" i="11"/>
  <c r="A1805" i="11"/>
  <c r="D1804" i="11"/>
  <c r="AG1804" i="11"/>
  <c r="AH1804" i="11"/>
  <c r="G1804" i="11"/>
  <c r="AF1804" i="11"/>
  <c r="AI1804" i="11"/>
  <c r="P1804" i="11"/>
  <c r="O1804" i="11"/>
  <c r="F1804" i="11"/>
  <c r="E1804" i="11"/>
  <c r="C1804" i="11"/>
  <c r="B1804" i="11"/>
  <c r="A1804" i="11"/>
  <c r="D1803" i="11"/>
  <c r="AG1803" i="11"/>
  <c r="AH1803" i="11"/>
  <c r="G1803" i="11"/>
  <c r="AF1803" i="11"/>
  <c r="AI1803" i="11"/>
  <c r="P1803" i="11"/>
  <c r="O1803" i="11"/>
  <c r="F1803" i="11"/>
  <c r="E1803" i="11"/>
  <c r="C1803" i="11"/>
  <c r="B1803" i="11"/>
  <c r="A1803" i="11"/>
  <c r="D1802" i="11"/>
  <c r="AG1802" i="11"/>
  <c r="AH1802" i="11"/>
  <c r="G1802" i="11"/>
  <c r="AF1802" i="11"/>
  <c r="AI1802" i="11"/>
  <c r="P1802" i="11"/>
  <c r="O1802" i="11"/>
  <c r="F1802" i="11"/>
  <c r="E1802" i="11"/>
  <c r="C1802" i="11"/>
  <c r="B1802" i="11"/>
  <c r="A1802" i="11"/>
  <c r="D1801" i="11"/>
  <c r="AG1801" i="11"/>
  <c r="AH1801" i="11"/>
  <c r="G1801" i="11"/>
  <c r="AF1801" i="11"/>
  <c r="AI1801" i="11"/>
  <c r="P1801" i="11"/>
  <c r="O1801" i="11"/>
  <c r="F1801" i="11"/>
  <c r="E1801" i="11"/>
  <c r="C1801" i="11"/>
  <c r="B1801" i="11"/>
  <c r="A1801" i="11"/>
  <c r="D1800" i="11"/>
  <c r="AG1800" i="11"/>
  <c r="AH1800" i="11"/>
  <c r="G1800" i="11"/>
  <c r="AF1800" i="11"/>
  <c r="AI1800" i="11"/>
  <c r="P1800" i="11"/>
  <c r="O1800" i="11"/>
  <c r="F1800" i="11"/>
  <c r="E1800" i="11"/>
  <c r="C1800" i="11"/>
  <c r="B1800" i="11"/>
  <c r="A1800" i="11"/>
  <c r="D1799" i="11"/>
  <c r="AG1799" i="11"/>
  <c r="AH1799" i="11"/>
  <c r="G1799" i="11"/>
  <c r="AF1799" i="11"/>
  <c r="AI1799" i="11"/>
  <c r="P1799" i="11"/>
  <c r="O1799" i="11"/>
  <c r="F1799" i="11"/>
  <c r="E1799" i="11"/>
  <c r="C1799" i="11"/>
  <c r="B1799" i="11"/>
  <c r="A1799" i="11"/>
  <c r="D1798" i="11"/>
  <c r="AG1798" i="11"/>
  <c r="AH1798" i="11"/>
  <c r="G1798" i="11"/>
  <c r="AF1798" i="11"/>
  <c r="AI1798" i="11"/>
  <c r="P1798" i="11"/>
  <c r="O1798" i="11"/>
  <c r="F1798" i="11"/>
  <c r="E1798" i="11"/>
  <c r="C1798" i="11"/>
  <c r="B1798" i="11"/>
  <c r="A1798" i="11"/>
  <c r="D1797" i="11"/>
  <c r="AG1797" i="11"/>
  <c r="AH1797" i="11"/>
  <c r="G1797" i="11"/>
  <c r="AF1797" i="11"/>
  <c r="AI1797" i="11"/>
  <c r="P1797" i="11"/>
  <c r="O1797" i="11"/>
  <c r="F1797" i="11"/>
  <c r="E1797" i="11"/>
  <c r="C1797" i="11"/>
  <c r="B1797" i="11"/>
  <c r="A1797" i="11"/>
  <c r="D1796" i="11"/>
  <c r="AG1796" i="11"/>
  <c r="AH1796" i="11"/>
  <c r="G1796" i="11"/>
  <c r="AF1796" i="11"/>
  <c r="AI1796" i="11"/>
  <c r="P1796" i="11"/>
  <c r="O1796" i="11"/>
  <c r="F1796" i="11"/>
  <c r="E1796" i="11"/>
  <c r="C1796" i="11"/>
  <c r="B1796" i="11"/>
  <c r="A1796" i="11"/>
  <c r="D1795" i="11"/>
  <c r="AG1795" i="11"/>
  <c r="AH1795" i="11"/>
  <c r="G1795" i="11"/>
  <c r="AF1795" i="11"/>
  <c r="AI1795" i="11"/>
  <c r="P1795" i="11"/>
  <c r="O1795" i="11"/>
  <c r="F1795" i="11"/>
  <c r="E1795" i="11"/>
  <c r="C1795" i="11"/>
  <c r="B1795" i="11"/>
  <c r="A1795" i="11"/>
  <c r="D1794" i="11"/>
  <c r="AG1794" i="11"/>
  <c r="AH1794" i="11"/>
  <c r="G1794" i="11"/>
  <c r="AF1794" i="11"/>
  <c r="AI1794" i="11"/>
  <c r="P1794" i="11"/>
  <c r="O1794" i="11"/>
  <c r="F1794" i="11"/>
  <c r="E1794" i="11"/>
  <c r="C1794" i="11"/>
  <c r="B1794" i="11"/>
  <c r="A1794" i="11"/>
  <c r="D1793" i="11"/>
  <c r="AG1793" i="11"/>
  <c r="AH1793" i="11"/>
  <c r="G1793" i="11"/>
  <c r="AF1793" i="11"/>
  <c r="AI1793" i="11"/>
  <c r="P1793" i="11"/>
  <c r="O1793" i="11"/>
  <c r="F1793" i="11"/>
  <c r="E1793" i="11"/>
  <c r="C1793" i="11"/>
  <c r="B1793" i="11"/>
  <c r="A1793" i="11"/>
  <c r="D1792" i="11"/>
  <c r="AG1792" i="11"/>
  <c r="AH1792" i="11"/>
  <c r="G1792" i="11"/>
  <c r="AF1792" i="11"/>
  <c r="AI1792" i="11"/>
  <c r="P1792" i="11"/>
  <c r="O1792" i="11"/>
  <c r="F1792" i="11"/>
  <c r="E1792" i="11"/>
  <c r="C1792" i="11"/>
  <c r="B1792" i="11"/>
  <c r="A1792" i="11"/>
  <c r="D1791" i="11"/>
  <c r="AG1791" i="11"/>
  <c r="AH1791" i="11"/>
  <c r="G1791" i="11"/>
  <c r="AF1791" i="11"/>
  <c r="AI1791" i="11"/>
  <c r="P1791" i="11"/>
  <c r="O1791" i="11"/>
  <c r="F1791" i="11"/>
  <c r="E1791" i="11"/>
  <c r="C1791" i="11"/>
  <c r="B1791" i="11"/>
  <c r="A1791" i="11"/>
  <c r="D1790" i="11"/>
  <c r="AG1790" i="11"/>
  <c r="AH1790" i="11"/>
  <c r="G1790" i="11"/>
  <c r="AF1790" i="11"/>
  <c r="AI1790" i="11"/>
  <c r="P1790" i="11"/>
  <c r="O1790" i="11"/>
  <c r="F1790" i="11"/>
  <c r="E1790" i="11"/>
  <c r="C1790" i="11"/>
  <c r="B1790" i="11"/>
  <c r="A1790" i="11"/>
  <c r="D1789" i="11"/>
  <c r="AG1789" i="11"/>
  <c r="AH1789" i="11"/>
  <c r="G1789" i="11"/>
  <c r="AF1789" i="11"/>
  <c r="AI1789" i="11"/>
  <c r="P1789" i="11"/>
  <c r="O1789" i="11"/>
  <c r="F1789" i="11"/>
  <c r="E1789" i="11"/>
  <c r="C1789" i="11"/>
  <c r="B1789" i="11"/>
  <c r="A1789" i="11"/>
  <c r="D1788" i="11"/>
  <c r="AG1788" i="11"/>
  <c r="AH1788" i="11"/>
  <c r="G1788" i="11"/>
  <c r="AF1788" i="11"/>
  <c r="AI1788" i="11"/>
  <c r="P1788" i="11"/>
  <c r="O1788" i="11"/>
  <c r="F1788" i="11"/>
  <c r="E1788" i="11"/>
  <c r="C1788" i="11"/>
  <c r="B1788" i="11"/>
  <c r="A1788" i="11"/>
  <c r="D1787" i="11"/>
  <c r="AG1787" i="11"/>
  <c r="AH1787" i="11"/>
  <c r="G1787" i="11"/>
  <c r="AF1787" i="11"/>
  <c r="AI1787" i="11"/>
  <c r="P1787" i="11"/>
  <c r="O1787" i="11"/>
  <c r="F1787" i="11"/>
  <c r="E1787" i="11"/>
  <c r="C1787" i="11"/>
  <c r="B1787" i="11"/>
  <c r="A1787" i="11"/>
  <c r="D1786" i="11"/>
  <c r="AG1786" i="11"/>
  <c r="AH1786" i="11"/>
  <c r="G1786" i="11"/>
  <c r="AF1786" i="11"/>
  <c r="AI1786" i="11"/>
  <c r="P1786" i="11"/>
  <c r="O1786" i="11"/>
  <c r="F1786" i="11"/>
  <c r="E1786" i="11"/>
  <c r="C1786" i="11"/>
  <c r="B1786" i="11"/>
  <c r="A1786" i="11"/>
  <c r="D1785" i="11"/>
  <c r="AG1785" i="11"/>
  <c r="AH1785" i="11"/>
  <c r="G1785" i="11"/>
  <c r="AF1785" i="11"/>
  <c r="AI1785" i="11"/>
  <c r="P1785" i="11"/>
  <c r="O1785" i="11"/>
  <c r="F1785" i="11"/>
  <c r="E1785" i="11"/>
  <c r="C1785" i="11"/>
  <c r="B1785" i="11"/>
  <c r="A1785" i="11"/>
  <c r="D1784" i="11"/>
  <c r="AG1784" i="11"/>
  <c r="AH1784" i="11"/>
  <c r="G1784" i="11"/>
  <c r="AF1784" i="11"/>
  <c r="AI1784" i="11"/>
  <c r="P1784" i="11"/>
  <c r="O1784" i="11"/>
  <c r="F1784" i="11"/>
  <c r="E1784" i="11"/>
  <c r="C1784" i="11"/>
  <c r="B1784" i="11"/>
  <c r="A1784" i="11"/>
  <c r="D1783" i="11"/>
  <c r="AG1783" i="11"/>
  <c r="AH1783" i="11"/>
  <c r="G1783" i="11"/>
  <c r="AF1783" i="11"/>
  <c r="AI1783" i="11"/>
  <c r="P1783" i="11"/>
  <c r="O1783" i="11"/>
  <c r="F1783" i="11"/>
  <c r="E1783" i="11"/>
  <c r="C1783" i="11"/>
  <c r="B1783" i="11"/>
  <c r="A1783" i="11"/>
  <c r="D1782" i="11"/>
  <c r="AG1782" i="11"/>
  <c r="AH1782" i="11"/>
  <c r="G1782" i="11"/>
  <c r="AF1782" i="11"/>
  <c r="AI1782" i="11"/>
  <c r="P1782" i="11"/>
  <c r="O1782" i="11"/>
  <c r="F1782" i="11"/>
  <c r="E1782" i="11"/>
  <c r="C1782" i="11"/>
  <c r="B1782" i="11"/>
  <c r="A1782" i="11"/>
  <c r="D1781" i="11"/>
  <c r="AG1781" i="11"/>
  <c r="AH1781" i="11"/>
  <c r="G1781" i="11"/>
  <c r="AF1781" i="11"/>
  <c r="AI1781" i="11"/>
  <c r="P1781" i="11"/>
  <c r="O1781" i="11"/>
  <c r="F1781" i="11"/>
  <c r="E1781" i="11"/>
  <c r="C1781" i="11"/>
  <c r="B1781" i="11"/>
  <c r="A1781" i="11"/>
  <c r="D1780" i="11"/>
  <c r="AG1780" i="11"/>
  <c r="AH1780" i="11"/>
  <c r="G1780" i="11"/>
  <c r="AF1780" i="11"/>
  <c r="AI1780" i="11"/>
  <c r="P1780" i="11"/>
  <c r="O1780" i="11"/>
  <c r="F1780" i="11"/>
  <c r="E1780" i="11"/>
  <c r="C1780" i="11"/>
  <c r="B1780" i="11"/>
  <c r="A1780" i="11"/>
  <c r="D1779" i="11"/>
  <c r="AG1779" i="11"/>
  <c r="AH1779" i="11"/>
  <c r="G1779" i="11"/>
  <c r="AF1779" i="11"/>
  <c r="AI1779" i="11"/>
  <c r="P1779" i="11"/>
  <c r="O1779" i="11"/>
  <c r="F1779" i="11"/>
  <c r="E1779" i="11"/>
  <c r="C1779" i="11"/>
  <c r="B1779" i="11"/>
  <c r="A1779" i="11"/>
  <c r="D1778" i="11"/>
  <c r="AG1778" i="11"/>
  <c r="AH1778" i="11"/>
  <c r="G1778" i="11"/>
  <c r="AF1778" i="11"/>
  <c r="AI1778" i="11"/>
  <c r="P1778" i="11"/>
  <c r="O1778" i="11"/>
  <c r="F1778" i="11"/>
  <c r="E1778" i="11"/>
  <c r="C1778" i="11"/>
  <c r="B1778" i="11"/>
  <c r="A1778" i="11"/>
  <c r="D1777" i="11"/>
  <c r="AG1777" i="11"/>
  <c r="AH1777" i="11"/>
  <c r="G1777" i="11"/>
  <c r="AF1777" i="11"/>
  <c r="AI1777" i="11"/>
  <c r="P1777" i="11"/>
  <c r="O1777" i="11"/>
  <c r="F1777" i="11"/>
  <c r="E1777" i="11"/>
  <c r="C1777" i="11"/>
  <c r="B1777" i="11"/>
  <c r="A1777" i="11"/>
  <c r="D1776" i="11"/>
  <c r="AG1776" i="11"/>
  <c r="AH1776" i="11"/>
  <c r="G1776" i="11"/>
  <c r="AF1776" i="11"/>
  <c r="AI1776" i="11"/>
  <c r="P1776" i="11"/>
  <c r="O1776" i="11"/>
  <c r="F1776" i="11"/>
  <c r="E1776" i="11"/>
  <c r="C1776" i="11"/>
  <c r="B1776" i="11"/>
  <c r="A1776" i="11"/>
  <c r="D1775" i="11"/>
  <c r="AG1775" i="11"/>
  <c r="AH1775" i="11"/>
  <c r="G1775" i="11"/>
  <c r="AF1775" i="11"/>
  <c r="AI1775" i="11"/>
  <c r="P1775" i="11"/>
  <c r="O1775" i="11"/>
  <c r="F1775" i="11"/>
  <c r="E1775" i="11"/>
  <c r="C1775" i="11"/>
  <c r="B1775" i="11"/>
  <c r="A1775" i="11"/>
  <c r="D1774" i="11"/>
  <c r="AG1774" i="11"/>
  <c r="AH1774" i="11"/>
  <c r="G1774" i="11"/>
  <c r="AF1774" i="11"/>
  <c r="AI1774" i="11"/>
  <c r="P1774" i="11"/>
  <c r="O1774" i="11"/>
  <c r="F1774" i="11"/>
  <c r="E1774" i="11"/>
  <c r="C1774" i="11"/>
  <c r="B1774" i="11"/>
  <c r="A1774" i="11"/>
  <c r="D1773" i="11"/>
  <c r="AG1773" i="11"/>
  <c r="AH1773" i="11"/>
  <c r="G1773" i="11"/>
  <c r="AF1773" i="11"/>
  <c r="AI1773" i="11"/>
  <c r="P1773" i="11"/>
  <c r="O1773" i="11"/>
  <c r="F1773" i="11"/>
  <c r="E1773" i="11"/>
  <c r="C1773" i="11"/>
  <c r="B1773" i="11"/>
  <c r="A1773" i="11"/>
  <c r="D1772" i="11"/>
  <c r="AG1772" i="11"/>
  <c r="AH1772" i="11"/>
  <c r="G1772" i="11"/>
  <c r="AF1772" i="11"/>
  <c r="AI1772" i="11"/>
  <c r="P1772" i="11"/>
  <c r="O1772" i="11"/>
  <c r="F1772" i="11"/>
  <c r="E1772" i="11"/>
  <c r="C1772" i="11"/>
  <c r="B1772" i="11"/>
  <c r="A1772" i="11"/>
  <c r="D1771" i="11"/>
  <c r="AG1771" i="11"/>
  <c r="AH1771" i="11"/>
  <c r="G1771" i="11"/>
  <c r="AF1771" i="11"/>
  <c r="AI1771" i="11"/>
  <c r="P1771" i="11"/>
  <c r="O1771" i="11"/>
  <c r="F1771" i="11"/>
  <c r="E1771" i="11"/>
  <c r="C1771" i="11"/>
  <c r="B1771" i="11"/>
  <c r="A1771" i="11"/>
  <c r="D1770" i="11"/>
  <c r="AG1770" i="11"/>
  <c r="AH1770" i="11"/>
  <c r="G1770" i="11"/>
  <c r="AF1770" i="11"/>
  <c r="AI1770" i="11"/>
  <c r="P1770" i="11"/>
  <c r="O1770" i="11"/>
  <c r="F1770" i="11"/>
  <c r="E1770" i="11"/>
  <c r="C1770" i="11"/>
  <c r="B1770" i="11"/>
  <c r="A1770" i="11"/>
  <c r="D1769" i="11"/>
  <c r="AG1769" i="11"/>
  <c r="AH1769" i="11"/>
  <c r="G1769" i="11"/>
  <c r="AF1769" i="11"/>
  <c r="AI1769" i="11"/>
  <c r="P1769" i="11"/>
  <c r="O1769" i="11"/>
  <c r="F1769" i="11"/>
  <c r="E1769" i="11"/>
  <c r="C1769" i="11"/>
  <c r="B1769" i="11"/>
  <c r="A1769" i="11"/>
  <c r="D1768" i="11"/>
  <c r="AG1768" i="11"/>
  <c r="AH1768" i="11"/>
  <c r="G1768" i="11"/>
  <c r="AF1768" i="11"/>
  <c r="AI1768" i="11"/>
  <c r="P1768" i="11"/>
  <c r="O1768" i="11"/>
  <c r="F1768" i="11"/>
  <c r="E1768" i="11"/>
  <c r="C1768" i="11"/>
  <c r="B1768" i="11"/>
  <c r="A1768" i="11"/>
  <c r="D1767" i="11"/>
  <c r="AG1767" i="11"/>
  <c r="AH1767" i="11"/>
  <c r="G1767" i="11"/>
  <c r="AF1767" i="11"/>
  <c r="AI1767" i="11"/>
  <c r="P1767" i="11"/>
  <c r="O1767" i="11"/>
  <c r="F1767" i="11"/>
  <c r="E1767" i="11"/>
  <c r="C1767" i="11"/>
  <c r="B1767" i="11"/>
  <c r="A1767" i="11"/>
  <c r="D1766" i="11"/>
  <c r="AG1766" i="11"/>
  <c r="AH1766" i="11"/>
  <c r="G1766" i="11"/>
  <c r="AF1766" i="11"/>
  <c r="AI1766" i="11"/>
  <c r="P1766" i="11"/>
  <c r="O1766" i="11"/>
  <c r="F1766" i="11"/>
  <c r="E1766" i="11"/>
  <c r="C1766" i="11"/>
  <c r="B1766" i="11"/>
  <c r="A1766" i="11"/>
  <c r="D1765" i="11"/>
  <c r="AG1765" i="11"/>
  <c r="AH1765" i="11"/>
  <c r="G1765" i="11"/>
  <c r="AF1765" i="11"/>
  <c r="AI1765" i="11"/>
  <c r="P1765" i="11"/>
  <c r="O1765" i="11"/>
  <c r="F1765" i="11"/>
  <c r="E1765" i="11"/>
  <c r="C1765" i="11"/>
  <c r="B1765" i="11"/>
  <c r="A1765" i="11"/>
  <c r="D1764" i="11"/>
  <c r="AG1764" i="11"/>
  <c r="AH1764" i="11"/>
  <c r="G1764" i="11"/>
  <c r="AF1764" i="11"/>
  <c r="AI1764" i="11"/>
  <c r="P1764" i="11"/>
  <c r="O1764" i="11"/>
  <c r="F1764" i="11"/>
  <c r="E1764" i="11"/>
  <c r="C1764" i="11"/>
  <c r="B1764" i="11"/>
  <c r="A1764" i="11"/>
  <c r="D1763" i="11"/>
  <c r="AG1763" i="11"/>
  <c r="AH1763" i="11"/>
  <c r="G1763" i="11"/>
  <c r="AF1763" i="11"/>
  <c r="AI1763" i="11"/>
  <c r="P1763" i="11"/>
  <c r="O1763" i="11"/>
  <c r="F1763" i="11"/>
  <c r="E1763" i="11"/>
  <c r="C1763" i="11"/>
  <c r="B1763" i="11"/>
  <c r="A1763" i="11"/>
  <c r="D1762" i="11"/>
  <c r="AG1762" i="11"/>
  <c r="AH1762" i="11"/>
  <c r="G1762" i="11"/>
  <c r="AF1762" i="11"/>
  <c r="AI1762" i="11"/>
  <c r="P1762" i="11"/>
  <c r="O1762" i="11"/>
  <c r="F1762" i="11"/>
  <c r="E1762" i="11"/>
  <c r="C1762" i="11"/>
  <c r="B1762" i="11"/>
  <c r="A1762" i="11"/>
  <c r="D1761" i="11"/>
  <c r="AG1761" i="11"/>
  <c r="AH1761" i="11"/>
  <c r="G1761" i="11"/>
  <c r="AF1761" i="11"/>
  <c r="AI1761" i="11"/>
  <c r="P1761" i="11"/>
  <c r="O1761" i="11"/>
  <c r="F1761" i="11"/>
  <c r="E1761" i="11"/>
  <c r="C1761" i="11"/>
  <c r="B1761" i="11"/>
  <c r="A1761" i="11"/>
  <c r="D1760" i="11"/>
  <c r="AG1760" i="11"/>
  <c r="AH1760" i="11"/>
  <c r="G1760" i="11"/>
  <c r="AF1760" i="11"/>
  <c r="AI1760" i="11"/>
  <c r="P1760" i="11"/>
  <c r="O1760" i="11"/>
  <c r="F1760" i="11"/>
  <c r="E1760" i="11"/>
  <c r="C1760" i="11"/>
  <c r="B1760" i="11"/>
  <c r="A1760" i="11"/>
  <c r="D1759" i="11"/>
  <c r="AG1759" i="11"/>
  <c r="AH1759" i="11"/>
  <c r="G1759" i="11"/>
  <c r="AF1759" i="11"/>
  <c r="AI1759" i="11"/>
  <c r="P1759" i="11"/>
  <c r="O1759" i="11"/>
  <c r="F1759" i="11"/>
  <c r="E1759" i="11"/>
  <c r="C1759" i="11"/>
  <c r="B1759" i="11"/>
  <c r="A1759" i="11"/>
  <c r="D1758" i="11"/>
  <c r="AG1758" i="11"/>
  <c r="AH1758" i="11"/>
  <c r="G1758" i="11"/>
  <c r="AF1758" i="11"/>
  <c r="AI1758" i="11"/>
  <c r="P1758" i="11"/>
  <c r="O1758" i="11"/>
  <c r="F1758" i="11"/>
  <c r="E1758" i="11"/>
  <c r="C1758" i="11"/>
  <c r="B1758" i="11"/>
  <c r="A1758" i="11"/>
  <c r="D1757" i="11"/>
  <c r="AG1757" i="11"/>
  <c r="AH1757" i="11"/>
  <c r="G1757" i="11"/>
  <c r="AF1757" i="11"/>
  <c r="AI1757" i="11"/>
  <c r="P1757" i="11"/>
  <c r="O1757" i="11"/>
  <c r="F1757" i="11"/>
  <c r="E1757" i="11"/>
  <c r="C1757" i="11"/>
  <c r="B1757" i="11"/>
  <c r="A1757" i="11"/>
  <c r="D1756" i="11"/>
  <c r="AG1756" i="11"/>
  <c r="AH1756" i="11"/>
  <c r="G1756" i="11"/>
  <c r="AF1756" i="11"/>
  <c r="AI1756" i="11"/>
  <c r="P1756" i="11"/>
  <c r="O1756" i="11"/>
  <c r="F1756" i="11"/>
  <c r="E1756" i="11"/>
  <c r="C1756" i="11"/>
  <c r="B1756" i="11"/>
  <c r="A1756" i="11"/>
  <c r="D1755" i="11"/>
  <c r="AG1755" i="11"/>
  <c r="AH1755" i="11"/>
  <c r="G1755" i="11"/>
  <c r="AF1755" i="11"/>
  <c r="AI1755" i="11"/>
  <c r="P1755" i="11"/>
  <c r="O1755" i="11"/>
  <c r="F1755" i="11"/>
  <c r="E1755" i="11"/>
  <c r="C1755" i="11"/>
  <c r="B1755" i="11"/>
  <c r="A1755" i="11"/>
  <c r="D1754" i="11"/>
  <c r="AG1754" i="11"/>
  <c r="AH1754" i="11"/>
  <c r="G1754" i="11"/>
  <c r="AF1754" i="11"/>
  <c r="AI1754" i="11"/>
  <c r="P1754" i="11"/>
  <c r="O1754" i="11"/>
  <c r="F1754" i="11"/>
  <c r="E1754" i="11"/>
  <c r="C1754" i="11"/>
  <c r="B1754" i="11"/>
  <c r="A1754" i="11"/>
  <c r="D1753" i="11"/>
  <c r="AG1753" i="11"/>
  <c r="AH1753" i="11"/>
  <c r="G1753" i="11"/>
  <c r="AF1753" i="11"/>
  <c r="AI1753" i="11"/>
  <c r="P1753" i="11"/>
  <c r="O1753" i="11"/>
  <c r="F1753" i="11"/>
  <c r="E1753" i="11"/>
  <c r="C1753" i="11"/>
  <c r="B1753" i="11"/>
  <c r="A1753" i="11"/>
  <c r="D1752" i="11"/>
  <c r="AG1752" i="11"/>
  <c r="AH1752" i="11"/>
  <c r="G1752" i="11"/>
  <c r="AF1752" i="11"/>
  <c r="AI1752" i="11"/>
  <c r="P1752" i="11"/>
  <c r="O1752" i="11"/>
  <c r="F1752" i="11"/>
  <c r="E1752" i="11"/>
  <c r="C1752" i="11"/>
  <c r="B1752" i="11"/>
  <c r="A1752" i="11"/>
  <c r="D1751" i="11"/>
  <c r="AG1751" i="11"/>
  <c r="AH1751" i="11"/>
  <c r="G1751" i="11"/>
  <c r="AF1751" i="11"/>
  <c r="AI1751" i="11"/>
  <c r="P1751" i="11"/>
  <c r="O1751" i="11"/>
  <c r="F1751" i="11"/>
  <c r="E1751" i="11"/>
  <c r="C1751" i="11"/>
  <c r="B1751" i="11"/>
  <c r="A1751" i="11"/>
  <c r="D1750" i="11"/>
  <c r="AG1750" i="11"/>
  <c r="AH1750" i="11"/>
  <c r="G1750" i="11"/>
  <c r="AF1750" i="11"/>
  <c r="AI1750" i="11"/>
  <c r="P1750" i="11"/>
  <c r="O1750" i="11"/>
  <c r="F1750" i="11"/>
  <c r="E1750" i="11"/>
  <c r="C1750" i="11"/>
  <c r="B1750" i="11"/>
  <c r="A1750" i="11"/>
  <c r="D1749" i="11"/>
  <c r="AG1749" i="11"/>
  <c r="AH1749" i="11"/>
  <c r="G1749" i="11"/>
  <c r="AF1749" i="11"/>
  <c r="AI1749" i="11"/>
  <c r="P1749" i="11"/>
  <c r="O1749" i="11"/>
  <c r="F1749" i="11"/>
  <c r="E1749" i="11"/>
  <c r="C1749" i="11"/>
  <c r="B1749" i="11"/>
  <c r="A1749" i="11"/>
  <c r="D1748" i="11"/>
  <c r="AG1748" i="11"/>
  <c r="AH1748" i="11"/>
  <c r="G1748" i="11"/>
  <c r="AF1748" i="11"/>
  <c r="AI1748" i="11"/>
  <c r="P1748" i="11"/>
  <c r="O1748" i="11"/>
  <c r="F1748" i="11"/>
  <c r="E1748" i="11"/>
  <c r="C1748" i="11"/>
  <c r="B1748" i="11"/>
  <c r="A1748" i="11"/>
  <c r="D1747" i="11"/>
  <c r="AG1747" i="11"/>
  <c r="AH1747" i="11"/>
  <c r="G1747" i="11"/>
  <c r="AF1747" i="11"/>
  <c r="AI1747" i="11"/>
  <c r="P1747" i="11"/>
  <c r="O1747" i="11"/>
  <c r="F1747" i="11"/>
  <c r="E1747" i="11"/>
  <c r="C1747" i="11"/>
  <c r="B1747" i="11"/>
  <c r="A1747" i="11"/>
  <c r="D1746" i="11"/>
  <c r="AG1746" i="11"/>
  <c r="AH1746" i="11"/>
  <c r="G1746" i="11"/>
  <c r="AF1746" i="11"/>
  <c r="AI1746" i="11"/>
  <c r="P1746" i="11"/>
  <c r="O1746" i="11"/>
  <c r="F1746" i="11"/>
  <c r="E1746" i="11"/>
  <c r="C1746" i="11"/>
  <c r="B1746" i="11"/>
  <c r="A1746" i="11"/>
  <c r="D1745" i="11"/>
  <c r="AG1745" i="11"/>
  <c r="AH1745" i="11"/>
  <c r="G1745" i="11"/>
  <c r="AF1745" i="11"/>
  <c r="AI1745" i="11"/>
  <c r="P1745" i="11"/>
  <c r="O1745" i="11"/>
  <c r="F1745" i="11"/>
  <c r="E1745" i="11"/>
  <c r="C1745" i="11"/>
  <c r="B1745" i="11"/>
  <c r="A1745" i="11"/>
  <c r="D1744" i="11"/>
  <c r="AG1744" i="11"/>
  <c r="AH1744" i="11"/>
  <c r="G1744" i="11"/>
  <c r="AF1744" i="11"/>
  <c r="AI1744" i="11"/>
  <c r="P1744" i="11"/>
  <c r="O1744" i="11"/>
  <c r="F1744" i="11"/>
  <c r="E1744" i="11"/>
  <c r="C1744" i="11"/>
  <c r="B1744" i="11"/>
  <c r="A1744" i="11"/>
  <c r="D1743" i="11"/>
  <c r="AG1743" i="11"/>
  <c r="AH1743" i="11"/>
  <c r="G1743" i="11"/>
  <c r="AF1743" i="11"/>
  <c r="AI1743" i="11"/>
  <c r="P1743" i="11"/>
  <c r="O1743" i="11"/>
  <c r="F1743" i="11"/>
  <c r="E1743" i="11"/>
  <c r="C1743" i="11"/>
  <c r="B1743" i="11"/>
  <c r="A1743" i="11"/>
  <c r="D1742" i="11"/>
  <c r="AG1742" i="11"/>
  <c r="AH1742" i="11"/>
  <c r="G1742" i="11"/>
  <c r="AF1742" i="11"/>
  <c r="AI1742" i="11"/>
  <c r="P1742" i="11"/>
  <c r="O1742" i="11"/>
  <c r="F1742" i="11"/>
  <c r="E1742" i="11"/>
  <c r="C1742" i="11"/>
  <c r="B1742" i="11"/>
  <c r="A1742" i="11"/>
  <c r="D1741" i="11"/>
  <c r="AG1741" i="11"/>
  <c r="AH1741" i="11"/>
  <c r="AF1741" i="11"/>
  <c r="AI1741" i="11"/>
  <c r="P1741" i="11"/>
  <c r="O1741" i="11"/>
  <c r="F1741" i="11"/>
  <c r="E1741" i="11"/>
  <c r="C1741" i="11"/>
  <c r="B1741" i="11"/>
  <c r="A1741" i="11"/>
  <c r="D1740" i="11"/>
  <c r="AG1740" i="11"/>
  <c r="AH1740" i="11"/>
  <c r="AF1740" i="11"/>
  <c r="AI1740" i="11"/>
  <c r="P1740" i="11"/>
  <c r="O1740" i="11"/>
  <c r="F1740" i="11"/>
  <c r="E1740" i="11"/>
  <c r="C1740" i="11"/>
  <c r="B1740" i="11"/>
  <c r="A1740" i="11"/>
  <c r="D1739" i="11"/>
  <c r="AG1739" i="11"/>
  <c r="AH1739" i="11"/>
  <c r="AF1739" i="11"/>
  <c r="AI1739" i="11"/>
  <c r="P1739" i="11"/>
  <c r="O1739" i="11"/>
  <c r="F1739" i="11"/>
  <c r="E1739" i="11"/>
  <c r="C1739" i="11"/>
  <c r="B1739" i="11"/>
  <c r="A1739" i="11"/>
  <c r="D1738" i="11"/>
  <c r="AG1738" i="11"/>
  <c r="AH1738" i="11"/>
  <c r="AF1738" i="11"/>
  <c r="AI1738" i="11"/>
  <c r="P1738" i="11"/>
  <c r="O1738" i="11"/>
  <c r="F1738" i="11"/>
  <c r="E1738" i="11"/>
  <c r="C1738" i="11"/>
  <c r="B1738" i="11"/>
  <c r="A1738" i="11"/>
  <c r="D1737" i="11"/>
  <c r="AG1737" i="11"/>
  <c r="AH1737" i="11"/>
  <c r="AF1737" i="11"/>
  <c r="AI1737" i="11"/>
  <c r="P1737" i="11"/>
  <c r="O1737" i="11"/>
  <c r="F1737" i="11"/>
  <c r="E1737" i="11"/>
  <c r="C1737" i="11"/>
  <c r="B1737" i="11"/>
  <c r="A1737" i="11"/>
  <c r="D1736" i="11"/>
  <c r="AG1736" i="11"/>
  <c r="AH1736" i="11"/>
  <c r="AF1736" i="11"/>
  <c r="AI1736" i="11"/>
  <c r="P1736" i="11"/>
  <c r="O1736" i="11"/>
  <c r="F1736" i="11"/>
  <c r="E1736" i="11"/>
  <c r="C1736" i="11"/>
  <c r="B1736" i="11"/>
  <c r="A1736" i="11"/>
  <c r="D1735" i="11"/>
  <c r="AG1735" i="11"/>
  <c r="AH1735" i="11"/>
  <c r="AF1735" i="11"/>
  <c r="AI1735" i="11"/>
  <c r="P1735" i="11"/>
  <c r="O1735" i="11"/>
  <c r="F1735" i="11"/>
  <c r="E1735" i="11"/>
  <c r="C1735" i="11"/>
  <c r="B1735" i="11"/>
  <c r="A1735" i="11"/>
  <c r="D1734" i="11"/>
  <c r="AG1734" i="11"/>
  <c r="AH1734" i="11"/>
  <c r="AF1734" i="11"/>
  <c r="AI1734" i="11"/>
  <c r="P1734" i="11"/>
  <c r="O1734" i="11"/>
  <c r="F1734" i="11"/>
  <c r="E1734" i="11"/>
  <c r="C1734" i="11"/>
  <c r="B1734" i="11"/>
  <c r="A1734" i="11"/>
  <c r="D1733" i="11"/>
  <c r="AG1733" i="11"/>
  <c r="AH1733" i="11"/>
  <c r="AF1733" i="11"/>
  <c r="AI1733" i="11"/>
  <c r="P1733" i="11"/>
  <c r="O1733" i="11"/>
  <c r="F1733" i="11"/>
  <c r="E1733" i="11"/>
  <c r="C1733" i="11"/>
  <c r="B1733" i="11"/>
  <c r="A1733" i="11"/>
  <c r="D1732" i="11"/>
  <c r="AG1732" i="11"/>
  <c r="AH1732" i="11"/>
  <c r="AF1732" i="11"/>
  <c r="AI1732" i="11"/>
  <c r="P1732" i="11"/>
  <c r="O1732" i="11"/>
  <c r="F1732" i="11"/>
  <c r="E1732" i="11"/>
  <c r="C1732" i="11"/>
  <c r="B1732" i="11"/>
  <c r="A1732" i="11"/>
  <c r="D1731" i="11"/>
  <c r="AG1731" i="11"/>
  <c r="AH1731" i="11"/>
  <c r="AF1731" i="11"/>
  <c r="AI1731" i="11"/>
  <c r="P1731" i="11"/>
  <c r="O1731" i="11"/>
  <c r="F1731" i="11"/>
  <c r="E1731" i="11"/>
  <c r="C1731" i="11"/>
  <c r="B1731" i="11"/>
  <c r="A1731" i="11"/>
  <c r="D1730" i="11"/>
  <c r="AG1730" i="11"/>
  <c r="AH1730" i="11"/>
  <c r="AF1730" i="11"/>
  <c r="AI1730" i="11"/>
  <c r="P1730" i="11"/>
  <c r="O1730" i="11"/>
  <c r="F1730" i="11"/>
  <c r="E1730" i="11"/>
  <c r="C1730" i="11"/>
  <c r="B1730" i="11"/>
  <c r="A1730" i="11"/>
  <c r="D1729" i="11"/>
  <c r="AG1729" i="11"/>
  <c r="AH1729" i="11"/>
  <c r="AF1729" i="11"/>
  <c r="AI1729" i="11"/>
  <c r="P1729" i="11"/>
  <c r="O1729" i="11"/>
  <c r="F1729" i="11"/>
  <c r="E1729" i="11"/>
  <c r="C1729" i="11"/>
  <c r="B1729" i="11"/>
  <c r="A1729" i="11"/>
  <c r="D1728" i="11"/>
  <c r="AG1728" i="11"/>
  <c r="AH1728" i="11"/>
  <c r="AF1728" i="11"/>
  <c r="AI1728" i="11"/>
  <c r="P1728" i="11"/>
  <c r="O1728" i="11"/>
  <c r="F1728" i="11"/>
  <c r="E1728" i="11"/>
  <c r="C1728" i="11"/>
  <c r="B1728" i="11"/>
  <c r="A1728" i="11"/>
  <c r="D1727" i="11"/>
  <c r="AG1727" i="11"/>
  <c r="AH1727" i="11"/>
  <c r="AF1727" i="11"/>
  <c r="AI1727" i="11"/>
  <c r="P1727" i="11"/>
  <c r="O1727" i="11"/>
  <c r="F1727" i="11"/>
  <c r="E1727" i="11"/>
  <c r="C1727" i="11"/>
  <c r="B1727" i="11"/>
  <c r="A1727" i="11"/>
  <c r="D1726" i="11"/>
  <c r="AG1726" i="11"/>
  <c r="AH1726" i="11"/>
  <c r="AF1726" i="11"/>
  <c r="AI1726" i="11"/>
  <c r="P1726" i="11"/>
  <c r="O1726" i="11"/>
  <c r="F1726" i="11"/>
  <c r="E1726" i="11"/>
  <c r="C1726" i="11"/>
  <c r="B1726" i="11"/>
  <c r="A1726" i="11"/>
  <c r="D1725" i="11"/>
  <c r="AG1725" i="11"/>
  <c r="AH1725" i="11"/>
  <c r="AF1725" i="11"/>
  <c r="AI1725" i="11"/>
  <c r="P1725" i="11"/>
  <c r="O1725" i="11"/>
  <c r="F1725" i="11"/>
  <c r="E1725" i="11"/>
  <c r="C1725" i="11"/>
  <c r="B1725" i="11"/>
  <c r="A1725" i="11"/>
  <c r="D1724" i="11"/>
  <c r="AG1724" i="11"/>
  <c r="AH1724" i="11"/>
  <c r="AF1724" i="11"/>
  <c r="AI1724" i="11"/>
  <c r="P1724" i="11"/>
  <c r="O1724" i="11"/>
  <c r="F1724" i="11"/>
  <c r="E1724" i="11"/>
  <c r="C1724" i="11"/>
  <c r="B1724" i="11"/>
  <c r="A1724" i="11"/>
  <c r="D1723" i="11"/>
  <c r="AG1723" i="11"/>
  <c r="AH1723" i="11"/>
  <c r="AF1723" i="11"/>
  <c r="AI1723" i="11"/>
  <c r="P1723" i="11"/>
  <c r="O1723" i="11"/>
  <c r="F1723" i="11"/>
  <c r="E1723" i="11"/>
  <c r="C1723" i="11"/>
  <c r="B1723" i="11"/>
  <c r="A1723" i="11"/>
  <c r="D1722" i="11"/>
  <c r="AG1722" i="11"/>
  <c r="AH1722" i="11"/>
  <c r="AF1722" i="11"/>
  <c r="AI1722" i="11"/>
  <c r="P1722" i="11"/>
  <c r="O1722" i="11"/>
  <c r="F1722" i="11"/>
  <c r="E1722" i="11"/>
  <c r="C1722" i="11"/>
  <c r="B1722" i="11"/>
  <c r="A1722" i="11"/>
  <c r="D1721" i="11"/>
  <c r="AG1721" i="11"/>
  <c r="AH1721" i="11"/>
  <c r="AF1721" i="11"/>
  <c r="AI1721" i="11"/>
  <c r="P1721" i="11"/>
  <c r="O1721" i="11"/>
  <c r="F1721" i="11"/>
  <c r="E1721" i="11"/>
  <c r="C1721" i="11"/>
  <c r="B1721" i="11"/>
  <c r="A1721" i="11"/>
  <c r="D1720" i="11"/>
  <c r="AG1720" i="11"/>
  <c r="AH1720" i="11"/>
  <c r="AF1720" i="11"/>
  <c r="AI1720" i="11"/>
  <c r="P1720" i="11"/>
  <c r="O1720" i="11"/>
  <c r="F1720" i="11"/>
  <c r="E1720" i="11"/>
  <c r="C1720" i="11"/>
  <c r="B1720" i="11"/>
  <c r="A1720" i="11"/>
  <c r="D1719" i="11"/>
  <c r="AG1719" i="11"/>
  <c r="AH1719" i="11"/>
  <c r="AF1719" i="11"/>
  <c r="AI1719" i="11"/>
  <c r="P1719" i="11"/>
  <c r="O1719" i="11"/>
  <c r="F1719" i="11"/>
  <c r="E1719" i="11"/>
  <c r="C1719" i="11"/>
  <c r="B1719" i="11"/>
  <c r="A1719" i="11"/>
  <c r="D1718" i="11"/>
  <c r="AG1718" i="11"/>
  <c r="AH1718" i="11"/>
  <c r="AF1718" i="11"/>
  <c r="AI1718" i="11"/>
  <c r="P1718" i="11"/>
  <c r="O1718" i="11"/>
  <c r="F1718" i="11"/>
  <c r="E1718" i="11"/>
  <c r="C1718" i="11"/>
  <c r="B1718" i="11"/>
  <c r="A1718" i="11"/>
  <c r="D1717" i="11"/>
  <c r="AG1717" i="11"/>
  <c r="AH1717" i="11"/>
  <c r="AF1717" i="11"/>
  <c r="AI1717" i="11"/>
  <c r="P1717" i="11"/>
  <c r="O1717" i="11"/>
  <c r="F1717" i="11"/>
  <c r="E1717" i="11"/>
  <c r="C1717" i="11"/>
  <c r="B1717" i="11"/>
  <c r="A1717" i="11"/>
  <c r="D1716" i="11"/>
  <c r="AG1716" i="11"/>
  <c r="AH1716" i="11"/>
  <c r="AF1716" i="11"/>
  <c r="AI1716" i="11"/>
  <c r="P1716" i="11"/>
  <c r="O1716" i="11"/>
  <c r="F1716" i="11"/>
  <c r="E1716" i="11"/>
  <c r="C1716" i="11"/>
  <c r="B1716" i="11"/>
  <c r="A1716" i="11"/>
  <c r="D1715" i="11"/>
  <c r="AG1715" i="11"/>
  <c r="AH1715" i="11"/>
  <c r="AF1715" i="11"/>
  <c r="AI1715" i="11"/>
  <c r="P1715" i="11"/>
  <c r="O1715" i="11"/>
  <c r="F1715" i="11"/>
  <c r="E1715" i="11"/>
  <c r="C1715" i="11"/>
  <c r="B1715" i="11"/>
  <c r="A1715" i="11"/>
  <c r="D1714" i="11"/>
  <c r="AG1714" i="11"/>
  <c r="AH1714" i="11"/>
  <c r="AF1714" i="11"/>
  <c r="AI1714" i="11"/>
  <c r="P1714" i="11"/>
  <c r="O1714" i="11"/>
  <c r="F1714" i="11"/>
  <c r="E1714" i="11"/>
  <c r="C1714" i="11"/>
  <c r="B1714" i="11"/>
  <c r="A1714" i="11"/>
  <c r="D1713" i="11"/>
  <c r="AG1713" i="11"/>
  <c r="AH1713" i="11"/>
  <c r="AF1713" i="11"/>
  <c r="AI1713" i="11"/>
  <c r="P1713" i="11"/>
  <c r="O1713" i="11"/>
  <c r="F1713" i="11"/>
  <c r="E1713" i="11"/>
  <c r="C1713" i="11"/>
  <c r="B1713" i="11"/>
  <c r="A1713" i="11"/>
  <c r="D1712" i="11"/>
  <c r="AG1712" i="11"/>
  <c r="AH1712" i="11"/>
  <c r="G1712" i="11"/>
  <c r="AF1712" i="11"/>
  <c r="AI1712" i="11"/>
  <c r="P1712" i="11"/>
  <c r="O1712" i="11"/>
  <c r="F1712" i="11"/>
  <c r="E1712" i="11"/>
  <c r="C1712" i="11"/>
  <c r="B1712" i="11"/>
  <c r="A1712" i="11"/>
  <c r="D1711" i="11"/>
  <c r="AG1711" i="11"/>
  <c r="AH1711" i="11"/>
  <c r="G1711" i="11"/>
  <c r="AF1711" i="11"/>
  <c r="AI1711" i="11"/>
  <c r="P1711" i="11"/>
  <c r="O1711" i="11"/>
  <c r="F1711" i="11"/>
  <c r="E1711" i="11"/>
  <c r="C1711" i="11"/>
  <c r="B1711" i="11"/>
  <c r="A1711" i="11"/>
  <c r="D1710" i="11"/>
  <c r="AG1710" i="11"/>
  <c r="AH1710" i="11"/>
  <c r="G1710" i="11"/>
  <c r="AF1710" i="11"/>
  <c r="AI1710" i="11"/>
  <c r="P1710" i="11"/>
  <c r="O1710" i="11"/>
  <c r="F1710" i="11"/>
  <c r="E1710" i="11"/>
  <c r="C1710" i="11"/>
  <c r="B1710" i="11"/>
  <c r="A1710" i="11"/>
  <c r="D1709" i="11"/>
  <c r="AG1709" i="11"/>
  <c r="AH1709" i="11"/>
  <c r="G1709" i="11"/>
  <c r="AF1709" i="11"/>
  <c r="AI1709" i="11"/>
  <c r="P1709" i="11"/>
  <c r="O1709" i="11"/>
  <c r="F1709" i="11"/>
  <c r="E1709" i="11"/>
  <c r="C1709" i="11"/>
  <c r="B1709" i="11"/>
  <c r="A1709" i="11"/>
  <c r="D1708" i="11"/>
  <c r="AG1708" i="11"/>
  <c r="AH1708" i="11"/>
  <c r="G1708" i="11"/>
  <c r="AF1708" i="11"/>
  <c r="AI1708" i="11"/>
  <c r="P1708" i="11"/>
  <c r="O1708" i="11"/>
  <c r="F1708" i="11"/>
  <c r="E1708" i="11"/>
  <c r="C1708" i="11"/>
  <c r="B1708" i="11"/>
  <c r="A1708" i="11"/>
  <c r="D1707" i="11"/>
  <c r="AG1707" i="11"/>
  <c r="AH1707" i="11"/>
  <c r="G1707" i="11"/>
  <c r="AF1707" i="11"/>
  <c r="AI1707" i="11"/>
  <c r="P1707" i="11"/>
  <c r="O1707" i="11"/>
  <c r="F1707" i="11"/>
  <c r="E1707" i="11"/>
  <c r="C1707" i="11"/>
  <c r="B1707" i="11"/>
  <c r="A1707" i="11"/>
  <c r="D1706" i="11"/>
  <c r="AG1706" i="11"/>
  <c r="AH1706" i="11"/>
  <c r="G1706" i="11"/>
  <c r="AF1706" i="11"/>
  <c r="AI1706" i="11"/>
  <c r="P1706" i="11"/>
  <c r="O1706" i="11"/>
  <c r="F1706" i="11"/>
  <c r="E1706" i="11"/>
  <c r="C1706" i="11"/>
  <c r="B1706" i="11"/>
  <c r="A1706" i="11"/>
  <c r="D1705" i="11"/>
  <c r="AG1705" i="11"/>
  <c r="AH1705" i="11"/>
  <c r="G1705" i="11"/>
  <c r="AF1705" i="11"/>
  <c r="AI1705" i="11"/>
  <c r="P1705" i="11"/>
  <c r="O1705" i="11"/>
  <c r="F1705" i="11"/>
  <c r="E1705" i="11"/>
  <c r="C1705" i="11"/>
  <c r="B1705" i="11"/>
  <c r="A1705" i="11"/>
  <c r="D1704" i="11"/>
  <c r="AG1704" i="11"/>
  <c r="AH1704" i="11"/>
  <c r="G1704" i="11"/>
  <c r="AF1704" i="11"/>
  <c r="AI1704" i="11"/>
  <c r="P1704" i="11"/>
  <c r="O1704" i="11"/>
  <c r="F1704" i="11"/>
  <c r="E1704" i="11"/>
  <c r="C1704" i="11"/>
  <c r="B1704" i="11"/>
  <c r="A1704" i="11"/>
  <c r="D1703" i="11"/>
  <c r="AG1703" i="11"/>
  <c r="AH1703" i="11"/>
  <c r="G1703" i="11"/>
  <c r="AF1703" i="11"/>
  <c r="AI1703" i="11"/>
  <c r="P1703" i="11"/>
  <c r="O1703" i="11"/>
  <c r="F1703" i="11"/>
  <c r="E1703" i="11"/>
  <c r="C1703" i="11"/>
  <c r="B1703" i="11"/>
  <c r="A1703" i="11"/>
  <c r="D1702" i="11"/>
  <c r="AG1702" i="11"/>
  <c r="AH1702" i="11"/>
  <c r="G1702" i="11"/>
  <c r="AF1702" i="11"/>
  <c r="AI1702" i="11"/>
  <c r="P1702" i="11"/>
  <c r="O1702" i="11"/>
  <c r="F1702" i="11"/>
  <c r="E1702" i="11"/>
  <c r="C1702" i="11"/>
  <c r="B1702" i="11"/>
  <c r="A1702" i="11"/>
  <c r="D1701" i="11"/>
  <c r="AG1701" i="11"/>
  <c r="AH1701" i="11"/>
  <c r="G1701" i="11"/>
  <c r="AF1701" i="11"/>
  <c r="AI1701" i="11"/>
  <c r="P1701" i="11"/>
  <c r="O1701" i="11"/>
  <c r="F1701" i="11"/>
  <c r="E1701" i="11"/>
  <c r="C1701" i="11"/>
  <c r="B1701" i="11"/>
  <c r="A1701" i="11"/>
  <c r="D1700" i="11"/>
  <c r="AG1700" i="11"/>
  <c r="AH1700" i="11"/>
  <c r="G1700" i="11"/>
  <c r="AF1700" i="11"/>
  <c r="AI1700" i="11"/>
  <c r="P1700" i="11"/>
  <c r="O1700" i="11"/>
  <c r="F1700" i="11"/>
  <c r="E1700" i="11"/>
  <c r="C1700" i="11"/>
  <c r="B1700" i="11"/>
  <c r="A1700" i="11"/>
  <c r="D1699" i="11"/>
  <c r="AG1699" i="11"/>
  <c r="AH1699" i="11"/>
  <c r="G1699" i="11"/>
  <c r="AF1699" i="11"/>
  <c r="AI1699" i="11"/>
  <c r="P1699" i="11"/>
  <c r="O1699" i="11"/>
  <c r="F1699" i="11"/>
  <c r="E1699" i="11"/>
  <c r="C1699" i="11"/>
  <c r="B1699" i="11"/>
  <c r="A1699" i="11"/>
  <c r="D1698" i="11"/>
  <c r="AG1698" i="11"/>
  <c r="AH1698" i="11"/>
  <c r="G1698" i="11"/>
  <c r="AF1698" i="11"/>
  <c r="AI1698" i="11"/>
  <c r="P1698" i="11"/>
  <c r="O1698" i="11"/>
  <c r="F1698" i="11"/>
  <c r="E1698" i="11"/>
  <c r="C1698" i="11"/>
  <c r="B1698" i="11"/>
  <c r="A1698" i="11"/>
  <c r="D1697" i="11"/>
  <c r="AG1697" i="11"/>
  <c r="AH1697" i="11"/>
  <c r="G1697" i="11"/>
  <c r="AF1697" i="11"/>
  <c r="AI1697" i="11"/>
  <c r="P1697" i="11"/>
  <c r="O1697" i="11"/>
  <c r="F1697" i="11"/>
  <c r="E1697" i="11"/>
  <c r="C1697" i="11"/>
  <c r="B1697" i="11"/>
  <c r="A1697" i="11"/>
  <c r="D1696" i="11"/>
  <c r="AG1696" i="11"/>
  <c r="AH1696" i="11"/>
  <c r="G1696" i="11"/>
  <c r="AF1696" i="11"/>
  <c r="AI1696" i="11"/>
  <c r="P1696" i="11"/>
  <c r="O1696" i="11"/>
  <c r="F1696" i="11"/>
  <c r="E1696" i="11"/>
  <c r="C1696" i="11"/>
  <c r="B1696" i="11"/>
  <c r="A1696" i="11"/>
  <c r="D1695" i="11"/>
  <c r="AG1695" i="11"/>
  <c r="AH1695" i="11"/>
  <c r="G1695" i="11"/>
  <c r="AF1695" i="11"/>
  <c r="AI1695" i="11"/>
  <c r="P1695" i="11"/>
  <c r="O1695" i="11"/>
  <c r="F1695" i="11"/>
  <c r="E1695" i="11"/>
  <c r="C1695" i="11"/>
  <c r="B1695" i="11"/>
  <c r="A1695" i="11"/>
  <c r="D1694" i="11"/>
  <c r="AG1694" i="11"/>
  <c r="AH1694" i="11"/>
  <c r="G1694" i="11"/>
  <c r="AF1694" i="11"/>
  <c r="AI1694" i="11"/>
  <c r="P1694" i="11"/>
  <c r="O1694" i="11"/>
  <c r="F1694" i="11"/>
  <c r="E1694" i="11"/>
  <c r="C1694" i="11"/>
  <c r="B1694" i="11"/>
  <c r="A1694" i="11"/>
  <c r="D1693" i="11"/>
  <c r="AG1693" i="11"/>
  <c r="AH1693" i="11"/>
  <c r="G1693" i="11"/>
  <c r="AF1693" i="11"/>
  <c r="AI1693" i="11"/>
  <c r="P1693" i="11"/>
  <c r="O1693" i="11"/>
  <c r="F1693" i="11"/>
  <c r="E1693" i="11"/>
  <c r="C1693" i="11"/>
  <c r="B1693" i="11"/>
  <c r="A1693" i="11"/>
  <c r="D1692" i="11"/>
  <c r="AG1692" i="11"/>
  <c r="AH1692" i="11"/>
  <c r="G1692" i="11"/>
  <c r="AF1692" i="11"/>
  <c r="AI1692" i="11"/>
  <c r="P1692" i="11"/>
  <c r="O1692" i="11"/>
  <c r="F1692" i="11"/>
  <c r="E1692" i="11"/>
  <c r="C1692" i="11"/>
  <c r="B1692" i="11"/>
  <c r="A1692" i="11"/>
  <c r="D1691" i="11"/>
  <c r="AG1691" i="11"/>
  <c r="AH1691" i="11"/>
  <c r="G1691" i="11"/>
  <c r="AF1691" i="11"/>
  <c r="AI1691" i="11"/>
  <c r="P1691" i="11"/>
  <c r="O1691" i="11"/>
  <c r="F1691" i="11"/>
  <c r="E1691" i="11"/>
  <c r="C1691" i="11"/>
  <c r="B1691" i="11"/>
  <c r="A1691" i="11"/>
  <c r="D1690" i="11"/>
  <c r="AG1690" i="11"/>
  <c r="AH1690" i="11"/>
  <c r="G1690" i="11"/>
  <c r="AF1690" i="11"/>
  <c r="AI1690" i="11"/>
  <c r="P1690" i="11"/>
  <c r="O1690" i="11"/>
  <c r="F1690" i="11"/>
  <c r="E1690" i="11"/>
  <c r="C1690" i="11"/>
  <c r="B1690" i="11"/>
  <c r="A1690" i="11"/>
  <c r="D1689" i="11"/>
  <c r="AG1689" i="11"/>
  <c r="AH1689" i="11"/>
  <c r="G1689" i="11"/>
  <c r="AF1689" i="11"/>
  <c r="AI1689" i="11"/>
  <c r="P1689" i="11"/>
  <c r="O1689" i="11"/>
  <c r="F1689" i="11"/>
  <c r="E1689" i="11"/>
  <c r="C1689" i="11"/>
  <c r="B1689" i="11"/>
  <c r="A1689" i="11"/>
  <c r="D1688" i="11"/>
  <c r="AG1688" i="11"/>
  <c r="AH1688" i="11"/>
  <c r="G1688" i="11"/>
  <c r="AF1688" i="11"/>
  <c r="AI1688" i="11"/>
  <c r="P1688" i="11"/>
  <c r="O1688" i="11"/>
  <c r="F1688" i="11"/>
  <c r="E1688" i="11"/>
  <c r="C1688" i="11"/>
  <c r="B1688" i="11"/>
  <c r="A1688" i="11"/>
  <c r="D1687" i="11"/>
  <c r="AG1687" i="11"/>
  <c r="AH1687" i="11"/>
  <c r="G1687" i="11"/>
  <c r="AF1687" i="11"/>
  <c r="AI1687" i="11"/>
  <c r="P1687" i="11"/>
  <c r="O1687" i="11"/>
  <c r="F1687" i="11"/>
  <c r="E1687" i="11"/>
  <c r="C1687" i="11"/>
  <c r="B1687" i="11"/>
  <c r="A1687" i="11"/>
  <c r="D1686" i="11"/>
  <c r="AG1686" i="11"/>
  <c r="AH1686" i="11"/>
  <c r="G1686" i="11"/>
  <c r="AF1686" i="11"/>
  <c r="AI1686" i="11"/>
  <c r="P1686" i="11"/>
  <c r="O1686" i="11"/>
  <c r="F1686" i="11"/>
  <c r="E1686" i="11"/>
  <c r="C1686" i="11"/>
  <c r="B1686" i="11"/>
  <c r="A1686" i="11"/>
  <c r="D1685" i="11"/>
  <c r="AG1685" i="11"/>
  <c r="AH1685" i="11"/>
  <c r="G1685" i="11"/>
  <c r="AF1685" i="11"/>
  <c r="AI1685" i="11"/>
  <c r="P1685" i="11"/>
  <c r="O1685" i="11"/>
  <c r="F1685" i="11"/>
  <c r="E1685" i="11"/>
  <c r="C1685" i="11"/>
  <c r="B1685" i="11"/>
  <c r="A1685" i="11"/>
  <c r="D1684" i="11"/>
  <c r="AG1684" i="11"/>
  <c r="AH1684" i="11"/>
  <c r="G1684" i="11"/>
  <c r="AF1684" i="11"/>
  <c r="AI1684" i="11"/>
  <c r="P1684" i="11"/>
  <c r="O1684" i="11"/>
  <c r="F1684" i="11"/>
  <c r="E1684" i="11"/>
  <c r="C1684" i="11"/>
  <c r="B1684" i="11"/>
  <c r="A1684" i="11"/>
  <c r="D1683" i="11"/>
  <c r="AG1683" i="11"/>
  <c r="AH1683" i="11"/>
  <c r="G1683" i="11"/>
  <c r="AF1683" i="11"/>
  <c r="AI1683" i="11"/>
  <c r="P1683" i="11"/>
  <c r="O1683" i="11"/>
  <c r="F1683" i="11"/>
  <c r="E1683" i="11"/>
  <c r="C1683" i="11"/>
  <c r="B1683" i="11"/>
  <c r="A1683" i="11"/>
  <c r="D1682" i="11"/>
  <c r="AG1682" i="11"/>
  <c r="AH1682" i="11"/>
  <c r="G1682" i="11"/>
  <c r="AF1682" i="11"/>
  <c r="AI1682" i="11"/>
  <c r="P1682" i="11"/>
  <c r="O1682" i="11"/>
  <c r="F1682" i="11"/>
  <c r="E1682" i="11"/>
  <c r="C1682" i="11"/>
  <c r="B1682" i="11"/>
  <c r="A1682" i="11"/>
  <c r="D1681" i="11"/>
  <c r="AG1681" i="11"/>
  <c r="AH1681" i="11"/>
  <c r="G1681" i="11"/>
  <c r="AF1681" i="11"/>
  <c r="AI1681" i="11"/>
  <c r="P1681" i="11"/>
  <c r="O1681" i="11"/>
  <c r="F1681" i="11"/>
  <c r="E1681" i="11"/>
  <c r="C1681" i="11"/>
  <c r="B1681" i="11"/>
  <c r="A1681" i="11"/>
  <c r="D1680" i="11"/>
  <c r="AG1680" i="11"/>
  <c r="AH1680" i="11"/>
  <c r="G1680" i="11"/>
  <c r="AF1680" i="11"/>
  <c r="AI1680" i="11"/>
  <c r="P1680" i="11"/>
  <c r="O1680" i="11"/>
  <c r="F1680" i="11"/>
  <c r="E1680" i="11"/>
  <c r="C1680" i="11"/>
  <c r="B1680" i="11"/>
  <c r="A1680" i="11"/>
  <c r="D1679" i="11"/>
  <c r="AG1679" i="11"/>
  <c r="AH1679" i="11"/>
  <c r="G1679" i="11"/>
  <c r="AF1679" i="11"/>
  <c r="AI1679" i="11"/>
  <c r="P1679" i="11"/>
  <c r="O1679" i="11"/>
  <c r="F1679" i="11"/>
  <c r="E1679" i="11"/>
  <c r="C1679" i="11"/>
  <c r="B1679" i="11"/>
  <c r="A1679" i="11"/>
  <c r="D1678" i="11"/>
  <c r="AG1678" i="11"/>
  <c r="AH1678" i="11"/>
  <c r="G1678" i="11"/>
  <c r="AF1678" i="11"/>
  <c r="AI1678" i="11"/>
  <c r="P1678" i="11"/>
  <c r="O1678" i="11"/>
  <c r="F1678" i="11"/>
  <c r="E1678" i="11"/>
  <c r="C1678" i="11"/>
  <c r="B1678" i="11"/>
  <c r="A1678" i="11"/>
  <c r="D1677" i="11"/>
  <c r="AG1677" i="11"/>
  <c r="AH1677" i="11"/>
  <c r="G1677" i="11"/>
  <c r="AF1677" i="11"/>
  <c r="AI1677" i="11"/>
  <c r="P1677" i="11"/>
  <c r="O1677" i="11"/>
  <c r="F1677" i="11"/>
  <c r="E1677" i="11"/>
  <c r="C1677" i="11"/>
  <c r="B1677" i="11"/>
  <c r="A1677" i="11"/>
  <c r="D1676" i="11"/>
  <c r="AG1676" i="11"/>
  <c r="AH1676" i="11"/>
  <c r="G1676" i="11"/>
  <c r="AF1676" i="11"/>
  <c r="AI1676" i="11"/>
  <c r="P1676" i="11"/>
  <c r="O1676" i="11"/>
  <c r="F1676" i="11"/>
  <c r="E1676" i="11"/>
  <c r="C1676" i="11"/>
  <c r="B1676" i="11"/>
  <c r="A1676" i="11"/>
  <c r="D1675" i="11"/>
  <c r="AG1675" i="11"/>
  <c r="AH1675" i="11"/>
  <c r="G1675" i="11"/>
  <c r="AF1675" i="11"/>
  <c r="AI1675" i="11"/>
  <c r="P1675" i="11"/>
  <c r="O1675" i="11"/>
  <c r="F1675" i="11"/>
  <c r="E1675" i="11"/>
  <c r="C1675" i="11"/>
  <c r="B1675" i="11"/>
  <c r="A1675" i="11"/>
  <c r="D1674" i="11"/>
  <c r="AG1674" i="11"/>
  <c r="AH1674" i="11"/>
  <c r="G1674" i="11"/>
  <c r="AF1674" i="11"/>
  <c r="AI1674" i="11"/>
  <c r="P1674" i="11"/>
  <c r="O1674" i="11"/>
  <c r="F1674" i="11"/>
  <c r="E1674" i="11"/>
  <c r="C1674" i="11"/>
  <c r="B1674" i="11"/>
  <c r="A1674" i="11"/>
  <c r="D1673" i="11"/>
  <c r="AG1673" i="11"/>
  <c r="AH1673" i="11"/>
  <c r="G1673" i="11"/>
  <c r="AF1673" i="11"/>
  <c r="AI1673" i="11"/>
  <c r="P1673" i="11"/>
  <c r="O1673" i="11"/>
  <c r="F1673" i="11"/>
  <c r="E1673" i="11"/>
  <c r="C1673" i="11"/>
  <c r="B1673" i="11"/>
  <c r="A1673" i="11"/>
  <c r="D1672" i="11"/>
  <c r="AG1672" i="11"/>
  <c r="AH1672" i="11"/>
  <c r="G1672" i="11"/>
  <c r="AF1672" i="11"/>
  <c r="AI1672" i="11"/>
  <c r="P1672" i="11"/>
  <c r="O1672" i="11"/>
  <c r="F1672" i="11"/>
  <c r="E1672" i="11"/>
  <c r="C1672" i="11"/>
  <c r="B1672" i="11"/>
  <c r="A1672" i="11"/>
  <c r="D1671" i="11"/>
  <c r="AG1671" i="11"/>
  <c r="AH1671" i="11"/>
  <c r="G1671" i="11"/>
  <c r="AF1671" i="11"/>
  <c r="AI1671" i="11"/>
  <c r="P1671" i="11"/>
  <c r="O1671" i="11"/>
  <c r="F1671" i="11"/>
  <c r="E1671" i="11"/>
  <c r="C1671" i="11"/>
  <c r="B1671" i="11"/>
  <c r="A1671" i="11"/>
  <c r="D1670" i="11"/>
  <c r="AG1670" i="11"/>
  <c r="AH1670" i="11"/>
  <c r="G1670" i="11"/>
  <c r="AF1670" i="11"/>
  <c r="AI1670" i="11"/>
  <c r="P1670" i="11"/>
  <c r="O1670" i="11"/>
  <c r="F1670" i="11"/>
  <c r="E1670" i="11"/>
  <c r="C1670" i="11"/>
  <c r="B1670" i="11"/>
  <c r="A1670" i="11"/>
  <c r="D1669" i="11"/>
  <c r="AG1669" i="11"/>
  <c r="AH1669" i="11"/>
  <c r="G1669" i="11"/>
  <c r="AF1669" i="11"/>
  <c r="AI1669" i="11"/>
  <c r="P1669" i="11"/>
  <c r="O1669" i="11"/>
  <c r="F1669" i="11"/>
  <c r="E1669" i="11"/>
  <c r="C1669" i="11"/>
  <c r="B1669" i="11"/>
  <c r="A1669" i="11"/>
  <c r="D1668" i="11"/>
  <c r="AG1668" i="11"/>
  <c r="AH1668" i="11"/>
  <c r="G1668" i="11"/>
  <c r="AF1668" i="11"/>
  <c r="AI1668" i="11"/>
  <c r="P1668" i="11"/>
  <c r="O1668" i="11"/>
  <c r="F1668" i="11"/>
  <c r="E1668" i="11"/>
  <c r="C1668" i="11"/>
  <c r="B1668" i="11"/>
  <c r="A1668" i="11"/>
  <c r="D1667" i="11"/>
  <c r="AG1667" i="11"/>
  <c r="AH1667" i="11"/>
  <c r="G1667" i="11"/>
  <c r="AF1667" i="11"/>
  <c r="AI1667" i="11"/>
  <c r="P1667" i="11"/>
  <c r="O1667" i="11"/>
  <c r="F1667" i="11"/>
  <c r="E1667" i="11"/>
  <c r="C1667" i="11"/>
  <c r="B1667" i="11"/>
  <c r="A1667" i="11"/>
  <c r="D1666" i="11"/>
  <c r="AG1666" i="11"/>
  <c r="AH1666" i="11"/>
  <c r="G1666" i="11"/>
  <c r="AF1666" i="11"/>
  <c r="AI1666" i="11"/>
  <c r="P1666" i="11"/>
  <c r="O1666" i="11"/>
  <c r="F1666" i="11"/>
  <c r="E1666" i="11"/>
  <c r="C1666" i="11"/>
  <c r="B1666" i="11"/>
  <c r="A1666" i="11"/>
  <c r="D1665" i="11"/>
  <c r="AG1665" i="11"/>
  <c r="AH1665" i="11"/>
  <c r="G1665" i="11"/>
  <c r="AF1665" i="11"/>
  <c r="AI1665" i="11"/>
  <c r="P1665" i="11"/>
  <c r="O1665" i="11"/>
  <c r="F1665" i="11"/>
  <c r="E1665" i="11"/>
  <c r="C1665" i="11"/>
  <c r="B1665" i="11"/>
  <c r="A1665" i="11"/>
  <c r="D1664" i="11"/>
  <c r="AG1664" i="11"/>
  <c r="AH1664" i="11"/>
  <c r="G1664" i="11"/>
  <c r="AF1664" i="11"/>
  <c r="AI1664" i="11"/>
  <c r="P1664" i="11"/>
  <c r="O1664" i="11"/>
  <c r="F1664" i="11"/>
  <c r="E1664" i="11"/>
  <c r="C1664" i="11"/>
  <c r="B1664" i="11"/>
  <c r="A1664" i="11"/>
  <c r="D1663" i="11"/>
  <c r="AG1663" i="11"/>
  <c r="AH1663" i="11"/>
  <c r="G1663" i="11"/>
  <c r="AF1663" i="11"/>
  <c r="AI1663" i="11"/>
  <c r="P1663" i="11"/>
  <c r="O1663" i="11"/>
  <c r="F1663" i="11"/>
  <c r="E1663" i="11"/>
  <c r="C1663" i="11"/>
  <c r="B1663" i="11"/>
  <c r="A1663" i="11"/>
  <c r="D1662" i="11"/>
  <c r="AG1662" i="11"/>
  <c r="AH1662" i="11"/>
  <c r="G1662" i="11"/>
  <c r="AF1662" i="11"/>
  <c r="AI1662" i="11"/>
  <c r="P1662" i="11"/>
  <c r="O1662" i="11"/>
  <c r="F1662" i="11"/>
  <c r="E1662" i="11"/>
  <c r="C1662" i="11"/>
  <c r="B1662" i="11"/>
  <c r="A1662" i="11"/>
  <c r="D1661" i="11"/>
  <c r="AG1661" i="11"/>
  <c r="AH1661" i="11"/>
  <c r="G1661" i="11"/>
  <c r="AF1661" i="11"/>
  <c r="AI1661" i="11"/>
  <c r="P1661" i="11"/>
  <c r="O1661" i="11"/>
  <c r="F1661" i="11"/>
  <c r="E1661" i="11"/>
  <c r="C1661" i="11"/>
  <c r="B1661" i="11"/>
  <c r="A1661" i="11"/>
  <c r="D1660" i="11"/>
  <c r="AG1660" i="11"/>
  <c r="AH1660" i="11"/>
  <c r="G1660" i="11"/>
  <c r="AF1660" i="11"/>
  <c r="AI1660" i="11"/>
  <c r="P1660" i="11"/>
  <c r="O1660" i="11"/>
  <c r="F1660" i="11"/>
  <c r="E1660" i="11"/>
  <c r="C1660" i="11"/>
  <c r="B1660" i="11"/>
  <c r="A1660" i="11"/>
  <c r="D1659" i="11"/>
  <c r="AG1659" i="11"/>
  <c r="AH1659" i="11"/>
  <c r="G1659" i="11"/>
  <c r="AF1659" i="11"/>
  <c r="AI1659" i="11"/>
  <c r="P1659" i="11"/>
  <c r="O1659" i="11"/>
  <c r="F1659" i="11"/>
  <c r="E1659" i="11"/>
  <c r="C1659" i="11"/>
  <c r="B1659" i="11"/>
  <c r="A1659" i="11"/>
  <c r="D1658" i="11"/>
  <c r="AG1658" i="11"/>
  <c r="AH1658" i="11"/>
  <c r="G1658" i="11"/>
  <c r="AF1658" i="11"/>
  <c r="AI1658" i="11"/>
  <c r="P1658" i="11"/>
  <c r="O1658" i="11"/>
  <c r="F1658" i="11"/>
  <c r="E1658" i="11"/>
  <c r="C1658" i="11"/>
  <c r="B1658" i="11"/>
  <c r="A1658" i="11"/>
  <c r="D1657" i="11"/>
  <c r="AG1657" i="11"/>
  <c r="AH1657" i="11"/>
  <c r="G1657" i="11"/>
  <c r="AF1657" i="11"/>
  <c r="AI1657" i="11"/>
  <c r="P1657" i="11"/>
  <c r="O1657" i="11"/>
  <c r="F1657" i="11"/>
  <c r="E1657" i="11"/>
  <c r="C1657" i="11"/>
  <c r="B1657" i="11"/>
  <c r="A1657" i="11"/>
  <c r="D1656" i="11"/>
  <c r="AG1656" i="11"/>
  <c r="AH1656" i="11"/>
  <c r="G1656" i="11"/>
  <c r="AF1656" i="11"/>
  <c r="AI1656" i="11"/>
  <c r="P1656" i="11"/>
  <c r="O1656" i="11"/>
  <c r="F1656" i="11"/>
  <c r="E1656" i="11"/>
  <c r="C1656" i="11"/>
  <c r="B1656" i="11"/>
  <c r="A1656" i="11"/>
  <c r="D1655" i="11"/>
  <c r="AG1655" i="11"/>
  <c r="AH1655" i="11"/>
  <c r="G1655" i="11"/>
  <c r="AF1655" i="11"/>
  <c r="AI1655" i="11"/>
  <c r="P1655" i="11"/>
  <c r="O1655" i="11"/>
  <c r="F1655" i="11"/>
  <c r="E1655" i="11"/>
  <c r="C1655" i="11"/>
  <c r="B1655" i="11"/>
  <c r="A1655" i="11"/>
  <c r="D1654" i="11"/>
  <c r="AG1654" i="11"/>
  <c r="AH1654" i="11"/>
  <c r="G1654" i="11"/>
  <c r="AF1654" i="11"/>
  <c r="AI1654" i="11"/>
  <c r="P1654" i="11"/>
  <c r="O1654" i="11"/>
  <c r="F1654" i="11"/>
  <c r="E1654" i="11"/>
  <c r="C1654" i="11"/>
  <c r="B1654" i="11"/>
  <c r="A1654" i="11"/>
  <c r="D1653" i="11"/>
  <c r="AG1653" i="11"/>
  <c r="AH1653" i="11"/>
  <c r="G1653" i="11"/>
  <c r="AF1653" i="11"/>
  <c r="AI1653" i="11"/>
  <c r="P1653" i="11"/>
  <c r="O1653" i="11"/>
  <c r="F1653" i="11"/>
  <c r="E1653" i="11"/>
  <c r="C1653" i="11"/>
  <c r="B1653" i="11"/>
  <c r="A1653" i="11"/>
  <c r="D1652" i="11"/>
  <c r="AG1652" i="11"/>
  <c r="AH1652" i="11"/>
  <c r="G1652" i="11"/>
  <c r="AF1652" i="11"/>
  <c r="AI1652" i="11"/>
  <c r="P1652" i="11"/>
  <c r="O1652" i="11"/>
  <c r="F1652" i="11"/>
  <c r="E1652" i="11"/>
  <c r="C1652" i="11"/>
  <c r="B1652" i="11"/>
  <c r="A1652" i="11"/>
  <c r="D1651" i="11"/>
  <c r="AG1651" i="11"/>
  <c r="AH1651" i="11"/>
  <c r="G1651" i="11"/>
  <c r="AF1651" i="11"/>
  <c r="AI1651" i="11"/>
  <c r="P1651" i="11"/>
  <c r="O1651" i="11"/>
  <c r="F1651" i="11"/>
  <c r="E1651" i="11"/>
  <c r="C1651" i="11"/>
  <c r="B1651" i="11"/>
  <c r="A1651" i="11"/>
  <c r="D1650" i="11"/>
  <c r="AG1650" i="11"/>
  <c r="AH1650" i="11"/>
  <c r="G1650" i="11"/>
  <c r="AF1650" i="11"/>
  <c r="AI1650" i="11"/>
  <c r="P1650" i="11"/>
  <c r="O1650" i="11"/>
  <c r="F1650" i="11"/>
  <c r="E1650" i="11"/>
  <c r="C1650" i="11"/>
  <c r="B1650" i="11"/>
  <c r="A1650" i="11"/>
  <c r="D1649" i="11"/>
  <c r="AG1649" i="11"/>
  <c r="AH1649" i="11"/>
  <c r="G1649" i="11"/>
  <c r="AF1649" i="11"/>
  <c r="AI1649" i="11"/>
  <c r="P1649" i="11"/>
  <c r="O1649" i="11"/>
  <c r="F1649" i="11"/>
  <c r="E1649" i="11"/>
  <c r="C1649" i="11"/>
  <c r="B1649" i="11"/>
  <c r="A1649" i="11"/>
  <c r="D1648" i="11"/>
  <c r="AG1648" i="11"/>
  <c r="AH1648" i="11"/>
  <c r="G1648" i="11"/>
  <c r="AF1648" i="11"/>
  <c r="AI1648" i="11"/>
  <c r="P1648" i="11"/>
  <c r="O1648" i="11"/>
  <c r="F1648" i="11"/>
  <c r="E1648" i="11"/>
  <c r="C1648" i="11"/>
  <c r="B1648" i="11"/>
  <c r="A1648" i="11"/>
  <c r="D1647" i="11"/>
  <c r="AG1647" i="11"/>
  <c r="AH1647" i="11"/>
  <c r="G1647" i="11"/>
  <c r="AF1647" i="11"/>
  <c r="AI1647" i="11"/>
  <c r="P1647" i="11"/>
  <c r="O1647" i="11"/>
  <c r="F1647" i="11"/>
  <c r="E1647" i="11"/>
  <c r="C1647" i="11"/>
  <c r="B1647" i="11"/>
  <c r="A1647" i="11"/>
  <c r="D1646" i="11"/>
  <c r="AG1646" i="11"/>
  <c r="AH1646" i="11"/>
  <c r="G1646" i="11"/>
  <c r="AF1646" i="11"/>
  <c r="AI1646" i="11"/>
  <c r="P1646" i="11"/>
  <c r="O1646" i="11"/>
  <c r="F1646" i="11"/>
  <c r="E1646" i="11"/>
  <c r="C1646" i="11"/>
  <c r="B1646" i="11"/>
  <c r="A1646" i="11"/>
  <c r="D1645" i="11"/>
  <c r="AG1645" i="11"/>
  <c r="AH1645" i="11"/>
  <c r="G1645" i="11"/>
  <c r="AF1645" i="11"/>
  <c r="AI1645" i="11"/>
  <c r="P1645" i="11"/>
  <c r="O1645" i="11"/>
  <c r="F1645" i="11"/>
  <c r="E1645" i="11"/>
  <c r="C1645" i="11"/>
  <c r="B1645" i="11"/>
  <c r="A1645" i="11"/>
  <c r="D1644" i="11"/>
  <c r="AG1644" i="11"/>
  <c r="AH1644" i="11"/>
  <c r="G1644" i="11"/>
  <c r="AF1644" i="11"/>
  <c r="AI1644" i="11"/>
  <c r="P1644" i="11"/>
  <c r="O1644" i="11"/>
  <c r="F1644" i="11"/>
  <c r="E1644" i="11"/>
  <c r="C1644" i="11"/>
  <c r="B1644" i="11"/>
  <c r="A1644" i="11"/>
  <c r="D1643" i="11"/>
  <c r="AG1643" i="11"/>
  <c r="AH1643" i="11"/>
  <c r="G1643" i="11"/>
  <c r="AF1643" i="11"/>
  <c r="AI1643" i="11"/>
  <c r="P1643" i="11"/>
  <c r="O1643" i="11"/>
  <c r="F1643" i="11"/>
  <c r="E1643" i="11"/>
  <c r="C1643" i="11"/>
  <c r="B1643" i="11"/>
  <c r="A1643" i="11"/>
  <c r="D1642" i="11"/>
  <c r="AG1642" i="11"/>
  <c r="AH1642" i="11"/>
  <c r="G1642" i="11"/>
  <c r="AF1642" i="11"/>
  <c r="AI1642" i="11"/>
  <c r="P1642" i="11"/>
  <c r="O1642" i="11"/>
  <c r="F1642" i="11"/>
  <c r="E1642" i="11"/>
  <c r="C1642" i="11"/>
  <c r="B1642" i="11"/>
  <c r="A1642" i="11"/>
  <c r="D1641" i="11"/>
  <c r="AG1641" i="11"/>
  <c r="AH1641" i="11"/>
  <c r="G1641" i="11"/>
  <c r="AF1641" i="11"/>
  <c r="AI1641" i="11"/>
  <c r="P1641" i="11"/>
  <c r="O1641" i="11"/>
  <c r="F1641" i="11"/>
  <c r="E1641" i="11"/>
  <c r="C1641" i="11"/>
  <c r="B1641" i="11"/>
  <c r="A1641" i="11"/>
  <c r="D1640" i="11"/>
  <c r="AG1640" i="11"/>
  <c r="AH1640" i="11"/>
  <c r="G1640" i="11"/>
  <c r="AF1640" i="11"/>
  <c r="AI1640" i="11"/>
  <c r="P1640" i="11"/>
  <c r="O1640" i="11"/>
  <c r="F1640" i="11"/>
  <c r="E1640" i="11"/>
  <c r="C1640" i="11"/>
  <c r="B1640" i="11"/>
  <c r="A1640" i="11"/>
  <c r="D1639" i="11"/>
  <c r="AG1639" i="11"/>
  <c r="AH1639" i="11"/>
  <c r="G1639" i="11"/>
  <c r="AF1639" i="11"/>
  <c r="AI1639" i="11"/>
  <c r="P1639" i="11"/>
  <c r="O1639" i="11"/>
  <c r="F1639" i="11"/>
  <c r="E1639" i="11"/>
  <c r="C1639" i="11"/>
  <c r="B1639" i="11"/>
  <c r="A1639" i="11"/>
  <c r="D1638" i="11"/>
  <c r="AG1638" i="11"/>
  <c r="AH1638" i="11"/>
  <c r="G1638" i="11"/>
  <c r="AF1638" i="11"/>
  <c r="AI1638" i="11"/>
  <c r="P1638" i="11"/>
  <c r="O1638" i="11"/>
  <c r="F1638" i="11"/>
  <c r="E1638" i="11"/>
  <c r="C1638" i="11"/>
  <c r="B1638" i="11"/>
  <c r="A1638" i="11"/>
  <c r="D1637" i="11"/>
  <c r="AG1637" i="11"/>
  <c r="AH1637" i="11"/>
  <c r="G1637" i="11"/>
  <c r="AF1637" i="11"/>
  <c r="AI1637" i="11"/>
  <c r="P1637" i="11"/>
  <c r="O1637" i="11"/>
  <c r="F1637" i="11"/>
  <c r="E1637" i="11"/>
  <c r="C1637" i="11"/>
  <c r="B1637" i="11"/>
  <c r="A1637" i="11"/>
  <c r="D1636" i="11"/>
  <c r="AG1636" i="11"/>
  <c r="AH1636" i="11"/>
  <c r="G1636" i="11"/>
  <c r="AF1636" i="11"/>
  <c r="AI1636" i="11"/>
  <c r="P1636" i="11"/>
  <c r="O1636" i="11"/>
  <c r="F1636" i="11"/>
  <c r="E1636" i="11"/>
  <c r="C1636" i="11"/>
  <c r="B1636" i="11"/>
  <c r="A1636" i="11"/>
  <c r="D1635" i="11"/>
  <c r="AG1635" i="11"/>
  <c r="AH1635" i="11"/>
  <c r="G1635" i="11"/>
  <c r="AF1635" i="11"/>
  <c r="AI1635" i="11"/>
  <c r="P1635" i="11"/>
  <c r="O1635" i="11"/>
  <c r="F1635" i="11"/>
  <c r="E1635" i="11"/>
  <c r="C1635" i="11"/>
  <c r="B1635" i="11"/>
  <c r="A1635" i="11"/>
  <c r="D1634" i="11"/>
  <c r="AG1634" i="11"/>
  <c r="AH1634" i="11"/>
  <c r="G1634" i="11"/>
  <c r="AF1634" i="11"/>
  <c r="AI1634" i="11"/>
  <c r="P1634" i="11"/>
  <c r="O1634" i="11"/>
  <c r="F1634" i="11"/>
  <c r="E1634" i="11"/>
  <c r="C1634" i="11"/>
  <c r="B1634" i="11"/>
  <c r="A1634" i="11"/>
  <c r="D1633" i="11"/>
  <c r="AG1633" i="11"/>
  <c r="AH1633" i="11"/>
  <c r="G1633" i="11"/>
  <c r="AF1633" i="11"/>
  <c r="AI1633" i="11"/>
  <c r="P1633" i="11"/>
  <c r="O1633" i="11"/>
  <c r="F1633" i="11"/>
  <c r="E1633" i="11"/>
  <c r="C1633" i="11"/>
  <c r="B1633" i="11"/>
  <c r="A1633" i="11"/>
  <c r="D1632" i="11"/>
  <c r="AG1632" i="11"/>
  <c r="AH1632" i="11"/>
  <c r="G1632" i="11"/>
  <c r="AF1632" i="11"/>
  <c r="AI1632" i="11"/>
  <c r="P1632" i="11"/>
  <c r="O1632" i="11"/>
  <c r="F1632" i="11"/>
  <c r="E1632" i="11"/>
  <c r="C1632" i="11"/>
  <c r="B1632" i="11"/>
  <c r="A1632" i="11"/>
  <c r="D1631" i="11"/>
  <c r="AG1631" i="11"/>
  <c r="AH1631" i="11"/>
  <c r="G1631" i="11"/>
  <c r="AF1631" i="11"/>
  <c r="AI1631" i="11"/>
  <c r="P1631" i="11"/>
  <c r="O1631" i="11"/>
  <c r="F1631" i="11"/>
  <c r="E1631" i="11"/>
  <c r="C1631" i="11"/>
  <c r="B1631" i="11"/>
  <c r="A1631" i="11"/>
  <c r="D1630" i="11"/>
  <c r="AG1630" i="11"/>
  <c r="AH1630" i="11"/>
  <c r="G1630" i="11"/>
  <c r="AF1630" i="11"/>
  <c r="AI1630" i="11"/>
  <c r="P1630" i="11"/>
  <c r="O1630" i="11"/>
  <c r="F1630" i="11"/>
  <c r="E1630" i="11"/>
  <c r="C1630" i="11"/>
  <c r="B1630" i="11"/>
  <c r="A1630" i="11"/>
  <c r="D1629" i="11"/>
  <c r="AG1629" i="11"/>
  <c r="AH1629" i="11"/>
  <c r="G1629" i="11"/>
  <c r="AF1629" i="11"/>
  <c r="AI1629" i="11"/>
  <c r="P1629" i="11"/>
  <c r="O1629" i="11"/>
  <c r="F1629" i="11"/>
  <c r="E1629" i="11"/>
  <c r="C1629" i="11"/>
  <c r="B1629" i="11"/>
  <c r="A1629" i="11"/>
  <c r="D1628" i="11"/>
  <c r="AG1628" i="11"/>
  <c r="AH1628" i="11"/>
  <c r="G1628" i="11"/>
  <c r="AF1628" i="11"/>
  <c r="AI1628" i="11"/>
  <c r="P1628" i="11"/>
  <c r="O1628" i="11"/>
  <c r="F1628" i="11"/>
  <c r="E1628" i="11"/>
  <c r="C1628" i="11"/>
  <c r="B1628" i="11"/>
  <c r="A1628" i="11"/>
  <c r="D1627" i="11"/>
  <c r="AG1627" i="11"/>
  <c r="AH1627" i="11"/>
  <c r="G1627" i="11"/>
  <c r="AF1627" i="11"/>
  <c r="AI1627" i="11"/>
  <c r="P1627" i="11"/>
  <c r="O1627" i="11"/>
  <c r="F1627" i="11"/>
  <c r="E1627" i="11"/>
  <c r="C1627" i="11"/>
  <c r="B1627" i="11"/>
  <c r="A1627" i="11"/>
  <c r="D1626" i="11"/>
  <c r="AG1626" i="11"/>
  <c r="AH1626" i="11"/>
  <c r="G1626" i="11"/>
  <c r="AF1626" i="11"/>
  <c r="AI1626" i="11"/>
  <c r="P1626" i="11"/>
  <c r="O1626" i="11"/>
  <c r="F1626" i="11"/>
  <c r="E1626" i="11"/>
  <c r="C1626" i="11"/>
  <c r="B1626" i="11"/>
  <c r="A1626" i="11"/>
  <c r="D1625" i="11"/>
  <c r="AG1625" i="11"/>
  <c r="AH1625" i="11"/>
  <c r="G1625" i="11"/>
  <c r="AF1625" i="11"/>
  <c r="AI1625" i="11"/>
  <c r="P1625" i="11"/>
  <c r="O1625" i="11"/>
  <c r="F1625" i="11"/>
  <c r="E1625" i="11"/>
  <c r="C1625" i="11"/>
  <c r="B1625" i="11"/>
  <c r="A1625" i="11"/>
  <c r="D1624" i="11"/>
  <c r="AG1624" i="11"/>
  <c r="AH1624" i="11"/>
  <c r="G1624" i="11"/>
  <c r="AF1624" i="11"/>
  <c r="AI1624" i="11"/>
  <c r="P1624" i="11"/>
  <c r="O1624" i="11"/>
  <c r="F1624" i="11"/>
  <c r="E1624" i="11"/>
  <c r="C1624" i="11"/>
  <c r="B1624" i="11"/>
  <c r="A1624" i="11"/>
  <c r="D1623" i="11"/>
  <c r="AG1623" i="11"/>
  <c r="AH1623" i="11"/>
  <c r="G1623" i="11"/>
  <c r="AF1623" i="11"/>
  <c r="AI1623" i="11"/>
  <c r="P1623" i="11"/>
  <c r="O1623" i="11"/>
  <c r="F1623" i="11"/>
  <c r="E1623" i="11"/>
  <c r="C1623" i="11"/>
  <c r="B1623" i="11"/>
  <c r="A1623" i="11"/>
  <c r="D1622" i="11"/>
  <c r="AG1622" i="11"/>
  <c r="AH1622" i="11"/>
  <c r="G1622" i="11"/>
  <c r="AF1622" i="11"/>
  <c r="AI1622" i="11"/>
  <c r="P1622" i="11"/>
  <c r="O1622" i="11"/>
  <c r="F1622" i="11"/>
  <c r="E1622" i="11"/>
  <c r="C1622" i="11"/>
  <c r="B1622" i="11"/>
  <c r="A1622" i="11"/>
  <c r="D1621" i="11"/>
  <c r="AG1621" i="11"/>
  <c r="AH1621" i="11"/>
  <c r="G1621" i="11"/>
  <c r="AF1621" i="11"/>
  <c r="AI1621" i="11"/>
  <c r="P1621" i="11"/>
  <c r="O1621" i="11"/>
  <c r="F1621" i="11"/>
  <c r="E1621" i="11"/>
  <c r="C1621" i="11"/>
  <c r="B1621" i="11"/>
  <c r="A1621" i="11"/>
  <c r="D1620" i="11"/>
  <c r="AG1620" i="11"/>
  <c r="AH1620" i="11"/>
  <c r="G1620" i="11"/>
  <c r="AF1620" i="11"/>
  <c r="AI1620" i="11"/>
  <c r="P1620" i="11"/>
  <c r="O1620" i="11"/>
  <c r="F1620" i="11"/>
  <c r="E1620" i="11"/>
  <c r="C1620" i="11"/>
  <c r="B1620" i="11"/>
  <c r="A1620" i="11"/>
  <c r="D1619" i="11"/>
  <c r="AG1619" i="11"/>
  <c r="AH1619" i="11"/>
  <c r="G1619" i="11"/>
  <c r="AF1619" i="11"/>
  <c r="AI1619" i="11"/>
  <c r="P1619" i="11"/>
  <c r="O1619" i="11"/>
  <c r="F1619" i="11"/>
  <c r="E1619" i="11"/>
  <c r="C1619" i="11"/>
  <c r="B1619" i="11"/>
  <c r="A1619" i="11"/>
  <c r="D1618" i="11"/>
  <c r="AG1618" i="11"/>
  <c r="AH1618" i="11"/>
  <c r="G1618" i="11"/>
  <c r="AF1618" i="11"/>
  <c r="AI1618" i="11"/>
  <c r="P1618" i="11"/>
  <c r="O1618" i="11"/>
  <c r="F1618" i="11"/>
  <c r="E1618" i="11"/>
  <c r="C1618" i="11"/>
  <c r="B1618" i="11"/>
  <c r="A1618" i="11"/>
  <c r="D1617" i="11"/>
  <c r="AG1617" i="11"/>
  <c r="AH1617" i="11"/>
  <c r="G1617" i="11"/>
  <c r="AF1617" i="11"/>
  <c r="AI1617" i="11"/>
  <c r="P1617" i="11"/>
  <c r="O1617" i="11"/>
  <c r="F1617" i="11"/>
  <c r="E1617" i="11"/>
  <c r="C1617" i="11"/>
  <c r="B1617" i="11"/>
  <c r="A1617" i="11"/>
  <c r="D1616" i="11"/>
  <c r="AG1616" i="11"/>
  <c r="AH1616" i="11"/>
  <c r="G1616" i="11"/>
  <c r="AF1616" i="11"/>
  <c r="AI1616" i="11"/>
  <c r="P1616" i="11"/>
  <c r="O1616" i="11"/>
  <c r="F1616" i="11"/>
  <c r="E1616" i="11"/>
  <c r="C1616" i="11"/>
  <c r="B1616" i="11"/>
  <c r="A1616" i="11"/>
  <c r="D1615" i="11"/>
  <c r="AG1615" i="11"/>
  <c r="AH1615" i="11"/>
  <c r="G1615" i="11"/>
  <c r="AF1615" i="11"/>
  <c r="AI1615" i="11"/>
  <c r="P1615" i="11"/>
  <c r="O1615" i="11"/>
  <c r="F1615" i="11"/>
  <c r="E1615" i="11"/>
  <c r="C1615" i="11"/>
  <c r="B1615" i="11"/>
  <c r="A1615" i="11"/>
  <c r="D1614" i="11"/>
  <c r="AG1614" i="11"/>
  <c r="AH1614" i="11"/>
  <c r="G1614" i="11"/>
  <c r="AF1614" i="11"/>
  <c r="AI1614" i="11"/>
  <c r="P1614" i="11"/>
  <c r="O1614" i="11"/>
  <c r="F1614" i="11"/>
  <c r="E1614" i="11"/>
  <c r="C1614" i="11"/>
  <c r="B1614" i="11"/>
  <c r="A1614" i="11"/>
  <c r="D1613" i="11"/>
  <c r="AG1613" i="11"/>
  <c r="AH1613" i="11"/>
  <c r="G1613" i="11"/>
  <c r="AF1613" i="11"/>
  <c r="AI1613" i="11"/>
  <c r="P1613" i="11"/>
  <c r="O1613" i="11"/>
  <c r="F1613" i="11"/>
  <c r="E1613" i="11"/>
  <c r="C1613" i="11"/>
  <c r="B1613" i="11"/>
  <c r="A1613" i="11"/>
  <c r="D1612" i="11"/>
  <c r="AG1612" i="11"/>
  <c r="AH1612" i="11"/>
  <c r="G1612" i="11"/>
  <c r="AF1612" i="11"/>
  <c r="AI1612" i="11"/>
  <c r="P1612" i="11"/>
  <c r="O1612" i="11"/>
  <c r="F1612" i="11"/>
  <c r="E1612" i="11"/>
  <c r="C1612" i="11"/>
  <c r="B1612" i="11"/>
  <c r="A1612" i="11"/>
  <c r="D1611" i="11"/>
  <c r="AG1611" i="11"/>
  <c r="AH1611" i="11"/>
  <c r="G1611" i="11"/>
  <c r="AF1611" i="11"/>
  <c r="AI1611" i="11"/>
  <c r="P1611" i="11"/>
  <c r="O1611" i="11"/>
  <c r="F1611" i="11"/>
  <c r="E1611" i="11"/>
  <c r="C1611" i="11"/>
  <c r="B1611" i="11"/>
  <c r="A1611" i="11"/>
  <c r="D1610" i="11"/>
  <c r="AG1610" i="11"/>
  <c r="AH1610" i="11"/>
  <c r="G1610" i="11"/>
  <c r="AF1610" i="11"/>
  <c r="AI1610" i="11"/>
  <c r="P1610" i="11"/>
  <c r="O1610" i="11"/>
  <c r="F1610" i="11"/>
  <c r="E1610" i="11"/>
  <c r="C1610" i="11"/>
  <c r="B1610" i="11"/>
  <c r="A1610" i="11"/>
  <c r="D1609" i="11"/>
  <c r="AG1609" i="11"/>
  <c r="AH1609" i="11"/>
  <c r="G1609" i="11"/>
  <c r="AF1609" i="11"/>
  <c r="AI1609" i="11"/>
  <c r="P1609" i="11"/>
  <c r="O1609" i="11"/>
  <c r="F1609" i="11"/>
  <c r="E1609" i="11"/>
  <c r="C1609" i="11"/>
  <c r="B1609" i="11"/>
  <c r="A1609" i="11"/>
  <c r="D1608" i="11"/>
  <c r="AG1608" i="11"/>
  <c r="AH1608" i="11"/>
  <c r="G1608" i="11"/>
  <c r="AF1608" i="11"/>
  <c r="AI1608" i="11"/>
  <c r="P1608" i="11"/>
  <c r="O1608" i="11"/>
  <c r="F1608" i="11"/>
  <c r="E1608" i="11"/>
  <c r="C1608" i="11"/>
  <c r="B1608" i="11"/>
  <c r="A1608" i="11"/>
  <c r="D1607" i="11"/>
  <c r="AG1607" i="11"/>
  <c r="AH1607" i="11"/>
  <c r="G1607" i="11"/>
  <c r="AF1607" i="11"/>
  <c r="AI1607" i="11"/>
  <c r="P1607" i="11"/>
  <c r="O1607" i="11"/>
  <c r="F1607" i="11"/>
  <c r="E1607" i="11"/>
  <c r="C1607" i="11"/>
  <c r="B1607" i="11"/>
  <c r="A1607" i="11"/>
  <c r="D1606" i="11"/>
  <c r="AG1606" i="11"/>
  <c r="AH1606" i="11"/>
  <c r="G1606" i="11"/>
  <c r="AF1606" i="11"/>
  <c r="AI1606" i="11"/>
  <c r="P1606" i="11"/>
  <c r="O1606" i="11"/>
  <c r="F1606" i="11"/>
  <c r="E1606" i="11"/>
  <c r="C1606" i="11"/>
  <c r="B1606" i="11"/>
  <c r="A1606" i="11"/>
  <c r="D1605" i="11"/>
  <c r="AG1605" i="11"/>
  <c r="AH1605" i="11"/>
  <c r="G1605" i="11"/>
  <c r="AF1605" i="11"/>
  <c r="AI1605" i="11"/>
  <c r="P1605" i="11"/>
  <c r="O1605" i="11"/>
  <c r="F1605" i="11"/>
  <c r="E1605" i="11"/>
  <c r="C1605" i="11"/>
  <c r="B1605" i="11"/>
  <c r="A1605" i="11"/>
  <c r="D1604" i="11"/>
  <c r="AG1604" i="11"/>
  <c r="AH1604" i="11"/>
  <c r="G1604" i="11"/>
  <c r="AF1604" i="11"/>
  <c r="AI1604" i="11"/>
  <c r="P1604" i="11"/>
  <c r="O1604" i="11"/>
  <c r="F1604" i="11"/>
  <c r="E1604" i="11"/>
  <c r="C1604" i="11"/>
  <c r="B1604" i="11"/>
  <c r="A1604" i="11"/>
  <c r="D1603" i="11"/>
  <c r="AG1603" i="11"/>
  <c r="AH1603" i="11"/>
  <c r="G1603" i="11"/>
  <c r="AF1603" i="11"/>
  <c r="AI1603" i="11"/>
  <c r="P1603" i="11"/>
  <c r="O1603" i="11"/>
  <c r="F1603" i="11"/>
  <c r="E1603" i="11"/>
  <c r="C1603" i="11"/>
  <c r="B1603" i="11"/>
  <c r="A1603" i="11"/>
  <c r="D1602" i="11"/>
  <c r="AG1602" i="11"/>
  <c r="AH1602" i="11"/>
  <c r="G1602" i="11"/>
  <c r="AF1602" i="11"/>
  <c r="AI1602" i="11"/>
  <c r="P1602" i="11"/>
  <c r="O1602" i="11"/>
  <c r="F1602" i="11"/>
  <c r="E1602" i="11"/>
  <c r="C1602" i="11"/>
  <c r="B1602" i="11"/>
  <c r="A1602" i="11"/>
  <c r="D1601" i="11"/>
  <c r="AG1601" i="11"/>
  <c r="AH1601" i="11"/>
  <c r="G1601" i="11"/>
  <c r="AF1601" i="11"/>
  <c r="AI1601" i="11"/>
  <c r="P1601" i="11"/>
  <c r="O1601" i="11"/>
  <c r="F1601" i="11"/>
  <c r="E1601" i="11"/>
  <c r="C1601" i="11"/>
  <c r="B1601" i="11"/>
  <c r="A1601" i="11"/>
  <c r="D1600" i="11"/>
  <c r="AG1600" i="11"/>
  <c r="AH1600" i="11"/>
  <c r="G1600" i="11"/>
  <c r="AF1600" i="11"/>
  <c r="AI1600" i="11"/>
  <c r="P1600" i="11"/>
  <c r="O1600" i="11"/>
  <c r="F1600" i="11"/>
  <c r="E1600" i="11"/>
  <c r="C1600" i="11"/>
  <c r="B1600" i="11"/>
  <c r="A1600" i="11"/>
  <c r="D1599" i="11"/>
  <c r="AG1599" i="11"/>
  <c r="AH1599" i="11"/>
  <c r="G1599" i="11"/>
  <c r="AF1599" i="11"/>
  <c r="AI1599" i="11"/>
  <c r="P1599" i="11"/>
  <c r="O1599" i="11"/>
  <c r="F1599" i="11"/>
  <c r="E1599" i="11"/>
  <c r="C1599" i="11"/>
  <c r="B1599" i="11"/>
  <c r="A1599" i="11"/>
  <c r="D1598" i="11"/>
  <c r="AG1598" i="11"/>
  <c r="AH1598" i="11"/>
  <c r="G1598" i="11"/>
  <c r="AF1598" i="11"/>
  <c r="AI1598" i="11"/>
  <c r="P1598" i="11"/>
  <c r="O1598" i="11"/>
  <c r="F1598" i="11"/>
  <c r="E1598" i="11"/>
  <c r="C1598" i="11"/>
  <c r="B1598" i="11"/>
  <c r="A1598" i="11"/>
  <c r="D1597" i="11"/>
  <c r="AG1597" i="11"/>
  <c r="AH1597" i="11"/>
  <c r="G1597" i="11"/>
  <c r="AF1597" i="11"/>
  <c r="AI1597" i="11"/>
  <c r="P1597" i="11"/>
  <c r="O1597" i="11"/>
  <c r="F1597" i="11"/>
  <c r="E1597" i="11"/>
  <c r="C1597" i="11"/>
  <c r="B1597" i="11"/>
  <c r="A1597" i="11"/>
  <c r="D1596" i="11"/>
  <c r="AG1596" i="11"/>
  <c r="AH1596" i="11"/>
  <c r="G1596" i="11"/>
  <c r="AF1596" i="11"/>
  <c r="AI1596" i="11"/>
  <c r="P1596" i="11"/>
  <c r="O1596" i="11"/>
  <c r="F1596" i="11"/>
  <c r="E1596" i="11"/>
  <c r="C1596" i="11"/>
  <c r="B1596" i="11"/>
  <c r="A1596" i="11"/>
  <c r="D1595" i="11"/>
  <c r="AG1595" i="11"/>
  <c r="AH1595" i="11"/>
  <c r="G1595" i="11"/>
  <c r="AF1595" i="11"/>
  <c r="AI1595" i="11"/>
  <c r="P1595" i="11"/>
  <c r="O1595" i="11"/>
  <c r="F1595" i="11"/>
  <c r="E1595" i="11"/>
  <c r="C1595" i="11"/>
  <c r="B1595" i="11"/>
  <c r="A1595" i="11"/>
  <c r="D1594" i="11"/>
  <c r="AG1594" i="11"/>
  <c r="AH1594" i="11"/>
  <c r="G1594" i="11"/>
  <c r="AF1594" i="11"/>
  <c r="AI1594" i="11"/>
  <c r="P1594" i="11"/>
  <c r="O1594" i="11"/>
  <c r="F1594" i="11"/>
  <c r="E1594" i="11"/>
  <c r="C1594" i="11"/>
  <c r="B1594" i="11"/>
  <c r="A1594" i="11"/>
  <c r="D1593" i="11"/>
  <c r="AG1593" i="11"/>
  <c r="AH1593" i="11"/>
  <c r="G1593" i="11"/>
  <c r="AF1593" i="11"/>
  <c r="AI1593" i="11"/>
  <c r="P1593" i="11"/>
  <c r="O1593" i="11"/>
  <c r="F1593" i="11"/>
  <c r="E1593" i="11"/>
  <c r="C1593" i="11"/>
  <c r="B1593" i="11"/>
  <c r="A1593" i="11"/>
  <c r="D1592" i="11"/>
  <c r="AG1592" i="11"/>
  <c r="AH1592" i="11"/>
  <c r="G1592" i="11"/>
  <c r="AF1592" i="11"/>
  <c r="AI1592" i="11"/>
  <c r="P1592" i="11"/>
  <c r="O1592" i="11"/>
  <c r="F1592" i="11"/>
  <c r="E1592" i="11"/>
  <c r="C1592" i="11"/>
  <c r="B1592" i="11"/>
  <c r="A1592" i="11"/>
  <c r="M841" i="11"/>
  <c r="M1056" i="11"/>
  <c r="M809" i="11"/>
  <c r="M799" i="11"/>
  <c r="M521" i="11"/>
  <c r="M674" i="11"/>
  <c r="M673" i="11"/>
  <c r="P726" i="11"/>
  <c r="O726" i="11"/>
  <c r="R947" i="11"/>
  <c r="R900" i="11"/>
  <c r="M5125" i="9"/>
  <c r="M4721" i="9"/>
  <c r="N27" i="2"/>
  <c r="D1071" i="11"/>
  <c r="AG1071" i="11"/>
  <c r="AH1071" i="11"/>
  <c r="G1071" i="11"/>
  <c r="AF1071" i="11"/>
  <c r="AI1071" i="11"/>
  <c r="P1071" i="11"/>
  <c r="O1071" i="11"/>
  <c r="F1071" i="11"/>
  <c r="E1071" i="11"/>
  <c r="C1071" i="11"/>
  <c r="B1071" i="11"/>
  <c r="A1071" i="11"/>
  <c r="D1070" i="11"/>
  <c r="AG1070" i="11"/>
  <c r="AH1070" i="11"/>
  <c r="G1070" i="11"/>
  <c r="AF1070" i="11"/>
  <c r="AI1070" i="11"/>
  <c r="P1070" i="11"/>
  <c r="O1070" i="11"/>
  <c r="F1070" i="11"/>
  <c r="E1070" i="11"/>
  <c r="C1070" i="11"/>
  <c r="B1070" i="11"/>
  <c r="A1070" i="11"/>
  <c r="D1069" i="11"/>
  <c r="AG1069" i="11"/>
  <c r="AH1069" i="11"/>
  <c r="G1069" i="11"/>
  <c r="AF1069" i="11"/>
  <c r="AI1069" i="11"/>
  <c r="P1069" i="11"/>
  <c r="O1069" i="11"/>
  <c r="F1069" i="11"/>
  <c r="E1069" i="11"/>
  <c r="C1069" i="11"/>
  <c r="B1069" i="11"/>
  <c r="A1069" i="11"/>
  <c r="D1068" i="11"/>
  <c r="AG1068" i="11"/>
  <c r="AH1068" i="11"/>
  <c r="G1068" i="11"/>
  <c r="AF1068" i="11"/>
  <c r="AI1068" i="11"/>
  <c r="P1068" i="11"/>
  <c r="O1068" i="11"/>
  <c r="F1068" i="11"/>
  <c r="E1068" i="11"/>
  <c r="C1068" i="11"/>
  <c r="B1068" i="11"/>
  <c r="A1068" i="11"/>
  <c r="D1067" i="11"/>
  <c r="AG1067" i="11"/>
  <c r="AH1067" i="11"/>
  <c r="G1067" i="11"/>
  <c r="AF1067" i="11"/>
  <c r="AI1067" i="11"/>
  <c r="P1067" i="11"/>
  <c r="O1067" i="11"/>
  <c r="F1067" i="11"/>
  <c r="E1067" i="11"/>
  <c r="C1067" i="11"/>
  <c r="B1067" i="11"/>
  <c r="A1067" i="11"/>
  <c r="H987" i="11"/>
  <c r="N25" i="2"/>
  <c r="M1080" i="11"/>
  <c r="M1079" i="11"/>
  <c r="W689" i="11"/>
  <c r="R679" i="11"/>
  <c r="W679" i="11"/>
  <c r="W659" i="11"/>
  <c r="W658" i="11"/>
  <c r="W630" i="11"/>
  <c r="W629" i="11"/>
  <c r="W626" i="11"/>
  <c r="W623" i="11"/>
  <c r="W622" i="11"/>
  <c r="W621" i="11"/>
  <c r="W619" i="11"/>
  <c r="W617" i="11"/>
  <c r="W614" i="11"/>
  <c r="W612" i="11"/>
  <c r="W611" i="11"/>
  <c r="W604" i="11"/>
  <c r="W599" i="11"/>
  <c r="W595" i="11"/>
  <c r="W594" i="11"/>
  <c r="W590" i="11"/>
  <c r="W589" i="11"/>
  <c r="W583" i="11"/>
  <c r="W582" i="11"/>
  <c r="W580" i="11"/>
  <c r="W579" i="11"/>
  <c r="W578" i="11"/>
  <c r="W577" i="11"/>
  <c r="W576" i="11"/>
  <c r="W572" i="11"/>
  <c r="W571" i="11"/>
  <c r="W570" i="11"/>
  <c r="W569" i="11"/>
  <c r="W568" i="11"/>
  <c r="W566" i="11"/>
  <c r="W565" i="11"/>
  <c r="W535" i="11"/>
  <c r="W534" i="11"/>
  <c r="W533" i="11"/>
  <c r="W531" i="11"/>
  <c r="W528" i="11"/>
  <c r="W526" i="11"/>
  <c r="R523" i="11"/>
  <c r="W523" i="11"/>
  <c r="W522" i="11"/>
  <c r="W519" i="11"/>
  <c r="W518" i="11"/>
  <c r="W517" i="11"/>
  <c r="W516" i="11"/>
  <c r="W513" i="11"/>
  <c r="W494" i="11"/>
  <c r="W493" i="11"/>
  <c r="W488" i="11"/>
  <c r="W487" i="11"/>
  <c r="W486" i="11"/>
  <c r="W482" i="11"/>
  <c r="W481" i="11"/>
  <c r="W480" i="11"/>
  <c r="W478" i="11"/>
  <c r="W477" i="11"/>
  <c r="W475" i="11"/>
  <c r="W465" i="11"/>
  <c r="W461" i="11"/>
  <c r="W458" i="11"/>
  <c r="W456" i="11"/>
  <c r="W455" i="11"/>
  <c r="W454" i="11"/>
  <c r="W445" i="11"/>
  <c r="W440" i="11"/>
  <c r="W436" i="11"/>
  <c r="W435" i="11"/>
  <c r="R433" i="11"/>
  <c r="W433" i="11"/>
  <c r="W420" i="11"/>
  <c r="W405" i="11"/>
  <c r="W404" i="11"/>
  <c r="W401" i="11"/>
  <c r="W394" i="11"/>
  <c r="W371" i="11"/>
  <c r="W335" i="11"/>
  <c r="W334" i="11"/>
  <c r="W329" i="11"/>
  <c r="W328" i="11"/>
  <c r="W327" i="11"/>
  <c r="W298" i="11"/>
  <c r="W255" i="11"/>
  <c r="D1591" i="11"/>
  <c r="AG1591" i="11"/>
  <c r="AH1591" i="11"/>
  <c r="G1591" i="11"/>
  <c r="AF1591" i="11"/>
  <c r="AI1591" i="11"/>
  <c r="P1591" i="11"/>
  <c r="O1591" i="11"/>
  <c r="F1591" i="11"/>
  <c r="E1591" i="11"/>
  <c r="C1591" i="11"/>
  <c r="B1591" i="11"/>
  <c r="A1591" i="11"/>
  <c r="D1590" i="11"/>
  <c r="AG1590" i="11"/>
  <c r="AH1590" i="11"/>
  <c r="G1590" i="11"/>
  <c r="AF1590" i="11"/>
  <c r="AI1590" i="11"/>
  <c r="P1590" i="11"/>
  <c r="O1590" i="11"/>
  <c r="F1590" i="11"/>
  <c r="E1590" i="11"/>
  <c r="C1590" i="11"/>
  <c r="B1590" i="11"/>
  <c r="A1590" i="11"/>
  <c r="D1589" i="11"/>
  <c r="AG1589" i="11"/>
  <c r="AH1589" i="11"/>
  <c r="G1589" i="11"/>
  <c r="AF1589" i="11"/>
  <c r="AI1589" i="11"/>
  <c r="P1589" i="11"/>
  <c r="O1589" i="11"/>
  <c r="F1589" i="11"/>
  <c r="E1589" i="11"/>
  <c r="C1589" i="11"/>
  <c r="B1589" i="11"/>
  <c r="A1589" i="11"/>
  <c r="D1588" i="11"/>
  <c r="AG1588" i="11"/>
  <c r="AH1588" i="11"/>
  <c r="G1588" i="11"/>
  <c r="AF1588" i="11"/>
  <c r="AI1588" i="11"/>
  <c r="P1588" i="11"/>
  <c r="O1588" i="11"/>
  <c r="F1588" i="11"/>
  <c r="E1588" i="11"/>
  <c r="C1588" i="11"/>
  <c r="B1588" i="11"/>
  <c r="A1588" i="11"/>
  <c r="D1587" i="11"/>
  <c r="AG1587" i="11"/>
  <c r="AH1587" i="11"/>
  <c r="G1587" i="11"/>
  <c r="AF1587" i="11"/>
  <c r="AI1587" i="11"/>
  <c r="P1587" i="11"/>
  <c r="O1587" i="11"/>
  <c r="F1587" i="11"/>
  <c r="E1587" i="11"/>
  <c r="C1587" i="11"/>
  <c r="B1587" i="11"/>
  <c r="A1587" i="11"/>
  <c r="D1586" i="11"/>
  <c r="AG1586" i="11"/>
  <c r="AH1586" i="11"/>
  <c r="G1586" i="11"/>
  <c r="AF1586" i="11"/>
  <c r="AI1586" i="11"/>
  <c r="P1586" i="11"/>
  <c r="O1586" i="11"/>
  <c r="F1586" i="11"/>
  <c r="E1586" i="11"/>
  <c r="C1586" i="11"/>
  <c r="B1586" i="11"/>
  <c r="A1586" i="11"/>
  <c r="D1585" i="11"/>
  <c r="AG1585" i="11"/>
  <c r="AH1585" i="11"/>
  <c r="G1585" i="11"/>
  <c r="AF1585" i="11"/>
  <c r="AI1585" i="11"/>
  <c r="P1585" i="11"/>
  <c r="O1585" i="11"/>
  <c r="F1585" i="11"/>
  <c r="E1585" i="11"/>
  <c r="C1585" i="11"/>
  <c r="B1585" i="11"/>
  <c r="A1585" i="11"/>
  <c r="D1584" i="11"/>
  <c r="AG1584" i="11"/>
  <c r="AH1584" i="11"/>
  <c r="G1584" i="11"/>
  <c r="AF1584" i="11"/>
  <c r="AI1584" i="11"/>
  <c r="P1584" i="11"/>
  <c r="O1584" i="11"/>
  <c r="F1584" i="11"/>
  <c r="E1584" i="11"/>
  <c r="C1584" i="11"/>
  <c r="B1584" i="11"/>
  <c r="A1584" i="11"/>
  <c r="D1583" i="11"/>
  <c r="AG1583" i="11"/>
  <c r="AH1583" i="11"/>
  <c r="G1583" i="11"/>
  <c r="AF1583" i="11"/>
  <c r="AI1583" i="11"/>
  <c r="P1583" i="11"/>
  <c r="O1583" i="11"/>
  <c r="F1583" i="11"/>
  <c r="E1583" i="11"/>
  <c r="C1583" i="11"/>
  <c r="B1583" i="11"/>
  <c r="A1583" i="11"/>
  <c r="D1582" i="11"/>
  <c r="AG1582" i="11"/>
  <c r="AH1582" i="11"/>
  <c r="G1582" i="11"/>
  <c r="AF1582" i="11"/>
  <c r="AI1582" i="11"/>
  <c r="P1582" i="11"/>
  <c r="O1582" i="11"/>
  <c r="F1582" i="11"/>
  <c r="E1582" i="11"/>
  <c r="C1582" i="11"/>
  <c r="B1582" i="11"/>
  <c r="A1582" i="11"/>
  <c r="D1581" i="11"/>
  <c r="AG1581" i="11"/>
  <c r="AH1581" i="11"/>
  <c r="G1581" i="11"/>
  <c r="AF1581" i="11"/>
  <c r="AI1581" i="11"/>
  <c r="P1581" i="11"/>
  <c r="O1581" i="11"/>
  <c r="F1581" i="11"/>
  <c r="E1581" i="11"/>
  <c r="C1581" i="11"/>
  <c r="B1581" i="11"/>
  <c r="A1581" i="11"/>
  <c r="D1580" i="11"/>
  <c r="AG1580" i="11"/>
  <c r="AH1580" i="11"/>
  <c r="G1580" i="11"/>
  <c r="AF1580" i="11"/>
  <c r="AI1580" i="11"/>
  <c r="P1580" i="11"/>
  <c r="O1580" i="11"/>
  <c r="F1580" i="11"/>
  <c r="E1580" i="11"/>
  <c r="C1580" i="11"/>
  <c r="B1580" i="11"/>
  <c r="A1580" i="11"/>
  <c r="D1579" i="11"/>
  <c r="AG1579" i="11"/>
  <c r="AH1579" i="11"/>
  <c r="G1579" i="11"/>
  <c r="AF1579" i="11"/>
  <c r="AI1579" i="11"/>
  <c r="P1579" i="11"/>
  <c r="O1579" i="11"/>
  <c r="F1579" i="11"/>
  <c r="E1579" i="11"/>
  <c r="C1579" i="11"/>
  <c r="B1579" i="11"/>
  <c r="A1579" i="11"/>
  <c r="D1578" i="11"/>
  <c r="AG1578" i="11"/>
  <c r="AH1578" i="11"/>
  <c r="G1578" i="11"/>
  <c r="AF1578" i="11"/>
  <c r="AI1578" i="11"/>
  <c r="P1578" i="11"/>
  <c r="O1578" i="11"/>
  <c r="F1578" i="11"/>
  <c r="E1578" i="11"/>
  <c r="C1578" i="11"/>
  <c r="B1578" i="11"/>
  <c r="A1578" i="11"/>
  <c r="D1577" i="11"/>
  <c r="AG1577" i="11"/>
  <c r="AH1577" i="11"/>
  <c r="G1577" i="11"/>
  <c r="AF1577" i="11"/>
  <c r="AI1577" i="11"/>
  <c r="P1577" i="11"/>
  <c r="O1577" i="11"/>
  <c r="F1577" i="11"/>
  <c r="E1577" i="11"/>
  <c r="C1577" i="11"/>
  <c r="B1577" i="11"/>
  <c r="A1577" i="11"/>
  <c r="D1576" i="11"/>
  <c r="AG1576" i="11"/>
  <c r="AH1576" i="11"/>
  <c r="G1576" i="11"/>
  <c r="AF1576" i="11"/>
  <c r="AI1576" i="11"/>
  <c r="P1576" i="11"/>
  <c r="O1576" i="11"/>
  <c r="F1576" i="11"/>
  <c r="E1576" i="11"/>
  <c r="C1576" i="11"/>
  <c r="B1576" i="11"/>
  <c r="A1576" i="11"/>
  <c r="D1575" i="11"/>
  <c r="AG1575" i="11"/>
  <c r="AH1575" i="11"/>
  <c r="G1575" i="11"/>
  <c r="AF1575" i="11"/>
  <c r="AI1575" i="11"/>
  <c r="P1575" i="11"/>
  <c r="O1575" i="11"/>
  <c r="F1575" i="11"/>
  <c r="E1575" i="11"/>
  <c r="C1575" i="11"/>
  <c r="B1575" i="11"/>
  <c r="A1575" i="11"/>
  <c r="D1574" i="11"/>
  <c r="AG1574" i="11"/>
  <c r="AH1574" i="11"/>
  <c r="G1574" i="11"/>
  <c r="AF1574" i="11"/>
  <c r="AI1574" i="11"/>
  <c r="P1574" i="11"/>
  <c r="O1574" i="11"/>
  <c r="F1574" i="11"/>
  <c r="E1574" i="11"/>
  <c r="C1574" i="11"/>
  <c r="B1574" i="11"/>
  <c r="A1574" i="11"/>
  <c r="D1573" i="11"/>
  <c r="AG1573" i="11"/>
  <c r="AH1573" i="11"/>
  <c r="G1573" i="11"/>
  <c r="AF1573" i="11"/>
  <c r="AI1573" i="11"/>
  <c r="P1573" i="11"/>
  <c r="O1573" i="11"/>
  <c r="F1573" i="11"/>
  <c r="E1573" i="11"/>
  <c r="C1573" i="11"/>
  <c r="B1573" i="11"/>
  <c r="A1573" i="11"/>
  <c r="D1572" i="11"/>
  <c r="AG1572" i="11"/>
  <c r="AH1572" i="11"/>
  <c r="G1572" i="11"/>
  <c r="AF1572" i="11"/>
  <c r="AI1572" i="11"/>
  <c r="P1572" i="11"/>
  <c r="O1572" i="11"/>
  <c r="F1572" i="11"/>
  <c r="E1572" i="11"/>
  <c r="C1572" i="11"/>
  <c r="B1572" i="11"/>
  <c r="A1572" i="11"/>
  <c r="D1571" i="11"/>
  <c r="AG1571" i="11"/>
  <c r="AH1571" i="11"/>
  <c r="G1571" i="11"/>
  <c r="AF1571" i="11"/>
  <c r="AI1571" i="11"/>
  <c r="P1571" i="11"/>
  <c r="O1571" i="11"/>
  <c r="F1571" i="11"/>
  <c r="E1571" i="11"/>
  <c r="C1571" i="11"/>
  <c r="B1571" i="11"/>
  <c r="A1571" i="11"/>
  <c r="D1570" i="11"/>
  <c r="AG1570" i="11"/>
  <c r="AH1570" i="11"/>
  <c r="G1570" i="11"/>
  <c r="AF1570" i="11"/>
  <c r="AI1570" i="11"/>
  <c r="P1570" i="11"/>
  <c r="O1570" i="11"/>
  <c r="F1570" i="11"/>
  <c r="E1570" i="11"/>
  <c r="C1570" i="11"/>
  <c r="B1570" i="11"/>
  <c r="A1570" i="11"/>
  <c r="D1569" i="11"/>
  <c r="AG1569" i="11"/>
  <c r="AH1569" i="11"/>
  <c r="G1569" i="11"/>
  <c r="AF1569" i="11"/>
  <c r="AI1569" i="11"/>
  <c r="P1569" i="11"/>
  <c r="O1569" i="11"/>
  <c r="F1569" i="11"/>
  <c r="E1569" i="11"/>
  <c r="C1569" i="11"/>
  <c r="B1569" i="11"/>
  <c r="A1569" i="11"/>
  <c r="D1568" i="11"/>
  <c r="AG1568" i="11"/>
  <c r="AH1568" i="11"/>
  <c r="G1568" i="11"/>
  <c r="AF1568" i="11"/>
  <c r="AI1568" i="11"/>
  <c r="P1568" i="11"/>
  <c r="O1568" i="11"/>
  <c r="F1568" i="11"/>
  <c r="E1568" i="11"/>
  <c r="C1568" i="11"/>
  <c r="B1568" i="11"/>
  <c r="A1568" i="11"/>
  <c r="D1567" i="11"/>
  <c r="AG1567" i="11"/>
  <c r="AH1567" i="11"/>
  <c r="G1567" i="11"/>
  <c r="AF1567" i="11"/>
  <c r="AI1567" i="11"/>
  <c r="P1567" i="11"/>
  <c r="O1567" i="11"/>
  <c r="F1567" i="11"/>
  <c r="E1567" i="11"/>
  <c r="C1567" i="11"/>
  <c r="B1567" i="11"/>
  <c r="A1567" i="11"/>
  <c r="D1566" i="11"/>
  <c r="AG1566" i="11"/>
  <c r="AH1566" i="11"/>
  <c r="G1566" i="11"/>
  <c r="AF1566" i="11"/>
  <c r="AI1566" i="11"/>
  <c r="P1566" i="11"/>
  <c r="O1566" i="11"/>
  <c r="F1566" i="11"/>
  <c r="E1566" i="11"/>
  <c r="C1566" i="11"/>
  <c r="B1566" i="11"/>
  <c r="A1566" i="11"/>
  <c r="D1565" i="11"/>
  <c r="AG1565" i="11"/>
  <c r="AH1565" i="11"/>
  <c r="G1565" i="11"/>
  <c r="AF1565" i="11"/>
  <c r="AI1565" i="11"/>
  <c r="P1565" i="11"/>
  <c r="O1565" i="11"/>
  <c r="F1565" i="11"/>
  <c r="E1565" i="11"/>
  <c r="C1565" i="11"/>
  <c r="B1565" i="11"/>
  <c r="A1565" i="11"/>
  <c r="D1564" i="11"/>
  <c r="AG1564" i="11"/>
  <c r="AH1564" i="11"/>
  <c r="G1564" i="11"/>
  <c r="AF1564" i="11"/>
  <c r="AI1564" i="11"/>
  <c r="P1564" i="11"/>
  <c r="O1564" i="11"/>
  <c r="F1564" i="11"/>
  <c r="E1564" i="11"/>
  <c r="C1564" i="11"/>
  <c r="B1564" i="11"/>
  <c r="A1564" i="11"/>
  <c r="D1563" i="11"/>
  <c r="AG1563" i="11"/>
  <c r="AH1563" i="11"/>
  <c r="G1563" i="11"/>
  <c r="AF1563" i="11"/>
  <c r="AI1563" i="11"/>
  <c r="P1563" i="11"/>
  <c r="O1563" i="11"/>
  <c r="F1563" i="11"/>
  <c r="E1563" i="11"/>
  <c r="C1563" i="11"/>
  <c r="B1563" i="11"/>
  <c r="A1563" i="11"/>
  <c r="D1562" i="11"/>
  <c r="AG1562" i="11"/>
  <c r="AH1562" i="11"/>
  <c r="G1562" i="11"/>
  <c r="AF1562" i="11"/>
  <c r="AI1562" i="11"/>
  <c r="P1562" i="11"/>
  <c r="O1562" i="11"/>
  <c r="F1562" i="11"/>
  <c r="E1562" i="11"/>
  <c r="C1562" i="11"/>
  <c r="B1562" i="11"/>
  <c r="A1562" i="11"/>
  <c r="D1561" i="11"/>
  <c r="AG1561" i="11"/>
  <c r="AH1561" i="11"/>
  <c r="G1561" i="11"/>
  <c r="AF1561" i="11"/>
  <c r="AI1561" i="11"/>
  <c r="P1561" i="11"/>
  <c r="O1561" i="11"/>
  <c r="F1561" i="11"/>
  <c r="E1561" i="11"/>
  <c r="C1561" i="11"/>
  <c r="B1561" i="11"/>
  <c r="A1561" i="11"/>
  <c r="D1560" i="11"/>
  <c r="AG1560" i="11"/>
  <c r="AH1560" i="11"/>
  <c r="G1560" i="11"/>
  <c r="AF1560" i="11"/>
  <c r="AI1560" i="11"/>
  <c r="P1560" i="11"/>
  <c r="O1560" i="11"/>
  <c r="F1560" i="11"/>
  <c r="E1560" i="11"/>
  <c r="C1560" i="11"/>
  <c r="B1560" i="11"/>
  <c r="A1560" i="11"/>
  <c r="D1559" i="11"/>
  <c r="AG1559" i="11"/>
  <c r="AH1559" i="11"/>
  <c r="G1559" i="11"/>
  <c r="AF1559" i="11"/>
  <c r="AI1559" i="11"/>
  <c r="P1559" i="11"/>
  <c r="O1559" i="11"/>
  <c r="F1559" i="11"/>
  <c r="E1559" i="11"/>
  <c r="C1559" i="11"/>
  <c r="B1559" i="11"/>
  <c r="A1559" i="11"/>
  <c r="D1558" i="11"/>
  <c r="AG1558" i="11"/>
  <c r="AH1558" i="11"/>
  <c r="G1558" i="11"/>
  <c r="AF1558" i="11"/>
  <c r="AI1558" i="11"/>
  <c r="P1558" i="11"/>
  <c r="O1558" i="11"/>
  <c r="F1558" i="11"/>
  <c r="E1558" i="11"/>
  <c r="C1558" i="11"/>
  <c r="B1558" i="11"/>
  <c r="A1558" i="11"/>
  <c r="D1557" i="11"/>
  <c r="AG1557" i="11"/>
  <c r="AH1557" i="11"/>
  <c r="G1557" i="11"/>
  <c r="AF1557" i="11"/>
  <c r="AI1557" i="11"/>
  <c r="P1557" i="11"/>
  <c r="O1557" i="11"/>
  <c r="F1557" i="11"/>
  <c r="E1557" i="11"/>
  <c r="C1557" i="11"/>
  <c r="B1557" i="11"/>
  <c r="A1557" i="11"/>
  <c r="D1556" i="11"/>
  <c r="AG1556" i="11"/>
  <c r="AH1556" i="11"/>
  <c r="G1556" i="11"/>
  <c r="AF1556" i="11"/>
  <c r="AI1556" i="11"/>
  <c r="P1556" i="11"/>
  <c r="O1556" i="11"/>
  <c r="F1556" i="11"/>
  <c r="E1556" i="11"/>
  <c r="C1556" i="11"/>
  <c r="B1556" i="11"/>
  <c r="A1556" i="11"/>
  <c r="D1555" i="11"/>
  <c r="AG1555" i="11"/>
  <c r="AH1555" i="11"/>
  <c r="G1555" i="11"/>
  <c r="AF1555" i="11"/>
  <c r="AI1555" i="11"/>
  <c r="P1555" i="11"/>
  <c r="O1555" i="11"/>
  <c r="F1555" i="11"/>
  <c r="E1555" i="11"/>
  <c r="C1555" i="11"/>
  <c r="B1555" i="11"/>
  <c r="A1555" i="11"/>
  <c r="D1554" i="11"/>
  <c r="AG1554" i="11"/>
  <c r="AH1554" i="11"/>
  <c r="G1554" i="11"/>
  <c r="AF1554" i="11"/>
  <c r="AI1554" i="11"/>
  <c r="P1554" i="11"/>
  <c r="O1554" i="11"/>
  <c r="F1554" i="11"/>
  <c r="E1554" i="11"/>
  <c r="C1554" i="11"/>
  <c r="B1554" i="11"/>
  <c r="A1554" i="11"/>
  <c r="D1553" i="11"/>
  <c r="AG1553" i="11"/>
  <c r="AH1553" i="11"/>
  <c r="G1553" i="11"/>
  <c r="AF1553" i="11"/>
  <c r="AI1553" i="11"/>
  <c r="P1553" i="11"/>
  <c r="O1553" i="11"/>
  <c r="F1553" i="11"/>
  <c r="E1553" i="11"/>
  <c r="C1553" i="11"/>
  <c r="B1553" i="11"/>
  <c r="A1553" i="11"/>
  <c r="D1552" i="11"/>
  <c r="AG1552" i="11"/>
  <c r="AH1552" i="11"/>
  <c r="G1552" i="11"/>
  <c r="AF1552" i="11"/>
  <c r="AI1552" i="11"/>
  <c r="P1552" i="11"/>
  <c r="O1552" i="11"/>
  <c r="F1552" i="11"/>
  <c r="E1552" i="11"/>
  <c r="C1552" i="11"/>
  <c r="B1552" i="11"/>
  <c r="A1552" i="11"/>
  <c r="D1551" i="11"/>
  <c r="AG1551" i="11"/>
  <c r="AH1551" i="11"/>
  <c r="G1551" i="11"/>
  <c r="AF1551" i="11"/>
  <c r="AI1551" i="11"/>
  <c r="P1551" i="11"/>
  <c r="O1551" i="11"/>
  <c r="F1551" i="11"/>
  <c r="E1551" i="11"/>
  <c r="C1551" i="11"/>
  <c r="B1551" i="11"/>
  <c r="A1551" i="11"/>
  <c r="D1550" i="11"/>
  <c r="AG1550" i="11"/>
  <c r="AH1550" i="11"/>
  <c r="G1550" i="11"/>
  <c r="AF1550" i="11"/>
  <c r="AI1550" i="11"/>
  <c r="P1550" i="11"/>
  <c r="O1550" i="11"/>
  <c r="F1550" i="11"/>
  <c r="E1550" i="11"/>
  <c r="C1550" i="11"/>
  <c r="B1550" i="11"/>
  <c r="A1550" i="11"/>
  <c r="D1549" i="11"/>
  <c r="AG1549" i="11"/>
  <c r="AH1549" i="11"/>
  <c r="G1549" i="11"/>
  <c r="AF1549" i="11"/>
  <c r="AI1549" i="11"/>
  <c r="P1549" i="11"/>
  <c r="O1549" i="11"/>
  <c r="F1549" i="11"/>
  <c r="E1549" i="11"/>
  <c r="C1549" i="11"/>
  <c r="B1549" i="11"/>
  <c r="A1549" i="11"/>
  <c r="D1548" i="11"/>
  <c r="AG1548" i="11"/>
  <c r="AH1548" i="11"/>
  <c r="G1548" i="11"/>
  <c r="AF1548" i="11"/>
  <c r="AI1548" i="11"/>
  <c r="P1548" i="11"/>
  <c r="O1548" i="11"/>
  <c r="F1548" i="11"/>
  <c r="E1548" i="11"/>
  <c r="C1548" i="11"/>
  <c r="B1548" i="11"/>
  <c r="A1548" i="11"/>
  <c r="D1547" i="11"/>
  <c r="AG1547" i="11"/>
  <c r="AH1547" i="11"/>
  <c r="G1547" i="11"/>
  <c r="AF1547" i="11"/>
  <c r="AI1547" i="11"/>
  <c r="P1547" i="11"/>
  <c r="O1547" i="11"/>
  <c r="F1547" i="11"/>
  <c r="E1547" i="11"/>
  <c r="C1547" i="11"/>
  <c r="B1547" i="11"/>
  <c r="A1547" i="11"/>
  <c r="D1546" i="11"/>
  <c r="AG1546" i="11"/>
  <c r="AH1546" i="11"/>
  <c r="G1546" i="11"/>
  <c r="AF1546" i="11"/>
  <c r="AI1546" i="11"/>
  <c r="P1546" i="11"/>
  <c r="O1546" i="11"/>
  <c r="F1546" i="11"/>
  <c r="E1546" i="11"/>
  <c r="C1546" i="11"/>
  <c r="B1546" i="11"/>
  <c r="A1546" i="11"/>
  <c r="D1545" i="11"/>
  <c r="AG1545" i="11"/>
  <c r="AH1545" i="11"/>
  <c r="G1545" i="11"/>
  <c r="AF1545" i="11"/>
  <c r="AI1545" i="11"/>
  <c r="P1545" i="11"/>
  <c r="O1545" i="11"/>
  <c r="F1545" i="11"/>
  <c r="E1545" i="11"/>
  <c r="C1545" i="11"/>
  <c r="B1545" i="11"/>
  <c r="A1545" i="11"/>
  <c r="D1544" i="11"/>
  <c r="AG1544" i="11"/>
  <c r="AH1544" i="11"/>
  <c r="G1544" i="11"/>
  <c r="AF1544" i="11"/>
  <c r="AI1544" i="11"/>
  <c r="P1544" i="11"/>
  <c r="O1544" i="11"/>
  <c r="F1544" i="11"/>
  <c r="E1544" i="11"/>
  <c r="C1544" i="11"/>
  <c r="B1544" i="11"/>
  <c r="A1544" i="11"/>
  <c r="D1543" i="11"/>
  <c r="AG1543" i="11"/>
  <c r="AH1543" i="11"/>
  <c r="G1543" i="11"/>
  <c r="AF1543" i="11"/>
  <c r="AI1543" i="11"/>
  <c r="P1543" i="11"/>
  <c r="O1543" i="11"/>
  <c r="F1543" i="11"/>
  <c r="E1543" i="11"/>
  <c r="C1543" i="11"/>
  <c r="B1543" i="11"/>
  <c r="A1543" i="11"/>
  <c r="D1542" i="11"/>
  <c r="AG1542" i="11"/>
  <c r="AH1542" i="11"/>
  <c r="G1542" i="11"/>
  <c r="AF1542" i="11"/>
  <c r="AI1542" i="11"/>
  <c r="P1542" i="11"/>
  <c r="O1542" i="11"/>
  <c r="F1542" i="11"/>
  <c r="E1542" i="11"/>
  <c r="C1542" i="11"/>
  <c r="B1542" i="11"/>
  <c r="A1542" i="11"/>
  <c r="D1541" i="11"/>
  <c r="AG1541" i="11"/>
  <c r="AH1541" i="11"/>
  <c r="G1541" i="11"/>
  <c r="AF1541" i="11"/>
  <c r="AI1541" i="11"/>
  <c r="P1541" i="11"/>
  <c r="O1541" i="11"/>
  <c r="F1541" i="11"/>
  <c r="E1541" i="11"/>
  <c r="C1541" i="11"/>
  <c r="B1541" i="11"/>
  <c r="A1541" i="11"/>
  <c r="D1540" i="11"/>
  <c r="AG1540" i="11"/>
  <c r="AH1540" i="11"/>
  <c r="G1540" i="11"/>
  <c r="AF1540" i="11"/>
  <c r="AI1540" i="11"/>
  <c r="P1540" i="11"/>
  <c r="O1540" i="11"/>
  <c r="F1540" i="11"/>
  <c r="E1540" i="11"/>
  <c r="C1540" i="11"/>
  <c r="B1540" i="11"/>
  <c r="A1540" i="11"/>
  <c r="D1539" i="11"/>
  <c r="AG1539" i="11"/>
  <c r="AH1539" i="11"/>
  <c r="G1539" i="11"/>
  <c r="AF1539" i="11"/>
  <c r="AI1539" i="11"/>
  <c r="P1539" i="11"/>
  <c r="O1539" i="11"/>
  <c r="F1539" i="11"/>
  <c r="E1539" i="11"/>
  <c r="C1539" i="11"/>
  <c r="B1539" i="11"/>
  <c r="A1539" i="11"/>
  <c r="D1538" i="11"/>
  <c r="AG1538" i="11"/>
  <c r="AH1538" i="11"/>
  <c r="G1538" i="11"/>
  <c r="AF1538" i="11"/>
  <c r="AI1538" i="11"/>
  <c r="P1538" i="11"/>
  <c r="O1538" i="11"/>
  <c r="F1538" i="11"/>
  <c r="E1538" i="11"/>
  <c r="C1538" i="11"/>
  <c r="B1538" i="11"/>
  <c r="A1538" i="11"/>
  <c r="D1537" i="11"/>
  <c r="AG1537" i="11"/>
  <c r="AH1537" i="11"/>
  <c r="G1537" i="11"/>
  <c r="AF1537" i="11"/>
  <c r="AI1537" i="11"/>
  <c r="P1537" i="11"/>
  <c r="O1537" i="11"/>
  <c r="F1537" i="11"/>
  <c r="E1537" i="11"/>
  <c r="C1537" i="11"/>
  <c r="B1537" i="11"/>
  <c r="A1537" i="11"/>
  <c r="D1536" i="11"/>
  <c r="AG1536" i="11"/>
  <c r="AH1536" i="11"/>
  <c r="G1536" i="11"/>
  <c r="AF1536" i="11"/>
  <c r="AI1536" i="11"/>
  <c r="P1536" i="11"/>
  <c r="O1536" i="11"/>
  <c r="F1536" i="11"/>
  <c r="E1536" i="11"/>
  <c r="C1536" i="11"/>
  <c r="B1536" i="11"/>
  <c r="A1536" i="11"/>
  <c r="D1535" i="11"/>
  <c r="AG1535" i="11"/>
  <c r="AH1535" i="11"/>
  <c r="G1535" i="11"/>
  <c r="AF1535" i="11"/>
  <c r="AI1535" i="11"/>
  <c r="P1535" i="11"/>
  <c r="O1535" i="11"/>
  <c r="F1535" i="11"/>
  <c r="E1535" i="11"/>
  <c r="C1535" i="11"/>
  <c r="B1535" i="11"/>
  <c r="A1535" i="11"/>
  <c r="D1534" i="11"/>
  <c r="AG1534" i="11"/>
  <c r="AH1534" i="11"/>
  <c r="G1534" i="11"/>
  <c r="AF1534" i="11"/>
  <c r="AI1534" i="11"/>
  <c r="P1534" i="11"/>
  <c r="O1534" i="11"/>
  <c r="F1534" i="11"/>
  <c r="E1534" i="11"/>
  <c r="C1534" i="11"/>
  <c r="B1534" i="11"/>
  <c r="A1534" i="11"/>
  <c r="D1533" i="11"/>
  <c r="AG1533" i="11"/>
  <c r="AH1533" i="11"/>
  <c r="G1533" i="11"/>
  <c r="AF1533" i="11"/>
  <c r="AI1533" i="11"/>
  <c r="P1533" i="11"/>
  <c r="O1533" i="11"/>
  <c r="F1533" i="11"/>
  <c r="E1533" i="11"/>
  <c r="C1533" i="11"/>
  <c r="B1533" i="11"/>
  <c r="A1533" i="11"/>
  <c r="D1532" i="11"/>
  <c r="AG1532" i="11"/>
  <c r="AH1532" i="11"/>
  <c r="G1532" i="11"/>
  <c r="AF1532" i="11"/>
  <c r="AI1532" i="11"/>
  <c r="P1532" i="11"/>
  <c r="O1532" i="11"/>
  <c r="F1532" i="11"/>
  <c r="E1532" i="11"/>
  <c r="C1532" i="11"/>
  <c r="B1532" i="11"/>
  <c r="A1532" i="11"/>
  <c r="D1526" i="11"/>
  <c r="AG1526" i="11"/>
  <c r="AH1526" i="11"/>
  <c r="G1526" i="11"/>
  <c r="AF1526" i="11"/>
  <c r="AI1526" i="11"/>
  <c r="P1526" i="11"/>
  <c r="O1526" i="11"/>
  <c r="F1526" i="11"/>
  <c r="E1526" i="11"/>
  <c r="C1526" i="11"/>
  <c r="B1526" i="11"/>
  <c r="A1526" i="11"/>
  <c r="D1525" i="11"/>
  <c r="AG1525" i="11"/>
  <c r="AH1525" i="11"/>
  <c r="G1525" i="11"/>
  <c r="AF1525" i="11"/>
  <c r="AI1525" i="11"/>
  <c r="P1525" i="11"/>
  <c r="O1525" i="11"/>
  <c r="F1525" i="11"/>
  <c r="E1525" i="11"/>
  <c r="C1525" i="11"/>
  <c r="B1525" i="11"/>
  <c r="A1525" i="11"/>
  <c r="D1524" i="11"/>
  <c r="AG1524" i="11"/>
  <c r="AH1524" i="11"/>
  <c r="G1524" i="11"/>
  <c r="AF1524" i="11"/>
  <c r="AI1524" i="11"/>
  <c r="P1524" i="11"/>
  <c r="O1524" i="11"/>
  <c r="F1524" i="11"/>
  <c r="E1524" i="11"/>
  <c r="C1524" i="11"/>
  <c r="B1524" i="11"/>
  <c r="A1524" i="11"/>
  <c r="D1523" i="11"/>
  <c r="AG1523" i="11"/>
  <c r="AH1523" i="11"/>
  <c r="G1523" i="11"/>
  <c r="AF1523" i="11"/>
  <c r="AI1523" i="11"/>
  <c r="P1523" i="11"/>
  <c r="O1523" i="11"/>
  <c r="F1523" i="11"/>
  <c r="E1523" i="11"/>
  <c r="C1523" i="11"/>
  <c r="B1523" i="11"/>
  <c r="A1523" i="11"/>
  <c r="D1522" i="11"/>
  <c r="AG1522" i="11"/>
  <c r="AH1522" i="11"/>
  <c r="G1522" i="11"/>
  <c r="AF1522" i="11"/>
  <c r="AI1522" i="11"/>
  <c r="P1522" i="11"/>
  <c r="O1522" i="11"/>
  <c r="F1522" i="11"/>
  <c r="E1522" i="11"/>
  <c r="C1522" i="11"/>
  <c r="B1522" i="11"/>
  <c r="A1522" i="11"/>
  <c r="D1521" i="11"/>
  <c r="AG1521" i="11"/>
  <c r="AH1521" i="11"/>
  <c r="G1521" i="11"/>
  <c r="AF1521" i="11"/>
  <c r="AI1521" i="11"/>
  <c r="P1521" i="11"/>
  <c r="O1521" i="11"/>
  <c r="F1521" i="11"/>
  <c r="E1521" i="11"/>
  <c r="C1521" i="11"/>
  <c r="B1521" i="11"/>
  <c r="A1521" i="11"/>
  <c r="D1520" i="11"/>
  <c r="AG1520" i="11"/>
  <c r="AH1520" i="11"/>
  <c r="G1520" i="11"/>
  <c r="AF1520" i="11"/>
  <c r="AI1520" i="11"/>
  <c r="P1520" i="11"/>
  <c r="O1520" i="11"/>
  <c r="F1520" i="11"/>
  <c r="E1520" i="11"/>
  <c r="C1520" i="11"/>
  <c r="B1520" i="11"/>
  <c r="A1520" i="11"/>
  <c r="D1519" i="11"/>
  <c r="AG1519" i="11"/>
  <c r="AH1519" i="11"/>
  <c r="G1519" i="11"/>
  <c r="AF1519" i="11"/>
  <c r="AI1519" i="11"/>
  <c r="P1519" i="11"/>
  <c r="O1519" i="11"/>
  <c r="F1519" i="11"/>
  <c r="E1519" i="11"/>
  <c r="C1519" i="11"/>
  <c r="B1519" i="11"/>
  <c r="A1519" i="11"/>
  <c r="D1518" i="11"/>
  <c r="AG1518" i="11"/>
  <c r="AH1518" i="11"/>
  <c r="G1518" i="11"/>
  <c r="AF1518" i="11"/>
  <c r="AI1518" i="11"/>
  <c r="P1518" i="11"/>
  <c r="O1518" i="11"/>
  <c r="F1518" i="11"/>
  <c r="E1518" i="11"/>
  <c r="C1518" i="11"/>
  <c r="B1518" i="11"/>
  <c r="A1518" i="11"/>
  <c r="D1517" i="11"/>
  <c r="AG1517" i="11"/>
  <c r="AH1517" i="11"/>
  <c r="G1517" i="11"/>
  <c r="AF1517" i="11"/>
  <c r="AI1517" i="11"/>
  <c r="P1517" i="11"/>
  <c r="O1517" i="11"/>
  <c r="F1517" i="11"/>
  <c r="E1517" i="11"/>
  <c r="C1517" i="11"/>
  <c r="B1517" i="11"/>
  <c r="A1517" i="11"/>
  <c r="D1516" i="11"/>
  <c r="AG1516" i="11"/>
  <c r="AH1516" i="11"/>
  <c r="G1516" i="11"/>
  <c r="AF1516" i="11"/>
  <c r="AI1516" i="11"/>
  <c r="P1516" i="11"/>
  <c r="O1516" i="11"/>
  <c r="F1516" i="11"/>
  <c r="E1516" i="11"/>
  <c r="C1516" i="11"/>
  <c r="B1516" i="11"/>
  <c r="A1516" i="11"/>
  <c r="D1515" i="11"/>
  <c r="AG1515" i="11"/>
  <c r="AH1515" i="11"/>
  <c r="G1515" i="11"/>
  <c r="AF1515" i="11"/>
  <c r="AI1515" i="11"/>
  <c r="P1515" i="11"/>
  <c r="O1515" i="11"/>
  <c r="F1515" i="11"/>
  <c r="E1515" i="11"/>
  <c r="C1515" i="11"/>
  <c r="B1515" i="11"/>
  <c r="A1515" i="11"/>
  <c r="D1514" i="11"/>
  <c r="AG1514" i="11"/>
  <c r="AH1514" i="11"/>
  <c r="G1514" i="11"/>
  <c r="AF1514" i="11"/>
  <c r="AI1514" i="11"/>
  <c r="P1514" i="11"/>
  <c r="O1514" i="11"/>
  <c r="F1514" i="11"/>
  <c r="E1514" i="11"/>
  <c r="C1514" i="11"/>
  <c r="B1514" i="11"/>
  <c r="A1514" i="11"/>
  <c r="D1513" i="11"/>
  <c r="AG1513" i="11"/>
  <c r="AH1513" i="11"/>
  <c r="G1513" i="11"/>
  <c r="AF1513" i="11"/>
  <c r="AI1513" i="11"/>
  <c r="P1513" i="11"/>
  <c r="O1513" i="11"/>
  <c r="F1513" i="11"/>
  <c r="E1513" i="11"/>
  <c r="C1513" i="11"/>
  <c r="B1513" i="11"/>
  <c r="A1513" i="11"/>
  <c r="D1512" i="11"/>
  <c r="AG1512" i="11"/>
  <c r="AH1512" i="11"/>
  <c r="G1512" i="11"/>
  <c r="AF1512" i="11"/>
  <c r="AI1512" i="11"/>
  <c r="P1512" i="11"/>
  <c r="O1512" i="11"/>
  <c r="F1512" i="11"/>
  <c r="E1512" i="11"/>
  <c r="C1512" i="11"/>
  <c r="B1512" i="11"/>
  <c r="A1512" i="11"/>
  <c r="D1511" i="11"/>
  <c r="AG1511" i="11"/>
  <c r="AH1511" i="11"/>
  <c r="G1511" i="11"/>
  <c r="AF1511" i="11"/>
  <c r="AI1511" i="11"/>
  <c r="P1511" i="11"/>
  <c r="O1511" i="11"/>
  <c r="F1511" i="11"/>
  <c r="E1511" i="11"/>
  <c r="C1511" i="11"/>
  <c r="B1511" i="11"/>
  <c r="A1511" i="11"/>
  <c r="D1510" i="11"/>
  <c r="AG1510" i="11"/>
  <c r="AH1510" i="11"/>
  <c r="G1510" i="11"/>
  <c r="AF1510" i="11"/>
  <c r="AI1510" i="11"/>
  <c r="P1510" i="11"/>
  <c r="O1510" i="11"/>
  <c r="F1510" i="11"/>
  <c r="E1510" i="11"/>
  <c r="C1510" i="11"/>
  <c r="B1510" i="11"/>
  <c r="A1510" i="11"/>
  <c r="D1509" i="11"/>
  <c r="AG1509" i="11"/>
  <c r="AH1509" i="11"/>
  <c r="G1509" i="11"/>
  <c r="AF1509" i="11"/>
  <c r="AI1509" i="11"/>
  <c r="P1509" i="11"/>
  <c r="O1509" i="11"/>
  <c r="F1509" i="11"/>
  <c r="E1509" i="11"/>
  <c r="C1509" i="11"/>
  <c r="B1509" i="11"/>
  <c r="A1509" i="11"/>
  <c r="D1508" i="11"/>
  <c r="AG1508" i="11"/>
  <c r="AH1508" i="11"/>
  <c r="G1508" i="11"/>
  <c r="AF1508" i="11"/>
  <c r="AI1508" i="11"/>
  <c r="P1508" i="11"/>
  <c r="O1508" i="11"/>
  <c r="F1508" i="11"/>
  <c r="E1508" i="11"/>
  <c r="C1508" i="11"/>
  <c r="B1508" i="11"/>
  <c r="A1508" i="11"/>
  <c r="D1507" i="11"/>
  <c r="AG1507" i="11"/>
  <c r="AH1507" i="11"/>
  <c r="G1507" i="11"/>
  <c r="AF1507" i="11"/>
  <c r="AI1507" i="11"/>
  <c r="P1507" i="11"/>
  <c r="O1507" i="11"/>
  <c r="F1507" i="11"/>
  <c r="E1507" i="11"/>
  <c r="C1507" i="11"/>
  <c r="B1507" i="11"/>
  <c r="A1507" i="11"/>
  <c r="D1506" i="11"/>
  <c r="AG1506" i="11"/>
  <c r="AH1506" i="11"/>
  <c r="G1506" i="11"/>
  <c r="AF1506" i="11"/>
  <c r="AI1506" i="11"/>
  <c r="P1506" i="11"/>
  <c r="O1506" i="11"/>
  <c r="F1506" i="11"/>
  <c r="E1506" i="11"/>
  <c r="C1506" i="11"/>
  <c r="B1506" i="11"/>
  <c r="A1506" i="11"/>
  <c r="D1505" i="11"/>
  <c r="AG1505" i="11"/>
  <c r="AH1505" i="11"/>
  <c r="G1505" i="11"/>
  <c r="AF1505" i="11"/>
  <c r="AI1505" i="11"/>
  <c r="P1505" i="11"/>
  <c r="O1505" i="11"/>
  <c r="F1505" i="11"/>
  <c r="E1505" i="11"/>
  <c r="C1505" i="11"/>
  <c r="B1505" i="11"/>
  <c r="A1505" i="11"/>
  <c r="D1504" i="11"/>
  <c r="AG1504" i="11"/>
  <c r="AH1504" i="11"/>
  <c r="G1504" i="11"/>
  <c r="AF1504" i="11"/>
  <c r="AI1504" i="11"/>
  <c r="P1504" i="11"/>
  <c r="O1504" i="11"/>
  <c r="F1504" i="11"/>
  <c r="E1504" i="11"/>
  <c r="C1504" i="11"/>
  <c r="B1504" i="11"/>
  <c r="A1504" i="11"/>
  <c r="D1503" i="11"/>
  <c r="AG1503" i="11"/>
  <c r="AH1503" i="11"/>
  <c r="G1503" i="11"/>
  <c r="AF1503" i="11"/>
  <c r="AI1503" i="11"/>
  <c r="P1503" i="11"/>
  <c r="O1503" i="11"/>
  <c r="F1503" i="11"/>
  <c r="E1503" i="11"/>
  <c r="C1503" i="11"/>
  <c r="B1503" i="11"/>
  <c r="A1503" i="11"/>
  <c r="D1502" i="11"/>
  <c r="AG1502" i="11"/>
  <c r="AH1502" i="11"/>
  <c r="G1502" i="11"/>
  <c r="AF1502" i="11"/>
  <c r="AI1502" i="11"/>
  <c r="P1502" i="11"/>
  <c r="O1502" i="11"/>
  <c r="F1502" i="11"/>
  <c r="E1502" i="11"/>
  <c r="C1502" i="11"/>
  <c r="B1502" i="11"/>
  <c r="A1502" i="11"/>
  <c r="D1501" i="11"/>
  <c r="AG1501" i="11"/>
  <c r="AH1501" i="11"/>
  <c r="G1501" i="11"/>
  <c r="AF1501" i="11"/>
  <c r="AI1501" i="11"/>
  <c r="P1501" i="11"/>
  <c r="O1501" i="11"/>
  <c r="F1501" i="11"/>
  <c r="E1501" i="11"/>
  <c r="C1501" i="11"/>
  <c r="B1501" i="11"/>
  <c r="A1501" i="11"/>
  <c r="D1500" i="11"/>
  <c r="AG1500" i="11"/>
  <c r="AH1500" i="11"/>
  <c r="G1500" i="11"/>
  <c r="AF1500" i="11"/>
  <c r="AI1500" i="11"/>
  <c r="P1500" i="11"/>
  <c r="O1500" i="11"/>
  <c r="F1500" i="11"/>
  <c r="E1500" i="11"/>
  <c r="C1500" i="11"/>
  <c r="B1500" i="11"/>
  <c r="A1500" i="11"/>
  <c r="D1499" i="11"/>
  <c r="AG1499" i="11"/>
  <c r="AH1499" i="11"/>
  <c r="G1499" i="11"/>
  <c r="AF1499" i="11"/>
  <c r="AI1499" i="11"/>
  <c r="P1499" i="11"/>
  <c r="O1499" i="11"/>
  <c r="F1499" i="11"/>
  <c r="E1499" i="11"/>
  <c r="C1499" i="11"/>
  <c r="B1499" i="11"/>
  <c r="A1499" i="11"/>
  <c r="D1498" i="11"/>
  <c r="AG1498" i="11"/>
  <c r="AH1498" i="11"/>
  <c r="G1498" i="11"/>
  <c r="AF1498" i="11"/>
  <c r="AI1498" i="11"/>
  <c r="P1498" i="11"/>
  <c r="O1498" i="11"/>
  <c r="F1498" i="11"/>
  <c r="E1498" i="11"/>
  <c r="C1498" i="11"/>
  <c r="B1498" i="11"/>
  <c r="A1498" i="11"/>
  <c r="D1497" i="11"/>
  <c r="AG1497" i="11"/>
  <c r="AH1497" i="11"/>
  <c r="G1497" i="11"/>
  <c r="AF1497" i="11"/>
  <c r="AI1497" i="11"/>
  <c r="P1497" i="11"/>
  <c r="O1497" i="11"/>
  <c r="F1497" i="11"/>
  <c r="E1497" i="11"/>
  <c r="C1497" i="11"/>
  <c r="B1497" i="11"/>
  <c r="A1497" i="11"/>
  <c r="D1496" i="11"/>
  <c r="AG1496" i="11"/>
  <c r="AH1496" i="11"/>
  <c r="G1496" i="11"/>
  <c r="AF1496" i="11"/>
  <c r="AI1496" i="11"/>
  <c r="P1496" i="11"/>
  <c r="O1496" i="11"/>
  <c r="F1496" i="11"/>
  <c r="E1496" i="11"/>
  <c r="C1496" i="11"/>
  <c r="B1496" i="11"/>
  <c r="A1496" i="11"/>
  <c r="D1495" i="11"/>
  <c r="AG1495" i="11"/>
  <c r="AH1495" i="11"/>
  <c r="G1495" i="11"/>
  <c r="AF1495" i="11"/>
  <c r="AI1495" i="11"/>
  <c r="P1495" i="11"/>
  <c r="O1495" i="11"/>
  <c r="F1495" i="11"/>
  <c r="E1495" i="11"/>
  <c r="C1495" i="11"/>
  <c r="B1495" i="11"/>
  <c r="A1495" i="11"/>
  <c r="D1494" i="11"/>
  <c r="AG1494" i="11"/>
  <c r="AH1494" i="11"/>
  <c r="G1494" i="11"/>
  <c r="AF1494" i="11"/>
  <c r="AI1494" i="11"/>
  <c r="P1494" i="11"/>
  <c r="O1494" i="11"/>
  <c r="F1494" i="11"/>
  <c r="E1494" i="11"/>
  <c r="C1494" i="11"/>
  <c r="B1494" i="11"/>
  <c r="A1494" i="11"/>
  <c r="D1493" i="11"/>
  <c r="AG1493" i="11"/>
  <c r="AH1493" i="11"/>
  <c r="G1493" i="11"/>
  <c r="AF1493" i="11"/>
  <c r="AI1493" i="11"/>
  <c r="P1493" i="11"/>
  <c r="O1493" i="11"/>
  <c r="F1493" i="11"/>
  <c r="E1493" i="11"/>
  <c r="C1493" i="11"/>
  <c r="B1493" i="11"/>
  <c r="A1493" i="11"/>
  <c r="D1492" i="11"/>
  <c r="AG1492" i="11"/>
  <c r="AH1492" i="11"/>
  <c r="G1492" i="11"/>
  <c r="AF1492" i="11"/>
  <c r="AI1492" i="11"/>
  <c r="P1492" i="11"/>
  <c r="O1492" i="11"/>
  <c r="F1492" i="11"/>
  <c r="E1492" i="11"/>
  <c r="C1492" i="11"/>
  <c r="B1492" i="11"/>
  <c r="A1492" i="11"/>
  <c r="D1491" i="11"/>
  <c r="AG1491" i="11"/>
  <c r="AH1491" i="11"/>
  <c r="G1491" i="11"/>
  <c r="AF1491" i="11"/>
  <c r="AI1491" i="11"/>
  <c r="P1491" i="11"/>
  <c r="O1491" i="11"/>
  <c r="F1491" i="11"/>
  <c r="E1491" i="11"/>
  <c r="C1491" i="11"/>
  <c r="B1491" i="11"/>
  <c r="A1491" i="11"/>
  <c r="D1490" i="11"/>
  <c r="AG1490" i="11"/>
  <c r="AH1490" i="11"/>
  <c r="G1490" i="11"/>
  <c r="AF1490" i="11"/>
  <c r="AI1490" i="11"/>
  <c r="P1490" i="11"/>
  <c r="O1490" i="11"/>
  <c r="F1490" i="11"/>
  <c r="E1490" i="11"/>
  <c r="C1490" i="11"/>
  <c r="B1490" i="11"/>
  <c r="A1490" i="11"/>
  <c r="D1489" i="11"/>
  <c r="AG1489" i="11"/>
  <c r="AH1489" i="11"/>
  <c r="G1489" i="11"/>
  <c r="AF1489" i="11"/>
  <c r="AI1489" i="11"/>
  <c r="P1489" i="11"/>
  <c r="O1489" i="11"/>
  <c r="F1489" i="11"/>
  <c r="E1489" i="11"/>
  <c r="C1489" i="11"/>
  <c r="B1489" i="11"/>
  <c r="A1489" i="11"/>
  <c r="D1488" i="11"/>
  <c r="AG1488" i="11"/>
  <c r="AH1488" i="11"/>
  <c r="G1488" i="11"/>
  <c r="AF1488" i="11"/>
  <c r="AI1488" i="11"/>
  <c r="P1488" i="11"/>
  <c r="O1488" i="11"/>
  <c r="F1488" i="11"/>
  <c r="E1488" i="11"/>
  <c r="C1488" i="11"/>
  <c r="B1488" i="11"/>
  <c r="A1488" i="11"/>
  <c r="D1487" i="11"/>
  <c r="AG1487" i="11"/>
  <c r="AH1487" i="11"/>
  <c r="G1487" i="11"/>
  <c r="AF1487" i="11"/>
  <c r="AI1487" i="11"/>
  <c r="P1487" i="11"/>
  <c r="O1487" i="11"/>
  <c r="F1487" i="11"/>
  <c r="E1487" i="11"/>
  <c r="C1487" i="11"/>
  <c r="B1487" i="11"/>
  <c r="A1487" i="11"/>
  <c r="D1486" i="11"/>
  <c r="AG1486" i="11"/>
  <c r="AH1486" i="11"/>
  <c r="G1486" i="11"/>
  <c r="AF1486" i="11"/>
  <c r="AI1486" i="11"/>
  <c r="P1486" i="11"/>
  <c r="O1486" i="11"/>
  <c r="F1486" i="11"/>
  <c r="E1486" i="11"/>
  <c r="C1486" i="11"/>
  <c r="B1486" i="11"/>
  <c r="A1486" i="11"/>
  <c r="D1485" i="11"/>
  <c r="AG1485" i="11"/>
  <c r="AH1485" i="11"/>
  <c r="G1485" i="11"/>
  <c r="AF1485" i="11"/>
  <c r="AI1485" i="11"/>
  <c r="P1485" i="11"/>
  <c r="O1485" i="11"/>
  <c r="F1485" i="11"/>
  <c r="E1485" i="11"/>
  <c r="C1485" i="11"/>
  <c r="B1485" i="11"/>
  <c r="A1485" i="11"/>
  <c r="D1484" i="11"/>
  <c r="AG1484" i="11"/>
  <c r="AH1484" i="11"/>
  <c r="G1484" i="11"/>
  <c r="AF1484" i="11"/>
  <c r="AI1484" i="11"/>
  <c r="P1484" i="11"/>
  <c r="O1484" i="11"/>
  <c r="F1484" i="11"/>
  <c r="E1484" i="11"/>
  <c r="C1484" i="11"/>
  <c r="B1484" i="11"/>
  <c r="A1484" i="11"/>
  <c r="D1483" i="11"/>
  <c r="AG1483" i="11"/>
  <c r="AH1483" i="11"/>
  <c r="G1483" i="11"/>
  <c r="AF1483" i="11"/>
  <c r="AI1483" i="11"/>
  <c r="P1483" i="11"/>
  <c r="O1483" i="11"/>
  <c r="F1483" i="11"/>
  <c r="E1483" i="11"/>
  <c r="C1483" i="11"/>
  <c r="B1483" i="11"/>
  <c r="A1483" i="11"/>
  <c r="D1482" i="11"/>
  <c r="AG1482" i="11"/>
  <c r="AH1482" i="11"/>
  <c r="G1482" i="11"/>
  <c r="AF1482" i="11"/>
  <c r="AI1482" i="11"/>
  <c r="P1482" i="11"/>
  <c r="O1482" i="11"/>
  <c r="F1482" i="11"/>
  <c r="E1482" i="11"/>
  <c r="C1482" i="11"/>
  <c r="B1482" i="11"/>
  <c r="A1482" i="11"/>
  <c r="D1481" i="11"/>
  <c r="AG1481" i="11"/>
  <c r="AH1481" i="11"/>
  <c r="G1481" i="11"/>
  <c r="AF1481" i="11"/>
  <c r="AI1481" i="11"/>
  <c r="P1481" i="11"/>
  <c r="O1481" i="11"/>
  <c r="F1481" i="11"/>
  <c r="E1481" i="11"/>
  <c r="C1481" i="11"/>
  <c r="B1481" i="11"/>
  <c r="A1481" i="11"/>
  <c r="D1480" i="11"/>
  <c r="AG1480" i="11"/>
  <c r="AH1480" i="11"/>
  <c r="G1480" i="11"/>
  <c r="AF1480" i="11"/>
  <c r="AI1480" i="11"/>
  <c r="P1480" i="11"/>
  <c r="O1480" i="11"/>
  <c r="F1480" i="11"/>
  <c r="E1480" i="11"/>
  <c r="C1480" i="11"/>
  <c r="B1480" i="11"/>
  <c r="A1480" i="11"/>
  <c r="D1479" i="11"/>
  <c r="AG1479" i="11"/>
  <c r="AH1479" i="11"/>
  <c r="G1479" i="11"/>
  <c r="AF1479" i="11"/>
  <c r="AI1479" i="11"/>
  <c r="P1479" i="11"/>
  <c r="O1479" i="11"/>
  <c r="F1479" i="11"/>
  <c r="E1479" i="11"/>
  <c r="C1479" i="11"/>
  <c r="B1479" i="11"/>
  <c r="A1479" i="11"/>
  <c r="D1478" i="11"/>
  <c r="AG1478" i="11"/>
  <c r="AH1478" i="11"/>
  <c r="G1478" i="11"/>
  <c r="AF1478" i="11"/>
  <c r="AI1478" i="11"/>
  <c r="P1478" i="11"/>
  <c r="O1478" i="11"/>
  <c r="F1478" i="11"/>
  <c r="E1478" i="11"/>
  <c r="C1478" i="11"/>
  <c r="B1478" i="11"/>
  <c r="A1478" i="11"/>
  <c r="D1477" i="11"/>
  <c r="AG1477" i="11"/>
  <c r="AH1477" i="11"/>
  <c r="G1477" i="11"/>
  <c r="AF1477" i="11"/>
  <c r="AI1477" i="11"/>
  <c r="P1477" i="11"/>
  <c r="O1477" i="11"/>
  <c r="F1477" i="11"/>
  <c r="E1477" i="11"/>
  <c r="C1477" i="11"/>
  <c r="B1477" i="11"/>
  <c r="A1477" i="11"/>
  <c r="D1476" i="11"/>
  <c r="AG1476" i="11"/>
  <c r="AH1476" i="11"/>
  <c r="G1476" i="11"/>
  <c r="AF1476" i="11"/>
  <c r="AI1476" i="11"/>
  <c r="P1476" i="11"/>
  <c r="O1476" i="11"/>
  <c r="F1476" i="11"/>
  <c r="E1476" i="11"/>
  <c r="C1476" i="11"/>
  <c r="B1476" i="11"/>
  <c r="A1476" i="11"/>
  <c r="D1475" i="11"/>
  <c r="AG1475" i="11"/>
  <c r="AH1475" i="11"/>
  <c r="G1475" i="11"/>
  <c r="AF1475" i="11"/>
  <c r="AI1475" i="11"/>
  <c r="P1475" i="11"/>
  <c r="O1475" i="11"/>
  <c r="F1475" i="11"/>
  <c r="E1475" i="11"/>
  <c r="C1475" i="11"/>
  <c r="B1475" i="11"/>
  <c r="A1475" i="11"/>
  <c r="D1474" i="11"/>
  <c r="AG1474" i="11"/>
  <c r="AH1474" i="11"/>
  <c r="G1474" i="11"/>
  <c r="AF1474" i="11"/>
  <c r="AI1474" i="11"/>
  <c r="P1474" i="11"/>
  <c r="O1474" i="11"/>
  <c r="F1474" i="11"/>
  <c r="E1474" i="11"/>
  <c r="C1474" i="11"/>
  <c r="B1474" i="11"/>
  <c r="A1474" i="11"/>
  <c r="D1473" i="11"/>
  <c r="AG1473" i="11"/>
  <c r="AH1473" i="11"/>
  <c r="G1473" i="11"/>
  <c r="AF1473" i="11"/>
  <c r="AI1473" i="11"/>
  <c r="P1473" i="11"/>
  <c r="O1473" i="11"/>
  <c r="F1473" i="11"/>
  <c r="E1473" i="11"/>
  <c r="C1473" i="11"/>
  <c r="B1473" i="11"/>
  <c r="A1473" i="11"/>
  <c r="D1472" i="11"/>
  <c r="AG1472" i="11"/>
  <c r="AH1472" i="11"/>
  <c r="G1472" i="11"/>
  <c r="AF1472" i="11"/>
  <c r="AI1472" i="11"/>
  <c r="P1472" i="11"/>
  <c r="O1472" i="11"/>
  <c r="F1472" i="11"/>
  <c r="E1472" i="11"/>
  <c r="C1472" i="11"/>
  <c r="B1472" i="11"/>
  <c r="A1472" i="11"/>
  <c r="D1471" i="11"/>
  <c r="AG1471" i="11"/>
  <c r="AH1471" i="11"/>
  <c r="G1471" i="11"/>
  <c r="AF1471" i="11"/>
  <c r="AI1471" i="11"/>
  <c r="P1471" i="11"/>
  <c r="O1471" i="11"/>
  <c r="F1471" i="11"/>
  <c r="E1471" i="11"/>
  <c r="C1471" i="11"/>
  <c r="B1471" i="11"/>
  <c r="A1471" i="11"/>
  <c r="D1470" i="11"/>
  <c r="AG1470" i="11"/>
  <c r="AH1470" i="11"/>
  <c r="G1470" i="11"/>
  <c r="AF1470" i="11"/>
  <c r="AI1470" i="11"/>
  <c r="P1470" i="11"/>
  <c r="O1470" i="11"/>
  <c r="F1470" i="11"/>
  <c r="E1470" i="11"/>
  <c r="C1470" i="11"/>
  <c r="B1470" i="11"/>
  <c r="A1470" i="11"/>
  <c r="D1469" i="11"/>
  <c r="AG1469" i="11"/>
  <c r="AH1469" i="11"/>
  <c r="G1469" i="11"/>
  <c r="AF1469" i="11"/>
  <c r="AI1469" i="11"/>
  <c r="P1469" i="11"/>
  <c r="O1469" i="11"/>
  <c r="F1469" i="11"/>
  <c r="E1469" i="11"/>
  <c r="C1469" i="11"/>
  <c r="B1469" i="11"/>
  <c r="A1469" i="11"/>
  <c r="D1468" i="11"/>
  <c r="AG1468" i="11"/>
  <c r="AH1468" i="11"/>
  <c r="G1468" i="11"/>
  <c r="AF1468" i="11"/>
  <c r="AI1468" i="11"/>
  <c r="P1468" i="11"/>
  <c r="O1468" i="11"/>
  <c r="F1468" i="11"/>
  <c r="E1468" i="11"/>
  <c r="C1468" i="11"/>
  <c r="B1468" i="11"/>
  <c r="A1468" i="11"/>
  <c r="D1467" i="11"/>
  <c r="AG1467" i="11"/>
  <c r="AH1467" i="11"/>
  <c r="G1467" i="11"/>
  <c r="AF1467" i="11"/>
  <c r="AI1467" i="11"/>
  <c r="P1467" i="11"/>
  <c r="O1467" i="11"/>
  <c r="F1467" i="11"/>
  <c r="E1467" i="11"/>
  <c r="C1467" i="11"/>
  <c r="B1467" i="11"/>
  <c r="A1467" i="11"/>
  <c r="D1466" i="11"/>
  <c r="AG1466" i="11"/>
  <c r="AH1466" i="11"/>
  <c r="G1466" i="11"/>
  <c r="AF1466" i="11"/>
  <c r="AI1466" i="11"/>
  <c r="P1466" i="11"/>
  <c r="O1466" i="11"/>
  <c r="F1466" i="11"/>
  <c r="E1466" i="11"/>
  <c r="C1466" i="11"/>
  <c r="B1466" i="11"/>
  <c r="A1466" i="11"/>
  <c r="D1465" i="11"/>
  <c r="AG1465" i="11"/>
  <c r="AH1465" i="11"/>
  <c r="G1465" i="11"/>
  <c r="AF1465" i="11"/>
  <c r="AI1465" i="11"/>
  <c r="P1465" i="11"/>
  <c r="O1465" i="11"/>
  <c r="F1465" i="11"/>
  <c r="E1465" i="11"/>
  <c r="C1465" i="11"/>
  <c r="B1465" i="11"/>
  <c r="A1465" i="11"/>
  <c r="D1464" i="11"/>
  <c r="AG1464" i="11"/>
  <c r="AH1464" i="11"/>
  <c r="G1464" i="11"/>
  <c r="AF1464" i="11"/>
  <c r="AI1464" i="11"/>
  <c r="P1464" i="11"/>
  <c r="O1464" i="11"/>
  <c r="F1464" i="11"/>
  <c r="E1464" i="11"/>
  <c r="C1464" i="11"/>
  <c r="B1464" i="11"/>
  <c r="A1464" i="11"/>
  <c r="D1463" i="11"/>
  <c r="AG1463" i="11"/>
  <c r="AH1463" i="11"/>
  <c r="G1463" i="11"/>
  <c r="AF1463" i="11"/>
  <c r="AI1463" i="11"/>
  <c r="P1463" i="11"/>
  <c r="O1463" i="11"/>
  <c r="F1463" i="11"/>
  <c r="E1463" i="11"/>
  <c r="C1463" i="11"/>
  <c r="B1463" i="11"/>
  <c r="A1463" i="11"/>
  <c r="D1462" i="11"/>
  <c r="AG1462" i="11"/>
  <c r="AH1462" i="11"/>
  <c r="G1462" i="11"/>
  <c r="AF1462" i="11"/>
  <c r="AI1462" i="11"/>
  <c r="P1462" i="11"/>
  <c r="O1462" i="11"/>
  <c r="F1462" i="11"/>
  <c r="E1462" i="11"/>
  <c r="C1462" i="11"/>
  <c r="B1462" i="11"/>
  <c r="A1462" i="11"/>
  <c r="D1461" i="11"/>
  <c r="AG1461" i="11"/>
  <c r="AH1461" i="11"/>
  <c r="G1461" i="11"/>
  <c r="AF1461" i="11"/>
  <c r="AI1461" i="11"/>
  <c r="P1461" i="11"/>
  <c r="O1461" i="11"/>
  <c r="F1461" i="11"/>
  <c r="E1461" i="11"/>
  <c r="C1461" i="11"/>
  <c r="B1461" i="11"/>
  <c r="A1461" i="11"/>
  <c r="D1460" i="11"/>
  <c r="AG1460" i="11"/>
  <c r="AH1460" i="11"/>
  <c r="G1460" i="11"/>
  <c r="AF1460" i="11"/>
  <c r="AI1460" i="11"/>
  <c r="P1460" i="11"/>
  <c r="O1460" i="11"/>
  <c r="F1460" i="11"/>
  <c r="E1460" i="11"/>
  <c r="C1460" i="11"/>
  <c r="B1460" i="11"/>
  <c r="A1460" i="11"/>
  <c r="D1459" i="11"/>
  <c r="AG1459" i="11"/>
  <c r="AH1459" i="11"/>
  <c r="G1459" i="11"/>
  <c r="AF1459" i="11"/>
  <c r="AI1459" i="11"/>
  <c r="P1459" i="11"/>
  <c r="O1459" i="11"/>
  <c r="F1459" i="11"/>
  <c r="E1459" i="11"/>
  <c r="C1459" i="11"/>
  <c r="B1459" i="11"/>
  <c r="A1459" i="11"/>
  <c r="D1458" i="11"/>
  <c r="AG1458" i="11"/>
  <c r="AH1458" i="11"/>
  <c r="G1458" i="11"/>
  <c r="AF1458" i="11"/>
  <c r="AI1458" i="11"/>
  <c r="P1458" i="11"/>
  <c r="O1458" i="11"/>
  <c r="F1458" i="11"/>
  <c r="E1458" i="11"/>
  <c r="C1458" i="11"/>
  <c r="B1458" i="11"/>
  <c r="A1458" i="11"/>
  <c r="D1457" i="11"/>
  <c r="AG1457" i="11"/>
  <c r="AH1457" i="11"/>
  <c r="G1457" i="11"/>
  <c r="AF1457" i="11"/>
  <c r="AI1457" i="11"/>
  <c r="P1457" i="11"/>
  <c r="O1457" i="11"/>
  <c r="F1457" i="11"/>
  <c r="E1457" i="11"/>
  <c r="C1457" i="11"/>
  <c r="B1457" i="11"/>
  <c r="A1457" i="11"/>
  <c r="D1456" i="11"/>
  <c r="AG1456" i="11"/>
  <c r="AH1456" i="11"/>
  <c r="G1456" i="11"/>
  <c r="AF1456" i="11"/>
  <c r="AI1456" i="11"/>
  <c r="P1456" i="11"/>
  <c r="O1456" i="11"/>
  <c r="F1456" i="11"/>
  <c r="E1456" i="11"/>
  <c r="C1456" i="11"/>
  <c r="B1456" i="11"/>
  <c r="A1456" i="11"/>
  <c r="D1455" i="11"/>
  <c r="AG1455" i="11"/>
  <c r="AH1455" i="11"/>
  <c r="G1455" i="11"/>
  <c r="AF1455" i="11"/>
  <c r="AI1455" i="11"/>
  <c r="P1455" i="11"/>
  <c r="O1455" i="11"/>
  <c r="F1455" i="11"/>
  <c r="E1455" i="11"/>
  <c r="C1455" i="11"/>
  <c r="B1455" i="11"/>
  <c r="A1455" i="11"/>
  <c r="D1454" i="11"/>
  <c r="AG1454" i="11"/>
  <c r="AH1454" i="11"/>
  <c r="G1454" i="11"/>
  <c r="AF1454" i="11"/>
  <c r="AI1454" i="11"/>
  <c r="P1454" i="11"/>
  <c r="O1454" i="11"/>
  <c r="F1454" i="11"/>
  <c r="E1454" i="11"/>
  <c r="C1454" i="11"/>
  <c r="B1454" i="11"/>
  <c r="A1454" i="11"/>
  <c r="D1453" i="11"/>
  <c r="AG1453" i="11"/>
  <c r="AH1453" i="11"/>
  <c r="G1453" i="11"/>
  <c r="AF1453" i="11"/>
  <c r="AI1453" i="11"/>
  <c r="P1453" i="11"/>
  <c r="O1453" i="11"/>
  <c r="F1453" i="11"/>
  <c r="E1453" i="11"/>
  <c r="C1453" i="11"/>
  <c r="B1453" i="11"/>
  <c r="A1453" i="11"/>
  <c r="D1452" i="11"/>
  <c r="AG1452" i="11"/>
  <c r="AH1452" i="11"/>
  <c r="G1452" i="11"/>
  <c r="AF1452" i="11"/>
  <c r="AI1452" i="11"/>
  <c r="P1452" i="11"/>
  <c r="O1452" i="11"/>
  <c r="F1452" i="11"/>
  <c r="E1452" i="11"/>
  <c r="C1452" i="11"/>
  <c r="B1452" i="11"/>
  <c r="A1452" i="11"/>
  <c r="D1451" i="11"/>
  <c r="AG1451" i="11"/>
  <c r="AH1451" i="11"/>
  <c r="G1451" i="11"/>
  <c r="AF1451" i="11"/>
  <c r="AI1451" i="11"/>
  <c r="P1451" i="11"/>
  <c r="O1451" i="11"/>
  <c r="F1451" i="11"/>
  <c r="E1451" i="11"/>
  <c r="C1451" i="11"/>
  <c r="B1451" i="11"/>
  <c r="A1451" i="11"/>
  <c r="D1450" i="11"/>
  <c r="AG1450" i="11"/>
  <c r="AH1450" i="11"/>
  <c r="G1450" i="11"/>
  <c r="AF1450" i="11"/>
  <c r="AI1450" i="11"/>
  <c r="P1450" i="11"/>
  <c r="O1450" i="11"/>
  <c r="F1450" i="11"/>
  <c r="E1450" i="11"/>
  <c r="C1450" i="11"/>
  <c r="B1450" i="11"/>
  <c r="A1450" i="11"/>
  <c r="D1449" i="11"/>
  <c r="AG1449" i="11"/>
  <c r="AH1449" i="11"/>
  <c r="G1449" i="11"/>
  <c r="AF1449" i="11"/>
  <c r="AI1449" i="11"/>
  <c r="P1449" i="11"/>
  <c r="O1449" i="11"/>
  <c r="F1449" i="11"/>
  <c r="E1449" i="11"/>
  <c r="C1449" i="11"/>
  <c r="B1449" i="11"/>
  <c r="A1449" i="11"/>
  <c r="D1448" i="11"/>
  <c r="AG1448" i="11"/>
  <c r="AH1448" i="11"/>
  <c r="G1448" i="11"/>
  <c r="AF1448" i="11"/>
  <c r="AI1448" i="11"/>
  <c r="P1448" i="11"/>
  <c r="O1448" i="11"/>
  <c r="F1448" i="11"/>
  <c r="E1448" i="11"/>
  <c r="C1448" i="11"/>
  <c r="B1448" i="11"/>
  <c r="A1448" i="11"/>
  <c r="D1447" i="11"/>
  <c r="AG1447" i="11"/>
  <c r="AH1447" i="11"/>
  <c r="G1447" i="11"/>
  <c r="AF1447" i="11"/>
  <c r="AI1447" i="11"/>
  <c r="P1447" i="11"/>
  <c r="O1447" i="11"/>
  <c r="F1447" i="11"/>
  <c r="E1447" i="11"/>
  <c r="C1447" i="11"/>
  <c r="B1447" i="11"/>
  <c r="A1447" i="11"/>
  <c r="D1446" i="11"/>
  <c r="AG1446" i="11"/>
  <c r="AH1446" i="11"/>
  <c r="G1446" i="11"/>
  <c r="AF1446" i="11"/>
  <c r="AI1446" i="11"/>
  <c r="P1446" i="11"/>
  <c r="O1446" i="11"/>
  <c r="F1446" i="11"/>
  <c r="E1446" i="11"/>
  <c r="C1446" i="11"/>
  <c r="B1446" i="11"/>
  <c r="A1446" i="11"/>
  <c r="D1445" i="11"/>
  <c r="AG1445" i="11"/>
  <c r="AH1445" i="11"/>
  <c r="G1445" i="11"/>
  <c r="AF1445" i="11"/>
  <c r="AI1445" i="11"/>
  <c r="P1445" i="11"/>
  <c r="O1445" i="11"/>
  <c r="F1445" i="11"/>
  <c r="E1445" i="11"/>
  <c r="C1445" i="11"/>
  <c r="B1445" i="11"/>
  <c r="A1445" i="11"/>
  <c r="D1444" i="11"/>
  <c r="AG1444" i="11"/>
  <c r="AH1444" i="11"/>
  <c r="G1444" i="11"/>
  <c r="AF1444" i="11"/>
  <c r="AI1444" i="11"/>
  <c r="P1444" i="11"/>
  <c r="O1444" i="11"/>
  <c r="F1444" i="11"/>
  <c r="E1444" i="11"/>
  <c r="C1444" i="11"/>
  <c r="B1444" i="11"/>
  <c r="A1444" i="11"/>
  <c r="D1443" i="11"/>
  <c r="AG1443" i="11"/>
  <c r="AH1443" i="11"/>
  <c r="G1443" i="11"/>
  <c r="AF1443" i="11"/>
  <c r="AI1443" i="11"/>
  <c r="P1443" i="11"/>
  <c r="O1443" i="11"/>
  <c r="F1443" i="11"/>
  <c r="E1443" i="11"/>
  <c r="C1443" i="11"/>
  <c r="B1443" i="11"/>
  <c r="A1443" i="11"/>
  <c r="D1442" i="11"/>
  <c r="AG1442" i="11"/>
  <c r="AH1442" i="11"/>
  <c r="G1442" i="11"/>
  <c r="AF1442" i="11"/>
  <c r="AI1442" i="11"/>
  <c r="P1442" i="11"/>
  <c r="O1442" i="11"/>
  <c r="F1442" i="11"/>
  <c r="E1442" i="11"/>
  <c r="C1442" i="11"/>
  <c r="B1442" i="11"/>
  <c r="A1442" i="11"/>
  <c r="D1441" i="11"/>
  <c r="AG1441" i="11"/>
  <c r="AH1441" i="11"/>
  <c r="G1441" i="11"/>
  <c r="AF1441" i="11"/>
  <c r="AI1441" i="11"/>
  <c r="P1441" i="11"/>
  <c r="O1441" i="11"/>
  <c r="F1441" i="11"/>
  <c r="E1441" i="11"/>
  <c r="C1441" i="11"/>
  <c r="B1441" i="11"/>
  <c r="A1441" i="11"/>
  <c r="D1440" i="11"/>
  <c r="AG1440" i="11"/>
  <c r="AH1440" i="11"/>
  <c r="G1440" i="11"/>
  <c r="AF1440" i="11"/>
  <c r="AI1440" i="11"/>
  <c r="P1440" i="11"/>
  <c r="O1440" i="11"/>
  <c r="F1440" i="11"/>
  <c r="E1440" i="11"/>
  <c r="C1440" i="11"/>
  <c r="B1440" i="11"/>
  <c r="A1440" i="11"/>
  <c r="D1439" i="11"/>
  <c r="AG1439" i="11"/>
  <c r="AH1439" i="11"/>
  <c r="G1439" i="11"/>
  <c r="AF1439" i="11"/>
  <c r="AI1439" i="11"/>
  <c r="P1439" i="11"/>
  <c r="O1439" i="11"/>
  <c r="F1439" i="11"/>
  <c r="E1439" i="11"/>
  <c r="C1439" i="11"/>
  <c r="B1439" i="11"/>
  <c r="A1439" i="11"/>
  <c r="D1438" i="11"/>
  <c r="AG1438" i="11"/>
  <c r="AH1438" i="11"/>
  <c r="G1438" i="11"/>
  <c r="AF1438" i="11"/>
  <c r="AI1438" i="11"/>
  <c r="P1438" i="11"/>
  <c r="O1438" i="11"/>
  <c r="F1438" i="11"/>
  <c r="E1438" i="11"/>
  <c r="C1438" i="11"/>
  <c r="B1438" i="11"/>
  <c r="A1438" i="11"/>
  <c r="D1437" i="11"/>
  <c r="AG1437" i="11"/>
  <c r="AH1437" i="11"/>
  <c r="G1437" i="11"/>
  <c r="AF1437" i="11"/>
  <c r="AI1437" i="11"/>
  <c r="P1437" i="11"/>
  <c r="O1437" i="11"/>
  <c r="F1437" i="11"/>
  <c r="E1437" i="11"/>
  <c r="C1437" i="11"/>
  <c r="B1437" i="11"/>
  <c r="A1437" i="11"/>
  <c r="D1436" i="11"/>
  <c r="AG1436" i="11"/>
  <c r="AH1436" i="11"/>
  <c r="G1436" i="11"/>
  <c r="AF1436" i="11"/>
  <c r="AI1436" i="11"/>
  <c r="P1436" i="11"/>
  <c r="O1436" i="11"/>
  <c r="F1436" i="11"/>
  <c r="E1436" i="11"/>
  <c r="C1436" i="11"/>
  <c r="B1436" i="11"/>
  <c r="A1436" i="11"/>
  <c r="D1435" i="11"/>
  <c r="AG1435" i="11"/>
  <c r="AH1435" i="11"/>
  <c r="G1435" i="11"/>
  <c r="AF1435" i="11"/>
  <c r="AI1435" i="11"/>
  <c r="P1435" i="11"/>
  <c r="O1435" i="11"/>
  <c r="F1435" i="11"/>
  <c r="E1435" i="11"/>
  <c r="C1435" i="11"/>
  <c r="B1435" i="11"/>
  <c r="A1435" i="11"/>
  <c r="D1434" i="11"/>
  <c r="AG1434" i="11"/>
  <c r="AH1434" i="11"/>
  <c r="G1434" i="11"/>
  <c r="AF1434" i="11"/>
  <c r="AI1434" i="11"/>
  <c r="P1434" i="11"/>
  <c r="O1434" i="11"/>
  <c r="F1434" i="11"/>
  <c r="E1434" i="11"/>
  <c r="C1434" i="11"/>
  <c r="B1434" i="11"/>
  <c r="A1434" i="11"/>
  <c r="D1433" i="11"/>
  <c r="AG1433" i="11"/>
  <c r="AH1433" i="11"/>
  <c r="G1433" i="11"/>
  <c r="AF1433" i="11"/>
  <c r="AI1433" i="11"/>
  <c r="P1433" i="11"/>
  <c r="O1433" i="11"/>
  <c r="F1433" i="11"/>
  <c r="E1433" i="11"/>
  <c r="C1433" i="11"/>
  <c r="B1433" i="11"/>
  <c r="A1433" i="11"/>
  <c r="D1432" i="11"/>
  <c r="AG1432" i="11"/>
  <c r="AH1432" i="11"/>
  <c r="G1432" i="11"/>
  <c r="AF1432" i="11"/>
  <c r="AI1432" i="11"/>
  <c r="P1432" i="11"/>
  <c r="O1432" i="11"/>
  <c r="F1432" i="11"/>
  <c r="E1432" i="11"/>
  <c r="C1432" i="11"/>
  <c r="B1432" i="11"/>
  <c r="A1432" i="11"/>
  <c r="D1431" i="11"/>
  <c r="AG1431" i="11"/>
  <c r="AH1431" i="11"/>
  <c r="G1431" i="11"/>
  <c r="AF1431" i="11"/>
  <c r="AI1431" i="11"/>
  <c r="P1431" i="11"/>
  <c r="O1431" i="11"/>
  <c r="F1431" i="11"/>
  <c r="E1431" i="11"/>
  <c r="C1431" i="11"/>
  <c r="B1431" i="11"/>
  <c r="A1431" i="11"/>
  <c r="D1430" i="11"/>
  <c r="AG1430" i="11"/>
  <c r="AH1430" i="11"/>
  <c r="G1430" i="11"/>
  <c r="AF1430" i="11"/>
  <c r="AI1430" i="11"/>
  <c r="P1430" i="11"/>
  <c r="O1430" i="11"/>
  <c r="F1430" i="11"/>
  <c r="E1430" i="11"/>
  <c r="C1430" i="11"/>
  <c r="B1430" i="11"/>
  <c r="A1430" i="11"/>
  <c r="D1429" i="11"/>
  <c r="AG1429" i="11"/>
  <c r="AH1429" i="11"/>
  <c r="G1429" i="11"/>
  <c r="AF1429" i="11"/>
  <c r="AI1429" i="11"/>
  <c r="P1429" i="11"/>
  <c r="O1429" i="11"/>
  <c r="F1429" i="11"/>
  <c r="E1429" i="11"/>
  <c r="C1429" i="11"/>
  <c r="B1429" i="11"/>
  <c r="A1429" i="11"/>
  <c r="D1428" i="11"/>
  <c r="AG1428" i="11"/>
  <c r="AH1428" i="11"/>
  <c r="G1428" i="11"/>
  <c r="AF1428" i="11"/>
  <c r="AI1428" i="11"/>
  <c r="P1428" i="11"/>
  <c r="O1428" i="11"/>
  <c r="F1428" i="11"/>
  <c r="E1428" i="11"/>
  <c r="C1428" i="11"/>
  <c r="B1428" i="11"/>
  <c r="A1428" i="11"/>
  <c r="D1427" i="11"/>
  <c r="AG1427" i="11"/>
  <c r="AH1427" i="11"/>
  <c r="G1427" i="11"/>
  <c r="AF1427" i="11"/>
  <c r="AI1427" i="11"/>
  <c r="P1427" i="11"/>
  <c r="O1427" i="11"/>
  <c r="F1427" i="11"/>
  <c r="E1427" i="11"/>
  <c r="C1427" i="11"/>
  <c r="B1427" i="11"/>
  <c r="A1427" i="11"/>
  <c r="D1426" i="11"/>
  <c r="AG1426" i="11"/>
  <c r="AH1426" i="11"/>
  <c r="G1426" i="11"/>
  <c r="AF1426" i="11"/>
  <c r="AI1426" i="11"/>
  <c r="P1426" i="11"/>
  <c r="O1426" i="11"/>
  <c r="F1426" i="11"/>
  <c r="E1426" i="11"/>
  <c r="C1426" i="11"/>
  <c r="B1426" i="11"/>
  <c r="A1426" i="11"/>
  <c r="D1425" i="11"/>
  <c r="AG1425" i="11"/>
  <c r="AH1425" i="11"/>
  <c r="G1425" i="11"/>
  <c r="AF1425" i="11"/>
  <c r="AI1425" i="11"/>
  <c r="P1425" i="11"/>
  <c r="O1425" i="11"/>
  <c r="F1425" i="11"/>
  <c r="E1425" i="11"/>
  <c r="C1425" i="11"/>
  <c r="B1425" i="11"/>
  <c r="A1425" i="11"/>
  <c r="D1424" i="11"/>
  <c r="AG1424" i="11"/>
  <c r="AH1424" i="11"/>
  <c r="G1424" i="11"/>
  <c r="AF1424" i="11"/>
  <c r="AI1424" i="11"/>
  <c r="P1424" i="11"/>
  <c r="O1424" i="11"/>
  <c r="F1424" i="11"/>
  <c r="E1424" i="11"/>
  <c r="C1424" i="11"/>
  <c r="B1424" i="11"/>
  <c r="A1424" i="11"/>
  <c r="D1423" i="11"/>
  <c r="AG1423" i="11"/>
  <c r="AH1423" i="11"/>
  <c r="G1423" i="11"/>
  <c r="AF1423" i="11"/>
  <c r="AI1423" i="11"/>
  <c r="P1423" i="11"/>
  <c r="O1423" i="11"/>
  <c r="F1423" i="11"/>
  <c r="E1423" i="11"/>
  <c r="C1423" i="11"/>
  <c r="B1423" i="11"/>
  <c r="A1423" i="11"/>
  <c r="D1422" i="11"/>
  <c r="AG1422" i="11"/>
  <c r="AH1422" i="11"/>
  <c r="G1422" i="11"/>
  <c r="AF1422" i="11"/>
  <c r="AI1422" i="11"/>
  <c r="P1422" i="11"/>
  <c r="O1422" i="11"/>
  <c r="F1422" i="11"/>
  <c r="E1422" i="11"/>
  <c r="C1422" i="11"/>
  <c r="B1422" i="11"/>
  <c r="A1422" i="11"/>
  <c r="D1421" i="11"/>
  <c r="AG1421" i="11"/>
  <c r="AH1421" i="11"/>
  <c r="G1421" i="11"/>
  <c r="AF1421" i="11"/>
  <c r="AI1421" i="11"/>
  <c r="P1421" i="11"/>
  <c r="O1421" i="11"/>
  <c r="F1421" i="11"/>
  <c r="E1421" i="11"/>
  <c r="C1421" i="11"/>
  <c r="B1421" i="11"/>
  <c r="A1421" i="11"/>
  <c r="D1420" i="11"/>
  <c r="AG1420" i="11"/>
  <c r="AH1420" i="11"/>
  <c r="G1420" i="11"/>
  <c r="AF1420" i="11"/>
  <c r="AI1420" i="11"/>
  <c r="P1420" i="11"/>
  <c r="O1420" i="11"/>
  <c r="F1420" i="11"/>
  <c r="E1420" i="11"/>
  <c r="C1420" i="11"/>
  <c r="B1420" i="11"/>
  <c r="A1420" i="11"/>
  <c r="D1419" i="11"/>
  <c r="AG1419" i="11"/>
  <c r="AH1419" i="11"/>
  <c r="G1419" i="11"/>
  <c r="AF1419" i="11"/>
  <c r="AI1419" i="11"/>
  <c r="P1419" i="11"/>
  <c r="O1419" i="11"/>
  <c r="F1419" i="11"/>
  <c r="E1419" i="11"/>
  <c r="C1419" i="11"/>
  <c r="B1419" i="11"/>
  <c r="A1419" i="11"/>
  <c r="D1418" i="11"/>
  <c r="AG1418" i="11"/>
  <c r="AH1418" i="11"/>
  <c r="G1418" i="11"/>
  <c r="AF1418" i="11"/>
  <c r="AI1418" i="11"/>
  <c r="P1418" i="11"/>
  <c r="O1418" i="11"/>
  <c r="F1418" i="11"/>
  <c r="E1418" i="11"/>
  <c r="C1418" i="11"/>
  <c r="B1418" i="11"/>
  <c r="A1418" i="11"/>
  <c r="D1417" i="11"/>
  <c r="AG1417" i="11"/>
  <c r="AH1417" i="11"/>
  <c r="G1417" i="11"/>
  <c r="AF1417" i="11"/>
  <c r="AI1417" i="11"/>
  <c r="P1417" i="11"/>
  <c r="O1417" i="11"/>
  <c r="F1417" i="11"/>
  <c r="E1417" i="11"/>
  <c r="C1417" i="11"/>
  <c r="B1417" i="11"/>
  <c r="A1417" i="11"/>
  <c r="D1416" i="11"/>
  <c r="AG1416" i="11"/>
  <c r="AH1416" i="11"/>
  <c r="G1416" i="11"/>
  <c r="AF1416" i="11"/>
  <c r="AI1416" i="11"/>
  <c r="P1416" i="11"/>
  <c r="O1416" i="11"/>
  <c r="F1416" i="11"/>
  <c r="E1416" i="11"/>
  <c r="C1416" i="11"/>
  <c r="B1416" i="11"/>
  <c r="A1416" i="11"/>
  <c r="D1415" i="11"/>
  <c r="AG1415" i="11"/>
  <c r="AH1415" i="11"/>
  <c r="G1415" i="11"/>
  <c r="AF1415" i="11"/>
  <c r="AI1415" i="11"/>
  <c r="P1415" i="11"/>
  <c r="O1415" i="11"/>
  <c r="F1415" i="11"/>
  <c r="E1415" i="11"/>
  <c r="C1415" i="11"/>
  <c r="B1415" i="11"/>
  <c r="A1415" i="11"/>
  <c r="D1414" i="11"/>
  <c r="AG1414" i="11"/>
  <c r="AH1414" i="11"/>
  <c r="G1414" i="11"/>
  <c r="AF1414" i="11"/>
  <c r="AI1414" i="11"/>
  <c r="P1414" i="11"/>
  <c r="O1414" i="11"/>
  <c r="F1414" i="11"/>
  <c r="E1414" i="11"/>
  <c r="C1414" i="11"/>
  <c r="B1414" i="11"/>
  <c r="A1414" i="11"/>
  <c r="D1413" i="11"/>
  <c r="AG1413" i="11"/>
  <c r="AH1413" i="11"/>
  <c r="G1413" i="11"/>
  <c r="AF1413" i="11"/>
  <c r="AI1413" i="11"/>
  <c r="P1413" i="11"/>
  <c r="O1413" i="11"/>
  <c r="F1413" i="11"/>
  <c r="E1413" i="11"/>
  <c r="C1413" i="11"/>
  <c r="B1413" i="11"/>
  <c r="A1413" i="11"/>
  <c r="D1412" i="11"/>
  <c r="AG1412" i="11"/>
  <c r="AH1412" i="11"/>
  <c r="G1412" i="11"/>
  <c r="AF1412" i="11"/>
  <c r="AI1412" i="11"/>
  <c r="P1412" i="11"/>
  <c r="O1412" i="11"/>
  <c r="F1412" i="11"/>
  <c r="E1412" i="11"/>
  <c r="C1412" i="11"/>
  <c r="B1412" i="11"/>
  <c r="A1412" i="11"/>
  <c r="D1411" i="11"/>
  <c r="AG1411" i="11"/>
  <c r="AH1411" i="11"/>
  <c r="G1411" i="11"/>
  <c r="AF1411" i="11"/>
  <c r="AI1411" i="11"/>
  <c r="P1411" i="11"/>
  <c r="O1411" i="11"/>
  <c r="F1411" i="11"/>
  <c r="E1411" i="11"/>
  <c r="C1411" i="11"/>
  <c r="B1411" i="11"/>
  <c r="A1411" i="11"/>
  <c r="D1410" i="11"/>
  <c r="AG1410" i="11"/>
  <c r="AH1410" i="11"/>
  <c r="G1410" i="11"/>
  <c r="AF1410" i="11"/>
  <c r="AI1410" i="11"/>
  <c r="P1410" i="11"/>
  <c r="O1410" i="11"/>
  <c r="F1410" i="11"/>
  <c r="E1410" i="11"/>
  <c r="C1410" i="11"/>
  <c r="B1410" i="11"/>
  <c r="A1410" i="11"/>
  <c r="D1409" i="11"/>
  <c r="AG1409" i="11"/>
  <c r="AH1409" i="11"/>
  <c r="G1409" i="11"/>
  <c r="AF1409" i="11"/>
  <c r="AI1409" i="11"/>
  <c r="P1409" i="11"/>
  <c r="O1409" i="11"/>
  <c r="F1409" i="11"/>
  <c r="E1409" i="11"/>
  <c r="C1409" i="11"/>
  <c r="B1409" i="11"/>
  <c r="A1409" i="11"/>
  <c r="D1408" i="11"/>
  <c r="AG1408" i="11"/>
  <c r="AH1408" i="11"/>
  <c r="G1408" i="11"/>
  <c r="AF1408" i="11"/>
  <c r="AI1408" i="11"/>
  <c r="P1408" i="11"/>
  <c r="O1408" i="11"/>
  <c r="F1408" i="11"/>
  <c r="E1408" i="11"/>
  <c r="C1408" i="11"/>
  <c r="B1408" i="11"/>
  <c r="A1408" i="11"/>
  <c r="D1407" i="11"/>
  <c r="AG1407" i="11"/>
  <c r="AH1407" i="11"/>
  <c r="G1407" i="11"/>
  <c r="AF1407" i="11"/>
  <c r="AI1407" i="11"/>
  <c r="P1407" i="11"/>
  <c r="O1407" i="11"/>
  <c r="F1407" i="11"/>
  <c r="E1407" i="11"/>
  <c r="C1407" i="11"/>
  <c r="B1407" i="11"/>
  <c r="A1407" i="11"/>
  <c r="D1406" i="11"/>
  <c r="AG1406" i="11"/>
  <c r="AH1406" i="11"/>
  <c r="G1406" i="11"/>
  <c r="AF1406" i="11"/>
  <c r="AI1406" i="11"/>
  <c r="P1406" i="11"/>
  <c r="O1406" i="11"/>
  <c r="F1406" i="11"/>
  <c r="E1406" i="11"/>
  <c r="C1406" i="11"/>
  <c r="B1406" i="11"/>
  <c r="A1406" i="11"/>
  <c r="D1405" i="11"/>
  <c r="AG1405" i="11"/>
  <c r="AH1405" i="11"/>
  <c r="G1405" i="11"/>
  <c r="AF1405" i="11"/>
  <c r="AI1405" i="11"/>
  <c r="P1405" i="11"/>
  <c r="O1405" i="11"/>
  <c r="F1405" i="11"/>
  <c r="E1405" i="11"/>
  <c r="C1405" i="11"/>
  <c r="B1405" i="11"/>
  <c r="A1405" i="11"/>
  <c r="D1404" i="11"/>
  <c r="AG1404" i="11"/>
  <c r="AH1404" i="11"/>
  <c r="G1404" i="11"/>
  <c r="AF1404" i="11"/>
  <c r="AI1404" i="11"/>
  <c r="P1404" i="11"/>
  <c r="O1404" i="11"/>
  <c r="F1404" i="11"/>
  <c r="E1404" i="11"/>
  <c r="C1404" i="11"/>
  <c r="B1404" i="11"/>
  <c r="A1404" i="11"/>
  <c r="D1403" i="11"/>
  <c r="AG1403" i="11"/>
  <c r="AH1403" i="11"/>
  <c r="G1403" i="11"/>
  <c r="AF1403" i="11"/>
  <c r="AI1403" i="11"/>
  <c r="P1403" i="11"/>
  <c r="O1403" i="11"/>
  <c r="F1403" i="11"/>
  <c r="E1403" i="11"/>
  <c r="C1403" i="11"/>
  <c r="B1403" i="11"/>
  <c r="A1403" i="11"/>
  <c r="D1402" i="11"/>
  <c r="AG1402" i="11"/>
  <c r="AH1402" i="11"/>
  <c r="G1402" i="11"/>
  <c r="AF1402" i="11"/>
  <c r="AI1402" i="11"/>
  <c r="P1402" i="11"/>
  <c r="O1402" i="11"/>
  <c r="F1402" i="11"/>
  <c r="E1402" i="11"/>
  <c r="C1402" i="11"/>
  <c r="B1402" i="11"/>
  <c r="A1402" i="11"/>
  <c r="D1401" i="11"/>
  <c r="AG1401" i="11"/>
  <c r="AH1401" i="11"/>
  <c r="G1401" i="11"/>
  <c r="AF1401" i="11"/>
  <c r="AI1401" i="11"/>
  <c r="P1401" i="11"/>
  <c r="O1401" i="11"/>
  <c r="F1401" i="11"/>
  <c r="E1401" i="11"/>
  <c r="C1401" i="11"/>
  <c r="B1401" i="11"/>
  <c r="A1401" i="11"/>
  <c r="D1400" i="11"/>
  <c r="AG1400" i="11"/>
  <c r="AH1400" i="11"/>
  <c r="G1400" i="11"/>
  <c r="AF1400" i="11"/>
  <c r="AI1400" i="11"/>
  <c r="P1400" i="11"/>
  <c r="O1400" i="11"/>
  <c r="F1400" i="11"/>
  <c r="E1400" i="11"/>
  <c r="C1400" i="11"/>
  <c r="B1400" i="11"/>
  <c r="A1400" i="11"/>
  <c r="D1399" i="11"/>
  <c r="AG1399" i="11"/>
  <c r="AH1399" i="11"/>
  <c r="G1399" i="11"/>
  <c r="AF1399" i="11"/>
  <c r="AI1399" i="11"/>
  <c r="P1399" i="11"/>
  <c r="O1399" i="11"/>
  <c r="F1399" i="11"/>
  <c r="E1399" i="11"/>
  <c r="C1399" i="11"/>
  <c r="B1399" i="11"/>
  <c r="A1399" i="11"/>
  <c r="D1398" i="11"/>
  <c r="AG1398" i="11"/>
  <c r="AH1398" i="11"/>
  <c r="G1398" i="11"/>
  <c r="AF1398" i="11"/>
  <c r="AI1398" i="11"/>
  <c r="P1398" i="11"/>
  <c r="O1398" i="11"/>
  <c r="F1398" i="11"/>
  <c r="E1398" i="11"/>
  <c r="C1398" i="11"/>
  <c r="B1398" i="11"/>
  <c r="A1398" i="11"/>
  <c r="D1397" i="11"/>
  <c r="AG1397" i="11"/>
  <c r="AH1397" i="11"/>
  <c r="G1397" i="11"/>
  <c r="AF1397" i="11"/>
  <c r="AI1397" i="11"/>
  <c r="P1397" i="11"/>
  <c r="O1397" i="11"/>
  <c r="F1397" i="11"/>
  <c r="E1397" i="11"/>
  <c r="C1397" i="11"/>
  <c r="B1397" i="11"/>
  <c r="A1397" i="11"/>
  <c r="D1396" i="11"/>
  <c r="AG1396" i="11"/>
  <c r="AH1396" i="11"/>
  <c r="G1396" i="11"/>
  <c r="AF1396" i="11"/>
  <c r="AI1396" i="11"/>
  <c r="P1396" i="11"/>
  <c r="O1396" i="11"/>
  <c r="F1396" i="11"/>
  <c r="E1396" i="11"/>
  <c r="C1396" i="11"/>
  <c r="B1396" i="11"/>
  <c r="A1396" i="11"/>
  <c r="D1395" i="11"/>
  <c r="AG1395" i="11"/>
  <c r="AH1395" i="11"/>
  <c r="G1395" i="11"/>
  <c r="AF1395" i="11"/>
  <c r="AI1395" i="11"/>
  <c r="P1395" i="11"/>
  <c r="O1395" i="11"/>
  <c r="F1395" i="11"/>
  <c r="E1395" i="11"/>
  <c r="C1395" i="11"/>
  <c r="B1395" i="11"/>
  <c r="A1395" i="11"/>
  <c r="D1394" i="11"/>
  <c r="AG1394" i="11"/>
  <c r="AH1394" i="11"/>
  <c r="G1394" i="11"/>
  <c r="AF1394" i="11"/>
  <c r="AI1394" i="11"/>
  <c r="P1394" i="11"/>
  <c r="O1394" i="11"/>
  <c r="F1394" i="11"/>
  <c r="E1394" i="11"/>
  <c r="C1394" i="11"/>
  <c r="B1394" i="11"/>
  <c r="A1394" i="11"/>
  <c r="D1393" i="11"/>
  <c r="AG1393" i="11"/>
  <c r="AH1393" i="11"/>
  <c r="G1393" i="11"/>
  <c r="AF1393" i="11"/>
  <c r="AI1393" i="11"/>
  <c r="P1393" i="11"/>
  <c r="O1393" i="11"/>
  <c r="F1393" i="11"/>
  <c r="E1393" i="11"/>
  <c r="C1393" i="11"/>
  <c r="B1393" i="11"/>
  <c r="A1393" i="11"/>
  <c r="D1392" i="11"/>
  <c r="AG1392" i="11"/>
  <c r="AH1392" i="11"/>
  <c r="G1392" i="11"/>
  <c r="AF1392" i="11"/>
  <c r="AI1392" i="11"/>
  <c r="P1392" i="11"/>
  <c r="O1392" i="11"/>
  <c r="F1392" i="11"/>
  <c r="E1392" i="11"/>
  <c r="C1392" i="11"/>
  <c r="B1392" i="11"/>
  <c r="A1392" i="11"/>
  <c r="D1391" i="11"/>
  <c r="AG1391" i="11"/>
  <c r="AH1391" i="11"/>
  <c r="G1391" i="11"/>
  <c r="AF1391" i="11"/>
  <c r="AI1391" i="11"/>
  <c r="P1391" i="11"/>
  <c r="O1391" i="11"/>
  <c r="F1391" i="11"/>
  <c r="E1391" i="11"/>
  <c r="C1391" i="11"/>
  <c r="B1391" i="11"/>
  <c r="A1391" i="11"/>
  <c r="D1390" i="11"/>
  <c r="AG1390" i="11"/>
  <c r="AH1390" i="11"/>
  <c r="G1390" i="11"/>
  <c r="AF1390" i="11"/>
  <c r="AI1390" i="11"/>
  <c r="P1390" i="11"/>
  <c r="O1390" i="11"/>
  <c r="F1390" i="11"/>
  <c r="E1390" i="11"/>
  <c r="C1390" i="11"/>
  <c r="B1390" i="11"/>
  <c r="A1390" i="11"/>
  <c r="D1389" i="11"/>
  <c r="AG1389" i="11"/>
  <c r="AH1389" i="11"/>
  <c r="G1389" i="11"/>
  <c r="AF1389" i="11"/>
  <c r="AI1389" i="11"/>
  <c r="P1389" i="11"/>
  <c r="O1389" i="11"/>
  <c r="F1389" i="11"/>
  <c r="E1389" i="11"/>
  <c r="C1389" i="11"/>
  <c r="B1389" i="11"/>
  <c r="A1389" i="11"/>
  <c r="D1388" i="11"/>
  <c r="AG1388" i="11"/>
  <c r="AH1388" i="11"/>
  <c r="G1388" i="11"/>
  <c r="AF1388" i="11"/>
  <c r="AI1388" i="11"/>
  <c r="P1388" i="11"/>
  <c r="O1388" i="11"/>
  <c r="F1388" i="11"/>
  <c r="E1388" i="11"/>
  <c r="C1388" i="11"/>
  <c r="B1388" i="11"/>
  <c r="A1388" i="11"/>
  <c r="D1387" i="11"/>
  <c r="AG1387" i="11"/>
  <c r="AH1387" i="11"/>
  <c r="G1387" i="11"/>
  <c r="AF1387" i="11"/>
  <c r="AI1387" i="11"/>
  <c r="P1387" i="11"/>
  <c r="O1387" i="11"/>
  <c r="F1387" i="11"/>
  <c r="E1387" i="11"/>
  <c r="C1387" i="11"/>
  <c r="B1387" i="11"/>
  <c r="A1387" i="11"/>
  <c r="D1386" i="11"/>
  <c r="AG1386" i="11"/>
  <c r="AH1386" i="11"/>
  <c r="G1386" i="11"/>
  <c r="AF1386" i="11"/>
  <c r="AI1386" i="11"/>
  <c r="P1386" i="11"/>
  <c r="O1386" i="11"/>
  <c r="F1386" i="11"/>
  <c r="E1386" i="11"/>
  <c r="C1386" i="11"/>
  <c r="B1386" i="11"/>
  <c r="A1386" i="11"/>
  <c r="D1385" i="11"/>
  <c r="AG1385" i="11"/>
  <c r="AH1385" i="11"/>
  <c r="G1385" i="11"/>
  <c r="AF1385" i="11"/>
  <c r="AI1385" i="11"/>
  <c r="P1385" i="11"/>
  <c r="O1385" i="11"/>
  <c r="F1385" i="11"/>
  <c r="E1385" i="11"/>
  <c r="C1385" i="11"/>
  <c r="B1385" i="11"/>
  <c r="A1385" i="11"/>
  <c r="D1384" i="11"/>
  <c r="AG1384" i="11"/>
  <c r="AH1384" i="11"/>
  <c r="G1384" i="11"/>
  <c r="AF1384" i="11"/>
  <c r="AI1384" i="11"/>
  <c r="P1384" i="11"/>
  <c r="O1384" i="11"/>
  <c r="F1384" i="11"/>
  <c r="E1384" i="11"/>
  <c r="C1384" i="11"/>
  <c r="B1384" i="11"/>
  <c r="A1384" i="11"/>
  <c r="D1383" i="11"/>
  <c r="AG1383" i="11"/>
  <c r="AH1383" i="11"/>
  <c r="G1383" i="11"/>
  <c r="AF1383" i="11"/>
  <c r="AI1383" i="11"/>
  <c r="P1383" i="11"/>
  <c r="O1383" i="11"/>
  <c r="F1383" i="11"/>
  <c r="E1383" i="11"/>
  <c r="C1383" i="11"/>
  <c r="B1383" i="11"/>
  <c r="A1383" i="11"/>
  <c r="D1382" i="11"/>
  <c r="AG1382" i="11"/>
  <c r="AH1382" i="11"/>
  <c r="G1382" i="11"/>
  <c r="AF1382" i="11"/>
  <c r="AI1382" i="11"/>
  <c r="P1382" i="11"/>
  <c r="O1382" i="11"/>
  <c r="F1382" i="11"/>
  <c r="E1382" i="11"/>
  <c r="C1382" i="11"/>
  <c r="B1382" i="11"/>
  <c r="A1382" i="11"/>
  <c r="D1381" i="11"/>
  <c r="AG1381" i="11"/>
  <c r="AH1381" i="11"/>
  <c r="G1381" i="11"/>
  <c r="AF1381" i="11"/>
  <c r="AI1381" i="11"/>
  <c r="P1381" i="11"/>
  <c r="O1381" i="11"/>
  <c r="F1381" i="11"/>
  <c r="E1381" i="11"/>
  <c r="C1381" i="11"/>
  <c r="B1381" i="11"/>
  <c r="A1381" i="11"/>
  <c r="D1380" i="11"/>
  <c r="AG1380" i="11"/>
  <c r="AH1380" i="11"/>
  <c r="G1380" i="11"/>
  <c r="AF1380" i="11"/>
  <c r="AI1380" i="11"/>
  <c r="P1380" i="11"/>
  <c r="O1380" i="11"/>
  <c r="F1380" i="11"/>
  <c r="E1380" i="11"/>
  <c r="C1380" i="11"/>
  <c r="B1380" i="11"/>
  <c r="A1380" i="11"/>
  <c r="D1379" i="11"/>
  <c r="AG1379" i="11"/>
  <c r="AH1379" i="11"/>
  <c r="G1379" i="11"/>
  <c r="AF1379" i="11"/>
  <c r="AI1379" i="11"/>
  <c r="P1379" i="11"/>
  <c r="O1379" i="11"/>
  <c r="F1379" i="11"/>
  <c r="E1379" i="11"/>
  <c r="C1379" i="11"/>
  <c r="B1379" i="11"/>
  <c r="A1379" i="11"/>
  <c r="D1378" i="11"/>
  <c r="AG1378" i="11"/>
  <c r="AH1378" i="11"/>
  <c r="G1378" i="11"/>
  <c r="AF1378" i="11"/>
  <c r="AI1378" i="11"/>
  <c r="P1378" i="11"/>
  <c r="O1378" i="11"/>
  <c r="F1378" i="11"/>
  <c r="E1378" i="11"/>
  <c r="C1378" i="11"/>
  <c r="B1378" i="11"/>
  <c r="A1378" i="11"/>
  <c r="D1377" i="11"/>
  <c r="AG1377" i="11"/>
  <c r="AH1377" i="11"/>
  <c r="G1377" i="11"/>
  <c r="AF1377" i="11"/>
  <c r="AI1377" i="11"/>
  <c r="P1377" i="11"/>
  <c r="O1377" i="11"/>
  <c r="F1377" i="11"/>
  <c r="E1377" i="11"/>
  <c r="C1377" i="11"/>
  <c r="B1377" i="11"/>
  <c r="A1377" i="11"/>
  <c r="D1376" i="11"/>
  <c r="AG1376" i="11"/>
  <c r="AH1376" i="11"/>
  <c r="G1376" i="11"/>
  <c r="AF1376" i="11"/>
  <c r="AI1376" i="11"/>
  <c r="P1376" i="11"/>
  <c r="O1376" i="11"/>
  <c r="F1376" i="11"/>
  <c r="E1376" i="11"/>
  <c r="C1376" i="11"/>
  <c r="B1376" i="11"/>
  <c r="A1376" i="11"/>
  <c r="D1375" i="11"/>
  <c r="AG1375" i="11"/>
  <c r="AH1375" i="11"/>
  <c r="G1375" i="11"/>
  <c r="AF1375" i="11"/>
  <c r="AI1375" i="11"/>
  <c r="P1375" i="11"/>
  <c r="O1375" i="11"/>
  <c r="F1375" i="11"/>
  <c r="E1375" i="11"/>
  <c r="C1375" i="11"/>
  <c r="B1375" i="11"/>
  <c r="A1375" i="11"/>
  <c r="D1374" i="11"/>
  <c r="AG1374" i="11"/>
  <c r="AH1374" i="11"/>
  <c r="G1374" i="11"/>
  <c r="AF1374" i="11"/>
  <c r="AI1374" i="11"/>
  <c r="P1374" i="11"/>
  <c r="O1374" i="11"/>
  <c r="F1374" i="11"/>
  <c r="E1374" i="11"/>
  <c r="C1374" i="11"/>
  <c r="B1374" i="11"/>
  <c r="A1374" i="11"/>
  <c r="D1373" i="11"/>
  <c r="AG1373" i="11"/>
  <c r="AH1373" i="11"/>
  <c r="G1373" i="11"/>
  <c r="AF1373" i="11"/>
  <c r="AI1373" i="11"/>
  <c r="P1373" i="11"/>
  <c r="O1373" i="11"/>
  <c r="F1373" i="11"/>
  <c r="E1373" i="11"/>
  <c r="C1373" i="11"/>
  <c r="B1373" i="11"/>
  <c r="A1373" i="11"/>
  <c r="D1372" i="11"/>
  <c r="AG1372" i="11"/>
  <c r="AH1372" i="11"/>
  <c r="G1372" i="11"/>
  <c r="AF1372" i="11"/>
  <c r="AI1372" i="11"/>
  <c r="P1372" i="11"/>
  <c r="O1372" i="11"/>
  <c r="F1372" i="11"/>
  <c r="E1372" i="11"/>
  <c r="C1372" i="11"/>
  <c r="B1372" i="11"/>
  <c r="A1372" i="11"/>
  <c r="D1371" i="11"/>
  <c r="AG1371" i="11"/>
  <c r="AH1371" i="11"/>
  <c r="G1371" i="11"/>
  <c r="AF1371" i="11"/>
  <c r="AI1371" i="11"/>
  <c r="P1371" i="11"/>
  <c r="O1371" i="11"/>
  <c r="F1371" i="11"/>
  <c r="E1371" i="11"/>
  <c r="C1371" i="11"/>
  <c r="B1371" i="11"/>
  <c r="A1371" i="11"/>
  <c r="D1370" i="11"/>
  <c r="AG1370" i="11"/>
  <c r="AH1370" i="11"/>
  <c r="G1370" i="11"/>
  <c r="AF1370" i="11"/>
  <c r="AI1370" i="11"/>
  <c r="P1370" i="11"/>
  <c r="O1370" i="11"/>
  <c r="F1370" i="11"/>
  <c r="E1370" i="11"/>
  <c r="C1370" i="11"/>
  <c r="B1370" i="11"/>
  <c r="A1370" i="11"/>
  <c r="D1369" i="11"/>
  <c r="AG1369" i="11"/>
  <c r="AH1369" i="11"/>
  <c r="G1369" i="11"/>
  <c r="AF1369" i="11"/>
  <c r="AI1369" i="11"/>
  <c r="P1369" i="11"/>
  <c r="O1369" i="11"/>
  <c r="F1369" i="11"/>
  <c r="E1369" i="11"/>
  <c r="C1369" i="11"/>
  <c r="B1369" i="11"/>
  <c r="A1369" i="11"/>
  <c r="D1368" i="11"/>
  <c r="AG1368" i="11"/>
  <c r="AH1368" i="11"/>
  <c r="G1368" i="11"/>
  <c r="AF1368" i="11"/>
  <c r="AI1368" i="11"/>
  <c r="P1368" i="11"/>
  <c r="O1368" i="11"/>
  <c r="F1368" i="11"/>
  <c r="E1368" i="11"/>
  <c r="C1368" i="11"/>
  <c r="B1368" i="11"/>
  <c r="A1368" i="11"/>
  <c r="D1367" i="11"/>
  <c r="AG1367" i="11"/>
  <c r="AH1367" i="11"/>
  <c r="G1367" i="11"/>
  <c r="AF1367" i="11"/>
  <c r="AI1367" i="11"/>
  <c r="P1367" i="11"/>
  <c r="O1367" i="11"/>
  <c r="F1367" i="11"/>
  <c r="E1367" i="11"/>
  <c r="C1367" i="11"/>
  <c r="B1367" i="11"/>
  <c r="A1367" i="11"/>
  <c r="D1366" i="11"/>
  <c r="AG1366" i="11"/>
  <c r="AH1366" i="11"/>
  <c r="G1366" i="11"/>
  <c r="AF1366" i="11"/>
  <c r="AI1366" i="11"/>
  <c r="P1366" i="11"/>
  <c r="O1366" i="11"/>
  <c r="F1366" i="11"/>
  <c r="E1366" i="11"/>
  <c r="C1366" i="11"/>
  <c r="B1366" i="11"/>
  <c r="A1366" i="11"/>
  <c r="D1365" i="11"/>
  <c r="AG1365" i="11"/>
  <c r="AH1365" i="11"/>
  <c r="G1365" i="11"/>
  <c r="AF1365" i="11"/>
  <c r="AI1365" i="11"/>
  <c r="P1365" i="11"/>
  <c r="O1365" i="11"/>
  <c r="F1365" i="11"/>
  <c r="E1365" i="11"/>
  <c r="C1365" i="11"/>
  <c r="B1365" i="11"/>
  <c r="A1365" i="11"/>
  <c r="D1364" i="11"/>
  <c r="AG1364" i="11"/>
  <c r="AH1364" i="11"/>
  <c r="G1364" i="11"/>
  <c r="AF1364" i="11"/>
  <c r="AI1364" i="11"/>
  <c r="P1364" i="11"/>
  <c r="O1364" i="11"/>
  <c r="F1364" i="11"/>
  <c r="E1364" i="11"/>
  <c r="C1364" i="11"/>
  <c r="B1364" i="11"/>
  <c r="A1364" i="11"/>
  <c r="D1363" i="11"/>
  <c r="AG1363" i="11"/>
  <c r="AH1363" i="11"/>
  <c r="G1363" i="11"/>
  <c r="AF1363" i="11"/>
  <c r="AI1363" i="11"/>
  <c r="P1363" i="11"/>
  <c r="O1363" i="11"/>
  <c r="F1363" i="11"/>
  <c r="E1363" i="11"/>
  <c r="C1363" i="11"/>
  <c r="B1363" i="11"/>
  <c r="A1363" i="11"/>
  <c r="D1362" i="11"/>
  <c r="AG1362" i="11"/>
  <c r="AH1362" i="11"/>
  <c r="G1362" i="11"/>
  <c r="AF1362" i="11"/>
  <c r="AI1362" i="11"/>
  <c r="P1362" i="11"/>
  <c r="O1362" i="11"/>
  <c r="F1362" i="11"/>
  <c r="E1362" i="11"/>
  <c r="C1362" i="11"/>
  <c r="B1362" i="11"/>
  <c r="A1362" i="11"/>
  <c r="D1361" i="11"/>
  <c r="AG1361" i="11"/>
  <c r="AH1361" i="11"/>
  <c r="G1361" i="11"/>
  <c r="AF1361" i="11"/>
  <c r="AI1361" i="11"/>
  <c r="P1361" i="11"/>
  <c r="O1361" i="11"/>
  <c r="F1361" i="11"/>
  <c r="E1361" i="11"/>
  <c r="C1361" i="11"/>
  <c r="B1361" i="11"/>
  <c r="A1361" i="11"/>
  <c r="D1360" i="11"/>
  <c r="AG1360" i="11"/>
  <c r="AH1360" i="11"/>
  <c r="G1360" i="11"/>
  <c r="AF1360" i="11"/>
  <c r="AI1360" i="11"/>
  <c r="P1360" i="11"/>
  <c r="O1360" i="11"/>
  <c r="F1360" i="11"/>
  <c r="E1360" i="11"/>
  <c r="C1360" i="11"/>
  <c r="B1360" i="11"/>
  <c r="A1360" i="11"/>
  <c r="D1359" i="11"/>
  <c r="AG1359" i="11"/>
  <c r="AH1359" i="11"/>
  <c r="G1359" i="11"/>
  <c r="AF1359" i="11"/>
  <c r="AI1359" i="11"/>
  <c r="P1359" i="11"/>
  <c r="O1359" i="11"/>
  <c r="F1359" i="11"/>
  <c r="E1359" i="11"/>
  <c r="C1359" i="11"/>
  <c r="B1359" i="11"/>
  <c r="A1359" i="11"/>
  <c r="D1358" i="11"/>
  <c r="AG1358" i="11"/>
  <c r="AH1358" i="11"/>
  <c r="G1358" i="11"/>
  <c r="AF1358" i="11"/>
  <c r="AI1358" i="11"/>
  <c r="P1358" i="11"/>
  <c r="O1358" i="11"/>
  <c r="F1358" i="11"/>
  <c r="E1358" i="11"/>
  <c r="C1358" i="11"/>
  <c r="B1358" i="11"/>
  <c r="A1358" i="11"/>
  <c r="D1357" i="11"/>
  <c r="AG1357" i="11"/>
  <c r="AH1357" i="11"/>
  <c r="G1357" i="11"/>
  <c r="AF1357" i="11"/>
  <c r="AI1357" i="11"/>
  <c r="P1357" i="11"/>
  <c r="O1357" i="11"/>
  <c r="F1357" i="11"/>
  <c r="E1357" i="11"/>
  <c r="C1357" i="11"/>
  <c r="B1357" i="11"/>
  <c r="A1357" i="11"/>
  <c r="D1356" i="11"/>
  <c r="AG1356" i="11"/>
  <c r="AH1356" i="11"/>
  <c r="G1356" i="11"/>
  <c r="AF1356" i="11"/>
  <c r="AI1356" i="11"/>
  <c r="P1356" i="11"/>
  <c r="O1356" i="11"/>
  <c r="F1356" i="11"/>
  <c r="E1356" i="11"/>
  <c r="C1356" i="11"/>
  <c r="B1356" i="11"/>
  <c r="A1356" i="11"/>
  <c r="D1355" i="11"/>
  <c r="AG1355" i="11"/>
  <c r="AH1355" i="11"/>
  <c r="G1355" i="11"/>
  <c r="AF1355" i="11"/>
  <c r="AI1355" i="11"/>
  <c r="P1355" i="11"/>
  <c r="O1355" i="11"/>
  <c r="F1355" i="11"/>
  <c r="E1355" i="11"/>
  <c r="C1355" i="11"/>
  <c r="B1355" i="11"/>
  <c r="A1355" i="11"/>
  <c r="D1354" i="11"/>
  <c r="AG1354" i="11"/>
  <c r="AH1354" i="11"/>
  <c r="G1354" i="11"/>
  <c r="AF1354" i="11"/>
  <c r="AI1354" i="11"/>
  <c r="P1354" i="11"/>
  <c r="O1354" i="11"/>
  <c r="F1354" i="11"/>
  <c r="E1354" i="11"/>
  <c r="C1354" i="11"/>
  <c r="B1354" i="11"/>
  <c r="A1354" i="11"/>
  <c r="D1353" i="11"/>
  <c r="AG1353" i="11"/>
  <c r="AH1353" i="11"/>
  <c r="G1353" i="11"/>
  <c r="AF1353" i="11"/>
  <c r="AI1353" i="11"/>
  <c r="P1353" i="11"/>
  <c r="O1353" i="11"/>
  <c r="F1353" i="11"/>
  <c r="E1353" i="11"/>
  <c r="C1353" i="11"/>
  <c r="B1353" i="11"/>
  <c r="A1353" i="11"/>
  <c r="D1352" i="11"/>
  <c r="AG1352" i="11"/>
  <c r="AH1352" i="11"/>
  <c r="G1352" i="11"/>
  <c r="AF1352" i="11"/>
  <c r="AI1352" i="11"/>
  <c r="P1352" i="11"/>
  <c r="O1352" i="11"/>
  <c r="F1352" i="11"/>
  <c r="E1352" i="11"/>
  <c r="C1352" i="11"/>
  <c r="B1352" i="11"/>
  <c r="A1352" i="11"/>
  <c r="D1351" i="11"/>
  <c r="AG1351" i="11"/>
  <c r="AH1351" i="11"/>
  <c r="G1351" i="11"/>
  <c r="AF1351" i="11"/>
  <c r="AI1351" i="11"/>
  <c r="P1351" i="11"/>
  <c r="O1351" i="11"/>
  <c r="F1351" i="11"/>
  <c r="E1351" i="11"/>
  <c r="C1351" i="11"/>
  <c r="B1351" i="11"/>
  <c r="A1351" i="11"/>
  <c r="D1350" i="11"/>
  <c r="AG1350" i="11"/>
  <c r="AH1350" i="11"/>
  <c r="G1350" i="11"/>
  <c r="AF1350" i="11"/>
  <c r="AI1350" i="11"/>
  <c r="P1350" i="11"/>
  <c r="O1350" i="11"/>
  <c r="F1350" i="11"/>
  <c r="E1350" i="11"/>
  <c r="C1350" i="11"/>
  <c r="B1350" i="11"/>
  <c r="A1350" i="11"/>
  <c r="D1349" i="11"/>
  <c r="AG1349" i="11"/>
  <c r="AH1349" i="11"/>
  <c r="G1349" i="11"/>
  <c r="AF1349" i="11"/>
  <c r="AI1349" i="11"/>
  <c r="P1349" i="11"/>
  <c r="O1349" i="11"/>
  <c r="F1349" i="11"/>
  <c r="E1349" i="11"/>
  <c r="C1349" i="11"/>
  <c r="B1349" i="11"/>
  <c r="A1349" i="11"/>
  <c r="D1348" i="11"/>
  <c r="AG1348" i="11"/>
  <c r="AH1348" i="11"/>
  <c r="G1348" i="11"/>
  <c r="AF1348" i="11"/>
  <c r="AI1348" i="11"/>
  <c r="P1348" i="11"/>
  <c r="O1348" i="11"/>
  <c r="F1348" i="11"/>
  <c r="E1348" i="11"/>
  <c r="C1348" i="11"/>
  <c r="B1348" i="11"/>
  <c r="A1348" i="11"/>
  <c r="D1347" i="11"/>
  <c r="AG1347" i="11"/>
  <c r="AH1347" i="11"/>
  <c r="G1347" i="11"/>
  <c r="AF1347" i="11"/>
  <c r="AI1347" i="11"/>
  <c r="P1347" i="11"/>
  <c r="O1347" i="11"/>
  <c r="F1347" i="11"/>
  <c r="E1347" i="11"/>
  <c r="C1347" i="11"/>
  <c r="B1347" i="11"/>
  <c r="A1347" i="11"/>
  <c r="D1346" i="11"/>
  <c r="AG1346" i="11"/>
  <c r="AH1346" i="11"/>
  <c r="G1346" i="11"/>
  <c r="AF1346" i="11"/>
  <c r="AI1346" i="11"/>
  <c r="P1346" i="11"/>
  <c r="O1346" i="11"/>
  <c r="F1346" i="11"/>
  <c r="E1346" i="11"/>
  <c r="C1346" i="11"/>
  <c r="B1346" i="11"/>
  <c r="A1346" i="11"/>
  <c r="D1345" i="11"/>
  <c r="AG1345" i="11"/>
  <c r="AH1345" i="11"/>
  <c r="G1345" i="11"/>
  <c r="AF1345" i="11"/>
  <c r="AI1345" i="11"/>
  <c r="P1345" i="11"/>
  <c r="O1345" i="11"/>
  <c r="F1345" i="11"/>
  <c r="E1345" i="11"/>
  <c r="C1345" i="11"/>
  <c r="B1345" i="11"/>
  <c r="A1345" i="11"/>
  <c r="D1344" i="11"/>
  <c r="AG1344" i="11"/>
  <c r="AH1344" i="11"/>
  <c r="G1344" i="11"/>
  <c r="AF1344" i="11"/>
  <c r="AI1344" i="11"/>
  <c r="P1344" i="11"/>
  <c r="O1344" i="11"/>
  <c r="F1344" i="11"/>
  <c r="E1344" i="11"/>
  <c r="C1344" i="11"/>
  <c r="B1344" i="11"/>
  <c r="A1344" i="11"/>
  <c r="D1343" i="11"/>
  <c r="AG1343" i="11"/>
  <c r="AH1343" i="11"/>
  <c r="G1343" i="11"/>
  <c r="AF1343" i="11"/>
  <c r="AI1343" i="11"/>
  <c r="P1343" i="11"/>
  <c r="O1343" i="11"/>
  <c r="F1343" i="11"/>
  <c r="E1343" i="11"/>
  <c r="C1343" i="11"/>
  <c r="B1343" i="11"/>
  <c r="A1343" i="11"/>
  <c r="D1342" i="11"/>
  <c r="AG1342" i="11"/>
  <c r="AH1342" i="11"/>
  <c r="G1342" i="11"/>
  <c r="AF1342" i="11"/>
  <c r="AI1342" i="11"/>
  <c r="P1342" i="11"/>
  <c r="O1342" i="11"/>
  <c r="F1342" i="11"/>
  <c r="E1342" i="11"/>
  <c r="C1342" i="11"/>
  <c r="B1342" i="11"/>
  <c r="A1342" i="11"/>
  <c r="D1341" i="11"/>
  <c r="AG1341" i="11"/>
  <c r="AH1341" i="11"/>
  <c r="G1341" i="11"/>
  <c r="AF1341" i="11"/>
  <c r="AI1341" i="11"/>
  <c r="P1341" i="11"/>
  <c r="O1341" i="11"/>
  <c r="F1341" i="11"/>
  <c r="E1341" i="11"/>
  <c r="C1341" i="11"/>
  <c r="B1341" i="11"/>
  <c r="A1341" i="11"/>
  <c r="D1340" i="11"/>
  <c r="AG1340" i="11"/>
  <c r="AH1340" i="11"/>
  <c r="G1340" i="11"/>
  <c r="AF1340" i="11"/>
  <c r="AI1340" i="11"/>
  <c r="P1340" i="11"/>
  <c r="O1340" i="11"/>
  <c r="F1340" i="11"/>
  <c r="E1340" i="11"/>
  <c r="C1340" i="11"/>
  <c r="B1340" i="11"/>
  <c r="A1340" i="11"/>
  <c r="D1339" i="11"/>
  <c r="AG1339" i="11"/>
  <c r="AH1339" i="11"/>
  <c r="G1339" i="11"/>
  <c r="AF1339" i="11"/>
  <c r="AI1339" i="11"/>
  <c r="P1339" i="11"/>
  <c r="O1339" i="11"/>
  <c r="F1339" i="11"/>
  <c r="E1339" i="11"/>
  <c r="C1339" i="11"/>
  <c r="B1339" i="11"/>
  <c r="A1339" i="11"/>
  <c r="D1338" i="11"/>
  <c r="AG1338" i="11"/>
  <c r="AH1338" i="11"/>
  <c r="G1338" i="11"/>
  <c r="AF1338" i="11"/>
  <c r="AI1338" i="11"/>
  <c r="P1338" i="11"/>
  <c r="O1338" i="11"/>
  <c r="F1338" i="11"/>
  <c r="E1338" i="11"/>
  <c r="C1338" i="11"/>
  <c r="B1338" i="11"/>
  <c r="A1338" i="11"/>
  <c r="D1337" i="11"/>
  <c r="AG1337" i="11"/>
  <c r="AH1337" i="11"/>
  <c r="G1337" i="11"/>
  <c r="AF1337" i="11"/>
  <c r="AI1337" i="11"/>
  <c r="P1337" i="11"/>
  <c r="O1337" i="11"/>
  <c r="F1337" i="11"/>
  <c r="E1337" i="11"/>
  <c r="C1337" i="11"/>
  <c r="B1337" i="11"/>
  <c r="A1337" i="11"/>
  <c r="D1336" i="11"/>
  <c r="AG1336" i="11"/>
  <c r="AH1336" i="11"/>
  <c r="G1336" i="11"/>
  <c r="AF1336" i="11"/>
  <c r="AI1336" i="11"/>
  <c r="P1336" i="11"/>
  <c r="O1336" i="11"/>
  <c r="F1336" i="11"/>
  <c r="E1336" i="11"/>
  <c r="C1336" i="11"/>
  <c r="B1336" i="11"/>
  <c r="A1336" i="11"/>
  <c r="D1335" i="11"/>
  <c r="AG1335" i="11"/>
  <c r="AH1335" i="11"/>
  <c r="G1335" i="11"/>
  <c r="AF1335" i="11"/>
  <c r="AI1335" i="11"/>
  <c r="P1335" i="11"/>
  <c r="O1335" i="11"/>
  <c r="F1335" i="11"/>
  <c r="E1335" i="11"/>
  <c r="C1335" i="11"/>
  <c r="B1335" i="11"/>
  <c r="A1335" i="11"/>
  <c r="D1334" i="11"/>
  <c r="AG1334" i="11"/>
  <c r="AH1334" i="11"/>
  <c r="G1334" i="11"/>
  <c r="AF1334" i="11"/>
  <c r="AI1334" i="11"/>
  <c r="P1334" i="11"/>
  <c r="O1334" i="11"/>
  <c r="F1334" i="11"/>
  <c r="E1334" i="11"/>
  <c r="C1334" i="11"/>
  <c r="B1334" i="11"/>
  <c r="A1334" i="11"/>
  <c r="D1333" i="11"/>
  <c r="AG1333" i="11"/>
  <c r="AH1333" i="11"/>
  <c r="G1333" i="11"/>
  <c r="AF1333" i="11"/>
  <c r="AI1333" i="11"/>
  <c r="P1333" i="11"/>
  <c r="O1333" i="11"/>
  <c r="F1333" i="11"/>
  <c r="E1333" i="11"/>
  <c r="C1333" i="11"/>
  <c r="B1333" i="11"/>
  <c r="A1333" i="11"/>
  <c r="D1332" i="11"/>
  <c r="AG1332" i="11"/>
  <c r="AH1332" i="11"/>
  <c r="G1332" i="11"/>
  <c r="AF1332" i="11"/>
  <c r="AI1332" i="11"/>
  <c r="P1332" i="11"/>
  <c r="O1332" i="11"/>
  <c r="F1332" i="11"/>
  <c r="E1332" i="11"/>
  <c r="C1332" i="11"/>
  <c r="B1332" i="11"/>
  <c r="A1332" i="11"/>
  <c r="D1331" i="11"/>
  <c r="AG1331" i="11"/>
  <c r="AH1331" i="11"/>
  <c r="G1331" i="11"/>
  <c r="AF1331" i="11"/>
  <c r="AI1331" i="11"/>
  <c r="P1331" i="11"/>
  <c r="O1331" i="11"/>
  <c r="F1331" i="11"/>
  <c r="E1331" i="11"/>
  <c r="C1331" i="11"/>
  <c r="B1331" i="11"/>
  <c r="A1331" i="11"/>
  <c r="D1330" i="11"/>
  <c r="AG1330" i="11"/>
  <c r="AH1330" i="11"/>
  <c r="G1330" i="11"/>
  <c r="AF1330" i="11"/>
  <c r="AI1330" i="11"/>
  <c r="P1330" i="11"/>
  <c r="O1330" i="11"/>
  <c r="F1330" i="11"/>
  <c r="E1330" i="11"/>
  <c r="C1330" i="11"/>
  <c r="B1330" i="11"/>
  <c r="A1330" i="11"/>
  <c r="D1329" i="11"/>
  <c r="AG1329" i="11"/>
  <c r="AH1329" i="11"/>
  <c r="G1329" i="11"/>
  <c r="AF1329" i="11"/>
  <c r="AI1329" i="11"/>
  <c r="P1329" i="11"/>
  <c r="O1329" i="11"/>
  <c r="F1329" i="11"/>
  <c r="E1329" i="11"/>
  <c r="C1329" i="11"/>
  <c r="B1329" i="11"/>
  <c r="A1329" i="11"/>
  <c r="D1328" i="11"/>
  <c r="AG1328" i="11"/>
  <c r="AH1328" i="11"/>
  <c r="G1328" i="11"/>
  <c r="AF1328" i="11"/>
  <c r="AI1328" i="11"/>
  <c r="P1328" i="11"/>
  <c r="O1328" i="11"/>
  <c r="F1328" i="11"/>
  <c r="E1328" i="11"/>
  <c r="C1328" i="11"/>
  <c r="B1328" i="11"/>
  <c r="A1328" i="11"/>
  <c r="D1327" i="11"/>
  <c r="AG1327" i="11"/>
  <c r="AH1327" i="11"/>
  <c r="G1327" i="11"/>
  <c r="AF1327" i="11"/>
  <c r="AI1327" i="11"/>
  <c r="P1327" i="11"/>
  <c r="O1327" i="11"/>
  <c r="F1327" i="11"/>
  <c r="E1327" i="11"/>
  <c r="C1327" i="11"/>
  <c r="B1327" i="11"/>
  <c r="A1327" i="11"/>
  <c r="D1326" i="11"/>
  <c r="AG1326" i="11"/>
  <c r="AH1326" i="11"/>
  <c r="G1326" i="11"/>
  <c r="AF1326" i="11"/>
  <c r="AI1326" i="11"/>
  <c r="P1326" i="11"/>
  <c r="O1326" i="11"/>
  <c r="F1326" i="11"/>
  <c r="E1326" i="11"/>
  <c r="C1326" i="11"/>
  <c r="B1326" i="11"/>
  <c r="A1326" i="11"/>
  <c r="D1325" i="11"/>
  <c r="AG1325" i="11"/>
  <c r="AH1325" i="11"/>
  <c r="G1325" i="11"/>
  <c r="AF1325" i="11"/>
  <c r="AI1325" i="11"/>
  <c r="P1325" i="11"/>
  <c r="O1325" i="11"/>
  <c r="F1325" i="11"/>
  <c r="E1325" i="11"/>
  <c r="C1325" i="11"/>
  <c r="B1325" i="11"/>
  <c r="A1325" i="11"/>
  <c r="D1324" i="11"/>
  <c r="AG1324" i="11"/>
  <c r="AH1324" i="11"/>
  <c r="G1324" i="11"/>
  <c r="AF1324" i="11"/>
  <c r="AI1324" i="11"/>
  <c r="P1324" i="11"/>
  <c r="O1324" i="11"/>
  <c r="F1324" i="11"/>
  <c r="E1324" i="11"/>
  <c r="C1324" i="11"/>
  <c r="B1324" i="11"/>
  <c r="A1324" i="11"/>
  <c r="D1323" i="11"/>
  <c r="AG1323" i="11"/>
  <c r="AH1323" i="11"/>
  <c r="G1323" i="11"/>
  <c r="AF1323" i="11"/>
  <c r="AI1323" i="11"/>
  <c r="P1323" i="11"/>
  <c r="O1323" i="11"/>
  <c r="F1323" i="11"/>
  <c r="E1323" i="11"/>
  <c r="C1323" i="11"/>
  <c r="B1323" i="11"/>
  <c r="A1323" i="11"/>
  <c r="D1322" i="11"/>
  <c r="AG1322" i="11"/>
  <c r="AH1322" i="11"/>
  <c r="G1322" i="11"/>
  <c r="AF1322" i="11"/>
  <c r="AI1322" i="11"/>
  <c r="P1322" i="11"/>
  <c r="O1322" i="11"/>
  <c r="F1322" i="11"/>
  <c r="E1322" i="11"/>
  <c r="C1322" i="11"/>
  <c r="B1322" i="11"/>
  <c r="A1322" i="11"/>
  <c r="D1321" i="11"/>
  <c r="AG1321" i="11"/>
  <c r="AH1321" i="11"/>
  <c r="G1321" i="11"/>
  <c r="AF1321" i="11"/>
  <c r="AI1321" i="11"/>
  <c r="P1321" i="11"/>
  <c r="O1321" i="11"/>
  <c r="F1321" i="11"/>
  <c r="E1321" i="11"/>
  <c r="C1321" i="11"/>
  <c r="B1321" i="11"/>
  <c r="A1321" i="11"/>
  <c r="D1320" i="11"/>
  <c r="AG1320" i="11"/>
  <c r="AH1320" i="11"/>
  <c r="G1320" i="11"/>
  <c r="AF1320" i="11"/>
  <c r="AI1320" i="11"/>
  <c r="P1320" i="11"/>
  <c r="O1320" i="11"/>
  <c r="F1320" i="11"/>
  <c r="E1320" i="11"/>
  <c r="C1320" i="11"/>
  <c r="B1320" i="11"/>
  <c r="A1320" i="11"/>
  <c r="D1319" i="11"/>
  <c r="AG1319" i="11"/>
  <c r="AH1319" i="11"/>
  <c r="G1319" i="11"/>
  <c r="AF1319" i="11"/>
  <c r="AI1319" i="11"/>
  <c r="P1319" i="11"/>
  <c r="O1319" i="11"/>
  <c r="F1319" i="11"/>
  <c r="E1319" i="11"/>
  <c r="C1319" i="11"/>
  <c r="B1319" i="11"/>
  <c r="A1319" i="11"/>
  <c r="D1318" i="11"/>
  <c r="AG1318" i="11"/>
  <c r="AH1318" i="11"/>
  <c r="G1318" i="11"/>
  <c r="AF1318" i="11"/>
  <c r="AI1318" i="11"/>
  <c r="P1318" i="11"/>
  <c r="O1318" i="11"/>
  <c r="F1318" i="11"/>
  <c r="E1318" i="11"/>
  <c r="C1318" i="11"/>
  <c r="B1318" i="11"/>
  <c r="A1318" i="11"/>
  <c r="D1317" i="11"/>
  <c r="AG1317" i="11"/>
  <c r="AH1317" i="11"/>
  <c r="G1317" i="11"/>
  <c r="AF1317" i="11"/>
  <c r="AI1317" i="11"/>
  <c r="P1317" i="11"/>
  <c r="O1317" i="11"/>
  <c r="F1317" i="11"/>
  <c r="E1317" i="11"/>
  <c r="C1317" i="11"/>
  <c r="B1317" i="11"/>
  <c r="A1317" i="11"/>
  <c r="D1316" i="11"/>
  <c r="AG1316" i="11"/>
  <c r="AH1316" i="11"/>
  <c r="G1316" i="11"/>
  <c r="AF1316" i="11"/>
  <c r="AI1316" i="11"/>
  <c r="P1316" i="11"/>
  <c r="O1316" i="11"/>
  <c r="F1316" i="11"/>
  <c r="E1316" i="11"/>
  <c r="C1316" i="11"/>
  <c r="B1316" i="11"/>
  <c r="A1316" i="11"/>
  <c r="D1315" i="11"/>
  <c r="AG1315" i="11"/>
  <c r="AH1315" i="11"/>
  <c r="G1315" i="11"/>
  <c r="AF1315" i="11"/>
  <c r="AI1315" i="11"/>
  <c r="P1315" i="11"/>
  <c r="O1315" i="11"/>
  <c r="F1315" i="11"/>
  <c r="E1315" i="11"/>
  <c r="C1315" i="11"/>
  <c r="B1315" i="11"/>
  <c r="A1315" i="11"/>
  <c r="D1314" i="11"/>
  <c r="AG1314" i="11"/>
  <c r="AH1314" i="11"/>
  <c r="G1314" i="11"/>
  <c r="AF1314" i="11"/>
  <c r="AI1314" i="11"/>
  <c r="P1314" i="11"/>
  <c r="O1314" i="11"/>
  <c r="F1314" i="11"/>
  <c r="E1314" i="11"/>
  <c r="C1314" i="11"/>
  <c r="B1314" i="11"/>
  <c r="A1314" i="11"/>
  <c r="D1313" i="11"/>
  <c r="AG1313" i="11"/>
  <c r="AH1313" i="11"/>
  <c r="G1313" i="11"/>
  <c r="AF1313" i="11"/>
  <c r="AI1313" i="11"/>
  <c r="P1313" i="11"/>
  <c r="O1313" i="11"/>
  <c r="F1313" i="11"/>
  <c r="E1313" i="11"/>
  <c r="C1313" i="11"/>
  <c r="B1313" i="11"/>
  <c r="A1313" i="11"/>
  <c r="D1312" i="11"/>
  <c r="AG1312" i="11"/>
  <c r="AH1312" i="11"/>
  <c r="G1312" i="11"/>
  <c r="AF1312" i="11"/>
  <c r="AI1312" i="11"/>
  <c r="P1312" i="11"/>
  <c r="O1312" i="11"/>
  <c r="F1312" i="11"/>
  <c r="E1312" i="11"/>
  <c r="C1312" i="11"/>
  <c r="B1312" i="11"/>
  <c r="A1312" i="11"/>
  <c r="D1311" i="11"/>
  <c r="AG1311" i="11"/>
  <c r="AH1311" i="11"/>
  <c r="G1311" i="11"/>
  <c r="AF1311" i="11"/>
  <c r="AI1311" i="11"/>
  <c r="P1311" i="11"/>
  <c r="O1311" i="11"/>
  <c r="F1311" i="11"/>
  <c r="E1311" i="11"/>
  <c r="C1311" i="11"/>
  <c r="B1311" i="11"/>
  <c r="A1311" i="11"/>
  <c r="D1310" i="11"/>
  <c r="AG1310" i="11"/>
  <c r="AH1310" i="11"/>
  <c r="G1310" i="11"/>
  <c r="AF1310" i="11"/>
  <c r="AI1310" i="11"/>
  <c r="P1310" i="11"/>
  <c r="O1310" i="11"/>
  <c r="F1310" i="11"/>
  <c r="E1310" i="11"/>
  <c r="C1310" i="11"/>
  <c r="B1310" i="11"/>
  <c r="A1310" i="11"/>
  <c r="D1309" i="11"/>
  <c r="AG1309" i="11"/>
  <c r="AH1309" i="11"/>
  <c r="G1309" i="11"/>
  <c r="AF1309" i="11"/>
  <c r="AI1309" i="11"/>
  <c r="P1309" i="11"/>
  <c r="O1309" i="11"/>
  <c r="F1309" i="11"/>
  <c r="E1309" i="11"/>
  <c r="C1309" i="11"/>
  <c r="B1309" i="11"/>
  <c r="A1309" i="11"/>
  <c r="D1308" i="11"/>
  <c r="AG1308" i="11"/>
  <c r="AH1308" i="11"/>
  <c r="G1308" i="11"/>
  <c r="AF1308" i="11"/>
  <c r="AI1308" i="11"/>
  <c r="P1308" i="11"/>
  <c r="O1308" i="11"/>
  <c r="F1308" i="11"/>
  <c r="E1308" i="11"/>
  <c r="C1308" i="11"/>
  <c r="B1308" i="11"/>
  <c r="A1308" i="11"/>
  <c r="D1307" i="11"/>
  <c r="AG1307" i="11"/>
  <c r="AH1307" i="11"/>
  <c r="G1307" i="11"/>
  <c r="AF1307" i="11"/>
  <c r="AI1307" i="11"/>
  <c r="P1307" i="11"/>
  <c r="O1307" i="11"/>
  <c r="F1307" i="11"/>
  <c r="E1307" i="11"/>
  <c r="C1307" i="11"/>
  <c r="B1307" i="11"/>
  <c r="A1307" i="11"/>
  <c r="D1306" i="11"/>
  <c r="AG1306" i="11"/>
  <c r="AH1306" i="11"/>
  <c r="G1306" i="11"/>
  <c r="AF1306" i="11"/>
  <c r="AI1306" i="11"/>
  <c r="P1306" i="11"/>
  <c r="O1306" i="11"/>
  <c r="F1306" i="11"/>
  <c r="E1306" i="11"/>
  <c r="C1306" i="11"/>
  <c r="B1306" i="11"/>
  <c r="A1306" i="11"/>
  <c r="D1305" i="11"/>
  <c r="AG1305" i="11"/>
  <c r="AH1305" i="11"/>
  <c r="G1305" i="11"/>
  <c r="AF1305" i="11"/>
  <c r="AI1305" i="11"/>
  <c r="P1305" i="11"/>
  <c r="O1305" i="11"/>
  <c r="F1305" i="11"/>
  <c r="E1305" i="11"/>
  <c r="C1305" i="11"/>
  <c r="B1305" i="11"/>
  <c r="A1305" i="11"/>
  <c r="D1304" i="11"/>
  <c r="AG1304" i="11"/>
  <c r="AH1304" i="11"/>
  <c r="G1304" i="11"/>
  <c r="AF1304" i="11"/>
  <c r="AI1304" i="11"/>
  <c r="P1304" i="11"/>
  <c r="O1304" i="11"/>
  <c r="F1304" i="11"/>
  <c r="E1304" i="11"/>
  <c r="C1304" i="11"/>
  <c r="B1304" i="11"/>
  <c r="A1304" i="11"/>
  <c r="D1303" i="11"/>
  <c r="AG1303" i="11"/>
  <c r="AH1303" i="11"/>
  <c r="G1303" i="11"/>
  <c r="AF1303" i="11"/>
  <c r="AI1303" i="11"/>
  <c r="P1303" i="11"/>
  <c r="O1303" i="11"/>
  <c r="F1303" i="11"/>
  <c r="E1303" i="11"/>
  <c r="C1303" i="11"/>
  <c r="B1303" i="11"/>
  <c r="A1303" i="11"/>
  <c r="D1302" i="11"/>
  <c r="AG1302" i="11"/>
  <c r="AH1302" i="11"/>
  <c r="G1302" i="11"/>
  <c r="AF1302" i="11"/>
  <c r="AI1302" i="11"/>
  <c r="P1302" i="11"/>
  <c r="O1302" i="11"/>
  <c r="F1302" i="11"/>
  <c r="E1302" i="11"/>
  <c r="C1302" i="11"/>
  <c r="B1302" i="11"/>
  <c r="A1302" i="11"/>
  <c r="D1301" i="11"/>
  <c r="AG1301" i="11"/>
  <c r="AH1301" i="11"/>
  <c r="G1301" i="11"/>
  <c r="AF1301" i="11"/>
  <c r="AI1301" i="11"/>
  <c r="P1301" i="11"/>
  <c r="O1301" i="11"/>
  <c r="F1301" i="11"/>
  <c r="E1301" i="11"/>
  <c r="C1301" i="11"/>
  <c r="B1301" i="11"/>
  <c r="A1301" i="11"/>
  <c r="D1300" i="11"/>
  <c r="AG1300" i="11"/>
  <c r="AH1300" i="11"/>
  <c r="G1300" i="11"/>
  <c r="AF1300" i="11"/>
  <c r="AI1300" i="11"/>
  <c r="P1300" i="11"/>
  <c r="O1300" i="11"/>
  <c r="F1300" i="11"/>
  <c r="E1300" i="11"/>
  <c r="C1300" i="11"/>
  <c r="B1300" i="11"/>
  <c r="A1300" i="11"/>
  <c r="D1299" i="11"/>
  <c r="AG1299" i="11"/>
  <c r="AH1299" i="11"/>
  <c r="G1299" i="11"/>
  <c r="AF1299" i="11"/>
  <c r="AI1299" i="11"/>
  <c r="P1299" i="11"/>
  <c r="O1299" i="11"/>
  <c r="F1299" i="11"/>
  <c r="E1299" i="11"/>
  <c r="C1299" i="11"/>
  <c r="B1299" i="11"/>
  <c r="A1299" i="11"/>
  <c r="D1298" i="11"/>
  <c r="AG1298" i="11"/>
  <c r="AH1298" i="11"/>
  <c r="G1298" i="11"/>
  <c r="AF1298" i="11"/>
  <c r="AI1298" i="11"/>
  <c r="P1298" i="11"/>
  <c r="O1298" i="11"/>
  <c r="F1298" i="11"/>
  <c r="E1298" i="11"/>
  <c r="C1298" i="11"/>
  <c r="B1298" i="11"/>
  <c r="A1298" i="11"/>
  <c r="D1297" i="11"/>
  <c r="AG1297" i="11"/>
  <c r="AH1297" i="11"/>
  <c r="G1297" i="11"/>
  <c r="AF1297" i="11"/>
  <c r="AI1297" i="11"/>
  <c r="P1297" i="11"/>
  <c r="O1297" i="11"/>
  <c r="F1297" i="11"/>
  <c r="E1297" i="11"/>
  <c r="C1297" i="11"/>
  <c r="B1297" i="11"/>
  <c r="A1297" i="11"/>
  <c r="D1296" i="11"/>
  <c r="AG1296" i="11"/>
  <c r="AH1296" i="11"/>
  <c r="G1296" i="11"/>
  <c r="AF1296" i="11"/>
  <c r="AI1296" i="11"/>
  <c r="P1296" i="11"/>
  <c r="O1296" i="11"/>
  <c r="F1296" i="11"/>
  <c r="E1296" i="11"/>
  <c r="C1296" i="11"/>
  <c r="B1296" i="11"/>
  <c r="A1296" i="11"/>
  <c r="D1295" i="11"/>
  <c r="AG1295" i="11"/>
  <c r="AH1295" i="11"/>
  <c r="G1295" i="11"/>
  <c r="AF1295" i="11"/>
  <c r="AI1295" i="11"/>
  <c r="P1295" i="11"/>
  <c r="O1295" i="11"/>
  <c r="F1295" i="11"/>
  <c r="E1295" i="11"/>
  <c r="C1295" i="11"/>
  <c r="B1295" i="11"/>
  <c r="A1295" i="11"/>
  <c r="D1294" i="11"/>
  <c r="AG1294" i="11"/>
  <c r="AH1294" i="11"/>
  <c r="G1294" i="11"/>
  <c r="AF1294" i="11"/>
  <c r="AI1294" i="11"/>
  <c r="P1294" i="11"/>
  <c r="O1294" i="11"/>
  <c r="F1294" i="11"/>
  <c r="E1294" i="11"/>
  <c r="C1294" i="11"/>
  <c r="B1294" i="11"/>
  <c r="A1294" i="11"/>
  <c r="D1293" i="11"/>
  <c r="AG1293" i="11"/>
  <c r="AH1293" i="11"/>
  <c r="G1293" i="11"/>
  <c r="AF1293" i="11"/>
  <c r="AI1293" i="11"/>
  <c r="P1293" i="11"/>
  <c r="O1293" i="11"/>
  <c r="F1293" i="11"/>
  <c r="E1293" i="11"/>
  <c r="C1293" i="11"/>
  <c r="B1293" i="11"/>
  <c r="A1293" i="11"/>
  <c r="D1292" i="11"/>
  <c r="AG1292" i="11"/>
  <c r="AH1292" i="11"/>
  <c r="G1292" i="11"/>
  <c r="AF1292" i="11"/>
  <c r="AI1292" i="11"/>
  <c r="P1292" i="11"/>
  <c r="O1292" i="11"/>
  <c r="F1292" i="11"/>
  <c r="E1292" i="11"/>
  <c r="C1292" i="11"/>
  <c r="B1292" i="11"/>
  <c r="A1292" i="11"/>
  <c r="D1291" i="11"/>
  <c r="AG1291" i="11"/>
  <c r="AH1291" i="11"/>
  <c r="G1291" i="11"/>
  <c r="AF1291" i="11"/>
  <c r="AI1291" i="11"/>
  <c r="P1291" i="11"/>
  <c r="O1291" i="11"/>
  <c r="F1291" i="11"/>
  <c r="E1291" i="11"/>
  <c r="C1291" i="11"/>
  <c r="B1291" i="11"/>
  <c r="A1291" i="11"/>
  <c r="D1290" i="11"/>
  <c r="AG1290" i="11"/>
  <c r="AH1290" i="11"/>
  <c r="G1290" i="11"/>
  <c r="AF1290" i="11"/>
  <c r="AI1290" i="11"/>
  <c r="P1290" i="11"/>
  <c r="O1290" i="11"/>
  <c r="F1290" i="11"/>
  <c r="E1290" i="11"/>
  <c r="C1290" i="11"/>
  <c r="B1290" i="11"/>
  <c r="A1290" i="11"/>
  <c r="D1289" i="11"/>
  <c r="AG1289" i="11"/>
  <c r="AH1289" i="11"/>
  <c r="G1289" i="11"/>
  <c r="AF1289" i="11"/>
  <c r="AI1289" i="11"/>
  <c r="P1289" i="11"/>
  <c r="O1289" i="11"/>
  <c r="F1289" i="11"/>
  <c r="E1289" i="11"/>
  <c r="C1289" i="11"/>
  <c r="B1289" i="11"/>
  <c r="A1289" i="11"/>
  <c r="D1288" i="11"/>
  <c r="AG1288" i="11"/>
  <c r="AH1288" i="11"/>
  <c r="G1288" i="11"/>
  <c r="AF1288" i="11"/>
  <c r="AI1288" i="11"/>
  <c r="P1288" i="11"/>
  <c r="O1288" i="11"/>
  <c r="F1288" i="11"/>
  <c r="E1288" i="11"/>
  <c r="C1288" i="11"/>
  <c r="B1288" i="11"/>
  <c r="A1288" i="11"/>
  <c r="D1287" i="11"/>
  <c r="AG1287" i="11"/>
  <c r="AH1287" i="11"/>
  <c r="G1287" i="11"/>
  <c r="AF1287" i="11"/>
  <c r="AI1287" i="11"/>
  <c r="P1287" i="11"/>
  <c r="O1287" i="11"/>
  <c r="F1287" i="11"/>
  <c r="E1287" i="11"/>
  <c r="C1287" i="11"/>
  <c r="B1287" i="11"/>
  <c r="A1287" i="11"/>
  <c r="D1286" i="11"/>
  <c r="AG1286" i="11"/>
  <c r="AH1286" i="11"/>
  <c r="G1286" i="11"/>
  <c r="AF1286" i="11"/>
  <c r="AI1286" i="11"/>
  <c r="P1286" i="11"/>
  <c r="O1286" i="11"/>
  <c r="F1286" i="11"/>
  <c r="E1286" i="11"/>
  <c r="C1286" i="11"/>
  <c r="B1286" i="11"/>
  <c r="A1286" i="11"/>
  <c r="D1285" i="11"/>
  <c r="AG1285" i="11"/>
  <c r="AH1285" i="11"/>
  <c r="G1285" i="11"/>
  <c r="AF1285" i="11"/>
  <c r="AI1285" i="11"/>
  <c r="P1285" i="11"/>
  <c r="O1285" i="11"/>
  <c r="F1285" i="11"/>
  <c r="E1285" i="11"/>
  <c r="C1285" i="11"/>
  <c r="B1285" i="11"/>
  <c r="A1285" i="11"/>
  <c r="D1284" i="11"/>
  <c r="AG1284" i="11"/>
  <c r="AH1284" i="11"/>
  <c r="G1284" i="11"/>
  <c r="AF1284" i="11"/>
  <c r="AI1284" i="11"/>
  <c r="P1284" i="11"/>
  <c r="O1284" i="11"/>
  <c r="F1284" i="11"/>
  <c r="E1284" i="11"/>
  <c r="C1284" i="11"/>
  <c r="B1284" i="11"/>
  <c r="A1284" i="11"/>
  <c r="D1283" i="11"/>
  <c r="AG1283" i="11"/>
  <c r="AH1283" i="11"/>
  <c r="G1283" i="11"/>
  <c r="AF1283" i="11"/>
  <c r="AI1283" i="11"/>
  <c r="P1283" i="11"/>
  <c r="O1283" i="11"/>
  <c r="F1283" i="11"/>
  <c r="E1283" i="11"/>
  <c r="C1283" i="11"/>
  <c r="B1283" i="11"/>
  <c r="A1283" i="11"/>
  <c r="D1282" i="11"/>
  <c r="AG1282" i="11"/>
  <c r="AH1282" i="11"/>
  <c r="G1282" i="11"/>
  <c r="AF1282" i="11"/>
  <c r="AI1282" i="11"/>
  <c r="P1282" i="11"/>
  <c r="O1282" i="11"/>
  <c r="F1282" i="11"/>
  <c r="E1282" i="11"/>
  <c r="C1282" i="11"/>
  <c r="B1282" i="11"/>
  <c r="A1282" i="11"/>
  <c r="D1281" i="11"/>
  <c r="AG1281" i="11"/>
  <c r="AH1281" i="11"/>
  <c r="G1281" i="11"/>
  <c r="AF1281" i="11"/>
  <c r="AI1281" i="11"/>
  <c r="P1281" i="11"/>
  <c r="O1281" i="11"/>
  <c r="F1281" i="11"/>
  <c r="E1281" i="11"/>
  <c r="C1281" i="11"/>
  <c r="B1281" i="11"/>
  <c r="A1281" i="11"/>
  <c r="D1280" i="11"/>
  <c r="AG1280" i="11"/>
  <c r="AH1280" i="11"/>
  <c r="G1280" i="11"/>
  <c r="AF1280" i="11"/>
  <c r="AI1280" i="11"/>
  <c r="P1280" i="11"/>
  <c r="O1280" i="11"/>
  <c r="F1280" i="11"/>
  <c r="E1280" i="11"/>
  <c r="C1280" i="11"/>
  <c r="B1280" i="11"/>
  <c r="A1280" i="11"/>
  <c r="D1279" i="11"/>
  <c r="AG1279" i="11"/>
  <c r="AH1279" i="11"/>
  <c r="G1279" i="11"/>
  <c r="AF1279" i="11"/>
  <c r="AI1279" i="11"/>
  <c r="P1279" i="11"/>
  <c r="O1279" i="11"/>
  <c r="F1279" i="11"/>
  <c r="E1279" i="11"/>
  <c r="C1279" i="11"/>
  <c r="B1279" i="11"/>
  <c r="A1279" i="11"/>
  <c r="D1278" i="11"/>
  <c r="AG1278" i="11"/>
  <c r="AH1278" i="11"/>
  <c r="G1278" i="11"/>
  <c r="AF1278" i="11"/>
  <c r="AI1278" i="11"/>
  <c r="P1278" i="11"/>
  <c r="O1278" i="11"/>
  <c r="F1278" i="11"/>
  <c r="E1278" i="11"/>
  <c r="C1278" i="11"/>
  <c r="B1278" i="11"/>
  <c r="A1278" i="11"/>
  <c r="D1277" i="11"/>
  <c r="AG1277" i="11"/>
  <c r="AH1277" i="11"/>
  <c r="G1277" i="11"/>
  <c r="AF1277" i="11"/>
  <c r="AI1277" i="11"/>
  <c r="P1277" i="11"/>
  <c r="O1277" i="11"/>
  <c r="F1277" i="11"/>
  <c r="E1277" i="11"/>
  <c r="C1277" i="11"/>
  <c r="B1277" i="11"/>
  <c r="A1277" i="11"/>
  <c r="D1276" i="11"/>
  <c r="AG1276" i="11"/>
  <c r="AH1276" i="11"/>
  <c r="G1276" i="11"/>
  <c r="AF1276" i="11"/>
  <c r="AI1276" i="11"/>
  <c r="P1276" i="11"/>
  <c r="O1276" i="11"/>
  <c r="F1276" i="11"/>
  <c r="E1276" i="11"/>
  <c r="C1276" i="11"/>
  <c r="B1276" i="11"/>
  <c r="A1276" i="11"/>
  <c r="D1275" i="11"/>
  <c r="AG1275" i="11"/>
  <c r="AH1275" i="11"/>
  <c r="G1275" i="11"/>
  <c r="AF1275" i="11"/>
  <c r="AI1275" i="11"/>
  <c r="P1275" i="11"/>
  <c r="O1275" i="11"/>
  <c r="F1275" i="11"/>
  <c r="E1275" i="11"/>
  <c r="C1275" i="11"/>
  <c r="B1275" i="11"/>
  <c r="A1275" i="11"/>
  <c r="D1274" i="11"/>
  <c r="AG1274" i="11"/>
  <c r="AH1274" i="11"/>
  <c r="G1274" i="11"/>
  <c r="AF1274" i="11"/>
  <c r="AI1274" i="11"/>
  <c r="P1274" i="11"/>
  <c r="O1274" i="11"/>
  <c r="F1274" i="11"/>
  <c r="E1274" i="11"/>
  <c r="C1274" i="11"/>
  <c r="B1274" i="11"/>
  <c r="A1274" i="11"/>
  <c r="D1273" i="11"/>
  <c r="AG1273" i="11"/>
  <c r="AH1273" i="11"/>
  <c r="G1273" i="11"/>
  <c r="AF1273" i="11"/>
  <c r="AI1273" i="11"/>
  <c r="P1273" i="11"/>
  <c r="O1273" i="11"/>
  <c r="F1273" i="11"/>
  <c r="E1273" i="11"/>
  <c r="C1273" i="11"/>
  <c r="B1273" i="11"/>
  <c r="A1273" i="11"/>
  <c r="D1272" i="11"/>
  <c r="AG1272" i="11"/>
  <c r="AH1272" i="11"/>
  <c r="G1272" i="11"/>
  <c r="AF1272" i="11"/>
  <c r="AI1272" i="11"/>
  <c r="P1272" i="11"/>
  <c r="O1272" i="11"/>
  <c r="F1272" i="11"/>
  <c r="E1272" i="11"/>
  <c r="C1272" i="11"/>
  <c r="B1272" i="11"/>
  <c r="A1272" i="11"/>
  <c r="D1271" i="11"/>
  <c r="AG1271" i="11"/>
  <c r="AH1271" i="11"/>
  <c r="G1271" i="11"/>
  <c r="AF1271" i="11"/>
  <c r="AI1271" i="11"/>
  <c r="P1271" i="11"/>
  <c r="O1271" i="11"/>
  <c r="F1271" i="11"/>
  <c r="E1271" i="11"/>
  <c r="C1271" i="11"/>
  <c r="B1271" i="11"/>
  <c r="A1271" i="11"/>
  <c r="D1270" i="11"/>
  <c r="AG1270" i="11"/>
  <c r="AH1270" i="11"/>
  <c r="G1270" i="11"/>
  <c r="AF1270" i="11"/>
  <c r="AI1270" i="11"/>
  <c r="P1270" i="11"/>
  <c r="O1270" i="11"/>
  <c r="F1270" i="11"/>
  <c r="E1270" i="11"/>
  <c r="C1270" i="11"/>
  <c r="B1270" i="11"/>
  <c r="A1270" i="11"/>
  <c r="D1269" i="11"/>
  <c r="AG1269" i="11"/>
  <c r="AH1269" i="11"/>
  <c r="G1269" i="11"/>
  <c r="AF1269" i="11"/>
  <c r="AI1269" i="11"/>
  <c r="P1269" i="11"/>
  <c r="O1269" i="11"/>
  <c r="F1269" i="11"/>
  <c r="E1269" i="11"/>
  <c r="C1269" i="11"/>
  <c r="B1269" i="11"/>
  <c r="A1269" i="11"/>
  <c r="D1268" i="11"/>
  <c r="AG1268" i="11"/>
  <c r="AH1268" i="11"/>
  <c r="G1268" i="11"/>
  <c r="AF1268" i="11"/>
  <c r="AI1268" i="11"/>
  <c r="P1268" i="11"/>
  <c r="O1268" i="11"/>
  <c r="F1268" i="11"/>
  <c r="E1268" i="11"/>
  <c r="C1268" i="11"/>
  <c r="B1268" i="11"/>
  <c r="A1268" i="11"/>
  <c r="D1267" i="11"/>
  <c r="AG1267" i="11"/>
  <c r="AH1267" i="11"/>
  <c r="G1267" i="11"/>
  <c r="AF1267" i="11"/>
  <c r="AI1267" i="11"/>
  <c r="P1267" i="11"/>
  <c r="O1267" i="11"/>
  <c r="F1267" i="11"/>
  <c r="E1267" i="11"/>
  <c r="C1267" i="11"/>
  <c r="B1267" i="11"/>
  <c r="A1267" i="11"/>
  <c r="D1266" i="11"/>
  <c r="AG1266" i="11"/>
  <c r="AH1266" i="11"/>
  <c r="G1266" i="11"/>
  <c r="AF1266" i="11"/>
  <c r="AI1266" i="11"/>
  <c r="P1266" i="11"/>
  <c r="O1266" i="11"/>
  <c r="F1266" i="11"/>
  <c r="E1266" i="11"/>
  <c r="C1266" i="11"/>
  <c r="B1266" i="11"/>
  <c r="A1266" i="11"/>
  <c r="D1265" i="11"/>
  <c r="AG1265" i="11"/>
  <c r="AH1265" i="11"/>
  <c r="G1265" i="11"/>
  <c r="AF1265" i="11"/>
  <c r="AI1265" i="11"/>
  <c r="O1265" i="11"/>
  <c r="F1265" i="11"/>
  <c r="E1265" i="11"/>
  <c r="C1265" i="11"/>
  <c r="B1265" i="11"/>
  <c r="A1265" i="11"/>
  <c r="D1264" i="11"/>
  <c r="AG1264" i="11"/>
  <c r="AH1264" i="11"/>
  <c r="G1264" i="11"/>
  <c r="AF1264" i="11"/>
  <c r="AI1264" i="11"/>
  <c r="P1264" i="11"/>
  <c r="O1264" i="11"/>
  <c r="F1264" i="11"/>
  <c r="E1264" i="11"/>
  <c r="C1264" i="11"/>
  <c r="B1264" i="11"/>
  <c r="A1264" i="11"/>
  <c r="D1263" i="11"/>
  <c r="AG1263" i="11"/>
  <c r="AH1263" i="11"/>
  <c r="G1263" i="11"/>
  <c r="AF1263" i="11"/>
  <c r="AI1263" i="11"/>
  <c r="P1263" i="11"/>
  <c r="O1263" i="11"/>
  <c r="F1263" i="11"/>
  <c r="E1263" i="11"/>
  <c r="C1263" i="11"/>
  <c r="B1263" i="11"/>
  <c r="A1263" i="11"/>
  <c r="D1262" i="11"/>
  <c r="AG1262" i="11"/>
  <c r="AH1262" i="11"/>
  <c r="G1262" i="11"/>
  <c r="AF1262" i="11"/>
  <c r="AI1262" i="11"/>
  <c r="P1262" i="11"/>
  <c r="O1262" i="11"/>
  <c r="F1262" i="11"/>
  <c r="E1262" i="11"/>
  <c r="C1262" i="11"/>
  <c r="B1262" i="11"/>
  <c r="A1262" i="11"/>
  <c r="D1261" i="11"/>
  <c r="AG1261" i="11"/>
  <c r="AH1261" i="11"/>
  <c r="G1261" i="11"/>
  <c r="AF1261" i="11"/>
  <c r="AI1261" i="11"/>
  <c r="P1261" i="11"/>
  <c r="O1261" i="11"/>
  <c r="F1261" i="11"/>
  <c r="E1261" i="11"/>
  <c r="C1261" i="11"/>
  <c r="B1261" i="11"/>
  <c r="A1261" i="11"/>
  <c r="D1260" i="11"/>
  <c r="AG1260" i="11"/>
  <c r="AH1260" i="11"/>
  <c r="G1260" i="11"/>
  <c r="AF1260" i="11"/>
  <c r="AI1260" i="11"/>
  <c r="P1260" i="11"/>
  <c r="O1260" i="11"/>
  <c r="F1260" i="11"/>
  <c r="E1260" i="11"/>
  <c r="C1260" i="11"/>
  <c r="B1260" i="11"/>
  <c r="A1260" i="11"/>
  <c r="D1259" i="11"/>
  <c r="AG1259" i="11"/>
  <c r="AH1259" i="11"/>
  <c r="G1259" i="11"/>
  <c r="AF1259" i="11"/>
  <c r="AI1259" i="11"/>
  <c r="P1259" i="11"/>
  <c r="O1259" i="11"/>
  <c r="F1259" i="11"/>
  <c r="E1259" i="11"/>
  <c r="C1259" i="11"/>
  <c r="B1259" i="11"/>
  <c r="A1259" i="11"/>
  <c r="D1258" i="11"/>
  <c r="AG1258" i="11"/>
  <c r="AH1258" i="11"/>
  <c r="G1258" i="11"/>
  <c r="AF1258" i="11"/>
  <c r="AI1258" i="11"/>
  <c r="P1258" i="11"/>
  <c r="O1258" i="11"/>
  <c r="F1258" i="11"/>
  <c r="E1258" i="11"/>
  <c r="C1258" i="11"/>
  <c r="B1258" i="11"/>
  <c r="A1258" i="11"/>
  <c r="D1257" i="11"/>
  <c r="AG1257" i="11"/>
  <c r="AH1257" i="11"/>
  <c r="G1257" i="11"/>
  <c r="AF1257" i="11"/>
  <c r="AI1257" i="11"/>
  <c r="P1257" i="11"/>
  <c r="O1257" i="11"/>
  <c r="F1257" i="11"/>
  <c r="E1257" i="11"/>
  <c r="C1257" i="11"/>
  <c r="B1257" i="11"/>
  <c r="A1257" i="11"/>
  <c r="D1256" i="11"/>
  <c r="AG1256" i="11"/>
  <c r="AH1256" i="11"/>
  <c r="G1256" i="11"/>
  <c r="AF1256" i="11"/>
  <c r="AI1256" i="11"/>
  <c r="P1256" i="11"/>
  <c r="O1256" i="11"/>
  <c r="F1256" i="11"/>
  <c r="E1256" i="11"/>
  <c r="C1256" i="11"/>
  <c r="B1256" i="11"/>
  <c r="A1256" i="11"/>
  <c r="D1255" i="11"/>
  <c r="AG1255" i="11"/>
  <c r="AH1255" i="11"/>
  <c r="G1255" i="11"/>
  <c r="AF1255" i="11"/>
  <c r="AI1255" i="11"/>
  <c r="P1255" i="11"/>
  <c r="O1255" i="11"/>
  <c r="F1255" i="11"/>
  <c r="E1255" i="11"/>
  <c r="C1255" i="11"/>
  <c r="B1255" i="11"/>
  <c r="A1255" i="11"/>
  <c r="D1254" i="11"/>
  <c r="AG1254" i="11"/>
  <c r="AH1254" i="11"/>
  <c r="G1254" i="11"/>
  <c r="AF1254" i="11"/>
  <c r="AI1254" i="11"/>
  <c r="P1254" i="11"/>
  <c r="O1254" i="11"/>
  <c r="F1254" i="11"/>
  <c r="E1254" i="11"/>
  <c r="C1254" i="11"/>
  <c r="B1254" i="11"/>
  <c r="A1254" i="11"/>
  <c r="D1253" i="11"/>
  <c r="AG1253" i="11"/>
  <c r="AH1253" i="11"/>
  <c r="G1253" i="11"/>
  <c r="AF1253" i="11"/>
  <c r="AI1253" i="11"/>
  <c r="P1253" i="11"/>
  <c r="O1253" i="11"/>
  <c r="F1253" i="11"/>
  <c r="E1253" i="11"/>
  <c r="C1253" i="11"/>
  <c r="B1253" i="11"/>
  <c r="A1253" i="11"/>
  <c r="D1252" i="11"/>
  <c r="AG1252" i="11"/>
  <c r="AH1252" i="11"/>
  <c r="G1252" i="11"/>
  <c r="AF1252" i="11"/>
  <c r="AI1252" i="11"/>
  <c r="P1252" i="11"/>
  <c r="O1252" i="11"/>
  <c r="F1252" i="11"/>
  <c r="E1252" i="11"/>
  <c r="C1252" i="11"/>
  <c r="B1252" i="11"/>
  <c r="A1252" i="11"/>
  <c r="D1251" i="11"/>
  <c r="AG1251" i="11"/>
  <c r="AH1251" i="11"/>
  <c r="G1251" i="11"/>
  <c r="AF1251" i="11"/>
  <c r="AI1251" i="11"/>
  <c r="P1251" i="11"/>
  <c r="O1251" i="11"/>
  <c r="F1251" i="11"/>
  <c r="E1251" i="11"/>
  <c r="C1251" i="11"/>
  <c r="B1251" i="11"/>
  <c r="A1251" i="11"/>
  <c r="D1250" i="11"/>
  <c r="AG1250" i="11"/>
  <c r="AH1250" i="11"/>
  <c r="G1250" i="11"/>
  <c r="AF1250" i="11"/>
  <c r="AI1250" i="11"/>
  <c r="P1250" i="11"/>
  <c r="O1250" i="11"/>
  <c r="F1250" i="11"/>
  <c r="E1250" i="11"/>
  <c r="C1250" i="11"/>
  <c r="B1250" i="11"/>
  <c r="A1250" i="11"/>
  <c r="D1249" i="11"/>
  <c r="AG1249" i="11"/>
  <c r="AH1249" i="11"/>
  <c r="G1249" i="11"/>
  <c r="AF1249" i="11"/>
  <c r="AI1249" i="11"/>
  <c r="P1249" i="11"/>
  <c r="O1249" i="11"/>
  <c r="F1249" i="11"/>
  <c r="E1249" i="11"/>
  <c r="C1249" i="11"/>
  <c r="B1249" i="11"/>
  <c r="A1249" i="11"/>
  <c r="D1248" i="11"/>
  <c r="AG1248" i="11"/>
  <c r="AH1248" i="11"/>
  <c r="G1248" i="11"/>
  <c r="AF1248" i="11"/>
  <c r="AI1248" i="11"/>
  <c r="P1248" i="11"/>
  <c r="O1248" i="11"/>
  <c r="F1248" i="11"/>
  <c r="E1248" i="11"/>
  <c r="C1248" i="11"/>
  <c r="B1248" i="11"/>
  <c r="A1248" i="11"/>
  <c r="D1247" i="11"/>
  <c r="AG1247" i="11"/>
  <c r="AH1247" i="11"/>
  <c r="G1247" i="11"/>
  <c r="AF1247" i="11"/>
  <c r="AI1247" i="11"/>
  <c r="P1247" i="11"/>
  <c r="O1247" i="11"/>
  <c r="F1247" i="11"/>
  <c r="E1247" i="11"/>
  <c r="C1247" i="11"/>
  <c r="B1247" i="11"/>
  <c r="A1247" i="11"/>
  <c r="D1246" i="11"/>
  <c r="AG1246" i="11"/>
  <c r="AH1246" i="11"/>
  <c r="G1246" i="11"/>
  <c r="AF1246" i="11"/>
  <c r="AI1246" i="11"/>
  <c r="P1246" i="11"/>
  <c r="O1246" i="11"/>
  <c r="F1246" i="11"/>
  <c r="E1246" i="11"/>
  <c r="C1246" i="11"/>
  <c r="B1246" i="11"/>
  <c r="A1246" i="11"/>
  <c r="D1245" i="11"/>
  <c r="AG1245" i="11"/>
  <c r="AH1245" i="11"/>
  <c r="G1245" i="11"/>
  <c r="AF1245" i="11"/>
  <c r="AI1245" i="11"/>
  <c r="P1245" i="11"/>
  <c r="O1245" i="11"/>
  <c r="F1245" i="11"/>
  <c r="E1245" i="11"/>
  <c r="C1245" i="11"/>
  <c r="B1245" i="11"/>
  <c r="A1245" i="11"/>
  <c r="D1244" i="11"/>
  <c r="AG1244" i="11"/>
  <c r="AH1244" i="11"/>
  <c r="G1244" i="11"/>
  <c r="AF1244" i="11"/>
  <c r="AI1244" i="11"/>
  <c r="P1244" i="11"/>
  <c r="O1244" i="11"/>
  <c r="F1244" i="11"/>
  <c r="E1244" i="11"/>
  <c r="C1244" i="11"/>
  <c r="B1244" i="11"/>
  <c r="A1244" i="11"/>
  <c r="D1243" i="11"/>
  <c r="AG1243" i="11"/>
  <c r="AH1243" i="11"/>
  <c r="G1243" i="11"/>
  <c r="AF1243" i="11"/>
  <c r="AI1243" i="11"/>
  <c r="P1243" i="11"/>
  <c r="O1243" i="11"/>
  <c r="F1243" i="11"/>
  <c r="E1243" i="11"/>
  <c r="C1243" i="11"/>
  <c r="B1243" i="11"/>
  <c r="A1243" i="11"/>
  <c r="D1242" i="11"/>
  <c r="AG1242" i="11"/>
  <c r="AH1242" i="11"/>
  <c r="G1242" i="11"/>
  <c r="AF1242" i="11"/>
  <c r="AI1242" i="11"/>
  <c r="P1242" i="11"/>
  <c r="O1242" i="11"/>
  <c r="F1242" i="11"/>
  <c r="E1242" i="11"/>
  <c r="C1242" i="11"/>
  <c r="B1242" i="11"/>
  <c r="A1242" i="11"/>
  <c r="D1241" i="11"/>
  <c r="AG1241" i="11"/>
  <c r="AH1241" i="11"/>
  <c r="G1241" i="11"/>
  <c r="AF1241" i="11"/>
  <c r="AI1241" i="11"/>
  <c r="P1241" i="11"/>
  <c r="O1241" i="11"/>
  <c r="F1241" i="11"/>
  <c r="E1241" i="11"/>
  <c r="C1241" i="11"/>
  <c r="B1241" i="11"/>
  <c r="A1241" i="11"/>
  <c r="D1240" i="11"/>
  <c r="AG1240" i="11"/>
  <c r="AH1240" i="11"/>
  <c r="G1240" i="11"/>
  <c r="AF1240" i="11"/>
  <c r="AI1240" i="11"/>
  <c r="P1240" i="11"/>
  <c r="O1240" i="11"/>
  <c r="F1240" i="11"/>
  <c r="E1240" i="11"/>
  <c r="C1240" i="11"/>
  <c r="B1240" i="11"/>
  <c r="A1240" i="11"/>
  <c r="D1239" i="11"/>
  <c r="AG1239" i="11"/>
  <c r="AH1239" i="11"/>
  <c r="G1239" i="11"/>
  <c r="AF1239" i="11"/>
  <c r="AI1239" i="11"/>
  <c r="P1239" i="11"/>
  <c r="O1239" i="11"/>
  <c r="F1239" i="11"/>
  <c r="E1239" i="11"/>
  <c r="C1239" i="11"/>
  <c r="B1239" i="11"/>
  <c r="A1239" i="11"/>
  <c r="D1238" i="11"/>
  <c r="AG1238" i="11"/>
  <c r="AH1238" i="11"/>
  <c r="G1238" i="11"/>
  <c r="AF1238" i="11"/>
  <c r="AI1238" i="11"/>
  <c r="P1238" i="11"/>
  <c r="O1238" i="11"/>
  <c r="F1238" i="11"/>
  <c r="E1238" i="11"/>
  <c r="C1238" i="11"/>
  <c r="B1238" i="11"/>
  <c r="A1238" i="11"/>
  <c r="D1237" i="11"/>
  <c r="AG1237" i="11"/>
  <c r="AH1237" i="11"/>
  <c r="G1237" i="11"/>
  <c r="AF1237" i="11"/>
  <c r="AI1237" i="11"/>
  <c r="P1237" i="11"/>
  <c r="O1237" i="11"/>
  <c r="F1237" i="11"/>
  <c r="E1237" i="11"/>
  <c r="C1237" i="11"/>
  <c r="B1237" i="11"/>
  <c r="A1237" i="11"/>
  <c r="D1236" i="11"/>
  <c r="AG1236" i="11"/>
  <c r="AH1236" i="11"/>
  <c r="G1236" i="11"/>
  <c r="AF1236" i="11"/>
  <c r="AI1236" i="11"/>
  <c r="P1236" i="11"/>
  <c r="O1236" i="11"/>
  <c r="F1236" i="11"/>
  <c r="E1236" i="11"/>
  <c r="C1236" i="11"/>
  <c r="B1236" i="11"/>
  <c r="A1236" i="11"/>
  <c r="D1235" i="11"/>
  <c r="AG1235" i="11"/>
  <c r="AH1235" i="11"/>
  <c r="G1235" i="11"/>
  <c r="AF1235" i="11"/>
  <c r="AI1235" i="11"/>
  <c r="P1235" i="11"/>
  <c r="O1235" i="11"/>
  <c r="F1235" i="11"/>
  <c r="E1235" i="11"/>
  <c r="C1235" i="11"/>
  <c r="B1235" i="11"/>
  <c r="A1235" i="11"/>
  <c r="D1234" i="11"/>
  <c r="AG1234" i="11"/>
  <c r="AH1234" i="11"/>
  <c r="G1234" i="11"/>
  <c r="AF1234" i="11"/>
  <c r="AI1234" i="11"/>
  <c r="P1234" i="11"/>
  <c r="O1234" i="11"/>
  <c r="F1234" i="11"/>
  <c r="E1234" i="11"/>
  <c r="C1234" i="11"/>
  <c r="B1234" i="11"/>
  <c r="A1234" i="11"/>
  <c r="D1233" i="11"/>
  <c r="AG1233" i="11"/>
  <c r="AH1233" i="11"/>
  <c r="G1233" i="11"/>
  <c r="AF1233" i="11"/>
  <c r="AI1233" i="11"/>
  <c r="P1233" i="11"/>
  <c r="O1233" i="11"/>
  <c r="F1233" i="11"/>
  <c r="E1233" i="11"/>
  <c r="C1233" i="11"/>
  <c r="B1233" i="11"/>
  <c r="A1233" i="11"/>
  <c r="D1232" i="11"/>
  <c r="AG1232" i="11"/>
  <c r="AH1232" i="11"/>
  <c r="G1232" i="11"/>
  <c r="AF1232" i="11"/>
  <c r="AI1232" i="11"/>
  <c r="P1232" i="11"/>
  <c r="O1232" i="11"/>
  <c r="F1232" i="11"/>
  <c r="E1232" i="11"/>
  <c r="C1232" i="11"/>
  <c r="B1232" i="11"/>
  <c r="A1232" i="11"/>
  <c r="D1231" i="11"/>
  <c r="AG1231" i="11"/>
  <c r="AH1231" i="11"/>
  <c r="G1231" i="11"/>
  <c r="AF1231" i="11"/>
  <c r="AI1231" i="11"/>
  <c r="P1231" i="11"/>
  <c r="O1231" i="11"/>
  <c r="F1231" i="11"/>
  <c r="E1231" i="11"/>
  <c r="C1231" i="11"/>
  <c r="B1231" i="11"/>
  <c r="A1231" i="11"/>
  <c r="D1230" i="11"/>
  <c r="AG1230" i="11"/>
  <c r="AH1230" i="11"/>
  <c r="G1230" i="11"/>
  <c r="AF1230" i="11"/>
  <c r="AI1230" i="11"/>
  <c r="P1230" i="11"/>
  <c r="O1230" i="11"/>
  <c r="F1230" i="11"/>
  <c r="E1230" i="11"/>
  <c r="C1230" i="11"/>
  <c r="B1230" i="11"/>
  <c r="A1230" i="11"/>
  <c r="D1229" i="11"/>
  <c r="AG1229" i="11"/>
  <c r="AH1229" i="11"/>
  <c r="G1229" i="11"/>
  <c r="AF1229" i="11"/>
  <c r="AI1229" i="11"/>
  <c r="P1229" i="11"/>
  <c r="O1229" i="11"/>
  <c r="F1229" i="11"/>
  <c r="E1229" i="11"/>
  <c r="C1229" i="11"/>
  <c r="B1229" i="11"/>
  <c r="A1229" i="11"/>
  <c r="D1228" i="11"/>
  <c r="AG1228" i="11"/>
  <c r="AH1228" i="11"/>
  <c r="G1228" i="11"/>
  <c r="AF1228" i="11"/>
  <c r="AI1228" i="11"/>
  <c r="P1228" i="11"/>
  <c r="O1228" i="11"/>
  <c r="F1228" i="11"/>
  <c r="E1228" i="11"/>
  <c r="C1228" i="11"/>
  <c r="B1228" i="11"/>
  <c r="A1228" i="11"/>
  <c r="D1227" i="11"/>
  <c r="AG1227" i="11"/>
  <c r="AH1227" i="11"/>
  <c r="G1227" i="11"/>
  <c r="AF1227" i="11"/>
  <c r="AI1227" i="11"/>
  <c r="P1227" i="11"/>
  <c r="O1227" i="11"/>
  <c r="F1227" i="11"/>
  <c r="E1227" i="11"/>
  <c r="C1227" i="11"/>
  <c r="B1227" i="11"/>
  <c r="A1227" i="11"/>
  <c r="D1226" i="11"/>
  <c r="AG1226" i="11"/>
  <c r="AH1226" i="11"/>
  <c r="G1226" i="11"/>
  <c r="AF1226" i="11"/>
  <c r="AI1226" i="11"/>
  <c r="P1226" i="11"/>
  <c r="O1226" i="11"/>
  <c r="F1226" i="11"/>
  <c r="E1226" i="11"/>
  <c r="C1226" i="11"/>
  <c r="B1226" i="11"/>
  <c r="A1226" i="11"/>
  <c r="D1225" i="11"/>
  <c r="AG1225" i="11"/>
  <c r="AH1225" i="11"/>
  <c r="G1225" i="11"/>
  <c r="AF1225" i="11"/>
  <c r="AI1225" i="11"/>
  <c r="P1225" i="11"/>
  <c r="O1225" i="11"/>
  <c r="F1225" i="11"/>
  <c r="E1225" i="11"/>
  <c r="C1225" i="11"/>
  <c r="B1225" i="11"/>
  <c r="A1225" i="11"/>
  <c r="D1224" i="11"/>
  <c r="AG1224" i="11"/>
  <c r="AH1224" i="11"/>
  <c r="G1224" i="11"/>
  <c r="AF1224" i="11"/>
  <c r="AI1224" i="11"/>
  <c r="P1224" i="11"/>
  <c r="O1224" i="11"/>
  <c r="F1224" i="11"/>
  <c r="E1224" i="11"/>
  <c r="C1224" i="11"/>
  <c r="B1224" i="11"/>
  <c r="A1224" i="11"/>
  <c r="D1223" i="11"/>
  <c r="AG1223" i="11"/>
  <c r="AH1223" i="11"/>
  <c r="G1223" i="11"/>
  <c r="AF1223" i="11"/>
  <c r="AI1223" i="11"/>
  <c r="P1223" i="11"/>
  <c r="O1223" i="11"/>
  <c r="F1223" i="11"/>
  <c r="E1223" i="11"/>
  <c r="C1223" i="11"/>
  <c r="B1223" i="11"/>
  <c r="A1223" i="11"/>
  <c r="D1222" i="11"/>
  <c r="AG1222" i="11"/>
  <c r="AH1222" i="11"/>
  <c r="G1222" i="11"/>
  <c r="AF1222" i="11"/>
  <c r="AI1222" i="11"/>
  <c r="P1222" i="11"/>
  <c r="O1222" i="11"/>
  <c r="F1222" i="11"/>
  <c r="E1222" i="11"/>
  <c r="C1222" i="11"/>
  <c r="B1222" i="11"/>
  <c r="A1222" i="11"/>
  <c r="D1221" i="11"/>
  <c r="AG1221" i="11"/>
  <c r="AH1221" i="11"/>
  <c r="G1221" i="11"/>
  <c r="AF1221" i="11"/>
  <c r="AI1221" i="11"/>
  <c r="P1221" i="11"/>
  <c r="O1221" i="11"/>
  <c r="F1221" i="11"/>
  <c r="E1221" i="11"/>
  <c r="C1221" i="11"/>
  <c r="B1221" i="11"/>
  <c r="A1221" i="11"/>
  <c r="D1220" i="11"/>
  <c r="AG1220" i="11"/>
  <c r="AH1220" i="11"/>
  <c r="G1220" i="11"/>
  <c r="AF1220" i="11"/>
  <c r="AI1220" i="11"/>
  <c r="P1220" i="11"/>
  <c r="O1220" i="11"/>
  <c r="F1220" i="11"/>
  <c r="E1220" i="11"/>
  <c r="C1220" i="11"/>
  <c r="B1220" i="11"/>
  <c r="A1220" i="11"/>
  <c r="D1219" i="11"/>
  <c r="AG1219" i="11"/>
  <c r="AH1219" i="11"/>
  <c r="G1219" i="11"/>
  <c r="AF1219" i="11"/>
  <c r="AI1219" i="11"/>
  <c r="P1219" i="11"/>
  <c r="O1219" i="11"/>
  <c r="F1219" i="11"/>
  <c r="E1219" i="11"/>
  <c r="C1219" i="11"/>
  <c r="B1219" i="11"/>
  <c r="A1219" i="11"/>
  <c r="D1218" i="11"/>
  <c r="AG1218" i="11"/>
  <c r="AH1218" i="11"/>
  <c r="G1218" i="11"/>
  <c r="AF1218" i="11"/>
  <c r="AI1218" i="11"/>
  <c r="P1218" i="11"/>
  <c r="O1218" i="11"/>
  <c r="F1218" i="11"/>
  <c r="E1218" i="11"/>
  <c r="C1218" i="11"/>
  <c r="B1218" i="11"/>
  <c r="A1218" i="11"/>
  <c r="D1217" i="11"/>
  <c r="AG1217" i="11"/>
  <c r="AH1217" i="11"/>
  <c r="G1217" i="11"/>
  <c r="AF1217" i="11"/>
  <c r="AI1217" i="11"/>
  <c r="P1217" i="11"/>
  <c r="O1217" i="11"/>
  <c r="F1217" i="11"/>
  <c r="E1217" i="11"/>
  <c r="C1217" i="11"/>
  <c r="B1217" i="11"/>
  <c r="A1217" i="11"/>
  <c r="D1216" i="11"/>
  <c r="AG1216" i="11"/>
  <c r="AH1216" i="11"/>
  <c r="G1216" i="11"/>
  <c r="AF1216" i="11"/>
  <c r="AI1216" i="11"/>
  <c r="P1216" i="11"/>
  <c r="O1216" i="11"/>
  <c r="F1216" i="11"/>
  <c r="E1216" i="11"/>
  <c r="C1216" i="11"/>
  <c r="B1216" i="11"/>
  <c r="A1216" i="11"/>
  <c r="D1215" i="11"/>
  <c r="AG1215" i="11"/>
  <c r="AH1215" i="11"/>
  <c r="G1215" i="11"/>
  <c r="AF1215" i="11"/>
  <c r="AI1215" i="11"/>
  <c r="P1215" i="11"/>
  <c r="O1215" i="11"/>
  <c r="F1215" i="11"/>
  <c r="E1215" i="11"/>
  <c r="C1215" i="11"/>
  <c r="B1215" i="11"/>
  <c r="A1215" i="11"/>
  <c r="D1214" i="11"/>
  <c r="AG1214" i="11"/>
  <c r="AH1214" i="11"/>
  <c r="G1214" i="11"/>
  <c r="AF1214" i="11"/>
  <c r="AI1214" i="11"/>
  <c r="P1214" i="11"/>
  <c r="O1214" i="11"/>
  <c r="F1214" i="11"/>
  <c r="E1214" i="11"/>
  <c r="C1214" i="11"/>
  <c r="B1214" i="11"/>
  <c r="A1214" i="11"/>
  <c r="D1213" i="11"/>
  <c r="AG1213" i="11"/>
  <c r="AH1213" i="11"/>
  <c r="G1213" i="11"/>
  <c r="AF1213" i="11"/>
  <c r="AI1213" i="11"/>
  <c r="P1213" i="11"/>
  <c r="O1213" i="11"/>
  <c r="F1213" i="11"/>
  <c r="E1213" i="11"/>
  <c r="C1213" i="11"/>
  <c r="B1213" i="11"/>
  <c r="A1213" i="11"/>
  <c r="D1212" i="11"/>
  <c r="AG1212" i="11"/>
  <c r="AH1212" i="11"/>
  <c r="G1212" i="11"/>
  <c r="AF1212" i="11"/>
  <c r="AI1212" i="11"/>
  <c r="P1212" i="11"/>
  <c r="O1212" i="11"/>
  <c r="F1212" i="11"/>
  <c r="E1212" i="11"/>
  <c r="C1212" i="11"/>
  <c r="B1212" i="11"/>
  <c r="A1212" i="11"/>
  <c r="D1211" i="11"/>
  <c r="AG1211" i="11"/>
  <c r="AH1211" i="11"/>
  <c r="G1211" i="11"/>
  <c r="AF1211" i="11"/>
  <c r="AI1211" i="11"/>
  <c r="P1211" i="11"/>
  <c r="O1211" i="11"/>
  <c r="F1211" i="11"/>
  <c r="E1211" i="11"/>
  <c r="C1211" i="11"/>
  <c r="B1211" i="11"/>
  <c r="A1211" i="11"/>
  <c r="D1210" i="11"/>
  <c r="AG1210" i="11"/>
  <c r="AH1210" i="11"/>
  <c r="G1210" i="11"/>
  <c r="AF1210" i="11"/>
  <c r="AI1210" i="11"/>
  <c r="P1210" i="11"/>
  <c r="O1210" i="11"/>
  <c r="F1210" i="11"/>
  <c r="E1210" i="11"/>
  <c r="C1210" i="11"/>
  <c r="B1210" i="11"/>
  <c r="A1210" i="11"/>
  <c r="D1209" i="11"/>
  <c r="AG1209" i="11"/>
  <c r="AH1209" i="11"/>
  <c r="G1209" i="11"/>
  <c r="AF1209" i="11"/>
  <c r="AI1209" i="11"/>
  <c r="P1209" i="11"/>
  <c r="O1209" i="11"/>
  <c r="F1209" i="11"/>
  <c r="E1209" i="11"/>
  <c r="C1209" i="11"/>
  <c r="B1209" i="11"/>
  <c r="A1209" i="11"/>
  <c r="D1208" i="11"/>
  <c r="AG1208" i="11"/>
  <c r="AH1208" i="11"/>
  <c r="G1208" i="11"/>
  <c r="AF1208" i="11"/>
  <c r="AI1208" i="11"/>
  <c r="P1208" i="11"/>
  <c r="O1208" i="11"/>
  <c r="F1208" i="11"/>
  <c r="E1208" i="11"/>
  <c r="C1208" i="11"/>
  <c r="B1208" i="11"/>
  <c r="A1208" i="11"/>
  <c r="D1207" i="11"/>
  <c r="AG1207" i="11"/>
  <c r="AH1207" i="11"/>
  <c r="G1207" i="11"/>
  <c r="AF1207" i="11"/>
  <c r="AI1207" i="11"/>
  <c r="P1207" i="11"/>
  <c r="O1207" i="11"/>
  <c r="F1207" i="11"/>
  <c r="E1207" i="11"/>
  <c r="C1207" i="11"/>
  <c r="B1207" i="11"/>
  <c r="A1207" i="11"/>
  <c r="D1206" i="11"/>
  <c r="AG1206" i="11"/>
  <c r="AH1206" i="11"/>
  <c r="G1206" i="11"/>
  <c r="AF1206" i="11"/>
  <c r="AI1206" i="11"/>
  <c r="P1206" i="11"/>
  <c r="O1206" i="11"/>
  <c r="F1206" i="11"/>
  <c r="E1206" i="11"/>
  <c r="C1206" i="11"/>
  <c r="B1206" i="11"/>
  <c r="A1206" i="11"/>
  <c r="D1205" i="11"/>
  <c r="AG1205" i="11"/>
  <c r="AH1205" i="11"/>
  <c r="G1205" i="11"/>
  <c r="AF1205" i="11"/>
  <c r="AI1205" i="11"/>
  <c r="P1205" i="11"/>
  <c r="O1205" i="11"/>
  <c r="F1205" i="11"/>
  <c r="E1205" i="11"/>
  <c r="C1205" i="11"/>
  <c r="B1205" i="11"/>
  <c r="A1205" i="11"/>
  <c r="D1204" i="11"/>
  <c r="AG1204" i="11"/>
  <c r="AH1204" i="11"/>
  <c r="G1204" i="11"/>
  <c r="AF1204" i="11"/>
  <c r="AI1204" i="11"/>
  <c r="P1204" i="11"/>
  <c r="O1204" i="11"/>
  <c r="F1204" i="11"/>
  <c r="E1204" i="11"/>
  <c r="C1204" i="11"/>
  <c r="B1204" i="11"/>
  <c r="A1204" i="11"/>
  <c r="D1203" i="11"/>
  <c r="AG1203" i="11"/>
  <c r="AH1203" i="11"/>
  <c r="G1203" i="11"/>
  <c r="AF1203" i="11"/>
  <c r="AI1203" i="11"/>
  <c r="P1203" i="11"/>
  <c r="O1203" i="11"/>
  <c r="F1203" i="11"/>
  <c r="E1203" i="11"/>
  <c r="C1203" i="11"/>
  <c r="B1203" i="11"/>
  <c r="A1203" i="11"/>
  <c r="D1202" i="11"/>
  <c r="AG1202" i="11"/>
  <c r="AH1202" i="11"/>
  <c r="G1202" i="11"/>
  <c r="AF1202" i="11"/>
  <c r="AI1202" i="11"/>
  <c r="P1202" i="11"/>
  <c r="O1202" i="11"/>
  <c r="F1202" i="11"/>
  <c r="E1202" i="11"/>
  <c r="C1202" i="11"/>
  <c r="B1202" i="11"/>
  <c r="A1202" i="11"/>
  <c r="D1201" i="11"/>
  <c r="AG1201" i="11"/>
  <c r="AH1201" i="11"/>
  <c r="G1201" i="11"/>
  <c r="AF1201" i="11"/>
  <c r="AI1201" i="11"/>
  <c r="P1201" i="11"/>
  <c r="O1201" i="11"/>
  <c r="F1201" i="11"/>
  <c r="E1201" i="11"/>
  <c r="C1201" i="11"/>
  <c r="B1201" i="11"/>
  <c r="A1201" i="11"/>
  <c r="D1200" i="11"/>
  <c r="AG1200" i="11"/>
  <c r="AH1200" i="11"/>
  <c r="G1200" i="11"/>
  <c r="AF1200" i="11"/>
  <c r="AI1200" i="11"/>
  <c r="P1200" i="11"/>
  <c r="O1200" i="11"/>
  <c r="F1200" i="11"/>
  <c r="E1200" i="11"/>
  <c r="C1200" i="11"/>
  <c r="B1200" i="11"/>
  <c r="A1200" i="11"/>
  <c r="D1199" i="11"/>
  <c r="AG1199" i="11"/>
  <c r="AH1199" i="11"/>
  <c r="G1199" i="11"/>
  <c r="AF1199" i="11"/>
  <c r="AI1199" i="11"/>
  <c r="P1199" i="11"/>
  <c r="O1199" i="11"/>
  <c r="F1199" i="11"/>
  <c r="E1199" i="11"/>
  <c r="C1199" i="11"/>
  <c r="B1199" i="11"/>
  <c r="A1199" i="11"/>
  <c r="D1198" i="11"/>
  <c r="AG1198" i="11"/>
  <c r="AH1198" i="11"/>
  <c r="G1198" i="11"/>
  <c r="AF1198" i="11"/>
  <c r="AI1198" i="11"/>
  <c r="P1198" i="11"/>
  <c r="O1198" i="11"/>
  <c r="F1198" i="11"/>
  <c r="E1198" i="11"/>
  <c r="C1198" i="11"/>
  <c r="B1198" i="11"/>
  <c r="A1198" i="11"/>
  <c r="D1197" i="11"/>
  <c r="AG1197" i="11"/>
  <c r="AH1197" i="11"/>
  <c r="G1197" i="11"/>
  <c r="AF1197" i="11"/>
  <c r="AI1197" i="11"/>
  <c r="P1197" i="11"/>
  <c r="O1197" i="11"/>
  <c r="F1197" i="11"/>
  <c r="E1197" i="11"/>
  <c r="C1197" i="11"/>
  <c r="B1197" i="11"/>
  <c r="A1197" i="11"/>
  <c r="D1196" i="11"/>
  <c r="AG1196" i="11"/>
  <c r="AH1196" i="11"/>
  <c r="G1196" i="11"/>
  <c r="AF1196" i="11"/>
  <c r="AI1196" i="11"/>
  <c r="P1196" i="11"/>
  <c r="O1196" i="11"/>
  <c r="F1196" i="11"/>
  <c r="E1196" i="11"/>
  <c r="C1196" i="11"/>
  <c r="B1196" i="11"/>
  <c r="A1196" i="11"/>
  <c r="D1195" i="11"/>
  <c r="AG1195" i="11"/>
  <c r="AH1195" i="11"/>
  <c r="G1195" i="11"/>
  <c r="AF1195" i="11"/>
  <c r="AI1195" i="11"/>
  <c r="P1195" i="11"/>
  <c r="O1195" i="11"/>
  <c r="F1195" i="11"/>
  <c r="E1195" i="11"/>
  <c r="C1195" i="11"/>
  <c r="B1195" i="11"/>
  <c r="A1195" i="11"/>
  <c r="D1194" i="11"/>
  <c r="AG1194" i="11"/>
  <c r="AH1194" i="11"/>
  <c r="G1194" i="11"/>
  <c r="AF1194" i="11"/>
  <c r="AI1194" i="11"/>
  <c r="P1194" i="11"/>
  <c r="O1194" i="11"/>
  <c r="F1194" i="11"/>
  <c r="E1194" i="11"/>
  <c r="C1194" i="11"/>
  <c r="B1194" i="11"/>
  <c r="A1194" i="11"/>
  <c r="D1193" i="11"/>
  <c r="AG1193" i="11"/>
  <c r="AH1193" i="11"/>
  <c r="G1193" i="11"/>
  <c r="AF1193" i="11"/>
  <c r="AI1193" i="11"/>
  <c r="P1193" i="11"/>
  <c r="O1193" i="11"/>
  <c r="F1193" i="11"/>
  <c r="E1193" i="11"/>
  <c r="C1193" i="11"/>
  <c r="B1193" i="11"/>
  <c r="A1193" i="11"/>
  <c r="D1192" i="11"/>
  <c r="AG1192" i="11"/>
  <c r="AH1192" i="11"/>
  <c r="G1192" i="11"/>
  <c r="AF1192" i="11"/>
  <c r="AI1192" i="11"/>
  <c r="P1192" i="11"/>
  <c r="O1192" i="11"/>
  <c r="F1192" i="11"/>
  <c r="E1192" i="11"/>
  <c r="C1192" i="11"/>
  <c r="B1192" i="11"/>
  <c r="A1192" i="11"/>
  <c r="D1191" i="11"/>
  <c r="AG1191" i="11"/>
  <c r="AH1191" i="11"/>
  <c r="G1191" i="11"/>
  <c r="AF1191" i="11"/>
  <c r="AI1191" i="11"/>
  <c r="P1191" i="11"/>
  <c r="O1191" i="11"/>
  <c r="F1191" i="11"/>
  <c r="E1191" i="11"/>
  <c r="C1191" i="11"/>
  <c r="B1191" i="11"/>
  <c r="A1191" i="11"/>
  <c r="D1190" i="11"/>
  <c r="AG1190" i="11"/>
  <c r="AH1190" i="11"/>
  <c r="G1190" i="11"/>
  <c r="AF1190" i="11"/>
  <c r="AI1190" i="11"/>
  <c r="P1190" i="11"/>
  <c r="O1190" i="11"/>
  <c r="F1190" i="11"/>
  <c r="E1190" i="11"/>
  <c r="C1190" i="11"/>
  <c r="B1190" i="11"/>
  <c r="A1190" i="11"/>
  <c r="D1189" i="11"/>
  <c r="AG1189" i="11"/>
  <c r="AH1189" i="11"/>
  <c r="G1189" i="11"/>
  <c r="AF1189" i="11"/>
  <c r="AI1189" i="11"/>
  <c r="P1189" i="11"/>
  <c r="O1189" i="11"/>
  <c r="F1189" i="11"/>
  <c r="E1189" i="11"/>
  <c r="C1189" i="11"/>
  <c r="B1189" i="11"/>
  <c r="A1189" i="11"/>
  <c r="D1188" i="11"/>
  <c r="AG1188" i="11"/>
  <c r="AH1188" i="11"/>
  <c r="G1188" i="11"/>
  <c r="AF1188" i="11"/>
  <c r="AI1188" i="11"/>
  <c r="P1188" i="11"/>
  <c r="O1188" i="11"/>
  <c r="F1188" i="11"/>
  <c r="E1188" i="11"/>
  <c r="C1188" i="11"/>
  <c r="B1188" i="11"/>
  <c r="A1188" i="11"/>
  <c r="D1187" i="11"/>
  <c r="AG1187" i="11"/>
  <c r="AH1187" i="11"/>
  <c r="G1187" i="11"/>
  <c r="AF1187" i="11"/>
  <c r="AI1187" i="11"/>
  <c r="P1187" i="11"/>
  <c r="O1187" i="11"/>
  <c r="F1187" i="11"/>
  <c r="E1187" i="11"/>
  <c r="C1187" i="11"/>
  <c r="B1187" i="11"/>
  <c r="A1187" i="11"/>
  <c r="D1186" i="11"/>
  <c r="AG1186" i="11"/>
  <c r="AH1186" i="11"/>
  <c r="G1186" i="11"/>
  <c r="AF1186" i="11"/>
  <c r="AI1186" i="11"/>
  <c r="P1186" i="11"/>
  <c r="O1186" i="11"/>
  <c r="F1186" i="11"/>
  <c r="E1186" i="11"/>
  <c r="C1186" i="11"/>
  <c r="B1186" i="11"/>
  <c r="A1186" i="11"/>
  <c r="D1185" i="11"/>
  <c r="AG1185" i="11"/>
  <c r="AH1185" i="11"/>
  <c r="G1185" i="11"/>
  <c r="AF1185" i="11"/>
  <c r="AI1185" i="11"/>
  <c r="P1185" i="11"/>
  <c r="O1185" i="11"/>
  <c r="F1185" i="11"/>
  <c r="E1185" i="11"/>
  <c r="C1185" i="11"/>
  <c r="B1185" i="11"/>
  <c r="A1185" i="11"/>
  <c r="D1184" i="11"/>
  <c r="AG1184" i="11"/>
  <c r="AH1184" i="11"/>
  <c r="G1184" i="11"/>
  <c r="AF1184" i="11"/>
  <c r="AI1184" i="11"/>
  <c r="P1184" i="11"/>
  <c r="O1184" i="11"/>
  <c r="F1184" i="11"/>
  <c r="E1184" i="11"/>
  <c r="C1184" i="11"/>
  <c r="B1184" i="11"/>
  <c r="A1184" i="11"/>
  <c r="D1183" i="11"/>
  <c r="AG1183" i="11"/>
  <c r="AH1183" i="11"/>
  <c r="G1183" i="11"/>
  <c r="AF1183" i="11"/>
  <c r="AI1183" i="11"/>
  <c r="P1183" i="11"/>
  <c r="O1183" i="11"/>
  <c r="F1183" i="11"/>
  <c r="E1183" i="11"/>
  <c r="C1183" i="11"/>
  <c r="B1183" i="11"/>
  <c r="A1183" i="11"/>
  <c r="D1182" i="11"/>
  <c r="AG1182" i="11"/>
  <c r="AH1182" i="11"/>
  <c r="G1182" i="11"/>
  <c r="AF1182" i="11"/>
  <c r="AI1182" i="11"/>
  <c r="P1182" i="11"/>
  <c r="O1182" i="11"/>
  <c r="F1182" i="11"/>
  <c r="E1182" i="11"/>
  <c r="C1182" i="11"/>
  <c r="B1182" i="11"/>
  <c r="A1182" i="11"/>
  <c r="D1181" i="11"/>
  <c r="AG1181" i="11"/>
  <c r="AH1181" i="11"/>
  <c r="G1181" i="11"/>
  <c r="AF1181" i="11"/>
  <c r="AI1181" i="11"/>
  <c r="P1181" i="11"/>
  <c r="O1181" i="11"/>
  <c r="F1181" i="11"/>
  <c r="E1181" i="11"/>
  <c r="C1181" i="11"/>
  <c r="B1181" i="11"/>
  <c r="A1181" i="11"/>
  <c r="D1180" i="11"/>
  <c r="AG1180" i="11"/>
  <c r="AH1180" i="11"/>
  <c r="G1180" i="11"/>
  <c r="AF1180" i="11"/>
  <c r="AI1180" i="11"/>
  <c r="P1180" i="11"/>
  <c r="O1180" i="11"/>
  <c r="F1180" i="11"/>
  <c r="E1180" i="11"/>
  <c r="C1180" i="11"/>
  <c r="B1180" i="11"/>
  <c r="A1180" i="11"/>
  <c r="D1179" i="11"/>
  <c r="AG1179" i="11"/>
  <c r="AH1179" i="11"/>
  <c r="G1179" i="11"/>
  <c r="AF1179" i="11"/>
  <c r="AI1179" i="11"/>
  <c r="P1179" i="11"/>
  <c r="O1179" i="11"/>
  <c r="F1179" i="11"/>
  <c r="E1179" i="11"/>
  <c r="C1179" i="11"/>
  <c r="B1179" i="11"/>
  <c r="A1179" i="11"/>
  <c r="D1178" i="11"/>
  <c r="AG1178" i="11"/>
  <c r="AH1178" i="11"/>
  <c r="G1178" i="11"/>
  <c r="AF1178" i="11"/>
  <c r="AI1178" i="11"/>
  <c r="P1178" i="11"/>
  <c r="O1178" i="11"/>
  <c r="F1178" i="11"/>
  <c r="E1178" i="11"/>
  <c r="C1178" i="11"/>
  <c r="B1178" i="11"/>
  <c r="A1178" i="11"/>
  <c r="D1177" i="11"/>
  <c r="AG1177" i="11"/>
  <c r="AH1177" i="11"/>
  <c r="G1177" i="11"/>
  <c r="AF1177" i="11"/>
  <c r="AI1177" i="11"/>
  <c r="P1177" i="11"/>
  <c r="O1177" i="11"/>
  <c r="F1177" i="11"/>
  <c r="E1177" i="11"/>
  <c r="C1177" i="11"/>
  <c r="B1177" i="11"/>
  <c r="A1177" i="11"/>
  <c r="D1176" i="11"/>
  <c r="AG1176" i="11"/>
  <c r="AH1176" i="11"/>
  <c r="G1176" i="11"/>
  <c r="AF1176" i="11"/>
  <c r="AI1176" i="11"/>
  <c r="P1176" i="11"/>
  <c r="O1176" i="11"/>
  <c r="F1176" i="11"/>
  <c r="E1176" i="11"/>
  <c r="C1176" i="11"/>
  <c r="B1176" i="11"/>
  <c r="A1176" i="11"/>
  <c r="D1175" i="11"/>
  <c r="AG1175" i="11"/>
  <c r="AH1175" i="11"/>
  <c r="G1175" i="11"/>
  <c r="AF1175" i="11"/>
  <c r="AI1175" i="11"/>
  <c r="P1175" i="11"/>
  <c r="O1175" i="11"/>
  <c r="F1175" i="11"/>
  <c r="E1175" i="11"/>
  <c r="C1175" i="11"/>
  <c r="B1175" i="11"/>
  <c r="A1175" i="11"/>
  <c r="D1174" i="11"/>
  <c r="AG1174" i="11"/>
  <c r="AH1174" i="11"/>
  <c r="G1174" i="11"/>
  <c r="AF1174" i="11"/>
  <c r="AI1174" i="11"/>
  <c r="P1174" i="11"/>
  <c r="O1174" i="11"/>
  <c r="F1174" i="11"/>
  <c r="E1174" i="11"/>
  <c r="C1174" i="11"/>
  <c r="B1174" i="11"/>
  <c r="A1174" i="11"/>
  <c r="D1173" i="11"/>
  <c r="AG1173" i="11"/>
  <c r="AH1173" i="11"/>
  <c r="G1173" i="11"/>
  <c r="AF1173" i="11"/>
  <c r="AI1173" i="11"/>
  <c r="P1173" i="11"/>
  <c r="O1173" i="11"/>
  <c r="F1173" i="11"/>
  <c r="E1173" i="11"/>
  <c r="C1173" i="11"/>
  <c r="B1173" i="11"/>
  <c r="A1173" i="11"/>
  <c r="D1172" i="11"/>
  <c r="AG1172" i="11"/>
  <c r="AH1172" i="11"/>
  <c r="G1172" i="11"/>
  <c r="AF1172" i="11"/>
  <c r="AI1172" i="11"/>
  <c r="P1172" i="11"/>
  <c r="O1172" i="11"/>
  <c r="F1172" i="11"/>
  <c r="E1172" i="11"/>
  <c r="C1172" i="11"/>
  <c r="B1172" i="11"/>
  <c r="A1172" i="11"/>
  <c r="D1171" i="11"/>
  <c r="AG1171" i="11"/>
  <c r="AH1171" i="11"/>
  <c r="G1171" i="11"/>
  <c r="AF1171" i="11"/>
  <c r="AI1171" i="11"/>
  <c r="P1171" i="11"/>
  <c r="O1171" i="11"/>
  <c r="F1171" i="11"/>
  <c r="E1171" i="11"/>
  <c r="C1171" i="11"/>
  <c r="B1171" i="11"/>
  <c r="A1171" i="11"/>
  <c r="D1170" i="11"/>
  <c r="AG1170" i="11"/>
  <c r="AH1170" i="11"/>
  <c r="G1170" i="11"/>
  <c r="AF1170" i="11"/>
  <c r="AI1170" i="11"/>
  <c r="P1170" i="11"/>
  <c r="O1170" i="11"/>
  <c r="F1170" i="11"/>
  <c r="E1170" i="11"/>
  <c r="C1170" i="11"/>
  <c r="B1170" i="11"/>
  <c r="A1170" i="11"/>
  <c r="D1169" i="11"/>
  <c r="AG1169" i="11"/>
  <c r="AH1169" i="11"/>
  <c r="G1169" i="11"/>
  <c r="AF1169" i="11"/>
  <c r="AI1169" i="11"/>
  <c r="P1169" i="11"/>
  <c r="O1169" i="11"/>
  <c r="F1169" i="11"/>
  <c r="E1169" i="11"/>
  <c r="C1169" i="11"/>
  <c r="B1169" i="11"/>
  <c r="A1169" i="11"/>
  <c r="P903" i="11"/>
  <c r="O903" i="11"/>
  <c r="P902" i="11"/>
  <c r="O902" i="11"/>
  <c r="D840" i="11"/>
  <c r="AG840" i="11"/>
  <c r="AH840" i="11"/>
  <c r="G840" i="11"/>
  <c r="AF840" i="11"/>
  <c r="AI840" i="11"/>
  <c r="P840" i="11"/>
  <c r="O840" i="11"/>
  <c r="F840" i="11"/>
  <c r="E840" i="11"/>
  <c r="C840" i="11"/>
  <c r="B840" i="11"/>
  <c r="A840" i="11"/>
  <c r="D933" i="11"/>
  <c r="AG933" i="11"/>
  <c r="AH933" i="11"/>
  <c r="G933" i="11"/>
  <c r="AF933" i="11"/>
  <c r="AI933" i="11"/>
  <c r="P933" i="11"/>
  <c r="O933" i="11"/>
  <c r="F933" i="11"/>
  <c r="E933" i="11"/>
  <c r="C933" i="11"/>
  <c r="B933" i="11"/>
  <c r="A933" i="11"/>
  <c r="D1168" i="11"/>
  <c r="AG1168" i="11"/>
  <c r="AH1168" i="11"/>
  <c r="G1168" i="11"/>
  <c r="AF1168" i="11"/>
  <c r="AI1168" i="11"/>
  <c r="P1168" i="11"/>
  <c r="O1168" i="11"/>
  <c r="F1168" i="11"/>
  <c r="E1168" i="11"/>
  <c r="C1168" i="11"/>
  <c r="B1168" i="11"/>
  <c r="A1168" i="11"/>
  <c r="D1167" i="11"/>
  <c r="AG1167" i="11"/>
  <c r="AH1167" i="11"/>
  <c r="G1167" i="11"/>
  <c r="AF1167" i="11"/>
  <c r="AI1167" i="11"/>
  <c r="P1167" i="11"/>
  <c r="O1167" i="11"/>
  <c r="F1167" i="11"/>
  <c r="E1167" i="11"/>
  <c r="C1167" i="11"/>
  <c r="B1167" i="11"/>
  <c r="A1167" i="11"/>
  <c r="D1166" i="11"/>
  <c r="AG1166" i="11"/>
  <c r="AH1166" i="11"/>
  <c r="G1166" i="11"/>
  <c r="AF1166" i="11"/>
  <c r="AI1166" i="11"/>
  <c r="P1166" i="11"/>
  <c r="O1166" i="11"/>
  <c r="F1166" i="11"/>
  <c r="E1166" i="11"/>
  <c r="C1166" i="11"/>
  <c r="B1166" i="11"/>
  <c r="A1166" i="11"/>
  <c r="D1165" i="11"/>
  <c r="AG1165" i="11"/>
  <c r="AH1165" i="11"/>
  <c r="G1165" i="11"/>
  <c r="AF1165" i="11"/>
  <c r="AI1165" i="11"/>
  <c r="P1165" i="11"/>
  <c r="O1165" i="11"/>
  <c r="F1165" i="11"/>
  <c r="E1165" i="11"/>
  <c r="C1165" i="11"/>
  <c r="B1165" i="11"/>
  <c r="A1165" i="11"/>
  <c r="D1164" i="11"/>
  <c r="AG1164" i="11"/>
  <c r="AH1164" i="11"/>
  <c r="G1164" i="11"/>
  <c r="AF1164" i="11"/>
  <c r="AI1164" i="11"/>
  <c r="P1164" i="11"/>
  <c r="O1164" i="11"/>
  <c r="F1164" i="11"/>
  <c r="E1164" i="11"/>
  <c r="C1164" i="11"/>
  <c r="B1164" i="11"/>
  <c r="A1164" i="11"/>
  <c r="D1163" i="11"/>
  <c r="AG1163" i="11"/>
  <c r="AH1163" i="11"/>
  <c r="G1163" i="11"/>
  <c r="AF1163" i="11"/>
  <c r="AI1163" i="11"/>
  <c r="P1163" i="11"/>
  <c r="O1163" i="11"/>
  <c r="F1163" i="11"/>
  <c r="E1163" i="11"/>
  <c r="C1163" i="11"/>
  <c r="B1163" i="11"/>
  <c r="A1163" i="11"/>
  <c r="D1162" i="11"/>
  <c r="AG1162" i="11"/>
  <c r="AH1162" i="11"/>
  <c r="G1162" i="11"/>
  <c r="AF1162" i="11"/>
  <c r="AI1162" i="11"/>
  <c r="P1162" i="11"/>
  <c r="O1162" i="11"/>
  <c r="F1162" i="11"/>
  <c r="E1162" i="11"/>
  <c r="C1162" i="11"/>
  <c r="B1162" i="11"/>
  <c r="A1162" i="11"/>
  <c r="D1161" i="11"/>
  <c r="AG1161" i="11"/>
  <c r="AH1161" i="11"/>
  <c r="G1161" i="11"/>
  <c r="AF1161" i="11"/>
  <c r="AI1161" i="11"/>
  <c r="P1161" i="11"/>
  <c r="O1161" i="11"/>
  <c r="F1161" i="11"/>
  <c r="E1161" i="11"/>
  <c r="C1161" i="11"/>
  <c r="B1161" i="11"/>
  <c r="A1161" i="11"/>
  <c r="D1160" i="11"/>
  <c r="AG1160" i="11"/>
  <c r="AH1160" i="11"/>
  <c r="G1160" i="11"/>
  <c r="AF1160" i="11"/>
  <c r="AI1160" i="11"/>
  <c r="P1160" i="11"/>
  <c r="O1160" i="11"/>
  <c r="F1160" i="11"/>
  <c r="E1160" i="11"/>
  <c r="C1160" i="11"/>
  <c r="B1160" i="11"/>
  <c r="A1160" i="11"/>
  <c r="D1159" i="11"/>
  <c r="AG1159" i="11"/>
  <c r="AH1159" i="11"/>
  <c r="G1159" i="11"/>
  <c r="AF1159" i="11"/>
  <c r="AI1159" i="11"/>
  <c r="P1159" i="11"/>
  <c r="O1159" i="11"/>
  <c r="F1159" i="11"/>
  <c r="E1159" i="11"/>
  <c r="C1159" i="11"/>
  <c r="B1159" i="11"/>
  <c r="A1159" i="11"/>
  <c r="D1158" i="11"/>
  <c r="AG1158" i="11"/>
  <c r="AH1158" i="11"/>
  <c r="G1158" i="11"/>
  <c r="AF1158" i="11"/>
  <c r="AI1158" i="11"/>
  <c r="P1158" i="11"/>
  <c r="O1158" i="11"/>
  <c r="F1158" i="11"/>
  <c r="E1158" i="11"/>
  <c r="C1158" i="11"/>
  <c r="B1158" i="11"/>
  <c r="A1158" i="11"/>
  <c r="D1157" i="11"/>
  <c r="AG1157" i="11"/>
  <c r="AH1157" i="11"/>
  <c r="G1157" i="11"/>
  <c r="AF1157" i="11"/>
  <c r="AI1157" i="11"/>
  <c r="P1157" i="11"/>
  <c r="O1157" i="11"/>
  <c r="F1157" i="11"/>
  <c r="E1157" i="11"/>
  <c r="C1157" i="11"/>
  <c r="B1157" i="11"/>
  <c r="A1157" i="11"/>
  <c r="D1156" i="11"/>
  <c r="AG1156" i="11"/>
  <c r="AH1156" i="11"/>
  <c r="G1156" i="11"/>
  <c r="AF1156" i="11"/>
  <c r="AI1156" i="11"/>
  <c r="P1156" i="11"/>
  <c r="O1156" i="11"/>
  <c r="F1156" i="11"/>
  <c r="E1156" i="11"/>
  <c r="C1156" i="11"/>
  <c r="B1156" i="11"/>
  <c r="A1156" i="11"/>
  <c r="D1155" i="11"/>
  <c r="AG1155" i="11"/>
  <c r="AH1155" i="11"/>
  <c r="G1155" i="11"/>
  <c r="AF1155" i="11"/>
  <c r="AI1155" i="11"/>
  <c r="P1155" i="11"/>
  <c r="O1155" i="11"/>
  <c r="F1155" i="11"/>
  <c r="E1155" i="11"/>
  <c r="C1155" i="11"/>
  <c r="B1155" i="11"/>
  <c r="A1155" i="11"/>
  <c r="D1154" i="11"/>
  <c r="AG1154" i="11"/>
  <c r="AH1154" i="11"/>
  <c r="G1154" i="11"/>
  <c r="AF1154" i="11"/>
  <c r="AI1154" i="11"/>
  <c r="P1154" i="11"/>
  <c r="O1154" i="11"/>
  <c r="F1154" i="11"/>
  <c r="E1154" i="11"/>
  <c r="C1154" i="11"/>
  <c r="B1154" i="11"/>
  <c r="A1154" i="11"/>
  <c r="D1153" i="11"/>
  <c r="AG1153" i="11"/>
  <c r="AH1153" i="11"/>
  <c r="G1153" i="11"/>
  <c r="AF1153" i="11"/>
  <c r="AI1153" i="11"/>
  <c r="P1153" i="11"/>
  <c r="O1153" i="11"/>
  <c r="F1153" i="11"/>
  <c r="E1153" i="11"/>
  <c r="C1153" i="11"/>
  <c r="B1153" i="11"/>
  <c r="A1153" i="11"/>
  <c r="D1152" i="11"/>
  <c r="AG1152" i="11"/>
  <c r="AH1152" i="11"/>
  <c r="G1152" i="11"/>
  <c r="AF1152" i="11"/>
  <c r="AI1152" i="11"/>
  <c r="P1152" i="11"/>
  <c r="O1152" i="11"/>
  <c r="F1152" i="11"/>
  <c r="E1152" i="11"/>
  <c r="C1152" i="11"/>
  <c r="B1152" i="11"/>
  <c r="A1152" i="11"/>
  <c r="D1151" i="11"/>
  <c r="AG1151" i="11"/>
  <c r="AH1151" i="11"/>
  <c r="G1151" i="11"/>
  <c r="AF1151" i="11"/>
  <c r="AI1151" i="11"/>
  <c r="P1151" i="11"/>
  <c r="O1151" i="11"/>
  <c r="F1151" i="11"/>
  <c r="E1151" i="11"/>
  <c r="C1151" i="11"/>
  <c r="B1151" i="11"/>
  <c r="A1151" i="11"/>
  <c r="D1150" i="11"/>
  <c r="AG1150" i="11"/>
  <c r="AH1150" i="11"/>
  <c r="G1150" i="11"/>
  <c r="AF1150" i="11"/>
  <c r="AI1150" i="11"/>
  <c r="P1150" i="11"/>
  <c r="O1150" i="11"/>
  <c r="F1150" i="11"/>
  <c r="E1150" i="11"/>
  <c r="C1150" i="11"/>
  <c r="B1150" i="11"/>
  <c r="A1150" i="11"/>
  <c r="D1149" i="11"/>
  <c r="AG1149" i="11"/>
  <c r="AH1149" i="11"/>
  <c r="G1149" i="11"/>
  <c r="AF1149" i="11"/>
  <c r="AI1149" i="11"/>
  <c r="P1149" i="11"/>
  <c r="O1149" i="11"/>
  <c r="F1149" i="11"/>
  <c r="E1149" i="11"/>
  <c r="C1149" i="11"/>
  <c r="B1149" i="11"/>
  <c r="A1149" i="11"/>
  <c r="D1148" i="11"/>
  <c r="AG1148" i="11"/>
  <c r="AH1148" i="11"/>
  <c r="G1148" i="11"/>
  <c r="AF1148" i="11"/>
  <c r="AI1148" i="11"/>
  <c r="P1148" i="11"/>
  <c r="O1148" i="11"/>
  <c r="F1148" i="11"/>
  <c r="E1148" i="11"/>
  <c r="C1148" i="11"/>
  <c r="B1148" i="11"/>
  <c r="A1148" i="11"/>
  <c r="D1147" i="11"/>
  <c r="AG1147" i="11"/>
  <c r="AH1147" i="11"/>
  <c r="G1147" i="11"/>
  <c r="AF1147" i="11"/>
  <c r="AI1147" i="11"/>
  <c r="P1147" i="11"/>
  <c r="O1147" i="11"/>
  <c r="F1147" i="11"/>
  <c r="E1147" i="11"/>
  <c r="C1147" i="11"/>
  <c r="B1147" i="11"/>
  <c r="A1147" i="11"/>
  <c r="D1146" i="11"/>
  <c r="AG1146" i="11"/>
  <c r="AH1146" i="11"/>
  <c r="G1146" i="11"/>
  <c r="AF1146" i="11"/>
  <c r="AI1146" i="11"/>
  <c r="P1146" i="11"/>
  <c r="O1146" i="11"/>
  <c r="F1146" i="11"/>
  <c r="E1146" i="11"/>
  <c r="C1146" i="11"/>
  <c r="B1146" i="11"/>
  <c r="A1146" i="11"/>
  <c r="D1145" i="11"/>
  <c r="AG1145" i="11"/>
  <c r="AH1145" i="11"/>
  <c r="G1145" i="11"/>
  <c r="AF1145" i="11"/>
  <c r="AI1145" i="11"/>
  <c r="P1145" i="11"/>
  <c r="O1145" i="11"/>
  <c r="F1145" i="11"/>
  <c r="E1145" i="11"/>
  <c r="C1145" i="11"/>
  <c r="B1145" i="11"/>
  <c r="A1145" i="11"/>
  <c r="D1144" i="11"/>
  <c r="AG1144" i="11"/>
  <c r="AH1144" i="11"/>
  <c r="G1144" i="11"/>
  <c r="AF1144" i="11"/>
  <c r="AI1144" i="11"/>
  <c r="P1144" i="11"/>
  <c r="O1144" i="11"/>
  <c r="F1144" i="11"/>
  <c r="E1144" i="11"/>
  <c r="C1144" i="11"/>
  <c r="B1144" i="11"/>
  <c r="A1144" i="11"/>
  <c r="D1143" i="11"/>
  <c r="AG1143" i="11"/>
  <c r="AH1143" i="11"/>
  <c r="G1143" i="11"/>
  <c r="AF1143" i="11"/>
  <c r="AI1143" i="11"/>
  <c r="P1143" i="11"/>
  <c r="O1143" i="11"/>
  <c r="F1143" i="11"/>
  <c r="E1143" i="11"/>
  <c r="C1143" i="11"/>
  <c r="B1143" i="11"/>
  <c r="A1143" i="11"/>
  <c r="D1142" i="11"/>
  <c r="AG1142" i="11"/>
  <c r="AH1142" i="11"/>
  <c r="G1142" i="11"/>
  <c r="AF1142" i="11"/>
  <c r="AI1142" i="11"/>
  <c r="P1142" i="11"/>
  <c r="O1142" i="11"/>
  <c r="F1142" i="11"/>
  <c r="E1142" i="11"/>
  <c r="C1142" i="11"/>
  <c r="B1142" i="11"/>
  <c r="A1142" i="11"/>
  <c r="D1141" i="11"/>
  <c r="AG1141" i="11"/>
  <c r="AH1141" i="11"/>
  <c r="G1141" i="11"/>
  <c r="AF1141" i="11"/>
  <c r="AI1141" i="11"/>
  <c r="P1141" i="11"/>
  <c r="O1141" i="11"/>
  <c r="F1141" i="11"/>
  <c r="E1141" i="11"/>
  <c r="C1141" i="11"/>
  <c r="B1141" i="11"/>
  <c r="A1141" i="11"/>
  <c r="D1140" i="11"/>
  <c r="AG1140" i="11"/>
  <c r="AH1140" i="11"/>
  <c r="G1140" i="11"/>
  <c r="AF1140" i="11"/>
  <c r="AI1140" i="11"/>
  <c r="P1140" i="11"/>
  <c r="O1140" i="11"/>
  <c r="F1140" i="11"/>
  <c r="E1140" i="11"/>
  <c r="C1140" i="11"/>
  <c r="B1140" i="11"/>
  <c r="A1140" i="11"/>
  <c r="D1139" i="11"/>
  <c r="AG1139" i="11"/>
  <c r="AH1139" i="11"/>
  <c r="G1139" i="11"/>
  <c r="AF1139" i="11"/>
  <c r="AI1139" i="11"/>
  <c r="P1139" i="11"/>
  <c r="O1139" i="11"/>
  <c r="F1139" i="11"/>
  <c r="E1139" i="11"/>
  <c r="C1139" i="11"/>
  <c r="B1139" i="11"/>
  <c r="A1139" i="11"/>
  <c r="D1138" i="11"/>
  <c r="AG1138" i="11"/>
  <c r="AH1138" i="11"/>
  <c r="G1138" i="11"/>
  <c r="AF1138" i="11"/>
  <c r="AI1138" i="11"/>
  <c r="P1138" i="11"/>
  <c r="O1138" i="11"/>
  <c r="F1138" i="11"/>
  <c r="E1138" i="11"/>
  <c r="C1138" i="11"/>
  <c r="B1138" i="11"/>
  <c r="A1138" i="11"/>
  <c r="D1137" i="11"/>
  <c r="AG1137" i="11"/>
  <c r="AH1137" i="11"/>
  <c r="G1137" i="11"/>
  <c r="AF1137" i="11"/>
  <c r="AI1137" i="11"/>
  <c r="P1137" i="11"/>
  <c r="O1137" i="11"/>
  <c r="F1137" i="11"/>
  <c r="E1137" i="11"/>
  <c r="C1137" i="11"/>
  <c r="B1137" i="11"/>
  <c r="A1137" i="11"/>
  <c r="D1136" i="11"/>
  <c r="AG1136" i="11"/>
  <c r="AH1136" i="11"/>
  <c r="G1136" i="11"/>
  <c r="AF1136" i="11"/>
  <c r="AI1136" i="11"/>
  <c r="P1136" i="11"/>
  <c r="O1136" i="11"/>
  <c r="F1136" i="11"/>
  <c r="E1136" i="11"/>
  <c r="C1136" i="11"/>
  <c r="B1136" i="11"/>
  <c r="A1136" i="11"/>
  <c r="D1135" i="11"/>
  <c r="AG1135" i="11"/>
  <c r="AH1135" i="11"/>
  <c r="G1135" i="11"/>
  <c r="AF1135" i="11"/>
  <c r="AI1135" i="11"/>
  <c r="P1135" i="11"/>
  <c r="O1135" i="11"/>
  <c r="F1135" i="11"/>
  <c r="E1135" i="11"/>
  <c r="C1135" i="11"/>
  <c r="B1135" i="11"/>
  <c r="A1135" i="11"/>
  <c r="D1134" i="11"/>
  <c r="AG1134" i="11"/>
  <c r="AH1134" i="11"/>
  <c r="G1134" i="11"/>
  <c r="AF1134" i="11"/>
  <c r="AI1134" i="11"/>
  <c r="P1134" i="11"/>
  <c r="O1134" i="11"/>
  <c r="F1134" i="11"/>
  <c r="E1134" i="11"/>
  <c r="C1134" i="11"/>
  <c r="B1134" i="11"/>
  <c r="A1134" i="11"/>
  <c r="D1133" i="11"/>
  <c r="AG1133" i="11"/>
  <c r="AH1133" i="11"/>
  <c r="G1133" i="11"/>
  <c r="AF1133" i="11"/>
  <c r="AI1133" i="11"/>
  <c r="P1133" i="11"/>
  <c r="O1133" i="11"/>
  <c r="F1133" i="11"/>
  <c r="E1133" i="11"/>
  <c r="C1133" i="11"/>
  <c r="B1133" i="11"/>
  <c r="A1133" i="11"/>
  <c r="D1132" i="11"/>
  <c r="AG1132" i="11"/>
  <c r="AH1132" i="11"/>
  <c r="G1132" i="11"/>
  <c r="AF1132" i="11"/>
  <c r="AI1132" i="11"/>
  <c r="P1132" i="11"/>
  <c r="O1132" i="11"/>
  <c r="F1132" i="11"/>
  <c r="E1132" i="11"/>
  <c r="C1132" i="11"/>
  <c r="B1132" i="11"/>
  <c r="A1132" i="11"/>
  <c r="D1131" i="11"/>
  <c r="AG1131" i="11"/>
  <c r="AH1131" i="11"/>
  <c r="G1131" i="11"/>
  <c r="AF1131" i="11"/>
  <c r="AI1131" i="11"/>
  <c r="P1131" i="11"/>
  <c r="O1131" i="11"/>
  <c r="F1131" i="11"/>
  <c r="E1131" i="11"/>
  <c r="C1131" i="11"/>
  <c r="B1131" i="11"/>
  <c r="A1131" i="11"/>
  <c r="D1130" i="11"/>
  <c r="AG1130" i="11"/>
  <c r="AH1130" i="11"/>
  <c r="G1130" i="11"/>
  <c r="AF1130" i="11"/>
  <c r="AI1130" i="11"/>
  <c r="P1130" i="11"/>
  <c r="O1130" i="11"/>
  <c r="F1130" i="11"/>
  <c r="E1130" i="11"/>
  <c r="C1130" i="11"/>
  <c r="B1130" i="11"/>
  <c r="A1130" i="11"/>
  <c r="D1129" i="11"/>
  <c r="AG1129" i="11"/>
  <c r="AH1129" i="11"/>
  <c r="G1129" i="11"/>
  <c r="AF1129" i="11"/>
  <c r="AI1129" i="11"/>
  <c r="P1129" i="11"/>
  <c r="O1129" i="11"/>
  <c r="F1129" i="11"/>
  <c r="E1129" i="11"/>
  <c r="C1129" i="11"/>
  <c r="B1129" i="11"/>
  <c r="A1129" i="11"/>
  <c r="D1128" i="11"/>
  <c r="AG1128" i="11"/>
  <c r="AH1128" i="11"/>
  <c r="G1128" i="11"/>
  <c r="AF1128" i="11"/>
  <c r="AI1128" i="11"/>
  <c r="P1128" i="11"/>
  <c r="O1128" i="11"/>
  <c r="F1128" i="11"/>
  <c r="E1128" i="11"/>
  <c r="C1128" i="11"/>
  <c r="B1128" i="11"/>
  <c r="A1128" i="11"/>
  <c r="D1127" i="11"/>
  <c r="AG1127" i="11"/>
  <c r="AH1127" i="11"/>
  <c r="G1127" i="11"/>
  <c r="AF1127" i="11"/>
  <c r="AI1127" i="11"/>
  <c r="P1127" i="11"/>
  <c r="O1127" i="11"/>
  <c r="F1127" i="11"/>
  <c r="E1127" i="11"/>
  <c r="C1127" i="11"/>
  <c r="B1127" i="11"/>
  <c r="A1127" i="11"/>
  <c r="D1126" i="11"/>
  <c r="AG1126" i="11"/>
  <c r="AH1126" i="11"/>
  <c r="G1126" i="11"/>
  <c r="AF1126" i="11"/>
  <c r="AI1126" i="11"/>
  <c r="P1126" i="11"/>
  <c r="O1126" i="11"/>
  <c r="F1126" i="11"/>
  <c r="E1126" i="11"/>
  <c r="C1126" i="11"/>
  <c r="B1126" i="11"/>
  <c r="A1126" i="11"/>
  <c r="D1125" i="11"/>
  <c r="AG1125" i="11"/>
  <c r="AH1125" i="11"/>
  <c r="G1125" i="11"/>
  <c r="AF1125" i="11"/>
  <c r="AI1125" i="11"/>
  <c r="P1125" i="11"/>
  <c r="O1125" i="11"/>
  <c r="F1125" i="11"/>
  <c r="E1125" i="11"/>
  <c r="C1125" i="11"/>
  <c r="B1125" i="11"/>
  <c r="A1125" i="11"/>
  <c r="D1124" i="11"/>
  <c r="AG1124" i="11"/>
  <c r="AH1124" i="11"/>
  <c r="G1124" i="11"/>
  <c r="AF1124" i="11"/>
  <c r="AI1124" i="11"/>
  <c r="P1124" i="11"/>
  <c r="O1124" i="11"/>
  <c r="F1124" i="11"/>
  <c r="E1124" i="11"/>
  <c r="C1124" i="11"/>
  <c r="B1124" i="11"/>
  <c r="A1124" i="11"/>
  <c r="D1123" i="11"/>
  <c r="AG1123" i="11"/>
  <c r="AH1123" i="11"/>
  <c r="G1123" i="11"/>
  <c r="AF1123" i="11"/>
  <c r="AI1123" i="11"/>
  <c r="P1123" i="11"/>
  <c r="O1123" i="11"/>
  <c r="F1123" i="11"/>
  <c r="E1123" i="11"/>
  <c r="C1123" i="11"/>
  <c r="B1123" i="11"/>
  <c r="A1123" i="11"/>
  <c r="D1122" i="11"/>
  <c r="AG1122" i="11"/>
  <c r="AH1122" i="11"/>
  <c r="G1122" i="11"/>
  <c r="AF1122" i="11"/>
  <c r="AI1122" i="11"/>
  <c r="P1122" i="11"/>
  <c r="O1122" i="11"/>
  <c r="F1122" i="11"/>
  <c r="E1122" i="11"/>
  <c r="C1122" i="11"/>
  <c r="B1122" i="11"/>
  <c r="A1122" i="11"/>
  <c r="D1121" i="11"/>
  <c r="AG1121" i="11"/>
  <c r="AH1121" i="11"/>
  <c r="G1121" i="11"/>
  <c r="AF1121" i="11"/>
  <c r="AI1121" i="11"/>
  <c r="P1121" i="11"/>
  <c r="O1121" i="11"/>
  <c r="F1121" i="11"/>
  <c r="E1121" i="11"/>
  <c r="C1121" i="11"/>
  <c r="B1121" i="11"/>
  <c r="A1121" i="11"/>
  <c r="D1120" i="11"/>
  <c r="AG1120" i="11"/>
  <c r="AH1120" i="11"/>
  <c r="G1120" i="11"/>
  <c r="AF1120" i="11"/>
  <c r="AI1120" i="11"/>
  <c r="P1120" i="11"/>
  <c r="O1120" i="11"/>
  <c r="F1120" i="11"/>
  <c r="E1120" i="11"/>
  <c r="C1120" i="11"/>
  <c r="B1120" i="11"/>
  <c r="A1120" i="11"/>
  <c r="D1119" i="11"/>
  <c r="AG1119" i="11"/>
  <c r="AH1119" i="11"/>
  <c r="G1119" i="11"/>
  <c r="AF1119" i="11"/>
  <c r="AI1119" i="11"/>
  <c r="P1119" i="11"/>
  <c r="O1119" i="11"/>
  <c r="F1119" i="11"/>
  <c r="E1119" i="11"/>
  <c r="C1119" i="11"/>
  <c r="B1119" i="11"/>
  <c r="A1119" i="11"/>
  <c r="D1118" i="11"/>
  <c r="AG1118" i="11"/>
  <c r="AH1118" i="11"/>
  <c r="G1118" i="11"/>
  <c r="AF1118" i="11"/>
  <c r="AI1118" i="11"/>
  <c r="P1118" i="11"/>
  <c r="O1118" i="11"/>
  <c r="F1118" i="11"/>
  <c r="E1118" i="11"/>
  <c r="C1118" i="11"/>
  <c r="B1118" i="11"/>
  <c r="A1118" i="11"/>
  <c r="D1117" i="11"/>
  <c r="AG1117" i="11"/>
  <c r="AH1117" i="11"/>
  <c r="G1117" i="11"/>
  <c r="AF1117" i="11"/>
  <c r="AI1117" i="11"/>
  <c r="P1117" i="11"/>
  <c r="O1117" i="11"/>
  <c r="F1117" i="11"/>
  <c r="E1117" i="11"/>
  <c r="C1117" i="11"/>
  <c r="B1117" i="11"/>
  <c r="A1117" i="11"/>
  <c r="D1116" i="11"/>
  <c r="AG1116" i="11"/>
  <c r="AH1116" i="11"/>
  <c r="G1116" i="11"/>
  <c r="AF1116" i="11"/>
  <c r="AI1116" i="11"/>
  <c r="P1116" i="11"/>
  <c r="O1116" i="11"/>
  <c r="F1116" i="11"/>
  <c r="E1116" i="11"/>
  <c r="C1116" i="11"/>
  <c r="B1116" i="11"/>
  <c r="A1116" i="11"/>
  <c r="D1115" i="11"/>
  <c r="AG1115" i="11"/>
  <c r="AH1115" i="11"/>
  <c r="G1115" i="11"/>
  <c r="AF1115" i="11"/>
  <c r="AI1115" i="11"/>
  <c r="P1115" i="11"/>
  <c r="O1115" i="11"/>
  <c r="F1115" i="11"/>
  <c r="E1115" i="11"/>
  <c r="C1115" i="11"/>
  <c r="B1115" i="11"/>
  <c r="A1115" i="11"/>
  <c r="D1114" i="11"/>
  <c r="AG1114" i="11"/>
  <c r="AH1114" i="11"/>
  <c r="G1114" i="11"/>
  <c r="AF1114" i="11"/>
  <c r="AI1114" i="11"/>
  <c r="P1114" i="11"/>
  <c r="O1114" i="11"/>
  <c r="F1114" i="11"/>
  <c r="E1114" i="11"/>
  <c r="C1114" i="11"/>
  <c r="B1114" i="11"/>
  <c r="A1114" i="11"/>
  <c r="D1113" i="11"/>
  <c r="AG1113" i="11"/>
  <c r="AH1113" i="11"/>
  <c r="G1113" i="11"/>
  <c r="AF1113" i="11"/>
  <c r="AI1113" i="11"/>
  <c r="P1113" i="11"/>
  <c r="O1113" i="11"/>
  <c r="F1113" i="11"/>
  <c r="E1113" i="11"/>
  <c r="C1113" i="11"/>
  <c r="B1113" i="11"/>
  <c r="A1113" i="11"/>
  <c r="D1112" i="11"/>
  <c r="AG1112" i="11"/>
  <c r="AH1112" i="11"/>
  <c r="G1112" i="11"/>
  <c r="AF1112" i="11"/>
  <c r="AI1112" i="11"/>
  <c r="P1112" i="11"/>
  <c r="O1112" i="11"/>
  <c r="F1112" i="11"/>
  <c r="E1112" i="11"/>
  <c r="C1112" i="11"/>
  <c r="B1112" i="11"/>
  <c r="A1112" i="11"/>
  <c r="P433" i="11"/>
  <c r="M4029" i="9"/>
  <c r="M316" i="11"/>
  <c r="M631" i="11"/>
  <c r="M677" i="11"/>
  <c r="M857" i="11"/>
  <c r="M848" i="11"/>
  <c r="AG1111" i="11"/>
  <c r="AG1110" i="11"/>
  <c r="AG1109" i="11"/>
  <c r="AG1108" i="11"/>
  <c r="AG1107" i="11"/>
  <c r="AG1106" i="11"/>
  <c r="AG1105" i="11"/>
  <c r="AG1104" i="11"/>
  <c r="AG1103" i="11"/>
  <c r="AG1102" i="11"/>
  <c r="AG1101" i="11"/>
  <c r="AG1100" i="11"/>
  <c r="AG1099" i="11"/>
  <c r="AG1098" i="11"/>
  <c r="AG1097" i="11"/>
  <c r="AG1096" i="11"/>
  <c r="AG1095" i="11"/>
  <c r="AG1094" i="11"/>
  <c r="AG1093" i="11"/>
  <c r="AG1092" i="11"/>
  <c r="AG1091" i="11"/>
  <c r="AG1090" i="11"/>
  <c r="AG1089" i="11"/>
  <c r="AG1088" i="11"/>
  <c r="AG1087" i="11"/>
  <c r="AG1086" i="11"/>
  <c r="AG1085" i="11"/>
  <c r="AG1084" i="11"/>
  <c r="AG1083" i="11"/>
  <c r="AG1082" i="11"/>
  <c r="AG1081" i="11"/>
  <c r="AG1080" i="11"/>
  <c r="AG1079" i="11"/>
  <c r="AG1078" i="11"/>
  <c r="AG1077" i="11"/>
  <c r="AG1076" i="11"/>
  <c r="AG1075" i="11"/>
  <c r="AG1074" i="11"/>
  <c r="AG1073" i="11"/>
  <c r="AG1072" i="11"/>
  <c r="AG1066" i="11"/>
  <c r="AG1065" i="11"/>
  <c r="AG1064" i="11"/>
  <c r="AG1063" i="11"/>
  <c r="AG1062" i="11"/>
  <c r="AG1061" i="11"/>
  <c r="AG1060" i="11"/>
  <c r="AG1059" i="11"/>
  <c r="AG1058" i="11"/>
  <c r="AG1057" i="11"/>
  <c r="AG1056" i="11"/>
  <c r="AG1055" i="11"/>
  <c r="AG1054" i="11"/>
  <c r="AG1053" i="11"/>
  <c r="AG1052" i="11"/>
  <c r="AG1051" i="11"/>
  <c r="AG1050" i="11"/>
  <c r="AG1049" i="11"/>
  <c r="AG1048" i="11"/>
  <c r="AG1047" i="11"/>
  <c r="AG1046" i="11"/>
  <c r="AG1045" i="11"/>
  <c r="AG1044" i="11"/>
  <c r="AG1043" i="11"/>
  <c r="AG1042" i="11"/>
  <c r="AG1041" i="11"/>
  <c r="AG1040" i="11"/>
  <c r="AG1039" i="11"/>
  <c r="AG1038" i="11"/>
  <c r="AG1037" i="11"/>
  <c r="AG1036" i="11"/>
  <c r="AG1035" i="11"/>
  <c r="AG1034" i="11"/>
  <c r="AG1033" i="11"/>
  <c r="AG1032" i="11"/>
  <c r="AG1031" i="11"/>
  <c r="AG1030" i="11"/>
  <c r="AG1029" i="11"/>
  <c r="AG1028" i="11"/>
  <c r="AG1027" i="11"/>
  <c r="AG1026" i="11"/>
  <c r="AG1025" i="11"/>
  <c r="AG1024" i="11"/>
  <c r="AG1023" i="11"/>
  <c r="AG1022" i="11"/>
  <c r="AG1021" i="11"/>
  <c r="AG1020" i="11"/>
  <c r="AG1019" i="11"/>
  <c r="AG1018" i="11"/>
  <c r="AG1017" i="11"/>
  <c r="AG1016" i="11"/>
  <c r="AG1015" i="11"/>
  <c r="AG1014" i="11"/>
  <c r="AG1013" i="11"/>
  <c r="AG1012" i="11"/>
  <c r="AG1011" i="11"/>
  <c r="AG1010" i="11"/>
  <c r="AG1009" i="11"/>
  <c r="AG1008" i="11"/>
  <c r="AG1007" i="11"/>
  <c r="AG1006" i="11"/>
  <c r="AG1005" i="11"/>
  <c r="AG1004" i="11"/>
  <c r="AG1003" i="11"/>
  <c r="AG1002" i="11"/>
  <c r="AG1001" i="11"/>
  <c r="AG1000" i="11"/>
  <c r="AG999" i="11"/>
  <c r="AG998" i="11"/>
  <c r="AG997" i="11"/>
  <c r="AG996" i="11"/>
  <c r="AG995" i="11"/>
  <c r="AG994" i="11"/>
  <c r="AG993" i="11"/>
  <c r="AG992" i="11"/>
  <c r="AG991" i="11"/>
  <c r="AG990" i="11"/>
  <c r="AG989" i="11"/>
  <c r="AG988" i="11"/>
  <c r="AG987" i="11"/>
  <c r="AG986" i="11"/>
  <c r="AG985" i="11"/>
  <c r="AG984" i="11"/>
  <c r="AG983" i="11"/>
  <c r="AG982" i="11"/>
  <c r="AG981" i="11"/>
  <c r="AG980" i="11"/>
  <c r="AG979" i="11"/>
  <c r="AG978" i="11"/>
  <c r="AG977" i="11"/>
  <c r="AG976" i="11"/>
  <c r="AG975" i="11"/>
  <c r="AG974" i="11"/>
  <c r="AG973" i="11"/>
  <c r="AG972" i="11"/>
  <c r="AG971" i="11"/>
  <c r="AG970" i="11"/>
  <c r="AG969" i="11"/>
  <c r="AG968" i="11"/>
  <c r="AG967" i="11"/>
  <c r="AG966" i="11"/>
  <c r="AG965" i="11"/>
  <c r="AG964" i="11"/>
  <c r="AG963" i="11"/>
  <c r="AG962" i="11"/>
  <c r="AG961" i="11"/>
  <c r="AG960" i="11"/>
  <c r="AG959" i="11"/>
  <c r="AG958" i="11"/>
  <c r="AG957" i="11"/>
  <c r="AG956" i="11"/>
  <c r="AG955" i="11"/>
  <c r="AG954" i="11"/>
  <c r="AG953" i="11"/>
  <c r="AG952" i="11"/>
  <c r="AG951" i="11"/>
  <c r="AG950" i="11"/>
  <c r="AG949" i="11"/>
  <c r="AG948" i="11"/>
  <c r="AG947" i="11"/>
  <c r="AG946" i="11"/>
  <c r="AG945" i="11"/>
  <c r="AG944" i="11"/>
  <c r="AG943" i="11"/>
  <c r="AG942" i="11"/>
  <c r="AG941" i="11"/>
  <c r="AG940" i="11"/>
  <c r="AG939" i="11"/>
  <c r="AG938" i="11"/>
  <c r="AG937" i="11"/>
  <c r="AG936" i="11"/>
  <c r="AG935" i="11"/>
  <c r="AG934" i="11"/>
  <c r="AG932" i="11"/>
  <c r="AG931" i="11"/>
  <c r="AG930" i="11"/>
  <c r="AG929" i="11"/>
  <c r="AG928" i="11"/>
  <c r="AG927" i="11"/>
  <c r="AG926" i="11"/>
  <c r="AG925" i="11"/>
  <c r="AG924" i="11"/>
  <c r="AG923" i="11"/>
  <c r="AG922" i="11"/>
  <c r="AG921" i="11"/>
  <c r="AG920" i="11"/>
  <c r="AG919" i="11"/>
  <c r="AG918" i="11"/>
  <c r="AG917" i="11"/>
  <c r="AG916" i="11"/>
  <c r="AG915" i="11"/>
  <c r="AG914" i="11"/>
  <c r="AG913" i="11"/>
  <c r="AG912" i="11"/>
  <c r="AG911" i="11"/>
  <c r="AG910" i="11"/>
  <c r="AG909" i="11"/>
  <c r="AG908" i="11"/>
  <c r="AG907" i="11"/>
  <c r="AG906" i="11"/>
  <c r="AG905" i="11"/>
  <c r="AG904" i="11"/>
  <c r="AG903" i="11"/>
  <c r="AG902" i="11"/>
  <c r="AG901" i="11"/>
  <c r="AG900" i="11"/>
  <c r="AG899" i="11"/>
  <c r="AG898" i="11"/>
  <c r="AG897" i="11"/>
  <c r="AG896" i="11"/>
  <c r="AG895" i="11"/>
  <c r="AG894" i="11"/>
  <c r="AG893" i="11"/>
  <c r="AG892" i="11"/>
  <c r="AG891" i="11"/>
  <c r="AG890" i="11"/>
  <c r="AG889" i="11"/>
  <c r="AG888" i="11"/>
  <c r="AG887" i="11"/>
  <c r="AG886" i="11"/>
  <c r="AG885" i="11"/>
  <c r="AG884" i="11"/>
  <c r="AG883" i="11"/>
  <c r="AG882" i="11"/>
  <c r="AG881" i="11"/>
  <c r="AG880" i="11"/>
  <c r="AG879" i="11"/>
  <c r="AG878" i="11"/>
  <c r="AG877" i="11"/>
  <c r="AG876" i="11"/>
  <c r="AG875" i="11"/>
  <c r="AG874" i="11"/>
  <c r="AG873" i="11"/>
  <c r="AG872" i="11"/>
  <c r="AG871" i="11"/>
  <c r="AG870" i="11"/>
  <c r="AG869" i="11"/>
  <c r="AG868" i="11"/>
  <c r="AG867" i="11"/>
  <c r="AG866" i="11"/>
  <c r="AG865" i="11"/>
  <c r="AG864" i="11"/>
  <c r="AG863" i="11"/>
  <c r="AG862" i="11"/>
  <c r="AG861" i="11"/>
  <c r="AG860" i="11"/>
  <c r="AG859" i="11"/>
  <c r="AG858" i="11"/>
  <c r="AG857" i="11"/>
  <c r="AG856" i="11"/>
  <c r="AG855" i="11"/>
  <c r="AG854" i="11"/>
  <c r="AG853" i="11"/>
  <c r="AG852" i="11"/>
  <c r="AG851" i="11"/>
  <c r="AG850" i="11"/>
  <c r="AG849" i="11"/>
  <c r="AG848" i="11"/>
  <c r="AG847" i="11"/>
  <c r="AG846" i="11"/>
  <c r="AG845" i="11"/>
  <c r="AG844" i="11"/>
  <c r="AG843" i="11"/>
  <c r="AG842" i="11"/>
  <c r="AG841" i="11"/>
  <c r="AG839" i="11"/>
  <c r="AG838" i="11"/>
  <c r="AG837" i="11"/>
  <c r="AG836" i="11"/>
  <c r="AG835" i="11"/>
  <c r="AG834" i="11"/>
  <c r="AG833" i="11"/>
  <c r="AG832" i="11"/>
  <c r="AG831" i="11"/>
  <c r="AG830" i="11"/>
  <c r="AG829" i="11"/>
  <c r="AG828" i="11"/>
  <c r="AG827" i="11"/>
  <c r="AG826" i="11"/>
  <c r="AG825" i="11"/>
  <c r="AG824" i="11"/>
  <c r="AG823" i="11"/>
  <c r="AG822" i="11"/>
  <c r="AG821" i="11"/>
  <c r="AG820" i="11"/>
  <c r="AG819" i="11"/>
  <c r="AG818" i="11"/>
  <c r="AG817" i="11"/>
  <c r="AG816" i="11"/>
  <c r="AG815" i="11"/>
  <c r="AG814" i="11"/>
  <c r="AG813" i="11"/>
  <c r="AG812" i="11"/>
  <c r="AG811" i="11"/>
  <c r="AG810" i="11"/>
  <c r="AG809" i="11"/>
  <c r="AG808" i="11"/>
  <c r="AG807" i="11"/>
  <c r="AG806" i="11"/>
  <c r="AG805" i="11"/>
  <c r="AG804" i="11"/>
  <c r="AG803" i="11"/>
  <c r="AG802" i="11"/>
  <c r="AG801" i="11"/>
  <c r="AG800" i="11"/>
  <c r="AG799" i="11"/>
  <c r="AG798" i="11"/>
  <c r="AG797" i="11"/>
  <c r="AG796" i="11"/>
  <c r="AG795" i="11"/>
  <c r="AG794" i="11"/>
  <c r="AG793" i="11"/>
  <c r="AG792" i="11"/>
  <c r="AG791" i="11"/>
  <c r="AG790" i="11"/>
  <c r="AG789" i="11"/>
  <c r="AG788" i="11"/>
  <c r="AG787" i="11"/>
  <c r="AG786" i="11"/>
  <c r="AG785" i="11"/>
  <c r="AG784" i="11"/>
  <c r="AG783" i="11"/>
  <c r="AG782" i="11"/>
  <c r="AG781" i="11"/>
  <c r="AG780" i="11"/>
  <c r="AG779" i="11"/>
  <c r="AG778" i="11"/>
  <c r="AG777" i="11"/>
  <c r="AG776" i="11"/>
  <c r="AG775" i="11"/>
  <c r="AG774" i="11"/>
  <c r="AG773" i="11"/>
  <c r="AG772" i="11"/>
  <c r="AG771" i="11"/>
  <c r="AG770" i="11"/>
  <c r="AG769" i="11"/>
  <c r="AG768" i="11"/>
  <c r="AG767" i="11"/>
  <c r="AG766" i="11"/>
  <c r="AG765" i="11"/>
  <c r="AG764" i="11"/>
  <c r="AG763" i="11"/>
  <c r="AG762" i="11"/>
  <c r="AG761" i="11"/>
  <c r="AG760" i="11"/>
  <c r="AG759" i="11"/>
  <c r="AG758" i="11"/>
  <c r="AG757" i="11"/>
  <c r="AG756" i="11"/>
  <c r="AG755" i="11"/>
  <c r="AG754" i="11"/>
  <c r="AG753" i="11"/>
  <c r="AG752" i="11"/>
  <c r="AG751" i="11"/>
  <c r="AG750" i="11"/>
  <c r="AG749" i="11"/>
  <c r="AG748" i="11"/>
  <c r="AG747" i="11"/>
  <c r="AG746" i="11"/>
  <c r="AG745" i="11"/>
  <c r="AG744" i="11"/>
  <c r="AG743" i="11"/>
  <c r="AG742" i="11"/>
  <c r="AG741" i="11"/>
  <c r="AG740" i="11"/>
  <c r="AG739" i="11"/>
  <c r="AG738" i="11"/>
  <c r="AG737" i="11"/>
  <c r="AG736" i="11"/>
  <c r="AG735" i="11"/>
  <c r="AG734" i="11"/>
  <c r="AG733" i="11"/>
  <c r="AG732" i="11"/>
  <c r="AG731" i="11"/>
  <c r="AG730" i="11"/>
  <c r="AG729" i="11"/>
  <c r="AG728" i="11"/>
  <c r="AG727" i="11"/>
  <c r="AG726" i="11"/>
  <c r="AG725" i="11"/>
  <c r="AG724" i="11"/>
  <c r="AG723" i="11"/>
  <c r="AG722" i="11"/>
  <c r="AG721" i="11"/>
  <c r="AG720" i="11"/>
  <c r="AG719" i="11"/>
  <c r="AG718" i="11"/>
  <c r="AG717" i="11"/>
  <c r="AG716" i="11"/>
  <c r="AG715" i="11"/>
  <c r="AG714" i="11"/>
  <c r="AG713" i="11"/>
  <c r="AG712" i="11"/>
  <c r="AG711" i="11"/>
  <c r="AG710" i="11"/>
  <c r="AG709" i="11"/>
  <c r="AG708" i="11"/>
  <c r="AG707" i="11"/>
  <c r="AG706" i="11"/>
  <c r="AG705" i="11"/>
  <c r="AG704" i="11"/>
  <c r="AG703" i="11"/>
  <c r="AG702" i="11"/>
  <c r="AG701" i="11"/>
  <c r="AG700" i="11"/>
  <c r="AG699" i="11"/>
  <c r="AG698" i="11"/>
  <c r="AG697" i="11"/>
  <c r="AG696" i="11"/>
  <c r="AG695" i="11"/>
  <c r="AG694" i="11"/>
  <c r="AG693" i="11"/>
  <c r="AG692" i="11"/>
  <c r="AG691" i="11"/>
  <c r="AG690" i="11"/>
  <c r="AG689" i="11"/>
  <c r="AG688" i="11"/>
  <c r="AG687" i="11"/>
  <c r="AG686" i="11"/>
  <c r="AG685" i="11"/>
  <c r="AG684" i="11"/>
  <c r="AG683" i="11"/>
  <c r="AG682" i="11"/>
  <c r="AG681" i="11"/>
  <c r="AG680" i="11"/>
  <c r="AG679" i="11"/>
  <c r="AG678" i="11"/>
  <c r="AG677" i="11"/>
  <c r="AG676" i="11"/>
  <c r="AG675" i="11"/>
  <c r="AG674" i="11"/>
  <c r="AG673" i="11"/>
  <c r="AG672" i="11"/>
  <c r="AG671" i="11"/>
  <c r="AG670" i="11"/>
  <c r="AG669" i="11"/>
  <c r="AG668" i="11"/>
  <c r="AG667" i="11"/>
  <c r="AG666" i="11"/>
  <c r="AG665" i="11"/>
  <c r="AG664" i="11"/>
  <c r="AG663" i="11"/>
  <c r="AG662" i="11"/>
  <c r="AG661" i="11"/>
  <c r="AG660" i="11"/>
  <c r="AG659" i="11"/>
  <c r="AG658" i="11"/>
  <c r="AG657" i="11"/>
  <c r="AG656" i="11"/>
  <c r="AG655" i="11"/>
  <c r="AG654" i="11"/>
  <c r="AG653" i="11"/>
  <c r="AG652" i="11"/>
  <c r="AG651" i="11"/>
  <c r="AG650" i="11"/>
  <c r="AG649" i="11"/>
  <c r="AG648" i="11"/>
  <c r="AG647" i="11"/>
  <c r="AG646" i="11"/>
  <c r="AG645" i="11"/>
  <c r="AG644" i="11"/>
  <c r="AG643" i="11"/>
  <c r="AG642" i="11"/>
  <c r="AG641" i="11"/>
  <c r="AG640" i="11"/>
  <c r="AG639" i="11"/>
  <c r="AG638" i="11"/>
  <c r="AG637" i="11"/>
  <c r="AG636" i="11"/>
  <c r="AG635" i="11"/>
  <c r="AG634" i="11"/>
  <c r="AG633" i="11"/>
  <c r="AG632" i="11"/>
  <c r="AG631" i="11"/>
  <c r="AG630" i="11"/>
  <c r="AG629" i="11"/>
  <c r="AG628" i="11"/>
  <c r="AG627" i="11"/>
  <c r="AG626" i="11"/>
  <c r="AG625" i="11"/>
  <c r="AG624" i="11"/>
  <c r="AG623" i="11"/>
  <c r="AG622" i="11"/>
  <c r="AG621" i="11"/>
  <c r="AG620" i="11"/>
  <c r="AG619" i="11"/>
  <c r="AG618" i="11"/>
  <c r="AG617" i="11"/>
  <c r="AG616" i="11"/>
  <c r="AG615" i="11"/>
  <c r="AG614" i="11"/>
  <c r="AG613" i="11"/>
  <c r="AG612" i="11"/>
  <c r="AG611" i="11"/>
  <c r="AG610" i="11"/>
  <c r="AG609" i="11"/>
  <c r="AG608" i="11"/>
  <c r="AG607" i="11"/>
  <c r="AG606" i="11"/>
  <c r="AG605" i="11"/>
  <c r="AG604" i="11"/>
  <c r="AG603" i="11"/>
  <c r="AG602" i="11"/>
  <c r="AG601" i="11"/>
  <c r="AG600" i="11"/>
  <c r="AG599" i="11"/>
  <c r="AG598" i="11"/>
  <c r="AG597" i="11"/>
  <c r="AG596" i="11"/>
  <c r="AG595" i="11"/>
  <c r="AG594" i="11"/>
  <c r="AG593" i="11"/>
  <c r="AG592" i="11"/>
  <c r="AG591" i="11"/>
  <c r="AG590" i="11"/>
  <c r="AG589" i="11"/>
  <c r="AG588" i="11"/>
  <c r="AG587" i="11"/>
  <c r="AG586" i="11"/>
  <c r="AG585" i="11"/>
  <c r="AG584" i="11"/>
  <c r="AG583" i="11"/>
  <c r="AG582" i="11"/>
  <c r="AG581" i="11"/>
  <c r="AG580" i="11"/>
  <c r="AG579" i="11"/>
  <c r="AG578" i="11"/>
  <c r="AG577" i="11"/>
  <c r="AG576" i="11"/>
  <c r="AG575" i="11"/>
  <c r="AG574" i="11"/>
  <c r="AG573" i="11"/>
  <c r="AG572" i="11"/>
  <c r="AG571" i="11"/>
  <c r="AG570" i="11"/>
  <c r="AG569" i="11"/>
  <c r="AG568" i="11"/>
  <c r="AG567" i="11"/>
  <c r="AG566" i="11"/>
  <c r="AG565" i="11"/>
  <c r="AG564" i="11"/>
  <c r="AG563" i="11"/>
  <c r="AG562" i="11"/>
  <c r="AG561" i="11"/>
  <c r="AG560" i="11"/>
  <c r="AG559" i="11"/>
  <c r="AG558" i="11"/>
  <c r="AG557" i="11"/>
  <c r="AG556" i="11"/>
  <c r="AG555" i="11"/>
  <c r="AG554" i="11"/>
  <c r="AG553" i="11"/>
  <c r="AG552" i="11"/>
  <c r="AG551" i="11"/>
  <c r="AG550" i="11"/>
  <c r="AG549" i="11"/>
  <c r="AG548" i="11"/>
  <c r="AG547" i="11"/>
  <c r="AG546" i="11"/>
  <c r="AG545" i="11"/>
  <c r="AG544" i="11"/>
  <c r="AG543" i="11"/>
  <c r="AG542" i="11"/>
  <c r="AG541" i="11"/>
  <c r="AG540" i="11"/>
  <c r="AG539" i="11"/>
  <c r="AG538" i="11"/>
  <c r="AG537" i="11"/>
  <c r="AG536" i="11"/>
  <c r="AG535" i="11"/>
  <c r="AG534" i="11"/>
  <c r="AG533" i="11"/>
  <c r="AG532" i="11"/>
  <c r="AG531" i="11"/>
  <c r="AG530" i="11"/>
  <c r="AG529" i="11"/>
  <c r="AG528" i="11"/>
  <c r="AG527" i="11"/>
  <c r="AG526" i="11"/>
  <c r="AG525" i="11"/>
  <c r="AG524" i="11"/>
  <c r="AG523" i="11"/>
  <c r="AG522" i="11"/>
  <c r="AG521" i="11"/>
  <c r="AG520" i="11"/>
  <c r="AG519" i="11"/>
  <c r="AG518" i="11"/>
  <c r="AG517" i="11"/>
  <c r="AG516" i="11"/>
  <c r="AG515" i="11"/>
  <c r="AG514" i="11"/>
  <c r="AG513" i="11"/>
  <c r="AG512" i="11"/>
  <c r="AG511" i="11"/>
  <c r="AG510" i="11"/>
  <c r="AG509" i="11"/>
  <c r="AG508" i="11"/>
  <c r="AG507" i="11"/>
  <c r="AG506" i="11"/>
  <c r="AG505" i="11"/>
  <c r="AG504" i="11"/>
  <c r="AG503" i="11"/>
  <c r="AG502" i="11"/>
  <c r="AG501" i="11"/>
  <c r="AG500" i="11"/>
  <c r="AG499" i="11"/>
  <c r="AG498" i="11"/>
  <c r="AG497" i="11"/>
  <c r="AG496" i="11"/>
  <c r="AG495" i="11"/>
  <c r="AG494" i="11"/>
  <c r="AG493" i="11"/>
  <c r="AG492" i="11"/>
  <c r="AG491" i="11"/>
  <c r="AG490" i="11"/>
  <c r="AG489" i="11"/>
  <c r="AG488" i="11"/>
  <c r="AG487" i="11"/>
  <c r="AG486" i="11"/>
  <c r="AG485" i="11"/>
  <c r="AG484" i="11"/>
  <c r="AG483" i="11"/>
  <c r="AG482" i="11"/>
  <c r="AG481" i="11"/>
  <c r="AG480" i="11"/>
  <c r="AG479" i="11"/>
  <c r="AG478" i="11"/>
  <c r="AG477" i="11"/>
  <c r="AG476" i="11"/>
  <c r="AG475" i="11"/>
  <c r="AG474" i="11"/>
  <c r="AG473" i="11"/>
  <c r="AG472" i="11"/>
  <c r="AG471" i="11"/>
  <c r="AG470" i="11"/>
  <c r="AG469" i="11"/>
  <c r="AG468" i="11"/>
  <c r="AG467" i="11"/>
  <c r="AG466" i="11"/>
  <c r="AG465" i="11"/>
  <c r="AG464" i="11"/>
  <c r="AG463" i="11"/>
  <c r="AG462" i="11"/>
  <c r="AG461" i="11"/>
  <c r="AG460" i="11"/>
  <c r="AG459" i="11"/>
  <c r="AG458" i="11"/>
  <c r="AG457" i="11"/>
  <c r="AG456" i="11"/>
  <c r="AG455" i="11"/>
  <c r="AG454" i="11"/>
  <c r="AG453" i="11"/>
  <c r="AG452" i="11"/>
  <c r="AG451" i="11"/>
  <c r="AG450" i="11"/>
  <c r="AG449" i="11"/>
  <c r="AG448" i="11"/>
  <c r="AG447" i="11"/>
  <c r="AG446" i="11"/>
  <c r="AG445" i="11"/>
  <c r="AG444" i="11"/>
  <c r="AG443" i="11"/>
  <c r="AG442" i="11"/>
  <c r="AG441" i="11"/>
  <c r="AG440" i="11"/>
  <c r="AG439" i="11"/>
  <c r="AG438" i="11"/>
  <c r="AG437" i="11"/>
  <c r="AG436" i="11"/>
  <c r="AG435" i="11"/>
  <c r="AG434" i="11"/>
  <c r="AG433" i="11"/>
  <c r="AG432" i="11"/>
  <c r="AG431" i="11"/>
  <c r="AG430" i="11"/>
  <c r="AG429" i="11"/>
  <c r="AG428" i="11"/>
  <c r="AG427" i="11"/>
  <c r="AG426" i="11"/>
  <c r="AG425" i="11"/>
  <c r="AG424" i="11"/>
  <c r="AG423" i="11"/>
  <c r="AG422" i="11"/>
  <c r="AG421" i="11"/>
  <c r="AG420" i="11"/>
  <c r="AG419" i="11"/>
  <c r="AG418" i="11"/>
  <c r="AG417" i="11"/>
  <c r="AG416" i="11"/>
  <c r="AG415" i="11"/>
  <c r="AG414" i="11"/>
  <c r="AG413" i="11"/>
  <c r="AG412" i="11"/>
  <c r="AG411" i="11"/>
  <c r="AG410" i="11"/>
  <c r="AG409" i="11"/>
  <c r="AG408" i="11"/>
  <c r="AG407" i="11"/>
  <c r="AG406" i="11"/>
  <c r="AG405" i="11"/>
  <c r="AG404" i="11"/>
  <c r="AG403" i="11"/>
  <c r="AG402" i="11"/>
  <c r="AG401" i="11"/>
  <c r="AG400" i="11"/>
  <c r="AG399" i="11"/>
  <c r="AG398" i="11"/>
  <c r="AG397" i="11"/>
  <c r="AG396" i="11"/>
  <c r="AG395" i="11"/>
  <c r="AG394" i="11"/>
  <c r="AG393" i="11"/>
  <c r="AG392" i="11"/>
  <c r="AG391" i="11"/>
  <c r="AG390" i="11"/>
  <c r="AG389" i="11"/>
  <c r="AG388" i="11"/>
  <c r="AG387" i="11"/>
  <c r="AG386" i="11"/>
  <c r="AG385" i="11"/>
  <c r="AG384" i="11"/>
  <c r="AG383" i="11"/>
  <c r="AG382" i="11"/>
  <c r="AG381" i="11"/>
  <c r="AG380" i="11"/>
  <c r="AG379" i="11"/>
  <c r="AG378" i="11"/>
  <c r="AG377" i="11"/>
  <c r="AG376" i="11"/>
  <c r="AG375" i="11"/>
  <c r="AG374" i="11"/>
  <c r="AG373" i="11"/>
  <c r="AG372" i="11"/>
  <c r="AG371" i="11"/>
  <c r="AG370" i="11"/>
  <c r="AG369" i="11"/>
  <c r="AG368" i="11"/>
  <c r="AG367" i="11"/>
  <c r="AG366" i="11"/>
  <c r="AG365" i="11"/>
  <c r="AG364" i="11"/>
  <c r="AG363" i="11"/>
  <c r="AG362" i="11"/>
  <c r="AG361" i="11"/>
  <c r="AG360" i="11"/>
  <c r="AG359" i="11"/>
  <c r="AG358" i="11"/>
  <c r="AG357" i="11"/>
  <c r="AG356" i="11"/>
  <c r="AG355" i="11"/>
  <c r="AG354" i="11"/>
  <c r="AG353" i="11"/>
  <c r="AG352" i="11"/>
  <c r="AG351" i="11"/>
  <c r="AG350" i="11"/>
  <c r="AG349" i="11"/>
  <c r="AG348" i="11"/>
  <c r="AG347" i="11"/>
  <c r="AG346" i="11"/>
  <c r="AG345" i="11"/>
  <c r="AG344" i="11"/>
  <c r="AG343" i="11"/>
  <c r="AG342" i="11"/>
  <c r="AG341" i="11"/>
  <c r="AG340" i="11"/>
  <c r="AG339" i="11"/>
  <c r="AG338" i="11"/>
  <c r="AG337" i="11"/>
  <c r="AG336" i="11"/>
  <c r="AG335" i="11"/>
  <c r="AG334" i="11"/>
  <c r="AG333" i="11"/>
  <c r="AG332" i="11"/>
  <c r="AG331" i="11"/>
  <c r="AG330" i="11"/>
  <c r="AG329" i="11"/>
  <c r="AG328" i="11"/>
  <c r="AG327" i="11"/>
  <c r="AG326" i="11"/>
  <c r="AG325" i="11"/>
  <c r="AG324" i="11"/>
  <c r="AG323" i="11"/>
  <c r="AG322" i="11"/>
  <c r="AG321" i="11"/>
  <c r="AG320" i="11"/>
  <c r="AG319" i="11"/>
  <c r="AG318" i="11"/>
  <c r="AG317" i="11"/>
  <c r="AG316" i="11"/>
  <c r="AG315" i="11"/>
  <c r="AG314" i="11"/>
  <c r="AG313" i="11"/>
  <c r="AG312" i="11"/>
  <c r="AG311" i="11"/>
  <c r="AG310" i="11"/>
  <c r="AG309" i="11"/>
  <c r="AG308" i="11"/>
  <c r="AG307" i="11"/>
  <c r="AG306" i="11"/>
  <c r="AG305" i="11"/>
  <c r="AG304" i="11"/>
  <c r="AG303" i="11"/>
  <c r="AG302" i="11"/>
  <c r="AG301" i="11"/>
  <c r="AG300" i="11"/>
  <c r="AG299" i="11"/>
  <c r="AG298" i="11"/>
  <c r="AG297" i="11"/>
  <c r="AG296" i="11"/>
  <c r="AG295" i="11"/>
  <c r="AG294" i="11"/>
  <c r="AG293" i="11"/>
  <c r="AG292" i="11"/>
  <c r="AG291" i="11"/>
  <c r="AG290" i="11"/>
  <c r="AG289" i="11"/>
  <c r="AG288" i="11"/>
  <c r="AG287" i="11"/>
  <c r="AG286" i="11"/>
  <c r="AG285" i="11"/>
  <c r="AG284" i="11"/>
  <c r="AG283" i="11"/>
  <c r="AG282" i="11"/>
  <c r="AG281" i="11"/>
  <c r="AG280" i="11"/>
  <c r="AG279" i="11"/>
  <c r="AG278" i="11"/>
  <c r="AG277" i="11"/>
  <c r="AG276" i="11"/>
  <c r="AG275" i="11"/>
  <c r="AG274" i="11"/>
  <c r="AG273" i="11"/>
  <c r="AG272" i="11"/>
  <c r="Y271" i="11"/>
  <c r="AG271" i="11"/>
  <c r="AG270" i="11"/>
  <c r="AG269" i="11"/>
  <c r="AG268" i="11"/>
  <c r="AG267" i="11"/>
  <c r="AG266" i="11"/>
  <c r="AG265" i="11"/>
  <c r="AG264" i="11"/>
  <c r="AG263" i="11"/>
  <c r="AG262" i="11"/>
  <c r="AG261" i="11"/>
  <c r="AG260" i="11"/>
  <c r="AG259" i="11"/>
  <c r="AG258" i="11"/>
  <c r="AG257" i="11"/>
  <c r="AG256" i="11"/>
  <c r="AG255" i="11"/>
  <c r="AG254" i="11"/>
  <c r="AG253" i="11"/>
  <c r="AG252" i="11"/>
  <c r="AG251" i="11"/>
  <c r="AG250" i="11"/>
  <c r="AG249" i="11"/>
  <c r="AG248" i="11"/>
  <c r="AG247" i="11"/>
  <c r="AG246" i="11"/>
  <c r="AG245" i="11"/>
  <c r="AG244" i="11"/>
  <c r="R243" i="11"/>
  <c r="AG243" i="11"/>
  <c r="AG242" i="11"/>
  <c r="AG241" i="11"/>
  <c r="AG240" i="11"/>
  <c r="AG239" i="11"/>
  <c r="AG238" i="11"/>
  <c r="AG237" i="11"/>
  <c r="AG236" i="11"/>
  <c r="AG235" i="11"/>
  <c r="AG234" i="11"/>
  <c r="AG233" i="11"/>
  <c r="AG232" i="11"/>
  <c r="AG231" i="11"/>
  <c r="AG230" i="11"/>
  <c r="AG229" i="11"/>
  <c r="AG228" i="11"/>
  <c r="AG227" i="11"/>
  <c r="AG226" i="11"/>
  <c r="AG225" i="11"/>
  <c r="AG224" i="11"/>
  <c r="R223" i="11"/>
  <c r="AG223" i="11"/>
  <c r="AG222" i="11"/>
  <c r="AG221" i="11"/>
  <c r="AG220" i="11"/>
  <c r="AG219" i="11"/>
  <c r="AG218" i="11"/>
  <c r="AG217" i="11"/>
  <c r="AG216" i="11"/>
  <c r="AG215" i="11"/>
  <c r="AG214" i="11"/>
  <c r="AG213" i="11"/>
  <c r="AG212" i="11"/>
  <c r="AG211" i="11"/>
  <c r="R210" i="11"/>
  <c r="AG210" i="11"/>
  <c r="AG209" i="11"/>
  <c r="AG208" i="11"/>
  <c r="AG207" i="11"/>
  <c r="AG206" i="11"/>
  <c r="R205" i="11"/>
  <c r="AG205" i="11"/>
  <c r="AG204" i="11"/>
  <c r="AG203" i="11"/>
  <c r="AG202" i="11"/>
  <c r="AG201" i="11"/>
  <c r="AG200" i="11"/>
  <c r="AG199" i="11"/>
  <c r="AG198" i="11"/>
  <c r="AG197" i="11"/>
  <c r="AG196" i="11"/>
  <c r="AG195" i="11"/>
  <c r="AG194" i="11"/>
  <c r="AG193" i="11"/>
  <c r="AG192" i="11"/>
  <c r="AG191" i="11"/>
  <c r="AG190" i="11"/>
  <c r="AG189" i="11"/>
  <c r="AG188" i="11"/>
  <c r="AG187" i="11"/>
  <c r="AG186" i="11"/>
  <c r="R185" i="11"/>
  <c r="AG185" i="11"/>
  <c r="AG184" i="11"/>
  <c r="AG183" i="11"/>
  <c r="AG182" i="11"/>
  <c r="AG181" i="11"/>
  <c r="AG180" i="11"/>
  <c r="AG179" i="11"/>
  <c r="AG178" i="11"/>
  <c r="AG177" i="11"/>
  <c r="AG176" i="11"/>
  <c r="AG175" i="11"/>
  <c r="AG174" i="11"/>
  <c r="AG173" i="11"/>
  <c r="R172" i="11"/>
  <c r="AG172" i="11"/>
  <c r="AG171" i="11"/>
  <c r="AG170" i="11"/>
  <c r="AG169" i="11"/>
  <c r="AG168" i="11"/>
  <c r="AG167" i="11"/>
  <c r="AG166" i="11"/>
  <c r="AG165" i="11"/>
  <c r="AG164" i="11"/>
  <c r="AG163" i="11"/>
  <c r="AG162" i="11"/>
  <c r="AG161" i="11"/>
  <c r="AG160" i="11"/>
  <c r="AG159" i="11"/>
  <c r="AG158" i="11"/>
  <c r="AG157" i="11"/>
  <c r="AG156" i="11"/>
  <c r="AG155" i="11"/>
  <c r="AG154" i="11"/>
  <c r="AG153" i="11"/>
  <c r="AG152" i="11"/>
  <c r="AG151" i="11"/>
  <c r="AG150" i="11"/>
  <c r="AG149" i="11"/>
  <c r="AG148" i="11"/>
  <c r="AG147" i="11"/>
  <c r="AG146" i="11"/>
  <c r="AG145" i="11"/>
  <c r="AG144" i="11"/>
  <c r="R143" i="11"/>
  <c r="AG143" i="11"/>
  <c r="AG142" i="11"/>
  <c r="AG141" i="11"/>
  <c r="AG140" i="11"/>
  <c r="AG139" i="11"/>
  <c r="AG138" i="11"/>
  <c r="AG137" i="11"/>
  <c r="AG136" i="11"/>
  <c r="AG135" i="11"/>
  <c r="AG134" i="11"/>
  <c r="AG133" i="11"/>
  <c r="AG132" i="11"/>
  <c r="AG131" i="11"/>
  <c r="AG130" i="11"/>
  <c r="AG129" i="11"/>
  <c r="AG128" i="11"/>
  <c r="AG127" i="11"/>
  <c r="AG126" i="11"/>
  <c r="AG125" i="11"/>
  <c r="AG124" i="11"/>
  <c r="AG123" i="11"/>
  <c r="AG122" i="11"/>
  <c r="AG121" i="11"/>
  <c r="AG120" i="11"/>
  <c r="AG119" i="11"/>
  <c r="AG118" i="11"/>
  <c r="AG117" i="11"/>
  <c r="AG116" i="11"/>
  <c r="AG115" i="11"/>
  <c r="AG114" i="11"/>
  <c r="AG113" i="11"/>
  <c r="AG112" i="11"/>
  <c r="AG111" i="11"/>
  <c r="AG110" i="11"/>
  <c r="AG109" i="11"/>
  <c r="AG108" i="11"/>
  <c r="AG107" i="11"/>
  <c r="AG106" i="11"/>
  <c r="AG105" i="11"/>
  <c r="AG104" i="11"/>
  <c r="AG103" i="11"/>
  <c r="AG102" i="11"/>
  <c r="AG101" i="11"/>
  <c r="AG100" i="11"/>
  <c r="AG99" i="11"/>
  <c r="AG98" i="11"/>
  <c r="AG97" i="11"/>
  <c r="AG96" i="11"/>
  <c r="AG95" i="11"/>
  <c r="AG94" i="11"/>
  <c r="AG93" i="11"/>
  <c r="AG92" i="11"/>
  <c r="AG91" i="11"/>
  <c r="AG90" i="11"/>
  <c r="AG89" i="11"/>
  <c r="AG88" i="11"/>
  <c r="AG87" i="11"/>
  <c r="AG86" i="11"/>
  <c r="AG85" i="11"/>
  <c r="AG84" i="11"/>
  <c r="AG83" i="11"/>
  <c r="AG82" i="11"/>
  <c r="AG81" i="11"/>
  <c r="AG80" i="11"/>
  <c r="AG79" i="11"/>
  <c r="AG78" i="11"/>
  <c r="AG77" i="11"/>
  <c r="AG76" i="11"/>
  <c r="AG75" i="11"/>
  <c r="AG74" i="11"/>
  <c r="AG73" i="11"/>
  <c r="AG72" i="11"/>
  <c r="AG71" i="11"/>
  <c r="AG70" i="11"/>
  <c r="AG69" i="11"/>
  <c r="AG68" i="11"/>
  <c r="AG67" i="11"/>
  <c r="AG66" i="11"/>
  <c r="AG65" i="11"/>
  <c r="AG64" i="11"/>
  <c r="AG63" i="11"/>
  <c r="AG62" i="11"/>
  <c r="AG61" i="11"/>
  <c r="AG60" i="11"/>
  <c r="AG59" i="11"/>
  <c r="AG58" i="11"/>
  <c r="AG57" i="11"/>
  <c r="AG56" i="11"/>
  <c r="AG55" i="11"/>
  <c r="AG54" i="11"/>
  <c r="AG53" i="11"/>
  <c r="AG52" i="11"/>
  <c r="AG51" i="11"/>
  <c r="AG50" i="11"/>
  <c r="AG49" i="11"/>
  <c r="AG48" i="11"/>
  <c r="AG47" i="11"/>
  <c r="AG46" i="11"/>
  <c r="AG45" i="11"/>
  <c r="AG44" i="11"/>
  <c r="AG43" i="11"/>
  <c r="AG42" i="11"/>
  <c r="AG41" i="11"/>
  <c r="AG40" i="11"/>
  <c r="AG39" i="11"/>
  <c r="AG38" i="11"/>
  <c r="AG37" i="11"/>
  <c r="AG36" i="11"/>
  <c r="AG35" i="11"/>
  <c r="AG34" i="11"/>
  <c r="AG33" i="11"/>
  <c r="AG32" i="11"/>
  <c r="AG31" i="11"/>
  <c r="AG30" i="11"/>
  <c r="AG29" i="11"/>
  <c r="AG28" i="11"/>
  <c r="AG27" i="11"/>
  <c r="AG26" i="11"/>
  <c r="AG25" i="11"/>
  <c r="AG24" i="11"/>
  <c r="AG23" i="11"/>
  <c r="AG22" i="11"/>
  <c r="AG21" i="11"/>
  <c r="AG20" i="11"/>
  <c r="AG19" i="11"/>
  <c r="AG18" i="11"/>
  <c r="R17" i="11"/>
  <c r="AG17" i="11"/>
  <c r="AG16" i="11"/>
  <c r="R15" i="11"/>
  <c r="AG15" i="11"/>
  <c r="AG14" i="11"/>
  <c r="AG13" i="11"/>
  <c r="AG12" i="11"/>
  <c r="AG11" i="11"/>
  <c r="R10" i="11"/>
  <c r="AG10" i="11"/>
  <c r="R9" i="11"/>
  <c r="AG9" i="11"/>
  <c r="AG8" i="11"/>
  <c r="AG7" i="11"/>
  <c r="AG6" i="11"/>
  <c r="AG5" i="11"/>
  <c r="AG4" i="11"/>
  <c r="AG3" i="11"/>
  <c r="R2" i="11"/>
  <c r="AG2" i="11"/>
  <c r="D1097" i="11"/>
  <c r="AH1097" i="11"/>
  <c r="G1097" i="11"/>
  <c r="AF1097" i="11"/>
  <c r="AI1097" i="11"/>
  <c r="D1096" i="11"/>
  <c r="AH1096" i="11"/>
  <c r="G1096" i="11"/>
  <c r="AF1096" i="11"/>
  <c r="AI1096" i="11"/>
  <c r="D1095" i="11"/>
  <c r="AH1095" i="11"/>
  <c r="G1095" i="11"/>
  <c r="AF1095" i="11"/>
  <c r="AI1095" i="11"/>
  <c r="D1094" i="11"/>
  <c r="AH1094" i="11"/>
  <c r="G1094" i="11"/>
  <c r="AF1094" i="11"/>
  <c r="AI1094" i="11"/>
  <c r="D1093" i="11"/>
  <c r="AH1093" i="11"/>
  <c r="G1093" i="11"/>
  <c r="AF1093" i="11"/>
  <c r="AI1093" i="11"/>
  <c r="D1092" i="11"/>
  <c r="AH1092" i="11"/>
  <c r="G1092" i="11"/>
  <c r="AF1092" i="11"/>
  <c r="AI1092" i="11"/>
  <c r="D1091" i="11"/>
  <c r="AH1091" i="11"/>
  <c r="G1091" i="11"/>
  <c r="AF1091" i="11"/>
  <c r="AI1091" i="11"/>
  <c r="D1090" i="11"/>
  <c r="AH1090" i="11"/>
  <c r="G1090" i="11"/>
  <c r="AF1090" i="11"/>
  <c r="AI1090" i="11"/>
  <c r="D1089" i="11"/>
  <c r="AH1089" i="11"/>
  <c r="G1089" i="11"/>
  <c r="AF1089" i="11"/>
  <c r="AI1089" i="11"/>
  <c r="D1088" i="11"/>
  <c r="AH1088" i="11"/>
  <c r="G1088" i="11"/>
  <c r="AF1088" i="11"/>
  <c r="AI1088" i="11"/>
  <c r="D1087" i="11"/>
  <c r="AH1087" i="11"/>
  <c r="G1087" i="11"/>
  <c r="AF1087" i="11"/>
  <c r="AI1087" i="11"/>
  <c r="D1086" i="11"/>
  <c r="AH1086" i="11"/>
  <c r="G1086" i="11"/>
  <c r="AF1086" i="11"/>
  <c r="AI1086" i="11"/>
  <c r="D1085" i="11"/>
  <c r="AH1085" i="11"/>
  <c r="G1085" i="11"/>
  <c r="AF1085" i="11"/>
  <c r="AI1085" i="11"/>
  <c r="D1084" i="11"/>
  <c r="AH1084" i="11"/>
  <c r="G1084" i="11"/>
  <c r="AF1084" i="11"/>
  <c r="AI1084" i="11"/>
  <c r="D1083" i="11"/>
  <c r="AH1083" i="11"/>
  <c r="G1083" i="11"/>
  <c r="AF1083" i="11"/>
  <c r="AI1083" i="11"/>
  <c r="D1082" i="11"/>
  <c r="AH1082" i="11"/>
  <c r="G1082" i="11"/>
  <c r="AF1082" i="11"/>
  <c r="AI1082" i="11"/>
  <c r="D1081" i="11"/>
  <c r="AH1081" i="11"/>
  <c r="G1081" i="11"/>
  <c r="AF1081" i="11"/>
  <c r="AI1081" i="11"/>
  <c r="D1080" i="11"/>
  <c r="AH1080" i="11"/>
  <c r="G1080" i="11"/>
  <c r="AF1080" i="11"/>
  <c r="AI1080" i="11"/>
  <c r="D1079" i="11"/>
  <c r="AH1079" i="11"/>
  <c r="G1079" i="11"/>
  <c r="AF1079" i="11"/>
  <c r="AI1079" i="11"/>
  <c r="D1078" i="11"/>
  <c r="AH1078" i="11"/>
  <c r="G1078" i="11"/>
  <c r="AF1078" i="11"/>
  <c r="AI1078" i="11"/>
  <c r="D1077" i="11"/>
  <c r="AH1077" i="11"/>
  <c r="G1077" i="11"/>
  <c r="AF1077" i="11"/>
  <c r="AI1077" i="11"/>
  <c r="D1076" i="11"/>
  <c r="AH1076" i="11"/>
  <c r="G1076" i="11"/>
  <c r="AF1076" i="11"/>
  <c r="AI1076" i="11"/>
  <c r="D1075" i="11"/>
  <c r="AH1075" i="11"/>
  <c r="G1075" i="11"/>
  <c r="AF1075" i="11"/>
  <c r="AI1075" i="11"/>
  <c r="D1074" i="11"/>
  <c r="AH1074" i="11"/>
  <c r="G1074" i="11"/>
  <c r="AF1074" i="11"/>
  <c r="AI1074" i="11"/>
  <c r="D1073" i="11"/>
  <c r="AH1073" i="11"/>
  <c r="G1073" i="11"/>
  <c r="AF1073" i="11"/>
  <c r="AI1073" i="11"/>
  <c r="D1072" i="11"/>
  <c r="AH1072" i="11"/>
  <c r="G1072" i="11"/>
  <c r="AF1072" i="11"/>
  <c r="AI1072" i="11"/>
  <c r="D1066" i="11"/>
  <c r="AH1066" i="11"/>
  <c r="G1066" i="11"/>
  <c r="AF1066" i="11"/>
  <c r="AI1066" i="11"/>
  <c r="D1065" i="11"/>
  <c r="AH1065" i="11"/>
  <c r="G1065" i="11"/>
  <c r="AF1065" i="11"/>
  <c r="AI1065" i="11"/>
  <c r="D1064" i="11"/>
  <c r="AH1064" i="11"/>
  <c r="G1064" i="11"/>
  <c r="AF1064" i="11"/>
  <c r="AI1064" i="11"/>
  <c r="D1063" i="11"/>
  <c r="AH1063" i="11"/>
  <c r="G1063" i="11"/>
  <c r="AF1063" i="11"/>
  <c r="AI1063" i="11"/>
  <c r="D1062" i="11"/>
  <c r="AH1062" i="11"/>
  <c r="G1062" i="11"/>
  <c r="AF1062" i="11"/>
  <c r="AI1062" i="11"/>
  <c r="D1061" i="11"/>
  <c r="AH1061" i="11"/>
  <c r="G1061" i="11"/>
  <c r="AF1061" i="11"/>
  <c r="AI1061" i="11"/>
  <c r="D1060" i="11"/>
  <c r="AH1060" i="11"/>
  <c r="G1060" i="11"/>
  <c r="AF1060" i="11"/>
  <c r="AI1060" i="11"/>
  <c r="D1059" i="11"/>
  <c r="AH1059" i="11"/>
  <c r="G1059" i="11"/>
  <c r="AF1059" i="11"/>
  <c r="AI1059" i="11"/>
  <c r="D1058" i="11"/>
  <c r="AH1058" i="11"/>
  <c r="G1058" i="11"/>
  <c r="AF1058" i="11"/>
  <c r="AI1058" i="11"/>
  <c r="D1057" i="11"/>
  <c r="AH1057" i="11"/>
  <c r="G1057" i="11"/>
  <c r="AF1057" i="11"/>
  <c r="AI1057" i="11"/>
  <c r="D1056" i="11"/>
  <c r="AH1056" i="11"/>
  <c r="G1056" i="11"/>
  <c r="AF1056" i="11"/>
  <c r="AI1056" i="11"/>
  <c r="D1055" i="11"/>
  <c r="AH1055" i="11"/>
  <c r="G1055" i="11"/>
  <c r="AF1055" i="11"/>
  <c r="AI1055" i="11"/>
  <c r="D1054" i="11"/>
  <c r="AH1054" i="11"/>
  <c r="G1054" i="11"/>
  <c r="AF1054" i="11"/>
  <c r="AI1054" i="11"/>
  <c r="D1053" i="11"/>
  <c r="AH1053" i="11"/>
  <c r="G1053" i="11"/>
  <c r="AF1053" i="11"/>
  <c r="AI1053" i="11"/>
  <c r="D1052" i="11"/>
  <c r="AH1052" i="11"/>
  <c r="G1052" i="11"/>
  <c r="AF1052" i="11"/>
  <c r="AI1052" i="11"/>
  <c r="D1051" i="11"/>
  <c r="AH1051" i="11"/>
  <c r="G1051" i="11"/>
  <c r="AF1051" i="11"/>
  <c r="AI1051" i="11"/>
  <c r="D1050" i="11"/>
  <c r="AH1050" i="11"/>
  <c r="G1050" i="11"/>
  <c r="AF1050" i="11"/>
  <c r="AI1050" i="11"/>
  <c r="D1049" i="11"/>
  <c r="AH1049" i="11"/>
  <c r="G1049" i="11"/>
  <c r="AF1049" i="11"/>
  <c r="AI1049" i="11"/>
  <c r="D1048" i="11"/>
  <c r="AH1048" i="11"/>
  <c r="G1048" i="11"/>
  <c r="AF1048" i="11"/>
  <c r="AI1048" i="11"/>
  <c r="D1047" i="11"/>
  <c r="AH1047" i="11"/>
  <c r="G1047" i="11"/>
  <c r="AF1047" i="11"/>
  <c r="AI1047" i="11"/>
  <c r="D1046" i="11"/>
  <c r="AH1046" i="11"/>
  <c r="G1046" i="11"/>
  <c r="AF1046" i="11"/>
  <c r="AI1046" i="11"/>
  <c r="D1045" i="11"/>
  <c r="AH1045" i="11"/>
  <c r="G1045" i="11"/>
  <c r="AF1045" i="11"/>
  <c r="AI1045" i="11"/>
  <c r="D1044" i="11"/>
  <c r="AH1044" i="11"/>
  <c r="G1044" i="11"/>
  <c r="AF1044" i="11"/>
  <c r="AI1044" i="11"/>
  <c r="D1043" i="11"/>
  <c r="AH1043" i="11"/>
  <c r="G1043" i="11"/>
  <c r="AF1043" i="11"/>
  <c r="AI1043" i="11"/>
  <c r="D1042" i="11"/>
  <c r="AH1042" i="11"/>
  <c r="G1042" i="11"/>
  <c r="AF1042" i="11"/>
  <c r="AI1042" i="11"/>
  <c r="D1041" i="11"/>
  <c r="AH1041" i="11"/>
  <c r="G1041" i="11"/>
  <c r="AF1041" i="11"/>
  <c r="AI1041" i="11"/>
  <c r="D1040" i="11"/>
  <c r="AH1040" i="11"/>
  <c r="G1040" i="11"/>
  <c r="AF1040" i="11"/>
  <c r="AI1040" i="11"/>
  <c r="D1039" i="11"/>
  <c r="AH1039" i="11"/>
  <c r="G1039" i="11"/>
  <c r="AF1039" i="11"/>
  <c r="AI1039" i="11"/>
  <c r="D1038" i="11"/>
  <c r="AH1038" i="11"/>
  <c r="G1038" i="11"/>
  <c r="AF1038" i="11"/>
  <c r="AI1038" i="11"/>
  <c r="D1037" i="11"/>
  <c r="AH1037" i="11"/>
  <c r="G1037" i="11"/>
  <c r="AF1037" i="11"/>
  <c r="AI1037" i="11"/>
  <c r="D1036" i="11"/>
  <c r="AH1036" i="11"/>
  <c r="G1036" i="11"/>
  <c r="AF1036" i="11"/>
  <c r="AI1036" i="11"/>
  <c r="D1035" i="11"/>
  <c r="AH1035" i="11"/>
  <c r="G1035" i="11"/>
  <c r="AF1035" i="11"/>
  <c r="AI1035" i="11"/>
  <c r="D1034" i="11"/>
  <c r="AH1034" i="11"/>
  <c r="G1034" i="11"/>
  <c r="AF1034" i="11"/>
  <c r="AI1034" i="11"/>
  <c r="D1033" i="11"/>
  <c r="AH1033" i="11"/>
  <c r="G1033" i="11"/>
  <c r="AF1033" i="11"/>
  <c r="AI1033" i="11"/>
  <c r="D1032" i="11"/>
  <c r="AH1032" i="11"/>
  <c r="G1032" i="11"/>
  <c r="AF1032" i="11"/>
  <c r="AI1032" i="11"/>
  <c r="D1031" i="11"/>
  <c r="AH1031" i="11"/>
  <c r="G1031" i="11"/>
  <c r="AF1031" i="11"/>
  <c r="AI1031" i="11"/>
  <c r="D1030" i="11"/>
  <c r="AH1030" i="11"/>
  <c r="G1030" i="11"/>
  <c r="AF1030" i="11"/>
  <c r="AI1030" i="11"/>
  <c r="D1029" i="11"/>
  <c r="AH1029" i="11"/>
  <c r="G1029" i="11"/>
  <c r="AF1029" i="11"/>
  <c r="AI1029" i="11"/>
  <c r="D1028" i="11"/>
  <c r="AH1028" i="11"/>
  <c r="G1028" i="11"/>
  <c r="AF1028" i="11"/>
  <c r="AI1028" i="11"/>
  <c r="D1027" i="11"/>
  <c r="AH1027" i="11"/>
  <c r="G1027" i="11"/>
  <c r="AF1027" i="11"/>
  <c r="AI1027" i="11"/>
  <c r="D1026" i="11"/>
  <c r="AH1026" i="11"/>
  <c r="G1026" i="11"/>
  <c r="AF1026" i="11"/>
  <c r="AI1026" i="11"/>
  <c r="D1025" i="11"/>
  <c r="AH1025" i="11"/>
  <c r="G1025" i="11"/>
  <c r="AF1025" i="11"/>
  <c r="AI1025" i="11"/>
  <c r="D1024" i="11"/>
  <c r="AH1024" i="11"/>
  <c r="G1024" i="11"/>
  <c r="AF1024" i="11"/>
  <c r="AI1024" i="11"/>
  <c r="D1023" i="11"/>
  <c r="AH1023" i="11"/>
  <c r="G1023" i="11"/>
  <c r="AF1023" i="11"/>
  <c r="AI1023" i="11"/>
  <c r="D1022" i="11"/>
  <c r="AH1022" i="11"/>
  <c r="G1022" i="11"/>
  <c r="AF1022" i="11"/>
  <c r="AI1022" i="11"/>
  <c r="D1021" i="11"/>
  <c r="AH1021" i="11"/>
  <c r="G1021" i="11"/>
  <c r="AF1021" i="11"/>
  <c r="AI1021" i="11"/>
  <c r="D1020" i="11"/>
  <c r="AH1020" i="11"/>
  <c r="G1020" i="11"/>
  <c r="AF1020" i="11"/>
  <c r="AI1020" i="11"/>
  <c r="D1019" i="11"/>
  <c r="AH1019" i="11"/>
  <c r="G1019" i="11"/>
  <c r="AF1019" i="11"/>
  <c r="AI1019" i="11"/>
  <c r="D1018" i="11"/>
  <c r="AH1018" i="11"/>
  <c r="G1018" i="11"/>
  <c r="AF1018" i="11"/>
  <c r="AI1018" i="11"/>
  <c r="D1017" i="11"/>
  <c r="AH1017" i="11"/>
  <c r="G1017" i="11"/>
  <c r="AF1017" i="11"/>
  <c r="AI1017" i="11"/>
  <c r="D1016" i="11"/>
  <c r="AH1016" i="11"/>
  <c r="G1016" i="11"/>
  <c r="AF1016" i="11"/>
  <c r="AI1016" i="11"/>
  <c r="D1015" i="11"/>
  <c r="AH1015" i="11"/>
  <c r="G1015" i="11"/>
  <c r="AF1015" i="11"/>
  <c r="AI1015" i="11"/>
  <c r="D1014" i="11"/>
  <c r="AH1014" i="11"/>
  <c r="G1014" i="11"/>
  <c r="AF1014" i="11"/>
  <c r="AI1014" i="11"/>
  <c r="D1013" i="11"/>
  <c r="AH1013" i="11"/>
  <c r="G1013" i="11"/>
  <c r="AF1013" i="11"/>
  <c r="AI1013" i="11"/>
  <c r="D1012" i="11"/>
  <c r="AH1012" i="11"/>
  <c r="G1012" i="11"/>
  <c r="AF1012" i="11"/>
  <c r="AI1012" i="11"/>
  <c r="D1011" i="11"/>
  <c r="AH1011" i="11"/>
  <c r="G1011" i="11"/>
  <c r="AF1011" i="11"/>
  <c r="AI1011" i="11"/>
  <c r="D1010" i="11"/>
  <c r="AH1010" i="11"/>
  <c r="G1010" i="11"/>
  <c r="AF1010" i="11"/>
  <c r="AI1010" i="11"/>
  <c r="D1009" i="11"/>
  <c r="AH1009" i="11"/>
  <c r="G1009" i="11"/>
  <c r="AF1009" i="11"/>
  <c r="AI1009" i="11"/>
  <c r="D1008" i="11"/>
  <c r="AH1008" i="11"/>
  <c r="G1008" i="11"/>
  <c r="AF1008" i="11"/>
  <c r="AI1008" i="11"/>
  <c r="D1007" i="11"/>
  <c r="AH1007" i="11"/>
  <c r="G1007" i="11"/>
  <c r="AF1007" i="11"/>
  <c r="AI1007" i="11"/>
  <c r="D1006" i="11"/>
  <c r="AH1006" i="11"/>
  <c r="G1006" i="11"/>
  <c r="AF1006" i="11"/>
  <c r="AI1006" i="11"/>
  <c r="D1005" i="11"/>
  <c r="AH1005" i="11"/>
  <c r="G1005" i="11"/>
  <c r="AF1005" i="11"/>
  <c r="AI1005" i="11"/>
  <c r="D1004" i="11"/>
  <c r="AH1004" i="11"/>
  <c r="G1004" i="11"/>
  <c r="AF1004" i="11"/>
  <c r="AI1004" i="11"/>
  <c r="D1003" i="11"/>
  <c r="AH1003" i="11"/>
  <c r="G1003" i="11"/>
  <c r="AF1003" i="11"/>
  <c r="AI1003" i="11"/>
  <c r="D1002" i="11"/>
  <c r="AH1002" i="11"/>
  <c r="G1002" i="11"/>
  <c r="AF1002" i="11"/>
  <c r="AI1002" i="11"/>
  <c r="D1001" i="11"/>
  <c r="AH1001" i="11"/>
  <c r="G1001" i="11"/>
  <c r="AF1001" i="11"/>
  <c r="AI1001" i="11"/>
  <c r="D1000" i="11"/>
  <c r="AH1000" i="11"/>
  <c r="G1000" i="11"/>
  <c r="AF1000" i="11"/>
  <c r="AI1000" i="11"/>
  <c r="D999" i="11"/>
  <c r="AH999" i="11"/>
  <c r="G999" i="11"/>
  <c r="AF999" i="11"/>
  <c r="AI999" i="11"/>
  <c r="D998" i="11"/>
  <c r="AH998" i="11"/>
  <c r="G998" i="11"/>
  <c r="AF998" i="11"/>
  <c r="AI998" i="11"/>
  <c r="D997" i="11"/>
  <c r="AH997" i="11"/>
  <c r="G997" i="11"/>
  <c r="AF997" i="11"/>
  <c r="AI997" i="11"/>
  <c r="D996" i="11"/>
  <c r="AH996" i="11"/>
  <c r="G996" i="11"/>
  <c r="AF996" i="11"/>
  <c r="AI996" i="11"/>
  <c r="D995" i="11"/>
  <c r="AH995" i="11"/>
  <c r="G995" i="11"/>
  <c r="AF995" i="11"/>
  <c r="AI995" i="11"/>
  <c r="D994" i="11"/>
  <c r="AH994" i="11"/>
  <c r="G994" i="11"/>
  <c r="AF994" i="11"/>
  <c r="AI994" i="11"/>
  <c r="D993" i="11"/>
  <c r="AH993" i="11"/>
  <c r="G993" i="11"/>
  <c r="AF993" i="11"/>
  <c r="AI993" i="11"/>
  <c r="D992" i="11"/>
  <c r="AH992" i="11"/>
  <c r="G992" i="11"/>
  <c r="AF992" i="11"/>
  <c r="AI992" i="11"/>
  <c r="D991" i="11"/>
  <c r="AH991" i="11"/>
  <c r="G991" i="11"/>
  <c r="AF991" i="11"/>
  <c r="AI991" i="11"/>
  <c r="D990" i="11"/>
  <c r="AH990" i="11"/>
  <c r="G990" i="11"/>
  <c r="AF990" i="11"/>
  <c r="AI990" i="11"/>
  <c r="D989" i="11"/>
  <c r="AH989" i="11"/>
  <c r="G989" i="11"/>
  <c r="AF989" i="11"/>
  <c r="AI989" i="11"/>
  <c r="D988" i="11"/>
  <c r="AH988" i="11"/>
  <c r="G988" i="11"/>
  <c r="AF988" i="11"/>
  <c r="AI988" i="11"/>
  <c r="D987" i="11"/>
  <c r="AH987" i="11"/>
  <c r="G987" i="11"/>
  <c r="AF987" i="11"/>
  <c r="AI987" i="11"/>
  <c r="D986" i="11"/>
  <c r="AH986" i="11"/>
  <c r="G986" i="11"/>
  <c r="AF986" i="11"/>
  <c r="AI986" i="11"/>
  <c r="D985" i="11"/>
  <c r="AH985" i="11"/>
  <c r="G985" i="11"/>
  <c r="AF985" i="11"/>
  <c r="AI985" i="11"/>
  <c r="D984" i="11"/>
  <c r="AH984" i="11"/>
  <c r="G984" i="11"/>
  <c r="AF984" i="11"/>
  <c r="AI984" i="11"/>
  <c r="D983" i="11"/>
  <c r="AH983" i="11"/>
  <c r="G983" i="11"/>
  <c r="AF983" i="11"/>
  <c r="AI983" i="11"/>
  <c r="D982" i="11"/>
  <c r="AH982" i="11"/>
  <c r="G982" i="11"/>
  <c r="AF982" i="11"/>
  <c r="AI982" i="11"/>
  <c r="D981" i="11"/>
  <c r="AH981" i="11"/>
  <c r="G981" i="11"/>
  <c r="AF981" i="11"/>
  <c r="AI981" i="11"/>
  <c r="D980" i="11"/>
  <c r="AH980" i="11"/>
  <c r="G980" i="11"/>
  <c r="AF980" i="11"/>
  <c r="AI980" i="11"/>
  <c r="D979" i="11"/>
  <c r="AH979" i="11"/>
  <c r="G979" i="11"/>
  <c r="AF979" i="11"/>
  <c r="AI979" i="11"/>
  <c r="D978" i="11"/>
  <c r="AH978" i="11"/>
  <c r="G978" i="11"/>
  <c r="AF978" i="11"/>
  <c r="AI978" i="11"/>
  <c r="D977" i="11"/>
  <c r="AH977" i="11"/>
  <c r="G977" i="11"/>
  <c r="AF977" i="11"/>
  <c r="AI977" i="11"/>
  <c r="D976" i="11"/>
  <c r="AH976" i="11"/>
  <c r="G976" i="11"/>
  <c r="AF976" i="11"/>
  <c r="AI976" i="11"/>
  <c r="D975" i="11"/>
  <c r="AH975" i="11"/>
  <c r="G975" i="11"/>
  <c r="AF975" i="11"/>
  <c r="AI975" i="11"/>
  <c r="D974" i="11"/>
  <c r="AH974" i="11"/>
  <c r="G974" i="11"/>
  <c r="AF974" i="11"/>
  <c r="AI974" i="11"/>
  <c r="D973" i="11"/>
  <c r="AH973" i="11"/>
  <c r="G973" i="11"/>
  <c r="AF973" i="11"/>
  <c r="AI973" i="11"/>
  <c r="D972" i="11"/>
  <c r="AH972" i="11"/>
  <c r="G972" i="11"/>
  <c r="AF972" i="11"/>
  <c r="AI972" i="11"/>
  <c r="D971" i="11"/>
  <c r="AH971" i="11"/>
  <c r="G971" i="11"/>
  <c r="AF971" i="11"/>
  <c r="AI971" i="11"/>
  <c r="D970" i="11"/>
  <c r="AH970" i="11"/>
  <c r="G970" i="11"/>
  <c r="AF970" i="11"/>
  <c r="AI970" i="11"/>
  <c r="D969" i="11"/>
  <c r="AH969" i="11"/>
  <c r="G969" i="11"/>
  <c r="AF969" i="11"/>
  <c r="AI969" i="11"/>
  <c r="D968" i="11"/>
  <c r="AH968" i="11"/>
  <c r="G968" i="11"/>
  <c r="AF968" i="11"/>
  <c r="AI968" i="11"/>
  <c r="D967" i="11"/>
  <c r="AH967" i="11"/>
  <c r="G967" i="11"/>
  <c r="AF967" i="11"/>
  <c r="AI967" i="11"/>
  <c r="D966" i="11"/>
  <c r="AH966" i="11"/>
  <c r="G966" i="11"/>
  <c r="AF966" i="11"/>
  <c r="AI966" i="11"/>
  <c r="D965" i="11"/>
  <c r="AH965" i="11"/>
  <c r="G965" i="11"/>
  <c r="AF965" i="11"/>
  <c r="AI965" i="11"/>
  <c r="D964" i="11"/>
  <c r="AH964" i="11"/>
  <c r="G964" i="11"/>
  <c r="AF964" i="11"/>
  <c r="AI964" i="11"/>
  <c r="D963" i="11"/>
  <c r="AH963" i="11"/>
  <c r="G963" i="11"/>
  <c r="AF963" i="11"/>
  <c r="AI963" i="11"/>
  <c r="D962" i="11"/>
  <c r="AH962" i="11"/>
  <c r="G962" i="11"/>
  <c r="AF962" i="11"/>
  <c r="AI962" i="11"/>
  <c r="D961" i="11"/>
  <c r="AH961" i="11"/>
  <c r="G961" i="11"/>
  <c r="AF961" i="11"/>
  <c r="AI961" i="11"/>
  <c r="D960" i="11"/>
  <c r="AH960" i="11"/>
  <c r="G960" i="11"/>
  <c r="AF960" i="11"/>
  <c r="AI960" i="11"/>
  <c r="D959" i="11"/>
  <c r="AH959" i="11"/>
  <c r="G959" i="11"/>
  <c r="AF959" i="11"/>
  <c r="AI959" i="11"/>
  <c r="D958" i="11"/>
  <c r="AH958" i="11"/>
  <c r="G958" i="11"/>
  <c r="AF958" i="11"/>
  <c r="AI958" i="11"/>
  <c r="D957" i="11"/>
  <c r="AH957" i="11"/>
  <c r="G957" i="11"/>
  <c r="AF957" i="11"/>
  <c r="AI957" i="11"/>
  <c r="D956" i="11"/>
  <c r="AH956" i="11"/>
  <c r="G956" i="11"/>
  <c r="AF956" i="11"/>
  <c r="AI956" i="11"/>
  <c r="D955" i="11"/>
  <c r="AH955" i="11"/>
  <c r="G955" i="11"/>
  <c r="AF955" i="11"/>
  <c r="AI955" i="11"/>
  <c r="D954" i="11"/>
  <c r="AH954" i="11"/>
  <c r="G954" i="11"/>
  <c r="AF954" i="11"/>
  <c r="AI954" i="11"/>
  <c r="D953" i="11"/>
  <c r="AH953" i="11"/>
  <c r="G953" i="11"/>
  <c r="AF953" i="11"/>
  <c r="AI953" i="11"/>
  <c r="D952" i="11"/>
  <c r="AH952" i="11"/>
  <c r="G952" i="11"/>
  <c r="AF952" i="11"/>
  <c r="AI952" i="11"/>
  <c r="D951" i="11"/>
  <c r="AH951" i="11"/>
  <c r="G951" i="11"/>
  <c r="AF951" i="11"/>
  <c r="AI951" i="11"/>
  <c r="D950" i="11"/>
  <c r="AH950" i="11"/>
  <c r="G950" i="11"/>
  <c r="AF950" i="11"/>
  <c r="AI950" i="11"/>
  <c r="D949" i="11"/>
  <c r="AH949" i="11"/>
  <c r="G949" i="11"/>
  <c r="AF949" i="11"/>
  <c r="AI949" i="11"/>
  <c r="D948" i="11"/>
  <c r="AH948" i="11"/>
  <c r="G948" i="11"/>
  <c r="AF948" i="11"/>
  <c r="AI948" i="11"/>
  <c r="D947" i="11"/>
  <c r="AH947" i="11"/>
  <c r="G947" i="11"/>
  <c r="AF947" i="11"/>
  <c r="AI947" i="11"/>
  <c r="D946" i="11"/>
  <c r="AH946" i="11"/>
  <c r="G946" i="11"/>
  <c r="AF946" i="11"/>
  <c r="AI946" i="11"/>
  <c r="D945" i="11"/>
  <c r="AH945" i="11"/>
  <c r="G945" i="11"/>
  <c r="AF945" i="11"/>
  <c r="AI945" i="11"/>
  <c r="D944" i="11"/>
  <c r="AH944" i="11"/>
  <c r="G944" i="11"/>
  <c r="AF944" i="11"/>
  <c r="AI944" i="11"/>
  <c r="D943" i="11"/>
  <c r="AH943" i="11"/>
  <c r="G943" i="11"/>
  <c r="AF943" i="11"/>
  <c r="AI943" i="11"/>
  <c r="D942" i="11"/>
  <c r="AH942" i="11"/>
  <c r="G942" i="11"/>
  <c r="AF942" i="11"/>
  <c r="AI942" i="11"/>
  <c r="D941" i="11"/>
  <c r="AH941" i="11"/>
  <c r="G941" i="11"/>
  <c r="AF941" i="11"/>
  <c r="AI941" i="11"/>
  <c r="D940" i="11"/>
  <c r="AH940" i="11"/>
  <c r="G940" i="11"/>
  <c r="AF940" i="11"/>
  <c r="AI940" i="11"/>
  <c r="D939" i="11"/>
  <c r="AH939" i="11"/>
  <c r="G939" i="11"/>
  <c r="AF939" i="11"/>
  <c r="AI939" i="11"/>
  <c r="D938" i="11"/>
  <c r="AH938" i="11"/>
  <c r="G938" i="11"/>
  <c r="AF938" i="11"/>
  <c r="AI938" i="11"/>
  <c r="D937" i="11"/>
  <c r="AH937" i="11"/>
  <c r="G937" i="11"/>
  <c r="AF937" i="11"/>
  <c r="AI937" i="11"/>
  <c r="D936" i="11"/>
  <c r="AH936" i="11"/>
  <c r="G936" i="11"/>
  <c r="AF936" i="11"/>
  <c r="AI936" i="11"/>
  <c r="D935" i="11"/>
  <c r="AH935" i="11"/>
  <c r="G935" i="11"/>
  <c r="AF935" i="11"/>
  <c r="AI935" i="11"/>
  <c r="D934" i="11"/>
  <c r="AH934" i="11"/>
  <c r="G934" i="11"/>
  <c r="AF934" i="11"/>
  <c r="AI934" i="11"/>
  <c r="D932" i="11"/>
  <c r="AH932" i="11"/>
  <c r="G932" i="11"/>
  <c r="AF932" i="11"/>
  <c r="AI932" i="11"/>
  <c r="D931" i="11"/>
  <c r="AH931" i="11"/>
  <c r="G931" i="11"/>
  <c r="AF931" i="11"/>
  <c r="AI931" i="11"/>
  <c r="D930" i="11"/>
  <c r="AH930" i="11"/>
  <c r="G930" i="11"/>
  <c r="AF930" i="11"/>
  <c r="AI930" i="11"/>
  <c r="D929" i="11"/>
  <c r="AH929" i="11"/>
  <c r="G929" i="11"/>
  <c r="AF929" i="11"/>
  <c r="AI929" i="11"/>
  <c r="D928" i="11"/>
  <c r="AH928" i="11"/>
  <c r="G928" i="11"/>
  <c r="AF928" i="11"/>
  <c r="AI928" i="11"/>
  <c r="D927" i="11"/>
  <c r="AH927" i="11"/>
  <c r="G927" i="11"/>
  <c r="AF927" i="11"/>
  <c r="AI927" i="11"/>
  <c r="D926" i="11"/>
  <c r="AH926" i="11"/>
  <c r="G926" i="11"/>
  <c r="AF926" i="11"/>
  <c r="AI926" i="11"/>
  <c r="D925" i="11"/>
  <c r="AH925" i="11"/>
  <c r="G925" i="11"/>
  <c r="AF925" i="11"/>
  <c r="AI925" i="11"/>
  <c r="D924" i="11"/>
  <c r="AH924" i="11"/>
  <c r="G924" i="11"/>
  <c r="AF924" i="11"/>
  <c r="AI924" i="11"/>
  <c r="D923" i="11"/>
  <c r="AH923" i="11"/>
  <c r="G923" i="11"/>
  <c r="AF923" i="11"/>
  <c r="AI923" i="11"/>
  <c r="D922" i="11"/>
  <c r="AH922" i="11"/>
  <c r="G922" i="11"/>
  <c r="AF922" i="11"/>
  <c r="AI922" i="11"/>
  <c r="D921" i="11"/>
  <c r="AH921" i="11"/>
  <c r="G921" i="11"/>
  <c r="AF921" i="11"/>
  <c r="AI921" i="11"/>
  <c r="D920" i="11"/>
  <c r="AH920" i="11"/>
  <c r="G920" i="11"/>
  <c r="AF920" i="11"/>
  <c r="AI920" i="11"/>
  <c r="D919" i="11"/>
  <c r="AH919" i="11"/>
  <c r="G919" i="11"/>
  <c r="AF919" i="11"/>
  <c r="AI919" i="11"/>
  <c r="D918" i="11"/>
  <c r="AH918" i="11"/>
  <c r="G918" i="11"/>
  <c r="AF918" i="11"/>
  <c r="AI918" i="11"/>
  <c r="D917" i="11"/>
  <c r="AH917" i="11"/>
  <c r="G917" i="11"/>
  <c r="AF917" i="11"/>
  <c r="AI917" i="11"/>
  <c r="D916" i="11"/>
  <c r="AH916" i="11"/>
  <c r="G916" i="11"/>
  <c r="AF916" i="11"/>
  <c r="AI916" i="11"/>
  <c r="D915" i="11"/>
  <c r="AH915" i="11"/>
  <c r="G915" i="11"/>
  <c r="AF915" i="11"/>
  <c r="AI915" i="11"/>
  <c r="D914" i="11"/>
  <c r="AH914" i="11"/>
  <c r="G914" i="11"/>
  <c r="AF914" i="11"/>
  <c r="AI914" i="11"/>
  <c r="D913" i="11"/>
  <c r="AH913" i="11"/>
  <c r="G913" i="11"/>
  <c r="AF913" i="11"/>
  <c r="AI913" i="11"/>
  <c r="D912" i="11"/>
  <c r="AH912" i="11"/>
  <c r="G912" i="11"/>
  <c r="AF912" i="11"/>
  <c r="AI912" i="11"/>
  <c r="D911" i="11"/>
  <c r="AH911" i="11"/>
  <c r="G911" i="11"/>
  <c r="AF911" i="11"/>
  <c r="AI911" i="11"/>
  <c r="D910" i="11"/>
  <c r="AH910" i="11"/>
  <c r="G910" i="11"/>
  <c r="AF910" i="11"/>
  <c r="AI910" i="11"/>
  <c r="D909" i="11"/>
  <c r="AH909" i="11"/>
  <c r="G909" i="11"/>
  <c r="AF909" i="11"/>
  <c r="AI909" i="11"/>
  <c r="D908" i="11"/>
  <c r="AH908" i="11"/>
  <c r="G908" i="11"/>
  <c r="AF908" i="11"/>
  <c r="AI908" i="11"/>
  <c r="D907" i="11"/>
  <c r="AH907" i="11"/>
  <c r="G907" i="11"/>
  <c r="AF907" i="11"/>
  <c r="AI907" i="11"/>
  <c r="D906" i="11"/>
  <c r="AH906" i="11"/>
  <c r="G906" i="11"/>
  <c r="AF906" i="11"/>
  <c r="AI906" i="11"/>
  <c r="D905" i="11"/>
  <c r="AH905" i="11"/>
  <c r="G905" i="11"/>
  <c r="AF905" i="11"/>
  <c r="AI905" i="11"/>
  <c r="D904" i="11"/>
  <c r="AH904" i="11"/>
  <c r="G904" i="11"/>
  <c r="AF904" i="11"/>
  <c r="AI904" i="11"/>
  <c r="D903" i="11"/>
  <c r="AH903" i="11"/>
  <c r="G903" i="11"/>
  <c r="AF903" i="11"/>
  <c r="AI903" i="11"/>
  <c r="D902" i="11"/>
  <c r="AH902" i="11"/>
  <c r="G902" i="11"/>
  <c r="AF902" i="11"/>
  <c r="AI902" i="11"/>
  <c r="D901" i="11"/>
  <c r="AH901" i="11"/>
  <c r="G901" i="11"/>
  <c r="AF901" i="11"/>
  <c r="AI901" i="11"/>
  <c r="D900" i="11"/>
  <c r="AH900" i="11"/>
  <c r="G900" i="11"/>
  <c r="AF900" i="11"/>
  <c r="AI900" i="11"/>
  <c r="D899" i="11"/>
  <c r="AH899" i="11"/>
  <c r="G899" i="11"/>
  <c r="AF899" i="11"/>
  <c r="AI899" i="11"/>
  <c r="D898" i="11"/>
  <c r="AH898" i="11"/>
  <c r="G898" i="11"/>
  <c r="AF898" i="11"/>
  <c r="AI898" i="11"/>
  <c r="D897" i="11"/>
  <c r="AH897" i="11"/>
  <c r="G897" i="11"/>
  <c r="AF897" i="11"/>
  <c r="AI897" i="11"/>
  <c r="D896" i="11"/>
  <c r="AH896" i="11"/>
  <c r="G896" i="11"/>
  <c r="AF896" i="11"/>
  <c r="AI896" i="11"/>
  <c r="D895" i="11"/>
  <c r="AH895" i="11"/>
  <c r="G895" i="11"/>
  <c r="AF895" i="11"/>
  <c r="AI895" i="11"/>
  <c r="D894" i="11"/>
  <c r="AH894" i="11"/>
  <c r="G894" i="11"/>
  <c r="AF894" i="11"/>
  <c r="AI894" i="11"/>
  <c r="D893" i="11"/>
  <c r="AH893" i="11"/>
  <c r="G893" i="11"/>
  <c r="AF893" i="11"/>
  <c r="AI893" i="11"/>
  <c r="D892" i="11"/>
  <c r="AH892" i="11"/>
  <c r="G892" i="11"/>
  <c r="AF892" i="11"/>
  <c r="AI892" i="11"/>
  <c r="D891" i="11"/>
  <c r="AH891" i="11"/>
  <c r="G891" i="11"/>
  <c r="AF891" i="11"/>
  <c r="AI891" i="11"/>
  <c r="D890" i="11"/>
  <c r="AH890" i="11"/>
  <c r="G890" i="11"/>
  <c r="AF890" i="11"/>
  <c r="AI890" i="11"/>
  <c r="D889" i="11"/>
  <c r="AH889" i="11"/>
  <c r="G889" i="11"/>
  <c r="AF889" i="11"/>
  <c r="AI889" i="11"/>
  <c r="D888" i="11"/>
  <c r="AH888" i="11"/>
  <c r="G888" i="11"/>
  <c r="AF888" i="11"/>
  <c r="AI888" i="11"/>
  <c r="D887" i="11"/>
  <c r="AH887" i="11"/>
  <c r="G887" i="11"/>
  <c r="AF887" i="11"/>
  <c r="AI887" i="11"/>
  <c r="D886" i="11"/>
  <c r="AH886" i="11"/>
  <c r="G886" i="11"/>
  <c r="AF886" i="11"/>
  <c r="AI886" i="11"/>
  <c r="D885" i="11"/>
  <c r="AH885" i="11"/>
  <c r="G885" i="11"/>
  <c r="AF885" i="11"/>
  <c r="AI885" i="11"/>
  <c r="D884" i="11"/>
  <c r="AH884" i="11"/>
  <c r="G884" i="11"/>
  <c r="AF884" i="11"/>
  <c r="AI884" i="11"/>
  <c r="D883" i="11"/>
  <c r="AH883" i="11"/>
  <c r="G883" i="11"/>
  <c r="AF883" i="11"/>
  <c r="AI883" i="11"/>
  <c r="D882" i="11"/>
  <c r="AH882" i="11"/>
  <c r="G882" i="11"/>
  <c r="AF882" i="11"/>
  <c r="AI882" i="11"/>
  <c r="D881" i="11"/>
  <c r="AH881" i="11"/>
  <c r="G881" i="11"/>
  <c r="AF881" i="11"/>
  <c r="AI881" i="11"/>
  <c r="D880" i="11"/>
  <c r="AH880" i="11"/>
  <c r="G880" i="11"/>
  <c r="AF880" i="11"/>
  <c r="AI880" i="11"/>
  <c r="D879" i="11"/>
  <c r="AH879" i="11"/>
  <c r="G879" i="11"/>
  <c r="AF879" i="11"/>
  <c r="AI879" i="11"/>
  <c r="D878" i="11"/>
  <c r="AH878" i="11"/>
  <c r="G878" i="11"/>
  <c r="AF878" i="11"/>
  <c r="AI878" i="11"/>
  <c r="D877" i="11"/>
  <c r="AH877" i="11"/>
  <c r="G877" i="11"/>
  <c r="AF877" i="11"/>
  <c r="AI877" i="11"/>
  <c r="D876" i="11"/>
  <c r="AH876" i="11"/>
  <c r="G876" i="11"/>
  <c r="AF876" i="11"/>
  <c r="AI876" i="11"/>
  <c r="D875" i="11"/>
  <c r="AH875" i="11"/>
  <c r="G875" i="11"/>
  <c r="AF875" i="11"/>
  <c r="AI875" i="11"/>
  <c r="D874" i="11"/>
  <c r="AH874" i="11"/>
  <c r="G874" i="11"/>
  <c r="AF874" i="11"/>
  <c r="AI874" i="11"/>
  <c r="D873" i="11"/>
  <c r="AH873" i="11"/>
  <c r="G873" i="11"/>
  <c r="AF873" i="11"/>
  <c r="AI873" i="11"/>
  <c r="D872" i="11"/>
  <c r="AH872" i="11"/>
  <c r="G872" i="11"/>
  <c r="AF872" i="11"/>
  <c r="AI872" i="11"/>
  <c r="D871" i="11"/>
  <c r="AH871" i="11"/>
  <c r="G871" i="11"/>
  <c r="AF871" i="11"/>
  <c r="AI871" i="11"/>
  <c r="D870" i="11"/>
  <c r="AH870" i="11"/>
  <c r="G870" i="11"/>
  <c r="AF870" i="11"/>
  <c r="AI870" i="11"/>
  <c r="D869" i="11"/>
  <c r="AH869" i="11"/>
  <c r="G869" i="11"/>
  <c r="AF869" i="11"/>
  <c r="AI869" i="11"/>
  <c r="D868" i="11"/>
  <c r="AH868" i="11"/>
  <c r="G868" i="11"/>
  <c r="AF868" i="11"/>
  <c r="AI868" i="11"/>
  <c r="D867" i="11"/>
  <c r="AH867" i="11"/>
  <c r="G867" i="11"/>
  <c r="AF867" i="11"/>
  <c r="AI867" i="11"/>
  <c r="D866" i="11"/>
  <c r="AH866" i="11"/>
  <c r="G866" i="11"/>
  <c r="AF866" i="11"/>
  <c r="AI866" i="11"/>
  <c r="D865" i="11"/>
  <c r="AH865" i="11"/>
  <c r="G865" i="11"/>
  <c r="AF865" i="11"/>
  <c r="AI865" i="11"/>
  <c r="D864" i="11"/>
  <c r="AH864" i="11"/>
  <c r="G864" i="11"/>
  <c r="AF864" i="11"/>
  <c r="AI864" i="11"/>
  <c r="D863" i="11"/>
  <c r="AH863" i="11"/>
  <c r="G863" i="11"/>
  <c r="AF863" i="11"/>
  <c r="AI863" i="11"/>
  <c r="D862" i="11"/>
  <c r="AH862" i="11"/>
  <c r="G862" i="11"/>
  <c r="AF862" i="11"/>
  <c r="AI862" i="11"/>
  <c r="D861" i="11"/>
  <c r="AH861" i="11"/>
  <c r="G861" i="11"/>
  <c r="AF861" i="11"/>
  <c r="AI861" i="11"/>
  <c r="D860" i="11"/>
  <c r="AH860" i="11"/>
  <c r="G860" i="11"/>
  <c r="AF860" i="11"/>
  <c r="AI860" i="11"/>
  <c r="D859" i="11"/>
  <c r="AH859" i="11"/>
  <c r="G859" i="11"/>
  <c r="AF859" i="11"/>
  <c r="AI859" i="11"/>
  <c r="D858" i="11"/>
  <c r="AH858" i="11"/>
  <c r="G858" i="11"/>
  <c r="AF858" i="11"/>
  <c r="AI858" i="11"/>
  <c r="D857" i="11"/>
  <c r="AH857" i="11"/>
  <c r="G857" i="11"/>
  <c r="AF857" i="11"/>
  <c r="AI857" i="11"/>
  <c r="D856" i="11"/>
  <c r="AH856" i="11"/>
  <c r="G856" i="11"/>
  <c r="AF856" i="11"/>
  <c r="AI856" i="11"/>
  <c r="D855" i="11"/>
  <c r="AH855" i="11"/>
  <c r="G855" i="11"/>
  <c r="AF855" i="11"/>
  <c r="AI855" i="11"/>
  <c r="D854" i="11"/>
  <c r="AH854" i="11"/>
  <c r="G854" i="11"/>
  <c r="AF854" i="11"/>
  <c r="AI854" i="11"/>
  <c r="D853" i="11"/>
  <c r="AH853" i="11"/>
  <c r="G853" i="11"/>
  <c r="AF853" i="11"/>
  <c r="AI853" i="11"/>
  <c r="D852" i="11"/>
  <c r="AH852" i="11"/>
  <c r="G852" i="11"/>
  <c r="AF852" i="11"/>
  <c r="AI852" i="11"/>
  <c r="D851" i="11"/>
  <c r="AH851" i="11"/>
  <c r="G851" i="11"/>
  <c r="AF851" i="11"/>
  <c r="AI851" i="11"/>
  <c r="D850" i="11"/>
  <c r="AH850" i="11"/>
  <c r="G850" i="11"/>
  <c r="AF850" i="11"/>
  <c r="AI850" i="11"/>
  <c r="D849" i="11"/>
  <c r="AH849" i="11"/>
  <c r="G849" i="11"/>
  <c r="AF849" i="11"/>
  <c r="AI849" i="11"/>
  <c r="D848" i="11"/>
  <c r="AH848" i="11"/>
  <c r="G848" i="11"/>
  <c r="AF848" i="11"/>
  <c r="AI848" i="11"/>
  <c r="D847" i="11"/>
  <c r="AH847" i="11"/>
  <c r="G847" i="11"/>
  <c r="AF847" i="11"/>
  <c r="AI847" i="11"/>
  <c r="D846" i="11"/>
  <c r="AH846" i="11"/>
  <c r="G846" i="11"/>
  <c r="AF846" i="11"/>
  <c r="AI846" i="11"/>
  <c r="D845" i="11"/>
  <c r="AH845" i="11"/>
  <c r="G845" i="11"/>
  <c r="AF845" i="11"/>
  <c r="AI845" i="11"/>
  <c r="D844" i="11"/>
  <c r="AH844" i="11"/>
  <c r="G844" i="11"/>
  <c r="AF844" i="11"/>
  <c r="AI844" i="11"/>
  <c r="D843" i="11"/>
  <c r="AH843" i="11"/>
  <c r="G843" i="11"/>
  <c r="AF843" i="11"/>
  <c r="AI843" i="11"/>
  <c r="D842" i="11"/>
  <c r="AH842" i="11"/>
  <c r="G842" i="11"/>
  <c r="AF842" i="11"/>
  <c r="AI842" i="11"/>
  <c r="D841" i="11"/>
  <c r="AH841" i="11"/>
  <c r="G841" i="11"/>
  <c r="AF841" i="11"/>
  <c r="AI841" i="11"/>
  <c r="D839" i="11"/>
  <c r="AH839" i="11"/>
  <c r="G839" i="11"/>
  <c r="AF839" i="11"/>
  <c r="AI839" i="11"/>
  <c r="D838" i="11"/>
  <c r="AH838" i="11"/>
  <c r="G838" i="11"/>
  <c r="AF838" i="11"/>
  <c r="AI838" i="11"/>
  <c r="D837" i="11"/>
  <c r="AH837" i="11"/>
  <c r="G837" i="11"/>
  <c r="AF837" i="11"/>
  <c r="AI837" i="11"/>
  <c r="D836" i="11"/>
  <c r="AH836" i="11"/>
  <c r="G836" i="11"/>
  <c r="AF836" i="11"/>
  <c r="AI836" i="11"/>
  <c r="D835" i="11"/>
  <c r="AH835" i="11"/>
  <c r="G835" i="11"/>
  <c r="AF835" i="11"/>
  <c r="AI835" i="11"/>
  <c r="D834" i="11"/>
  <c r="AH834" i="11"/>
  <c r="G834" i="11"/>
  <c r="AF834" i="11"/>
  <c r="AI834" i="11"/>
  <c r="D833" i="11"/>
  <c r="AH833" i="11"/>
  <c r="G833" i="11"/>
  <c r="AF833" i="11"/>
  <c r="AI833" i="11"/>
  <c r="D832" i="11"/>
  <c r="AH832" i="11"/>
  <c r="G832" i="11"/>
  <c r="AF832" i="11"/>
  <c r="AI832" i="11"/>
  <c r="D831" i="11"/>
  <c r="AH831" i="11"/>
  <c r="G831" i="11"/>
  <c r="AF831" i="11"/>
  <c r="AI831" i="11"/>
  <c r="D830" i="11"/>
  <c r="AH830" i="11"/>
  <c r="G830" i="11"/>
  <c r="AF830" i="11"/>
  <c r="AI830" i="11"/>
  <c r="D829" i="11"/>
  <c r="AH829" i="11"/>
  <c r="G829" i="11"/>
  <c r="AF829" i="11"/>
  <c r="AI829" i="11"/>
  <c r="D828" i="11"/>
  <c r="AH828" i="11"/>
  <c r="G828" i="11"/>
  <c r="AF828" i="11"/>
  <c r="AI828" i="11"/>
  <c r="D827" i="11"/>
  <c r="AH827" i="11"/>
  <c r="G827" i="11"/>
  <c r="AF827" i="11"/>
  <c r="AI827" i="11"/>
  <c r="D826" i="11"/>
  <c r="AH826" i="11"/>
  <c r="G826" i="11"/>
  <c r="AF826" i="11"/>
  <c r="AI826" i="11"/>
  <c r="D825" i="11"/>
  <c r="AH825" i="11"/>
  <c r="G825" i="11"/>
  <c r="AF825" i="11"/>
  <c r="AI825" i="11"/>
  <c r="D824" i="11"/>
  <c r="AH824" i="11"/>
  <c r="G824" i="11"/>
  <c r="AF824" i="11"/>
  <c r="AI824" i="11"/>
  <c r="D823" i="11"/>
  <c r="AH823" i="11"/>
  <c r="G823" i="11"/>
  <c r="AF823" i="11"/>
  <c r="AI823" i="11"/>
  <c r="D822" i="11"/>
  <c r="AH822" i="11"/>
  <c r="G822" i="11"/>
  <c r="AF822" i="11"/>
  <c r="AI822" i="11"/>
  <c r="D821" i="11"/>
  <c r="AH821" i="11"/>
  <c r="G821" i="11"/>
  <c r="AF821" i="11"/>
  <c r="AI821" i="11"/>
  <c r="D820" i="11"/>
  <c r="AH820" i="11"/>
  <c r="G820" i="11"/>
  <c r="AF820" i="11"/>
  <c r="AI820" i="11"/>
  <c r="D819" i="11"/>
  <c r="AH819" i="11"/>
  <c r="G819" i="11"/>
  <c r="AF819" i="11"/>
  <c r="AI819" i="11"/>
  <c r="D818" i="11"/>
  <c r="AH818" i="11"/>
  <c r="G818" i="11"/>
  <c r="AF818" i="11"/>
  <c r="AI818" i="11"/>
  <c r="D817" i="11"/>
  <c r="AH817" i="11"/>
  <c r="G817" i="11"/>
  <c r="AF817" i="11"/>
  <c r="AI817" i="11"/>
  <c r="D816" i="11"/>
  <c r="AH816" i="11"/>
  <c r="G816" i="11"/>
  <c r="AF816" i="11"/>
  <c r="AI816" i="11"/>
  <c r="D815" i="11"/>
  <c r="AH815" i="11"/>
  <c r="G815" i="11"/>
  <c r="AF815" i="11"/>
  <c r="AI815" i="11"/>
  <c r="D814" i="11"/>
  <c r="AH814" i="11"/>
  <c r="G814" i="11"/>
  <c r="AF814" i="11"/>
  <c r="AI814" i="11"/>
  <c r="D813" i="11"/>
  <c r="AH813" i="11"/>
  <c r="G813" i="11"/>
  <c r="AF813" i="11"/>
  <c r="AI813" i="11"/>
  <c r="D812" i="11"/>
  <c r="AH812" i="11"/>
  <c r="G812" i="11"/>
  <c r="AF812" i="11"/>
  <c r="AI812" i="11"/>
  <c r="D811" i="11"/>
  <c r="AH811" i="11"/>
  <c r="G811" i="11"/>
  <c r="AF811" i="11"/>
  <c r="AI811" i="11"/>
  <c r="D810" i="11"/>
  <c r="AH810" i="11"/>
  <c r="G810" i="11"/>
  <c r="AF810" i="11"/>
  <c r="AI810" i="11"/>
  <c r="D809" i="11"/>
  <c r="AH809" i="11"/>
  <c r="G809" i="11"/>
  <c r="AF809" i="11"/>
  <c r="AI809" i="11"/>
  <c r="D808" i="11"/>
  <c r="AH808" i="11"/>
  <c r="G808" i="11"/>
  <c r="AF808" i="11"/>
  <c r="AI808" i="11"/>
  <c r="D807" i="11"/>
  <c r="AH807" i="11"/>
  <c r="G807" i="11"/>
  <c r="AF807" i="11"/>
  <c r="AI807" i="11"/>
  <c r="D806" i="11"/>
  <c r="AH806" i="11"/>
  <c r="G806" i="11"/>
  <c r="AF806" i="11"/>
  <c r="AI806" i="11"/>
  <c r="D805" i="11"/>
  <c r="AH805" i="11"/>
  <c r="G805" i="11"/>
  <c r="AF805" i="11"/>
  <c r="AI805" i="11"/>
  <c r="D804" i="11"/>
  <c r="AH804" i="11"/>
  <c r="G804" i="11"/>
  <c r="AF804" i="11"/>
  <c r="AI804" i="11"/>
  <c r="D803" i="11"/>
  <c r="AH803" i="11"/>
  <c r="G803" i="11"/>
  <c r="AF803" i="11"/>
  <c r="AI803" i="11"/>
  <c r="D802" i="11"/>
  <c r="AH802" i="11"/>
  <c r="G802" i="11"/>
  <c r="AF802" i="11"/>
  <c r="AI802" i="11"/>
  <c r="D801" i="11"/>
  <c r="AH801" i="11"/>
  <c r="G801" i="11"/>
  <c r="AF801" i="11"/>
  <c r="AI801" i="11"/>
  <c r="D800" i="11"/>
  <c r="AH800" i="11"/>
  <c r="G800" i="11"/>
  <c r="AF800" i="11"/>
  <c r="AI800" i="11"/>
  <c r="D799" i="11"/>
  <c r="AH799" i="11"/>
  <c r="G799" i="11"/>
  <c r="AF799" i="11"/>
  <c r="AI799" i="11"/>
  <c r="D798" i="11"/>
  <c r="AH798" i="11"/>
  <c r="G798" i="11"/>
  <c r="AF798" i="11"/>
  <c r="AI798" i="11"/>
  <c r="D797" i="11"/>
  <c r="AH797" i="11"/>
  <c r="G797" i="11"/>
  <c r="AF797" i="11"/>
  <c r="AI797" i="11"/>
  <c r="D796" i="11"/>
  <c r="AH796" i="11"/>
  <c r="G796" i="11"/>
  <c r="AF796" i="11"/>
  <c r="AI796" i="11"/>
  <c r="D795" i="11"/>
  <c r="AH795" i="11"/>
  <c r="G795" i="11"/>
  <c r="AF795" i="11"/>
  <c r="AI795" i="11"/>
  <c r="D794" i="11"/>
  <c r="AH794" i="11"/>
  <c r="G794" i="11"/>
  <c r="AF794" i="11"/>
  <c r="AI794" i="11"/>
  <c r="D793" i="11"/>
  <c r="AH793" i="11"/>
  <c r="G793" i="11"/>
  <c r="AF793" i="11"/>
  <c r="AI793" i="11"/>
  <c r="D792" i="11"/>
  <c r="AH792" i="11"/>
  <c r="G792" i="11"/>
  <c r="AF792" i="11"/>
  <c r="AI792" i="11"/>
  <c r="D791" i="11"/>
  <c r="AH791" i="11"/>
  <c r="G791" i="11"/>
  <c r="AF791" i="11"/>
  <c r="AI791" i="11"/>
  <c r="D790" i="11"/>
  <c r="AH790" i="11"/>
  <c r="G790" i="11"/>
  <c r="AF790" i="11"/>
  <c r="AI790" i="11"/>
  <c r="D789" i="11"/>
  <c r="AH789" i="11"/>
  <c r="G789" i="11"/>
  <c r="AF789" i="11"/>
  <c r="AI789" i="11"/>
  <c r="D788" i="11"/>
  <c r="AH788" i="11"/>
  <c r="G788" i="11"/>
  <c r="AF788" i="11"/>
  <c r="AI788" i="11"/>
  <c r="D787" i="11"/>
  <c r="AH787" i="11"/>
  <c r="G787" i="11"/>
  <c r="AF787" i="11"/>
  <c r="AI787" i="11"/>
  <c r="D786" i="11"/>
  <c r="AH786" i="11"/>
  <c r="G786" i="11"/>
  <c r="AF786" i="11"/>
  <c r="AI786" i="11"/>
  <c r="D785" i="11"/>
  <c r="AH785" i="11"/>
  <c r="G785" i="11"/>
  <c r="AF785" i="11"/>
  <c r="AI785" i="11"/>
  <c r="D784" i="11"/>
  <c r="AH784" i="11"/>
  <c r="G784" i="11"/>
  <c r="AF784" i="11"/>
  <c r="AI784" i="11"/>
  <c r="D783" i="11"/>
  <c r="AH783" i="11"/>
  <c r="G783" i="11"/>
  <c r="AF783" i="11"/>
  <c r="AI783" i="11"/>
  <c r="D782" i="11"/>
  <c r="AH782" i="11"/>
  <c r="G782" i="11"/>
  <c r="AF782" i="11"/>
  <c r="AI782" i="11"/>
  <c r="D781" i="11"/>
  <c r="AH781" i="11"/>
  <c r="G781" i="11"/>
  <c r="AF781" i="11"/>
  <c r="AI781" i="11"/>
  <c r="D780" i="11"/>
  <c r="AH780" i="11"/>
  <c r="G780" i="11"/>
  <c r="AF780" i="11"/>
  <c r="AI780" i="11"/>
  <c r="D779" i="11"/>
  <c r="AH779" i="11"/>
  <c r="G779" i="11"/>
  <c r="AF779" i="11"/>
  <c r="AI779" i="11"/>
  <c r="D778" i="11"/>
  <c r="AH778" i="11"/>
  <c r="G778" i="11"/>
  <c r="AF778" i="11"/>
  <c r="AI778" i="11"/>
  <c r="D777" i="11"/>
  <c r="AH777" i="11"/>
  <c r="G777" i="11"/>
  <c r="AF777" i="11"/>
  <c r="AI777" i="11"/>
  <c r="D776" i="11"/>
  <c r="AH776" i="11"/>
  <c r="G776" i="11"/>
  <c r="AF776" i="11"/>
  <c r="AI776" i="11"/>
  <c r="D775" i="11"/>
  <c r="AH775" i="11"/>
  <c r="G775" i="11"/>
  <c r="AF775" i="11"/>
  <c r="AI775" i="11"/>
  <c r="D774" i="11"/>
  <c r="AH774" i="11"/>
  <c r="G774" i="11"/>
  <c r="AF774" i="11"/>
  <c r="AI774" i="11"/>
  <c r="D773" i="11"/>
  <c r="AH773" i="11"/>
  <c r="G773" i="11"/>
  <c r="AF773" i="11"/>
  <c r="AI773" i="11"/>
  <c r="D772" i="11"/>
  <c r="AH772" i="11"/>
  <c r="G772" i="11"/>
  <c r="AF772" i="11"/>
  <c r="AI772" i="11"/>
  <c r="D771" i="11"/>
  <c r="AH771" i="11"/>
  <c r="G771" i="11"/>
  <c r="AF771" i="11"/>
  <c r="AI771" i="11"/>
  <c r="D770" i="11"/>
  <c r="AH770" i="11"/>
  <c r="G770" i="11"/>
  <c r="AF770" i="11"/>
  <c r="AI770" i="11"/>
  <c r="D769" i="11"/>
  <c r="AH769" i="11"/>
  <c r="G769" i="11"/>
  <c r="AF769" i="11"/>
  <c r="AI769" i="11"/>
  <c r="D768" i="11"/>
  <c r="AH768" i="11"/>
  <c r="G768" i="11"/>
  <c r="AF768" i="11"/>
  <c r="AI768" i="11"/>
  <c r="D767" i="11"/>
  <c r="AH767" i="11"/>
  <c r="G767" i="11"/>
  <c r="AF767" i="11"/>
  <c r="AI767" i="11"/>
  <c r="D766" i="11"/>
  <c r="AH766" i="11"/>
  <c r="G766" i="11"/>
  <c r="AF766" i="11"/>
  <c r="AI766" i="11"/>
  <c r="D765" i="11"/>
  <c r="AH765" i="11"/>
  <c r="G765" i="11"/>
  <c r="AF765" i="11"/>
  <c r="AI765" i="11"/>
  <c r="D764" i="11"/>
  <c r="AH764" i="11"/>
  <c r="G764" i="11"/>
  <c r="AF764" i="11"/>
  <c r="AI764" i="11"/>
  <c r="D763" i="11"/>
  <c r="AH763" i="11"/>
  <c r="G763" i="11"/>
  <c r="AF763" i="11"/>
  <c r="AI763" i="11"/>
  <c r="D762" i="11"/>
  <c r="AH762" i="11"/>
  <c r="G762" i="11"/>
  <c r="AF762" i="11"/>
  <c r="AI762" i="11"/>
  <c r="D761" i="11"/>
  <c r="AH761" i="11"/>
  <c r="G761" i="11"/>
  <c r="AF761" i="11"/>
  <c r="AI761" i="11"/>
  <c r="D760" i="11"/>
  <c r="AH760" i="11"/>
  <c r="G760" i="11"/>
  <c r="AF760" i="11"/>
  <c r="AI760" i="11"/>
  <c r="D759" i="11"/>
  <c r="AH759" i="11"/>
  <c r="G759" i="11"/>
  <c r="AF759" i="11"/>
  <c r="AI759" i="11"/>
  <c r="D758" i="11"/>
  <c r="AH758" i="11"/>
  <c r="G758" i="11"/>
  <c r="AF758" i="11"/>
  <c r="AI758" i="11"/>
  <c r="D757" i="11"/>
  <c r="AH757" i="11"/>
  <c r="G757" i="11"/>
  <c r="AF757" i="11"/>
  <c r="AI757" i="11"/>
  <c r="D756" i="11"/>
  <c r="AH756" i="11"/>
  <c r="G756" i="11"/>
  <c r="AF756" i="11"/>
  <c r="AI756" i="11"/>
  <c r="D755" i="11"/>
  <c r="AH755" i="11"/>
  <c r="G755" i="11"/>
  <c r="AF755" i="11"/>
  <c r="AI755" i="11"/>
  <c r="D754" i="11"/>
  <c r="AH754" i="11"/>
  <c r="G754" i="11"/>
  <c r="AF754" i="11"/>
  <c r="AI754" i="11"/>
  <c r="D753" i="11"/>
  <c r="AH753" i="11"/>
  <c r="G753" i="11"/>
  <c r="AF753" i="11"/>
  <c r="AI753" i="11"/>
  <c r="D752" i="11"/>
  <c r="AH752" i="11"/>
  <c r="G752" i="11"/>
  <c r="AF752" i="11"/>
  <c r="AI752" i="11"/>
  <c r="D751" i="11"/>
  <c r="AH751" i="11"/>
  <c r="G751" i="11"/>
  <c r="AF751" i="11"/>
  <c r="AI751" i="11"/>
  <c r="D750" i="11"/>
  <c r="AH750" i="11"/>
  <c r="G750" i="11"/>
  <c r="AF750" i="11"/>
  <c r="AI750" i="11"/>
  <c r="D749" i="11"/>
  <c r="AH749" i="11"/>
  <c r="G749" i="11"/>
  <c r="AF749" i="11"/>
  <c r="AI749" i="11"/>
  <c r="D748" i="11"/>
  <c r="AH748" i="11"/>
  <c r="G748" i="11"/>
  <c r="AF748" i="11"/>
  <c r="AI748" i="11"/>
  <c r="D747" i="11"/>
  <c r="AH747" i="11"/>
  <c r="G747" i="11"/>
  <c r="AF747" i="11"/>
  <c r="AI747" i="11"/>
  <c r="D746" i="11"/>
  <c r="AH746" i="11"/>
  <c r="G746" i="11"/>
  <c r="AF746" i="11"/>
  <c r="AI746" i="11"/>
  <c r="D745" i="11"/>
  <c r="AH745" i="11"/>
  <c r="G745" i="11"/>
  <c r="AF745" i="11"/>
  <c r="AI745" i="11"/>
  <c r="D744" i="11"/>
  <c r="AH744" i="11"/>
  <c r="G744" i="11"/>
  <c r="AF744" i="11"/>
  <c r="AI744" i="11"/>
  <c r="D743" i="11"/>
  <c r="AH743" i="11"/>
  <c r="G743" i="11"/>
  <c r="AF743" i="11"/>
  <c r="AI743" i="11"/>
  <c r="D742" i="11"/>
  <c r="AH742" i="11"/>
  <c r="G742" i="11"/>
  <c r="AF742" i="11"/>
  <c r="AI742" i="11"/>
  <c r="D741" i="11"/>
  <c r="AH741" i="11"/>
  <c r="G741" i="11"/>
  <c r="AF741" i="11"/>
  <c r="AI741" i="11"/>
  <c r="D740" i="11"/>
  <c r="AH740" i="11"/>
  <c r="G740" i="11"/>
  <c r="AF740" i="11"/>
  <c r="AI740" i="11"/>
  <c r="D739" i="11"/>
  <c r="AH739" i="11"/>
  <c r="G739" i="11"/>
  <c r="AF739" i="11"/>
  <c r="AI739" i="11"/>
  <c r="D738" i="11"/>
  <c r="AH738" i="11"/>
  <c r="G738" i="11"/>
  <c r="AF738" i="11"/>
  <c r="AI738" i="11"/>
  <c r="D737" i="11"/>
  <c r="AH737" i="11"/>
  <c r="G737" i="11"/>
  <c r="AF737" i="11"/>
  <c r="AI737" i="11"/>
  <c r="D736" i="11"/>
  <c r="AH736" i="11"/>
  <c r="G736" i="11"/>
  <c r="AF736" i="11"/>
  <c r="AI736" i="11"/>
  <c r="D735" i="11"/>
  <c r="AH735" i="11"/>
  <c r="G735" i="11"/>
  <c r="AF735" i="11"/>
  <c r="AI735" i="11"/>
  <c r="D734" i="11"/>
  <c r="AH734" i="11"/>
  <c r="G734" i="11"/>
  <c r="AF734" i="11"/>
  <c r="AI734" i="11"/>
  <c r="D733" i="11"/>
  <c r="AH733" i="11"/>
  <c r="G733" i="11"/>
  <c r="AF733" i="11"/>
  <c r="AI733" i="11"/>
  <c r="D732" i="11"/>
  <c r="AH732" i="11"/>
  <c r="G732" i="11"/>
  <c r="AF732" i="11"/>
  <c r="AI732" i="11"/>
  <c r="D731" i="11"/>
  <c r="AH731" i="11"/>
  <c r="G731" i="11"/>
  <c r="AF731" i="11"/>
  <c r="AI731" i="11"/>
  <c r="D730" i="11"/>
  <c r="AH730" i="11"/>
  <c r="G730" i="11"/>
  <c r="AF730" i="11"/>
  <c r="AI730" i="11"/>
  <c r="D729" i="11"/>
  <c r="AH729" i="11"/>
  <c r="G729" i="11"/>
  <c r="AF729" i="11"/>
  <c r="AI729" i="11"/>
  <c r="D728" i="11"/>
  <c r="AH728" i="11"/>
  <c r="G728" i="11"/>
  <c r="AF728" i="11"/>
  <c r="AI728" i="11"/>
  <c r="D727" i="11"/>
  <c r="AH727" i="11"/>
  <c r="G727" i="11"/>
  <c r="AF727" i="11"/>
  <c r="AI727" i="11"/>
  <c r="D726" i="11"/>
  <c r="AH726" i="11"/>
  <c r="G726" i="11"/>
  <c r="AF726" i="11"/>
  <c r="AI726" i="11"/>
  <c r="D725" i="11"/>
  <c r="AH725" i="11"/>
  <c r="G725" i="11"/>
  <c r="AF725" i="11"/>
  <c r="AI725" i="11"/>
  <c r="D724" i="11"/>
  <c r="AH724" i="11"/>
  <c r="G724" i="11"/>
  <c r="AF724" i="11"/>
  <c r="AI724" i="11"/>
  <c r="D723" i="11"/>
  <c r="AH723" i="11"/>
  <c r="G723" i="11"/>
  <c r="AF723" i="11"/>
  <c r="AI723" i="11"/>
  <c r="D722" i="11"/>
  <c r="AH722" i="11"/>
  <c r="G722" i="11"/>
  <c r="AF722" i="11"/>
  <c r="AI722" i="11"/>
  <c r="D721" i="11"/>
  <c r="AH721" i="11"/>
  <c r="G721" i="11"/>
  <c r="AF721" i="11"/>
  <c r="AI721" i="11"/>
  <c r="D720" i="11"/>
  <c r="AH720" i="11"/>
  <c r="G720" i="11"/>
  <c r="AF720" i="11"/>
  <c r="AI720" i="11"/>
  <c r="D719" i="11"/>
  <c r="AH719" i="11"/>
  <c r="G719" i="11"/>
  <c r="AF719" i="11"/>
  <c r="AI719" i="11"/>
  <c r="D718" i="11"/>
  <c r="AH718" i="11"/>
  <c r="G718" i="11"/>
  <c r="AF718" i="11"/>
  <c r="AI718" i="11"/>
  <c r="D717" i="11"/>
  <c r="AH717" i="11"/>
  <c r="G717" i="11"/>
  <c r="AF717" i="11"/>
  <c r="AI717" i="11"/>
  <c r="D716" i="11"/>
  <c r="AH716" i="11"/>
  <c r="G716" i="11"/>
  <c r="AF716" i="11"/>
  <c r="AI716" i="11"/>
  <c r="D715" i="11"/>
  <c r="AH715" i="11"/>
  <c r="G715" i="11"/>
  <c r="AF715" i="11"/>
  <c r="AI715" i="11"/>
  <c r="D714" i="11"/>
  <c r="AH714" i="11"/>
  <c r="G714" i="11"/>
  <c r="AF714" i="11"/>
  <c r="AI714" i="11"/>
  <c r="D713" i="11"/>
  <c r="AH713" i="11"/>
  <c r="G713" i="11"/>
  <c r="AF713" i="11"/>
  <c r="AI713" i="11"/>
  <c r="D712" i="11"/>
  <c r="AH712" i="11"/>
  <c r="G712" i="11"/>
  <c r="AF712" i="11"/>
  <c r="AI712" i="11"/>
  <c r="D711" i="11"/>
  <c r="AH711" i="11"/>
  <c r="G711" i="11"/>
  <c r="AF711" i="11"/>
  <c r="AI711" i="11"/>
  <c r="D710" i="11"/>
  <c r="AH710" i="11"/>
  <c r="G710" i="11"/>
  <c r="AF710" i="11"/>
  <c r="AI710" i="11"/>
  <c r="D709" i="11"/>
  <c r="AH709" i="11"/>
  <c r="G709" i="11"/>
  <c r="AF709" i="11"/>
  <c r="AI709" i="11"/>
  <c r="D708" i="11"/>
  <c r="AH708" i="11"/>
  <c r="G708" i="11"/>
  <c r="AF708" i="11"/>
  <c r="AI708" i="11"/>
  <c r="D707" i="11"/>
  <c r="AH707" i="11"/>
  <c r="G707" i="11"/>
  <c r="AF707" i="11"/>
  <c r="AI707" i="11"/>
  <c r="D706" i="11"/>
  <c r="AH706" i="11"/>
  <c r="G706" i="11"/>
  <c r="AF706" i="11"/>
  <c r="AI706" i="11"/>
  <c r="D705" i="11"/>
  <c r="AH705" i="11"/>
  <c r="G705" i="11"/>
  <c r="AF705" i="11"/>
  <c r="AI705" i="11"/>
  <c r="D704" i="11"/>
  <c r="AH704" i="11"/>
  <c r="G704" i="11"/>
  <c r="AF704" i="11"/>
  <c r="AI704" i="11"/>
  <c r="D703" i="11"/>
  <c r="AH703" i="11"/>
  <c r="G703" i="11"/>
  <c r="AF703" i="11"/>
  <c r="AI703" i="11"/>
  <c r="D702" i="11"/>
  <c r="AH702" i="11"/>
  <c r="G702" i="11"/>
  <c r="AF702" i="11"/>
  <c r="AI702" i="11"/>
  <c r="D701" i="11"/>
  <c r="AH701" i="11"/>
  <c r="G701" i="11"/>
  <c r="AF701" i="11"/>
  <c r="AI701" i="11"/>
  <c r="D700" i="11"/>
  <c r="AH700" i="11"/>
  <c r="G700" i="11"/>
  <c r="AF700" i="11"/>
  <c r="AI700" i="11"/>
  <c r="D699" i="11"/>
  <c r="AH699" i="11"/>
  <c r="G699" i="11"/>
  <c r="AF699" i="11"/>
  <c r="AI699" i="11"/>
  <c r="D698" i="11"/>
  <c r="AH698" i="11"/>
  <c r="G698" i="11"/>
  <c r="AF698" i="11"/>
  <c r="AI698" i="11"/>
  <c r="D697" i="11"/>
  <c r="AH697" i="11"/>
  <c r="G697" i="11"/>
  <c r="AF697" i="11"/>
  <c r="AI697" i="11"/>
  <c r="D696" i="11"/>
  <c r="AH696" i="11"/>
  <c r="G696" i="11"/>
  <c r="AF696" i="11"/>
  <c r="AI696" i="11"/>
  <c r="D695" i="11"/>
  <c r="AH695" i="11"/>
  <c r="G695" i="11"/>
  <c r="AF695" i="11"/>
  <c r="AI695" i="11"/>
  <c r="D694" i="11"/>
  <c r="AH694" i="11"/>
  <c r="G694" i="11"/>
  <c r="AF694" i="11"/>
  <c r="AI694" i="11"/>
  <c r="D693" i="11"/>
  <c r="AH693" i="11"/>
  <c r="G693" i="11"/>
  <c r="AF693" i="11"/>
  <c r="AI693" i="11"/>
  <c r="D692" i="11"/>
  <c r="AH692" i="11"/>
  <c r="G692" i="11"/>
  <c r="AF692" i="11"/>
  <c r="AI692" i="11"/>
  <c r="D691" i="11"/>
  <c r="AH691" i="11"/>
  <c r="G691" i="11"/>
  <c r="AF691" i="11"/>
  <c r="AI691" i="11"/>
  <c r="D690" i="11"/>
  <c r="AH690" i="11"/>
  <c r="G690" i="11"/>
  <c r="AF690" i="11"/>
  <c r="AI690" i="11"/>
  <c r="D689" i="11"/>
  <c r="AH689" i="11"/>
  <c r="G689" i="11"/>
  <c r="AF689" i="11"/>
  <c r="AI689" i="11"/>
  <c r="D688" i="11"/>
  <c r="AH688" i="11"/>
  <c r="G688" i="11"/>
  <c r="AF688" i="11"/>
  <c r="AI688" i="11"/>
  <c r="D687" i="11"/>
  <c r="AH687" i="11"/>
  <c r="G687" i="11"/>
  <c r="AF687" i="11"/>
  <c r="AI687" i="11"/>
  <c r="D686" i="11"/>
  <c r="AH686" i="11"/>
  <c r="G686" i="11"/>
  <c r="AF686" i="11"/>
  <c r="AI686" i="11"/>
  <c r="D685" i="11"/>
  <c r="AH685" i="11"/>
  <c r="G685" i="11"/>
  <c r="AF685" i="11"/>
  <c r="AI685" i="11"/>
  <c r="D684" i="11"/>
  <c r="AH684" i="11"/>
  <c r="G684" i="11"/>
  <c r="AF684" i="11"/>
  <c r="AI684" i="11"/>
  <c r="D683" i="11"/>
  <c r="AH683" i="11"/>
  <c r="G683" i="11"/>
  <c r="AF683" i="11"/>
  <c r="AI683" i="11"/>
  <c r="D682" i="11"/>
  <c r="AH682" i="11"/>
  <c r="G682" i="11"/>
  <c r="AF682" i="11"/>
  <c r="AI682" i="11"/>
  <c r="D681" i="11"/>
  <c r="AH681" i="11"/>
  <c r="G681" i="11"/>
  <c r="AF681" i="11"/>
  <c r="AI681" i="11"/>
  <c r="D680" i="11"/>
  <c r="AH680" i="11"/>
  <c r="G680" i="11"/>
  <c r="AF680" i="11"/>
  <c r="AI680" i="11"/>
  <c r="D679" i="11"/>
  <c r="AH679" i="11"/>
  <c r="G679" i="11"/>
  <c r="AF679" i="11"/>
  <c r="AI679" i="11"/>
  <c r="D678" i="11"/>
  <c r="AH678" i="11"/>
  <c r="G678" i="11"/>
  <c r="AF678" i="11"/>
  <c r="AI678" i="11"/>
  <c r="D677" i="11"/>
  <c r="AH677" i="11"/>
  <c r="G677" i="11"/>
  <c r="AF677" i="11"/>
  <c r="AI677" i="11"/>
  <c r="D676" i="11"/>
  <c r="AH676" i="11"/>
  <c r="G676" i="11"/>
  <c r="AF676" i="11"/>
  <c r="AI676" i="11"/>
  <c r="D675" i="11"/>
  <c r="AH675" i="11"/>
  <c r="G675" i="11"/>
  <c r="AF675" i="11"/>
  <c r="AI675" i="11"/>
  <c r="D674" i="11"/>
  <c r="AH674" i="11"/>
  <c r="G674" i="11"/>
  <c r="AF674" i="11"/>
  <c r="AI674" i="11"/>
  <c r="D673" i="11"/>
  <c r="AH673" i="11"/>
  <c r="G673" i="11"/>
  <c r="AF673" i="11"/>
  <c r="AI673" i="11"/>
  <c r="D672" i="11"/>
  <c r="AH672" i="11"/>
  <c r="G672" i="11"/>
  <c r="AF672" i="11"/>
  <c r="AI672" i="11"/>
  <c r="D671" i="11"/>
  <c r="AH671" i="11"/>
  <c r="G671" i="11"/>
  <c r="AF671" i="11"/>
  <c r="AI671" i="11"/>
  <c r="D670" i="11"/>
  <c r="AH670" i="11"/>
  <c r="G670" i="11"/>
  <c r="AF670" i="11"/>
  <c r="AI670" i="11"/>
  <c r="D669" i="11"/>
  <c r="AH669" i="11"/>
  <c r="G669" i="11"/>
  <c r="AF669" i="11"/>
  <c r="AI669" i="11"/>
  <c r="D668" i="11"/>
  <c r="AH668" i="11"/>
  <c r="G668" i="11"/>
  <c r="AF668" i="11"/>
  <c r="AI668" i="11"/>
  <c r="D667" i="11"/>
  <c r="AH667" i="11"/>
  <c r="G667" i="11"/>
  <c r="AF667" i="11"/>
  <c r="AI667" i="11"/>
  <c r="D666" i="11"/>
  <c r="AH666" i="11"/>
  <c r="G666" i="11"/>
  <c r="AF666" i="11"/>
  <c r="AI666" i="11"/>
  <c r="D665" i="11"/>
  <c r="AH665" i="11"/>
  <c r="G665" i="11"/>
  <c r="AF665" i="11"/>
  <c r="AI665" i="11"/>
  <c r="D664" i="11"/>
  <c r="AH664" i="11"/>
  <c r="G664" i="11"/>
  <c r="AF664" i="11"/>
  <c r="AI664" i="11"/>
  <c r="D663" i="11"/>
  <c r="AH663" i="11"/>
  <c r="G663" i="11"/>
  <c r="AF663" i="11"/>
  <c r="AI663" i="11"/>
  <c r="D662" i="11"/>
  <c r="AH662" i="11"/>
  <c r="G662" i="11"/>
  <c r="AF662" i="11"/>
  <c r="AI662" i="11"/>
  <c r="D661" i="11"/>
  <c r="AH661" i="11"/>
  <c r="G661" i="11"/>
  <c r="AF661" i="11"/>
  <c r="AI661" i="11"/>
  <c r="D660" i="11"/>
  <c r="AH660" i="11"/>
  <c r="G660" i="11"/>
  <c r="AF660" i="11"/>
  <c r="AI660" i="11"/>
  <c r="D659" i="11"/>
  <c r="AH659" i="11"/>
  <c r="G659" i="11"/>
  <c r="AF659" i="11"/>
  <c r="AI659" i="11"/>
  <c r="D658" i="11"/>
  <c r="AH658" i="11"/>
  <c r="G658" i="11"/>
  <c r="AF658" i="11"/>
  <c r="AI658" i="11"/>
  <c r="D657" i="11"/>
  <c r="AH657" i="11"/>
  <c r="G657" i="11"/>
  <c r="AF657" i="11"/>
  <c r="AI657" i="11"/>
  <c r="D656" i="11"/>
  <c r="AH656" i="11"/>
  <c r="G656" i="11"/>
  <c r="AF656" i="11"/>
  <c r="AI656" i="11"/>
  <c r="D655" i="11"/>
  <c r="AH655" i="11"/>
  <c r="G655" i="11"/>
  <c r="AF655" i="11"/>
  <c r="AI655" i="11"/>
  <c r="D654" i="11"/>
  <c r="AH654" i="11"/>
  <c r="G654" i="11"/>
  <c r="AF654" i="11"/>
  <c r="AI654" i="11"/>
  <c r="D653" i="11"/>
  <c r="AH653" i="11"/>
  <c r="G653" i="11"/>
  <c r="AF653" i="11"/>
  <c r="AI653" i="11"/>
  <c r="D652" i="11"/>
  <c r="AH652" i="11"/>
  <c r="G652" i="11"/>
  <c r="AF652" i="11"/>
  <c r="AI652" i="11"/>
  <c r="D651" i="11"/>
  <c r="AH651" i="11"/>
  <c r="G651" i="11"/>
  <c r="AF651" i="11"/>
  <c r="AI651" i="11"/>
  <c r="D650" i="11"/>
  <c r="AH650" i="11"/>
  <c r="G650" i="11"/>
  <c r="AF650" i="11"/>
  <c r="AI650" i="11"/>
  <c r="D649" i="11"/>
  <c r="AH649" i="11"/>
  <c r="G649" i="11"/>
  <c r="AF649" i="11"/>
  <c r="AI649" i="11"/>
  <c r="D648" i="11"/>
  <c r="AH648" i="11"/>
  <c r="AF648" i="11"/>
  <c r="AI648" i="11"/>
  <c r="D647" i="11"/>
  <c r="AH647" i="11"/>
  <c r="G647" i="11"/>
  <c r="AF647" i="11"/>
  <c r="AI647" i="11"/>
  <c r="D646" i="11"/>
  <c r="AH646" i="11"/>
  <c r="G646" i="11"/>
  <c r="AF646" i="11"/>
  <c r="AI646" i="11"/>
  <c r="D645" i="11"/>
  <c r="AH645" i="11"/>
  <c r="G645" i="11"/>
  <c r="AF645" i="11"/>
  <c r="AI645" i="11"/>
  <c r="D644" i="11"/>
  <c r="AH644" i="11"/>
  <c r="G644" i="11"/>
  <c r="AF644" i="11"/>
  <c r="AI644" i="11"/>
  <c r="D643" i="11"/>
  <c r="AH643" i="11"/>
  <c r="G643" i="11"/>
  <c r="AF643" i="11"/>
  <c r="AI643" i="11"/>
  <c r="D642" i="11"/>
  <c r="AH642" i="11"/>
  <c r="G642" i="11"/>
  <c r="AF642" i="11"/>
  <c r="AI642" i="11"/>
  <c r="D641" i="11"/>
  <c r="AH641" i="11"/>
  <c r="G641" i="11"/>
  <c r="AF641" i="11"/>
  <c r="AI641" i="11"/>
  <c r="D640" i="11"/>
  <c r="AH640" i="11"/>
  <c r="G640" i="11"/>
  <c r="AF640" i="11"/>
  <c r="AI640" i="11"/>
  <c r="D639" i="11"/>
  <c r="AH639" i="11"/>
  <c r="G639" i="11"/>
  <c r="AF639" i="11"/>
  <c r="AI639" i="11"/>
  <c r="D638" i="11"/>
  <c r="AH638" i="11"/>
  <c r="G638" i="11"/>
  <c r="AF638" i="11"/>
  <c r="AI638" i="11"/>
  <c r="D637" i="11"/>
  <c r="AH637" i="11"/>
  <c r="G637" i="11"/>
  <c r="AF637" i="11"/>
  <c r="AI637" i="11"/>
  <c r="D636" i="11"/>
  <c r="AH636" i="11"/>
  <c r="G636" i="11"/>
  <c r="AF636" i="11"/>
  <c r="AI636" i="11"/>
  <c r="D635" i="11"/>
  <c r="AH635" i="11"/>
  <c r="G635" i="11"/>
  <c r="AF635" i="11"/>
  <c r="AI635" i="11"/>
  <c r="D634" i="11"/>
  <c r="AH634" i="11"/>
  <c r="G634" i="11"/>
  <c r="AF634" i="11"/>
  <c r="AI634" i="11"/>
  <c r="D633" i="11"/>
  <c r="AH633" i="11"/>
  <c r="G633" i="11"/>
  <c r="AF633" i="11"/>
  <c r="AI633" i="11"/>
  <c r="D632" i="11"/>
  <c r="AH632" i="11"/>
  <c r="G632" i="11"/>
  <c r="AF632" i="11"/>
  <c r="AI632" i="11"/>
  <c r="D631" i="11"/>
  <c r="AH631" i="11"/>
  <c r="G631" i="11"/>
  <c r="AF631" i="11"/>
  <c r="AI631" i="11"/>
  <c r="D630" i="11"/>
  <c r="AH630" i="11"/>
  <c r="G630" i="11"/>
  <c r="AF630" i="11"/>
  <c r="AI630" i="11"/>
  <c r="D629" i="11"/>
  <c r="AH629" i="11"/>
  <c r="G629" i="11"/>
  <c r="AF629" i="11"/>
  <c r="AI629" i="11"/>
  <c r="D628" i="11"/>
  <c r="AH628" i="11"/>
  <c r="G628" i="11"/>
  <c r="AF628" i="11"/>
  <c r="AI628" i="11"/>
  <c r="D627" i="11"/>
  <c r="AH627" i="11"/>
  <c r="G627" i="11"/>
  <c r="AF627" i="11"/>
  <c r="AI627" i="11"/>
  <c r="D626" i="11"/>
  <c r="AH626" i="11"/>
  <c r="G626" i="11"/>
  <c r="AF626" i="11"/>
  <c r="AI626" i="11"/>
  <c r="D625" i="11"/>
  <c r="AH625" i="11"/>
  <c r="G625" i="11"/>
  <c r="AF625" i="11"/>
  <c r="AI625" i="11"/>
  <c r="D624" i="11"/>
  <c r="AH624" i="11"/>
  <c r="G624" i="11"/>
  <c r="AF624" i="11"/>
  <c r="AI624" i="11"/>
  <c r="D623" i="11"/>
  <c r="AH623" i="11"/>
  <c r="G623" i="11"/>
  <c r="AF623" i="11"/>
  <c r="AI623" i="11"/>
  <c r="D622" i="11"/>
  <c r="AH622" i="11"/>
  <c r="G622" i="11"/>
  <c r="AF622" i="11"/>
  <c r="AI622" i="11"/>
  <c r="D621" i="11"/>
  <c r="AH621" i="11"/>
  <c r="G621" i="11"/>
  <c r="AF621" i="11"/>
  <c r="AI621" i="11"/>
  <c r="D620" i="11"/>
  <c r="AH620" i="11"/>
  <c r="G620" i="11"/>
  <c r="AF620" i="11"/>
  <c r="AI620" i="11"/>
  <c r="D619" i="11"/>
  <c r="AH619" i="11"/>
  <c r="G619" i="11"/>
  <c r="AF619" i="11"/>
  <c r="AI619" i="11"/>
  <c r="D618" i="11"/>
  <c r="AH618" i="11"/>
  <c r="G618" i="11"/>
  <c r="AF618" i="11"/>
  <c r="AI618" i="11"/>
  <c r="D617" i="11"/>
  <c r="AH617" i="11"/>
  <c r="G617" i="11"/>
  <c r="AF617" i="11"/>
  <c r="AI617" i="11"/>
  <c r="D616" i="11"/>
  <c r="AH616" i="11"/>
  <c r="G616" i="11"/>
  <c r="AF616" i="11"/>
  <c r="AI616" i="11"/>
  <c r="D615" i="11"/>
  <c r="AH615" i="11"/>
  <c r="G615" i="11"/>
  <c r="AF615" i="11"/>
  <c r="AI615" i="11"/>
  <c r="D614" i="11"/>
  <c r="AH614" i="11"/>
  <c r="G614" i="11"/>
  <c r="AF614" i="11"/>
  <c r="AI614" i="11"/>
  <c r="D613" i="11"/>
  <c r="AH613" i="11"/>
  <c r="G613" i="11"/>
  <c r="AF613" i="11"/>
  <c r="AI613" i="11"/>
  <c r="D612" i="11"/>
  <c r="AH612" i="11"/>
  <c r="G612" i="11"/>
  <c r="AF612" i="11"/>
  <c r="AI612" i="11"/>
  <c r="D611" i="11"/>
  <c r="AH611" i="11"/>
  <c r="G611" i="11"/>
  <c r="AF611" i="11"/>
  <c r="AI611" i="11"/>
  <c r="D610" i="11"/>
  <c r="AH610" i="11"/>
  <c r="G610" i="11"/>
  <c r="AF610" i="11"/>
  <c r="AI610" i="11"/>
  <c r="D609" i="11"/>
  <c r="AH609" i="11"/>
  <c r="G609" i="11"/>
  <c r="AF609" i="11"/>
  <c r="AI609" i="11"/>
  <c r="D608" i="11"/>
  <c r="AH608" i="11"/>
  <c r="G608" i="11"/>
  <c r="AF608" i="11"/>
  <c r="AI608" i="11"/>
  <c r="D607" i="11"/>
  <c r="AH607" i="11"/>
  <c r="G607" i="11"/>
  <c r="AF607" i="11"/>
  <c r="AI607" i="11"/>
  <c r="D606" i="11"/>
  <c r="AH606" i="11"/>
  <c r="G606" i="11"/>
  <c r="AF606" i="11"/>
  <c r="AI606" i="11"/>
  <c r="D605" i="11"/>
  <c r="AH605" i="11"/>
  <c r="G605" i="11"/>
  <c r="AF605" i="11"/>
  <c r="AI605" i="11"/>
  <c r="D604" i="11"/>
  <c r="AH604" i="11"/>
  <c r="G604" i="11"/>
  <c r="AF604" i="11"/>
  <c r="AI604" i="11"/>
  <c r="D603" i="11"/>
  <c r="AH603" i="11"/>
  <c r="G603" i="11"/>
  <c r="AF603" i="11"/>
  <c r="AI603" i="11"/>
  <c r="D602" i="11"/>
  <c r="AH602" i="11"/>
  <c r="G602" i="11"/>
  <c r="AF602" i="11"/>
  <c r="AI602" i="11"/>
  <c r="D601" i="11"/>
  <c r="AH601" i="11"/>
  <c r="G601" i="11"/>
  <c r="AF601" i="11"/>
  <c r="AI601" i="11"/>
  <c r="D600" i="11"/>
  <c r="AH600" i="11"/>
  <c r="G600" i="11"/>
  <c r="AF600" i="11"/>
  <c r="AI600" i="11"/>
  <c r="D599" i="11"/>
  <c r="AH599" i="11"/>
  <c r="G599" i="11"/>
  <c r="AF599" i="11"/>
  <c r="AI599" i="11"/>
  <c r="D598" i="11"/>
  <c r="AH598" i="11"/>
  <c r="G598" i="11"/>
  <c r="AF598" i="11"/>
  <c r="AI598" i="11"/>
  <c r="D597" i="11"/>
  <c r="AH597" i="11"/>
  <c r="G597" i="11"/>
  <c r="AF597" i="11"/>
  <c r="AI597" i="11"/>
  <c r="D596" i="11"/>
  <c r="AH596" i="11"/>
  <c r="G596" i="11"/>
  <c r="AF596" i="11"/>
  <c r="AI596" i="11"/>
  <c r="D595" i="11"/>
  <c r="AH595" i="11"/>
  <c r="G595" i="11"/>
  <c r="AF595" i="11"/>
  <c r="AI595" i="11"/>
  <c r="D594" i="11"/>
  <c r="AH594" i="11"/>
  <c r="G594" i="11"/>
  <c r="AF594" i="11"/>
  <c r="AI594" i="11"/>
  <c r="D593" i="11"/>
  <c r="AH593" i="11"/>
  <c r="G593" i="11"/>
  <c r="AF593" i="11"/>
  <c r="AI593" i="11"/>
  <c r="D592" i="11"/>
  <c r="AH592" i="11"/>
  <c r="G592" i="11"/>
  <c r="AF592" i="11"/>
  <c r="AI592" i="11"/>
  <c r="D591" i="11"/>
  <c r="AH591" i="11"/>
  <c r="G591" i="11"/>
  <c r="AF591" i="11"/>
  <c r="AI591" i="11"/>
  <c r="D590" i="11"/>
  <c r="AH590" i="11"/>
  <c r="G590" i="11"/>
  <c r="AF590" i="11"/>
  <c r="AI590" i="11"/>
  <c r="D589" i="11"/>
  <c r="AH589" i="11"/>
  <c r="G589" i="11"/>
  <c r="AF589" i="11"/>
  <c r="AI589" i="11"/>
  <c r="D588" i="11"/>
  <c r="AH588" i="11"/>
  <c r="G588" i="11"/>
  <c r="AF588" i="11"/>
  <c r="AI588" i="11"/>
  <c r="D587" i="11"/>
  <c r="AH587" i="11"/>
  <c r="G587" i="11"/>
  <c r="AF587" i="11"/>
  <c r="AI587" i="11"/>
  <c r="D586" i="11"/>
  <c r="AH586" i="11"/>
  <c r="G586" i="11"/>
  <c r="AF586" i="11"/>
  <c r="AI586" i="11"/>
  <c r="D585" i="11"/>
  <c r="AH585" i="11"/>
  <c r="G585" i="11"/>
  <c r="AF585" i="11"/>
  <c r="AI585" i="11"/>
  <c r="D584" i="11"/>
  <c r="AH584" i="11"/>
  <c r="G584" i="11"/>
  <c r="AF584" i="11"/>
  <c r="AI584" i="11"/>
  <c r="D583" i="11"/>
  <c r="AH583" i="11"/>
  <c r="G583" i="11"/>
  <c r="AF583" i="11"/>
  <c r="AI583" i="11"/>
  <c r="D582" i="11"/>
  <c r="AH582" i="11"/>
  <c r="G582" i="11"/>
  <c r="AF582" i="11"/>
  <c r="AI582" i="11"/>
  <c r="D581" i="11"/>
  <c r="AH581" i="11"/>
  <c r="G581" i="11"/>
  <c r="AF581" i="11"/>
  <c r="AI581" i="11"/>
  <c r="D580" i="11"/>
  <c r="AH580" i="11"/>
  <c r="G580" i="11"/>
  <c r="AF580" i="11"/>
  <c r="AI580" i="11"/>
  <c r="D579" i="11"/>
  <c r="AH579" i="11"/>
  <c r="G579" i="11"/>
  <c r="AF579" i="11"/>
  <c r="AI579" i="11"/>
  <c r="D578" i="11"/>
  <c r="AH578" i="11"/>
  <c r="G578" i="11"/>
  <c r="AF578" i="11"/>
  <c r="AI578" i="11"/>
  <c r="D577" i="11"/>
  <c r="AH577" i="11"/>
  <c r="G577" i="11"/>
  <c r="AF577" i="11"/>
  <c r="AI577" i="11"/>
  <c r="D576" i="11"/>
  <c r="AH576" i="11"/>
  <c r="G576" i="11"/>
  <c r="AF576" i="11"/>
  <c r="AI576" i="11"/>
  <c r="D575" i="11"/>
  <c r="AH575" i="11"/>
  <c r="G575" i="11"/>
  <c r="AF575" i="11"/>
  <c r="AI575" i="11"/>
  <c r="D574" i="11"/>
  <c r="AH574" i="11"/>
  <c r="G574" i="11"/>
  <c r="AF574" i="11"/>
  <c r="AI574" i="11"/>
  <c r="D573" i="11"/>
  <c r="AH573" i="11"/>
  <c r="G573" i="11"/>
  <c r="AF573" i="11"/>
  <c r="AI573" i="11"/>
  <c r="D572" i="11"/>
  <c r="AH572" i="11"/>
  <c r="G572" i="11"/>
  <c r="AF572" i="11"/>
  <c r="AI572" i="11"/>
  <c r="D571" i="11"/>
  <c r="AH571" i="11"/>
  <c r="G571" i="11"/>
  <c r="AF571" i="11"/>
  <c r="AI571" i="11"/>
  <c r="D570" i="11"/>
  <c r="AH570" i="11"/>
  <c r="G570" i="11"/>
  <c r="AF570" i="11"/>
  <c r="AI570" i="11"/>
  <c r="D569" i="11"/>
  <c r="AH569" i="11"/>
  <c r="G569" i="11"/>
  <c r="AF569" i="11"/>
  <c r="AI569" i="11"/>
  <c r="D568" i="11"/>
  <c r="AH568" i="11"/>
  <c r="G568" i="11"/>
  <c r="AF568" i="11"/>
  <c r="AI568" i="11"/>
  <c r="D567" i="11"/>
  <c r="AH567" i="11"/>
  <c r="G567" i="11"/>
  <c r="AF567" i="11"/>
  <c r="AI567" i="11"/>
  <c r="D566" i="11"/>
  <c r="AH566" i="11"/>
  <c r="G566" i="11"/>
  <c r="AF566" i="11"/>
  <c r="AI566" i="11"/>
  <c r="D565" i="11"/>
  <c r="AH565" i="11"/>
  <c r="G565" i="11"/>
  <c r="AF565" i="11"/>
  <c r="AI565" i="11"/>
  <c r="D564" i="11"/>
  <c r="AH564" i="11"/>
  <c r="G564" i="11"/>
  <c r="AF564" i="11"/>
  <c r="AI564" i="11"/>
  <c r="D563" i="11"/>
  <c r="AH563" i="11"/>
  <c r="G563" i="11"/>
  <c r="AF563" i="11"/>
  <c r="AI563" i="11"/>
  <c r="D562" i="11"/>
  <c r="AH562" i="11"/>
  <c r="G562" i="11"/>
  <c r="AF562" i="11"/>
  <c r="AI562" i="11"/>
  <c r="D561" i="11"/>
  <c r="AH561" i="11"/>
  <c r="G561" i="11"/>
  <c r="AF561" i="11"/>
  <c r="AI561" i="11"/>
  <c r="D560" i="11"/>
  <c r="AH560" i="11"/>
  <c r="G560" i="11"/>
  <c r="AF560" i="11"/>
  <c r="AI560" i="11"/>
  <c r="D559" i="11"/>
  <c r="AH559" i="11"/>
  <c r="G559" i="11"/>
  <c r="AF559" i="11"/>
  <c r="AI559" i="11"/>
  <c r="D558" i="11"/>
  <c r="AH558" i="11"/>
  <c r="G558" i="11"/>
  <c r="AF558" i="11"/>
  <c r="AI558" i="11"/>
  <c r="D557" i="11"/>
  <c r="AH557" i="11"/>
  <c r="G557" i="11"/>
  <c r="AF557" i="11"/>
  <c r="AI557" i="11"/>
  <c r="D556" i="11"/>
  <c r="AH556" i="11"/>
  <c r="G556" i="11"/>
  <c r="AF556" i="11"/>
  <c r="AI556" i="11"/>
  <c r="D555" i="11"/>
  <c r="AH555" i="11"/>
  <c r="G555" i="11"/>
  <c r="AF555" i="11"/>
  <c r="AI555" i="11"/>
  <c r="D554" i="11"/>
  <c r="AH554" i="11"/>
  <c r="G554" i="11"/>
  <c r="AF554" i="11"/>
  <c r="AI554" i="11"/>
  <c r="D553" i="11"/>
  <c r="AH553" i="11"/>
  <c r="G553" i="11"/>
  <c r="AF553" i="11"/>
  <c r="AI553" i="11"/>
  <c r="D552" i="11"/>
  <c r="AH552" i="11"/>
  <c r="G552" i="11"/>
  <c r="AF552" i="11"/>
  <c r="AI552" i="11"/>
  <c r="D551" i="11"/>
  <c r="AH551" i="11"/>
  <c r="G551" i="11"/>
  <c r="AF551" i="11"/>
  <c r="AI551" i="11"/>
  <c r="D550" i="11"/>
  <c r="AH550" i="11"/>
  <c r="G550" i="11"/>
  <c r="AF550" i="11"/>
  <c r="AI550" i="11"/>
  <c r="D549" i="11"/>
  <c r="AH549" i="11"/>
  <c r="G549" i="11"/>
  <c r="AF549" i="11"/>
  <c r="AI549" i="11"/>
  <c r="D548" i="11"/>
  <c r="AH548" i="11"/>
  <c r="G548" i="11"/>
  <c r="AF548" i="11"/>
  <c r="AI548" i="11"/>
  <c r="D547" i="11"/>
  <c r="AH547" i="11"/>
  <c r="G547" i="11"/>
  <c r="AF547" i="11"/>
  <c r="AI547" i="11"/>
  <c r="D546" i="11"/>
  <c r="AH546" i="11"/>
  <c r="G546" i="11"/>
  <c r="AF546" i="11"/>
  <c r="AI546" i="11"/>
  <c r="D545" i="11"/>
  <c r="AH545" i="11"/>
  <c r="G545" i="11"/>
  <c r="AF545" i="11"/>
  <c r="AI545" i="11"/>
  <c r="D544" i="11"/>
  <c r="AH544" i="11"/>
  <c r="G544" i="11"/>
  <c r="AF544" i="11"/>
  <c r="AI544" i="11"/>
  <c r="D543" i="11"/>
  <c r="AH543" i="11"/>
  <c r="G543" i="11"/>
  <c r="AF543" i="11"/>
  <c r="AI543" i="11"/>
  <c r="D542" i="11"/>
  <c r="AH542" i="11"/>
  <c r="G542" i="11"/>
  <c r="AF542" i="11"/>
  <c r="AI542" i="11"/>
  <c r="D541" i="11"/>
  <c r="AH541" i="11"/>
  <c r="G541" i="11"/>
  <c r="AF541" i="11"/>
  <c r="AI541" i="11"/>
  <c r="D540" i="11"/>
  <c r="AH540" i="11"/>
  <c r="G540" i="11"/>
  <c r="AF540" i="11"/>
  <c r="AI540" i="11"/>
  <c r="D539" i="11"/>
  <c r="AH539" i="11"/>
  <c r="G539" i="11"/>
  <c r="AF539" i="11"/>
  <c r="AI539" i="11"/>
  <c r="D538" i="11"/>
  <c r="AH538" i="11"/>
  <c r="G538" i="11"/>
  <c r="AF538" i="11"/>
  <c r="AI538" i="11"/>
  <c r="D537" i="11"/>
  <c r="AH537" i="11"/>
  <c r="G537" i="11"/>
  <c r="AF537" i="11"/>
  <c r="AI537" i="11"/>
  <c r="D536" i="11"/>
  <c r="AH536" i="11"/>
  <c r="G536" i="11"/>
  <c r="AF536" i="11"/>
  <c r="AI536" i="11"/>
  <c r="D535" i="11"/>
  <c r="AH535" i="11"/>
  <c r="G535" i="11"/>
  <c r="AF535" i="11"/>
  <c r="AI535" i="11"/>
  <c r="D534" i="11"/>
  <c r="AH534" i="11"/>
  <c r="G534" i="11"/>
  <c r="AF534" i="11"/>
  <c r="AI534" i="11"/>
  <c r="D533" i="11"/>
  <c r="AH533" i="11"/>
  <c r="G533" i="11"/>
  <c r="AF533" i="11"/>
  <c r="AI533" i="11"/>
  <c r="D532" i="11"/>
  <c r="AH532" i="11"/>
  <c r="G532" i="11"/>
  <c r="AF532" i="11"/>
  <c r="AI532" i="11"/>
  <c r="D531" i="11"/>
  <c r="AH531" i="11"/>
  <c r="G531" i="11"/>
  <c r="AF531" i="11"/>
  <c r="AI531" i="11"/>
  <c r="D530" i="11"/>
  <c r="AH530" i="11"/>
  <c r="G530" i="11"/>
  <c r="AF530" i="11"/>
  <c r="AI530" i="11"/>
  <c r="D529" i="11"/>
  <c r="AH529" i="11"/>
  <c r="G529" i="11"/>
  <c r="AF529" i="11"/>
  <c r="AI529" i="11"/>
  <c r="D528" i="11"/>
  <c r="AH528" i="11"/>
  <c r="G528" i="11"/>
  <c r="AF528" i="11"/>
  <c r="AI528" i="11"/>
  <c r="D527" i="11"/>
  <c r="AH527" i="11"/>
  <c r="G527" i="11"/>
  <c r="AF527" i="11"/>
  <c r="AI527" i="11"/>
  <c r="D526" i="11"/>
  <c r="AH526" i="11"/>
  <c r="G526" i="11"/>
  <c r="AF526" i="11"/>
  <c r="AI526" i="11"/>
  <c r="D525" i="11"/>
  <c r="AH525" i="11"/>
  <c r="G525" i="11"/>
  <c r="AF525" i="11"/>
  <c r="AI525" i="11"/>
  <c r="D524" i="11"/>
  <c r="AH524" i="11"/>
  <c r="G524" i="11"/>
  <c r="AF524" i="11"/>
  <c r="AI524" i="11"/>
  <c r="D523" i="11"/>
  <c r="AH523" i="11"/>
  <c r="G523" i="11"/>
  <c r="AF523" i="11"/>
  <c r="AI523" i="11"/>
  <c r="D522" i="11"/>
  <c r="AH522" i="11"/>
  <c r="G522" i="11"/>
  <c r="AF522" i="11"/>
  <c r="AI522" i="11"/>
  <c r="D521" i="11"/>
  <c r="AH521" i="11"/>
  <c r="G521" i="11"/>
  <c r="AF521" i="11"/>
  <c r="AI521" i="11"/>
  <c r="D520" i="11"/>
  <c r="AH520" i="11"/>
  <c r="G520" i="11"/>
  <c r="AF520" i="11"/>
  <c r="AI520" i="11"/>
  <c r="D519" i="11"/>
  <c r="AH519" i="11"/>
  <c r="G519" i="11"/>
  <c r="AF519" i="11"/>
  <c r="AI519" i="11"/>
  <c r="D518" i="11"/>
  <c r="AH518" i="11"/>
  <c r="G518" i="11"/>
  <c r="AF518" i="11"/>
  <c r="AI518" i="11"/>
  <c r="D517" i="11"/>
  <c r="AH517" i="11"/>
  <c r="G517" i="11"/>
  <c r="AF517" i="11"/>
  <c r="AI517" i="11"/>
  <c r="D516" i="11"/>
  <c r="AH516" i="11"/>
  <c r="G516" i="11"/>
  <c r="AF516" i="11"/>
  <c r="AI516" i="11"/>
  <c r="D515" i="11"/>
  <c r="AH515" i="11"/>
  <c r="G515" i="11"/>
  <c r="AF515" i="11"/>
  <c r="AI515" i="11"/>
  <c r="D514" i="11"/>
  <c r="AH514" i="11"/>
  <c r="G514" i="11"/>
  <c r="AF514" i="11"/>
  <c r="AI514" i="11"/>
  <c r="D513" i="11"/>
  <c r="AH513" i="11"/>
  <c r="G513" i="11"/>
  <c r="AF513" i="11"/>
  <c r="AI513" i="11"/>
  <c r="D512" i="11"/>
  <c r="AH512" i="11"/>
  <c r="G512" i="11"/>
  <c r="AF512" i="11"/>
  <c r="AI512" i="11"/>
  <c r="D511" i="11"/>
  <c r="AH511" i="11"/>
  <c r="G511" i="11"/>
  <c r="AF511" i="11"/>
  <c r="AI511" i="11"/>
  <c r="D510" i="11"/>
  <c r="AH510" i="11"/>
  <c r="G510" i="11"/>
  <c r="AF510" i="11"/>
  <c r="AI510" i="11"/>
  <c r="D509" i="11"/>
  <c r="AH509" i="11"/>
  <c r="G509" i="11"/>
  <c r="AF509" i="11"/>
  <c r="AI509" i="11"/>
  <c r="D508" i="11"/>
  <c r="AH508" i="11"/>
  <c r="G508" i="11"/>
  <c r="AF508" i="11"/>
  <c r="AI508" i="11"/>
  <c r="D507" i="11"/>
  <c r="AH507" i="11"/>
  <c r="G507" i="11"/>
  <c r="AF507" i="11"/>
  <c r="AI507" i="11"/>
  <c r="D506" i="11"/>
  <c r="AH506" i="11"/>
  <c r="G506" i="11"/>
  <c r="AF506" i="11"/>
  <c r="AI506" i="11"/>
  <c r="D505" i="11"/>
  <c r="AH505" i="11"/>
  <c r="G505" i="11"/>
  <c r="AF505" i="11"/>
  <c r="AI505" i="11"/>
  <c r="D504" i="11"/>
  <c r="AH504" i="11"/>
  <c r="G504" i="11"/>
  <c r="AF504" i="11"/>
  <c r="AI504" i="11"/>
  <c r="D503" i="11"/>
  <c r="AH503" i="11"/>
  <c r="G503" i="11"/>
  <c r="AF503" i="11"/>
  <c r="AI503" i="11"/>
  <c r="D502" i="11"/>
  <c r="AH502" i="11"/>
  <c r="G502" i="11"/>
  <c r="AF502" i="11"/>
  <c r="AI502" i="11"/>
  <c r="D501" i="11"/>
  <c r="AH501" i="11"/>
  <c r="G501" i="11"/>
  <c r="AF501" i="11"/>
  <c r="AI501" i="11"/>
  <c r="D500" i="11"/>
  <c r="AH500" i="11"/>
  <c r="G500" i="11"/>
  <c r="AF500" i="11"/>
  <c r="AI500" i="11"/>
  <c r="D499" i="11"/>
  <c r="AH499" i="11"/>
  <c r="G499" i="11"/>
  <c r="AF499" i="11"/>
  <c r="AI499" i="11"/>
  <c r="D498" i="11"/>
  <c r="AH498" i="11"/>
  <c r="G498" i="11"/>
  <c r="AF498" i="11"/>
  <c r="AI498" i="11"/>
  <c r="D497" i="11"/>
  <c r="AH497" i="11"/>
  <c r="G497" i="11"/>
  <c r="AF497" i="11"/>
  <c r="AI497" i="11"/>
  <c r="D496" i="11"/>
  <c r="AH496" i="11"/>
  <c r="G496" i="11"/>
  <c r="AF496" i="11"/>
  <c r="AI496" i="11"/>
  <c r="D495" i="11"/>
  <c r="AH495" i="11"/>
  <c r="G495" i="11"/>
  <c r="AF495" i="11"/>
  <c r="AI495" i="11"/>
  <c r="D494" i="11"/>
  <c r="AH494" i="11"/>
  <c r="G494" i="11"/>
  <c r="AF494" i="11"/>
  <c r="AI494" i="11"/>
  <c r="D493" i="11"/>
  <c r="AH493" i="11"/>
  <c r="G493" i="11"/>
  <c r="AF493" i="11"/>
  <c r="AI493" i="11"/>
  <c r="D492" i="11"/>
  <c r="AH492" i="11"/>
  <c r="G492" i="11"/>
  <c r="AF492" i="11"/>
  <c r="AI492" i="11"/>
  <c r="D491" i="11"/>
  <c r="AH491" i="11"/>
  <c r="G491" i="11"/>
  <c r="AF491" i="11"/>
  <c r="AI491" i="11"/>
  <c r="D490" i="11"/>
  <c r="AH490" i="11"/>
  <c r="G490" i="11"/>
  <c r="AF490" i="11"/>
  <c r="AI490" i="11"/>
  <c r="D489" i="11"/>
  <c r="AH489" i="11"/>
  <c r="G489" i="11"/>
  <c r="AF489" i="11"/>
  <c r="AI489" i="11"/>
  <c r="D488" i="11"/>
  <c r="AH488" i="11"/>
  <c r="G488" i="11"/>
  <c r="AF488" i="11"/>
  <c r="AI488" i="11"/>
  <c r="D487" i="11"/>
  <c r="AH487" i="11"/>
  <c r="G487" i="11"/>
  <c r="AF487" i="11"/>
  <c r="AI487" i="11"/>
  <c r="D486" i="11"/>
  <c r="AH486" i="11"/>
  <c r="G486" i="11"/>
  <c r="AF486" i="11"/>
  <c r="AI486" i="11"/>
  <c r="D485" i="11"/>
  <c r="AH485" i="11"/>
  <c r="G485" i="11"/>
  <c r="AF485" i="11"/>
  <c r="AI485" i="11"/>
  <c r="D484" i="11"/>
  <c r="AH484" i="11"/>
  <c r="G484" i="11"/>
  <c r="AF484" i="11"/>
  <c r="AI484" i="11"/>
  <c r="D483" i="11"/>
  <c r="AH483" i="11"/>
  <c r="G483" i="11"/>
  <c r="AF483" i="11"/>
  <c r="AI483" i="11"/>
  <c r="D482" i="11"/>
  <c r="AH482" i="11"/>
  <c r="G482" i="11"/>
  <c r="AF482" i="11"/>
  <c r="AI482" i="11"/>
  <c r="D481" i="11"/>
  <c r="AH481" i="11"/>
  <c r="G481" i="11"/>
  <c r="AF481" i="11"/>
  <c r="AI481" i="11"/>
  <c r="D480" i="11"/>
  <c r="AH480" i="11"/>
  <c r="G480" i="11"/>
  <c r="AF480" i="11"/>
  <c r="AI480" i="11"/>
  <c r="D479" i="11"/>
  <c r="AH479" i="11"/>
  <c r="G479" i="11"/>
  <c r="AF479" i="11"/>
  <c r="AI479" i="11"/>
  <c r="D478" i="11"/>
  <c r="AH478" i="11"/>
  <c r="G478" i="11"/>
  <c r="AF478" i="11"/>
  <c r="AI478" i="11"/>
  <c r="D477" i="11"/>
  <c r="AH477" i="11"/>
  <c r="G477" i="11"/>
  <c r="AF477" i="11"/>
  <c r="AI477" i="11"/>
  <c r="D476" i="11"/>
  <c r="AH476" i="11"/>
  <c r="G476" i="11"/>
  <c r="AF476" i="11"/>
  <c r="AI476" i="11"/>
  <c r="D475" i="11"/>
  <c r="AH475" i="11"/>
  <c r="G475" i="11"/>
  <c r="AF475" i="11"/>
  <c r="AI475" i="11"/>
  <c r="D474" i="11"/>
  <c r="AH474" i="11"/>
  <c r="G474" i="11"/>
  <c r="AF474" i="11"/>
  <c r="AI474" i="11"/>
  <c r="D473" i="11"/>
  <c r="AH473" i="11"/>
  <c r="G473" i="11"/>
  <c r="AF473" i="11"/>
  <c r="AI473" i="11"/>
  <c r="D472" i="11"/>
  <c r="AH472" i="11"/>
  <c r="G472" i="11"/>
  <c r="AF472" i="11"/>
  <c r="AI472" i="11"/>
  <c r="D471" i="11"/>
  <c r="AH471" i="11"/>
  <c r="G471" i="11"/>
  <c r="AF471" i="11"/>
  <c r="AI471" i="11"/>
  <c r="D470" i="11"/>
  <c r="AH470" i="11"/>
  <c r="G470" i="11"/>
  <c r="AF470" i="11"/>
  <c r="AI470" i="11"/>
  <c r="D469" i="11"/>
  <c r="AH469" i="11"/>
  <c r="G469" i="11"/>
  <c r="AF469" i="11"/>
  <c r="AI469" i="11"/>
  <c r="D468" i="11"/>
  <c r="AH468" i="11"/>
  <c r="G468" i="11"/>
  <c r="AF468" i="11"/>
  <c r="AI468" i="11"/>
  <c r="D467" i="11"/>
  <c r="AH467" i="11"/>
  <c r="G467" i="11"/>
  <c r="AF467" i="11"/>
  <c r="AI467" i="11"/>
  <c r="D466" i="11"/>
  <c r="AH466" i="11"/>
  <c r="G466" i="11"/>
  <c r="AF466" i="11"/>
  <c r="AI466" i="11"/>
  <c r="D465" i="11"/>
  <c r="AH465" i="11"/>
  <c r="G465" i="11"/>
  <c r="AF465" i="11"/>
  <c r="AI465" i="11"/>
  <c r="D464" i="11"/>
  <c r="AH464" i="11"/>
  <c r="G464" i="11"/>
  <c r="AF464" i="11"/>
  <c r="AI464" i="11"/>
  <c r="D463" i="11"/>
  <c r="AH463" i="11"/>
  <c r="G463" i="11"/>
  <c r="AF463" i="11"/>
  <c r="AI463" i="11"/>
  <c r="D462" i="11"/>
  <c r="AH462" i="11"/>
  <c r="G462" i="11"/>
  <c r="AF462" i="11"/>
  <c r="AI462" i="11"/>
  <c r="D461" i="11"/>
  <c r="AH461" i="11"/>
  <c r="G461" i="11"/>
  <c r="AF461" i="11"/>
  <c r="AI461" i="11"/>
  <c r="D460" i="11"/>
  <c r="AH460" i="11"/>
  <c r="G460" i="11"/>
  <c r="AF460" i="11"/>
  <c r="AI460" i="11"/>
  <c r="D459" i="11"/>
  <c r="AH459" i="11"/>
  <c r="G459" i="11"/>
  <c r="AF459" i="11"/>
  <c r="AI459" i="11"/>
  <c r="D458" i="11"/>
  <c r="AH458" i="11"/>
  <c r="G458" i="11"/>
  <c r="AF458" i="11"/>
  <c r="AI458" i="11"/>
  <c r="D457" i="11"/>
  <c r="AH457" i="11"/>
  <c r="G457" i="11"/>
  <c r="AF457" i="11"/>
  <c r="AI457" i="11"/>
  <c r="D456" i="11"/>
  <c r="AH456" i="11"/>
  <c r="G456" i="11"/>
  <c r="AF456" i="11"/>
  <c r="AI456" i="11"/>
  <c r="D455" i="11"/>
  <c r="AH455" i="11"/>
  <c r="G455" i="11"/>
  <c r="AF455" i="11"/>
  <c r="AI455" i="11"/>
  <c r="D454" i="11"/>
  <c r="AH454" i="11"/>
  <c r="G454" i="11"/>
  <c r="AF454" i="11"/>
  <c r="AI454" i="11"/>
  <c r="D453" i="11"/>
  <c r="AH453" i="11"/>
  <c r="G453" i="11"/>
  <c r="AF453" i="11"/>
  <c r="AI453" i="11"/>
  <c r="D452" i="11"/>
  <c r="AH452" i="11"/>
  <c r="G452" i="11"/>
  <c r="AF452" i="11"/>
  <c r="AI452" i="11"/>
  <c r="D451" i="11"/>
  <c r="AH451" i="11"/>
  <c r="G451" i="11"/>
  <c r="AF451" i="11"/>
  <c r="AI451" i="11"/>
  <c r="D450" i="11"/>
  <c r="AH450" i="11"/>
  <c r="G450" i="11"/>
  <c r="AF450" i="11"/>
  <c r="AI450" i="11"/>
  <c r="D449" i="11"/>
  <c r="AH449" i="11"/>
  <c r="G449" i="11"/>
  <c r="AF449" i="11"/>
  <c r="AI449" i="11"/>
  <c r="D448" i="11"/>
  <c r="AH448" i="11"/>
  <c r="G448" i="11"/>
  <c r="H449" i="11"/>
  <c r="AF448" i="11"/>
  <c r="AI448" i="11"/>
  <c r="D447" i="11"/>
  <c r="AH447" i="11"/>
  <c r="G447" i="11"/>
  <c r="H448" i="11"/>
  <c r="AF447" i="11"/>
  <c r="AI447" i="11"/>
  <c r="D446" i="11"/>
  <c r="AH446" i="11"/>
  <c r="G446" i="11"/>
  <c r="AF446" i="11"/>
  <c r="AI446" i="11"/>
  <c r="D445" i="11"/>
  <c r="AH445" i="11"/>
  <c r="G445" i="11"/>
  <c r="AF445" i="11"/>
  <c r="AI445" i="11"/>
  <c r="D444" i="11"/>
  <c r="AH444" i="11"/>
  <c r="G444" i="11"/>
  <c r="AF444" i="11"/>
  <c r="AI444" i="11"/>
  <c r="D443" i="11"/>
  <c r="AH443" i="11"/>
  <c r="G443" i="11"/>
  <c r="AF443" i="11"/>
  <c r="AI443" i="11"/>
  <c r="D442" i="11"/>
  <c r="AH442" i="11"/>
  <c r="G442" i="11"/>
  <c r="AF442" i="11"/>
  <c r="AI442" i="11"/>
  <c r="D441" i="11"/>
  <c r="AH441" i="11"/>
  <c r="G441" i="11"/>
  <c r="AF441" i="11"/>
  <c r="AI441" i="11"/>
  <c r="D440" i="11"/>
  <c r="AH440" i="11"/>
  <c r="G440" i="11"/>
  <c r="AF440" i="11"/>
  <c r="AI440" i="11"/>
  <c r="D439" i="11"/>
  <c r="AH439" i="11"/>
  <c r="G439" i="11"/>
  <c r="AF439" i="11"/>
  <c r="AI439" i="11"/>
  <c r="D438" i="11"/>
  <c r="AH438" i="11"/>
  <c r="G438" i="11"/>
  <c r="AF438" i="11"/>
  <c r="AI438" i="11"/>
  <c r="D437" i="11"/>
  <c r="AH437" i="11"/>
  <c r="G437" i="11"/>
  <c r="AF437" i="11"/>
  <c r="AI437" i="11"/>
  <c r="D436" i="11"/>
  <c r="AH436" i="11"/>
  <c r="G436" i="11"/>
  <c r="AF436" i="11"/>
  <c r="AI436" i="11"/>
  <c r="D435" i="11"/>
  <c r="AH435" i="11"/>
  <c r="G435" i="11"/>
  <c r="AF435" i="11"/>
  <c r="AI435" i="11"/>
  <c r="D434" i="11"/>
  <c r="AH434" i="11"/>
  <c r="G434" i="11"/>
  <c r="AF434" i="11"/>
  <c r="AI434" i="11"/>
  <c r="D433" i="11"/>
  <c r="AH433" i="11"/>
  <c r="G433" i="11"/>
  <c r="AF433" i="11"/>
  <c r="AI433" i="11"/>
  <c r="D432" i="11"/>
  <c r="AH432" i="11"/>
  <c r="G432" i="11"/>
  <c r="AF432" i="11"/>
  <c r="AI432" i="11"/>
  <c r="D431" i="11"/>
  <c r="AH431" i="11"/>
  <c r="G431" i="11"/>
  <c r="AF431" i="11"/>
  <c r="AI431" i="11"/>
  <c r="D430" i="11"/>
  <c r="AH430" i="11"/>
  <c r="G430" i="11"/>
  <c r="AF430" i="11"/>
  <c r="AI430" i="11"/>
  <c r="D429" i="11"/>
  <c r="AH429" i="11"/>
  <c r="G429" i="11"/>
  <c r="AF429" i="11"/>
  <c r="AI429" i="11"/>
  <c r="D428" i="11"/>
  <c r="AH428" i="11"/>
  <c r="G428" i="11"/>
  <c r="AF428" i="11"/>
  <c r="AI428" i="11"/>
  <c r="D427" i="11"/>
  <c r="AH427" i="11"/>
  <c r="G427" i="11"/>
  <c r="AF427" i="11"/>
  <c r="AI427" i="11"/>
  <c r="D426" i="11"/>
  <c r="AH426" i="11"/>
  <c r="G426" i="11"/>
  <c r="AF426" i="11"/>
  <c r="AI426" i="11"/>
  <c r="D425" i="11"/>
  <c r="AH425" i="11"/>
  <c r="G425" i="11"/>
  <c r="AF425" i="11"/>
  <c r="AI425" i="11"/>
  <c r="D424" i="11"/>
  <c r="AH424" i="11"/>
  <c r="G424" i="11"/>
  <c r="AF424" i="11"/>
  <c r="AI424" i="11"/>
  <c r="D423" i="11"/>
  <c r="AH423" i="11"/>
  <c r="G423" i="11"/>
  <c r="AF423" i="11"/>
  <c r="AI423" i="11"/>
  <c r="D422" i="11"/>
  <c r="AH422" i="11"/>
  <c r="G422" i="11"/>
  <c r="AF422" i="11"/>
  <c r="AI422" i="11"/>
  <c r="D421" i="11"/>
  <c r="AH421" i="11"/>
  <c r="G421" i="11"/>
  <c r="AF421" i="11"/>
  <c r="AI421" i="11"/>
  <c r="D420" i="11"/>
  <c r="AH420" i="11"/>
  <c r="G420" i="11"/>
  <c r="AF420" i="11"/>
  <c r="AI420" i="11"/>
  <c r="D419" i="11"/>
  <c r="AH419" i="11"/>
  <c r="G419" i="11"/>
  <c r="AF419" i="11"/>
  <c r="AI419" i="11"/>
  <c r="D418" i="11"/>
  <c r="AH418" i="11"/>
  <c r="G418" i="11"/>
  <c r="AF418" i="11"/>
  <c r="AI418" i="11"/>
  <c r="D417" i="11"/>
  <c r="AH417" i="11"/>
  <c r="G417" i="11"/>
  <c r="AF417" i="11"/>
  <c r="AI417" i="11"/>
  <c r="D416" i="11"/>
  <c r="AH416" i="11"/>
  <c r="G416" i="11"/>
  <c r="AF416" i="11"/>
  <c r="AI416" i="11"/>
  <c r="D415" i="11"/>
  <c r="AH415" i="11"/>
  <c r="G415" i="11"/>
  <c r="AF415" i="11"/>
  <c r="AI415" i="11"/>
  <c r="D414" i="11"/>
  <c r="AH414" i="11"/>
  <c r="G414" i="11"/>
  <c r="AF414" i="11"/>
  <c r="AI414" i="11"/>
  <c r="D413" i="11"/>
  <c r="AH413" i="11"/>
  <c r="G413" i="11"/>
  <c r="AF413" i="11"/>
  <c r="AI413" i="11"/>
  <c r="D412" i="11"/>
  <c r="AH412" i="11"/>
  <c r="G412" i="11"/>
  <c r="AF412" i="11"/>
  <c r="AI412" i="11"/>
  <c r="D411" i="11"/>
  <c r="AH411" i="11"/>
  <c r="G411" i="11"/>
  <c r="AF411" i="11"/>
  <c r="AI411" i="11"/>
  <c r="D410" i="11"/>
  <c r="AH410" i="11"/>
  <c r="G410" i="11"/>
  <c r="AF410" i="11"/>
  <c r="AI410" i="11"/>
  <c r="D409" i="11"/>
  <c r="AH409" i="11"/>
  <c r="G409" i="11"/>
  <c r="AF409" i="11"/>
  <c r="AI409" i="11"/>
  <c r="D408" i="11"/>
  <c r="AH408" i="11"/>
  <c r="G408" i="11"/>
  <c r="AF408" i="11"/>
  <c r="AI408" i="11"/>
  <c r="D407" i="11"/>
  <c r="AH407" i="11"/>
  <c r="G407" i="11"/>
  <c r="AF407" i="11"/>
  <c r="AI407" i="11"/>
  <c r="D406" i="11"/>
  <c r="AH406" i="11"/>
  <c r="G406" i="11"/>
  <c r="AF406" i="11"/>
  <c r="AI406" i="11"/>
  <c r="D405" i="11"/>
  <c r="AH405" i="11"/>
  <c r="G405" i="11"/>
  <c r="AF405" i="11"/>
  <c r="AI405" i="11"/>
  <c r="D404" i="11"/>
  <c r="AH404" i="11"/>
  <c r="G404" i="11"/>
  <c r="AF404" i="11"/>
  <c r="AI404" i="11"/>
  <c r="D403" i="11"/>
  <c r="AH403" i="11"/>
  <c r="G403" i="11"/>
  <c r="AF403" i="11"/>
  <c r="AI403" i="11"/>
  <c r="D402" i="11"/>
  <c r="AH402" i="11"/>
  <c r="G402" i="11"/>
  <c r="AF402" i="11"/>
  <c r="AI402" i="11"/>
  <c r="D401" i="11"/>
  <c r="AH401" i="11"/>
  <c r="G401" i="11"/>
  <c r="AF401" i="11"/>
  <c r="AI401" i="11"/>
  <c r="D400" i="11"/>
  <c r="AH400" i="11"/>
  <c r="G400" i="11"/>
  <c r="AF400" i="11"/>
  <c r="AI400" i="11"/>
  <c r="D399" i="11"/>
  <c r="AH399" i="11"/>
  <c r="G399" i="11"/>
  <c r="AF399" i="11"/>
  <c r="AI399" i="11"/>
  <c r="D398" i="11"/>
  <c r="AH398" i="11"/>
  <c r="G398" i="11"/>
  <c r="AF398" i="11"/>
  <c r="AI398" i="11"/>
  <c r="D397" i="11"/>
  <c r="AH397" i="11"/>
  <c r="G397" i="11"/>
  <c r="AF397" i="11"/>
  <c r="AI397" i="11"/>
  <c r="D396" i="11"/>
  <c r="AH396" i="11"/>
  <c r="G396" i="11"/>
  <c r="AF396" i="11"/>
  <c r="AI396" i="11"/>
  <c r="D395" i="11"/>
  <c r="AH395" i="11"/>
  <c r="G395" i="11"/>
  <c r="AF395" i="11"/>
  <c r="AI395" i="11"/>
  <c r="D394" i="11"/>
  <c r="AH394" i="11"/>
  <c r="G394" i="11"/>
  <c r="AF394" i="11"/>
  <c r="AI394" i="11"/>
  <c r="D393" i="11"/>
  <c r="AH393" i="11"/>
  <c r="G393" i="11"/>
  <c r="AF393" i="11"/>
  <c r="AI393" i="11"/>
  <c r="D392" i="11"/>
  <c r="AH392" i="11"/>
  <c r="G392" i="11"/>
  <c r="AF392" i="11"/>
  <c r="AI392" i="11"/>
  <c r="D391" i="11"/>
  <c r="AH391" i="11"/>
  <c r="G391" i="11"/>
  <c r="AF391" i="11"/>
  <c r="AI391" i="11"/>
  <c r="D390" i="11"/>
  <c r="AH390" i="11"/>
  <c r="G390" i="11"/>
  <c r="AF390" i="11"/>
  <c r="AI390" i="11"/>
  <c r="D389" i="11"/>
  <c r="AH389" i="11"/>
  <c r="G389" i="11"/>
  <c r="AF389" i="11"/>
  <c r="AI389" i="11"/>
  <c r="D388" i="11"/>
  <c r="AH388" i="11"/>
  <c r="G388" i="11"/>
  <c r="AF388" i="11"/>
  <c r="AI388" i="11"/>
  <c r="D387" i="11"/>
  <c r="AH387" i="11"/>
  <c r="G387" i="11"/>
  <c r="AF387" i="11"/>
  <c r="AI387" i="11"/>
  <c r="D386" i="11"/>
  <c r="AH386" i="11"/>
  <c r="G386" i="11"/>
  <c r="AF386" i="11"/>
  <c r="AI386" i="11"/>
  <c r="D385" i="11"/>
  <c r="AH385" i="11"/>
  <c r="G385" i="11"/>
  <c r="AF385" i="11"/>
  <c r="AI385" i="11"/>
  <c r="D384" i="11"/>
  <c r="AH384" i="11"/>
  <c r="G384" i="11"/>
  <c r="AF384" i="11"/>
  <c r="AI384" i="11"/>
  <c r="D383" i="11"/>
  <c r="AH383" i="11"/>
  <c r="G383" i="11"/>
  <c r="AF383" i="11"/>
  <c r="AI383" i="11"/>
  <c r="D382" i="11"/>
  <c r="AH382" i="11"/>
  <c r="G382" i="11"/>
  <c r="AF382" i="11"/>
  <c r="AI382" i="11"/>
  <c r="D381" i="11"/>
  <c r="AH381" i="11"/>
  <c r="G381" i="11"/>
  <c r="AF381" i="11"/>
  <c r="AI381" i="11"/>
  <c r="D380" i="11"/>
  <c r="AH380" i="11"/>
  <c r="G380" i="11"/>
  <c r="AF380" i="11"/>
  <c r="AI380" i="11"/>
  <c r="D379" i="11"/>
  <c r="AH379" i="11"/>
  <c r="G379" i="11"/>
  <c r="AF379" i="11"/>
  <c r="AI379" i="11"/>
  <c r="D378" i="11"/>
  <c r="AH378" i="11"/>
  <c r="G378" i="11"/>
  <c r="AF378" i="11"/>
  <c r="AI378" i="11"/>
  <c r="D377" i="11"/>
  <c r="AH377" i="11"/>
  <c r="G377" i="11"/>
  <c r="AF377" i="11"/>
  <c r="AI377" i="11"/>
  <c r="D376" i="11"/>
  <c r="AH376" i="11"/>
  <c r="G376" i="11"/>
  <c r="AF376" i="11"/>
  <c r="AI376" i="11"/>
  <c r="D375" i="11"/>
  <c r="AH375" i="11"/>
  <c r="G375" i="11"/>
  <c r="AF375" i="11"/>
  <c r="AI375" i="11"/>
  <c r="D374" i="11"/>
  <c r="AH374" i="11"/>
  <c r="G374" i="11"/>
  <c r="AF374" i="11"/>
  <c r="AI374" i="11"/>
  <c r="D373" i="11"/>
  <c r="AH373" i="11"/>
  <c r="G373" i="11"/>
  <c r="AF373" i="11"/>
  <c r="AI373" i="11"/>
  <c r="D372" i="11"/>
  <c r="AH372" i="11"/>
  <c r="G372" i="11"/>
  <c r="AF372" i="11"/>
  <c r="AI372" i="11"/>
  <c r="D371" i="11"/>
  <c r="AH371" i="11"/>
  <c r="G371" i="11"/>
  <c r="AF371" i="11"/>
  <c r="AI371" i="11"/>
  <c r="D370" i="11"/>
  <c r="AH370" i="11"/>
  <c r="G370" i="11"/>
  <c r="AF370" i="11"/>
  <c r="AI370" i="11"/>
  <c r="D369" i="11"/>
  <c r="AH369" i="11"/>
  <c r="G369" i="11"/>
  <c r="AF369" i="11"/>
  <c r="AI369" i="11"/>
  <c r="D368" i="11"/>
  <c r="AH368" i="11"/>
  <c r="G368" i="11"/>
  <c r="AF368" i="11"/>
  <c r="AI368" i="11"/>
  <c r="D367" i="11"/>
  <c r="AH367" i="11"/>
  <c r="G367" i="11"/>
  <c r="AF367" i="11"/>
  <c r="AI367" i="11"/>
  <c r="D366" i="11"/>
  <c r="AH366" i="11"/>
  <c r="G366" i="11"/>
  <c r="AF366" i="11"/>
  <c r="AI366" i="11"/>
  <c r="D365" i="11"/>
  <c r="AH365" i="11"/>
  <c r="G365" i="11"/>
  <c r="AF365" i="11"/>
  <c r="AI365" i="11"/>
  <c r="D364" i="11"/>
  <c r="AH364" i="11"/>
  <c r="G364" i="11"/>
  <c r="AF364" i="11"/>
  <c r="AI364" i="11"/>
  <c r="D363" i="11"/>
  <c r="AH363" i="11"/>
  <c r="G363" i="11"/>
  <c r="AF363" i="11"/>
  <c r="AI363" i="11"/>
  <c r="D362" i="11"/>
  <c r="AH362" i="11"/>
  <c r="G362" i="11"/>
  <c r="AF362" i="11"/>
  <c r="AI362" i="11"/>
  <c r="D361" i="11"/>
  <c r="AH361" i="11"/>
  <c r="G361" i="11"/>
  <c r="AF361" i="11"/>
  <c r="AI361" i="11"/>
  <c r="D360" i="11"/>
  <c r="AH360" i="11"/>
  <c r="G360" i="11"/>
  <c r="AF360" i="11"/>
  <c r="AI360" i="11"/>
  <c r="D359" i="11"/>
  <c r="AH359" i="11"/>
  <c r="G359" i="11"/>
  <c r="AF359" i="11"/>
  <c r="AI359" i="11"/>
  <c r="D358" i="11"/>
  <c r="AH358" i="11"/>
  <c r="G358" i="11"/>
  <c r="AF358" i="11"/>
  <c r="AI358" i="11"/>
  <c r="D357" i="11"/>
  <c r="AH357" i="11"/>
  <c r="G357" i="11"/>
  <c r="AF357" i="11"/>
  <c r="AI357" i="11"/>
  <c r="D356" i="11"/>
  <c r="AH356" i="11"/>
  <c r="G356" i="11"/>
  <c r="AF356" i="11"/>
  <c r="AI356" i="11"/>
  <c r="D355" i="11"/>
  <c r="AH355" i="11"/>
  <c r="G355" i="11"/>
  <c r="AF355" i="11"/>
  <c r="AI355" i="11"/>
  <c r="D354" i="11"/>
  <c r="AH354" i="11"/>
  <c r="G354" i="11"/>
  <c r="AF354" i="11"/>
  <c r="AI354" i="11"/>
  <c r="D353" i="11"/>
  <c r="AH353" i="11"/>
  <c r="G353" i="11"/>
  <c r="AF353" i="11"/>
  <c r="AI353" i="11"/>
  <c r="D352" i="11"/>
  <c r="AH352" i="11"/>
  <c r="G352" i="11"/>
  <c r="AF352" i="11"/>
  <c r="AI352" i="11"/>
  <c r="D351" i="11"/>
  <c r="AH351" i="11"/>
  <c r="G351" i="11"/>
  <c r="AF351" i="11"/>
  <c r="AI351" i="11"/>
  <c r="D350" i="11"/>
  <c r="AH350" i="11"/>
  <c r="G350" i="11"/>
  <c r="AF350" i="11"/>
  <c r="AI350" i="11"/>
  <c r="D349" i="11"/>
  <c r="AH349" i="11"/>
  <c r="G349" i="11"/>
  <c r="AF349" i="11"/>
  <c r="AI349" i="11"/>
  <c r="D348" i="11"/>
  <c r="AH348" i="11"/>
  <c r="G348" i="11"/>
  <c r="AF348" i="11"/>
  <c r="AI348" i="11"/>
  <c r="D347" i="11"/>
  <c r="AH347" i="11"/>
  <c r="G347" i="11"/>
  <c r="AF347" i="11"/>
  <c r="AI347" i="11"/>
  <c r="D346" i="11"/>
  <c r="AH346" i="11"/>
  <c r="G346" i="11"/>
  <c r="AF346" i="11"/>
  <c r="AI346" i="11"/>
  <c r="D345" i="11"/>
  <c r="AH345" i="11"/>
  <c r="G345" i="11"/>
  <c r="AF345" i="11"/>
  <c r="AI345" i="11"/>
  <c r="D344" i="11"/>
  <c r="AH344" i="11"/>
  <c r="G344" i="11"/>
  <c r="AF344" i="11"/>
  <c r="AI344" i="11"/>
  <c r="D343" i="11"/>
  <c r="AH343" i="11"/>
  <c r="G343" i="11"/>
  <c r="AF343" i="11"/>
  <c r="AI343" i="11"/>
  <c r="D342" i="11"/>
  <c r="AH342" i="11"/>
  <c r="G342" i="11"/>
  <c r="AF342" i="11"/>
  <c r="AI342" i="11"/>
  <c r="D341" i="11"/>
  <c r="AH341" i="11"/>
  <c r="G341" i="11"/>
  <c r="AF341" i="11"/>
  <c r="AI341" i="11"/>
  <c r="D340" i="11"/>
  <c r="AH340" i="11"/>
  <c r="G340" i="11"/>
  <c r="AF340" i="11"/>
  <c r="AI340" i="11"/>
  <c r="D339" i="11"/>
  <c r="AH339" i="11"/>
  <c r="G339" i="11"/>
  <c r="AF339" i="11"/>
  <c r="AI339" i="11"/>
  <c r="D338" i="11"/>
  <c r="AH338" i="11"/>
  <c r="G338" i="11"/>
  <c r="AF338" i="11"/>
  <c r="AI338" i="11"/>
  <c r="D337" i="11"/>
  <c r="AH337" i="11"/>
  <c r="G337" i="11"/>
  <c r="AF337" i="11"/>
  <c r="AI337" i="11"/>
  <c r="D336" i="11"/>
  <c r="AH336" i="11"/>
  <c r="G336" i="11"/>
  <c r="AF336" i="11"/>
  <c r="AI336" i="11"/>
  <c r="D335" i="11"/>
  <c r="AH335" i="11"/>
  <c r="G335" i="11"/>
  <c r="AF335" i="11"/>
  <c r="AI335" i="11"/>
  <c r="D334" i="11"/>
  <c r="AH334" i="11"/>
  <c r="G334" i="11"/>
  <c r="AF334" i="11"/>
  <c r="AI334" i="11"/>
  <c r="D333" i="11"/>
  <c r="AH333" i="11"/>
  <c r="G333" i="11"/>
  <c r="AF333" i="11"/>
  <c r="AI333" i="11"/>
  <c r="D332" i="11"/>
  <c r="AH332" i="11"/>
  <c r="G332" i="11"/>
  <c r="AF332" i="11"/>
  <c r="AI332" i="11"/>
  <c r="D331" i="11"/>
  <c r="AH331" i="11"/>
  <c r="G331" i="11"/>
  <c r="AF331" i="11"/>
  <c r="AI331" i="11"/>
  <c r="D330" i="11"/>
  <c r="AH330" i="11"/>
  <c r="G330" i="11"/>
  <c r="AF330" i="11"/>
  <c r="AI330" i="11"/>
  <c r="D329" i="11"/>
  <c r="AH329" i="11"/>
  <c r="G329" i="11"/>
  <c r="AF329" i="11"/>
  <c r="AI329" i="11"/>
  <c r="D328" i="11"/>
  <c r="AH328" i="11"/>
  <c r="G328" i="11"/>
  <c r="AF328" i="11"/>
  <c r="AI328" i="11"/>
  <c r="D327" i="11"/>
  <c r="AH327" i="11"/>
  <c r="G327" i="11"/>
  <c r="AF327" i="11"/>
  <c r="AI327" i="11"/>
  <c r="D326" i="11"/>
  <c r="AH326" i="11"/>
  <c r="G326" i="11"/>
  <c r="AF326" i="11"/>
  <c r="AI326" i="11"/>
  <c r="D325" i="11"/>
  <c r="AH325" i="11"/>
  <c r="G325" i="11"/>
  <c r="AF325" i="11"/>
  <c r="AI325" i="11"/>
  <c r="D324" i="11"/>
  <c r="AH324" i="11"/>
  <c r="G324" i="11"/>
  <c r="AF324" i="11"/>
  <c r="AI324" i="11"/>
  <c r="D323" i="11"/>
  <c r="AH323" i="11"/>
  <c r="G323" i="11"/>
  <c r="AF323" i="11"/>
  <c r="AI323" i="11"/>
  <c r="D322" i="11"/>
  <c r="AH322" i="11"/>
  <c r="G322" i="11"/>
  <c r="AF322" i="11"/>
  <c r="AI322" i="11"/>
  <c r="D321" i="11"/>
  <c r="AH321" i="11"/>
  <c r="G321" i="11"/>
  <c r="AF321" i="11"/>
  <c r="AI321" i="11"/>
  <c r="D320" i="11"/>
  <c r="AH320" i="11"/>
  <c r="G320" i="11"/>
  <c r="AF320" i="11"/>
  <c r="AI320" i="11"/>
  <c r="D319" i="11"/>
  <c r="AH319" i="11"/>
  <c r="G319" i="11"/>
  <c r="AF319" i="11"/>
  <c r="AI319" i="11"/>
  <c r="D318" i="11"/>
  <c r="AH318" i="11"/>
  <c r="G318" i="11"/>
  <c r="AF318" i="11"/>
  <c r="AI318" i="11"/>
  <c r="D317" i="11"/>
  <c r="AH317" i="11"/>
  <c r="G317" i="11"/>
  <c r="AF317" i="11"/>
  <c r="AI317" i="11"/>
  <c r="D316" i="11"/>
  <c r="AH316" i="11"/>
  <c r="G316" i="11"/>
  <c r="AF316" i="11"/>
  <c r="AI316" i="11"/>
  <c r="D315" i="11"/>
  <c r="AH315" i="11"/>
  <c r="G315" i="11"/>
  <c r="AF315" i="11"/>
  <c r="AI315" i="11"/>
  <c r="D314" i="11"/>
  <c r="AH314" i="11"/>
  <c r="G314" i="11"/>
  <c r="AF314" i="11"/>
  <c r="AI314" i="11"/>
  <c r="D313" i="11"/>
  <c r="AH313" i="11"/>
  <c r="G313" i="11"/>
  <c r="AF313" i="11"/>
  <c r="AI313" i="11"/>
  <c r="D312" i="11"/>
  <c r="AH312" i="11"/>
  <c r="G312" i="11"/>
  <c r="AF312" i="11"/>
  <c r="AI312" i="11"/>
  <c r="D311" i="11"/>
  <c r="AH311" i="11"/>
  <c r="G311" i="11"/>
  <c r="AF311" i="11"/>
  <c r="AI311" i="11"/>
  <c r="D310" i="11"/>
  <c r="AH310" i="11"/>
  <c r="G310" i="11"/>
  <c r="AF310" i="11"/>
  <c r="AI310" i="11"/>
  <c r="D309" i="11"/>
  <c r="AH309" i="11"/>
  <c r="G309" i="11"/>
  <c r="AF309" i="11"/>
  <c r="AI309" i="11"/>
  <c r="D308" i="11"/>
  <c r="AH308" i="11"/>
  <c r="G308" i="11"/>
  <c r="AF308" i="11"/>
  <c r="AI308" i="11"/>
  <c r="D307" i="11"/>
  <c r="AH307" i="11"/>
  <c r="G307" i="11"/>
  <c r="AF307" i="11"/>
  <c r="AI307" i="11"/>
  <c r="D306" i="11"/>
  <c r="AH306" i="11"/>
  <c r="G306" i="11"/>
  <c r="AF306" i="11"/>
  <c r="AI306" i="11"/>
  <c r="D305" i="11"/>
  <c r="AH305" i="11"/>
  <c r="G305" i="11"/>
  <c r="AF305" i="11"/>
  <c r="AI305" i="11"/>
  <c r="D304" i="11"/>
  <c r="AH304" i="11"/>
  <c r="G304" i="11"/>
  <c r="AF304" i="11"/>
  <c r="AI304" i="11"/>
  <c r="D303" i="11"/>
  <c r="AH303" i="11"/>
  <c r="G303" i="11"/>
  <c r="AF303" i="11"/>
  <c r="AI303" i="11"/>
  <c r="D302" i="11"/>
  <c r="AH302" i="11"/>
  <c r="G302" i="11"/>
  <c r="AF302" i="11"/>
  <c r="AI302" i="11"/>
  <c r="D301" i="11"/>
  <c r="AH301" i="11"/>
  <c r="G301" i="11"/>
  <c r="AF301" i="11"/>
  <c r="AI301" i="11"/>
  <c r="D300" i="11"/>
  <c r="AH300" i="11"/>
  <c r="G300" i="11"/>
  <c r="AF300" i="11"/>
  <c r="AI300" i="11"/>
  <c r="D299" i="11"/>
  <c r="AH299" i="11"/>
  <c r="G299" i="11"/>
  <c r="AF299" i="11"/>
  <c r="AI299" i="11"/>
  <c r="D298" i="11"/>
  <c r="AH298" i="11"/>
  <c r="G298" i="11"/>
  <c r="AF298" i="11"/>
  <c r="AI298" i="11"/>
  <c r="D297" i="11"/>
  <c r="AH297" i="11"/>
  <c r="G297" i="11"/>
  <c r="AF297" i="11"/>
  <c r="AI297" i="11"/>
  <c r="D296" i="11"/>
  <c r="AH296" i="11"/>
  <c r="G296" i="11"/>
  <c r="AF296" i="11"/>
  <c r="AI296" i="11"/>
  <c r="D295" i="11"/>
  <c r="AH295" i="11"/>
  <c r="G295" i="11"/>
  <c r="AF295" i="11"/>
  <c r="AI295" i="11"/>
  <c r="D294" i="11"/>
  <c r="AH294" i="11"/>
  <c r="G294" i="11"/>
  <c r="AF294" i="11"/>
  <c r="AI294" i="11"/>
  <c r="D293" i="11"/>
  <c r="AH293" i="11"/>
  <c r="G293" i="11"/>
  <c r="AF293" i="11"/>
  <c r="AI293" i="11"/>
  <c r="D292" i="11"/>
  <c r="AH292" i="11"/>
  <c r="G292" i="11"/>
  <c r="AF292" i="11"/>
  <c r="AI292" i="11"/>
  <c r="D291" i="11"/>
  <c r="AH291" i="11"/>
  <c r="G291" i="11"/>
  <c r="AF291" i="11"/>
  <c r="AI291" i="11"/>
  <c r="D290" i="11"/>
  <c r="AH290" i="11"/>
  <c r="G290" i="11"/>
  <c r="AF290" i="11"/>
  <c r="AI290" i="11"/>
  <c r="D289" i="11"/>
  <c r="AH289" i="11"/>
  <c r="G289" i="11"/>
  <c r="AF289" i="11"/>
  <c r="AI289" i="11"/>
  <c r="D288" i="11"/>
  <c r="AH288" i="11"/>
  <c r="G288" i="11"/>
  <c r="AF288" i="11"/>
  <c r="AI288" i="11"/>
  <c r="D287" i="11"/>
  <c r="AH287" i="11"/>
  <c r="G287" i="11"/>
  <c r="AF287" i="11"/>
  <c r="AI287" i="11"/>
  <c r="D286" i="11"/>
  <c r="AH286" i="11"/>
  <c r="G286" i="11"/>
  <c r="AF286" i="11"/>
  <c r="AI286" i="11"/>
  <c r="D285" i="11"/>
  <c r="AH285" i="11"/>
  <c r="G285" i="11"/>
  <c r="AF285" i="11"/>
  <c r="AI285" i="11"/>
  <c r="D284" i="11"/>
  <c r="AH284" i="11"/>
  <c r="G284" i="11"/>
  <c r="AF284" i="11"/>
  <c r="AI284" i="11"/>
  <c r="D283" i="11"/>
  <c r="AH283" i="11"/>
  <c r="G283" i="11"/>
  <c r="AF283" i="11"/>
  <c r="AI283" i="11"/>
  <c r="D282" i="11"/>
  <c r="AH282" i="11"/>
  <c r="G282" i="11"/>
  <c r="AF282" i="11"/>
  <c r="AI282" i="11"/>
  <c r="D281" i="11"/>
  <c r="AH281" i="11"/>
  <c r="G281" i="11"/>
  <c r="AF281" i="11"/>
  <c r="AI281" i="11"/>
  <c r="D280" i="11"/>
  <c r="AH280" i="11"/>
  <c r="G280" i="11"/>
  <c r="AF280" i="11"/>
  <c r="AI280" i="11"/>
  <c r="D279" i="11"/>
  <c r="AH279" i="11"/>
  <c r="G279" i="11"/>
  <c r="AF279" i="11"/>
  <c r="AI279" i="11"/>
  <c r="D278" i="11"/>
  <c r="AH278" i="11"/>
  <c r="G278" i="11"/>
  <c r="AF278" i="11"/>
  <c r="AI278" i="11"/>
  <c r="D277" i="11"/>
  <c r="AH277" i="11"/>
  <c r="G277" i="11"/>
  <c r="AF277" i="11"/>
  <c r="AI277" i="11"/>
  <c r="D276" i="11"/>
  <c r="AH276" i="11"/>
  <c r="G276" i="11"/>
  <c r="AF276" i="11"/>
  <c r="AI276" i="11"/>
  <c r="D275" i="11"/>
  <c r="AH275" i="11"/>
  <c r="G275" i="11"/>
  <c r="AF275" i="11"/>
  <c r="AI275" i="11"/>
  <c r="D274" i="11"/>
  <c r="AH274" i="11"/>
  <c r="G274" i="11"/>
  <c r="AF274" i="11"/>
  <c r="AI274" i="11"/>
  <c r="D273" i="11"/>
  <c r="AH273" i="11"/>
  <c r="G273" i="11"/>
  <c r="AF273" i="11"/>
  <c r="AI273" i="11"/>
  <c r="D272" i="11"/>
  <c r="AH272" i="11"/>
  <c r="G272" i="11"/>
  <c r="AF272" i="11"/>
  <c r="AI272" i="11"/>
  <c r="D271" i="11"/>
  <c r="AH271" i="11"/>
  <c r="G271" i="11"/>
  <c r="AF271" i="11"/>
  <c r="AI271" i="11"/>
  <c r="D270" i="11"/>
  <c r="AH270" i="11"/>
  <c r="G270" i="11"/>
  <c r="AF270" i="11"/>
  <c r="AI270" i="11"/>
  <c r="D269" i="11"/>
  <c r="AH269" i="11"/>
  <c r="G269" i="11"/>
  <c r="AF269" i="11"/>
  <c r="AI269" i="11"/>
  <c r="D268" i="11"/>
  <c r="AH268" i="11"/>
  <c r="G268" i="11"/>
  <c r="AF268" i="11"/>
  <c r="AI268" i="11"/>
  <c r="D267" i="11"/>
  <c r="AH267" i="11"/>
  <c r="G267" i="11"/>
  <c r="AF267" i="11"/>
  <c r="AI267" i="11"/>
  <c r="D266" i="11"/>
  <c r="AH266" i="11"/>
  <c r="G266" i="11"/>
  <c r="AF266" i="11"/>
  <c r="AI266" i="11"/>
  <c r="D265" i="11"/>
  <c r="AH265" i="11"/>
  <c r="G265" i="11"/>
  <c r="AF265" i="11"/>
  <c r="AI265" i="11"/>
  <c r="D264" i="11"/>
  <c r="AH264" i="11"/>
  <c r="G264" i="11"/>
  <c r="AF264" i="11"/>
  <c r="AI264" i="11"/>
  <c r="D263" i="11"/>
  <c r="AH263" i="11"/>
  <c r="G263" i="11"/>
  <c r="AF263" i="11"/>
  <c r="AI263" i="11"/>
  <c r="D262" i="11"/>
  <c r="AH262" i="11"/>
  <c r="G262" i="11"/>
  <c r="AF262" i="11"/>
  <c r="AI262" i="11"/>
  <c r="D261" i="11"/>
  <c r="AH261" i="11"/>
  <c r="G261" i="11"/>
  <c r="AF261" i="11"/>
  <c r="AI261" i="11"/>
  <c r="D260" i="11"/>
  <c r="AH260" i="11"/>
  <c r="G260" i="11"/>
  <c r="AF260" i="11"/>
  <c r="AI260" i="11"/>
  <c r="D259" i="11"/>
  <c r="AH259" i="11"/>
  <c r="G259" i="11"/>
  <c r="AF259" i="11"/>
  <c r="AI259" i="11"/>
  <c r="D258" i="11"/>
  <c r="AH258" i="11"/>
  <c r="G258" i="11"/>
  <c r="AF258" i="11"/>
  <c r="AI258" i="11"/>
  <c r="D257" i="11"/>
  <c r="AH257" i="11"/>
  <c r="G257" i="11"/>
  <c r="AF257" i="11"/>
  <c r="AI257" i="11"/>
  <c r="D256" i="11"/>
  <c r="AH256" i="11"/>
  <c r="G256" i="11"/>
  <c r="AF256" i="11"/>
  <c r="AI256" i="11"/>
  <c r="D255" i="11"/>
  <c r="AH255" i="11"/>
  <c r="G255" i="11"/>
  <c r="AF255" i="11"/>
  <c r="AI255" i="11"/>
  <c r="D254" i="11"/>
  <c r="AH254" i="11"/>
  <c r="G254" i="11"/>
  <c r="AF254" i="11"/>
  <c r="AI254" i="11"/>
  <c r="D253" i="11"/>
  <c r="AH253" i="11"/>
  <c r="G253" i="11"/>
  <c r="AF253" i="11"/>
  <c r="AI253" i="11"/>
  <c r="D252" i="11"/>
  <c r="AH252" i="11"/>
  <c r="G252" i="11"/>
  <c r="AF252" i="11"/>
  <c r="AI252" i="11"/>
  <c r="D251" i="11"/>
  <c r="AH251" i="11"/>
  <c r="G251" i="11"/>
  <c r="AF251" i="11"/>
  <c r="AI251" i="11"/>
  <c r="D250" i="11"/>
  <c r="AH250" i="11"/>
  <c r="G250" i="11"/>
  <c r="AF250" i="11"/>
  <c r="AI250" i="11"/>
  <c r="D249" i="11"/>
  <c r="AH249" i="11"/>
  <c r="G249" i="11"/>
  <c r="AF249" i="11"/>
  <c r="AI249" i="11"/>
  <c r="D248" i="11"/>
  <c r="AH248" i="11"/>
  <c r="G248" i="11"/>
  <c r="AF248" i="11"/>
  <c r="AI248" i="11"/>
  <c r="D247" i="11"/>
  <c r="AH247" i="11"/>
  <c r="G247" i="11"/>
  <c r="AF247" i="11"/>
  <c r="AI247" i="11"/>
  <c r="D246" i="11"/>
  <c r="AH246" i="11"/>
  <c r="G246" i="11"/>
  <c r="AF246" i="11"/>
  <c r="AI246" i="11"/>
  <c r="D245" i="11"/>
  <c r="AH245" i="11"/>
  <c r="G245" i="11"/>
  <c r="AF245" i="11"/>
  <c r="AI245" i="11"/>
  <c r="D244" i="11"/>
  <c r="AH244" i="11"/>
  <c r="G244" i="11"/>
  <c r="AF244" i="11"/>
  <c r="AI244" i="11"/>
  <c r="D243" i="11"/>
  <c r="AH243" i="11"/>
  <c r="G243" i="11"/>
  <c r="AF243" i="11"/>
  <c r="AI243" i="11"/>
  <c r="D242" i="11"/>
  <c r="AH242" i="11"/>
  <c r="G242" i="11"/>
  <c r="AF242" i="11"/>
  <c r="AI242" i="11"/>
  <c r="D241" i="11"/>
  <c r="AH241" i="11"/>
  <c r="G241" i="11"/>
  <c r="AF241" i="11"/>
  <c r="AI241" i="11"/>
  <c r="D240" i="11"/>
  <c r="AH240" i="11"/>
  <c r="G240" i="11"/>
  <c r="AF240" i="11"/>
  <c r="AI240" i="11"/>
  <c r="D239" i="11"/>
  <c r="AH239" i="11"/>
  <c r="G239" i="11"/>
  <c r="AF239" i="11"/>
  <c r="AI239" i="11"/>
  <c r="D238" i="11"/>
  <c r="AH238" i="11"/>
  <c r="G238" i="11"/>
  <c r="AF238" i="11"/>
  <c r="AI238" i="11"/>
  <c r="D237" i="11"/>
  <c r="AH237" i="11"/>
  <c r="G237" i="11"/>
  <c r="AF237" i="11"/>
  <c r="AI237" i="11"/>
  <c r="D236" i="11"/>
  <c r="AH236" i="11"/>
  <c r="G236" i="11"/>
  <c r="AF236" i="11"/>
  <c r="AI236" i="11"/>
  <c r="D235" i="11"/>
  <c r="AH235" i="11"/>
  <c r="G235" i="11"/>
  <c r="AF235" i="11"/>
  <c r="AI235" i="11"/>
  <c r="D234" i="11"/>
  <c r="AH234" i="11"/>
  <c r="G234" i="11"/>
  <c r="AF234" i="11"/>
  <c r="AI234" i="11"/>
  <c r="D233" i="11"/>
  <c r="AH233" i="11"/>
  <c r="G233" i="11"/>
  <c r="AF233" i="11"/>
  <c r="AI233" i="11"/>
  <c r="D232" i="11"/>
  <c r="AH232" i="11"/>
  <c r="G232" i="11"/>
  <c r="AF232" i="11"/>
  <c r="AI232" i="11"/>
  <c r="D231" i="11"/>
  <c r="AH231" i="11"/>
  <c r="G231" i="11"/>
  <c r="AF231" i="11"/>
  <c r="AI231" i="11"/>
  <c r="D230" i="11"/>
  <c r="AH230" i="11"/>
  <c r="G230" i="11"/>
  <c r="AF230" i="11"/>
  <c r="AI230" i="11"/>
  <c r="D229" i="11"/>
  <c r="AH229" i="11"/>
  <c r="G229" i="11"/>
  <c r="AF229" i="11"/>
  <c r="AI229" i="11"/>
  <c r="D228" i="11"/>
  <c r="AH228" i="11"/>
  <c r="G228" i="11"/>
  <c r="AF228" i="11"/>
  <c r="AI228" i="11"/>
  <c r="D227" i="11"/>
  <c r="AH227" i="11"/>
  <c r="G227" i="11"/>
  <c r="AF227" i="11"/>
  <c r="AI227" i="11"/>
  <c r="D226" i="11"/>
  <c r="AH226" i="11"/>
  <c r="G226" i="11"/>
  <c r="AF226" i="11"/>
  <c r="AI226" i="11"/>
  <c r="D225" i="11"/>
  <c r="AH225" i="11"/>
  <c r="G225" i="11"/>
  <c r="AF225" i="11"/>
  <c r="AI225" i="11"/>
  <c r="D224" i="11"/>
  <c r="AH224" i="11"/>
  <c r="G224" i="11"/>
  <c r="AF224" i="11"/>
  <c r="AI224" i="11"/>
  <c r="D223" i="11"/>
  <c r="AH223" i="11"/>
  <c r="G223" i="11"/>
  <c r="AF223" i="11"/>
  <c r="AI223" i="11"/>
  <c r="D222" i="11"/>
  <c r="AH222" i="11"/>
  <c r="G222" i="11"/>
  <c r="AF222" i="11"/>
  <c r="AI222" i="11"/>
  <c r="D221" i="11"/>
  <c r="AH221" i="11"/>
  <c r="G221" i="11"/>
  <c r="AF221" i="11"/>
  <c r="AI221" i="11"/>
  <c r="D220" i="11"/>
  <c r="AH220" i="11"/>
  <c r="G220" i="11"/>
  <c r="AF220" i="11"/>
  <c r="AI220" i="11"/>
  <c r="D219" i="11"/>
  <c r="AH219" i="11"/>
  <c r="G219" i="11"/>
  <c r="AF219" i="11"/>
  <c r="AI219" i="11"/>
  <c r="D218" i="11"/>
  <c r="AH218" i="11"/>
  <c r="G218" i="11"/>
  <c r="AF218" i="11"/>
  <c r="AI218" i="11"/>
  <c r="D217" i="11"/>
  <c r="AH217" i="11"/>
  <c r="G217" i="11"/>
  <c r="AF217" i="11"/>
  <c r="AI217" i="11"/>
  <c r="D216" i="11"/>
  <c r="AH216" i="11"/>
  <c r="G216" i="11"/>
  <c r="AF216" i="11"/>
  <c r="AI216" i="11"/>
  <c r="D215" i="11"/>
  <c r="AH215" i="11"/>
  <c r="G215" i="11"/>
  <c r="AF215" i="11"/>
  <c r="AI215" i="11"/>
  <c r="D214" i="11"/>
  <c r="AH214" i="11"/>
  <c r="G214" i="11"/>
  <c r="AF214" i="11"/>
  <c r="AI214" i="11"/>
  <c r="D213" i="11"/>
  <c r="AH213" i="11"/>
  <c r="G213" i="11"/>
  <c r="AF213" i="11"/>
  <c r="AI213" i="11"/>
  <c r="D212" i="11"/>
  <c r="AH212" i="11"/>
  <c r="G212" i="11"/>
  <c r="AF212" i="11"/>
  <c r="AI212" i="11"/>
  <c r="D211" i="11"/>
  <c r="AH211" i="11"/>
  <c r="G211" i="11"/>
  <c r="AF211" i="11"/>
  <c r="AI211" i="11"/>
  <c r="D210" i="11"/>
  <c r="AH210" i="11"/>
  <c r="G210" i="11"/>
  <c r="AF210" i="11"/>
  <c r="AI210" i="11"/>
  <c r="D209" i="11"/>
  <c r="AH209" i="11"/>
  <c r="G209" i="11"/>
  <c r="AF209" i="11"/>
  <c r="AI209" i="11"/>
  <c r="D208" i="11"/>
  <c r="AH208" i="11"/>
  <c r="G208" i="11"/>
  <c r="AF208" i="11"/>
  <c r="AI208" i="11"/>
  <c r="D207" i="11"/>
  <c r="AH207" i="11"/>
  <c r="G207" i="11"/>
  <c r="AF207" i="11"/>
  <c r="AI207" i="11"/>
  <c r="D206" i="11"/>
  <c r="AH206" i="11"/>
  <c r="G206" i="11"/>
  <c r="AF206" i="11"/>
  <c r="AI206" i="11"/>
  <c r="D205" i="11"/>
  <c r="AH205" i="11"/>
  <c r="G205" i="11"/>
  <c r="AF205" i="11"/>
  <c r="AI205" i="11"/>
  <c r="D204" i="11"/>
  <c r="AH204" i="11"/>
  <c r="G204" i="11"/>
  <c r="AF204" i="11"/>
  <c r="AI204" i="11"/>
  <c r="D203" i="11"/>
  <c r="AH203" i="11"/>
  <c r="G203" i="11"/>
  <c r="AF203" i="11"/>
  <c r="AI203" i="11"/>
  <c r="D202" i="11"/>
  <c r="AH202" i="11"/>
  <c r="G202" i="11"/>
  <c r="AF202" i="11"/>
  <c r="AI202" i="11"/>
  <c r="D201" i="11"/>
  <c r="AH201" i="11"/>
  <c r="G201" i="11"/>
  <c r="AF201" i="11"/>
  <c r="AI201" i="11"/>
  <c r="D200" i="11"/>
  <c r="AH200" i="11"/>
  <c r="G200" i="11"/>
  <c r="AF200" i="11"/>
  <c r="AI200" i="11"/>
  <c r="D199" i="11"/>
  <c r="AH199" i="11"/>
  <c r="G199" i="11"/>
  <c r="AF199" i="11"/>
  <c r="AI199" i="11"/>
  <c r="D198" i="11"/>
  <c r="AH198" i="11"/>
  <c r="G198" i="11"/>
  <c r="AF198" i="11"/>
  <c r="AI198" i="11"/>
  <c r="D197" i="11"/>
  <c r="AH197" i="11"/>
  <c r="G197" i="11"/>
  <c r="AF197" i="11"/>
  <c r="AI197" i="11"/>
  <c r="D196" i="11"/>
  <c r="AH196" i="11"/>
  <c r="G196" i="11"/>
  <c r="AF196" i="11"/>
  <c r="AI196" i="11"/>
  <c r="D195" i="11"/>
  <c r="AH195" i="11"/>
  <c r="G195" i="11"/>
  <c r="AF195" i="11"/>
  <c r="AI195" i="11"/>
  <c r="D194" i="11"/>
  <c r="AH194" i="11"/>
  <c r="G194" i="11"/>
  <c r="AF194" i="11"/>
  <c r="AI194" i="11"/>
  <c r="D193" i="11"/>
  <c r="AH193" i="11"/>
  <c r="G193" i="11"/>
  <c r="AF193" i="11"/>
  <c r="AI193" i="11"/>
  <c r="D192" i="11"/>
  <c r="AH192" i="11"/>
  <c r="G192" i="11"/>
  <c r="AF192" i="11"/>
  <c r="AI192" i="11"/>
  <c r="D191" i="11"/>
  <c r="AH191" i="11"/>
  <c r="G191" i="11"/>
  <c r="AF191" i="11"/>
  <c r="AI191" i="11"/>
  <c r="D190" i="11"/>
  <c r="AH190" i="11"/>
  <c r="G190" i="11"/>
  <c r="AF190" i="11"/>
  <c r="AI190" i="11"/>
  <c r="D189" i="11"/>
  <c r="AH189" i="11"/>
  <c r="G189" i="11"/>
  <c r="AF189" i="11"/>
  <c r="AI189" i="11"/>
  <c r="D188" i="11"/>
  <c r="AH188" i="11"/>
  <c r="G188" i="11"/>
  <c r="AF188" i="11"/>
  <c r="AI188" i="11"/>
  <c r="D187" i="11"/>
  <c r="AH187" i="11"/>
  <c r="G187" i="11"/>
  <c r="AF187" i="11"/>
  <c r="AI187" i="11"/>
  <c r="D186" i="11"/>
  <c r="AH186" i="11"/>
  <c r="G186" i="11"/>
  <c r="AF186" i="11"/>
  <c r="AI186" i="11"/>
  <c r="D185" i="11"/>
  <c r="AH185" i="11"/>
  <c r="G185" i="11"/>
  <c r="AF185" i="11"/>
  <c r="AI185" i="11"/>
  <c r="D184" i="11"/>
  <c r="AH184" i="11"/>
  <c r="G184" i="11"/>
  <c r="AF184" i="11"/>
  <c r="AI184" i="11"/>
  <c r="D183" i="11"/>
  <c r="AH183" i="11"/>
  <c r="G183" i="11"/>
  <c r="AF183" i="11"/>
  <c r="AI183" i="11"/>
  <c r="D182" i="11"/>
  <c r="AH182" i="11"/>
  <c r="G182" i="11"/>
  <c r="AF182" i="11"/>
  <c r="AI182" i="11"/>
  <c r="D181" i="11"/>
  <c r="AH181" i="11"/>
  <c r="G181" i="11"/>
  <c r="AF181" i="11"/>
  <c r="AI181" i="11"/>
  <c r="D180" i="11"/>
  <c r="AH180" i="11"/>
  <c r="G180" i="11"/>
  <c r="AF180" i="11"/>
  <c r="AI180" i="11"/>
  <c r="D179" i="11"/>
  <c r="AH179" i="11"/>
  <c r="G179" i="11"/>
  <c r="AF179" i="11"/>
  <c r="AI179" i="11"/>
  <c r="D178" i="11"/>
  <c r="AH178" i="11"/>
  <c r="G178" i="11"/>
  <c r="AF178" i="11"/>
  <c r="AI178" i="11"/>
  <c r="D177" i="11"/>
  <c r="AH177" i="11"/>
  <c r="G177" i="11"/>
  <c r="AF177" i="11"/>
  <c r="AI177" i="11"/>
  <c r="D176" i="11"/>
  <c r="AH176" i="11"/>
  <c r="G176" i="11"/>
  <c r="AF176" i="11"/>
  <c r="AI176" i="11"/>
  <c r="D175" i="11"/>
  <c r="AH175" i="11"/>
  <c r="G175" i="11"/>
  <c r="AF175" i="11"/>
  <c r="AI175" i="11"/>
  <c r="D174" i="11"/>
  <c r="AH174" i="11"/>
  <c r="G174" i="11"/>
  <c r="AF174" i="11"/>
  <c r="AI174" i="11"/>
  <c r="D173" i="11"/>
  <c r="AH173" i="11"/>
  <c r="G173" i="11"/>
  <c r="AF173" i="11"/>
  <c r="AI173" i="11"/>
  <c r="D172" i="11"/>
  <c r="AH172" i="11"/>
  <c r="G172" i="11"/>
  <c r="AF172" i="11"/>
  <c r="AI172" i="11"/>
  <c r="D171" i="11"/>
  <c r="AH171" i="11"/>
  <c r="G171" i="11"/>
  <c r="AF171" i="11"/>
  <c r="AI171" i="11"/>
  <c r="D170" i="11"/>
  <c r="AH170" i="11"/>
  <c r="G170" i="11"/>
  <c r="AF170" i="11"/>
  <c r="AI170" i="11"/>
  <c r="D169" i="11"/>
  <c r="AH169" i="11"/>
  <c r="G169" i="11"/>
  <c r="AF169" i="11"/>
  <c r="AI169" i="11"/>
  <c r="D168" i="11"/>
  <c r="AH168" i="11"/>
  <c r="G168" i="11"/>
  <c r="AF168" i="11"/>
  <c r="AI168" i="11"/>
  <c r="D167" i="11"/>
  <c r="AH167" i="11"/>
  <c r="G167" i="11"/>
  <c r="AF167" i="11"/>
  <c r="AI167" i="11"/>
  <c r="D166" i="11"/>
  <c r="AH166" i="11"/>
  <c r="G166" i="11"/>
  <c r="AF166" i="11"/>
  <c r="AI166" i="11"/>
  <c r="D165" i="11"/>
  <c r="AH165" i="11"/>
  <c r="G165" i="11"/>
  <c r="AF165" i="11"/>
  <c r="AI165" i="11"/>
  <c r="D164" i="11"/>
  <c r="AH164" i="11"/>
  <c r="G164" i="11"/>
  <c r="AF164" i="11"/>
  <c r="AI164" i="11"/>
  <c r="D163" i="11"/>
  <c r="AH163" i="11"/>
  <c r="G163" i="11"/>
  <c r="AF163" i="11"/>
  <c r="AI163" i="11"/>
  <c r="D162" i="11"/>
  <c r="AH162" i="11"/>
  <c r="G162" i="11"/>
  <c r="AF162" i="11"/>
  <c r="AI162" i="11"/>
  <c r="D161" i="11"/>
  <c r="AH161" i="11"/>
  <c r="G161" i="11"/>
  <c r="AF161" i="11"/>
  <c r="AI161" i="11"/>
  <c r="D160" i="11"/>
  <c r="AH160" i="11"/>
  <c r="G160" i="11"/>
  <c r="AF160" i="11"/>
  <c r="AI160" i="11"/>
  <c r="D159" i="11"/>
  <c r="AH159" i="11"/>
  <c r="G159" i="11"/>
  <c r="AF159" i="11"/>
  <c r="AI159" i="11"/>
  <c r="D158" i="11"/>
  <c r="AH158" i="11"/>
  <c r="G158" i="11"/>
  <c r="AF158" i="11"/>
  <c r="AI158" i="11"/>
  <c r="D157" i="11"/>
  <c r="AH157" i="11"/>
  <c r="G157" i="11"/>
  <c r="AF157" i="11"/>
  <c r="AI157" i="11"/>
  <c r="D156" i="11"/>
  <c r="AH156" i="11"/>
  <c r="G156" i="11"/>
  <c r="AF156" i="11"/>
  <c r="AI156" i="11"/>
  <c r="D155" i="11"/>
  <c r="AH155" i="11"/>
  <c r="G155" i="11"/>
  <c r="AF155" i="11"/>
  <c r="AI155" i="11"/>
  <c r="D154" i="11"/>
  <c r="AH154" i="11"/>
  <c r="G154" i="11"/>
  <c r="AF154" i="11"/>
  <c r="AI154" i="11"/>
  <c r="D153" i="11"/>
  <c r="AH153" i="11"/>
  <c r="G153" i="11"/>
  <c r="AF153" i="11"/>
  <c r="AI153" i="11"/>
  <c r="D152" i="11"/>
  <c r="AH152" i="11"/>
  <c r="G152" i="11"/>
  <c r="AF152" i="11"/>
  <c r="AI152" i="11"/>
  <c r="D151" i="11"/>
  <c r="AH151" i="11"/>
  <c r="G151" i="11"/>
  <c r="H151" i="11"/>
  <c r="AF151" i="11"/>
  <c r="AI151" i="11"/>
  <c r="D150" i="11"/>
  <c r="AH150" i="11"/>
  <c r="G150" i="11"/>
  <c r="H150" i="11"/>
  <c r="AF150" i="11"/>
  <c r="AI150" i="11"/>
  <c r="D149" i="11"/>
  <c r="AH149" i="11"/>
  <c r="G149" i="11"/>
  <c r="AF149" i="11"/>
  <c r="AI149" i="11"/>
  <c r="D148" i="11"/>
  <c r="AH148" i="11"/>
  <c r="G148" i="11"/>
  <c r="AF148" i="11"/>
  <c r="AI148" i="11"/>
  <c r="D147" i="11"/>
  <c r="AH147" i="11"/>
  <c r="G147" i="11"/>
  <c r="AF147" i="11"/>
  <c r="AI147" i="11"/>
  <c r="D146" i="11"/>
  <c r="AH146" i="11"/>
  <c r="G146" i="11"/>
  <c r="AF146" i="11"/>
  <c r="AI146" i="11"/>
  <c r="D145" i="11"/>
  <c r="AH145" i="11"/>
  <c r="G145" i="11"/>
  <c r="AF145" i="11"/>
  <c r="AI145" i="11"/>
  <c r="D144" i="11"/>
  <c r="AH144" i="11"/>
  <c r="G144" i="11"/>
  <c r="AF144" i="11"/>
  <c r="AI144" i="11"/>
  <c r="D143" i="11"/>
  <c r="AH143" i="11"/>
  <c r="G143" i="11"/>
  <c r="AF143" i="11"/>
  <c r="AI143" i="11"/>
  <c r="D142" i="11"/>
  <c r="AH142" i="11"/>
  <c r="G142" i="11"/>
  <c r="AF142" i="11"/>
  <c r="AI142" i="11"/>
  <c r="D141" i="11"/>
  <c r="AH141" i="11"/>
  <c r="G141" i="11"/>
  <c r="AF141" i="11"/>
  <c r="AI141" i="11"/>
  <c r="D140" i="11"/>
  <c r="AH140" i="11"/>
  <c r="G140" i="11"/>
  <c r="AF140" i="11"/>
  <c r="AI140" i="11"/>
  <c r="D139" i="11"/>
  <c r="AH139" i="11"/>
  <c r="G139" i="11"/>
  <c r="AF139" i="11"/>
  <c r="AI139" i="11"/>
  <c r="D138" i="11"/>
  <c r="AH138" i="11"/>
  <c r="G138" i="11"/>
  <c r="AF138" i="11"/>
  <c r="AI138" i="11"/>
  <c r="D137" i="11"/>
  <c r="AH137" i="11"/>
  <c r="G137" i="11"/>
  <c r="AF137" i="11"/>
  <c r="AI137" i="11"/>
  <c r="D136" i="11"/>
  <c r="AH136" i="11"/>
  <c r="G136" i="11"/>
  <c r="AF136" i="11"/>
  <c r="AI136" i="11"/>
  <c r="D135" i="11"/>
  <c r="AH135" i="11"/>
  <c r="G135" i="11"/>
  <c r="AF135" i="11"/>
  <c r="AI135" i="11"/>
  <c r="D134" i="11"/>
  <c r="AH134" i="11"/>
  <c r="G134" i="11"/>
  <c r="AF134" i="11"/>
  <c r="AI134" i="11"/>
  <c r="D133" i="11"/>
  <c r="AH133" i="11"/>
  <c r="G133" i="11"/>
  <c r="AF133" i="11"/>
  <c r="AI133" i="11"/>
  <c r="D132" i="11"/>
  <c r="AH132" i="11"/>
  <c r="G132" i="11"/>
  <c r="AF132" i="11"/>
  <c r="AI132" i="11"/>
  <c r="D131" i="11"/>
  <c r="AH131" i="11"/>
  <c r="G131" i="11"/>
  <c r="AF131" i="11"/>
  <c r="AI131" i="11"/>
  <c r="D130" i="11"/>
  <c r="AH130" i="11"/>
  <c r="G130" i="11"/>
  <c r="AF130" i="11"/>
  <c r="AI130" i="11"/>
  <c r="D129" i="11"/>
  <c r="AH129" i="11"/>
  <c r="G129" i="11"/>
  <c r="AF129" i="11"/>
  <c r="AI129" i="11"/>
  <c r="D128" i="11"/>
  <c r="AH128" i="11"/>
  <c r="G128" i="11"/>
  <c r="AF128" i="11"/>
  <c r="AI128" i="11"/>
  <c r="D127" i="11"/>
  <c r="AH127" i="11"/>
  <c r="G127" i="11"/>
  <c r="AF127" i="11"/>
  <c r="AI127" i="11"/>
  <c r="D126" i="11"/>
  <c r="AH126" i="11"/>
  <c r="G126" i="11"/>
  <c r="AF126" i="11"/>
  <c r="AI126" i="11"/>
  <c r="D125" i="11"/>
  <c r="AH125" i="11"/>
  <c r="G125" i="11"/>
  <c r="AF125" i="11"/>
  <c r="AI125" i="11"/>
  <c r="D124" i="11"/>
  <c r="AH124" i="11"/>
  <c r="G124" i="11"/>
  <c r="AF124" i="11"/>
  <c r="AI124" i="11"/>
  <c r="D123" i="11"/>
  <c r="AH123" i="11"/>
  <c r="G123" i="11"/>
  <c r="AF123" i="11"/>
  <c r="AI123" i="11"/>
  <c r="D122" i="11"/>
  <c r="AH122" i="11"/>
  <c r="G122" i="11"/>
  <c r="AF122" i="11"/>
  <c r="AI122" i="11"/>
  <c r="D121" i="11"/>
  <c r="AH121" i="11"/>
  <c r="G121" i="11"/>
  <c r="AF121" i="11"/>
  <c r="AI121" i="11"/>
  <c r="D120" i="11"/>
  <c r="AH120" i="11"/>
  <c r="G120" i="11"/>
  <c r="AF120" i="11"/>
  <c r="AI120" i="11"/>
  <c r="D119" i="11"/>
  <c r="AH119" i="11"/>
  <c r="G119" i="11"/>
  <c r="AF119" i="11"/>
  <c r="AI119" i="11"/>
  <c r="D118" i="11"/>
  <c r="AH118" i="11"/>
  <c r="G118" i="11"/>
  <c r="AF118" i="11"/>
  <c r="AI118" i="11"/>
  <c r="D117" i="11"/>
  <c r="AH117" i="11"/>
  <c r="G117" i="11"/>
  <c r="AF117" i="11"/>
  <c r="AI117" i="11"/>
  <c r="D116" i="11"/>
  <c r="AH116" i="11"/>
  <c r="G116" i="11"/>
  <c r="AF116" i="11"/>
  <c r="AI116" i="11"/>
  <c r="D115" i="11"/>
  <c r="AH115" i="11"/>
  <c r="G115" i="11"/>
  <c r="AF115" i="11"/>
  <c r="AI115" i="11"/>
  <c r="D114" i="11"/>
  <c r="AH114" i="11"/>
  <c r="G114" i="11"/>
  <c r="AF114" i="11"/>
  <c r="AI114" i="11"/>
  <c r="D113" i="11"/>
  <c r="AH113" i="11"/>
  <c r="G113" i="11"/>
  <c r="AF113" i="11"/>
  <c r="AI113" i="11"/>
  <c r="D112" i="11"/>
  <c r="AH112" i="11"/>
  <c r="G112" i="11"/>
  <c r="AF112" i="11"/>
  <c r="AI112" i="11"/>
  <c r="D111" i="11"/>
  <c r="AH111" i="11"/>
  <c r="G111" i="11"/>
  <c r="AF111" i="11"/>
  <c r="AI111" i="11"/>
  <c r="D110" i="11"/>
  <c r="AH110" i="11"/>
  <c r="G110" i="11"/>
  <c r="AF110" i="11"/>
  <c r="AI110" i="11"/>
  <c r="D109" i="11"/>
  <c r="AH109" i="11"/>
  <c r="G109" i="11"/>
  <c r="AF109" i="11"/>
  <c r="AI109" i="11"/>
  <c r="D108" i="11"/>
  <c r="AH108" i="11"/>
  <c r="G108" i="11"/>
  <c r="AF108" i="11"/>
  <c r="AI108" i="11"/>
  <c r="D107" i="11"/>
  <c r="AH107" i="11"/>
  <c r="G107" i="11"/>
  <c r="AF107" i="11"/>
  <c r="AI107" i="11"/>
  <c r="D106" i="11"/>
  <c r="AH106" i="11"/>
  <c r="G106" i="11"/>
  <c r="AF106" i="11"/>
  <c r="AI106" i="11"/>
  <c r="D105" i="11"/>
  <c r="AH105" i="11"/>
  <c r="G105" i="11"/>
  <c r="AF105" i="11"/>
  <c r="AI105" i="11"/>
  <c r="D104" i="11"/>
  <c r="AH104" i="11"/>
  <c r="G104" i="11"/>
  <c r="AF104" i="11"/>
  <c r="AI104" i="11"/>
  <c r="D103" i="11"/>
  <c r="AH103" i="11"/>
  <c r="G103" i="11"/>
  <c r="AF103" i="11"/>
  <c r="AI103" i="11"/>
  <c r="D102" i="11"/>
  <c r="AH102" i="11"/>
  <c r="G102" i="11"/>
  <c r="AF102" i="11"/>
  <c r="AI102" i="11"/>
  <c r="D101" i="11"/>
  <c r="AH101" i="11"/>
  <c r="G101" i="11"/>
  <c r="AF101" i="11"/>
  <c r="AI101" i="11"/>
  <c r="D100" i="11"/>
  <c r="AH100" i="11"/>
  <c r="G100" i="11"/>
  <c r="AF100" i="11"/>
  <c r="AI100" i="11"/>
  <c r="D99" i="11"/>
  <c r="AH99" i="11"/>
  <c r="G99" i="11"/>
  <c r="AF99" i="11"/>
  <c r="AI99" i="11"/>
  <c r="D98" i="11"/>
  <c r="AH98" i="11"/>
  <c r="G98" i="11"/>
  <c r="AF98" i="11"/>
  <c r="AI98" i="11"/>
  <c r="D97" i="11"/>
  <c r="AH97" i="11"/>
  <c r="G97" i="11"/>
  <c r="AF97" i="11"/>
  <c r="AI97" i="11"/>
  <c r="D96" i="11"/>
  <c r="AH96" i="11"/>
  <c r="G96" i="11"/>
  <c r="AF96" i="11"/>
  <c r="AI96" i="11"/>
  <c r="D95" i="11"/>
  <c r="AH95" i="11"/>
  <c r="G95" i="11"/>
  <c r="AF95" i="11"/>
  <c r="AI95" i="11"/>
  <c r="D94" i="11"/>
  <c r="AH94" i="11"/>
  <c r="G94" i="11"/>
  <c r="AF94" i="11"/>
  <c r="AI94" i="11"/>
  <c r="D93" i="11"/>
  <c r="AH93" i="11"/>
  <c r="G93" i="11"/>
  <c r="AF93" i="11"/>
  <c r="AI93" i="11"/>
  <c r="D92" i="11"/>
  <c r="AH92" i="11"/>
  <c r="G92" i="11"/>
  <c r="AF92" i="11"/>
  <c r="AI92" i="11"/>
  <c r="D91" i="11"/>
  <c r="AH91" i="11"/>
  <c r="G91" i="11"/>
  <c r="AF91" i="11"/>
  <c r="AI91" i="11"/>
  <c r="D90" i="11"/>
  <c r="AH90" i="11"/>
  <c r="G90" i="11"/>
  <c r="AF90" i="11"/>
  <c r="AI90" i="11"/>
  <c r="D89" i="11"/>
  <c r="AH89" i="11"/>
  <c r="G89" i="11"/>
  <c r="AF89" i="11"/>
  <c r="AI89" i="11"/>
  <c r="D88" i="11"/>
  <c r="AH88" i="11"/>
  <c r="G88" i="11"/>
  <c r="AF88" i="11"/>
  <c r="AI88" i="11"/>
  <c r="D87" i="11"/>
  <c r="AH87" i="11"/>
  <c r="G87" i="11"/>
  <c r="AF87" i="11"/>
  <c r="AI87" i="11"/>
  <c r="D86" i="11"/>
  <c r="AH86" i="11"/>
  <c r="G86" i="11"/>
  <c r="AF86" i="11"/>
  <c r="AI86" i="11"/>
  <c r="D85" i="11"/>
  <c r="AH85" i="11"/>
  <c r="G85" i="11"/>
  <c r="AF85" i="11"/>
  <c r="AI85" i="11"/>
  <c r="D84" i="11"/>
  <c r="AH84" i="11"/>
  <c r="G84" i="11"/>
  <c r="AF84" i="11"/>
  <c r="AI84" i="11"/>
  <c r="D83" i="11"/>
  <c r="AH83" i="11"/>
  <c r="G83" i="11"/>
  <c r="AF83" i="11"/>
  <c r="AI83" i="11"/>
  <c r="D82" i="11"/>
  <c r="AH82" i="11"/>
  <c r="G82" i="11"/>
  <c r="AF82" i="11"/>
  <c r="AI82" i="11"/>
  <c r="D81" i="11"/>
  <c r="AH81" i="11"/>
  <c r="G81" i="11"/>
  <c r="AF81" i="11"/>
  <c r="AI81" i="11"/>
  <c r="D80" i="11"/>
  <c r="AH80" i="11"/>
  <c r="G80" i="11"/>
  <c r="AF80" i="11"/>
  <c r="AI80" i="11"/>
  <c r="D79" i="11"/>
  <c r="AH79" i="11"/>
  <c r="G79" i="11"/>
  <c r="AF79" i="11"/>
  <c r="AI79" i="11"/>
  <c r="D78" i="11"/>
  <c r="AH78" i="11"/>
  <c r="G78" i="11"/>
  <c r="AF78" i="11"/>
  <c r="AI78" i="11"/>
  <c r="D77" i="11"/>
  <c r="AH77" i="11"/>
  <c r="G77" i="11"/>
  <c r="AF77" i="11"/>
  <c r="AI77" i="11"/>
  <c r="D76" i="11"/>
  <c r="AH76" i="11"/>
  <c r="G76" i="11"/>
  <c r="AF76" i="11"/>
  <c r="AI76" i="11"/>
  <c r="D75" i="11"/>
  <c r="AH75" i="11"/>
  <c r="G75" i="11"/>
  <c r="AF75" i="11"/>
  <c r="AI75" i="11"/>
  <c r="D74" i="11"/>
  <c r="AH74" i="11"/>
  <c r="G74" i="11"/>
  <c r="AF74" i="11"/>
  <c r="AI74" i="11"/>
  <c r="D73" i="11"/>
  <c r="AH73" i="11"/>
  <c r="G73" i="11"/>
  <c r="AF73" i="11"/>
  <c r="AI73" i="11"/>
  <c r="D72" i="11"/>
  <c r="AH72" i="11"/>
  <c r="G72" i="11"/>
  <c r="AF72" i="11"/>
  <c r="AI72" i="11"/>
  <c r="D71" i="11"/>
  <c r="AH71" i="11"/>
  <c r="G71" i="11"/>
  <c r="AF71" i="11"/>
  <c r="AI71" i="11"/>
  <c r="D70" i="11"/>
  <c r="AH70" i="11"/>
  <c r="G70" i="11"/>
  <c r="AF70" i="11"/>
  <c r="AI70" i="11"/>
  <c r="D69" i="11"/>
  <c r="AH69" i="11"/>
  <c r="G69" i="11"/>
  <c r="AF69" i="11"/>
  <c r="AI69" i="11"/>
  <c r="D68" i="11"/>
  <c r="AH68" i="11"/>
  <c r="G68" i="11"/>
  <c r="AF68" i="11"/>
  <c r="AI68" i="11"/>
  <c r="D67" i="11"/>
  <c r="AH67" i="11"/>
  <c r="G67" i="11"/>
  <c r="AF67" i="11"/>
  <c r="AI67" i="11"/>
  <c r="D66" i="11"/>
  <c r="AH66" i="11"/>
  <c r="G66" i="11"/>
  <c r="AF66" i="11"/>
  <c r="AI66" i="11"/>
  <c r="D65" i="11"/>
  <c r="AH65" i="11"/>
  <c r="G65" i="11"/>
  <c r="AF65" i="11"/>
  <c r="AI65" i="11"/>
  <c r="D64" i="11"/>
  <c r="AH64" i="11"/>
  <c r="G64" i="11"/>
  <c r="AF64" i="11"/>
  <c r="AI64" i="11"/>
  <c r="D63" i="11"/>
  <c r="AH63" i="11"/>
  <c r="G63" i="11"/>
  <c r="AF63" i="11"/>
  <c r="AI63" i="11"/>
  <c r="D62" i="11"/>
  <c r="AH62" i="11"/>
  <c r="G62" i="11"/>
  <c r="AF62" i="11"/>
  <c r="AI62" i="11"/>
  <c r="D61" i="11"/>
  <c r="AH61" i="11"/>
  <c r="G61" i="11"/>
  <c r="AF61" i="11"/>
  <c r="AI61" i="11"/>
  <c r="D60" i="11"/>
  <c r="AH60" i="11"/>
  <c r="G60" i="11"/>
  <c r="AF60" i="11"/>
  <c r="AI60" i="11"/>
  <c r="D59" i="11"/>
  <c r="AH59" i="11"/>
  <c r="G59" i="11"/>
  <c r="AF59" i="11"/>
  <c r="AI59" i="11"/>
  <c r="D58" i="11"/>
  <c r="AH58" i="11"/>
  <c r="G58" i="11"/>
  <c r="AF58" i="11"/>
  <c r="AI58" i="11"/>
  <c r="D57" i="11"/>
  <c r="AH57" i="11"/>
  <c r="G57" i="11"/>
  <c r="AF57" i="11"/>
  <c r="AI57" i="11"/>
  <c r="D56" i="11"/>
  <c r="AH56" i="11"/>
  <c r="G56" i="11"/>
  <c r="AF56" i="11"/>
  <c r="AI56" i="11"/>
  <c r="D55" i="11"/>
  <c r="AH55" i="11"/>
  <c r="G55" i="11"/>
  <c r="AF55" i="11"/>
  <c r="AI55" i="11"/>
  <c r="D54" i="11"/>
  <c r="AH54" i="11"/>
  <c r="G54" i="11"/>
  <c r="AF54" i="11"/>
  <c r="AI54" i="11"/>
  <c r="D53" i="11"/>
  <c r="AH53" i="11"/>
  <c r="G53" i="11"/>
  <c r="AF53" i="11"/>
  <c r="AI53" i="11"/>
  <c r="D52" i="11"/>
  <c r="AH52" i="11"/>
  <c r="G52" i="11"/>
  <c r="AF52" i="11"/>
  <c r="AI52" i="11"/>
  <c r="D51" i="11"/>
  <c r="AH51" i="11"/>
  <c r="G51" i="11"/>
  <c r="AF51" i="11"/>
  <c r="AI51" i="11"/>
  <c r="D50" i="11"/>
  <c r="AH50" i="11"/>
  <c r="G50" i="11"/>
  <c r="AF50" i="11"/>
  <c r="AI50" i="11"/>
  <c r="D49" i="11"/>
  <c r="AH49" i="11"/>
  <c r="G49" i="11"/>
  <c r="AF49" i="11"/>
  <c r="AI49" i="11"/>
  <c r="D48" i="11"/>
  <c r="AH48" i="11"/>
  <c r="G48" i="11"/>
  <c r="AF48" i="11"/>
  <c r="AI48" i="11"/>
  <c r="D47" i="11"/>
  <c r="AH47" i="11"/>
  <c r="G47" i="11"/>
  <c r="AF47" i="11"/>
  <c r="AI47" i="11"/>
  <c r="D46" i="11"/>
  <c r="AH46" i="11"/>
  <c r="G46" i="11"/>
  <c r="AF46" i="11"/>
  <c r="AI46" i="11"/>
  <c r="D45" i="11"/>
  <c r="AH45" i="11"/>
  <c r="G45" i="11"/>
  <c r="AF45" i="11"/>
  <c r="AI45" i="11"/>
  <c r="D44" i="11"/>
  <c r="AH44" i="11"/>
  <c r="G44" i="11"/>
  <c r="AF44" i="11"/>
  <c r="AI44" i="11"/>
  <c r="D43" i="11"/>
  <c r="AH43" i="11"/>
  <c r="G43" i="11"/>
  <c r="AF43" i="11"/>
  <c r="AI43" i="11"/>
  <c r="D42" i="11"/>
  <c r="AH42" i="11"/>
  <c r="G42" i="11"/>
  <c r="AF42" i="11"/>
  <c r="AI42" i="11"/>
  <c r="D41" i="11"/>
  <c r="AH41" i="11"/>
  <c r="G41" i="11"/>
  <c r="AF41" i="11"/>
  <c r="AI41" i="11"/>
  <c r="D40" i="11"/>
  <c r="AH40" i="11"/>
  <c r="G40" i="11"/>
  <c r="AF40" i="11"/>
  <c r="AI40" i="11"/>
  <c r="D39" i="11"/>
  <c r="AH39" i="11"/>
  <c r="G39" i="11"/>
  <c r="AF39" i="11"/>
  <c r="AI39" i="11"/>
  <c r="D38" i="11"/>
  <c r="AH38" i="11"/>
  <c r="G38" i="11"/>
  <c r="AF38" i="11"/>
  <c r="AI38" i="11"/>
  <c r="D37" i="11"/>
  <c r="AH37" i="11"/>
  <c r="G37" i="11"/>
  <c r="AF37" i="11"/>
  <c r="AI37" i="11"/>
  <c r="D36" i="11"/>
  <c r="AH36" i="11"/>
  <c r="G36" i="11"/>
  <c r="AF36" i="11"/>
  <c r="AI36" i="11"/>
  <c r="D35" i="11"/>
  <c r="AH35" i="11"/>
  <c r="G35" i="11"/>
  <c r="AF35" i="11"/>
  <c r="AI35" i="11"/>
  <c r="D34" i="11"/>
  <c r="AH34" i="11"/>
  <c r="G34" i="11"/>
  <c r="AF34" i="11"/>
  <c r="AI34" i="11"/>
  <c r="D33" i="11"/>
  <c r="AH33" i="11"/>
  <c r="G33" i="11"/>
  <c r="AF33" i="11"/>
  <c r="AI33" i="11"/>
  <c r="D32" i="11"/>
  <c r="AH32" i="11"/>
  <c r="G32" i="11"/>
  <c r="AF32" i="11"/>
  <c r="AI32" i="11"/>
  <c r="D31" i="11"/>
  <c r="AH31" i="11"/>
  <c r="G31" i="11"/>
  <c r="AF31" i="11"/>
  <c r="AI31" i="11"/>
  <c r="D30" i="11"/>
  <c r="AH30" i="11"/>
  <c r="G30" i="11"/>
  <c r="AF30" i="11"/>
  <c r="AI30" i="11"/>
  <c r="D29" i="11"/>
  <c r="AH29" i="11"/>
  <c r="G29" i="11"/>
  <c r="AF29" i="11"/>
  <c r="AI29" i="11"/>
  <c r="D28" i="11"/>
  <c r="AH28" i="11"/>
  <c r="G28" i="11"/>
  <c r="AF28" i="11"/>
  <c r="AI28" i="11"/>
  <c r="D27" i="11"/>
  <c r="AH27" i="11"/>
  <c r="G27" i="11"/>
  <c r="AF27" i="11"/>
  <c r="AI27" i="11"/>
  <c r="D26" i="11"/>
  <c r="AH26" i="11"/>
  <c r="G26" i="11"/>
  <c r="AF26" i="11"/>
  <c r="AI26" i="11"/>
  <c r="D25" i="11"/>
  <c r="AH25" i="11"/>
  <c r="G25" i="11"/>
  <c r="AF25" i="11"/>
  <c r="AI25" i="11"/>
  <c r="D24" i="11"/>
  <c r="AH24" i="11"/>
  <c r="G24" i="11"/>
  <c r="AF24" i="11"/>
  <c r="AI24" i="11"/>
  <c r="D23" i="11"/>
  <c r="AH23" i="11"/>
  <c r="G23" i="11"/>
  <c r="AF23" i="11"/>
  <c r="AI23" i="11"/>
  <c r="D22" i="11"/>
  <c r="AH22" i="11"/>
  <c r="G22" i="11"/>
  <c r="AF22" i="11"/>
  <c r="AI22" i="11"/>
  <c r="D21" i="11"/>
  <c r="AH21" i="11"/>
  <c r="G21" i="11"/>
  <c r="AF21" i="11"/>
  <c r="AI21" i="11"/>
  <c r="D20" i="11"/>
  <c r="AH20" i="11"/>
  <c r="G20" i="11"/>
  <c r="AF20" i="11"/>
  <c r="AI20" i="11"/>
  <c r="D19" i="11"/>
  <c r="AH19" i="11"/>
  <c r="G19" i="11"/>
  <c r="AF19" i="11"/>
  <c r="AI19" i="11"/>
  <c r="D18" i="11"/>
  <c r="AH18" i="11"/>
  <c r="G18" i="11"/>
  <c r="AF18" i="11"/>
  <c r="AI18" i="11"/>
  <c r="D17" i="11"/>
  <c r="AH17" i="11"/>
  <c r="G17" i="11"/>
  <c r="AF17" i="11"/>
  <c r="AI17" i="11"/>
  <c r="D16" i="11"/>
  <c r="AH16" i="11"/>
  <c r="G16" i="11"/>
  <c r="AF16" i="11"/>
  <c r="AI16" i="11"/>
  <c r="D15" i="11"/>
  <c r="AH15" i="11"/>
  <c r="G15" i="11"/>
  <c r="AF15" i="11"/>
  <c r="AI15" i="11"/>
  <c r="D14" i="11"/>
  <c r="AH14" i="11"/>
  <c r="G14" i="11"/>
  <c r="AF14" i="11"/>
  <c r="AI14" i="11"/>
  <c r="D13" i="11"/>
  <c r="AH13" i="11"/>
  <c r="G13" i="11"/>
  <c r="AF13" i="11"/>
  <c r="AI13" i="11"/>
  <c r="D12" i="11"/>
  <c r="AH12" i="11"/>
  <c r="G12" i="11"/>
  <c r="AF12" i="11"/>
  <c r="AI12" i="11"/>
  <c r="D11" i="11"/>
  <c r="AH11" i="11"/>
  <c r="G11" i="11"/>
  <c r="AF11" i="11"/>
  <c r="AI11" i="11"/>
  <c r="D10" i="11"/>
  <c r="AH10" i="11"/>
  <c r="G10" i="11"/>
  <c r="AF10" i="11"/>
  <c r="AI10" i="11"/>
  <c r="D9" i="11"/>
  <c r="AH9" i="11"/>
  <c r="G9" i="11"/>
  <c r="AF9" i="11"/>
  <c r="AI9" i="11"/>
  <c r="D8" i="11"/>
  <c r="AH8" i="11"/>
  <c r="G8" i="11"/>
  <c r="AF8" i="11"/>
  <c r="AI8" i="11"/>
  <c r="D7" i="11"/>
  <c r="AH7" i="11"/>
  <c r="G7" i="11"/>
  <c r="AF7" i="11"/>
  <c r="AI7" i="11"/>
  <c r="D6" i="11"/>
  <c r="AH6" i="11"/>
  <c r="G6" i="11"/>
  <c r="AF6" i="11"/>
  <c r="AI6" i="11"/>
  <c r="D5" i="11"/>
  <c r="AH5" i="11"/>
  <c r="G5" i="11"/>
  <c r="AF5" i="11"/>
  <c r="AI5" i="11"/>
  <c r="D4" i="11"/>
  <c r="AH4" i="11"/>
  <c r="G4" i="11"/>
  <c r="AF4" i="11"/>
  <c r="AI4" i="11"/>
  <c r="D3" i="11"/>
  <c r="AH3" i="11"/>
  <c r="G3" i="11"/>
  <c r="AF3" i="11"/>
  <c r="AI3" i="11"/>
  <c r="D1111" i="11"/>
  <c r="AH1111" i="11"/>
  <c r="G1111" i="11"/>
  <c r="AF1111" i="11"/>
  <c r="AI1111" i="11"/>
  <c r="D1110" i="11"/>
  <c r="AH1110" i="11"/>
  <c r="G1110" i="11"/>
  <c r="AF1110" i="11"/>
  <c r="AI1110" i="11"/>
  <c r="D1109" i="11"/>
  <c r="AH1109" i="11"/>
  <c r="G1109" i="11"/>
  <c r="AF1109" i="11"/>
  <c r="AI1109" i="11"/>
  <c r="D1108" i="11"/>
  <c r="AH1108" i="11"/>
  <c r="G1108" i="11"/>
  <c r="AF1108" i="11"/>
  <c r="AI1108" i="11"/>
  <c r="D1107" i="11"/>
  <c r="AH1107" i="11"/>
  <c r="G1107" i="11"/>
  <c r="AF1107" i="11"/>
  <c r="AI1107" i="11"/>
  <c r="D1106" i="11"/>
  <c r="AH1106" i="11"/>
  <c r="G1106" i="11"/>
  <c r="AF1106" i="11"/>
  <c r="AI1106" i="11"/>
  <c r="D1105" i="11"/>
  <c r="AH1105" i="11"/>
  <c r="G1105" i="11"/>
  <c r="AF1105" i="11"/>
  <c r="AI1105" i="11"/>
  <c r="D1104" i="11"/>
  <c r="AH1104" i="11"/>
  <c r="G1104" i="11"/>
  <c r="AF1104" i="11"/>
  <c r="AI1104" i="11"/>
  <c r="D1103" i="11"/>
  <c r="AH1103" i="11"/>
  <c r="G1103" i="11"/>
  <c r="AF1103" i="11"/>
  <c r="AI1103" i="11"/>
  <c r="D1102" i="11"/>
  <c r="AH1102" i="11"/>
  <c r="G1102" i="11"/>
  <c r="AF1102" i="11"/>
  <c r="AI1102" i="11"/>
  <c r="D1101" i="11"/>
  <c r="AH1101" i="11"/>
  <c r="G1101" i="11"/>
  <c r="AF1101" i="11"/>
  <c r="AI1101" i="11"/>
  <c r="D1100" i="11"/>
  <c r="AH1100" i="11"/>
  <c r="G1100" i="11"/>
  <c r="AF1100" i="11"/>
  <c r="AI1100" i="11"/>
  <c r="D1099" i="11"/>
  <c r="AH1099" i="11"/>
  <c r="G1099" i="11"/>
  <c r="AF1099" i="11"/>
  <c r="AI1099" i="11"/>
  <c r="D1098" i="11"/>
  <c r="AH1098" i="11"/>
  <c r="G1098" i="11"/>
  <c r="AF1098" i="11"/>
  <c r="AI1098" i="11"/>
  <c r="D2" i="11"/>
  <c r="AH2" i="11"/>
  <c r="P1111" i="11"/>
  <c r="O1111" i="11"/>
  <c r="F1111" i="11"/>
  <c r="E1111" i="11"/>
  <c r="C1111" i="11"/>
  <c r="B1111" i="11"/>
  <c r="A1111" i="11"/>
  <c r="P1110" i="11"/>
  <c r="O1110" i="11"/>
  <c r="F1110" i="11"/>
  <c r="E1110" i="11"/>
  <c r="C1110" i="11"/>
  <c r="B1110" i="11"/>
  <c r="A1110" i="11"/>
  <c r="P1109" i="11"/>
  <c r="O1109" i="11"/>
  <c r="F1109" i="11"/>
  <c r="E1109" i="11"/>
  <c r="C1109" i="11"/>
  <c r="B1109" i="11"/>
  <c r="A1109" i="11"/>
  <c r="P1108" i="11"/>
  <c r="O1108" i="11"/>
  <c r="F1108" i="11"/>
  <c r="E1108" i="11"/>
  <c r="C1108" i="11"/>
  <c r="B1108" i="11"/>
  <c r="A1108" i="11"/>
  <c r="P1107" i="11"/>
  <c r="O1107" i="11"/>
  <c r="F1107" i="11"/>
  <c r="E1107" i="11"/>
  <c r="C1107" i="11"/>
  <c r="B1107" i="11"/>
  <c r="A1107" i="11"/>
  <c r="P1106" i="11"/>
  <c r="O1106" i="11"/>
  <c r="F1106" i="11"/>
  <c r="E1106" i="11"/>
  <c r="C1106" i="11"/>
  <c r="B1106" i="11"/>
  <c r="A1106" i="11"/>
  <c r="P1105" i="11"/>
  <c r="O1105" i="11"/>
  <c r="F1105" i="11"/>
  <c r="E1105" i="11"/>
  <c r="C1105" i="11"/>
  <c r="B1105" i="11"/>
  <c r="A1105" i="11"/>
  <c r="P1104" i="11"/>
  <c r="O1104" i="11"/>
  <c r="F1104" i="11"/>
  <c r="E1104" i="11"/>
  <c r="C1104" i="11"/>
  <c r="B1104" i="11"/>
  <c r="A1104" i="11"/>
  <c r="P1103" i="11"/>
  <c r="O1103" i="11"/>
  <c r="F1103" i="11"/>
  <c r="E1103" i="11"/>
  <c r="C1103" i="11"/>
  <c r="B1103" i="11"/>
  <c r="A1103" i="11"/>
  <c r="P1102" i="11"/>
  <c r="O1102" i="11"/>
  <c r="F1102" i="11"/>
  <c r="E1102" i="11"/>
  <c r="C1102" i="11"/>
  <c r="B1102" i="11"/>
  <c r="A1102" i="11"/>
  <c r="P1101" i="11"/>
  <c r="O1101" i="11"/>
  <c r="F1101" i="11"/>
  <c r="E1101" i="11"/>
  <c r="C1101" i="11"/>
  <c r="B1101" i="11"/>
  <c r="A1101" i="11"/>
  <c r="P1100" i="11"/>
  <c r="O1100" i="11"/>
  <c r="F1100" i="11"/>
  <c r="E1100" i="11"/>
  <c r="C1100" i="11"/>
  <c r="B1100" i="11"/>
  <c r="A1100" i="11"/>
  <c r="P1099" i="11"/>
  <c r="O1099" i="11"/>
  <c r="F1099" i="11"/>
  <c r="E1099" i="11"/>
  <c r="C1099" i="11"/>
  <c r="B1099" i="11"/>
  <c r="A1099" i="11"/>
  <c r="P1098" i="11"/>
  <c r="O1098" i="11"/>
  <c r="F1098" i="11"/>
  <c r="E1098" i="11"/>
  <c r="C1098" i="11"/>
  <c r="B1098" i="11"/>
  <c r="A1098" i="11"/>
  <c r="P1097" i="11"/>
  <c r="O1097" i="11"/>
  <c r="F1097" i="11"/>
  <c r="E1097" i="11"/>
  <c r="C1097" i="11"/>
  <c r="B1097" i="11"/>
  <c r="A1097" i="11"/>
  <c r="P1096" i="11"/>
  <c r="O1096" i="11"/>
  <c r="F1096" i="11"/>
  <c r="E1096" i="11"/>
  <c r="C1096" i="11"/>
  <c r="B1096" i="11"/>
  <c r="A1096" i="11"/>
  <c r="P1095" i="11"/>
  <c r="O1095" i="11"/>
  <c r="F1095" i="11"/>
  <c r="E1095" i="11"/>
  <c r="C1095" i="11"/>
  <c r="B1095" i="11"/>
  <c r="A1095" i="11"/>
  <c r="P1094" i="11"/>
  <c r="O1094" i="11"/>
  <c r="F1094" i="11"/>
  <c r="E1094" i="11"/>
  <c r="C1094" i="11"/>
  <c r="B1094" i="11"/>
  <c r="A1094" i="11"/>
  <c r="P1093" i="11"/>
  <c r="O1093" i="11"/>
  <c r="F1093" i="11"/>
  <c r="E1093" i="11"/>
  <c r="C1093" i="11"/>
  <c r="B1093" i="11"/>
  <c r="A1093" i="11"/>
  <c r="P1092" i="11"/>
  <c r="O1092" i="11"/>
  <c r="F1092" i="11"/>
  <c r="E1092" i="11"/>
  <c r="C1092" i="11"/>
  <c r="B1092" i="11"/>
  <c r="A1092" i="11"/>
  <c r="P1091" i="11"/>
  <c r="O1091" i="11"/>
  <c r="F1091" i="11"/>
  <c r="E1091" i="11"/>
  <c r="C1091" i="11"/>
  <c r="B1091" i="11"/>
  <c r="A1091" i="11"/>
  <c r="P1090" i="11"/>
  <c r="O1090" i="11"/>
  <c r="F1090" i="11"/>
  <c r="E1090" i="11"/>
  <c r="C1090" i="11"/>
  <c r="B1090" i="11"/>
  <c r="A1090" i="11"/>
  <c r="P1089" i="11"/>
  <c r="O1089" i="11"/>
  <c r="F1089" i="11"/>
  <c r="E1089" i="11"/>
  <c r="C1089" i="11"/>
  <c r="B1089" i="11"/>
  <c r="A1089" i="11"/>
  <c r="P1088" i="11"/>
  <c r="O1088" i="11"/>
  <c r="F1088" i="11"/>
  <c r="E1088" i="11"/>
  <c r="C1088" i="11"/>
  <c r="B1088" i="11"/>
  <c r="A1088" i="11"/>
  <c r="P1087" i="11"/>
  <c r="O1087" i="11"/>
  <c r="F1087" i="11"/>
  <c r="E1087" i="11"/>
  <c r="C1087" i="11"/>
  <c r="B1087" i="11"/>
  <c r="A1087" i="11"/>
  <c r="P1086" i="11"/>
  <c r="O1086" i="11"/>
  <c r="F1086" i="11"/>
  <c r="E1086" i="11"/>
  <c r="C1086" i="11"/>
  <c r="B1086" i="11"/>
  <c r="A1086" i="11"/>
  <c r="P1085" i="11"/>
  <c r="O1085" i="11"/>
  <c r="F1085" i="11"/>
  <c r="E1085" i="11"/>
  <c r="C1085" i="11"/>
  <c r="B1085" i="11"/>
  <c r="A1085" i="11"/>
  <c r="P1084" i="11"/>
  <c r="O1084" i="11"/>
  <c r="F1084" i="11"/>
  <c r="E1084" i="11"/>
  <c r="C1084" i="11"/>
  <c r="B1084" i="11"/>
  <c r="A1084" i="11"/>
  <c r="P1083" i="11"/>
  <c r="O1083" i="11"/>
  <c r="F1083" i="11"/>
  <c r="E1083" i="11"/>
  <c r="C1083" i="11"/>
  <c r="B1083" i="11"/>
  <c r="A1083" i="11"/>
  <c r="P1082" i="11"/>
  <c r="O1082" i="11"/>
  <c r="F1082" i="11"/>
  <c r="E1082" i="11"/>
  <c r="C1082" i="11"/>
  <c r="B1082" i="11"/>
  <c r="A1082" i="11"/>
  <c r="P1081" i="11"/>
  <c r="O1081" i="11"/>
  <c r="F1081" i="11"/>
  <c r="E1081" i="11"/>
  <c r="C1081" i="11"/>
  <c r="B1081" i="11"/>
  <c r="A1081" i="11"/>
  <c r="P1080" i="11"/>
  <c r="O1080" i="11"/>
  <c r="F1080" i="11"/>
  <c r="E1080" i="11"/>
  <c r="C1080" i="11"/>
  <c r="B1080" i="11"/>
  <c r="A1080" i="11"/>
  <c r="P1079" i="11"/>
  <c r="O1079" i="11"/>
  <c r="F1079" i="11"/>
  <c r="E1079" i="11"/>
  <c r="C1079" i="11"/>
  <c r="B1079" i="11"/>
  <c r="A1079" i="11"/>
  <c r="P1078" i="11"/>
  <c r="O1078" i="11"/>
  <c r="F1078" i="11"/>
  <c r="E1078" i="11"/>
  <c r="C1078" i="11"/>
  <c r="B1078" i="11"/>
  <c r="A1078" i="11"/>
  <c r="P1077" i="11"/>
  <c r="O1077" i="11"/>
  <c r="F1077" i="11"/>
  <c r="E1077" i="11"/>
  <c r="C1077" i="11"/>
  <c r="B1077" i="11"/>
  <c r="A1077" i="11"/>
  <c r="P1076" i="11"/>
  <c r="O1076" i="11"/>
  <c r="F1076" i="11"/>
  <c r="E1076" i="11"/>
  <c r="C1076" i="11"/>
  <c r="B1076" i="11"/>
  <c r="A1076" i="11"/>
  <c r="P1075" i="11"/>
  <c r="O1075" i="11"/>
  <c r="F1075" i="11"/>
  <c r="E1075" i="11"/>
  <c r="C1075" i="11"/>
  <c r="B1075" i="11"/>
  <c r="A1075" i="11"/>
  <c r="P1074" i="11"/>
  <c r="O1074" i="11"/>
  <c r="F1074" i="11"/>
  <c r="E1074" i="11"/>
  <c r="C1074" i="11"/>
  <c r="B1074" i="11"/>
  <c r="A1074" i="11"/>
  <c r="P1073" i="11"/>
  <c r="O1073" i="11"/>
  <c r="F1073" i="11"/>
  <c r="E1073" i="11"/>
  <c r="C1073" i="11"/>
  <c r="B1073" i="11"/>
  <c r="A1073" i="11"/>
  <c r="P1072" i="11"/>
  <c r="O1072" i="11"/>
  <c r="F1072" i="11"/>
  <c r="E1072" i="11"/>
  <c r="C1072" i="11"/>
  <c r="B1072" i="11"/>
  <c r="A1072" i="11"/>
  <c r="P1066" i="11"/>
  <c r="O1066" i="11"/>
  <c r="F1066" i="11"/>
  <c r="E1066" i="11"/>
  <c r="C1066" i="11"/>
  <c r="B1066" i="11"/>
  <c r="A1066" i="11"/>
  <c r="P1065" i="11"/>
  <c r="O1065" i="11"/>
  <c r="F1065" i="11"/>
  <c r="E1065" i="11"/>
  <c r="C1065" i="11"/>
  <c r="B1065" i="11"/>
  <c r="A1065" i="11"/>
  <c r="P1064" i="11"/>
  <c r="O1064" i="11"/>
  <c r="F1064" i="11"/>
  <c r="E1064" i="11"/>
  <c r="C1064" i="11"/>
  <c r="B1064" i="11"/>
  <c r="A1064" i="11"/>
  <c r="P1063" i="11"/>
  <c r="O1063" i="11"/>
  <c r="F1063" i="11"/>
  <c r="E1063" i="11"/>
  <c r="C1063" i="11"/>
  <c r="B1063" i="11"/>
  <c r="A1063" i="11"/>
  <c r="P1062" i="11"/>
  <c r="O1062" i="11"/>
  <c r="F1062" i="11"/>
  <c r="E1062" i="11"/>
  <c r="C1062" i="11"/>
  <c r="B1062" i="11"/>
  <c r="A1062" i="11"/>
  <c r="P1061" i="11"/>
  <c r="O1061" i="11"/>
  <c r="F1061" i="11"/>
  <c r="E1061" i="11"/>
  <c r="C1061" i="11"/>
  <c r="B1061" i="11"/>
  <c r="A1061" i="11"/>
  <c r="P1060" i="11"/>
  <c r="O1060" i="11"/>
  <c r="F1060" i="11"/>
  <c r="E1060" i="11"/>
  <c r="C1060" i="11"/>
  <c r="B1060" i="11"/>
  <c r="A1060" i="11"/>
  <c r="P1059" i="11"/>
  <c r="O1059" i="11"/>
  <c r="F1059" i="11"/>
  <c r="E1059" i="11"/>
  <c r="C1059" i="11"/>
  <c r="B1059" i="11"/>
  <c r="A1059" i="11"/>
  <c r="P1058" i="11"/>
  <c r="O1058" i="11"/>
  <c r="F1058" i="11"/>
  <c r="E1058" i="11"/>
  <c r="C1058" i="11"/>
  <c r="B1058" i="11"/>
  <c r="A1058" i="11"/>
  <c r="P1057" i="11"/>
  <c r="O1057" i="11"/>
  <c r="F1057" i="11"/>
  <c r="E1057" i="11"/>
  <c r="C1057" i="11"/>
  <c r="B1057" i="11"/>
  <c r="A1057" i="11"/>
  <c r="P1056" i="11"/>
  <c r="O1056" i="11"/>
  <c r="F1056" i="11"/>
  <c r="E1056" i="11"/>
  <c r="C1056" i="11"/>
  <c r="B1056" i="11"/>
  <c r="A1056" i="11"/>
  <c r="P1055" i="11"/>
  <c r="O1055" i="11"/>
  <c r="F1055" i="11"/>
  <c r="E1055" i="11"/>
  <c r="C1055" i="11"/>
  <c r="B1055" i="11"/>
  <c r="A1055" i="11"/>
  <c r="P1054" i="11"/>
  <c r="O1054" i="11"/>
  <c r="F1054" i="11"/>
  <c r="E1054" i="11"/>
  <c r="C1054" i="11"/>
  <c r="B1054" i="11"/>
  <c r="A1054" i="11"/>
  <c r="P1053" i="11"/>
  <c r="O1053" i="11"/>
  <c r="F1053" i="11"/>
  <c r="E1053" i="11"/>
  <c r="C1053" i="11"/>
  <c r="B1053" i="11"/>
  <c r="A1053" i="11"/>
  <c r="P1052" i="11"/>
  <c r="O1052" i="11"/>
  <c r="F1052" i="11"/>
  <c r="E1052" i="11"/>
  <c r="C1052" i="11"/>
  <c r="B1052" i="11"/>
  <c r="A1052" i="11"/>
  <c r="P1051" i="11"/>
  <c r="O1051" i="11"/>
  <c r="F1051" i="11"/>
  <c r="E1051" i="11"/>
  <c r="C1051" i="11"/>
  <c r="B1051" i="11"/>
  <c r="A1051" i="11"/>
  <c r="P1050" i="11"/>
  <c r="O1050" i="11"/>
  <c r="F1050" i="11"/>
  <c r="E1050" i="11"/>
  <c r="C1050" i="11"/>
  <c r="B1050" i="11"/>
  <c r="A1050" i="11"/>
  <c r="P1049" i="11"/>
  <c r="O1049" i="11"/>
  <c r="F1049" i="11"/>
  <c r="E1049" i="11"/>
  <c r="C1049" i="11"/>
  <c r="B1049" i="11"/>
  <c r="A1049" i="11"/>
  <c r="P1048" i="11"/>
  <c r="O1048" i="11"/>
  <c r="F1048" i="11"/>
  <c r="E1048" i="11"/>
  <c r="C1048" i="11"/>
  <c r="B1048" i="11"/>
  <c r="A1048" i="11"/>
  <c r="P1047" i="11"/>
  <c r="O1047" i="11"/>
  <c r="F1047" i="11"/>
  <c r="E1047" i="11"/>
  <c r="C1047" i="11"/>
  <c r="B1047" i="11"/>
  <c r="A1047" i="11"/>
  <c r="P1046" i="11"/>
  <c r="O1046" i="11"/>
  <c r="F1046" i="11"/>
  <c r="E1046" i="11"/>
  <c r="C1046" i="11"/>
  <c r="B1046" i="11"/>
  <c r="A1046" i="11"/>
  <c r="P1045" i="11"/>
  <c r="O1045" i="11"/>
  <c r="F1045" i="11"/>
  <c r="E1045" i="11"/>
  <c r="C1045" i="11"/>
  <c r="B1045" i="11"/>
  <c r="A1045" i="11"/>
  <c r="P1044" i="11"/>
  <c r="O1044" i="11"/>
  <c r="F1044" i="11"/>
  <c r="E1044" i="11"/>
  <c r="C1044" i="11"/>
  <c r="B1044" i="11"/>
  <c r="A1044" i="11"/>
  <c r="P1043" i="11"/>
  <c r="O1043" i="11"/>
  <c r="F1043" i="11"/>
  <c r="E1043" i="11"/>
  <c r="C1043" i="11"/>
  <c r="B1043" i="11"/>
  <c r="A1043" i="11"/>
  <c r="P1042" i="11"/>
  <c r="O1042" i="11"/>
  <c r="F1042" i="11"/>
  <c r="E1042" i="11"/>
  <c r="C1042" i="11"/>
  <c r="B1042" i="11"/>
  <c r="A1042" i="11"/>
  <c r="P1041" i="11"/>
  <c r="O1041" i="11"/>
  <c r="F1041" i="11"/>
  <c r="E1041" i="11"/>
  <c r="C1041" i="11"/>
  <c r="B1041" i="11"/>
  <c r="A1041" i="11"/>
  <c r="P1040" i="11"/>
  <c r="O1040" i="11"/>
  <c r="F1040" i="11"/>
  <c r="E1040" i="11"/>
  <c r="C1040" i="11"/>
  <c r="B1040" i="11"/>
  <c r="A1040" i="11"/>
  <c r="P1039" i="11"/>
  <c r="O1039" i="11"/>
  <c r="F1039" i="11"/>
  <c r="E1039" i="11"/>
  <c r="C1039" i="11"/>
  <c r="B1039" i="11"/>
  <c r="A1039" i="11"/>
  <c r="P1038" i="11"/>
  <c r="O1038" i="11"/>
  <c r="F1038" i="11"/>
  <c r="E1038" i="11"/>
  <c r="C1038" i="11"/>
  <c r="B1038" i="11"/>
  <c r="A1038" i="11"/>
  <c r="P1037" i="11"/>
  <c r="O1037" i="11"/>
  <c r="F1037" i="11"/>
  <c r="E1037" i="11"/>
  <c r="C1037" i="11"/>
  <c r="B1037" i="11"/>
  <c r="A1037" i="11"/>
  <c r="P1036" i="11"/>
  <c r="O1036" i="11"/>
  <c r="F1036" i="11"/>
  <c r="E1036" i="11"/>
  <c r="C1036" i="11"/>
  <c r="B1036" i="11"/>
  <c r="A1036" i="11"/>
  <c r="P1035" i="11"/>
  <c r="O1035" i="11"/>
  <c r="F1035" i="11"/>
  <c r="E1035" i="11"/>
  <c r="C1035" i="11"/>
  <c r="B1035" i="11"/>
  <c r="A1035" i="11"/>
  <c r="P1034" i="11"/>
  <c r="O1034" i="11"/>
  <c r="F1034" i="11"/>
  <c r="E1034" i="11"/>
  <c r="C1034" i="11"/>
  <c r="B1034" i="11"/>
  <c r="A1034" i="11"/>
  <c r="P1033" i="11"/>
  <c r="O1033" i="11"/>
  <c r="F1033" i="11"/>
  <c r="E1033" i="11"/>
  <c r="C1033" i="11"/>
  <c r="B1033" i="11"/>
  <c r="A1033" i="11"/>
  <c r="P1032" i="11"/>
  <c r="O1032" i="11"/>
  <c r="F1032" i="11"/>
  <c r="E1032" i="11"/>
  <c r="C1032" i="11"/>
  <c r="B1032" i="11"/>
  <c r="A1032" i="11"/>
  <c r="P1031" i="11"/>
  <c r="O1031" i="11"/>
  <c r="F1031" i="11"/>
  <c r="E1031" i="11"/>
  <c r="C1031" i="11"/>
  <c r="B1031" i="11"/>
  <c r="A1031" i="11"/>
  <c r="P1030" i="11"/>
  <c r="O1030" i="11"/>
  <c r="F1030" i="11"/>
  <c r="E1030" i="11"/>
  <c r="C1030" i="11"/>
  <c r="B1030" i="11"/>
  <c r="A1030" i="11"/>
  <c r="P1029" i="11"/>
  <c r="O1029" i="11"/>
  <c r="F1029" i="11"/>
  <c r="E1029" i="11"/>
  <c r="C1029" i="11"/>
  <c r="B1029" i="11"/>
  <c r="A1029" i="11"/>
  <c r="P1028" i="11"/>
  <c r="O1028" i="11"/>
  <c r="F1028" i="11"/>
  <c r="E1028" i="11"/>
  <c r="C1028" i="11"/>
  <c r="B1028" i="11"/>
  <c r="A1028" i="11"/>
  <c r="P1027" i="11"/>
  <c r="O1027" i="11"/>
  <c r="F1027" i="11"/>
  <c r="E1027" i="11"/>
  <c r="C1027" i="11"/>
  <c r="B1027" i="11"/>
  <c r="A1027" i="11"/>
  <c r="P1026" i="11"/>
  <c r="O1026" i="11"/>
  <c r="F1026" i="11"/>
  <c r="E1026" i="11"/>
  <c r="C1026" i="11"/>
  <c r="B1026" i="11"/>
  <c r="A1026" i="11"/>
  <c r="P1025" i="11"/>
  <c r="O1025" i="11"/>
  <c r="F1025" i="11"/>
  <c r="E1025" i="11"/>
  <c r="C1025" i="11"/>
  <c r="B1025" i="11"/>
  <c r="A1025" i="11"/>
  <c r="P1024" i="11"/>
  <c r="O1024" i="11"/>
  <c r="F1024" i="11"/>
  <c r="E1024" i="11"/>
  <c r="C1024" i="11"/>
  <c r="B1024" i="11"/>
  <c r="A1024" i="11"/>
  <c r="P1023" i="11"/>
  <c r="O1023" i="11"/>
  <c r="F1023" i="11"/>
  <c r="E1023" i="11"/>
  <c r="C1023" i="11"/>
  <c r="B1023" i="11"/>
  <c r="A1023" i="11"/>
  <c r="P1022" i="11"/>
  <c r="O1022" i="11"/>
  <c r="F1022" i="11"/>
  <c r="E1022" i="11"/>
  <c r="C1022" i="11"/>
  <c r="B1022" i="11"/>
  <c r="A1022" i="11"/>
  <c r="P1021" i="11"/>
  <c r="O1021" i="11"/>
  <c r="F1021" i="11"/>
  <c r="E1021" i="11"/>
  <c r="C1021" i="11"/>
  <c r="B1021" i="11"/>
  <c r="A1021" i="11"/>
  <c r="P1020" i="11"/>
  <c r="O1020" i="11"/>
  <c r="F1020" i="11"/>
  <c r="E1020" i="11"/>
  <c r="C1020" i="11"/>
  <c r="B1020" i="11"/>
  <c r="A1020" i="11"/>
  <c r="P1019" i="11"/>
  <c r="O1019" i="11"/>
  <c r="F1019" i="11"/>
  <c r="E1019" i="11"/>
  <c r="C1019" i="11"/>
  <c r="B1019" i="11"/>
  <c r="A1019" i="11"/>
  <c r="P1018" i="11"/>
  <c r="O1018" i="11"/>
  <c r="F1018" i="11"/>
  <c r="E1018" i="11"/>
  <c r="C1018" i="11"/>
  <c r="B1018" i="11"/>
  <c r="A1018" i="11"/>
  <c r="P1017" i="11"/>
  <c r="O1017" i="11"/>
  <c r="F1017" i="11"/>
  <c r="E1017" i="11"/>
  <c r="C1017" i="11"/>
  <c r="B1017" i="11"/>
  <c r="A1017" i="11"/>
  <c r="P1016" i="11"/>
  <c r="O1016" i="11"/>
  <c r="F1016" i="11"/>
  <c r="E1016" i="11"/>
  <c r="C1016" i="11"/>
  <c r="B1016" i="11"/>
  <c r="A1016" i="11"/>
  <c r="P1015" i="11"/>
  <c r="O1015" i="11"/>
  <c r="F1015" i="11"/>
  <c r="E1015" i="11"/>
  <c r="C1015" i="11"/>
  <c r="B1015" i="11"/>
  <c r="A1015" i="11"/>
  <c r="P1014" i="11"/>
  <c r="O1014" i="11"/>
  <c r="F1014" i="11"/>
  <c r="E1014" i="11"/>
  <c r="C1014" i="11"/>
  <c r="B1014" i="11"/>
  <c r="A1014" i="11"/>
  <c r="P1013" i="11"/>
  <c r="O1013" i="11"/>
  <c r="F1013" i="11"/>
  <c r="E1013" i="11"/>
  <c r="C1013" i="11"/>
  <c r="B1013" i="11"/>
  <c r="A1013" i="11"/>
  <c r="P1012" i="11"/>
  <c r="O1012" i="11"/>
  <c r="F1012" i="11"/>
  <c r="E1012" i="11"/>
  <c r="C1012" i="11"/>
  <c r="B1012" i="11"/>
  <c r="A1012" i="11"/>
  <c r="P1011" i="11"/>
  <c r="O1011" i="11"/>
  <c r="F1011" i="11"/>
  <c r="E1011" i="11"/>
  <c r="C1011" i="11"/>
  <c r="B1011" i="11"/>
  <c r="A1011" i="11"/>
  <c r="P1010" i="11"/>
  <c r="O1010" i="11"/>
  <c r="F1010" i="11"/>
  <c r="E1010" i="11"/>
  <c r="C1010" i="11"/>
  <c r="B1010" i="11"/>
  <c r="A1010" i="11"/>
  <c r="P1009" i="11"/>
  <c r="O1009" i="11"/>
  <c r="F1009" i="11"/>
  <c r="E1009" i="11"/>
  <c r="C1009" i="11"/>
  <c r="B1009" i="11"/>
  <c r="A1009" i="11"/>
  <c r="P1008" i="11"/>
  <c r="O1008" i="11"/>
  <c r="F1008" i="11"/>
  <c r="E1008" i="11"/>
  <c r="C1008" i="11"/>
  <c r="B1008" i="11"/>
  <c r="A1008" i="11"/>
  <c r="M3849" i="9"/>
  <c r="M3544" i="9"/>
  <c r="P730" i="11"/>
  <c r="O730" i="11"/>
  <c r="F730" i="11"/>
  <c r="E730" i="11"/>
  <c r="C730" i="11"/>
  <c r="B730" i="11"/>
  <c r="A730" i="11"/>
  <c r="P729" i="11"/>
  <c r="O729" i="11"/>
  <c r="F729" i="11"/>
  <c r="E729" i="11"/>
  <c r="C729" i="11"/>
  <c r="B729" i="11"/>
  <c r="A729" i="11"/>
  <c r="P728" i="11"/>
  <c r="O728" i="11"/>
  <c r="F728" i="11"/>
  <c r="E728" i="11"/>
  <c r="C728" i="11"/>
  <c r="B728" i="11"/>
  <c r="A728" i="11"/>
  <c r="F727" i="11"/>
  <c r="F726" i="11"/>
  <c r="P654" i="11"/>
  <c r="O654" i="11"/>
  <c r="F654" i="11"/>
  <c r="E654" i="11"/>
  <c r="C654" i="11"/>
  <c r="B654" i="11"/>
  <c r="A654" i="11"/>
  <c r="P653" i="11"/>
  <c r="O653" i="11"/>
  <c r="F653" i="11"/>
  <c r="E653" i="11"/>
  <c r="C653" i="11"/>
  <c r="B653" i="11"/>
  <c r="A653" i="11"/>
  <c r="P652" i="11"/>
  <c r="O652" i="11"/>
  <c r="F652" i="11"/>
  <c r="E652" i="11"/>
  <c r="C652" i="11"/>
  <c r="B652" i="11"/>
  <c r="A652" i="11"/>
  <c r="P651" i="11"/>
  <c r="O651" i="11"/>
  <c r="F651" i="11"/>
  <c r="E651" i="11"/>
  <c r="C651" i="11"/>
  <c r="B651" i="11"/>
  <c r="A651" i="11"/>
  <c r="P650" i="11"/>
  <c r="O650" i="11"/>
  <c r="F650" i="11"/>
  <c r="E650" i="11"/>
  <c r="C650" i="11"/>
  <c r="B650" i="11"/>
  <c r="A650" i="11"/>
  <c r="P649" i="11"/>
  <c r="O649" i="11"/>
  <c r="F649" i="11"/>
  <c r="E649" i="11"/>
  <c r="C649" i="11"/>
  <c r="B649" i="11"/>
  <c r="A649" i="11"/>
  <c r="P648" i="11"/>
  <c r="O648" i="11"/>
  <c r="F648" i="11"/>
  <c r="E648" i="11"/>
  <c r="C648" i="11"/>
  <c r="B648" i="11"/>
  <c r="A648" i="11"/>
  <c r="P647" i="11"/>
  <c r="O647" i="11"/>
  <c r="F647" i="11"/>
  <c r="E647" i="11"/>
  <c r="C647" i="11"/>
  <c r="B647" i="11"/>
  <c r="A647" i="11"/>
  <c r="P646" i="11"/>
  <c r="O646" i="11"/>
  <c r="F646" i="11"/>
  <c r="E646" i="11"/>
  <c r="C646" i="11"/>
  <c r="B646" i="11"/>
  <c r="A646" i="11"/>
  <c r="P645" i="11"/>
  <c r="O645" i="11"/>
  <c r="F645" i="11"/>
  <c r="E645" i="11"/>
  <c r="C645" i="11"/>
  <c r="B645" i="11"/>
  <c r="A645" i="11"/>
  <c r="P644" i="11"/>
  <c r="O644" i="11"/>
  <c r="F644" i="11"/>
  <c r="E644" i="11"/>
  <c r="C644" i="11"/>
  <c r="B644" i="11"/>
  <c r="A644" i="11"/>
  <c r="P643" i="11"/>
  <c r="O643" i="11"/>
  <c r="F643" i="11"/>
  <c r="E643" i="11"/>
  <c r="C643" i="11"/>
  <c r="B643" i="11"/>
  <c r="A643" i="11"/>
  <c r="F642" i="11"/>
  <c r="F641" i="11"/>
  <c r="F640" i="11"/>
  <c r="M5128" i="9"/>
  <c r="M5130" i="9"/>
  <c r="M5104" i="9"/>
  <c r="M5112" i="9"/>
  <c r="M5101" i="9"/>
  <c r="M5121" i="9"/>
  <c r="M5017" i="9"/>
  <c r="M5013" i="9"/>
  <c r="M5015" i="9"/>
  <c r="P538" i="11"/>
  <c r="O538" i="11"/>
  <c r="F538" i="11"/>
  <c r="E538" i="11"/>
  <c r="C538" i="11"/>
  <c r="B538" i="11"/>
  <c r="A538" i="11"/>
  <c r="P1007" i="11"/>
  <c r="O1007" i="11"/>
  <c r="F1007" i="11"/>
  <c r="E1007" i="11"/>
  <c r="C1007" i="11"/>
  <c r="B1007" i="11"/>
  <c r="A1007" i="11"/>
  <c r="P1006" i="11"/>
  <c r="O1006" i="11"/>
  <c r="F1006" i="11"/>
  <c r="E1006" i="11"/>
  <c r="C1006" i="11"/>
  <c r="B1006" i="11"/>
  <c r="A1006" i="11"/>
  <c r="P1005" i="11"/>
  <c r="O1005" i="11"/>
  <c r="F1005" i="11"/>
  <c r="E1005" i="11"/>
  <c r="C1005" i="11"/>
  <c r="B1005" i="11"/>
  <c r="A1005" i="11"/>
  <c r="P1004" i="11"/>
  <c r="O1004" i="11"/>
  <c r="F1004" i="11"/>
  <c r="E1004" i="11"/>
  <c r="C1004" i="11"/>
  <c r="B1004" i="11"/>
  <c r="A1004" i="11"/>
  <c r="P1003" i="11"/>
  <c r="O1003" i="11"/>
  <c r="F1003" i="11"/>
  <c r="E1003" i="11"/>
  <c r="C1003" i="11"/>
  <c r="B1003" i="11"/>
  <c r="A1003" i="11"/>
  <c r="P1002" i="11"/>
  <c r="O1002" i="11"/>
  <c r="F1002" i="11"/>
  <c r="E1002" i="11"/>
  <c r="C1002" i="11"/>
  <c r="B1002" i="11"/>
  <c r="A1002" i="11"/>
  <c r="P1001" i="11"/>
  <c r="O1001" i="11"/>
  <c r="F1001" i="11"/>
  <c r="E1001" i="11"/>
  <c r="C1001" i="11"/>
  <c r="B1001" i="11"/>
  <c r="A1001" i="11"/>
  <c r="P1000" i="11"/>
  <c r="O1000" i="11"/>
  <c r="F1000" i="11"/>
  <c r="E1000" i="11"/>
  <c r="C1000" i="11"/>
  <c r="B1000" i="11"/>
  <c r="A1000" i="11"/>
  <c r="P999" i="11"/>
  <c r="O999" i="11"/>
  <c r="F999" i="11"/>
  <c r="E999" i="11"/>
  <c r="C999" i="11"/>
  <c r="B999" i="11"/>
  <c r="A999" i="11"/>
  <c r="P998" i="11"/>
  <c r="O998" i="11"/>
  <c r="F998" i="11"/>
  <c r="E998" i="11"/>
  <c r="C998" i="11"/>
  <c r="B998" i="11"/>
  <c r="A998" i="11"/>
  <c r="P997" i="11"/>
  <c r="O997" i="11"/>
  <c r="F997" i="11"/>
  <c r="E997" i="11"/>
  <c r="C997" i="11"/>
  <c r="B997" i="11"/>
  <c r="A997" i="11"/>
  <c r="P996" i="11"/>
  <c r="O996" i="11"/>
  <c r="F996" i="11"/>
  <c r="E996" i="11"/>
  <c r="C996" i="11"/>
  <c r="B996" i="11"/>
  <c r="A996" i="11"/>
  <c r="P995" i="11"/>
  <c r="O995" i="11"/>
  <c r="F995" i="11"/>
  <c r="E995" i="11"/>
  <c r="C995" i="11"/>
  <c r="B995" i="11"/>
  <c r="A995" i="11"/>
  <c r="P994" i="11"/>
  <c r="O994" i="11"/>
  <c r="F994" i="11"/>
  <c r="E994" i="11"/>
  <c r="C994" i="11"/>
  <c r="B994" i="11"/>
  <c r="A994" i="11"/>
  <c r="P993" i="11"/>
  <c r="O993" i="11"/>
  <c r="F993" i="11"/>
  <c r="E993" i="11"/>
  <c r="C993" i="11"/>
  <c r="B993" i="11"/>
  <c r="A993" i="11"/>
  <c r="P992" i="11"/>
  <c r="O992" i="11"/>
  <c r="F992" i="11"/>
  <c r="E992" i="11"/>
  <c r="C992" i="11"/>
  <c r="B992" i="11"/>
  <c r="A992" i="11"/>
  <c r="P991" i="11"/>
  <c r="O991" i="11"/>
  <c r="F991" i="11"/>
  <c r="E991" i="11"/>
  <c r="C991" i="11"/>
  <c r="B991" i="11"/>
  <c r="A991" i="11"/>
  <c r="P990" i="11"/>
  <c r="O990" i="11"/>
  <c r="F990" i="11"/>
  <c r="E990" i="11"/>
  <c r="C990" i="11"/>
  <c r="B990" i="11"/>
  <c r="A990" i="11"/>
  <c r="P989" i="11"/>
  <c r="O989" i="11"/>
  <c r="F989" i="11"/>
  <c r="E989" i="11"/>
  <c r="C989" i="11"/>
  <c r="B989" i="11"/>
  <c r="A989" i="11"/>
  <c r="P988" i="11"/>
  <c r="O988" i="11"/>
  <c r="F988" i="11"/>
  <c r="E988" i="11"/>
  <c r="C988" i="11"/>
  <c r="B988" i="11"/>
  <c r="A988" i="11"/>
  <c r="P987" i="11"/>
  <c r="O987" i="11"/>
  <c r="F987" i="11"/>
  <c r="E987" i="11"/>
  <c r="C987" i="11"/>
  <c r="B987" i="11"/>
  <c r="A987" i="11"/>
  <c r="P986" i="11"/>
  <c r="O986" i="11"/>
  <c r="F986" i="11"/>
  <c r="E986" i="11"/>
  <c r="C986" i="11"/>
  <c r="B986" i="11"/>
  <c r="A986" i="11"/>
  <c r="P985" i="11"/>
  <c r="O985" i="11"/>
  <c r="F985" i="11"/>
  <c r="E985" i="11"/>
  <c r="C985" i="11"/>
  <c r="B985" i="11"/>
  <c r="A985" i="11"/>
  <c r="P984" i="11"/>
  <c r="O984" i="11"/>
  <c r="F984" i="11"/>
  <c r="E984" i="11"/>
  <c r="C984" i="11"/>
  <c r="B984" i="11"/>
  <c r="A984" i="11"/>
  <c r="P983" i="11"/>
  <c r="O983" i="11"/>
  <c r="F983" i="11"/>
  <c r="E983" i="11"/>
  <c r="C983" i="11"/>
  <c r="B983" i="11"/>
  <c r="A983" i="11"/>
  <c r="P982" i="11"/>
  <c r="O982" i="11"/>
  <c r="F982" i="11"/>
  <c r="E982" i="11"/>
  <c r="C982" i="11"/>
  <c r="B982" i="11"/>
  <c r="A982" i="11"/>
  <c r="P981" i="11"/>
  <c r="O981" i="11"/>
  <c r="F981" i="11"/>
  <c r="E981" i="11"/>
  <c r="C981" i="11"/>
  <c r="B981" i="11"/>
  <c r="A981" i="11"/>
  <c r="P980" i="11"/>
  <c r="O980" i="11"/>
  <c r="F980" i="11"/>
  <c r="E980" i="11"/>
  <c r="C980" i="11"/>
  <c r="B980" i="11"/>
  <c r="A980" i="11"/>
  <c r="P979" i="11"/>
  <c r="O979" i="11"/>
  <c r="F979" i="11"/>
  <c r="E979" i="11"/>
  <c r="C979" i="11"/>
  <c r="B979" i="11"/>
  <c r="A979" i="11"/>
  <c r="P978" i="11"/>
  <c r="O978" i="11"/>
  <c r="F978" i="11"/>
  <c r="E978" i="11"/>
  <c r="C978" i="11"/>
  <c r="B978" i="11"/>
  <c r="A978" i="11"/>
  <c r="P977" i="11"/>
  <c r="O977" i="11"/>
  <c r="F977" i="11"/>
  <c r="E977" i="11"/>
  <c r="C977" i="11"/>
  <c r="B977" i="11"/>
  <c r="A977" i="11"/>
  <c r="P976" i="11"/>
  <c r="O976" i="11"/>
  <c r="F976" i="11"/>
  <c r="E976" i="11"/>
  <c r="C976" i="11"/>
  <c r="B976" i="11"/>
  <c r="A976" i="11"/>
  <c r="P975" i="11"/>
  <c r="O975" i="11"/>
  <c r="F975" i="11"/>
  <c r="E975" i="11"/>
  <c r="C975" i="11"/>
  <c r="B975" i="11"/>
  <c r="A975" i="11"/>
  <c r="P974" i="11"/>
  <c r="O974" i="11"/>
  <c r="F974" i="11"/>
  <c r="E974" i="11"/>
  <c r="C974" i="11"/>
  <c r="B974" i="11"/>
  <c r="A974" i="11"/>
  <c r="P973" i="11"/>
  <c r="O973" i="11"/>
  <c r="F973" i="11"/>
  <c r="E973" i="11"/>
  <c r="C973" i="11"/>
  <c r="B973" i="11"/>
  <c r="A973" i="11"/>
  <c r="P972" i="11"/>
  <c r="O972" i="11"/>
  <c r="F972" i="11"/>
  <c r="E972" i="11"/>
  <c r="C972" i="11"/>
  <c r="B972" i="11"/>
  <c r="A972" i="11"/>
  <c r="P971" i="11"/>
  <c r="O971" i="11"/>
  <c r="F971" i="11"/>
  <c r="E971" i="11"/>
  <c r="C971" i="11"/>
  <c r="B971" i="11"/>
  <c r="A971" i="11"/>
  <c r="P970" i="11"/>
  <c r="O970" i="11"/>
  <c r="F970" i="11"/>
  <c r="E970" i="11"/>
  <c r="C970" i="11"/>
  <c r="B970" i="11"/>
  <c r="A970" i="11"/>
  <c r="P969" i="11"/>
  <c r="O969" i="11"/>
  <c r="F969" i="11"/>
  <c r="E969" i="11"/>
  <c r="C969" i="11"/>
  <c r="B969" i="11"/>
  <c r="A969" i="11"/>
  <c r="P968" i="11"/>
  <c r="O968" i="11"/>
  <c r="F968" i="11"/>
  <c r="E968" i="11"/>
  <c r="C968" i="11"/>
  <c r="B968" i="11"/>
  <c r="A968" i="11"/>
  <c r="P967" i="11"/>
  <c r="O967" i="11"/>
  <c r="F967" i="11"/>
  <c r="E967" i="11"/>
  <c r="C967" i="11"/>
  <c r="B967" i="11"/>
  <c r="A967" i="11"/>
  <c r="P966" i="11"/>
  <c r="O966" i="11"/>
  <c r="F966" i="11"/>
  <c r="E966" i="11"/>
  <c r="C966" i="11"/>
  <c r="B966" i="11"/>
  <c r="A966" i="11"/>
  <c r="P965" i="11"/>
  <c r="O965" i="11"/>
  <c r="F965" i="11"/>
  <c r="E965" i="11"/>
  <c r="C965" i="11"/>
  <c r="B965" i="11"/>
  <c r="A965" i="11"/>
  <c r="P964" i="11"/>
  <c r="O964" i="11"/>
  <c r="F964" i="11"/>
  <c r="E964" i="11"/>
  <c r="C964" i="11"/>
  <c r="B964" i="11"/>
  <c r="A964" i="11"/>
  <c r="P963" i="11"/>
  <c r="O963" i="11"/>
  <c r="F963" i="11"/>
  <c r="E963" i="11"/>
  <c r="C963" i="11"/>
  <c r="B963" i="11"/>
  <c r="A963" i="11"/>
  <c r="P962" i="11"/>
  <c r="O962" i="11"/>
  <c r="F962" i="11"/>
  <c r="E962" i="11"/>
  <c r="C962" i="11"/>
  <c r="B962" i="11"/>
  <c r="A962" i="11"/>
  <c r="P961" i="11"/>
  <c r="O961" i="11"/>
  <c r="F961" i="11"/>
  <c r="E961" i="11"/>
  <c r="C961" i="11"/>
  <c r="B961" i="11"/>
  <c r="A961" i="11"/>
  <c r="P960" i="11"/>
  <c r="O960" i="11"/>
  <c r="F960" i="11"/>
  <c r="E960" i="11"/>
  <c r="C960" i="11"/>
  <c r="B960" i="11"/>
  <c r="A960" i="11"/>
  <c r="P959" i="11"/>
  <c r="O959" i="11"/>
  <c r="F959" i="11"/>
  <c r="E959" i="11"/>
  <c r="C959" i="11"/>
  <c r="B959" i="11"/>
  <c r="A959" i="11"/>
  <c r="P958" i="11"/>
  <c r="O958" i="11"/>
  <c r="F958" i="11"/>
  <c r="E958" i="11"/>
  <c r="C958" i="11"/>
  <c r="B958" i="11"/>
  <c r="A958" i="11"/>
  <c r="P957" i="11"/>
  <c r="O957" i="11"/>
  <c r="F957" i="11"/>
  <c r="E957" i="11"/>
  <c r="C957" i="11"/>
  <c r="B957" i="11"/>
  <c r="A957" i="11"/>
  <c r="P956" i="11"/>
  <c r="O956" i="11"/>
  <c r="F956" i="11"/>
  <c r="E956" i="11"/>
  <c r="C956" i="11"/>
  <c r="B956" i="11"/>
  <c r="A956" i="11"/>
  <c r="P955" i="11"/>
  <c r="O955" i="11"/>
  <c r="F955" i="11"/>
  <c r="E955" i="11"/>
  <c r="C955" i="11"/>
  <c r="B955" i="11"/>
  <c r="A955" i="11"/>
  <c r="P954" i="11"/>
  <c r="O954" i="11"/>
  <c r="F954" i="11"/>
  <c r="E954" i="11"/>
  <c r="C954" i="11"/>
  <c r="B954" i="11"/>
  <c r="A954" i="11"/>
  <c r="P953" i="11"/>
  <c r="O953" i="11"/>
  <c r="F953" i="11"/>
  <c r="E953" i="11"/>
  <c r="C953" i="11"/>
  <c r="B953" i="11"/>
  <c r="A953" i="11"/>
  <c r="P952" i="11"/>
  <c r="O952" i="11"/>
  <c r="F952" i="11"/>
  <c r="E952" i="11"/>
  <c r="C952" i="11"/>
  <c r="B952" i="11"/>
  <c r="A952" i="11"/>
  <c r="P951" i="11"/>
  <c r="O951" i="11"/>
  <c r="F951" i="11"/>
  <c r="E951" i="11"/>
  <c r="C951" i="11"/>
  <c r="B951" i="11"/>
  <c r="A951" i="11"/>
  <c r="P950" i="11"/>
  <c r="O950" i="11"/>
  <c r="F950" i="11"/>
  <c r="E950" i="11"/>
  <c r="C950" i="11"/>
  <c r="B950" i="11"/>
  <c r="A950" i="11"/>
  <c r="P949" i="11"/>
  <c r="O949" i="11"/>
  <c r="F949" i="11"/>
  <c r="E949" i="11"/>
  <c r="C949" i="11"/>
  <c r="B949" i="11"/>
  <c r="A949" i="11"/>
  <c r="P948" i="11"/>
  <c r="O948" i="11"/>
  <c r="F948" i="11"/>
  <c r="E948" i="11"/>
  <c r="C948" i="11"/>
  <c r="B948" i="11"/>
  <c r="A948" i="11"/>
  <c r="P947" i="11"/>
  <c r="O947" i="11"/>
  <c r="F947" i="11"/>
  <c r="E947" i="11"/>
  <c r="C947" i="11"/>
  <c r="B947" i="11"/>
  <c r="A947" i="11"/>
  <c r="P946" i="11"/>
  <c r="O946" i="11"/>
  <c r="F946" i="11"/>
  <c r="E946" i="11"/>
  <c r="C946" i="11"/>
  <c r="B946" i="11"/>
  <c r="A946" i="11"/>
  <c r="P945" i="11"/>
  <c r="O945" i="11"/>
  <c r="F945" i="11"/>
  <c r="E945" i="11"/>
  <c r="C945" i="11"/>
  <c r="B945" i="11"/>
  <c r="A945" i="11"/>
  <c r="P944" i="11"/>
  <c r="O944" i="11"/>
  <c r="F944" i="11"/>
  <c r="E944" i="11"/>
  <c r="C944" i="11"/>
  <c r="B944" i="11"/>
  <c r="A944" i="11"/>
  <c r="P943" i="11"/>
  <c r="O943" i="11"/>
  <c r="F943" i="11"/>
  <c r="E943" i="11"/>
  <c r="C943" i="11"/>
  <c r="B943" i="11"/>
  <c r="A943" i="11"/>
  <c r="P942" i="11"/>
  <c r="O942" i="11"/>
  <c r="F942" i="11"/>
  <c r="E942" i="11"/>
  <c r="C942" i="11"/>
  <c r="B942" i="11"/>
  <c r="A942" i="11"/>
  <c r="P941" i="11"/>
  <c r="O941" i="11"/>
  <c r="F941" i="11"/>
  <c r="E941" i="11"/>
  <c r="C941" i="11"/>
  <c r="B941" i="11"/>
  <c r="A941" i="11"/>
  <c r="P940" i="11"/>
  <c r="O940" i="11"/>
  <c r="F940" i="11"/>
  <c r="E940" i="11"/>
  <c r="C940" i="11"/>
  <c r="B940" i="11"/>
  <c r="A940" i="11"/>
  <c r="P939" i="11"/>
  <c r="O939" i="11"/>
  <c r="F939" i="11"/>
  <c r="E939" i="11"/>
  <c r="C939" i="11"/>
  <c r="B939" i="11"/>
  <c r="A939" i="11"/>
  <c r="P938" i="11"/>
  <c r="O938" i="11"/>
  <c r="F938" i="11"/>
  <c r="E938" i="11"/>
  <c r="C938" i="11"/>
  <c r="B938" i="11"/>
  <c r="A938" i="11"/>
  <c r="P937" i="11"/>
  <c r="O937" i="11"/>
  <c r="F937" i="11"/>
  <c r="E937" i="11"/>
  <c r="C937" i="11"/>
  <c r="B937" i="11"/>
  <c r="A937" i="11"/>
  <c r="P936" i="11"/>
  <c r="O936" i="11"/>
  <c r="F936" i="11"/>
  <c r="E936" i="11"/>
  <c r="C936" i="11"/>
  <c r="B936" i="11"/>
  <c r="A936" i="11"/>
  <c r="P935" i="11"/>
  <c r="O935" i="11"/>
  <c r="F935" i="11"/>
  <c r="E935" i="11"/>
  <c r="C935" i="11"/>
  <c r="B935" i="11"/>
  <c r="A935" i="11"/>
  <c r="P934" i="11"/>
  <c r="O934" i="11"/>
  <c r="F934" i="11"/>
  <c r="E934" i="11"/>
  <c r="C934" i="11"/>
  <c r="B934" i="11"/>
  <c r="A934" i="11"/>
  <c r="P932" i="11"/>
  <c r="O932" i="11"/>
  <c r="F932" i="11"/>
  <c r="E932" i="11"/>
  <c r="C932" i="11"/>
  <c r="B932" i="11"/>
  <c r="A932" i="11"/>
  <c r="P931" i="11"/>
  <c r="O931" i="11"/>
  <c r="F931" i="11"/>
  <c r="E931" i="11"/>
  <c r="C931" i="11"/>
  <c r="B931" i="11"/>
  <c r="A931" i="11"/>
  <c r="P930" i="11"/>
  <c r="O930" i="11"/>
  <c r="F930" i="11"/>
  <c r="E930" i="11"/>
  <c r="C930" i="11"/>
  <c r="B930" i="11"/>
  <c r="A930" i="11"/>
  <c r="P929" i="11"/>
  <c r="O929" i="11"/>
  <c r="F929" i="11"/>
  <c r="E929" i="11"/>
  <c r="C929" i="11"/>
  <c r="B929" i="11"/>
  <c r="A929" i="11"/>
  <c r="P928" i="11"/>
  <c r="O928" i="11"/>
  <c r="F928" i="11"/>
  <c r="E928" i="11"/>
  <c r="C928" i="11"/>
  <c r="B928" i="11"/>
  <c r="A928" i="11"/>
  <c r="P927" i="11"/>
  <c r="O927" i="11"/>
  <c r="F927" i="11"/>
  <c r="E927" i="11"/>
  <c r="C927" i="11"/>
  <c r="B927" i="11"/>
  <c r="A927" i="11"/>
  <c r="P926" i="11"/>
  <c r="O926" i="11"/>
  <c r="F926" i="11"/>
  <c r="E926" i="11"/>
  <c r="C926" i="11"/>
  <c r="B926" i="11"/>
  <c r="A926" i="11"/>
  <c r="P925" i="11"/>
  <c r="O925" i="11"/>
  <c r="F925" i="11"/>
  <c r="E925" i="11"/>
  <c r="C925" i="11"/>
  <c r="B925" i="11"/>
  <c r="A925" i="11"/>
  <c r="P924" i="11"/>
  <c r="O924" i="11"/>
  <c r="F924" i="11"/>
  <c r="E924" i="11"/>
  <c r="C924" i="11"/>
  <c r="B924" i="11"/>
  <c r="A924" i="11"/>
  <c r="P923" i="11"/>
  <c r="O923" i="11"/>
  <c r="F923" i="11"/>
  <c r="E923" i="11"/>
  <c r="C923" i="11"/>
  <c r="B923" i="11"/>
  <c r="A923" i="11"/>
  <c r="P922" i="11"/>
  <c r="O922" i="11"/>
  <c r="F922" i="11"/>
  <c r="E922" i="11"/>
  <c r="C922" i="11"/>
  <c r="B922" i="11"/>
  <c r="A922" i="11"/>
  <c r="P921" i="11"/>
  <c r="O921" i="11"/>
  <c r="F921" i="11"/>
  <c r="E921" i="11"/>
  <c r="C921" i="11"/>
  <c r="B921" i="11"/>
  <c r="A921" i="11"/>
  <c r="P920" i="11"/>
  <c r="O920" i="11"/>
  <c r="F920" i="11"/>
  <c r="E920" i="11"/>
  <c r="C920" i="11"/>
  <c r="B920" i="11"/>
  <c r="A920" i="11"/>
  <c r="P919" i="11"/>
  <c r="O919" i="11"/>
  <c r="F919" i="11"/>
  <c r="E919" i="11"/>
  <c r="C919" i="11"/>
  <c r="B919" i="11"/>
  <c r="A919" i="11"/>
  <c r="P918" i="11"/>
  <c r="O918" i="11"/>
  <c r="F918" i="11"/>
  <c r="E918" i="11"/>
  <c r="C918" i="11"/>
  <c r="B918" i="11"/>
  <c r="A918" i="11"/>
  <c r="P917" i="11"/>
  <c r="O917" i="11"/>
  <c r="F917" i="11"/>
  <c r="E917" i="11"/>
  <c r="C917" i="11"/>
  <c r="B917" i="11"/>
  <c r="A917" i="11"/>
  <c r="P916" i="11"/>
  <c r="O916" i="11"/>
  <c r="F916" i="11"/>
  <c r="E916" i="11"/>
  <c r="C916" i="11"/>
  <c r="B916" i="11"/>
  <c r="A916" i="11"/>
  <c r="P915" i="11"/>
  <c r="O915" i="11"/>
  <c r="F915" i="11"/>
  <c r="E915" i="11"/>
  <c r="C915" i="11"/>
  <c r="B915" i="11"/>
  <c r="A915" i="11"/>
  <c r="P914" i="11"/>
  <c r="O914" i="11"/>
  <c r="F914" i="11"/>
  <c r="E914" i="11"/>
  <c r="C914" i="11"/>
  <c r="B914" i="11"/>
  <c r="A914" i="11"/>
  <c r="P913" i="11"/>
  <c r="O913" i="11"/>
  <c r="F913" i="11"/>
  <c r="E913" i="11"/>
  <c r="C913" i="11"/>
  <c r="B913" i="11"/>
  <c r="A913" i="11"/>
  <c r="P912" i="11"/>
  <c r="O912" i="11"/>
  <c r="F912" i="11"/>
  <c r="E912" i="11"/>
  <c r="C912" i="11"/>
  <c r="B912" i="11"/>
  <c r="A912" i="11"/>
  <c r="P911" i="11"/>
  <c r="O911" i="11"/>
  <c r="F911" i="11"/>
  <c r="E911" i="11"/>
  <c r="C911" i="11"/>
  <c r="B911" i="11"/>
  <c r="A911" i="11"/>
  <c r="P910" i="11"/>
  <c r="O910" i="11"/>
  <c r="F910" i="11"/>
  <c r="E910" i="11"/>
  <c r="C910" i="11"/>
  <c r="B910" i="11"/>
  <c r="A910" i="11"/>
  <c r="P909" i="11"/>
  <c r="O909" i="11"/>
  <c r="F909" i="11"/>
  <c r="E909" i="11"/>
  <c r="C909" i="11"/>
  <c r="B909" i="11"/>
  <c r="A909" i="11"/>
  <c r="P908" i="11"/>
  <c r="O908" i="11"/>
  <c r="F908" i="11"/>
  <c r="E908" i="11"/>
  <c r="C908" i="11"/>
  <c r="B908" i="11"/>
  <c r="A908" i="11"/>
  <c r="P907" i="11"/>
  <c r="O907" i="11"/>
  <c r="F907" i="11"/>
  <c r="E907" i="11"/>
  <c r="C907" i="11"/>
  <c r="B907" i="11"/>
  <c r="A907" i="11"/>
  <c r="P906" i="11"/>
  <c r="O906" i="11"/>
  <c r="F906" i="11"/>
  <c r="E906" i="11"/>
  <c r="C906" i="11"/>
  <c r="B906" i="11"/>
  <c r="A906" i="11"/>
  <c r="P905" i="11"/>
  <c r="O905" i="11"/>
  <c r="F905" i="11"/>
  <c r="E905" i="11"/>
  <c r="C905" i="11"/>
  <c r="B905" i="11"/>
  <c r="A905" i="11"/>
  <c r="P904" i="11"/>
  <c r="O904" i="11"/>
  <c r="F904" i="11"/>
  <c r="E904" i="11"/>
  <c r="C904" i="11"/>
  <c r="B904" i="11"/>
  <c r="A904" i="11"/>
  <c r="F903" i="11"/>
  <c r="E903" i="11"/>
  <c r="C903" i="11"/>
  <c r="B903" i="11"/>
  <c r="A903" i="11"/>
  <c r="F902" i="11"/>
  <c r="E902" i="11"/>
  <c r="C902" i="11"/>
  <c r="B902" i="11"/>
  <c r="A902" i="11"/>
  <c r="P901" i="11"/>
  <c r="O901" i="11"/>
  <c r="F901" i="11"/>
  <c r="E901" i="11"/>
  <c r="C901" i="11"/>
  <c r="B901" i="11"/>
  <c r="A901" i="11"/>
  <c r="P900" i="11"/>
  <c r="O900" i="11"/>
  <c r="F900" i="11"/>
  <c r="E900" i="11"/>
  <c r="C900" i="11"/>
  <c r="B900" i="11"/>
  <c r="A900" i="11"/>
  <c r="P899" i="11"/>
  <c r="O899" i="11"/>
  <c r="F899" i="11"/>
  <c r="E899" i="11"/>
  <c r="C899" i="11"/>
  <c r="B899" i="11"/>
  <c r="A899" i="11"/>
  <c r="P898" i="11"/>
  <c r="O898" i="11"/>
  <c r="F898" i="11"/>
  <c r="E898" i="11"/>
  <c r="C898" i="11"/>
  <c r="B898" i="11"/>
  <c r="A898" i="11"/>
  <c r="P897" i="11"/>
  <c r="O897" i="11"/>
  <c r="F897" i="11"/>
  <c r="E897" i="11"/>
  <c r="C897" i="11"/>
  <c r="B897" i="11"/>
  <c r="A897" i="11"/>
  <c r="P896" i="11"/>
  <c r="O896" i="11"/>
  <c r="F896" i="11"/>
  <c r="E896" i="11"/>
  <c r="C896" i="11"/>
  <c r="B896" i="11"/>
  <c r="A896" i="11"/>
  <c r="P895" i="11"/>
  <c r="O895" i="11"/>
  <c r="F895" i="11"/>
  <c r="E895" i="11"/>
  <c r="C895" i="11"/>
  <c r="B895" i="11"/>
  <c r="A895" i="11"/>
  <c r="P894" i="11"/>
  <c r="O894" i="11"/>
  <c r="F894" i="11"/>
  <c r="E894" i="11"/>
  <c r="C894" i="11"/>
  <c r="B894" i="11"/>
  <c r="A894" i="11"/>
  <c r="P893" i="11"/>
  <c r="O893" i="11"/>
  <c r="F893" i="11"/>
  <c r="E893" i="11"/>
  <c r="C893" i="11"/>
  <c r="B893" i="11"/>
  <c r="A893" i="11"/>
  <c r="P892" i="11"/>
  <c r="O892" i="11"/>
  <c r="F892" i="11"/>
  <c r="E892" i="11"/>
  <c r="C892" i="11"/>
  <c r="B892" i="11"/>
  <c r="A892" i="11"/>
  <c r="P891" i="11"/>
  <c r="O891" i="11"/>
  <c r="F891" i="11"/>
  <c r="E891" i="11"/>
  <c r="C891" i="11"/>
  <c r="B891" i="11"/>
  <c r="A891" i="11"/>
  <c r="P890" i="11"/>
  <c r="O890" i="11"/>
  <c r="F890" i="11"/>
  <c r="E890" i="11"/>
  <c r="C890" i="11"/>
  <c r="B890" i="11"/>
  <c r="A890" i="11"/>
  <c r="P889" i="11"/>
  <c r="O889" i="11"/>
  <c r="F889" i="11"/>
  <c r="E889" i="11"/>
  <c r="C889" i="11"/>
  <c r="B889" i="11"/>
  <c r="A889" i="11"/>
  <c r="P888" i="11"/>
  <c r="O888" i="11"/>
  <c r="F888" i="11"/>
  <c r="E888" i="11"/>
  <c r="C888" i="11"/>
  <c r="B888" i="11"/>
  <c r="A888" i="11"/>
  <c r="P887" i="11"/>
  <c r="O887" i="11"/>
  <c r="F887" i="11"/>
  <c r="E887" i="11"/>
  <c r="C887" i="11"/>
  <c r="B887" i="11"/>
  <c r="A887" i="11"/>
  <c r="P886" i="11"/>
  <c r="O886" i="11"/>
  <c r="F886" i="11"/>
  <c r="E886" i="11"/>
  <c r="C886" i="11"/>
  <c r="B886" i="11"/>
  <c r="A886" i="11"/>
  <c r="P885" i="11"/>
  <c r="O885" i="11"/>
  <c r="F885" i="11"/>
  <c r="E885" i="11"/>
  <c r="C885" i="11"/>
  <c r="B885" i="11"/>
  <c r="A885" i="11"/>
  <c r="P884" i="11"/>
  <c r="O884" i="11"/>
  <c r="F884" i="11"/>
  <c r="E884" i="11"/>
  <c r="C884" i="11"/>
  <c r="B884" i="11"/>
  <c r="A884" i="11"/>
  <c r="P883" i="11"/>
  <c r="O883" i="11"/>
  <c r="F883" i="11"/>
  <c r="E883" i="11"/>
  <c r="C883" i="11"/>
  <c r="B883" i="11"/>
  <c r="A883" i="11"/>
  <c r="P882" i="11"/>
  <c r="O882" i="11"/>
  <c r="F882" i="11"/>
  <c r="E882" i="11"/>
  <c r="C882" i="11"/>
  <c r="B882" i="11"/>
  <c r="A882" i="11"/>
  <c r="P881" i="11"/>
  <c r="O881" i="11"/>
  <c r="F881" i="11"/>
  <c r="E881" i="11"/>
  <c r="C881" i="11"/>
  <c r="B881" i="11"/>
  <c r="A881" i="11"/>
  <c r="P880" i="11"/>
  <c r="O880" i="11"/>
  <c r="F880" i="11"/>
  <c r="E880" i="11"/>
  <c r="C880" i="11"/>
  <c r="B880" i="11"/>
  <c r="A880" i="11"/>
  <c r="P879" i="11"/>
  <c r="O879" i="11"/>
  <c r="F879" i="11"/>
  <c r="E879" i="11"/>
  <c r="C879" i="11"/>
  <c r="B879" i="11"/>
  <c r="A879" i="11"/>
  <c r="P878" i="11"/>
  <c r="O878" i="11"/>
  <c r="F878" i="11"/>
  <c r="E878" i="11"/>
  <c r="C878" i="11"/>
  <c r="B878" i="11"/>
  <c r="A878" i="11"/>
  <c r="P877" i="11"/>
  <c r="O877" i="11"/>
  <c r="F877" i="11"/>
  <c r="E877" i="11"/>
  <c r="C877" i="11"/>
  <c r="B877" i="11"/>
  <c r="A877" i="11"/>
  <c r="P876" i="11"/>
  <c r="O876" i="11"/>
  <c r="F876" i="11"/>
  <c r="E876" i="11"/>
  <c r="C876" i="11"/>
  <c r="B876" i="11"/>
  <c r="A876" i="11"/>
  <c r="P875" i="11"/>
  <c r="O875" i="11"/>
  <c r="F875" i="11"/>
  <c r="E875" i="11"/>
  <c r="C875" i="11"/>
  <c r="B875" i="11"/>
  <c r="A875" i="11"/>
  <c r="P874" i="11"/>
  <c r="O874" i="11"/>
  <c r="F874" i="11"/>
  <c r="E874" i="11"/>
  <c r="C874" i="11"/>
  <c r="B874" i="11"/>
  <c r="A874" i="11"/>
  <c r="P873" i="11"/>
  <c r="O873" i="11"/>
  <c r="F873" i="11"/>
  <c r="E873" i="11"/>
  <c r="C873" i="11"/>
  <c r="B873" i="11"/>
  <c r="A873" i="11"/>
  <c r="P872" i="11"/>
  <c r="O872" i="11"/>
  <c r="F872" i="11"/>
  <c r="E872" i="11"/>
  <c r="C872" i="11"/>
  <c r="B872" i="11"/>
  <c r="A872" i="11"/>
  <c r="P871" i="11"/>
  <c r="O871" i="11"/>
  <c r="F871" i="11"/>
  <c r="E871" i="11"/>
  <c r="C871" i="11"/>
  <c r="B871" i="11"/>
  <c r="A871" i="11"/>
  <c r="P870" i="11"/>
  <c r="O870" i="11"/>
  <c r="F870" i="11"/>
  <c r="E870" i="11"/>
  <c r="C870" i="11"/>
  <c r="B870" i="11"/>
  <c r="A870" i="11"/>
  <c r="P869" i="11"/>
  <c r="O869" i="11"/>
  <c r="F869" i="11"/>
  <c r="E869" i="11"/>
  <c r="C869" i="11"/>
  <c r="B869" i="11"/>
  <c r="A869" i="11"/>
  <c r="P868" i="11"/>
  <c r="O868" i="11"/>
  <c r="F868" i="11"/>
  <c r="E868" i="11"/>
  <c r="C868" i="11"/>
  <c r="B868" i="11"/>
  <c r="A868" i="11"/>
  <c r="P867" i="11"/>
  <c r="O867" i="11"/>
  <c r="F867" i="11"/>
  <c r="E867" i="11"/>
  <c r="C867" i="11"/>
  <c r="B867" i="11"/>
  <c r="A867" i="11"/>
  <c r="P866" i="11"/>
  <c r="O866" i="11"/>
  <c r="F866" i="11"/>
  <c r="E866" i="11"/>
  <c r="C866" i="11"/>
  <c r="B866" i="11"/>
  <c r="A866" i="11"/>
  <c r="P865" i="11"/>
  <c r="O865" i="11"/>
  <c r="F865" i="11"/>
  <c r="E865" i="11"/>
  <c r="C865" i="11"/>
  <c r="B865" i="11"/>
  <c r="A865" i="11"/>
  <c r="P864" i="11"/>
  <c r="O864" i="11"/>
  <c r="F864" i="11"/>
  <c r="E864" i="11"/>
  <c r="C864" i="11"/>
  <c r="B864" i="11"/>
  <c r="A864" i="11"/>
  <c r="P863" i="11"/>
  <c r="O863" i="11"/>
  <c r="F863" i="11"/>
  <c r="E863" i="11"/>
  <c r="C863" i="11"/>
  <c r="B863" i="11"/>
  <c r="A863" i="11"/>
  <c r="P862" i="11"/>
  <c r="O862" i="11"/>
  <c r="F862" i="11"/>
  <c r="E862" i="11"/>
  <c r="C862" i="11"/>
  <c r="B862" i="11"/>
  <c r="A862" i="11"/>
  <c r="P861" i="11"/>
  <c r="O861" i="11"/>
  <c r="F861" i="11"/>
  <c r="E861" i="11"/>
  <c r="C861" i="11"/>
  <c r="B861" i="11"/>
  <c r="A861" i="11"/>
  <c r="P860" i="11"/>
  <c r="O860" i="11"/>
  <c r="F860" i="11"/>
  <c r="E860" i="11"/>
  <c r="C860" i="11"/>
  <c r="B860" i="11"/>
  <c r="A860" i="11"/>
  <c r="P859" i="11"/>
  <c r="O859" i="11"/>
  <c r="F859" i="11"/>
  <c r="E859" i="11"/>
  <c r="C859" i="11"/>
  <c r="B859" i="11"/>
  <c r="A859" i="11"/>
  <c r="P858" i="11"/>
  <c r="O858" i="11"/>
  <c r="F858" i="11"/>
  <c r="E858" i="11"/>
  <c r="C858" i="11"/>
  <c r="B858" i="11"/>
  <c r="A858" i="11"/>
  <c r="P857" i="11"/>
  <c r="O857" i="11"/>
  <c r="F857" i="11"/>
  <c r="E857" i="11"/>
  <c r="C857" i="11"/>
  <c r="B857" i="11"/>
  <c r="A857" i="11"/>
  <c r="P856" i="11"/>
  <c r="O856" i="11"/>
  <c r="F856" i="11"/>
  <c r="E856" i="11"/>
  <c r="C856" i="11"/>
  <c r="B856" i="11"/>
  <c r="A856" i="11"/>
  <c r="P855" i="11"/>
  <c r="O855" i="11"/>
  <c r="F855" i="11"/>
  <c r="E855" i="11"/>
  <c r="C855" i="11"/>
  <c r="B855" i="11"/>
  <c r="A855" i="11"/>
  <c r="P854" i="11"/>
  <c r="O854" i="11"/>
  <c r="F854" i="11"/>
  <c r="E854" i="11"/>
  <c r="C854" i="11"/>
  <c r="B854" i="11"/>
  <c r="A854" i="11"/>
  <c r="P853" i="11"/>
  <c r="O853" i="11"/>
  <c r="F853" i="11"/>
  <c r="E853" i="11"/>
  <c r="C853" i="11"/>
  <c r="B853" i="11"/>
  <c r="A853" i="11"/>
  <c r="P852" i="11"/>
  <c r="O852" i="11"/>
  <c r="F852" i="11"/>
  <c r="E852" i="11"/>
  <c r="C852" i="11"/>
  <c r="B852" i="11"/>
  <c r="A852" i="11"/>
  <c r="P851" i="11"/>
  <c r="O851" i="11"/>
  <c r="F851" i="11"/>
  <c r="E851" i="11"/>
  <c r="C851" i="11"/>
  <c r="B851" i="11"/>
  <c r="A851" i="11"/>
  <c r="P850" i="11"/>
  <c r="O850" i="11"/>
  <c r="F850" i="11"/>
  <c r="E850" i="11"/>
  <c r="C850" i="11"/>
  <c r="B850" i="11"/>
  <c r="A850" i="11"/>
  <c r="P849" i="11"/>
  <c r="O849" i="11"/>
  <c r="F849" i="11"/>
  <c r="E849" i="11"/>
  <c r="C849" i="11"/>
  <c r="B849" i="11"/>
  <c r="A849" i="11"/>
  <c r="P848" i="11"/>
  <c r="O848" i="11"/>
  <c r="F848" i="11"/>
  <c r="E848" i="11"/>
  <c r="C848" i="11"/>
  <c r="B848" i="11"/>
  <c r="A848" i="11"/>
  <c r="P847" i="11"/>
  <c r="O847" i="11"/>
  <c r="F847" i="11"/>
  <c r="E847" i="11"/>
  <c r="C847" i="11"/>
  <c r="B847" i="11"/>
  <c r="A847" i="11"/>
  <c r="P846" i="11"/>
  <c r="O846" i="11"/>
  <c r="F846" i="11"/>
  <c r="E846" i="11"/>
  <c r="C846" i="11"/>
  <c r="B846" i="11"/>
  <c r="A846" i="11"/>
  <c r="P845" i="11"/>
  <c r="O845" i="11"/>
  <c r="F845" i="11"/>
  <c r="E845" i="11"/>
  <c r="C845" i="11"/>
  <c r="B845" i="11"/>
  <c r="A845" i="11"/>
  <c r="P844" i="11"/>
  <c r="O844" i="11"/>
  <c r="F844" i="11"/>
  <c r="E844" i="11"/>
  <c r="C844" i="11"/>
  <c r="B844" i="11"/>
  <c r="A844" i="11"/>
  <c r="P843" i="11"/>
  <c r="O843" i="11"/>
  <c r="F843" i="11"/>
  <c r="E843" i="11"/>
  <c r="C843" i="11"/>
  <c r="B843" i="11"/>
  <c r="A843" i="11"/>
  <c r="P842" i="11"/>
  <c r="O842" i="11"/>
  <c r="F842" i="11"/>
  <c r="E842" i="11"/>
  <c r="C842" i="11"/>
  <c r="B842" i="11"/>
  <c r="A842" i="11"/>
  <c r="P841" i="11"/>
  <c r="O841" i="11"/>
  <c r="F841" i="11"/>
  <c r="E841" i="11"/>
  <c r="C841" i="11"/>
  <c r="B841" i="11"/>
  <c r="A841" i="11"/>
  <c r="P839" i="11"/>
  <c r="O839" i="11"/>
  <c r="F839" i="11"/>
  <c r="E839" i="11"/>
  <c r="C839" i="11"/>
  <c r="B839" i="11"/>
  <c r="A839" i="11"/>
  <c r="P838" i="11"/>
  <c r="O838" i="11"/>
  <c r="F838" i="11"/>
  <c r="E838" i="11"/>
  <c r="C838" i="11"/>
  <c r="B838" i="11"/>
  <c r="A838" i="11"/>
  <c r="P837" i="11"/>
  <c r="O837" i="11"/>
  <c r="F837" i="11"/>
  <c r="E837" i="11"/>
  <c r="C837" i="11"/>
  <c r="B837" i="11"/>
  <c r="A837" i="11"/>
  <c r="P836" i="11"/>
  <c r="O836" i="11"/>
  <c r="F836" i="11"/>
  <c r="E836" i="11"/>
  <c r="C836" i="11"/>
  <c r="B836" i="11"/>
  <c r="A836" i="11"/>
  <c r="P835" i="11"/>
  <c r="O835" i="11"/>
  <c r="F835" i="11"/>
  <c r="E835" i="11"/>
  <c r="C835" i="11"/>
  <c r="B835" i="11"/>
  <c r="A835" i="11"/>
  <c r="P834" i="11"/>
  <c r="O834" i="11"/>
  <c r="F834" i="11"/>
  <c r="E834" i="11"/>
  <c r="C834" i="11"/>
  <c r="B834" i="11"/>
  <c r="A834" i="11"/>
  <c r="P833" i="11"/>
  <c r="O833" i="11"/>
  <c r="F833" i="11"/>
  <c r="E833" i="11"/>
  <c r="C833" i="11"/>
  <c r="B833" i="11"/>
  <c r="A833" i="11"/>
  <c r="P832" i="11"/>
  <c r="O832" i="11"/>
  <c r="F832" i="11"/>
  <c r="E832" i="11"/>
  <c r="C832" i="11"/>
  <c r="B832" i="11"/>
  <c r="A832" i="11"/>
  <c r="P831" i="11"/>
  <c r="O831" i="11"/>
  <c r="F831" i="11"/>
  <c r="E831" i="11"/>
  <c r="C831" i="11"/>
  <c r="B831" i="11"/>
  <c r="A831" i="11"/>
  <c r="P830" i="11"/>
  <c r="O830" i="11"/>
  <c r="F830" i="11"/>
  <c r="E830" i="11"/>
  <c r="C830" i="11"/>
  <c r="B830" i="11"/>
  <c r="A830" i="11"/>
  <c r="P829" i="11"/>
  <c r="O829" i="11"/>
  <c r="F829" i="11"/>
  <c r="E829" i="11"/>
  <c r="C829" i="11"/>
  <c r="B829" i="11"/>
  <c r="A829" i="11"/>
  <c r="P828" i="11"/>
  <c r="O828" i="11"/>
  <c r="F828" i="11"/>
  <c r="E828" i="11"/>
  <c r="C828" i="11"/>
  <c r="B828" i="11"/>
  <c r="A828" i="11"/>
  <c r="P827" i="11"/>
  <c r="O827" i="11"/>
  <c r="F827" i="11"/>
  <c r="E827" i="11"/>
  <c r="C827" i="11"/>
  <c r="B827" i="11"/>
  <c r="A827" i="11"/>
  <c r="P826" i="11"/>
  <c r="O826" i="11"/>
  <c r="F826" i="11"/>
  <c r="E826" i="11"/>
  <c r="C826" i="11"/>
  <c r="B826" i="11"/>
  <c r="A826" i="11"/>
  <c r="P825" i="11"/>
  <c r="O825" i="11"/>
  <c r="F825" i="11"/>
  <c r="E825" i="11"/>
  <c r="C825" i="11"/>
  <c r="B825" i="11"/>
  <c r="A825" i="11"/>
  <c r="P824" i="11"/>
  <c r="O824" i="11"/>
  <c r="F824" i="11"/>
  <c r="E824" i="11"/>
  <c r="C824" i="11"/>
  <c r="B824" i="11"/>
  <c r="A824" i="11"/>
  <c r="P823" i="11"/>
  <c r="O823" i="11"/>
  <c r="F823" i="11"/>
  <c r="E823" i="11"/>
  <c r="C823" i="11"/>
  <c r="B823" i="11"/>
  <c r="A823" i="11"/>
  <c r="P822" i="11"/>
  <c r="O822" i="11"/>
  <c r="F822" i="11"/>
  <c r="E822" i="11"/>
  <c r="C822" i="11"/>
  <c r="B822" i="11"/>
  <c r="A822" i="11"/>
  <c r="P821" i="11"/>
  <c r="O821" i="11"/>
  <c r="F821" i="11"/>
  <c r="E821" i="11"/>
  <c r="C821" i="11"/>
  <c r="B821" i="11"/>
  <c r="A821" i="11"/>
  <c r="P820" i="11"/>
  <c r="O820" i="11"/>
  <c r="F820" i="11"/>
  <c r="E820" i="11"/>
  <c r="C820" i="11"/>
  <c r="B820" i="11"/>
  <c r="A820" i="11"/>
  <c r="P819" i="11"/>
  <c r="O819" i="11"/>
  <c r="F819" i="11"/>
  <c r="E819" i="11"/>
  <c r="C819" i="11"/>
  <c r="B819" i="11"/>
  <c r="A819" i="11"/>
  <c r="P818" i="11"/>
  <c r="O818" i="11"/>
  <c r="F818" i="11"/>
  <c r="E818" i="11"/>
  <c r="C818" i="11"/>
  <c r="B818" i="11"/>
  <c r="A818" i="11"/>
  <c r="P817" i="11"/>
  <c r="O817" i="11"/>
  <c r="F817" i="11"/>
  <c r="E817" i="11"/>
  <c r="C817" i="11"/>
  <c r="B817" i="11"/>
  <c r="A817" i="11"/>
  <c r="P816" i="11"/>
  <c r="O816" i="11"/>
  <c r="F816" i="11"/>
  <c r="E816" i="11"/>
  <c r="C816" i="11"/>
  <c r="B816" i="11"/>
  <c r="A816" i="11"/>
  <c r="P815" i="11"/>
  <c r="O815" i="11"/>
  <c r="F815" i="11"/>
  <c r="E815" i="11"/>
  <c r="C815" i="11"/>
  <c r="B815" i="11"/>
  <c r="A815" i="11"/>
  <c r="P814" i="11"/>
  <c r="O814" i="11"/>
  <c r="F814" i="11"/>
  <c r="E814" i="11"/>
  <c r="C814" i="11"/>
  <c r="B814" i="11"/>
  <c r="A814" i="11"/>
  <c r="P813" i="11"/>
  <c r="O813" i="11"/>
  <c r="F813" i="11"/>
  <c r="E813" i="11"/>
  <c r="C813" i="11"/>
  <c r="B813" i="11"/>
  <c r="A813" i="11"/>
  <c r="P812" i="11"/>
  <c r="O812" i="11"/>
  <c r="F812" i="11"/>
  <c r="E812" i="11"/>
  <c r="C812" i="11"/>
  <c r="B812" i="11"/>
  <c r="A812" i="11"/>
  <c r="P811" i="11"/>
  <c r="O811" i="11"/>
  <c r="F811" i="11"/>
  <c r="E811" i="11"/>
  <c r="C811" i="11"/>
  <c r="B811" i="11"/>
  <c r="A811" i="11"/>
  <c r="P810" i="11"/>
  <c r="O810" i="11"/>
  <c r="F810" i="11"/>
  <c r="E810" i="11"/>
  <c r="C810" i="11"/>
  <c r="B810" i="11"/>
  <c r="A810" i="11"/>
  <c r="P809" i="11"/>
  <c r="O809" i="11"/>
  <c r="F809" i="11"/>
  <c r="E809" i="11"/>
  <c r="C809" i="11"/>
  <c r="B809" i="11"/>
  <c r="A809" i="11"/>
  <c r="P808" i="11"/>
  <c r="O808" i="11"/>
  <c r="F808" i="11"/>
  <c r="E808" i="11"/>
  <c r="C808" i="11"/>
  <c r="B808" i="11"/>
  <c r="A808" i="11"/>
  <c r="P807" i="11"/>
  <c r="O807" i="11"/>
  <c r="F807" i="11"/>
  <c r="E807" i="11"/>
  <c r="C807" i="11"/>
  <c r="B807" i="11"/>
  <c r="A807" i="11"/>
  <c r="M4204" i="9"/>
  <c r="M4432" i="9"/>
  <c r="P806" i="11"/>
  <c r="O806" i="11"/>
  <c r="F806" i="11"/>
  <c r="E806" i="11"/>
  <c r="C806" i="11"/>
  <c r="B806" i="11"/>
  <c r="A806" i="11"/>
  <c r="A780" i="11"/>
  <c r="B780" i="11"/>
  <c r="C780" i="11"/>
  <c r="E780" i="11"/>
  <c r="F780" i="11"/>
  <c r="O780" i="11"/>
  <c r="P780" i="11"/>
  <c r="A781" i="11"/>
  <c r="B781" i="11"/>
  <c r="C781" i="11"/>
  <c r="E781" i="11"/>
  <c r="F781" i="11"/>
  <c r="O781" i="11"/>
  <c r="P781" i="11"/>
  <c r="A782" i="11"/>
  <c r="B782" i="11"/>
  <c r="C782" i="11"/>
  <c r="E782" i="11"/>
  <c r="F782" i="11"/>
  <c r="O782" i="11"/>
  <c r="P782" i="11"/>
  <c r="A783" i="11"/>
  <c r="B783" i="11"/>
  <c r="C783" i="11"/>
  <c r="E783" i="11"/>
  <c r="F783" i="11"/>
  <c r="O783" i="11"/>
  <c r="P783" i="11"/>
  <c r="A784" i="11"/>
  <c r="B784" i="11"/>
  <c r="C784" i="11"/>
  <c r="E784" i="11"/>
  <c r="F784" i="11"/>
  <c r="O784" i="11"/>
  <c r="P784" i="11"/>
  <c r="A785" i="11"/>
  <c r="B785" i="11"/>
  <c r="C785" i="11"/>
  <c r="E785" i="11"/>
  <c r="F785" i="11"/>
  <c r="O785" i="11"/>
  <c r="P785" i="11"/>
  <c r="A786" i="11"/>
  <c r="B786" i="11"/>
  <c r="C786" i="11"/>
  <c r="E786" i="11"/>
  <c r="F786" i="11"/>
  <c r="O786" i="11"/>
  <c r="P786" i="11"/>
  <c r="A787" i="11"/>
  <c r="B787" i="11"/>
  <c r="C787" i="11"/>
  <c r="E787" i="11"/>
  <c r="F787" i="11"/>
  <c r="O787" i="11"/>
  <c r="P787" i="11"/>
  <c r="A788" i="11"/>
  <c r="B788" i="11"/>
  <c r="C788" i="11"/>
  <c r="E788" i="11"/>
  <c r="F788" i="11"/>
  <c r="O788" i="11"/>
  <c r="P788" i="11"/>
  <c r="A789" i="11"/>
  <c r="B789" i="11"/>
  <c r="C789" i="11"/>
  <c r="E789" i="11"/>
  <c r="F789" i="11"/>
  <c r="O789" i="11"/>
  <c r="P789" i="11"/>
  <c r="A790" i="11"/>
  <c r="B790" i="11"/>
  <c r="C790" i="11"/>
  <c r="E790" i="11"/>
  <c r="F790" i="11"/>
  <c r="O790" i="11"/>
  <c r="P790" i="11"/>
  <c r="A791" i="11"/>
  <c r="B791" i="11"/>
  <c r="C791" i="11"/>
  <c r="E791" i="11"/>
  <c r="F791" i="11"/>
  <c r="O791" i="11"/>
  <c r="P791" i="11"/>
  <c r="A792" i="11"/>
  <c r="B792" i="11"/>
  <c r="C792" i="11"/>
  <c r="E792" i="11"/>
  <c r="F792" i="11"/>
  <c r="O792" i="11"/>
  <c r="P792" i="11"/>
  <c r="A793" i="11"/>
  <c r="B793" i="11"/>
  <c r="C793" i="11"/>
  <c r="E793" i="11"/>
  <c r="F793" i="11"/>
  <c r="O793" i="11"/>
  <c r="P793" i="11"/>
  <c r="A794" i="11"/>
  <c r="B794" i="11"/>
  <c r="C794" i="11"/>
  <c r="E794" i="11"/>
  <c r="F794" i="11"/>
  <c r="O794" i="11"/>
  <c r="P794" i="11"/>
  <c r="A795" i="11"/>
  <c r="B795" i="11"/>
  <c r="C795" i="11"/>
  <c r="E795" i="11"/>
  <c r="F795" i="11"/>
  <c r="O795" i="11"/>
  <c r="P795" i="11"/>
  <c r="A796" i="11"/>
  <c r="B796" i="11"/>
  <c r="C796" i="11"/>
  <c r="E796" i="11"/>
  <c r="F796" i="11"/>
  <c r="O796" i="11"/>
  <c r="P796" i="11"/>
  <c r="A797" i="11"/>
  <c r="B797" i="11"/>
  <c r="C797" i="11"/>
  <c r="E797" i="11"/>
  <c r="F797" i="11"/>
  <c r="O797" i="11"/>
  <c r="P797" i="11"/>
  <c r="A798" i="11"/>
  <c r="B798" i="11"/>
  <c r="C798" i="11"/>
  <c r="E798" i="11"/>
  <c r="F798" i="11"/>
  <c r="O798" i="11"/>
  <c r="P798" i="11"/>
  <c r="A799" i="11"/>
  <c r="B799" i="11"/>
  <c r="C799" i="11"/>
  <c r="E799" i="11"/>
  <c r="F799" i="11"/>
  <c r="O799" i="11"/>
  <c r="P799" i="11"/>
  <c r="A800" i="11"/>
  <c r="B800" i="11"/>
  <c r="C800" i="11"/>
  <c r="E800" i="11"/>
  <c r="F800" i="11"/>
  <c r="O800" i="11"/>
  <c r="P800" i="11"/>
  <c r="A801" i="11"/>
  <c r="B801" i="11"/>
  <c r="C801" i="11"/>
  <c r="E801" i="11"/>
  <c r="F801" i="11"/>
  <c r="O801" i="11"/>
  <c r="P801" i="11"/>
  <c r="A802" i="11"/>
  <c r="B802" i="11"/>
  <c r="C802" i="11"/>
  <c r="E802" i="11"/>
  <c r="F802" i="11"/>
  <c r="O802" i="11"/>
  <c r="P802" i="11"/>
  <c r="A803" i="11"/>
  <c r="B803" i="11"/>
  <c r="C803" i="11"/>
  <c r="E803" i="11"/>
  <c r="F803" i="11"/>
  <c r="O803" i="11"/>
  <c r="P803" i="11"/>
  <c r="A804" i="11"/>
  <c r="B804" i="11"/>
  <c r="C804" i="11"/>
  <c r="E804" i="11"/>
  <c r="F804" i="11"/>
  <c r="O804" i="11"/>
  <c r="P804" i="11"/>
  <c r="A805" i="11"/>
  <c r="B805" i="11"/>
  <c r="C805" i="11"/>
  <c r="E805" i="11"/>
  <c r="F805" i="11"/>
  <c r="O805" i="11"/>
  <c r="P805" i="11"/>
  <c r="A752" i="11"/>
  <c r="B752" i="11"/>
  <c r="C752" i="11"/>
  <c r="E752" i="11"/>
  <c r="F752" i="11"/>
  <c r="O752" i="11"/>
  <c r="P752" i="11"/>
  <c r="A753" i="11"/>
  <c r="B753" i="11"/>
  <c r="C753" i="11"/>
  <c r="E753" i="11"/>
  <c r="F753" i="11"/>
  <c r="O753" i="11"/>
  <c r="P753" i="11"/>
  <c r="A754" i="11"/>
  <c r="B754" i="11"/>
  <c r="C754" i="11"/>
  <c r="E754" i="11"/>
  <c r="F754" i="11"/>
  <c r="O754" i="11"/>
  <c r="P754" i="11"/>
  <c r="A755" i="11"/>
  <c r="B755" i="11"/>
  <c r="C755" i="11"/>
  <c r="E755" i="11"/>
  <c r="F755" i="11"/>
  <c r="O755" i="11"/>
  <c r="P755" i="11"/>
  <c r="A756" i="11"/>
  <c r="B756" i="11"/>
  <c r="C756" i="11"/>
  <c r="E756" i="11"/>
  <c r="F756" i="11"/>
  <c r="O756" i="11"/>
  <c r="P756" i="11"/>
  <c r="A757" i="11"/>
  <c r="B757" i="11"/>
  <c r="C757" i="11"/>
  <c r="E757" i="11"/>
  <c r="F757" i="11"/>
  <c r="O757" i="11"/>
  <c r="P757" i="11"/>
  <c r="A758" i="11"/>
  <c r="B758" i="11"/>
  <c r="C758" i="11"/>
  <c r="E758" i="11"/>
  <c r="F758" i="11"/>
  <c r="O758" i="11"/>
  <c r="P758" i="11"/>
  <c r="A759" i="11"/>
  <c r="B759" i="11"/>
  <c r="C759" i="11"/>
  <c r="E759" i="11"/>
  <c r="F759" i="11"/>
  <c r="O759" i="11"/>
  <c r="P759" i="11"/>
  <c r="A760" i="11"/>
  <c r="B760" i="11"/>
  <c r="C760" i="11"/>
  <c r="E760" i="11"/>
  <c r="F760" i="11"/>
  <c r="O760" i="11"/>
  <c r="P760" i="11"/>
  <c r="A761" i="11"/>
  <c r="B761" i="11"/>
  <c r="C761" i="11"/>
  <c r="E761" i="11"/>
  <c r="F761" i="11"/>
  <c r="O761" i="11"/>
  <c r="P761" i="11"/>
  <c r="A762" i="11"/>
  <c r="B762" i="11"/>
  <c r="C762" i="11"/>
  <c r="E762" i="11"/>
  <c r="F762" i="11"/>
  <c r="O762" i="11"/>
  <c r="P762" i="11"/>
  <c r="A763" i="11"/>
  <c r="B763" i="11"/>
  <c r="C763" i="11"/>
  <c r="E763" i="11"/>
  <c r="F763" i="11"/>
  <c r="O763" i="11"/>
  <c r="P763" i="11"/>
  <c r="A764" i="11"/>
  <c r="B764" i="11"/>
  <c r="C764" i="11"/>
  <c r="E764" i="11"/>
  <c r="F764" i="11"/>
  <c r="O764" i="11"/>
  <c r="P764" i="11"/>
  <c r="A765" i="11"/>
  <c r="B765" i="11"/>
  <c r="C765" i="11"/>
  <c r="E765" i="11"/>
  <c r="F765" i="11"/>
  <c r="O765" i="11"/>
  <c r="P765" i="11"/>
  <c r="A766" i="11"/>
  <c r="B766" i="11"/>
  <c r="C766" i="11"/>
  <c r="E766" i="11"/>
  <c r="F766" i="11"/>
  <c r="O766" i="11"/>
  <c r="P766" i="11"/>
  <c r="A767" i="11"/>
  <c r="B767" i="11"/>
  <c r="C767" i="11"/>
  <c r="E767" i="11"/>
  <c r="F767" i="11"/>
  <c r="O767" i="11"/>
  <c r="P767" i="11"/>
  <c r="A768" i="11"/>
  <c r="B768" i="11"/>
  <c r="C768" i="11"/>
  <c r="E768" i="11"/>
  <c r="F768" i="11"/>
  <c r="O768" i="11"/>
  <c r="P768" i="11"/>
  <c r="A769" i="11"/>
  <c r="B769" i="11"/>
  <c r="C769" i="11"/>
  <c r="E769" i="11"/>
  <c r="F769" i="11"/>
  <c r="O769" i="11"/>
  <c r="P769" i="11"/>
  <c r="A770" i="11"/>
  <c r="B770" i="11"/>
  <c r="C770" i="11"/>
  <c r="E770" i="11"/>
  <c r="F770" i="11"/>
  <c r="O770" i="11"/>
  <c r="P770" i="11"/>
  <c r="A771" i="11"/>
  <c r="B771" i="11"/>
  <c r="C771" i="11"/>
  <c r="E771" i="11"/>
  <c r="F771" i="11"/>
  <c r="O771" i="11"/>
  <c r="P771" i="11"/>
  <c r="A772" i="11"/>
  <c r="B772" i="11"/>
  <c r="C772" i="11"/>
  <c r="E772" i="11"/>
  <c r="F772" i="11"/>
  <c r="O772" i="11"/>
  <c r="P772" i="11"/>
  <c r="A773" i="11"/>
  <c r="B773" i="11"/>
  <c r="C773" i="11"/>
  <c r="E773" i="11"/>
  <c r="F773" i="11"/>
  <c r="O773" i="11"/>
  <c r="P773" i="11"/>
  <c r="A774" i="11"/>
  <c r="B774" i="11"/>
  <c r="C774" i="11"/>
  <c r="E774" i="11"/>
  <c r="F774" i="11"/>
  <c r="O774" i="11"/>
  <c r="P774" i="11"/>
  <c r="A775" i="11"/>
  <c r="B775" i="11"/>
  <c r="C775" i="11"/>
  <c r="E775" i="11"/>
  <c r="F775" i="11"/>
  <c r="O775" i="11"/>
  <c r="P775" i="11"/>
  <c r="A776" i="11"/>
  <c r="B776" i="11"/>
  <c r="C776" i="11"/>
  <c r="E776" i="11"/>
  <c r="F776" i="11"/>
  <c r="O776" i="11"/>
  <c r="P776" i="11"/>
  <c r="A777" i="11"/>
  <c r="B777" i="11"/>
  <c r="C777" i="11"/>
  <c r="E777" i="11"/>
  <c r="F777" i="11"/>
  <c r="O777" i="11"/>
  <c r="P777" i="11"/>
  <c r="A778" i="11"/>
  <c r="B778" i="11"/>
  <c r="C778" i="11"/>
  <c r="E778" i="11"/>
  <c r="F778" i="11"/>
  <c r="O778" i="11"/>
  <c r="P778" i="11"/>
  <c r="A779" i="11"/>
  <c r="B779" i="11"/>
  <c r="C779" i="11"/>
  <c r="E779" i="11"/>
  <c r="F779" i="11"/>
  <c r="O779" i="11"/>
  <c r="P779" i="11"/>
  <c r="A712" i="11"/>
  <c r="B712" i="11"/>
  <c r="C712" i="11"/>
  <c r="E712" i="11"/>
  <c r="F712" i="11"/>
  <c r="O712" i="11"/>
  <c r="P712" i="11"/>
  <c r="A713" i="11"/>
  <c r="B713" i="11"/>
  <c r="C713" i="11"/>
  <c r="E713" i="11"/>
  <c r="F713" i="11"/>
  <c r="O713" i="11"/>
  <c r="P713" i="11"/>
  <c r="A714" i="11"/>
  <c r="B714" i="11"/>
  <c r="C714" i="11"/>
  <c r="E714" i="11"/>
  <c r="F714" i="11"/>
  <c r="O714" i="11"/>
  <c r="P714" i="11"/>
  <c r="A715" i="11"/>
  <c r="B715" i="11"/>
  <c r="C715" i="11"/>
  <c r="E715" i="11"/>
  <c r="F715" i="11"/>
  <c r="O715" i="11"/>
  <c r="P715" i="11"/>
  <c r="A716" i="11"/>
  <c r="B716" i="11"/>
  <c r="C716" i="11"/>
  <c r="E716" i="11"/>
  <c r="F716" i="11"/>
  <c r="O716" i="11"/>
  <c r="P716" i="11"/>
  <c r="A717" i="11"/>
  <c r="B717" i="11"/>
  <c r="C717" i="11"/>
  <c r="E717" i="11"/>
  <c r="F717" i="11"/>
  <c r="O717" i="11"/>
  <c r="P717" i="11"/>
  <c r="A718" i="11"/>
  <c r="B718" i="11"/>
  <c r="C718" i="11"/>
  <c r="E718" i="11"/>
  <c r="F718" i="11"/>
  <c r="O718" i="11"/>
  <c r="P718" i="11"/>
  <c r="A719" i="11"/>
  <c r="B719" i="11"/>
  <c r="C719" i="11"/>
  <c r="E719" i="11"/>
  <c r="F719" i="11"/>
  <c r="O719" i="11"/>
  <c r="P719" i="11"/>
  <c r="A720" i="11"/>
  <c r="B720" i="11"/>
  <c r="C720" i="11"/>
  <c r="E720" i="11"/>
  <c r="F720" i="11"/>
  <c r="O720" i="11"/>
  <c r="P720" i="11"/>
  <c r="A721" i="11"/>
  <c r="B721" i="11"/>
  <c r="C721" i="11"/>
  <c r="E721" i="11"/>
  <c r="F721" i="11"/>
  <c r="O721" i="11"/>
  <c r="P721" i="11"/>
  <c r="A722" i="11"/>
  <c r="B722" i="11"/>
  <c r="C722" i="11"/>
  <c r="E722" i="11"/>
  <c r="F722" i="11"/>
  <c r="O722" i="11"/>
  <c r="P722" i="11"/>
  <c r="A723" i="11"/>
  <c r="B723" i="11"/>
  <c r="C723" i="11"/>
  <c r="E723" i="11"/>
  <c r="F723" i="11"/>
  <c r="O723" i="11"/>
  <c r="P723" i="11"/>
  <c r="A724" i="11"/>
  <c r="B724" i="11"/>
  <c r="C724" i="11"/>
  <c r="E724" i="11"/>
  <c r="F724" i="11"/>
  <c r="O724" i="11"/>
  <c r="P724" i="11"/>
  <c r="A725" i="11"/>
  <c r="B725" i="11"/>
  <c r="C725" i="11"/>
  <c r="E725" i="11"/>
  <c r="F725" i="11"/>
  <c r="O725" i="11"/>
  <c r="P725" i="11"/>
  <c r="A726" i="11"/>
  <c r="B726" i="11"/>
  <c r="C726" i="11"/>
  <c r="E726" i="11"/>
  <c r="A727" i="11"/>
  <c r="B727" i="11"/>
  <c r="C727" i="11"/>
  <c r="E727" i="11"/>
  <c r="O727" i="11"/>
  <c r="P727" i="11"/>
  <c r="A731" i="11"/>
  <c r="B731" i="11"/>
  <c r="C731" i="11"/>
  <c r="E731" i="11"/>
  <c r="F731" i="11"/>
  <c r="O731" i="11"/>
  <c r="P731" i="11"/>
  <c r="A732" i="11"/>
  <c r="B732" i="11"/>
  <c r="C732" i="11"/>
  <c r="E732" i="11"/>
  <c r="F732" i="11"/>
  <c r="O732" i="11"/>
  <c r="P732" i="11"/>
  <c r="A733" i="11"/>
  <c r="B733" i="11"/>
  <c r="C733" i="11"/>
  <c r="E733" i="11"/>
  <c r="F733" i="11"/>
  <c r="O733" i="11"/>
  <c r="P733" i="11"/>
  <c r="A734" i="11"/>
  <c r="B734" i="11"/>
  <c r="C734" i="11"/>
  <c r="E734" i="11"/>
  <c r="F734" i="11"/>
  <c r="O734" i="11"/>
  <c r="P734" i="11"/>
  <c r="A735" i="11"/>
  <c r="B735" i="11"/>
  <c r="C735" i="11"/>
  <c r="E735" i="11"/>
  <c r="F735" i="11"/>
  <c r="O735" i="11"/>
  <c r="P735" i="11"/>
  <c r="A736" i="11"/>
  <c r="B736" i="11"/>
  <c r="C736" i="11"/>
  <c r="E736" i="11"/>
  <c r="F736" i="11"/>
  <c r="O736" i="11"/>
  <c r="P736" i="11"/>
  <c r="A737" i="11"/>
  <c r="B737" i="11"/>
  <c r="C737" i="11"/>
  <c r="E737" i="11"/>
  <c r="F737" i="11"/>
  <c r="O737" i="11"/>
  <c r="P737" i="11"/>
  <c r="A738" i="11"/>
  <c r="B738" i="11"/>
  <c r="C738" i="11"/>
  <c r="E738" i="11"/>
  <c r="F738" i="11"/>
  <c r="O738" i="11"/>
  <c r="P738" i="11"/>
  <c r="A739" i="11"/>
  <c r="B739" i="11"/>
  <c r="C739" i="11"/>
  <c r="E739" i="11"/>
  <c r="F739" i="11"/>
  <c r="O739" i="11"/>
  <c r="P739" i="11"/>
  <c r="A740" i="11"/>
  <c r="B740" i="11"/>
  <c r="C740" i="11"/>
  <c r="E740" i="11"/>
  <c r="F740" i="11"/>
  <c r="O740" i="11"/>
  <c r="P740" i="11"/>
  <c r="A741" i="11"/>
  <c r="B741" i="11"/>
  <c r="C741" i="11"/>
  <c r="E741" i="11"/>
  <c r="F741" i="11"/>
  <c r="O741" i="11"/>
  <c r="P741" i="11"/>
  <c r="A742" i="11"/>
  <c r="B742" i="11"/>
  <c r="C742" i="11"/>
  <c r="E742" i="11"/>
  <c r="F742" i="11"/>
  <c r="O742" i="11"/>
  <c r="P742" i="11"/>
  <c r="A743" i="11"/>
  <c r="B743" i="11"/>
  <c r="C743" i="11"/>
  <c r="E743" i="11"/>
  <c r="F743" i="11"/>
  <c r="O743" i="11"/>
  <c r="P743" i="11"/>
  <c r="A744" i="11"/>
  <c r="B744" i="11"/>
  <c r="C744" i="11"/>
  <c r="E744" i="11"/>
  <c r="F744" i="11"/>
  <c r="O744" i="11"/>
  <c r="P744" i="11"/>
  <c r="A745" i="11"/>
  <c r="B745" i="11"/>
  <c r="C745" i="11"/>
  <c r="E745" i="11"/>
  <c r="F745" i="11"/>
  <c r="O745" i="11"/>
  <c r="P745" i="11"/>
  <c r="A746" i="11"/>
  <c r="B746" i="11"/>
  <c r="C746" i="11"/>
  <c r="E746" i="11"/>
  <c r="F746" i="11"/>
  <c r="O746" i="11"/>
  <c r="P746" i="11"/>
  <c r="A747" i="11"/>
  <c r="B747" i="11"/>
  <c r="C747" i="11"/>
  <c r="E747" i="11"/>
  <c r="F747" i="11"/>
  <c r="O747" i="11"/>
  <c r="P747" i="11"/>
  <c r="A748" i="11"/>
  <c r="B748" i="11"/>
  <c r="C748" i="11"/>
  <c r="E748" i="11"/>
  <c r="F748" i="11"/>
  <c r="O748" i="11"/>
  <c r="P748" i="11"/>
  <c r="A749" i="11"/>
  <c r="B749" i="11"/>
  <c r="C749" i="11"/>
  <c r="E749" i="11"/>
  <c r="F749" i="11"/>
  <c r="O749" i="11"/>
  <c r="P749" i="11"/>
  <c r="A750" i="11"/>
  <c r="B750" i="11"/>
  <c r="C750" i="11"/>
  <c r="E750" i="11"/>
  <c r="F750" i="11"/>
  <c r="O750" i="11"/>
  <c r="P750" i="11"/>
  <c r="A751" i="11"/>
  <c r="B751" i="11"/>
  <c r="C751" i="11"/>
  <c r="E751" i="11"/>
  <c r="F751" i="11"/>
  <c r="O751" i="11"/>
  <c r="P751" i="11"/>
  <c r="A684" i="11"/>
  <c r="B684" i="11"/>
  <c r="C684" i="11"/>
  <c r="E684" i="11"/>
  <c r="F684" i="11"/>
  <c r="O684" i="11"/>
  <c r="P684" i="11"/>
  <c r="A685" i="11"/>
  <c r="B685" i="11"/>
  <c r="C685" i="11"/>
  <c r="E685" i="11"/>
  <c r="F685" i="11"/>
  <c r="O685" i="11"/>
  <c r="P685" i="11"/>
  <c r="A686" i="11"/>
  <c r="B686" i="11"/>
  <c r="C686" i="11"/>
  <c r="E686" i="11"/>
  <c r="F686" i="11"/>
  <c r="O686" i="11"/>
  <c r="P686" i="11"/>
  <c r="A687" i="11"/>
  <c r="B687" i="11"/>
  <c r="C687" i="11"/>
  <c r="E687" i="11"/>
  <c r="F687" i="11"/>
  <c r="O687" i="11"/>
  <c r="P687" i="11"/>
  <c r="A688" i="11"/>
  <c r="B688" i="11"/>
  <c r="C688" i="11"/>
  <c r="E688" i="11"/>
  <c r="F688" i="11"/>
  <c r="O688" i="11"/>
  <c r="P688" i="11"/>
  <c r="A689" i="11"/>
  <c r="B689" i="11"/>
  <c r="C689" i="11"/>
  <c r="E689" i="11"/>
  <c r="F689" i="11"/>
  <c r="O689" i="11"/>
  <c r="P689" i="11"/>
  <c r="A690" i="11"/>
  <c r="B690" i="11"/>
  <c r="C690" i="11"/>
  <c r="E690" i="11"/>
  <c r="F690" i="11"/>
  <c r="O690" i="11"/>
  <c r="P690" i="11"/>
  <c r="A691" i="11"/>
  <c r="B691" i="11"/>
  <c r="C691" i="11"/>
  <c r="E691" i="11"/>
  <c r="F691" i="11"/>
  <c r="O691" i="11"/>
  <c r="P691" i="11"/>
  <c r="A692" i="11"/>
  <c r="B692" i="11"/>
  <c r="C692" i="11"/>
  <c r="E692" i="11"/>
  <c r="F692" i="11"/>
  <c r="O692" i="11"/>
  <c r="P692" i="11"/>
  <c r="A693" i="11"/>
  <c r="B693" i="11"/>
  <c r="C693" i="11"/>
  <c r="E693" i="11"/>
  <c r="F693" i="11"/>
  <c r="O693" i="11"/>
  <c r="P693" i="11"/>
  <c r="A694" i="11"/>
  <c r="B694" i="11"/>
  <c r="C694" i="11"/>
  <c r="E694" i="11"/>
  <c r="F694" i="11"/>
  <c r="O694" i="11"/>
  <c r="P694" i="11"/>
  <c r="A695" i="11"/>
  <c r="B695" i="11"/>
  <c r="C695" i="11"/>
  <c r="E695" i="11"/>
  <c r="F695" i="11"/>
  <c r="O695" i="11"/>
  <c r="P695" i="11"/>
  <c r="A696" i="11"/>
  <c r="B696" i="11"/>
  <c r="C696" i="11"/>
  <c r="E696" i="11"/>
  <c r="F696" i="11"/>
  <c r="O696" i="11"/>
  <c r="P696" i="11"/>
  <c r="A697" i="11"/>
  <c r="B697" i="11"/>
  <c r="C697" i="11"/>
  <c r="E697" i="11"/>
  <c r="F697" i="11"/>
  <c r="O697" i="11"/>
  <c r="P697" i="11"/>
  <c r="A698" i="11"/>
  <c r="B698" i="11"/>
  <c r="C698" i="11"/>
  <c r="E698" i="11"/>
  <c r="F698" i="11"/>
  <c r="O698" i="11"/>
  <c r="P698" i="11"/>
  <c r="A699" i="11"/>
  <c r="B699" i="11"/>
  <c r="C699" i="11"/>
  <c r="E699" i="11"/>
  <c r="F699" i="11"/>
  <c r="O699" i="11"/>
  <c r="P699" i="11"/>
  <c r="A700" i="11"/>
  <c r="B700" i="11"/>
  <c r="C700" i="11"/>
  <c r="E700" i="11"/>
  <c r="F700" i="11"/>
  <c r="O700" i="11"/>
  <c r="P700" i="11"/>
  <c r="A701" i="11"/>
  <c r="B701" i="11"/>
  <c r="C701" i="11"/>
  <c r="E701" i="11"/>
  <c r="F701" i="11"/>
  <c r="O701" i="11"/>
  <c r="P701" i="11"/>
  <c r="A702" i="11"/>
  <c r="B702" i="11"/>
  <c r="C702" i="11"/>
  <c r="E702" i="11"/>
  <c r="F702" i="11"/>
  <c r="O702" i="11"/>
  <c r="P702" i="11"/>
  <c r="A703" i="11"/>
  <c r="B703" i="11"/>
  <c r="C703" i="11"/>
  <c r="E703" i="11"/>
  <c r="F703" i="11"/>
  <c r="O703" i="11"/>
  <c r="P703" i="11"/>
  <c r="A704" i="11"/>
  <c r="B704" i="11"/>
  <c r="C704" i="11"/>
  <c r="E704" i="11"/>
  <c r="F704" i="11"/>
  <c r="O704" i="11"/>
  <c r="P704" i="11"/>
  <c r="A705" i="11"/>
  <c r="B705" i="11"/>
  <c r="C705" i="11"/>
  <c r="E705" i="11"/>
  <c r="F705" i="11"/>
  <c r="O705" i="11"/>
  <c r="P705" i="11"/>
  <c r="A706" i="11"/>
  <c r="B706" i="11"/>
  <c r="C706" i="11"/>
  <c r="E706" i="11"/>
  <c r="F706" i="11"/>
  <c r="O706" i="11"/>
  <c r="P706" i="11"/>
  <c r="A707" i="11"/>
  <c r="B707" i="11"/>
  <c r="C707" i="11"/>
  <c r="E707" i="11"/>
  <c r="F707" i="11"/>
  <c r="O707" i="11"/>
  <c r="P707" i="11"/>
  <c r="A708" i="11"/>
  <c r="B708" i="11"/>
  <c r="C708" i="11"/>
  <c r="E708" i="11"/>
  <c r="F708" i="11"/>
  <c r="O708" i="11"/>
  <c r="P708" i="11"/>
  <c r="A709" i="11"/>
  <c r="B709" i="11"/>
  <c r="C709" i="11"/>
  <c r="E709" i="11"/>
  <c r="F709" i="11"/>
  <c r="O709" i="11"/>
  <c r="P709" i="11"/>
  <c r="A710" i="11"/>
  <c r="B710" i="11"/>
  <c r="C710" i="11"/>
  <c r="E710" i="11"/>
  <c r="F710" i="11"/>
  <c r="O710" i="11"/>
  <c r="P710" i="11"/>
  <c r="A711" i="11"/>
  <c r="B711" i="11"/>
  <c r="C711" i="11"/>
  <c r="E711" i="11"/>
  <c r="F711" i="11"/>
  <c r="O711" i="11"/>
  <c r="P711" i="11"/>
  <c r="A655" i="11"/>
  <c r="B655" i="11"/>
  <c r="C655" i="11"/>
  <c r="E655" i="11"/>
  <c r="F655" i="11"/>
  <c r="O655" i="11"/>
  <c r="P655" i="11"/>
  <c r="A656" i="11"/>
  <c r="B656" i="11"/>
  <c r="C656" i="11"/>
  <c r="E656" i="11"/>
  <c r="F656" i="11"/>
  <c r="O656" i="11"/>
  <c r="P656" i="11"/>
  <c r="A657" i="11"/>
  <c r="B657" i="11"/>
  <c r="C657" i="11"/>
  <c r="E657" i="11"/>
  <c r="F657" i="11"/>
  <c r="O657" i="11"/>
  <c r="P657" i="11"/>
  <c r="A658" i="11"/>
  <c r="B658" i="11"/>
  <c r="C658" i="11"/>
  <c r="E658" i="11"/>
  <c r="F658" i="11"/>
  <c r="O658" i="11"/>
  <c r="P658" i="11"/>
  <c r="A659" i="11"/>
  <c r="B659" i="11"/>
  <c r="C659" i="11"/>
  <c r="E659" i="11"/>
  <c r="F659" i="11"/>
  <c r="O659" i="11"/>
  <c r="P659" i="11"/>
  <c r="A660" i="11"/>
  <c r="B660" i="11"/>
  <c r="C660" i="11"/>
  <c r="E660" i="11"/>
  <c r="F660" i="11"/>
  <c r="O660" i="11"/>
  <c r="P660" i="11"/>
  <c r="A661" i="11"/>
  <c r="B661" i="11"/>
  <c r="C661" i="11"/>
  <c r="E661" i="11"/>
  <c r="F661" i="11"/>
  <c r="O661" i="11"/>
  <c r="P661" i="11"/>
  <c r="A662" i="11"/>
  <c r="B662" i="11"/>
  <c r="C662" i="11"/>
  <c r="E662" i="11"/>
  <c r="F662" i="11"/>
  <c r="O662" i="11"/>
  <c r="P662" i="11"/>
  <c r="A663" i="11"/>
  <c r="B663" i="11"/>
  <c r="C663" i="11"/>
  <c r="E663" i="11"/>
  <c r="F663" i="11"/>
  <c r="O663" i="11"/>
  <c r="P663" i="11"/>
  <c r="A664" i="11"/>
  <c r="B664" i="11"/>
  <c r="C664" i="11"/>
  <c r="E664" i="11"/>
  <c r="F664" i="11"/>
  <c r="O664" i="11"/>
  <c r="P664" i="11"/>
  <c r="A665" i="11"/>
  <c r="B665" i="11"/>
  <c r="C665" i="11"/>
  <c r="E665" i="11"/>
  <c r="F665" i="11"/>
  <c r="O665" i="11"/>
  <c r="P665" i="11"/>
  <c r="A666" i="11"/>
  <c r="B666" i="11"/>
  <c r="C666" i="11"/>
  <c r="E666" i="11"/>
  <c r="F666" i="11"/>
  <c r="O666" i="11"/>
  <c r="P666" i="11"/>
  <c r="A667" i="11"/>
  <c r="B667" i="11"/>
  <c r="C667" i="11"/>
  <c r="E667" i="11"/>
  <c r="F667" i="11"/>
  <c r="O667" i="11"/>
  <c r="P667" i="11"/>
  <c r="A668" i="11"/>
  <c r="B668" i="11"/>
  <c r="C668" i="11"/>
  <c r="E668" i="11"/>
  <c r="F668" i="11"/>
  <c r="O668" i="11"/>
  <c r="P668" i="11"/>
  <c r="A669" i="11"/>
  <c r="B669" i="11"/>
  <c r="C669" i="11"/>
  <c r="E669" i="11"/>
  <c r="F669" i="11"/>
  <c r="O669" i="11"/>
  <c r="P669" i="11"/>
  <c r="A670" i="11"/>
  <c r="B670" i="11"/>
  <c r="C670" i="11"/>
  <c r="E670" i="11"/>
  <c r="F670" i="11"/>
  <c r="O670" i="11"/>
  <c r="P670" i="11"/>
  <c r="A671" i="11"/>
  <c r="B671" i="11"/>
  <c r="C671" i="11"/>
  <c r="E671" i="11"/>
  <c r="F671" i="11"/>
  <c r="O671" i="11"/>
  <c r="P671" i="11"/>
  <c r="A672" i="11"/>
  <c r="B672" i="11"/>
  <c r="C672" i="11"/>
  <c r="E672" i="11"/>
  <c r="F672" i="11"/>
  <c r="O672" i="11"/>
  <c r="P672" i="11"/>
  <c r="A673" i="11"/>
  <c r="B673" i="11"/>
  <c r="C673" i="11"/>
  <c r="E673" i="11"/>
  <c r="F673" i="11"/>
  <c r="O673" i="11"/>
  <c r="P673" i="11"/>
  <c r="A674" i="11"/>
  <c r="B674" i="11"/>
  <c r="C674" i="11"/>
  <c r="E674" i="11"/>
  <c r="F674" i="11"/>
  <c r="O674" i="11"/>
  <c r="P674" i="11"/>
  <c r="A675" i="11"/>
  <c r="B675" i="11"/>
  <c r="C675" i="11"/>
  <c r="E675" i="11"/>
  <c r="F675" i="11"/>
  <c r="O675" i="11"/>
  <c r="P675" i="11"/>
  <c r="A676" i="11"/>
  <c r="B676" i="11"/>
  <c r="C676" i="11"/>
  <c r="E676" i="11"/>
  <c r="F676" i="11"/>
  <c r="O676" i="11"/>
  <c r="P676" i="11"/>
  <c r="A677" i="11"/>
  <c r="B677" i="11"/>
  <c r="C677" i="11"/>
  <c r="E677" i="11"/>
  <c r="F677" i="11"/>
  <c r="O677" i="11"/>
  <c r="P677" i="11"/>
  <c r="A678" i="11"/>
  <c r="B678" i="11"/>
  <c r="C678" i="11"/>
  <c r="E678" i="11"/>
  <c r="F678" i="11"/>
  <c r="O678" i="11"/>
  <c r="P678" i="11"/>
  <c r="A679" i="11"/>
  <c r="B679" i="11"/>
  <c r="C679" i="11"/>
  <c r="E679" i="11"/>
  <c r="F679" i="11"/>
  <c r="O679" i="11"/>
  <c r="P679" i="11"/>
  <c r="A680" i="11"/>
  <c r="B680" i="11"/>
  <c r="C680" i="11"/>
  <c r="E680" i="11"/>
  <c r="F680" i="11"/>
  <c r="O680" i="11"/>
  <c r="P680" i="11"/>
  <c r="A681" i="11"/>
  <c r="B681" i="11"/>
  <c r="C681" i="11"/>
  <c r="E681" i="11"/>
  <c r="F681" i="11"/>
  <c r="O681" i="11"/>
  <c r="P681" i="11"/>
  <c r="A682" i="11"/>
  <c r="B682" i="11"/>
  <c r="C682" i="11"/>
  <c r="E682" i="11"/>
  <c r="F682" i="11"/>
  <c r="O682" i="11"/>
  <c r="P682" i="11"/>
  <c r="A683" i="11"/>
  <c r="B683" i="11"/>
  <c r="C683" i="11"/>
  <c r="E683" i="11"/>
  <c r="F683" i="11"/>
  <c r="O683" i="11"/>
  <c r="P683" i="11"/>
  <c r="A626" i="11"/>
  <c r="B626" i="11"/>
  <c r="C626" i="11"/>
  <c r="E626" i="11"/>
  <c r="F626" i="11"/>
  <c r="O626" i="11"/>
  <c r="P626" i="11"/>
  <c r="A627" i="11"/>
  <c r="B627" i="11"/>
  <c r="C627" i="11"/>
  <c r="E627" i="11"/>
  <c r="F627" i="11"/>
  <c r="O627" i="11"/>
  <c r="P627" i="11"/>
  <c r="A628" i="11"/>
  <c r="B628" i="11"/>
  <c r="C628" i="11"/>
  <c r="E628" i="11"/>
  <c r="F628" i="11"/>
  <c r="O628" i="11"/>
  <c r="P628" i="11"/>
  <c r="A629" i="11"/>
  <c r="B629" i="11"/>
  <c r="C629" i="11"/>
  <c r="E629" i="11"/>
  <c r="F629" i="11"/>
  <c r="O629" i="11"/>
  <c r="P629" i="11"/>
  <c r="A630" i="11"/>
  <c r="B630" i="11"/>
  <c r="C630" i="11"/>
  <c r="E630" i="11"/>
  <c r="F630" i="11"/>
  <c r="O630" i="11"/>
  <c r="P630" i="11"/>
  <c r="A631" i="11"/>
  <c r="B631" i="11"/>
  <c r="C631" i="11"/>
  <c r="E631" i="11"/>
  <c r="F631" i="11"/>
  <c r="O631" i="11"/>
  <c r="P631" i="11"/>
  <c r="A632" i="11"/>
  <c r="B632" i="11"/>
  <c r="C632" i="11"/>
  <c r="E632" i="11"/>
  <c r="F632" i="11"/>
  <c r="O632" i="11"/>
  <c r="P632" i="11"/>
  <c r="A633" i="11"/>
  <c r="B633" i="11"/>
  <c r="C633" i="11"/>
  <c r="E633" i="11"/>
  <c r="F633" i="11"/>
  <c r="O633" i="11"/>
  <c r="P633" i="11"/>
  <c r="A634" i="11"/>
  <c r="B634" i="11"/>
  <c r="C634" i="11"/>
  <c r="E634" i="11"/>
  <c r="F634" i="11"/>
  <c r="O634" i="11"/>
  <c r="P634" i="11"/>
  <c r="A635" i="11"/>
  <c r="B635" i="11"/>
  <c r="C635" i="11"/>
  <c r="E635" i="11"/>
  <c r="F635" i="11"/>
  <c r="O635" i="11"/>
  <c r="P635" i="11"/>
  <c r="A636" i="11"/>
  <c r="B636" i="11"/>
  <c r="C636" i="11"/>
  <c r="E636" i="11"/>
  <c r="F636" i="11"/>
  <c r="O636" i="11"/>
  <c r="P636" i="11"/>
  <c r="A637" i="11"/>
  <c r="B637" i="11"/>
  <c r="C637" i="11"/>
  <c r="E637" i="11"/>
  <c r="F637" i="11"/>
  <c r="O637" i="11"/>
  <c r="P637" i="11"/>
  <c r="A638" i="11"/>
  <c r="B638" i="11"/>
  <c r="C638" i="11"/>
  <c r="E638" i="11"/>
  <c r="F638" i="11"/>
  <c r="O638" i="11"/>
  <c r="P638" i="11"/>
  <c r="A639" i="11"/>
  <c r="B639" i="11"/>
  <c r="C639" i="11"/>
  <c r="E639" i="11"/>
  <c r="F639" i="11"/>
  <c r="O639" i="11"/>
  <c r="P639" i="11"/>
  <c r="A640" i="11"/>
  <c r="B640" i="11"/>
  <c r="C640" i="11"/>
  <c r="E640" i="11"/>
  <c r="O640" i="11"/>
  <c r="P640" i="11"/>
  <c r="A641" i="11"/>
  <c r="B641" i="11"/>
  <c r="C641" i="11"/>
  <c r="E641" i="11"/>
  <c r="O641" i="11"/>
  <c r="P641" i="11"/>
  <c r="A642" i="11"/>
  <c r="B642" i="11"/>
  <c r="C642" i="11"/>
  <c r="E642" i="11"/>
  <c r="O642" i="11"/>
  <c r="P642" i="11"/>
  <c r="A605" i="11"/>
  <c r="B605" i="11"/>
  <c r="C605" i="11"/>
  <c r="E605" i="11"/>
  <c r="F605" i="11"/>
  <c r="O605" i="11"/>
  <c r="P605" i="11"/>
  <c r="A606" i="11"/>
  <c r="B606" i="11"/>
  <c r="C606" i="11"/>
  <c r="E606" i="11"/>
  <c r="F606" i="11"/>
  <c r="O606" i="11"/>
  <c r="P606" i="11"/>
  <c r="A607" i="11"/>
  <c r="B607" i="11"/>
  <c r="C607" i="11"/>
  <c r="E607" i="11"/>
  <c r="F607" i="11"/>
  <c r="O607" i="11"/>
  <c r="P607" i="11"/>
  <c r="A608" i="11"/>
  <c r="B608" i="11"/>
  <c r="C608" i="11"/>
  <c r="E608" i="11"/>
  <c r="F608" i="11"/>
  <c r="O608" i="11"/>
  <c r="P608" i="11"/>
  <c r="A609" i="11"/>
  <c r="B609" i="11"/>
  <c r="C609" i="11"/>
  <c r="E609" i="11"/>
  <c r="F609" i="11"/>
  <c r="O609" i="11"/>
  <c r="P609" i="11"/>
  <c r="A610" i="11"/>
  <c r="B610" i="11"/>
  <c r="C610" i="11"/>
  <c r="E610" i="11"/>
  <c r="F610" i="11"/>
  <c r="O610" i="11"/>
  <c r="P610" i="11"/>
  <c r="A611" i="11"/>
  <c r="B611" i="11"/>
  <c r="C611" i="11"/>
  <c r="E611" i="11"/>
  <c r="F611" i="11"/>
  <c r="O611" i="11"/>
  <c r="P611" i="11"/>
  <c r="A612" i="11"/>
  <c r="B612" i="11"/>
  <c r="C612" i="11"/>
  <c r="E612" i="11"/>
  <c r="F612" i="11"/>
  <c r="O612" i="11"/>
  <c r="P612" i="11"/>
  <c r="A613" i="11"/>
  <c r="B613" i="11"/>
  <c r="C613" i="11"/>
  <c r="E613" i="11"/>
  <c r="F613" i="11"/>
  <c r="O613" i="11"/>
  <c r="P613" i="11"/>
  <c r="A614" i="11"/>
  <c r="B614" i="11"/>
  <c r="C614" i="11"/>
  <c r="E614" i="11"/>
  <c r="F614" i="11"/>
  <c r="O614" i="11"/>
  <c r="P614" i="11"/>
  <c r="A615" i="11"/>
  <c r="B615" i="11"/>
  <c r="C615" i="11"/>
  <c r="E615" i="11"/>
  <c r="F615" i="11"/>
  <c r="O615" i="11"/>
  <c r="P615" i="11"/>
  <c r="A616" i="11"/>
  <c r="B616" i="11"/>
  <c r="C616" i="11"/>
  <c r="E616" i="11"/>
  <c r="F616" i="11"/>
  <c r="O616" i="11"/>
  <c r="P616" i="11"/>
  <c r="A617" i="11"/>
  <c r="B617" i="11"/>
  <c r="C617" i="11"/>
  <c r="E617" i="11"/>
  <c r="F617" i="11"/>
  <c r="O617" i="11"/>
  <c r="P617" i="11"/>
  <c r="A618" i="11"/>
  <c r="B618" i="11"/>
  <c r="C618" i="11"/>
  <c r="E618" i="11"/>
  <c r="F618" i="11"/>
  <c r="O618" i="11"/>
  <c r="P618" i="11"/>
  <c r="A619" i="11"/>
  <c r="B619" i="11"/>
  <c r="C619" i="11"/>
  <c r="E619" i="11"/>
  <c r="F619" i="11"/>
  <c r="O619" i="11"/>
  <c r="P619" i="11"/>
  <c r="A620" i="11"/>
  <c r="B620" i="11"/>
  <c r="C620" i="11"/>
  <c r="E620" i="11"/>
  <c r="F620" i="11"/>
  <c r="O620" i="11"/>
  <c r="P620" i="11"/>
  <c r="A621" i="11"/>
  <c r="B621" i="11"/>
  <c r="C621" i="11"/>
  <c r="E621" i="11"/>
  <c r="F621" i="11"/>
  <c r="O621" i="11"/>
  <c r="P621" i="11"/>
  <c r="A622" i="11"/>
  <c r="B622" i="11"/>
  <c r="C622" i="11"/>
  <c r="E622" i="11"/>
  <c r="F622" i="11"/>
  <c r="O622" i="11"/>
  <c r="P622" i="11"/>
  <c r="A623" i="11"/>
  <c r="B623" i="11"/>
  <c r="C623" i="11"/>
  <c r="E623" i="11"/>
  <c r="F623" i="11"/>
  <c r="O623" i="11"/>
  <c r="P623" i="11"/>
  <c r="A624" i="11"/>
  <c r="B624" i="11"/>
  <c r="C624" i="11"/>
  <c r="E624" i="11"/>
  <c r="F624" i="11"/>
  <c r="O624" i="11"/>
  <c r="P624" i="11"/>
  <c r="A625" i="11"/>
  <c r="B625" i="11"/>
  <c r="C625" i="11"/>
  <c r="E625" i="11"/>
  <c r="F625" i="11"/>
  <c r="O625" i="11"/>
  <c r="P625" i="11"/>
  <c r="M4824" i="9"/>
  <c r="I5163" i="9"/>
  <c r="K5163" i="9"/>
  <c r="N5163" i="9"/>
  <c r="O5163" i="9"/>
  <c r="I5164" i="9"/>
  <c r="K5164" i="9"/>
  <c r="N5164" i="9"/>
  <c r="O5164" i="9"/>
  <c r="I5165" i="9"/>
  <c r="K5165" i="9"/>
  <c r="M5165" i="9"/>
  <c r="N5165" i="9"/>
  <c r="O5165" i="9"/>
  <c r="I5166" i="9"/>
  <c r="K5166" i="9"/>
  <c r="N5166" i="9"/>
  <c r="O5166" i="9"/>
  <c r="I5167" i="9"/>
  <c r="K5167" i="9"/>
  <c r="N5167" i="9"/>
  <c r="O5167" i="9"/>
  <c r="I5168" i="9"/>
  <c r="K5168" i="9"/>
  <c r="M5168" i="9"/>
  <c r="N5168" i="9"/>
  <c r="O5168" i="9"/>
  <c r="I5169" i="9"/>
  <c r="K5169" i="9"/>
  <c r="M5169" i="9"/>
  <c r="N5169" i="9"/>
  <c r="O5169" i="9"/>
  <c r="I5170" i="9"/>
  <c r="K5170" i="9"/>
  <c r="N5170" i="9"/>
  <c r="O5170" i="9"/>
  <c r="K5171" i="9"/>
  <c r="N5171" i="9"/>
  <c r="O5171" i="9"/>
  <c r="J5172" i="9"/>
  <c r="K5172" i="9"/>
  <c r="N5172" i="9"/>
  <c r="O5172" i="9"/>
  <c r="N5173" i="9"/>
  <c r="O5173" i="9"/>
  <c r="J5174" i="9"/>
  <c r="K5174" i="9"/>
  <c r="N5174" i="9"/>
  <c r="O5174" i="9"/>
  <c r="J5175" i="9"/>
  <c r="K5175" i="9"/>
  <c r="N5175" i="9"/>
  <c r="O5175" i="9"/>
  <c r="N5176" i="9"/>
  <c r="J5176" i="9"/>
  <c r="K5176" i="9"/>
  <c r="O5176" i="9"/>
  <c r="J5177" i="9"/>
  <c r="K5177" i="9"/>
  <c r="N5177" i="9"/>
  <c r="O5177" i="9"/>
  <c r="J5178" i="9"/>
  <c r="K5178" i="9"/>
  <c r="N5178" i="9"/>
  <c r="O5178" i="9"/>
  <c r="J5151" i="9"/>
  <c r="K5151" i="9"/>
  <c r="N5151" i="9"/>
  <c r="O5151" i="9"/>
  <c r="J5152" i="9"/>
  <c r="K5152" i="9"/>
  <c r="N5152" i="9"/>
  <c r="O5152" i="9"/>
  <c r="N5153" i="9"/>
  <c r="O5153" i="9"/>
  <c r="J5154" i="9"/>
  <c r="K5154" i="9"/>
  <c r="N5154" i="9"/>
  <c r="O5154" i="9"/>
  <c r="N5155" i="9"/>
  <c r="I5155" i="9"/>
  <c r="J5155" i="9"/>
  <c r="K5155" i="9"/>
  <c r="O5155" i="9"/>
  <c r="I5156" i="9"/>
  <c r="J5156" i="9"/>
  <c r="K5156" i="9"/>
  <c r="N5156" i="9"/>
  <c r="O5156" i="9"/>
  <c r="I5157" i="9"/>
  <c r="J5157" i="9"/>
  <c r="K5157" i="9"/>
  <c r="N5157" i="9"/>
  <c r="O5157" i="9"/>
  <c r="I5158" i="9"/>
  <c r="J5158" i="9"/>
  <c r="K5158" i="9"/>
  <c r="N5158" i="9"/>
  <c r="O5158" i="9"/>
  <c r="N5159" i="9"/>
  <c r="I5159" i="9"/>
  <c r="J5159" i="9"/>
  <c r="K5159" i="9"/>
  <c r="O5159" i="9"/>
  <c r="I5160" i="9"/>
  <c r="J5160" i="9"/>
  <c r="K5160" i="9"/>
  <c r="N5160" i="9"/>
  <c r="O5160" i="9"/>
  <c r="N5161" i="9"/>
  <c r="I5161" i="9"/>
  <c r="J5161" i="9"/>
  <c r="K5161" i="9"/>
  <c r="O5161" i="9"/>
  <c r="N5162" i="9"/>
  <c r="I5162" i="9"/>
  <c r="K5162" i="9"/>
  <c r="O5162" i="9"/>
  <c r="N5146" i="9"/>
  <c r="I5146" i="9"/>
  <c r="K5146" i="9"/>
  <c r="O5146" i="9"/>
  <c r="I5147" i="9"/>
  <c r="K5147" i="9"/>
  <c r="N5147" i="9"/>
  <c r="O5147" i="9"/>
  <c r="N5148" i="9"/>
  <c r="O5148" i="9"/>
  <c r="I5149" i="9"/>
  <c r="J5149" i="9"/>
  <c r="K5149" i="9"/>
  <c r="N5149" i="9"/>
  <c r="O5149" i="9"/>
  <c r="J5150" i="9"/>
  <c r="K5150" i="9"/>
  <c r="N5150" i="9"/>
  <c r="O5150" i="9"/>
  <c r="J5145" i="9"/>
  <c r="K5145" i="9"/>
  <c r="N5145" i="9"/>
  <c r="O5145" i="9"/>
  <c r="M4941" i="9"/>
  <c r="A314" i="11"/>
  <c r="P62" i="11"/>
  <c r="O62" i="11"/>
  <c r="F62" i="11"/>
  <c r="E62" i="11"/>
  <c r="C62" i="11"/>
  <c r="B62" i="11"/>
  <c r="A62" i="11"/>
  <c r="A570" i="11"/>
  <c r="B570" i="11"/>
  <c r="C570" i="11"/>
  <c r="E570" i="11"/>
  <c r="F570" i="11"/>
  <c r="O570" i="11"/>
  <c r="P570" i="11"/>
  <c r="A571" i="11"/>
  <c r="B571" i="11"/>
  <c r="C571" i="11"/>
  <c r="E571" i="11"/>
  <c r="F571" i="11"/>
  <c r="O571" i="11"/>
  <c r="P571" i="11"/>
  <c r="A572" i="11"/>
  <c r="B572" i="11"/>
  <c r="C572" i="11"/>
  <c r="E572" i="11"/>
  <c r="F572" i="11"/>
  <c r="O572" i="11"/>
  <c r="P572" i="11"/>
  <c r="A573" i="11"/>
  <c r="B573" i="11"/>
  <c r="C573" i="11"/>
  <c r="E573" i="11"/>
  <c r="F573" i="11"/>
  <c r="O573" i="11"/>
  <c r="P573" i="11"/>
  <c r="A574" i="11"/>
  <c r="B574" i="11"/>
  <c r="C574" i="11"/>
  <c r="E574" i="11"/>
  <c r="F574" i="11"/>
  <c r="O574" i="11"/>
  <c r="P574" i="11"/>
  <c r="A575" i="11"/>
  <c r="B575" i="11"/>
  <c r="C575" i="11"/>
  <c r="E575" i="11"/>
  <c r="F575" i="11"/>
  <c r="O575" i="11"/>
  <c r="P575" i="11"/>
  <c r="A576" i="11"/>
  <c r="B576" i="11"/>
  <c r="C576" i="11"/>
  <c r="E576" i="11"/>
  <c r="F576" i="11"/>
  <c r="O576" i="11"/>
  <c r="P576" i="11"/>
  <c r="A577" i="11"/>
  <c r="B577" i="11"/>
  <c r="C577" i="11"/>
  <c r="E577" i="11"/>
  <c r="F577" i="11"/>
  <c r="O577" i="11"/>
  <c r="P577" i="11"/>
  <c r="A578" i="11"/>
  <c r="B578" i="11"/>
  <c r="C578" i="11"/>
  <c r="E578" i="11"/>
  <c r="F578" i="11"/>
  <c r="O578" i="11"/>
  <c r="P578" i="11"/>
  <c r="A579" i="11"/>
  <c r="B579" i="11"/>
  <c r="C579" i="11"/>
  <c r="E579" i="11"/>
  <c r="F579" i="11"/>
  <c r="O579" i="11"/>
  <c r="P579" i="11"/>
  <c r="A580" i="11"/>
  <c r="B580" i="11"/>
  <c r="C580" i="11"/>
  <c r="E580" i="11"/>
  <c r="F580" i="11"/>
  <c r="O580" i="11"/>
  <c r="P580" i="11"/>
  <c r="A581" i="11"/>
  <c r="B581" i="11"/>
  <c r="C581" i="11"/>
  <c r="E581" i="11"/>
  <c r="F581" i="11"/>
  <c r="O581" i="11"/>
  <c r="P581" i="11"/>
  <c r="A582" i="11"/>
  <c r="B582" i="11"/>
  <c r="C582" i="11"/>
  <c r="E582" i="11"/>
  <c r="F582" i="11"/>
  <c r="O582" i="11"/>
  <c r="P582" i="11"/>
  <c r="A583" i="11"/>
  <c r="B583" i="11"/>
  <c r="C583" i="11"/>
  <c r="E583" i="11"/>
  <c r="F583" i="11"/>
  <c r="O583" i="11"/>
  <c r="P583" i="11"/>
  <c r="A584" i="11"/>
  <c r="B584" i="11"/>
  <c r="C584" i="11"/>
  <c r="E584" i="11"/>
  <c r="F584" i="11"/>
  <c r="O584" i="11"/>
  <c r="P584" i="11"/>
  <c r="A585" i="11"/>
  <c r="B585" i="11"/>
  <c r="C585" i="11"/>
  <c r="E585" i="11"/>
  <c r="F585" i="11"/>
  <c r="O585" i="11"/>
  <c r="P585" i="11"/>
  <c r="A586" i="11"/>
  <c r="B586" i="11"/>
  <c r="C586" i="11"/>
  <c r="E586" i="11"/>
  <c r="F586" i="11"/>
  <c r="O586" i="11"/>
  <c r="P586" i="11"/>
  <c r="A587" i="11"/>
  <c r="B587" i="11"/>
  <c r="C587" i="11"/>
  <c r="E587" i="11"/>
  <c r="F587" i="11"/>
  <c r="O587" i="11"/>
  <c r="P587" i="11"/>
  <c r="A588" i="11"/>
  <c r="B588" i="11"/>
  <c r="C588" i="11"/>
  <c r="E588" i="11"/>
  <c r="F588" i="11"/>
  <c r="O588" i="11"/>
  <c r="P588" i="11"/>
  <c r="A589" i="11"/>
  <c r="B589" i="11"/>
  <c r="C589" i="11"/>
  <c r="E589" i="11"/>
  <c r="F589" i="11"/>
  <c r="O589" i="11"/>
  <c r="P589" i="11"/>
  <c r="A590" i="11"/>
  <c r="B590" i="11"/>
  <c r="C590" i="11"/>
  <c r="E590" i="11"/>
  <c r="F590" i="11"/>
  <c r="O590" i="11"/>
  <c r="P590" i="11"/>
  <c r="A591" i="11"/>
  <c r="B591" i="11"/>
  <c r="C591" i="11"/>
  <c r="E591" i="11"/>
  <c r="F591" i="11"/>
  <c r="O591" i="11"/>
  <c r="P591" i="11"/>
  <c r="A592" i="11"/>
  <c r="B592" i="11"/>
  <c r="C592" i="11"/>
  <c r="E592" i="11"/>
  <c r="F592" i="11"/>
  <c r="O592" i="11"/>
  <c r="P592" i="11"/>
  <c r="A593" i="11"/>
  <c r="B593" i="11"/>
  <c r="C593" i="11"/>
  <c r="E593" i="11"/>
  <c r="F593" i="11"/>
  <c r="O593" i="11"/>
  <c r="P593" i="11"/>
  <c r="A594" i="11"/>
  <c r="B594" i="11"/>
  <c r="C594" i="11"/>
  <c r="E594" i="11"/>
  <c r="F594" i="11"/>
  <c r="O594" i="11"/>
  <c r="P594" i="11"/>
  <c r="A595" i="11"/>
  <c r="B595" i="11"/>
  <c r="C595" i="11"/>
  <c r="E595" i="11"/>
  <c r="F595" i="11"/>
  <c r="O595" i="11"/>
  <c r="P595" i="11"/>
  <c r="A596" i="11"/>
  <c r="B596" i="11"/>
  <c r="C596" i="11"/>
  <c r="E596" i="11"/>
  <c r="F596" i="11"/>
  <c r="O596" i="11"/>
  <c r="P596" i="11"/>
  <c r="A597" i="11"/>
  <c r="B597" i="11"/>
  <c r="C597" i="11"/>
  <c r="E597" i="11"/>
  <c r="F597" i="11"/>
  <c r="O597" i="11"/>
  <c r="P597" i="11"/>
  <c r="A598" i="11"/>
  <c r="B598" i="11"/>
  <c r="C598" i="11"/>
  <c r="E598" i="11"/>
  <c r="F598" i="11"/>
  <c r="O598" i="11"/>
  <c r="P598" i="11"/>
  <c r="A599" i="11"/>
  <c r="B599" i="11"/>
  <c r="C599" i="11"/>
  <c r="E599" i="11"/>
  <c r="F599" i="11"/>
  <c r="O599" i="11"/>
  <c r="P599" i="11"/>
  <c r="A600" i="11"/>
  <c r="B600" i="11"/>
  <c r="C600" i="11"/>
  <c r="E600" i="11"/>
  <c r="F600" i="11"/>
  <c r="O600" i="11"/>
  <c r="P600" i="11"/>
  <c r="A601" i="11"/>
  <c r="B601" i="11"/>
  <c r="C601" i="11"/>
  <c r="E601" i="11"/>
  <c r="F601" i="11"/>
  <c r="O601" i="11"/>
  <c r="P601" i="11"/>
  <c r="A602" i="11"/>
  <c r="B602" i="11"/>
  <c r="C602" i="11"/>
  <c r="E602" i="11"/>
  <c r="F602" i="11"/>
  <c r="O602" i="11"/>
  <c r="P602" i="11"/>
  <c r="A603" i="11"/>
  <c r="B603" i="11"/>
  <c r="C603" i="11"/>
  <c r="E603" i="11"/>
  <c r="F603" i="11"/>
  <c r="O603" i="11"/>
  <c r="P603" i="11"/>
  <c r="A604" i="11"/>
  <c r="B604" i="11"/>
  <c r="C604" i="11"/>
  <c r="E604" i="11"/>
  <c r="F604" i="11"/>
  <c r="O604" i="11"/>
  <c r="P604" i="11"/>
  <c r="A561" i="11"/>
  <c r="B561" i="11"/>
  <c r="C561" i="11"/>
  <c r="E561" i="11"/>
  <c r="F561" i="11"/>
  <c r="O561" i="11"/>
  <c r="P561" i="11"/>
  <c r="A562" i="11"/>
  <c r="B562" i="11"/>
  <c r="C562" i="11"/>
  <c r="E562" i="11"/>
  <c r="F562" i="11"/>
  <c r="O562" i="11"/>
  <c r="P562" i="11"/>
  <c r="A563" i="11"/>
  <c r="B563" i="11"/>
  <c r="C563" i="11"/>
  <c r="E563" i="11"/>
  <c r="F563" i="11"/>
  <c r="O563" i="11"/>
  <c r="P563" i="11"/>
  <c r="A564" i="11"/>
  <c r="B564" i="11"/>
  <c r="C564" i="11"/>
  <c r="E564" i="11"/>
  <c r="F564" i="11"/>
  <c r="O564" i="11"/>
  <c r="P564" i="11"/>
  <c r="A565" i="11"/>
  <c r="B565" i="11"/>
  <c r="C565" i="11"/>
  <c r="E565" i="11"/>
  <c r="F565" i="11"/>
  <c r="O565" i="11"/>
  <c r="P565" i="11"/>
  <c r="A566" i="11"/>
  <c r="B566" i="11"/>
  <c r="C566" i="11"/>
  <c r="E566" i="11"/>
  <c r="F566" i="11"/>
  <c r="O566" i="11"/>
  <c r="P566" i="11"/>
  <c r="A567" i="11"/>
  <c r="B567" i="11"/>
  <c r="C567" i="11"/>
  <c r="E567" i="11"/>
  <c r="F567" i="11"/>
  <c r="O567" i="11"/>
  <c r="P567" i="11"/>
  <c r="A568" i="11"/>
  <c r="B568" i="11"/>
  <c r="C568" i="11"/>
  <c r="E568" i="11"/>
  <c r="F568" i="11"/>
  <c r="O568" i="11"/>
  <c r="P568" i="11"/>
  <c r="A569" i="11"/>
  <c r="B569" i="11"/>
  <c r="C569" i="11"/>
  <c r="E569" i="11"/>
  <c r="F569" i="11"/>
  <c r="O569" i="11"/>
  <c r="P569" i="11"/>
  <c r="A534" i="11"/>
  <c r="B534" i="11"/>
  <c r="C534" i="11"/>
  <c r="E534" i="11"/>
  <c r="F534" i="11"/>
  <c r="O534" i="11"/>
  <c r="P534" i="11"/>
  <c r="A535" i="11"/>
  <c r="B535" i="11"/>
  <c r="C535" i="11"/>
  <c r="E535" i="11"/>
  <c r="F535" i="11"/>
  <c r="O535" i="11"/>
  <c r="P535" i="11"/>
  <c r="A536" i="11"/>
  <c r="B536" i="11"/>
  <c r="C536" i="11"/>
  <c r="E536" i="11"/>
  <c r="F536" i="11"/>
  <c r="O536" i="11"/>
  <c r="P536" i="11"/>
  <c r="A537" i="11"/>
  <c r="B537" i="11"/>
  <c r="C537" i="11"/>
  <c r="E537" i="11"/>
  <c r="F537" i="11"/>
  <c r="O537" i="11"/>
  <c r="P537" i="11"/>
  <c r="A539" i="11"/>
  <c r="B539" i="11"/>
  <c r="C539" i="11"/>
  <c r="E539" i="11"/>
  <c r="F539" i="11"/>
  <c r="O539" i="11"/>
  <c r="P539" i="11"/>
  <c r="A540" i="11"/>
  <c r="B540" i="11"/>
  <c r="C540" i="11"/>
  <c r="E540" i="11"/>
  <c r="F540" i="11"/>
  <c r="O540" i="11"/>
  <c r="P540" i="11"/>
  <c r="A541" i="11"/>
  <c r="B541" i="11"/>
  <c r="C541" i="11"/>
  <c r="E541" i="11"/>
  <c r="F541" i="11"/>
  <c r="O541" i="11"/>
  <c r="P541" i="11"/>
  <c r="A542" i="11"/>
  <c r="B542" i="11"/>
  <c r="C542" i="11"/>
  <c r="E542" i="11"/>
  <c r="F542" i="11"/>
  <c r="O542" i="11"/>
  <c r="P542" i="11"/>
  <c r="A543" i="11"/>
  <c r="B543" i="11"/>
  <c r="C543" i="11"/>
  <c r="E543" i="11"/>
  <c r="F543" i="11"/>
  <c r="O543" i="11"/>
  <c r="P543" i="11"/>
  <c r="A544" i="11"/>
  <c r="B544" i="11"/>
  <c r="C544" i="11"/>
  <c r="E544" i="11"/>
  <c r="F544" i="11"/>
  <c r="O544" i="11"/>
  <c r="P544" i="11"/>
  <c r="A545" i="11"/>
  <c r="B545" i="11"/>
  <c r="C545" i="11"/>
  <c r="E545" i="11"/>
  <c r="F545" i="11"/>
  <c r="O545" i="11"/>
  <c r="P545" i="11"/>
  <c r="A546" i="11"/>
  <c r="B546" i="11"/>
  <c r="C546" i="11"/>
  <c r="E546" i="11"/>
  <c r="F546" i="11"/>
  <c r="O546" i="11"/>
  <c r="P546" i="11"/>
  <c r="A547" i="11"/>
  <c r="B547" i="11"/>
  <c r="C547" i="11"/>
  <c r="E547" i="11"/>
  <c r="F547" i="11"/>
  <c r="O547" i="11"/>
  <c r="P547" i="11"/>
  <c r="A548" i="11"/>
  <c r="B548" i="11"/>
  <c r="C548" i="11"/>
  <c r="E548" i="11"/>
  <c r="F548" i="11"/>
  <c r="O548" i="11"/>
  <c r="P548" i="11"/>
  <c r="A549" i="11"/>
  <c r="B549" i="11"/>
  <c r="C549" i="11"/>
  <c r="E549" i="11"/>
  <c r="F549" i="11"/>
  <c r="O549" i="11"/>
  <c r="P549" i="11"/>
  <c r="A550" i="11"/>
  <c r="B550" i="11"/>
  <c r="C550" i="11"/>
  <c r="E550" i="11"/>
  <c r="F550" i="11"/>
  <c r="O550" i="11"/>
  <c r="P550" i="11"/>
  <c r="A551" i="11"/>
  <c r="B551" i="11"/>
  <c r="C551" i="11"/>
  <c r="E551" i="11"/>
  <c r="F551" i="11"/>
  <c r="O551" i="11"/>
  <c r="P551" i="11"/>
  <c r="A552" i="11"/>
  <c r="B552" i="11"/>
  <c r="C552" i="11"/>
  <c r="E552" i="11"/>
  <c r="F552" i="11"/>
  <c r="O552" i="11"/>
  <c r="P552" i="11"/>
  <c r="A553" i="11"/>
  <c r="B553" i="11"/>
  <c r="C553" i="11"/>
  <c r="E553" i="11"/>
  <c r="F553" i="11"/>
  <c r="O553" i="11"/>
  <c r="P553" i="11"/>
  <c r="A554" i="11"/>
  <c r="B554" i="11"/>
  <c r="C554" i="11"/>
  <c r="E554" i="11"/>
  <c r="F554" i="11"/>
  <c r="O554" i="11"/>
  <c r="P554" i="11"/>
  <c r="A555" i="11"/>
  <c r="B555" i="11"/>
  <c r="C555" i="11"/>
  <c r="E555" i="11"/>
  <c r="F555" i="11"/>
  <c r="O555" i="11"/>
  <c r="P555" i="11"/>
  <c r="A556" i="11"/>
  <c r="B556" i="11"/>
  <c r="C556" i="11"/>
  <c r="E556" i="11"/>
  <c r="F556" i="11"/>
  <c r="O556" i="11"/>
  <c r="P556" i="11"/>
  <c r="A557" i="11"/>
  <c r="B557" i="11"/>
  <c r="C557" i="11"/>
  <c r="E557" i="11"/>
  <c r="F557" i="11"/>
  <c r="O557" i="11"/>
  <c r="P557" i="11"/>
  <c r="A558" i="11"/>
  <c r="B558" i="11"/>
  <c r="C558" i="11"/>
  <c r="E558" i="11"/>
  <c r="F558" i="11"/>
  <c r="O558" i="11"/>
  <c r="P558" i="11"/>
  <c r="A559" i="11"/>
  <c r="B559" i="11"/>
  <c r="C559" i="11"/>
  <c r="E559" i="11"/>
  <c r="F559" i="11"/>
  <c r="O559" i="11"/>
  <c r="P559" i="11"/>
  <c r="A560" i="11"/>
  <c r="B560" i="11"/>
  <c r="C560" i="11"/>
  <c r="E560" i="11"/>
  <c r="F560" i="11"/>
  <c r="O560" i="11"/>
  <c r="P560" i="11"/>
  <c r="P533" i="11"/>
  <c r="O533" i="11"/>
  <c r="F533" i="11"/>
  <c r="E533" i="11"/>
  <c r="C533" i="11"/>
  <c r="B533" i="11"/>
  <c r="A533" i="11"/>
  <c r="P532" i="11"/>
  <c r="O532" i="11"/>
  <c r="F532" i="11"/>
  <c r="E532" i="11"/>
  <c r="C532" i="11"/>
  <c r="B532" i="11"/>
  <c r="A532" i="11"/>
  <c r="P531" i="11"/>
  <c r="O531" i="11"/>
  <c r="F531" i="11"/>
  <c r="E531" i="11"/>
  <c r="C531" i="11"/>
  <c r="B531" i="11"/>
  <c r="A531" i="11"/>
  <c r="P530" i="11"/>
  <c r="O530" i="11"/>
  <c r="F530" i="11"/>
  <c r="E530" i="11"/>
  <c r="C530" i="11"/>
  <c r="B530" i="11"/>
  <c r="A530" i="11"/>
  <c r="P529" i="11"/>
  <c r="O529" i="11"/>
  <c r="F529" i="11"/>
  <c r="E529" i="11"/>
  <c r="C529" i="11"/>
  <c r="B529" i="11"/>
  <c r="A529" i="11"/>
  <c r="P528" i="11"/>
  <c r="O528" i="11"/>
  <c r="F528" i="11"/>
  <c r="E528" i="11"/>
  <c r="C528" i="11"/>
  <c r="B528" i="11"/>
  <c r="A528" i="11"/>
  <c r="P527" i="11"/>
  <c r="O527" i="11"/>
  <c r="F527" i="11"/>
  <c r="E527" i="11"/>
  <c r="C527" i="11"/>
  <c r="B527" i="11"/>
  <c r="A527" i="11"/>
  <c r="P526" i="11"/>
  <c r="O526" i="11"/>
  <c r="F526" i="11"/>
  <c r="E526" i="11"/>
  <c r="C526" i="11"/>
  <c r="B526" i="11"/>
  <c r="A526" i="11"/>
  <c r="P525" i="11"/>
  <c r="O525" i="11"/>
  <c r="F525" i="11"/>
  <c r="E525" i="11"/>
  <c r="C525" i="11"/>
  <c r="B525" i="11"/>
  <c r="A525" i="11"/>
  <c r="P524" i="11"/>
  <c r="O524" i="11"/>
  <c r="F524" i="11"/>
  <c r="E524" i="11"/>
  <c r="C524" i="11"/>
  <c r="B524" i="11"/>
  <c r="A524" i="11"/>
  <c r="P523" i="11"/>
  <c r="O523" i="11"/>
  <c r="F523" i="11"/>
  <c r="E523" i="11"/>
  <c r="C523" i="11"/>
  <c r="B523" i="11"/>
  <c r="A523" i="11"/>
  <c r="P522" i="11"/>
  <c r="O522" i="11"/>
  <c r="F522" i="11"/>
  <c r="E522" i="11"/>
  <c r="C522" i="11"/>
  <c r="B522" i="11"/>
  <c r="A522" i="11"/>
  <c r="P521" i="11"/>
  <c r="O521" i="11"/>
  <c r="F521" i="11"/>
  <c r="E521" i="11"/>
  <c r="C521" i="11"/>
  <c r="B521" i="11"/>
  <c r="A521" i="11"/>
  <c r="P520" i="11"/>
  <c r="O520" i="11"/>
  <c r="F520" i="11"/>
  <c r="E520" i="11"/>
  <c r="C520" i="11"/>
  <c r="B520" i="11"/>
  <c r="A520" i="11"/>
  <c r="P519" i="11"/>
  <c r="O519" i="11"/>
  <c r="F519" i="11"/>
  <c r="E519" i="11"/>
  <c r="C519" i="11"/>
  <c r="B519" i="11"/>
  <c r="A519" i="11"/>
  <c r="P518" i="11"/>
  <c r="O518" i="11"/>
  <c r="F518" i="11"/>
  <c r="E518" i="11"/>
  <c r="C518" i="11"/>
  <c r="B518" i="11"/>
  <c r="A518" i="11"/>
  <c r="P517" i="11"/>
  <c r="O517" i="11"/>
  <c r="F517" i="11"/>
  <c r="E517" i="11"/>
  <c r="C517" i="11"/>
  <c r="B517" i="11"/>
  <c r="A517" i="11"/>
  <c r="P516" i="11"/>
  <c r="O516" i="11"/>
  <c r="F516" i="11"/>
  <c r="E516" i="11"/>
  <c r="C516" i="11"/>
  <c r="B516" i="11"/>
  <c r="A516" i="11"/>
  <c r="P515" i="11"/>
  <c r="O515" i="11"/>
  <c r="F515" i="11"/>
  <c r="E515" i="11"/>
  <c r="C515" i="11"/>
  <c r="B515" i="11"/>
  <c r="A515" i="11"/>
  <c r="P514" i="11"/>
  <c r="O514" i="11"/>
  <c r="F514" i="11"/>
  <c r="E514" i="11"/>
  <c r="C514" i="11"/>
  <c r="B514" i="11"/>
  <c r="A514" i="11"/>
  <c r="P513" i="11"/>
  <c r="O513" i="11"/>
  <c r="F513" i="11"/>
  <c r="E513" i="11"/>
  <c r="C513" i="11"/>
  <c r="B513" i="11"/>
  <c r="A513" i="11"/>
  <c r="P512" i="11"/>
  <c r="O512" i="11"/>
  <c r="F512" i="11"/>
  <c r="E512" i="11"/>
  <c r="C512" i="11"/>
  <c r="B512" i="11"/>
  <c r="A512" i="11"/>
  <c r="P511" i="11"/>
  <c r="O511" i="11"/>
  <c r="F511" i="11"/>
  <c r="E511" i="11"/>
  <c r="C511" i="11"/>
  <c r="B511" i="11"/>
  <c r="A511" i="11"/>
  <c r="P510" i="11"/>
  <c r="O510" i="11"/>
  <c r="F510" i="11"/>
  <c r="E510" i="11"/>
  <c r="C510" i="11"/>
  <c r="B510" i="11"/>
  <c r="A510" i="11"/>
  <c r="P509" i="11"/>
  <c r="O509" i="11"/>
  <c r="F509" i="11"/>
  <c r="E509" i="11"/>
  <c r="C509" i="11"/>
  <c r="B509" i="11"/>
  <c r="A509" i="11"/>
  <c r="P508" i="11"/>
  <c r="O508" i="11"/>
  <c r="F508" i="11"/>
  <c r="E508" i="11"/>
  <c r="C508" i="11"/>
  <c r="B508" i="11"/>
  <c r="A508" i="11"/>
  <c r="P507" i="11"/>
  <c r="O507" i="11"/>
  <c r="F507" i="11"/>
  <c r="E507" i="11"/>
  <c r="C507" i="11"/>
  <c r="B507" i="11"/>
  <c r="A507" i="11"/>
  <c r="P506" i="11"/>
  <c r="O506" i="11"/>
  <c r="F506" i="11"/>
  <c r="E506" i="11"/>
  <c r="C506" i="11"/>
  <c r="B506" i="11"/>
  <c r="A506" i="11"/>
  <c r="P505" i="11"/>
  <c r="O505" i="11"/>
  <c r="F505" i="11"/>
  <c r="E505" i="11"/>
  <c r="C505" i="11"/>
  <c r="B505" i="11"/>
  <c r="A505" i="11"/>
  <c r="P504" i="11"/>
  <c r="O504" i="11"/>
  <c r="F504" i="11"/>
  <c r="E504" i="11"/>
  <c r="C504" i="11"/>
  <c r="B504" i="11"/>
  <c r="A504" i="11"/>
  <c r="P503" i="11"/>
  <c r="O503" i="11"/>
  <c r="F503" i="11"/>
  <c r="E503" i="11"/>
  <c r="C503" i="11"/>
  <c r="B503" i="11"/>
  <c r="A503" i="11"/>
  <c r="P502" i="11"/>
  <c r="O502" i="11"/>
  <c r="F502" i="11"/>
  <c r="E502" i="11"/>
  <c r="C502" i="11"/>
  <c r="B502" i="11"/>
  <c r="A502" i="11"/>
  <c r="P501" i="11"/>
  <c r="O501" i="11"/>
  <c r="F501" i="11"/>
  <c r="E501" i="11"/>
  <c r="C501" i="11"/>
  <c r="B501" i="11"/>
  <c r="A501" i="11"/>
  <c r="P500" i="11"/>
  <c r="O500" i="11"/>
  <c r="F500" i="11"/>
  <c r="E500" i="11"/>
  <c r="C500" i="11"/>
  <c r="B500" i="11"/>
  <c r="A500" i="11"/>
  <c r="P499" i="11"/>
  <c r="O499" i="11"/>
  <c r="F499" i="11"/>
  <c r="E499" i="11"/>
  <c r="C499" i="11"/>
  <c r="B499" i="11"/>
  <c r="A499" i="11"/>
  <c r="P498" i="11"/>
  <c r="O498" i="11"/>
  <c r="F498" i="11"/>
  <c r="E498" i="11"/>
  <c r="C498" i="11"/>
  <c r="B498" i="11"/>
  <c r="A498" i="11"/>
  <c r="P497" i="11"/>
  <c r="O497" i="11"/>
  <c r="F497" i="11"/>
  <c r="E497" i="11"/>
  <c r="C497" i="11"/>
  <c r="B497" i="11"/>
  <c r="A497" i="11"/>
  <c r="P496" i="11"/>
  <c r="O496" i="11"/>
  <c r="F496" i="11"/>
  <c r="E496" i="11"/>
  <c r="C496" i="11"/>
  <c r="B496" i="11"/>
  <c r="A496" i="11"/>
  <c r="P495" i="11"/>
  <c r="O495" i="11"/>
  <c r="F495" i="11"/>
  <c r="E495" i="11"/>
  <c r="C495" i="11"/>
  <c r="B495" i="11"/>
  <c r="A495" i="11"/>
  <c r="P494" i="11"/>
  <c r="O494" i="11"/>
  <c r="F494" i="11"/>
  <c r="E494" i="11"/>
  <c r="C494" i="11"/>
  <c r="B494" i="11"/>
  <c r="A494" i="11"/>
  <c r="P493" i="11"/>
  <c r="O493" i="11"/>
  <c r="F493" i="11"/>
  <c r="E493" i="11"/>
  <c r="C493" i="11"/>
  <c r="B493" i="11"/>
  <c r="A493" i="11"/>
  <c r="P492" i="11"/>
  <c r="O492" i="11"/>
  <c r="F492" i="11"/>
  <c r="E492" i="11"/>
  <c r="C492" i="11"/>
  <c r="B492" i="11"/>
  <c r="A492" i="11"/>
  <c r="P491" i="11"/>
  <c r="O491" i="11"/>
  <c r="F491" i="11"/>
  <c r="E491" i="11"/>
  <c r="C491" i="11"/>
  <c r="B491" i="11"/>
  <c r="A491" i="11"/>
  <c r="P490" i="11"/>
  <c r="O490" i="11"/>
  <c r="F490" i="11"/>
  <c r="E490" i="11"/>
  <c r="C490" i="11"/>
  <c r="B490" i="11"/>
  <c r="A490" i="11"/>
  <c r="P489" i="11"/>
  <c r="O489" i="11"/>
  <c r="F489" i="11"/>
  <c r="E489" i="11"/>
  <c r="C489" i="11"/>
  <c r="B489" i="11"/>
  <c r="A489" i="11"/>
  <c r="P488" i="11"/>
  <c r="O488" i="11"/>
  <c r="F488" i="11"/>
  <c r="E488" i="11"/>
  <c r="C488" i="11"/>
  <c r="B488" i="11"/>
  <c r="A488" i="11"/>
  <c r="P487" i="11"/>
  <c r="O487" i="11"/>
  <c r="F487" i="11"/>
  <c r="E487" i="11"/>
  <c r="C487" i="11"/>
  <c r="B487" i="11"/>
  <c r="A487" i="11"/>
  <c r="P486" i="11"/>
  <c r="O486" i="11"/>
  <c r="F486" i="11"/>
  <c r="E486" i="11"/>
  <c r="C486" i="11"/>
  <c r="B486" i="11"/>
  <c r="A486" i="11"/>
  <c r="P485" i="11"/>
  <c r="O485" i="11"/>
  <c r="F485" i="11"/>
  <c r="E485" i="11"/>
  <c r="C485" i="11"/>
  <c r="B485" i="11"/>
  <c r="A485" i="11"/>
  <c r="P484" i="11"/>
  <c r="O484" i="11"/>
  <c r="F484" i="11"/>
  <c r="E484" i="11"/>
  <c r="C484" i="11"/>
  <c r="B484" i="11"/>
  <c r="A484" i="11"/>
  <c r="P483" i="11"/>
  <c r="O483" i="11"/>
  <c r="F483" i="11"/>
  <c r="E483" i="11"/>
  <c r="C483" i="11"/>
  <c r="B483" i="11"/>
  <c r="A483" i="11"/>
  <c r="P482" i="11"/>
  <c r="O482" i="11"/>
  <c r="F482" i="11"/>
  <c r="E482" i="11"/>
  <c r="C482" i="11"/>
  <c r="B482" i="11"/>
  <c r="A482" i="11"/>
  <c r="P481" i="11"/>
  <c r="O481" i="11"/>
  <c r="F481" i="11"/>
  <c r="E481" i="11"/>
  <c r="C481" i="11"/>
  <c r="B481" i="11"/>
  <c r="A481" i="11"/>
  <c r="P480" i="11"/>
  <c r="O480" i="11"/>
  <c r="F480" i="11"/>
  <c r="E480" i="11"/>
  <c r="C480" i="11"/>
  <c r="B480" i="11"/>
  <c r="A480" i="11"/>
  <c r="P479" i="11"/>
  <c r="O479" i="11"/>
  <c r="F479" i="11"/>
  <c r="E479" i="11"/>
  <c r="C479" i="11"/>
  <c r="B479" i="11"/>
  <c r="A479" i="11"/>
  <c r="P478" i="11"/>
  <c r="O478" i="11"/>
  <c r="F478" i="11"/>
  <c r="E478" i="11"/>
  <c r="C478" i="11"/>
  <c r="B478" i="11"/>
  <c r="A478" i="11"/>
  <c r="P477" i="11"/>
  <c r="O477" i="11"/>
  <c r="F477" i="11"/>
  <c r="E477" i="11"/>
  <c r="C477" i="11"/>
  <c r="B477" i="11"/>
  <c r="A477" i="11"/>
  <c r="P476" i="11"/>
  <c r="O476" i="11"/>
  <c r="F476" i="11"/>
  <c r="E476" i="11"/>
  <c r="C476" i="11"/>
  <c r="B476" i="11"/>
  <c r="A476" i="11"/>
  <c r="P475" i="11"/>
  <c r="O475" i="11"/>
  <c r="F475" i="11"/>
  <c r="E475" i="11"/>
  <c r="C475" i="11"/>
  <c r="B475" i="11"/>
  <c r="A475" i="11"/>
  <c r="P474" i="11"/>
  <c r="O474" i="11"/>
  <c r="F474" i="11"/>
  <c r="E474" i="11"/>
  <c r="C474" i="11"/>
  <c r="B474" i="11"/>
  <c r="A474" i="11"/>
  <c r="P473" i="11"/>
  <c r="O473" i="11"/>
  <c r="F473" i="11"/>
  <c r="E473" i="11"/>
  <c r="C473" i="11"/>
  <c r="B473" i="11"/>
  <c r="A473" i="11"/>
  <c r="P472" i="11"/>
  <c r="O472" i="11"/>
  <c r="F472" i="11"/>
  <c r="E472" i="11"/>
  <c r="C472" i="11"/>
  <c r="B472" i="11"/>
  <c r="A472" i="11"/>
  <c r="P471" i="11"/>
  <c r="O471" i="11"/>
  <c r="F471" i="11"/>
  <c r="E471" i="11"/>
  <c r="C471" i="11"/>
  <c r="B471" i="11"/>
  <c r="A471" i="11"/>
  <c r="P470" i="11"/>
  <c r="O470" i="11"/>
  <c r="F470" i="11"/>
  <c r="E470" i="11"/>
  <c r="C470" i="11"/>
  <c r="B470" i="11"/>
  <c r="A470" i="11"/>
  <c r="P469" i="11"/>
  <c r="O469" i="11"/>
  <c r="F469" i="11"/>
  <c r="E469" i="11"/>
  <c r="C469" i="11"/>
  <c r="B469" i="11"/>
  <c r="A469" i="11"/>
  <c r="P468" i="11"/>
  <c r="O468" i="11"/>
  <c r="F468" i="11"/>
  <c r="E468" i="11"/>
  <c r="C468" i="11"/>
  <c r="B468" i="11"/>
  <c r="A468" i="11"/>
  <c r="P467" i="11"/>
  <c r="O467" i="11"/>
  <c r="F467" i="11"/>
  <c r="E467" i="11"/>
  <c r="C467" i="11"/>
  <c r="B467" i="11"/>
  <c r="A467" i="11"/>
  <c r="P466" i="11"/>
  <c r="O466" i="11"/>
  <c r="F466" i="11"/>
  <c r="E466" i="11"/>
  <c r="C466" i="11"/>
  <c r="B466" i="11"/>
  <c r="A466" i="11"/>
  <c r="P465" i="11"/>
  <c r="O465" i="11"/>
  <c r="F465" i="11"/>
  <c r="E465" i="11"/>
  <c r="C465" i="11"/>
  <c r="B465" i="11"/>
  <c r="A465" i="11"/>
  <c r="P464" i="11"/>
  <c r="O464" i="11"/>
  <c r="F464" i="11"/>
  <c r="E464" i="11"/>
  <c r="C464" i="11"/>
  <c r="B464" i="11"/>
  <c r="A464" i="11"/>
  <c r="P463" i="11"/>
  <c r="O463" i="11"/>
  <c r="F463" i="11"/>
  <c r="E463" i="11"/>
  <c r="C463" i="11"/>
  <c r="B463" i="11"/>
  <c r="A463" i="11"/>
  <c r="P462" i="11"/>
  <c r="O462" i="11"/>
  <c r="F462" i="11"/>
  <c r="E462" i="11"/>
  <c r="C462" i="11"/>
  <c r="B462" i="11"/>
  <c r="A462" i="11"/>
  <c r="P461" i="11"/>
  <c r="O461" i="11"/>
  <c r="F461" i="11"/>
  <c r="E461" i="11"/>
  <c r="C461" i="11"/>
  <c r="B461" i="11"/>
  <c r="A461" i="11"/>
  <c r="P460" i="11"/>
  <c r="O460" i="11"/>
  <c r="F460" i="11"/>
  <c r="E460" i="11"/>
  <c r="C460" i="11"/>
  <c r="B460" i="11"/>
  <c r="A460" i="11"/>
  <c r="N5000" i="9"/>
  <c r="P459" i="11"/>
  <c r="O459" i="11"/>
  <c r="F459" i="11"/>
  <c r="E459" i="11"/>
  <c r="C459" i="11"/>
  <c r="B459" i="11"/>
  <c r="A459" i="11"/>
  <c r="P458" i="11"/>
  <c r="O458" i="11"/>
  <c r="F458" i="11"/>
  <c r="E458" i="11"/>
  <c r="C458" i="11"/>
  <c r="B458" i="11"/>
  <c r="A458" i="11"/>
  <c r="P457" i="11"/>
  <c r="O457" i="11"/>
  <c r="F457" i="11"/>
  <c r="E457" i="11"/>
  <c r="C457" i="11"/>
  <c r="B457" i="11"/>
  <c r="A457" i="11"/>
  <c r="P456" i="11"/>
  <c r="O456" i="11"/>
  <c r="F456" i="11"/>
  <c r="E456" i="11"/>
  <c r="C456" i="11"/>
  <c r="B456" i="11"/>
  <c r="A456" i="11"/>
  <c r="P455" i="11"/>
  <c r="O455" i="11"/>
  <c r="F455" i="11"/>
  <c r="E455" i="11"/>
  <c r="C455" i="11"/>
  <c r="B455" i="11"/>
  <c r="A455" i="11"/>
  <c r="P454" i="11"/>
  <c r="O454" i="11"/>
  <c r="F454" i="11"/>
  <c r="E454" i="11"/>
  <c r="C454" i="11"/>
  <c r="B454" i="11"/>
  <c r="A454" i="11"/>
  <c r="P453" i="11"/>
  <c r="O453" i="11"/>
  <c r="F453" i="11"/>
  <c r="E453" i="11"/>
  <c r="C453" i="11"/>
  <c r="B453" i="11"/>
  <c r="A453" i="11"/>
  <c r="P452" i="11"/>
  <c r="O452" i="11"/>
  <c r="F452" i="11"/>
  <c r="E452" i="11"/>
  <c r="C452" i="11"/>
  <c r="B452" i="11"/>
  <c r="A452" i="11"/>
  <c r="P451" i="11"/>
  <c r="O451" i="11"/>
  <c r="F451" i="11"/>
  <c r="E451" i="11"/>
  <c r="C451" i="11"/>
  <c r="B451" i="11"/>
  <c r="A451" i="11"/>
  <c r="P450" i="11"/>
  <c r="O450" i="11"/>
  <c r="F450" i="11"/>
  <c r="E450" i="11"/>
  <c r="C450" i="11"/>
  <c r="B450" i="11"/>
  <c r="A450" i="11"/>
  <c r="P449" i="11"/>
  <c r="O449" i="11"/>
  <c r="F449" i="11"/>
  <c r="E449" i="11"/>
  <c r="C449" i="11"/>
  <c r="B449" i="11"/>
  <c r="A449" i="11"/>
  <c r="P448" i="11"/>
  <c r="O448" i="11"/>
  <c r="F448" i="11"/>
  <c r="E448" i="11"/>
  <c r="C448" i="11"/>
  <c r="B448" i="11"/>
  <c r="A448" i="11"/>
  <c r="P447" i="11"/>
  <c r="O447" i="11"/>
  <c r="F447" i="11"/>
  <c r="E447" i="11"/>
  <c r="C447" i="11"/>
  <c r="B447" i="11"/>
  <c r="A447" i="11"/>
  <c r="P446" i="11"/>
  <c r="O446" i="11"/>
  <c r="F446" i="11"/>
  <c r="E446" i="11"/>
  <c r="C446" i="11"/>
  <c r="B446" i="11"/>
  <c r="A446" i="11"/>
  <c r="P445" i="11"/>
  <c r="O445" i="11"/>
  <c r="F445" i="11"/>
  <c r="E445" i="11"/>
  <c r="C445" i="11"/>
  <c r="B445" i="11"/>
  <c r="A445" i="11"/>
  <c r="P444" i="11"/>
  <c r="O444" i="11"/>
  <c r="F444" i="11"/>
  <c r="E444" i="11"/>
  <c r="C444" i="11"/>
  <c r="B444" i="11"/>
  <c r="A444" i="11"/>
  <c r="P443" i="11"/>
  <c r="O443" i="11"/>
  <c r="F443" i="11"/>
  <c r="E443" i="11"/>
  <c r="C443" i="11"/>
  <c r="B443" i="11"/>
  <c r="A443" i="11"/>
  <c r="P442" i="11"/>
  <c r="O442" i="11"/>
  <c r="F442" i="11"/>
  <c r="E442" i="11"/>
  <c r="C442" i="11"/>
  <c r="B442" i="11"/>
  <c r="A442" i="11"/>
  <c r="P441" i="11"/>
  <c r="O441" i="11"/>
  <c r="F441" i="11"/>
  <c r="C441" i="11"/>
  <c r="B441" i="11"/>
  <c r="A441" i="11"/>
  <c r="P440" i="11"/>
  <c r="O440" i="11"/>
  <c r="F440" i="11"/>
  <c r="E440" i="11"/>
  <c r="C440" i="11"/>
  <c r="B440" i="11"/>
  <c r="A440" i="11"/>
  <c r="P439" i="11"/>
  <c r="O439" i="11"/>
  <c r="F439" i="11"/>
  <c r="E439" i="11"/>
  <c r="C439" i="11"/>
  <c r="B439" i="11"/>
  <c r="A439" i="11"/>
  <c r="P438" i="11"/>
  <c r="O438" i="11"/>
  <c r="F438" i="11"/>
  <c r="E438" i="11"/>
  <c r="C438" i="11"/>
  <c r="B438" i="11"/>
  <c r="A438" i="11"/>
  <c r="P437" i="11"/>
  <c r="O437" i="11"/>
  <c r="F437" i="11"/>
  <c r="E437" i="11"/>
  <c r="C437" i="11"/>
  <c r="B437" i="11"/>
  <c r="A437" i="11"/>
  <c r="P436" i="11"/>
  <c r="O436" i="11"/>
  <c r="F436" i="11"/>
  <c r="E436" i="11"/>
  <c r="C436" i="11"/>
  <c r="B436" i="11"/>
  <c r="A436" i="11"/>
  <c r="P435" i="11"/>
  <c r="O435" i="11"/>
  <c r="F435" i="11"/>
  <c r="E435" i="11"/>
  <c r="C435" i="11"/>
  <c r="B435" i="11"/>
  <c r="A435" i="11"/>
  <c r="P434" i="11"/>
  <c r="O434" i="11"/>
  <c r="F434" i="11"/>
  <c r="E434" i="11"/>
  <c r="C434" i="11"/>
  <c r="B434" i="11"/>
  <c r="A434" i="11"/>
  <c r="O433" i="11"/>
  <c r="F433" i="11"/>
  <c r="E433" i="11"/>
  <c r="C433" i="11"/>
  <c r="B433" i="11"/>
  <c r="A433" i="11"/>
  <c r="P432" i="11"/>
  <c r="O432" i="11"/>
  <c r="F432" i="11"/>
  <c r="E432" i="11"/>
  <c r="C432" i="11"/>
  <c r="B432" i="11"/>
  <c r="A432" i="11"/>
  <c r="P431" i="11"/>
  <c r="O431" i="11"/>
  <c r="F431" i="11"/>
  <c r="E431" i="11"/>
  <c r="C431" i="11"/>
  <c r="B431" i="11"/>
  <c r="A431" i="11"/>
  <c r="P430" i="11"/>
  <c r="O430" i="11"/>
  <c r="F430" i="11"/>
  <c r="E430" i="11"/>
  <c r="C430" i="11"/>
  <c r="B430" i="11"/>
  <c r="A430" i="11"/>
  <c r="P429" i="11"/>
  <c r="O429" i="11"/>
  <c r="F429" i="11"/>
  <c r="E429" i="11"/>
  <c r="C429" i="11"/>
  <c r="B429" i="11"/>
  <c r="A429" i="11"/>
  <c r="P428" i="11"/>
  <c r="O428" i="11"/>
  <c r="F428" i="11"/>
  <c r="E428" i="11"/>
  <c r="C428" i="11"/>
  <c r="B428" i="11"/>
  <c r="A428" i="11"/>
  <c r="P427" i="11"/>
  <c r="O427" i="11"/>
  <c r="F427" i="11"/>
  <c r="E427" i="11"/>
  <c r="C427" i="11"/>
  <c r="B427" i="11"/>
  <c r="A427" i="11"/>
  <c r="P426" i="11"/>
  <c r="O426" i="11"/>
  <c r="F426" i="11"/>
  <c r="E426" i="11"/>
  <c r="C426" i="11"/>
  <c r="B426" i="11"/>
  <c r="A426" i="11"/>
  <c r="P425" i="11"/>
  <c r="O425" i="11"/>
  <c r="F425" i="11"/>
  <c r="E425" i="11"/>
  <c r="C425" i="11"/>
  <c r="B425" i="11"/>
  <c r="A425" i="11"/>
  <c r="P424" i="11"/>
  <c r="O424" i="11"/>
  <c r="F424" i="11"/>
  <c r="E424" i="11"/>
  <c r="C424" i="11"/>
  <c r="B424" i="11"/>
  <c r="A424" i="11"/>
  <c r="P423" i="11"/>
  <c r="O423" i="11"/>
  <c r="F423" i="11"/>
  <c r="E423" i="11"/>
  <c r="C423" i="11"/>
  <c r="B423" i="11"/>
  <c r="A423" i="11"/>
  <c r="P422" i="11"/>
  <c r="O422" i="11"/>
  <c r="F422" i="11"/>
  <c r="E422" i="11"/>
  <c r="C422" i="11"/>
  <c r="B422" i="11"/>
  <c r="A422" i="11"/>
  <c r="P421" i="11"/>
  <c r="O421" i="11"/>
  <c r="F421" i="11"/>
  <c r="E421" i="11"/>
  <c r="C421" i="11"/>
  <c r="B421" i="11"/>
  <c r="A421" i="11"/>
  <c r="P420" i="11"/>
  <c r="O420" i="11"/>
  <c r="F420" i="11"/>
  <c r="E420" i="11"/>
  <c r="C420" i="11"/>
  <c r="B420" i="11"/>
  <c r="A420" i="11"/>
  <c r="P419" i="11"/>
  <c r="O419" i="11"/>
  <c r="F419" i="11"/>
  <c r="E419" i="11"/>
  <c r="C419" i="11"/>
  <c r="B419" i="11"/>
  <c r="A419" i="11"/>
  <c r="P418" i="11"/>
  <c r="O418" i="11"/>
  <c r="F418" i="11"/>
  <c r="E418" i="11"/>
  <c r="C418" i="11"/>
  <c r="B418" i="11"/>
  <c r="A418" i="11"/>
  <c r="P417" i="11"/>
  <c r="O417" i="11"/>
  <c r="F417" i="11"/>
  <c r="E417" i="11"/>
  <c r="C417" i="11"/>
  <c r="B417" i="11"/>
  <c r="A417" i="11"/>
  <c r="P416" i="11"/>
  <c r="O416" i="11"/>
  <c r="F416" i="11"/>
  <c r="E416" i="11"/>
  <c r="C416" i="11"/>
  <c r="B416" i="11"/>
  <c r="A416" i="11"/>
  <c r="P415" i="11"/>
  <c r="O415" i="11"/>
  <c r="F415" i="11"/>
  <c r="E415" i="11"/>
  <c r="C415" i="11"/>
  <c r="B415" i="11"/>
  <c r="A415" i="11"/>
  <c r="P414" i="11"/>
  <c r="O414" i="11"/>
  <c r="F414" i="11"/>
  <c r="E414" i="11"/>
  <c r="C414" i="11"/>
  <c r="B414" i="11"/>
  <c r="A414" i="11"/>
  <c r="P413" i="11"/>
  <c r="O413" i="11"/>
  <c r="F413" i="11"/>
  <c r="E413" i="11"/>
  <c r="C413" i="11"/>
  <c r="B413" i="11"/>
  <c r="A413" i="11"/>
  <c r="P412" i="11"/>
  <c r="O412" i="11"/>
  <c r="F412" i="11"/>
  <c r="E412" i="11"/>
  <c r="C412" i="11"/>
  <c r="B412" i="11"/>
  <c r="A412" i="11"/>
  <c r="P411" i="11"/>
  <c r="O411" i="11"/>
  <c r="F411" i="11"/>
  <c r="E411" i="11"/>
  <c r="C411" i="11"/>
  <c r="B411" i="11"/>
  <c r="A411" i="11"/>
  <c r="P410" i="11"/>
  <c r="O410" i="11"/>
  <c r="F410" i="11"/>
  <c r="E410" i="11"/>
  <c r="C410" i="11"/>
  <c r="B410" i="11"/>
  <c r="A410" i="11"/>
  <c r="P409" i="11"/>
  <c r="O409" i="11"/>
  <c r="F409" i="11"/>
  <c r="E409" i="11"/>
  <c r="C409" i="11"/>
  <c r="B409" i="11"/>
  <c r="A409" i="11"/>
  <c r="P408" i="11"/>
  <c r="O408" i="11"/>
  <c r="F408" i="11"/>
  <c r="E408" i="11"/>
  <c r="C408" i="11"/>
  <c r="B408" i="11"/>
  <c r="A408" i="11"/>
  <c r="P407" i="11"/>
  <c r="O407" i="11"/>
  <c r="F407" i="11"/>
  <c r="E407" i="11"/>
  <c r="C407" i="11"/>
  <c r="B407" i="11"/>
  <c r="A407" i="11"/>
  <c r="P406" i="11"/>
  <c r="O406" i="11"/>
  <c r="F406" i="11"/>
  <c r="E406" i="11"/>
  <c r="C406" i="11"/>
  <c r="B406" i="11"/>
  <c r="A406" i="11"/>
  <c r="P405" i="11"/>
  <c r="O405" i="11"/>
  <c r="F405" i="11"/>
  <c r="E405" i="11"/>
  <c r="C405" i="11"/>
  <c r="B405" i="11"/>
  <c r="A405" i="11"/>
  <c r="P404" i="11"/>
  <c r="O404" i="11"/>
  <c r="F404" i="11"/>
  <c r="E404" i="11"/>
  <c r="C404" i="11"/>
  <c r="B404" i="11"/>
  <c r="A404" i="11"/>
  <c r="P403" i="11"/>
  <c r="O403" i="11"/>
  <c r="F403" i="11"/>
  <c r="E403" i="11"/>
  <c r="C403" i="11"/>
  <c r="B403" i="11"/>
  <c r="A403" i="11"/>
  <c r="P402" i="11"/>
  <c r="O402" i="11"/>
  <c r="F402" i="11"/>
  <c r="E402" i="11"/>
  <c r="C402" i="11"/>
  <c r="B402" i="11"/>
  <c r="A402" i="11"/>
  <c r="P401" i="11"/>
  <c r="O401" i="11"/>
  <c r="F401" i="11"/>
  <c r="E401" i="11"/>
  <c r="C401" i="11"/>
  <c r="B401" i="11"/>
  <c r="A401" i="11"/>
  <c r="P400" i="11"/>
  <c r="O400" i="11"/>
  <c r="F400" i="11"/>
  <c r="E400" i="11"/>
  <c r="C400" i="11"/>
  <c r="B400" i="11"/>
  <c r="A400" i="11"/>
  <c r="P399" i="11"/>
  <c r="O399" i="11"/>
  <c r="F399" i="11"/>
  <c r="E399" i="11"/>
  <c r="C399" i="11"/>
  <c r="B399" i="11"/>
  <c r="A399" i="11"/>
  <c r="P398" i="11"/>
  <c r="O398" i="11"/>
  <c r="F398" i="11"/>
  <c r="E398" i="11"/>
  <c r="C398" i="11"/>
  <c r="B398" i="11"/>
  <c r="A398" i="11"/>
  <c r="P397" i="11"/>
  <c r="O397" i="11"/>
  <c r="F397" i="11"/>
  <c r="E397" i="11"/>
  <c r="C397" i="11"/>
  <c r="B397" i="11"/>
  <c r="A397" i="11"/>
  <c r="P396" i="11"/>
  <c r="O396" i="11"/>
  <c r="F396" i="11"/>
  <c r="E396" i="11"/>
  <c r="C396" i="11"/>
  <c r="B396" i="11"/>
  <c r="A396" i="11"/>
  <c r="P395" i="11"/>
  <c r="O395" i="11"/>
  <c r="F395" i="11"/>
  <c r="E395" i="11"/>
  <c r="C395" i="11"/>
  <c r="B395" i="11"/>
  <c r="A395" i="11"/>
  <c r="P394" i="11"/>
  <c r="O394" i="11"/>
  <c r="F394" i="11"/>
  <c r="E394" i="11"/>
  <c r="C394" i="11"/>
  <c r="B394" i="11"/>
  <c r="A394" i="11"/>
  <c r="P393" i="11"/>
  <c r="O393" i="11"/>
  <c r="F393" i="11"/>
  <c r="E393" i="11"/>
  <c r="C393" i="11"/>
  <c r="B393" i="11"/>
  <c r="A393" i="11"/>
  <c r="P392" i="11"/>
  <c r="O392" i="11"/>
  <c r="F392" i="11"/>
  <c r="E392" i="11"/>
  <c r="C392" i="11"/>
  <c r="B392" i="11"/>
  <c r="A392" i="11"/>
  <c r="P391" i="11"/>
  <c r="O391" i="11"/>
  <c r="F391" i="11"/>
  <c r="E391" i="11"/>
  <c r="C391" i="11"/>
  <c r="B391" i="11"/>
  <c r="A391" i="11"/>
  <c r="P390" i="11"/>
  <c r="O390" i="11"/>
  <c r="F390" i="11"/>
  <c r="E390" i="11"/>
  <c r="C390" i="11"/>
  <c r="B390" i="11"/>
  <c r="A390" i="11"/>
  <c r="P389" i="11"/>
  <c r="O389" i="11"/>
  <c r="F389" i="11"/>
  <c r="E389" i="11"/>
  <c r="C389" i="11"/>
  <c r="B389" i="11"/>
  <c r="A389" i="11"/>
  <c r="P388" i="11"/>
  <c r="O388" i="11"/>
  <c r="F388" i="11"/>
  <c r="E388" i="11"/>
  <c r="C388" i="11"/>
  <c r="B388" i="11"/>
  <c r="A388" i="11"/>
  <c r="P387" i="11"/>
  <c r="O387" i="11"/>
  <c r="F387" i="11"/>
  <c r="E387" i="11"/>
  <c r="C387" i="11"/>
  <c r="B387" i="11"/>
  <c r="A387" i="11"/>
  <c r="P386" i="11"/>
  <c r="O386" i="11"/>
  <c r="F386" i="11"/>
  <c r="E386" i="11"/>
  <c r="C386" i="11"/>
  <c r="B386" i="11"/>
  <c r="A386" i="11"/>
  <c r="P385" i="11"/>
  <c r="O385" i="11"/>
  <c r="F385" i="11"/>
  <c r="E385" i="11"/>
  <c r="C385" i="11"/>
  <c r="B385" i="11"/>
  <c r="A385" i="11"/>
  <c r="P384" i="11"/>
  <c r="O384" i="11"/>
  <c r="F384" i="11"/>
  <c r="E384" i="11"/>
  <c r="C384" i="11"/>
  <c r="B384" i="11"/>
  <c r="A384" i="11"/>
  <c r="P383" i="11"/>
  <c r="O383" i="11"/>
  <c r="F383" i="11"/>
  <c r="E383" i="11"/>
  <c r="C383" i="11"/>
  <c r="B383" i="11"/>
  <c r="A383" i="11"/>
  <c r="P382" i="11"/>
  <c r="O382" i="11"/>
  <c r="F382" i="11"/>
  <c r="E382" i="11"/>
  <c r="C382" i="11"/>
  <c r="B382" i="11"/>
  <c r="A382" i="11"/>
  <c r="P381" i="11"/>
  <c r="O381" i="11"/>
  <c r="F381" i="11"/>
  <c r="E381" i="11"/>
  <c r="C381" i="11"/>
  <c r="B381" i="11"/>
  <c r="A381" i="11"/>
  <c r="P380" i="11"/>
  <c r="O380" i="11"/>
  <c r="F380" i="11"/>
  <c r="E380" i="11"/>
  <c r="C380" i="11"/>
  <c r="B380" i="11"/>
  <c r="A380" i="11"/>
  <c r="P379" i="11"/>
  <c r="O379" i="11"/>
  <c r="F379" i="11"/>
  <c r="E379" i="11"/>
  <c r="C379" i="11"/>
  <c r="B379" i="11"/>
  <c r="A379" i="11"/>
  <c r="P378" i="11"/>
  <c r="O378" i="11"/>
  <c r="F378" i="11"/>
  <c r="E378" i="11"/>
  <c r="C378" i="11"/>
  <c r="B378" i="11"/>
  <c r="A378" i="11"/>
  <c r="P377" i="11"/>
  <c r="O377" i="11"/>
  <c r="F377" i="11"/>
  <c r="E377" i="11"/>
  <c r="C377" i="11"/>
  <c r="B377" i="11"/>
  <c r="A377" i="11"/>
  <c r="P376" i="11"/>
  <c r="O376" i="11"/>
  <c r="F376" i="11"/>
  <c r="E376" i="11"/>
  <c r="C376" i="11"/>
  <c r="B376" i="11"/>
  <c r="A376" i="11"/>
  <c r="P375" i="11"/>
  <c r="O375" i="11"/>
  <c r="F375" i="11"/>
  <c r="E375" i="11"/>
  <c r="C375" i="11"/>
  <c r="B375" i="11"/>
  <c r="A375" i="11"/>
  <c r="P374" i="11"/>
  <c r="O374" i="11"/>
  <c r="F374" i="11"/>
  <c r="E374" i="11"/>
  <c r="C374" i="11"/>
  <c r="B374" i="11"/>
  <c r="A374" i="11"/>
  <c r="P373" i="11"/>
  <c r="O373" i="11"/>
  <c r="F373" i="11"/>
  <c r="E373" i="11"/>
  <c r="C373" i="11"/>
  <c r="B373" i="11"/>
  <c r="A373" i="11"/>
  <c r="P372" i="11"/>
  <c r="O372" i="11"/>
  <c r="F372" i="11"/>
  <c r="E372" i="11"/>
  <c r="C372" i="11"/>
  <c r="B372" i="11"/>
  <c r="A372" i="11"/>
  <c r="P371" i="11"/>
  <c r="O371" i="11"/>
  <c r="F371" i="11"/>
  <c r="E371" i="11"/>
  <c r="C371" i="11"/>
  <c r="B371" i="11"/>
  <c r="A371" i="11"/>
  <c r="P370" i="11"/>
  <c r="O370" i="11"/>
  <c r="F370" i="11"/>
  <c r="E370" i="11"/>
  <c r="C370" i="11"/>
  <c r="B370" i="11"/>
  <c r="A370" i="11"/>
  <c r="P369" i="11"/>
  <c r="O369" i="11"/>
  <c r="F369" i="11"/>
  <c r="E369" i="11"/>
  <c r="C369" i="11"/>
  <c r="B369" i="11"/>
  <c r="A369" i="11"/>
  <c r="P368" i="11"/>
  <c r="O368" i="11"/>
  <c r="F368" i="11"/>
  <c r="E368" i="11"/>
  <c r="C368" i="11"/>
  <c r="B368" i="11"/>
  <c r="A368" i="11"/>
  <c r="P367" i="11"/>
  <c r="O367" i="11"/>
  <c r="F367" i="11"/>
  <c r="E367" i="11"/>
  <c r="C367" i="11"/>
  <c r="B367" i="11"/>
  <c r="A367" i="11"/>
  <c r="P366" i="11"/>
  <c r="O366" i="11"/>
  <c r="F366" i="11"/>
  <c r="E366" i="11"/>
  <c r="C366" i="11"/>
  <c r="B366" i="11"/>
  <c r="A366" i="11"/>
  <c r="P365" i="11"/>
  <c r="O365" i="11"/>
  <c r="F365" i="11"/>
  <c r="E365" i="11"/>
  <c r="C365" i="11"/>
  <c r="B365" i="11"/>
  <c r="A365" i="11"/>
  <c r="P364" i="11"/>
  <c r="O364" i="11"/>
  <c r="F364" i="11"/>
  <c r="E364" i="11"/>
  <c r="C364" i="11"/>
  <c r="B364" i="11"/>
  <c r="A364" i="11"/>
  <c r="P363" i="11"/>
  <c r="O363" i="11"/>
  <c r="F363" i="11"/>
  <c r="E363" i="11"/>
  <c r="C363" i="11"/>
  <c r="B363" i="11"/>
  <c r="A363" i="11"/>
  <c r="P362" i="11"/>
  <c r="O362" i="11"/>
  <c r="F362" i="11"/>
  <c r="E362" i="11"/>
  <c r="C362" i="11"/>
  <c r="B362" i="11"/>
  <c r="A362" i="11"/>
  <c r="P361" i="11"/>
  <c r="O361" i="11"/>
  <c r="F361" i="11"/>
  <c r="E361" i="11"/>
  <c r="C361" i="11"/>
  <c r="B361" i="11"/>
  <c r="A361" i="11"/>
  <c r="P360" i="11"/>
  <c r="O360" i="11"/>
  <c r="F360" i="11"/>
  <c r="E360" i="11"/>
  <c r="C360" i="11"/>
  <c r="B360" i="11"/>
  <c r="A360" i="11"/>
  <c r="P359" i="11"/>
  <c r="O359" i="11"/>
  <c r="F359" i="11"/>
  <c r="E359" i="11"/>
  <c r="C359" i="11"/>
  <c r="B359" i="11"/>
  <c r="A359" i="11"/>
  <c r="P358" i="11"/>
  <c r="O358" i="11"/>
  <c r="F358" i="11"/>
  <c r="E358" i="11"/>
  <c r="C358" i="11"/>
  <c r="B358" i="11"/>
  <c r="A358" i="11"/>
  <c r="P357" i="11"/>
  <c r="O357" i="11"/>
  <c r="F357" i="11"/>
  <c r="E357" i="11"/>
  <c r="C357" i="11"/>
  <c r="B357" i="11"/>
  <c r="A357" i="11"/>
  <c r="P356" i="11"/>
  <c r="O356" i="11"/>
  <c r="F356" i="11"/>
  <c r="E356" i="11"/>
  <c r="C356" i="11"/>
  <c r="B356" i="11"/>
  <c r="A356" i="11"/>
  <c r="P355" i="11"/>
  <c r="O355" i="11"/>
  <c r="F355" i="11"/>
  <c r="E355" i="11"/>
  <c r="C355" i="11"/>
  <c r="B355" i="11"/>
  <c r="A355" i="11"/>
  <c r="P354" i="11"/>
  <c r="O354" i="11"/>
  <c r="F354" i="11"/>
  <c r="E354" i="11"/>
  <c r="C354" i="11"/>
  <c r="B354" i="11"/>
  <c r="A354" i="11"/>
  <c r="P353" i="11"/>
  <c r="O353" i="11"/>
  <c r="F353" i="11"/>
  <c r="E353" i="11"/>
  <c r="C353" i="11"/>
  <c r="B353" i="11"/>
  <c r="A353" i="11"/>
  <c r="P352" i="11"/>
  <c r="O352" i="11"/>
  <c r="F352" i="11"/>
  <c r="E352" i="11"/>
  <c r="C352" i="11"/>
  <c r="B352" i="11"/>
  <c r="A352" i="11"/>
  <c r="P351" i="11"/>
  <c r="O351" i="11"/>
  <c r="F351" i="11"/>
  <c r="E351" i="11"/>
  <c r="C351" i="11"/>
  <c r="B351" i="11"/>
  <c r="A351" i="11"/>
  <c r="P350" i="11"/>
  <c r="O350" i="11"/>
  <c r="F350" i="11"/>
  <c r="E350" i="11"/>
  <c r="C350" i="11"/>
  <c r="B350" i="11"/>
  <c r="A350" i="11"/>
  <c r="P349" i="11"/>
  <c r="O349" i="11"/>
  <c r="F349" i="11"/>
  <c r="E349" i="11"/>
  <c r="C349" i="11"/>
  <c r="B349" i="11"/>
  <c r="A349" i="11"/>
  <c r="P348" i="11"/>
  <c r="O348" i="11"/>
  <c r="F348" i="11"/>
  <c r="E348" i="11"/>
  <c r="C348" i="11"/>
  <c r="B348" i="11"/>
  <c r="A348" i="11"/>
  <c r="P347" i="11"/>
  <c r="O347" i="11"/>
  <c r="F347" i="11"/>
  <c r="E347" i="11"/>
  <c r="C347" i="11"/>
  <c r="B347" i="11"/>
  <c r="A347" i="11"/>
  <c r="P346" i="11"/>
  <c r="O346" i="11"/>
  <c r="F346" i="11"/>
  <c r="E346" i="11"/>
  <c r="C346" i="11"/>
  <c r="B346" i="11"/>
  <c r="A346" i="11"/>
  <c r="P345" i="11"/>
  <c r="O345" i="11"/>
  <c r="F345" i="11"/>
  <c r="E345" i="11"/>
  <c r="C345" i="11"/>
  <c r="B345" i="11"/>
  <c r="A345" i="11"/>
  <c r="P344" i="11"/>
  <c r="O344" i="11"/>
  <c r="F344" i="11"/>
  <c r="E344" i="11"/>
  <c r="C344" i="11"/>
  <c r="B344" i="11"/>
  <c r="A344" i="11"/>
  <c r="P343" i="11"/>
  <c r="O343" i="11"/>
  <c r="F343" i="11"/>
  <c r="E343" i="11"/>
  <c r="C343" i="11"/>
  <c r="B343" i="11"/>
  <c r="A343" i="11"/>
  <c r="P342" i="11"/>
  <c r="O342" i="11"/>
  <c r="F342" i="11"/>
  <c r="E342" i="11"/>
  <c r="C342" i="11"/>
  <c r="B342" i="11"/>
  <c r="A342" i="11"/>
  <c r="P341" i="11"/>
  <c r="O341" i="11"/>
  <c r="F341" i="11"/>
  <c r="E341" i="11"/>
  <c r="C341" i="11"/>
  <c r="B341" i="11"/>
  <c r="A341" i="11"/>
  <c r="P340" i="11"/>
  <c r="O340" i="11"/>
  <c r="F340" i="11"/>
  <c r="E340" i="11"/>
  <c r="C340" i="11"/>
  <c r="B340" i="11"/>
  <c r="A340" i="11"/>
  <c r="P339" i="11"/>
  <c r="O339" i="11"/>
  <c r="F339" i="11"/>
  <c r="E339" i="11"/>
  <c r="C339" i="11"/>
  <c r="B339" i="11"/>
  <c r="A339" i="11"/>
  <c r="P338" i="11"/>
  <c r="O338" i="11"/>
  <c r="F338" i="11"/>
  <c r="E338" i="11"/>
  <c r="C338" i="11"/>
  <c r="B338" i="11"/>
  <c r="A338" i="11"/>
  <c r="P337" i="11"/>
  <c r="O337" i="11"/>
  <c r="F337" i="11"/>
  <c r="E337" i="11"/>
  <c r="C337" i="11"/>
  <c r="B337" i="11"/>
  <c r="A337" i="11"/>
  <c r="P336" i="11"/>
  <c r="O336" i="11"/>
  <c r="F336" i="11"/>
  <c r="E336" i="11"/>
  <c r="C336" i="11"/>
  <c r="B336" i="11"/>
  <c r="A336" i="11"/>
  <c r="P335" i="11"/>
  <c r="O335" i="11"/>
  <c r="F335" i="11"/>
  <c r="E335" i="11"/>
  <c r="C335" i="11"/>
  <c r="B335" i="11"/>
  <c r="A335" i="11"/>
  <c r="P334" i="11"/>
  <c r="O334" i="11"/>
  <c r="F334" i="11"/>
  <c r="E334" i="11"/>
  <c r="C334" i="11"/>
  <c r="B334" i="11"/>
  <c r="A334" i="11"/>
  <c r="P333" i="11"/>
  <c r="O333" i="11"/>
  <c r="F333" i="11"/>
  <c r="E333" i="11"/>
  <c r="C333" i="11"/>
  <c r="B333" i="11"/>
  <c r="A333" i="11"/>
  <c r="P332" i="11"/>
  <c r="O332" i="11"/>
  <c r="F332" i="11"/>
  <c r="E332" i="11"/>
  <c r="C332" i="11"/>
  <c r="B332" i="11"/>
  <c r="A332" i="11"/>
  <c r="P331" i="11"/>
  <c r="O331" i="11"/>
  <c r="F331" i="11"/>
  <c r="E331" i="11"/>
  <c r="C331" i="11"/>
  <c r="B331" i="11"/>
  <c r="A331" i="11"/>
  <c r="P330" i="11"/>
  <c r="O330" i="11"/>
  <c r="F330" i="11"/>
  <c r="E330" i="11"/>
  <c r="C330" i="11"/>
  <c r="B330" i="11"/>
  <c r="A330" i="11"/>
  <c r="P329" i="11"/>
  <c r="O329" i="11"/>
  <c r="F329" i="11"/>
  <c r="E329" i="11"/>
  <c r="C329" i="11"/>
  <c r="B329" i="11"/>
  <c r="A329" i="11"/>
  <c r="P328" i="11"/>
  <c r="O328" i="11"/>
  <c r="F328" i="11"/>
  <c r="E328" i="11"/>
  <c r="C328" i="11"/>
  <c r="B328" i="11"/>
  <c r="A328" i="11"/>
  <c r="P327" i="11"/>
  <c r="O327" i="11"/>
  <c r="F327" i="11"/>
  <c r="E327" i="11"/>
  <c r="C327" i="11"/>
  <c r="B327" i="11"/>
  <c r="A327" i="11"/>
  <c r="P326" i="11"/>
  <c r="O326" i="11"/>
  <c r="F326" i="11"/>
  <c r="E326" i="11"/>
  <c r="C326" i="11"/>
  <c r="B326" i="11"/>
  <c r="A326" i="11"/>
  <c r="P325" i="11"/>
  <c r="O325" i="11"/>
  <c r="F325" i="11"/>
  <c r="E325" i="11"/>
  <c r="C325" i="11"/>
  <c r="B325" i="11"/>
  <c r="A325" i="11"/>
  <c r="P324" i="11"/>
  <c r="O324" i="11"/>
  <c r="F324" i="11"/>
  <c r="E324" i="11"/>
  <c r="C324" i="11"/>
  <c r="B324" i="11"/>
  <c r="A324" i="11"/>
  <c r="P323" i="11"/>
  <c r="O323" i="11"/>
  <c r="F323" i="11"/>
  <c r="E323" i="11"/>
  <c r="C323" i="11"/>
  <c r="B323" i="11"/>
  <c r="A323" i="11"/>
  <c r="P322" i="11"/>
  <c r="O322" i="11"/>
  <c r="F322" i="11"/>
  <c r="E322" i="11"/>
  <c r="C322" i="11"/>
  <c r="B322" i="11"/>
  <c r="A322" i="11"/>
  <c r="P321" i="11"/>
  <c r="O321" i="11"/>
  <c r="F321" i="11"/>
  <c r="E321" i="11"/>
  <c r="C321" i="11"/>
  <c r="B321" i="11"/>
  <c r="A321" i="11"/>
  <c r="P320" i="11"/>
  <c r="O320" i="11"/>
  <c r="F320" i="11"/>
  <c r="E320" i="11"/>
  <c r="C320" i="11"/>
  <c r="B320" i="11"/>
  <c r="A320" i="11"/>
  <c r="P319" i="11"/>
  <c r="O319" i="11"/>
  <c r="F319" i="11"/>
  <c r="E319" i="11"/>
  <c r="C319" i="11"/>
  <c r="B319" i="11"/>
  <c r="A319" i="11"/>
  <c r="P318" i="11"/>
  <c r="O318" i="11"/>
  <c r="F318" i="11"/>
  <c r="E318" i="11"/>
  <c r="C318" i="11"/>
  <c r="B318" i="11"/>
  <c r="A318" i="11"/>
  <c r="P317" i="11"/>
  <c r="O317" i="11"/>
  <c r="F317" i="11"/>
  <c r="E317" i="11"/>
  <c r="C317" i="11"/>
  <c r="B317" i="11"/>
  <c r="A317" i="11"/>
  <c r="P316" i="11"/>
  <c r="O316" i="11"/>
  <c r="F316" i="11"/>
  <c r="E316" i="11"/>
  <c r="C316" i="11"/>
  <c r="B316" i="11"/>
  <c r="A316" i="11"/>
  <c r="P315" i="11"/>
  <c r="O315" i="11"/>
  <c r="F315" i="11"/>
  <c r="E315" i="11"/>
  <c r="C315" i="11"/>
  <c r="B315" i="11"/>
  <c r="A315" i="11"/>
  <c r="P314" i="11"/>
  <c r="O314" i="11"/>
  <c r="F314" i="11"/>
  <c r="E314" i="11"/>
  <c r="C314" i="11"/>
  <c r="B314" i="11"/>
  <c r="P313" i="11"/>
  <c r="O313" i="11"/>
  <c r="F313" i="11"/>
  <c r="E313" i="11"/>
  <c r="C313" i="11"/>
  <c r="B313" i="11"/>
  <c r="A313" i="11"/>
  <c r="P312" i="11"/>
  <c r="O312" i="11"/>
  <c r="F312" i="11"/>
  <c r="E312" i="11"/>
  <c r="C312" i="11"/>
  <c r="B312" i="11"/>
  <c r="A312" i="11"/>
  <c r="P311" i="11"/>
  <c r="O311" i="11"/>
  <c r="F311" i="11"/>
  <c r="E311" i="11"/>
  <c r="C311" i="11"/>
  <c r="B311" i="11"/>
  <c r="A311" i="11"/>
  <c r="P310" i="11"/>
  <c r="O310" i="11"/>
  <c r="F310" i="11"/>
  <c r="E310" i="11"/>
  <c r="C310" i="11"/>
  <c r="B310" i="11"/>
  <c r="A310" i="11"/>
  <c r="P309" i="11"/>
  <c r="O309" i="11"/>
  <c r="F309" i="11"/>
  <c r="E309" i="11"/>
  <c r="C309" i="11"/>
  <c r="B309" i="11"/>
  <c r="A309" i="11"/>
  <c r="P308" i="11"/>
  <c r="O308" i="11"/>
  <c r="F308" i="11"/>
  <c r="E308" i="11"/>
  <c r="C308" i="11"/>
  <c r="B308" i="11"/>
  <c r="A308" i="11"/>
  <c r="P307" i="11"/>
  <c r="O307" i="11"/>
  <c r="F307" i="11"/>
  <c r="E307" i="11"/>
  <c r="C307" i="11"/>
  <c r="B307" i="11"/>
  <c r="A307" i="11"/>
  <c r="P306" i="11"/>
  <c r="O306" i="11"/>
  <c r="F306" i="11"/>
  <c r="E306" i="11"/>
  <c r="C306" i="11"/>
  <c r="B306" i="11"/>
  <c r="A306" i="11"/>
  <c r="P305" i="11"/>
  <c r="O305" i="11"/>
  <c r="F305" i="11"/>
  <c r="E305" i="11"/>
  <c r="C305" i="11"/>
  <c r="B305" i="11"/>
  <c r="A305" i="11"/>
  <c r="P304" i="11"/>
  <c r="O304" i="11"/>
  <c r="F304" i="11"/>
  <c r="E304" i="11"/>
  <c r="C304" i="11"/>
  <c r="B304" i="11"/>
  <c r="A304" i="11"/>
  <c r="P303" i="11"/>
  <c r="O303" i="11"/>
  <c r="F303" i="11"/>
  <c r="E303" i="11"/>
  <c r="C303" i="11"/>
  <c r="B303" i="11"/>
  <c r="A303" i="11"/>
  <c r="P302" i="11"/>
  <c r="O302" i="11"/>
  <c r="F302" i="11"/>
  <c r="E302" i="11"/>
  <c r="C302" i="11"/>
  <c r="B302" i="11"/>
  <c r="A302" i="11"/>
  <c r="P301" i="11"/>
  <c r="O301" i="11"/>
  <c r="F301" i="11"/>
  <c r="E301" i="11"/>
  <c r="C301" i="11"/>
  <c r="B301" i="11"/>
  <c r="A301" i="11"/>
  <c r="P300" i="11"/>
  <c r="O300" i="11"/>
  <c r="F300" i="11"/>
  <c r="E300" i="11"/>
  <c r="C300" i="11"/>
  <c r="B300" i="11"/>
  <c r="A300" i="11"/>
  <c r="P299" i="11"/>
  <c r="O299" i="11"/>
  <c r="F299" i="11"/>
  <c r="E299" i="11"/>
  <c r="C299" i="11"/>
  <c r="B299" i="11"/>
  <c r="A299" i="11"/>
  <c r="P298" i="11"/>
  <c r="O298" i="11"/>
  <c r="F298" i="11"/>
  <c r="E298" i="11"/>
  <c r="C298" i="11"/>
  <c r="B298" i="11"/>
  <c r="A298" i="11"/>
  <c r="P297" i="11"/>
  <c r="O297" i="11"/>
  <c r="F297" i="11"/>
  <c r="E297" i="11"/>
  <c r="C297" i="11"/>
  <c r="B297" i="11"/>
  <c r="A297" i="11"/>
  <c r="P296" i="11"/>
  <c r="O296" i="11"/>
  <c r="F296" i="11"/>
  <c r="E296" i="11"/>
  <c r="C296" i="11"/>
  <c r="B296" i="11"/>
  <c r="A296" i="11"/>
  <c r="P295" i="11"/>
  <c r="O295" i="11"/>
  <c r="F295" i="11"/>
  <c r="E295" i="11"/>
  <c r="C295" i="11"/>
  <c r="B295" i="11"/>
  <c r="A295" i="11"/>
  <c r="P294" i="11"/>
  <c r="O294" i="11"/>
  <c r="F294" i="11"/>
  <c r="E294" i="11"/>
  <c r="C294" i="11"/>
  <c r="B294" i="11"/>
  <c r="A294" i="11"/>
  <c r="P293" i="11"/>
  <c r="O293" i="11"/>
  <c r="F293" i="11"/>
  <c r="E293" i="11"/>
  <c r="C293" i="11"/>
  <c r="B293" i="11"/>
  <c r="A293" i="11"/>
  <c r="P292" i="11"/>
  <c r="O292" i="11"/>
  <c r="F292" i="11"/>
  <c r="E292" i="11"/>
  <c r="C292" i="11"/>
  <c r="B292" i="11"/>
  <c r="A292" i="11"/>
  <c r="P291" i="11"/>
  <c r="O291" i="11"/>
  <c r="F291" i="11"/>
  <c r="E291" i="11"/>
  <c r="C291" i="11"/>
  <c r="B291" i="11"/>
  <c r="A291" i="11"/>
  <c r="P290" i="11"/>
  <c r="O290" i="11"/>
  <c r="F290" i="11"/>
  <c r="E290" i="11"/>
  <c r="C290" i="11"/>
  <c r="B290" i="11"/>
  <c r="A290" i="11"/>
  <c r="P289" i="11"/>
  <c r="O289" i="11"/>
  <c r="F289" i="11"/>
  <c r="E289" i="11"/>
  <c r="C289" i="11"/>
  <c r="B289" i="11"/>
  <c r="A289" i="11"/>
  <c r="P288" i="11"/>
  <c r="O288" i="11"/>
  <c r="F288" i="11"/>
  <c r="E288" i="11"/>
  <c r="C288" i="11"/>
  <c r="B288" i="11"/>
  <c r="A288" i="11"/>
  <c r="P287" i="11"/>
  <c r="O287" i="11"/>
  <c r="F287" i="11"/>
  <c r="E287" i="11"/>
  <c r="C287" i="11"/>
  <c r="B287" i="11"/>
  <c r="A287" i="11"/>
  <c r="P286" i="11"/>
  <c r="O286" i="11"/>
  <c r="F286" i="11"/>
  <c r="E286" i="11"/>
  <c r="C286" i="11"/>
  <c r="B286" i="11"/>
  <c r="A286" i="11"/>
  <c r="P285" i="11"/>
  <c r="O285" i="11"/>
  <c r="F285" i="11"/>
  <c r="E285" i="11"/>
  <c r="C285" i="11"/>
  <c r="B285" i="11"/>
  <c r="A285" i="11"/>
  <c r="P284" i="11"/>
  <c r="O284" i="11"/>
  <c r="F284" i="11"/>
  <c r="E284" i="11"/>
  <c r="C284" i="11"/>
  <c r="B284" i="11"/>
  <c r="A284" i="11"/>
  <c r="P283" i="11"/>
  <c r="O283" i="11"/>
  <c r="F283" i="11"/>
  <c r="E283" i="11"/>
  <c r="C283" i="11"/>
  <c r="B283" i="11"/>
  <c r="A283" i="11"/>
  <c r="P282" i="11"/>
  <c r="O282" i="11"/>
  <c r="F282" i="11"/>
  <c r="E282" i="11"/>
  <c r="C282" i="11"/>
  <c r="B282" i="11"/>
  <c r="A282" i="11"/>
  <c r="P281" i="11"/>
  <c r="O281" i="11"/>
  <c r="F281" i="11"/>
  <c r="E281" i="11"/>
  <c r="C281" i="11"/>
  <c r="B281" i="11"/>
  <c r="A281" i="11"/>
  <c r="P280" i="11"/>
  <c r="O280" i="11"/>
  <c r="F280" i="11"/>
  <c r="E280" i="11"/>
  <c r="C280" i="11"/>
  <c r="B280" i="11"/>
  <c r="A280" i="11"/>
  <c r="P279" i="11"/>
  <c r="O279" i="11"/>
  <c r="F279" i="11"/>
  <c r="E279" i="11"/>
  <c r="C279" i="11"/>
  <c r="B279" i="11"/>
  <c r="A279" i="11"/>
  <c r="O278" i="11"/>
  <c r="F278" i="11"/>
  <c r="E278" i="11"/>
  <c r="C278" i="11"/>
  <c r="B278" i="11"/>
  <c r="A278" i="11"/>
  <c r="P277" i="11"/>
  <c r="O277" i="11"/>
  <c r="F277" i="11"/>
  <c r="E277" i="11"/>
  <c r="C277" i="11"/>
  <c r="B277" i="11"/>
  <c r="A277" i="11"/>
  <c r="P276" i="11"/>
  <c r="O276" i="11"/>
  <c r="F276" i="11"/>
  <c r="E276" i="11"/>
  <c r="C276" i="11"/>
  <c r="B276" i="11"/>
  <c r="A276" i="11"/>
  <c r="P275" i="11"/>
  <c r="O275" i="11"/>
  <c r="F275" i="11"/>
  <c r="E275" i="11"/>
  <c r="C275" i="11"/>
  <c r="B275" i="11"/>
  <c r="A275" i="11"/>
  <c r="P274" i="11"/>
  <c r="O274" i="11"/>
  <c r="F274" i="11"/>
  <c r="E274" i="11"/>
  <c r="C274" i="11"/>
  <c r="B274" i="11"/>
  <c r="A274" i="11"/>
  <c r="P273" i="11"/>
  <c r="O273" i="11"/>
  <c r="F273" i="11"/>
  <c r="E273" i="11"/>
  <c r="C273" i="11"/>
  <c r="B273" i="11"/>
  <c r="A273" i="11"/>
  <c r="P272" i="11"/>
  <c r="O272" i="11"/>
  <c r="F272" i="11"/>
  <c r="E272" i="11"/>
  <c r="C272" i="11"/>
  <c r="B272" i="11"/>
  <c r="A272" i="11"/>
  <c r="P271" i="11"/>
  <c r="O271" i="11"/>
  <c r="F271" i="11"/>
  <c r="E271" i="11"/>
  <c r="C271" i="11"/>
  <c r="B271" i="11"/>
  <c r="A271" i="11"/>
  <c r="P270" i="11"/>
  <c r="O270" i="11"/>
  <c r="F270" i="11"/>
  <c r="E270" i="11"/>
  <c r="C270" i="11"/>
  <c r="B270" i="11"/>
  <c r="A270" i="11"/>
  <c r="P269" i="11"/>
  <c r="O269" i="11"/>
  <c r="F269" i="11"/>
  <c r="E269" i="11"/>
  <c r="C269" i="11"/>
  <c r="B269" i="11"/>
  <c r="A269" i="11"/>
  <c r="P268" i="11"/>
  <c r="O268" i="11"/>
  <c r="F268" i="11"/>
  <c r="E268" i="11"/>
  <c r="C268" i="11"/>
  <c r="B268" i="11"/>
  <c r="A268" i="11"/>
  <c r="P267" i="11"/>
  <c r="O267" i="11"/>
  <c r="F267" i="11"/>
  <c r="E267" i="11"/>
  <c r="C267" i="11"/>
  <c r="B267" i="11"/>
  <c r="A267" i="11"/>
  <c r="P266" i="11"/>
  <c r="O266" i="11"/>
  <c r="F266" i="11"/>
  <c r="E266" i="11"/>
  <c r="C266" i="11"/>
  <c r="B266" i="11"/>
  <c r="A266" i="11"/>
  <c r="P265" i="11"/>
  <c r="O265" i="11"/>
  <c r="F265" i="11"/>
  <c r="E265" i="11"/>
  <c r="C265" i="11"/>
  <c r="B265" i="11"/>
  <c r="A265" i="11"/>
  <c r="P264" i="11"/>
  <c r="O264" i="11"/>
  <c r="F264" i="11"/>
  <c r="E264" i="11"/>
  <c r="C264" i="11"/>
  <c r="B264" i="11"/>
  <c r="A264" i="11"/>
  <c r="P263" i="11"/>
  <c r="O263" i="11"/>
  <c r="F263" i="11"/>
  <c r="E263" i="11"/>
  <c r="C263" i="11"/>
  <c r="B263" i="11"/>
  <c r="A263" i="11"/>
  <c r="P262" i="11"/>
  <c r="O262" i="11"/>
  <c r="F262" i="11"/>
  <c r="E262" i="11"/>
  <c r="C262" i="11"/>
  <c r="B262" i="11"/>
  <c r="A262" i="11"/>
  <c r="P261" i="11"/>
  <c r="O261" i="11"/>
  <c r="F261" i="11"/>
  <c r="E261" i="11"/>
  <c r="C261" i="11"/>
  <c r="B261" i="11"/>
  <c r="A261" i="11"/>
  <c r="P260" i="11"/>
  <c r="O260" i="11"/>
  <c r="F260" i="11"/>
  <c r="E260" i="11"/>
  <c r="C260" i="11"/>
  <c r="B260" i="11"/>
  <c r="A260" i="11"/>
  <c r="P259" i="11"/>
  <c r="O259" i="11"/>
  <c r="F259" i="11"/>
  <c r="E259" i="11"/>
  <c r="C259" i="11"/>
  <c r="B259" i="11"/>
  <c r="A259" i="11"/>
  <c r="P258" i="11"/>
  <c r="O258" i="11"/>
  <c r="F258" i="11"/>
  <c r="E258" i="11"/>
  <c r="C258" i="11"/>
  <c r="B258" i="11"/>
  <c r="A258" i="11"/>
  <c r="P257" i="11"/>
  <c r="O257" i="11"/>
  <c r="F257" i="11"/>
  <c r="E257" i="11"/>
  <c r="C257" i="11"/>
  <c r="B257" i="11"/>
  <c r="A257" i="11"/>
  <c r="P256" i="11"/>
  <c r="O256" i="11"/>
  <c r="F256" i="11"/>
  <c r="E256" i="11"/>
  <c r="C256" i="11"/>
  <c r="B256" i="11"/>
  <c r="A256" i="11"/>
  <c r="P255" i="11"/>
  <c r="O255" i="11"/>
  <c r="F255" i="11"/>
  <c r="E255" i="11"/>
  <c r="C255" i="11"/>
  <c r="B255" i="11"/>
  <c r="A255" i="11"/>
  <c r="P254" i="11"/>
  <c r="O254" i="11"/>
  <c r="F254" i="11"/>
  <c r="E254" i="11"/>
  <c r="C254" i="11"/>
  <c r="B254" i="11"/>
  <c r="A254" i="11"/>
  <c r="P253" i="11"/>
  <c r="O253" i="11"/>
  <c r="F253" i="11"/>
  <c r="E253" i="11"/>
  <c r="C253" i="11"/>
  <c r="B253" i="11"/>
  <c r="A253" i="11"/>
  <c r="P252" i="11"/>
  <c r="O252" i="11"/>
  <c r="F252" i="11"/>
  <c r="E252" i="11"/>
  <c r="C252" i="11"/>
  <c r="B252" i="11"/>
  <c r="A5461" i="9"/>
  <c r="A5462" i="9"/>
  <c r="A252" i="11"/>
  <c r="P251" i="11"/>
  <c r="O251" i="11"/>
  <c r="F251" i="11"/>
  <c r="E251" i="11"/>
  <c r="C251" i="11"/>
  <c r="B251" i="11"/>
  <c r="A251" i="11"/>
  <c r="M3907" i="9"/>
  <c r="M4761" i="9"/>
  <c r="M4952" i="9"/>
  <c r="M4586" i="9"/>
  <c r="M4876" i="9"/>
  <c r="N4876" i="9"/>
  <c r="O4876" i="9"/>
  <c r="M4671" i="9"/>
  <c r="A56" i="11"/>
  <c r="A57" i="11"/>
  <c r="A58" i="11"/>
  <c r="A59" i="11"/>
  <c r="A60" i="11"/>
  <c r="A61" i="11"/>
  <c r="A63" i="11"/>
  <c r="A64" i="11"/>
  <c r="A65" i="11"/>
  <c r="A66" i="11"/>
  <c r="A5362" i="9"/>
  <c r="A5363" i="9"/>
  <c r="A5364" i="9"/>
  <c r="A5365" i="9"/>
  <c r="A5366" i="9"/>
  <c r="A5367" i="9"/>
  <c r="A5368" i="9"/>
  <c r="A5369" i="9"/>
  <c r="A5370" i="9"/>
  <c r="A5371" i="9"/>
  <c r="A5372" i="9"/>
  <c r="A5373" i="9"/>
  <c r="A5374" i="9"/>
  <c r="A5375" i="9"/>
  <c r="A5376" i="9"/>
  <c r="A5377" i="9"/>
  <c r="A5378" i="9"/>
  <c r="A5379" i="9"/>
  <c r="A5380" i="9"/>
  <c r="A5381" i="9"/>
  <c r="A5382" i="9"/>
  <c r="A5383" i="9"/>
  <c r="A5385" i="9"/>
  <c r="A5386" i="9"/>
  <c r="A5387" i="9"/>
  <c r="A5388" i="9"/>
  <c r="A5389" i="9"/>
  <c r="A5390" i="9"/>
  <c r="A5391" i="9"/>
  <c r="A5392" i="9"/>
  <c r="A5393" i="9"/>
  <c r="A5394" i="9"/>
  <c r="A5395" i="9"/>
  <c r="A5396" i="9"/>
  <c r="A5397" i="9"/>
  <c r="A5402" i="9"/>
  <c r="A5403" i="9"/>
  <c r="A5404" i="9"/>
  <c r="A5405" i="9"/>
  <c r="A5406" i="9"/>
  <c r="A5407" i="9"/>
  <c r="A5408" i="9"/>
  <c r="A5409" i="9"/>
  <c r="A5410" i="9"/>
  <c r="A5411" i="9"/>
  <c r="A5412" i="9"/>
  <c r="A5414" i="9"/>
  <c r="A5415" i="9"/>
  <c r="A5416" i="9"/>
  <c r="A5417" i="9"/>
  <c r="A5418" i="9"/>
  <c r="A5419" i="9"/>
  <c r="A5420" i="9"/>
  <c r="A5421" i="9"/>
  <c r="A5422" i="9"/>
  <c r="A5423" i="9"/>
  <c r="A5424" i="9"/>
  <c r="A5425" i="9"/>
  <c r="A5426" i="9"/>
  <c r="A5427" i="9"/>
  <c r="A5429" i="9"/>
  <c r="A5430" i="9"/>
  <c r="A5431" i="9"/>
  <c r="A5432" i="9"/>
  <c r="A5433" i="9"/>
  <c r="A5434" i="9"/>
  <c r="A5435" i="9"/>
  <c r="A5446" i="9"/>
  <c r="A5448" i="9"/>
  <c r="A5450" i="9"/>
  <c r="A5451" i="9"/>
  <c r="A5453" i="9"/>
  <c r="A5454" i="9"/>
  <c r="A5455" i="9"/>
  <c r="A5456" i="9"/>
  <c r="A5457" i="9"/>
  <c r="A5458" i="9"/>
  <c r="O206" i="11"/>
  <c r="P206" i="11"/>
  <c r="O207" i="11"/>
  <c r="P207" i="11"/>
  <c r="O208" i="11"/>
  <c r="P208" i="11"/>
  <c r="O209" i="11"/>
  <c r="P209" i="11"/>
  <c r="O210" i="11"/>
  <c r="P210" i="11"/>
  <c r="O211" i="11"/>
  <c r="P211" i="11"/>
  <c r="O212" i="11"/>
  <c r="P212" i="11"/>
  <c r="O213" i="11"/>
  <c r="P213" i="11"/>
  <c r="O214" i="11"/>
  <c r="P214" i="11"/>
  <c r="O215" i="11"/>
  <c r="P215" i="11"/>
  <c r="O216" i="11"/>
  <c r="P216" i="11"/>
  <c r="O217" i="11"/>
  <c r="P217" i="11"/>
  <c r="O218" i="11"/>
  <c r="P218" i="11"/>
  <c r="O219" i="11"/>
  <c r="P219" i="11"/>
  <c r="O220" i="11"/>
  <c r="P220" i="11"/>
  <c r="O221" i="11"/>
  <c r="P221" i="11"/>
  <c r="O222" i="11"/>
  <c r="P222" i="11"/>
  <c r="O223" i="11"/>
  <c r="P223" i="11"/>
  <c r="O224" i="11"/>
  <c r="P224" i="11"/>
  <c r="O225" i="11"/>
  <c r="P225" i="11"/>
  <c r="O226" i="11"/>
  <c r="P226" i="11"/>
  <c r="O227" i="11"/>
  <c r="P227" i="11"/>
  <c r="O228" i="11"/>
  <c r="P228" i="11"/>
  <c r="O229" i="11"/>
  <c r="P229" i="11"/>
  <c r="O230" i="11"/>
  <c r="P230" i="11"/>
  <c r="O231" i="11"/>
  <c r="P231" i="11"/>
  <c r="O232" i="11"/>
  <c r="P232" i="11"/>
  <c r="O233" i="11"/>
  <c r="P233" i="11"/>
  <c r="O234" i="11"/>
  <c r="P234" i="11"/>
  <c r="O235" i="11"/>
  <c r="P235" i="11"/>
  <c r="O236" i="11"/>
  <c r="P236" i="11"/>
  <c r="O237" i="11"/>
  <c r="P237" i="11"/>
  <c r="O238" i="11"/>
  <c r="P238" i="11"/>
  <c r="O239" i="11"/>
  <c r="P239" i="11"/>
  <c r="O240" i="11"/>
  <c r="P240" i="11"/>
  <c r="O241" i="11"/>
  <c r="P241" i="11"/>
  <c r="O242" i="11"/>
  <c r="P242" i="11"/>
  <c r="O243" i="11"/>
  <c r="P243" i="11"/>
  <c r="O244" i="11"/>
  <c r="P244" i="11"/>
  <c r="O245" i="11"/>
  <c r="P245" i="11"/>
  <c r="O246" i="11"/>
  <c r="P246" i="11"/>
  <c r="O247" i="11"/>
  <c r="P247" i="11"/>
  <c r="O248" i="11"/>
  <c r="P248" i="11"/>
  <c r="O249" i="11"/>
  <c r="P249" i="11"/>
  <c r="O250" i="11"/>
  <c r="P250" i="11"/>
  <c r="A250" i="11"/>
  <c r="B250" i="11"/>
  <c r="C250" i="11"/>
  <c r="E250" i="11"/>
  <c r="F250" i="11"/>
  <c r="A242" i="11"/>
  <c r="B242" i="11"/>
  <c r="C242" i="11"/>
  <c r="E242" i="11"/>
  <c r="F242" i="11"/>
  <c r="A243" i="11"/>
  <c r="B243" i="11"/>
  <c r="C243" i="11"/>
  <c r="E243" i="11"/>
  <c r="F243" i="11"/>
  <c r="A244" i="11"/>
  <c r="B244" i="11"/>
  <c r="C244" i="11"/>
  <c r="E244" i="11"/>
  <c r="F244" i="11"/>
  <c r="A245" i="11"/>
  <c r="B245" i="11"/>
  <c r="C245" i="11"/>
  <c r="E245" i="11"/>
  <c r="F245" i="11"/>
  <c r="A246" i="11"/>
  <c r="B246" i="11"/>
  <c r="C246" i="11"/>
  <c r="E246" i="11"/>
  <c r="F246" i="11"/>
  <c r="A247" i="11"/>
  <c r="B247" i="11"/>
  <c r="C247" i="11"/>
  <c r="E247" i="11"/>
  <c r="F247" i="11"/>
  <c r="A248" i="11"/>
  <c r="B248" i="11"/>
  <c r="C248" i="11"/>
  <c r="E248" i="11"/>
  <c r="F248" i="11"/>
  <c r="A249" i="11"/>
  <c r="B249" i="11"/>
  <c r="C249" i="11"/>
  <c r="E249" i="11"/>
  <c r="F249" i="11"/>
  <c r="A231" i="11"/>
  <c r="B231" i="11"/>
  <c r="C231" i="11"/>
  <c r="E231" i="11"/>
  <c r="F231" i="11"/>
  <c r="A232" i="11"/>
  <c r="B232" i="11"/>
  <c r="C232" i="11"/>
  <c r="E232" i="11"/>
  <c r="F232" i="11"/>
  <c r="A233" i="11"/>
  <c r="B233" i="11"/>
  <c r="C233" i="11"/>
  <c r="E233" i="11"/>
  <c r="F233" i="11"/>
  <c r="A234" i="11"/>
  <c r="B234" i="11"/>
  <c r="C234" i="11"/>
  <c r="E234" i="11"/>
  <c r="F234" i="11"/>
  <c r="A235" i="11"/>
  <c r="B235" i="11"/>
  <c r="C235" i="11"/>
  <c r="E235" i="11"/>
  <c r="F235" i="11"/>
  <c r="A236" i="11"/>
  <c r="B236" i="11"/>
  <c r="C236" i="11"/>
  <c r="E236" i="11"/>
  <c r="F236" i="11"/>
  <c r="A237" i="11"/>
  <c r="B237" i="11"/>
  <c r="C237" i="11"/>
  <c r="E237" i="11"/>
  <c r="F237" i="11"/>
  <c r="A238" i="11"/>
  <c r="B238" i="11"/>
  <c r="C238" i="11"/>
  <c r="E238" i="11"/>
  <c r="F238" i="11"/>
  <c r="A239" i="11"/>
  <c r="B239" i="11"/>
  <c r="C239" i="11"/>
  <c r="E239" i="11"/>
  <c r="F239" i="11"/>
  <c r="A240" i="11"/>
  <c r="B240" i="11"/>
  <c r="C240" i="11"/>
  <c r="E240" i="11"/>
  <c r="F240" i="11"/>
  <c r="A241" i="11"/>
  <c r="B241" i="11"/>
  <c r="C241" i="11"/>
  <c r="E241" i="11"/>
  <c r="F241" i="11"/>
  <c r="A222" i="11"/>
  <c r="B222" i="11"/>
  <c r="C222" i="11"/>
  <c r="E222" i="11"/>
  <c r="F222" i="11"/>
  <c r="A223" i="11"/>
  <c r="B223" i="11"/>
  <c r="C223" i="11"/>
  <c r="E223" i="11"/>
  <c r="F223" i="11"/>
  <c r="A224" i="11"/>
  <c r="B224" i="11"/>
  <c r="C224" i="11"/>
  <c r="E224" i="11"/>
  <c r="F224" i="11"/>
  <c r="A225" i="11"/>
  <c r="B225" i="11"/>
  <c r="C225" i="11"/>
  <c r="E225" i="11"/>
  <c r="F225" i="11"/>
  <c r="A226" i="11"/>
  <c r="B226" i="11"/>
  <c r="C226" i="11"/>
  <c r="E226" i="11"/>
  <c r="F226" i="11"/>
  <c r="A227" i="11"/>
  <c r="B227" i="11"/>
  <c r="C227" i="11"/>
  <c r="E227" i="11"/>
  <c r="F227" i="11"/>
  <c r="A228" i="11"/>
  <c r="B228" i="11"/>
  <c r="C228" i="11"/>
  <c r="E228" i="11"/>
  <c r="F228" i="11"/>
  <c r="A229" i="11"/>
  <c r="B229" i="11"/>
  <c r="C229" i="11"/>
  <c r="E229" i="11"/>
  <c r="F229" i="11"/>
  <c r="A230" i="11"/>
  <c r="B230" i="11"/>
  <c r="C230" i="11"/>
  <c r="E230" i="11"/>
  <c r="F230" i="11"/>
  <c r="A210" i="11"/>
  <c r="B210" i="11"/>
  <c r="C210" i="11"/>
  <c r="E210" i="11"/>
  <c r="F210" i="11"/>
  <c r="A211" i="11"/>
  <c r="B211" i="11"/>
  <c r="C211" i="11"/>
  <c r="E211" i="11"/>
  <c r="F211" i="11"/>
  <c r="A212" i="11"/>
  <c r="B212" i="11"/>
  <c r="C212" i="11"/>
  <c r="E212" i="11"/>
  <c r="F212" i="11"/>
  <c r="A213" i="11"/>
  <c r="B213" i="11"/>
  <c r="C213" i="11"/>
  <c r="E213" i="11"/>
  <c r="F213" i="11"/>
  <c r="A214" i="11"/>
  <c r="B214" i="11"/>
  <c r="C214" i="11"/>
  <c r="E214" i="11"/>
  <c r="F214" i="11"/>
  <c r="A215" i="11"/>
  <c r="B215" i="11"/>
  <c r="C215" i="11"/>
  <c r="E215" i="11"/>
  <c r="F215" i="11"/>
  <c r="A216" i="11"/>
  <c r="B216" i="11"/>
  <c r="C216" i="11"/>
  <c r="E216" i="11"/>
  <c r="F216" i="11"/>
  <c r="A217" i="11"/>
  <c r="B217" i="11"/>
  <c r="C217" i="11"/>
  <c r="E217" i="11"/>
  <c r="F217" i="11"/>
  <c r="A218" i="11"/>
  <c r="B218" i="11"/>
  <c r="C218" i="11"/>
  <c r="E218" i="11"/>
  <c r="F218" i="11"/>
  <c r="A219" i="11"/>
  <c r="B219" i="11"/>
  <c r="C219" i="11"/>
  <c r="E219" i="11"/>
  <c r="F219" i="11"/>
  <c r="A220" i="11"/>
  <c r="B220" i="11"/>
  <c r="C220" i="11"/>
  <c r="E220" i="11"/>
  <c r="F220" i="11"/>
  <c r="A221" i="11"/>
  <c r="B221" i="11"/>
  <c r="C221" i="11"/>
  <c r="E221" i="11"/>
  <c r="F221" i="11"/>
  <c r="A192" i="11"/>
  <c r="B192" i="11"/>
  <c r="C192" i="11"/>
  <c r="E192" i="11"/>
  <c r="F192" i="11"/>
  <c r="A193" i="11"/>
  <c r="B193" i="11"/>
  <c r="C193" i="11"/>
  <c r="E193" i="11"/>
  <c r="F193" i="11"/>
  <c r="A194" i="11"/>
  <c r="B194" i="11"/>
  <c r="C194" i="11"/>
  <c r="E194" i="11"/>
  <c r="F194" i="11"/>
  <c r="A195" i="11"/>
  <c r="B195" i="11"/>
  <c r="C195" i="11"/>
  <c r="E195" i="11"/>
  <c r="F195" i="11"/>
  <c r="A196" i="11"/>
  <c r="B196" i="11"/>
  <c r="C196" i="11"/>
  <c r="E196" i="11"/>
  <c r="F196" i="11"/>
  <c r="A197" i="11"/>
  <c r="B197" i="11"/>
  <c r="C197" i="11"/>
  <c r="E197" i="11"/>
  <c r="F197" i="11"/>
  <c r="A198" i="11"/>
  <c r="B198" i="11"/>
  <c r="C198" i="11"/>
  <c r="E198" i="11"/>
  <c r="F198" i="11"/>
  <c r="A199" i="11"/>
  <c r="B199" i="11"/>
  <c r="C199" i="11"/>
  <c r="E199" i="11"/>
  <c r="F199" i="11"/>
  <c r="A200" i="11"/>
  <c r="B200" i="11"/>
  <c r="C200" i="11"/>
  <c r="E200" i="11"/>
  <c r="F200" i="11"/>
  <c r="A201" i="11"/>
  <c r="B201" i="11"/>
  <c r="C201" i="11"/>
  <c r="E201" i="11"/>
  <c r="F201" i="11"/>
  <c r="A202" i="11"/>
  <c r="B202" i="11"/>
  <c r="C202" i="11"/>
  <c r="E202" i="11"/>
  <c r="F202" i="11"/>
  <c r="A203" i="11"/>
  <c r="B203" i="11"/>
  <c r="C203" i="11"/>
  <c r="E203" i="11"/>
  <c r="F203" i="11"/>
  <c r="A204" i="11"/>
  <c r="B204" i="11"/>
  <c r="C204" i="11"/>
  <c r="E204" i="11"/>
  <c r="F204" i="11"/>
  <c r="A205" i="11"/>
  <c r="B205" i="11"/>
  <c r="C205" i="11"/>
  <c r="E205" i="11"/>
  <c r="F205" i="11"/>
  <c r="A206" i="11"/>
  <c r="B206" i="11"/>
  <c r="C206" i="11"/>
  <c r="E206" i="11"/>
  <c r="F206" i="11"/>
  <c r="A207" i="11"/>
  <c r="B207" i="11"/>
  <c r="C207" i="11"/>
  <c r="E207" i="11"/>
  <c r="F207" i="11"/>
  <c r="A208" i="11"/>
  <c r="B208" i="11"/>
  <c r="C208" i="11"/>
  <c r="E208" i="11"/>
  <c r="F208" i="11"/>
  <c r="A209" i="11"/>
  <c r="B209" i="11"/>
  <c r="C209" i="11"/>
  <c r="E209" i="11"/>
  <c r="F209" i="11"/>
  <c r="M4989" i="9"/>
  <c r="M4905" i="9"/>
  <c r="M4923" i="9"/>
  <c r="G2" i="11"/>
  <c r="AF2" i="11"/>
  <c r="O3" i="11"/>
  <c r="P3" i="11"/>
  <c r="O4" i="11"/>
  <c r="P4" i="11"/>
  <c r="O5" i="11"/>
  <c r="P5" i="11"/>
  <c r="O6" i="11"/>
  <c r="P6" i="11"/>
  <c r="O7" i="11"/>
  <c r="P7" i="11"/>
  <c r="O8" i="11"/>
  <c r="P8" i="11"/>
  <c r="O9" i="11"/>
  <c r="P9" i="11"/>
  <c r="O10" i="11"/>
  <c r="P10" i="11"/>
  <c r="O11" i="11"/>
  <c r="P11" i="11"/>
  <c r="O12" i="11"/>
  <c r="P12" i="11"/>
  <c r="O13" i="11"/>
  <c r="P13" i="11"/>
  <c r="O14" i="11"/>
  <c r="P14" i="11"/>
  <c r="O15" i="11"/>
  <c r="P15" i="11"/>
  <c r="O16" i="11"/>
  <c r="P16" i="11"/>
  <c r="O17" i="11"/>
  <c r="P17" i="11"/>
  <c r="O18" i="11"/>
  <c r="P18" i="11"/>
  <c r="O19" i="11"/>
  <c r="P19" i="11"/>
  <c r="O20" i="11"/>
  <c r="P20" i="11"/>
  <c r="O21" i="11"/>
  <c r="P21" i="11"/>
  <c r="O22" i="11"/>
  <c r="P22" i="11"/>
  <c r="O23" i="11"/>
  <c r="P23" i="11"/>
  <c r="O24" i="11"/>
  <c r="P24" i="11"/>
  <c r="O25" i="11"/>
  <c r="P25" i="11"/>
  <c r="O26" i="11"/>
  <c r="P26" i="11"/>
  <c r="O27" i="11"/>
  <c r="P27" i="11"/>
  <c r="O28" i="11"/>
  <c r="P28" i="11"/>
  <c r="O29" i="11"/>
  <c r="P29" i="11"/>
  <c r="O30" i="11"/>
  <c r="P30" i="11"/>
  <c r="O31" i="11"/>
  <c r="P31" i="11"/>
  <c r="O32" i="11"/>
  <c r="P32" i="11"/>
  <c r="O33" i="11"/>
  <c r="P33" i="11"/>
  <c r="O34" i="11"/>
  <c r="P34" i="11"/>
  <c r="O35" i="11"/>
  <c r="P35" i="11"/>
  <c r="O36" i="11"/>
  <c r="P36" i="11"/>
  <c r="O37" i="11"/>
  <c r="P37" i="11"/>
  <c r="O38" i="11"/>
  <c r="P38" i="11"/>
  <c r="O39" i="11"/>
  <c r="P39" i="11"/>
  <c r="O40" i="11"/>
  <c r="P40" i="11"/>
  <c r="O41" i="11"/>
  <c r="P41" i="11"/>
  <c r="O42" i="11"/>
  <c r="P42" i="11"/>
  <c r="O43" i="11"/>
  <c r="P43" i="11"/>
  <c r="O44" i="11"/>
  <c r="P44" i="11"/>
  <c r="O45" i="11"/>
  <c r="P45" i="11"/>
  <c r="O46" i="11"/>
  <c r="P46" i="11"/>
  <c r="O47" i="11"/>
  <c r="P47" i="11"/>
  <c r="O48" i="11"/>
  <c r="P48" i="11"/>
  <c r="O49" i="11"/>
  <c r="P49" i="11"/>
  <c r="O50" i="11"/>
  <c r="P50" i="11"/>
  <c r="O51" i="11"/>
  <c r="P51" i="11"/>
  <c r="O52" i="11"/>
  <c r="P52" i="11"/>
  <c r="O53" i="11"/>
  <c r="P53" i="11"/>
  <c r="O54" i="11"/>
  <c r="P54" i="11"/>
  <c r="O55" i="11"/>
  <c r="P55" i="11"/>
  <c r="O56" i="11"/>
  <c r="P56" i="11"/>
  <c r="O57" i="11"/>
  <c r="P57" i="11"/>
  <c r="O58" i="11"/>
  <c r="P58" i="11"/>
  <c r="O59" i="11"/>
  <c r="P59" i="11"/>
  <c r="O60" i="11"/>
  <c r="P60" i="11"/>
  <c r="O61" i="11"/>
  <c r="P61" i="11"/>
  <c r="O63" i="11"/>
  <c r="P63" i="11"/>
  <c r="O64" i="11"/>
  <c r="P64" i="11"/>
  <c r="O65" i="11"/>
  <c r="P65" i="11"/>
  <c r="O66" i="11"/>
  <c r="P66" i="11"/>
  <c r="O67" i="11"/>
  <c r="P67" i="11"/>
  <c r="O68" i="11"/>
  <c r="P68" i="11"/>
  <c r="O69" i="11"/>
  <c r="P69" i="11"/>
  <c r="O70" i="11"/>
  <c r="P70" i="11"/>
  <c r="O71" i="11"/>
  <c r="P71" i="11"/>
  <c r="O72" i="11"/>
  <c r="P72" i="11"/>
  <c r="O73" i="11"/>
  <c r="P73" i="11"/>
  <c r="O74" i="11"/>
  <c r="P74" i="11"/>
  <c r="O75" i="11"/>
  <c r="P75" i="11"/>
  <c r="O76" i="11"/>
  <c r="P76" i="11"/>
  <c r="O77" i="11"/>
  <c r="P77" i="11"/>
  <c r="O78" i="11"/>
  <c r="P78" i="11"/>
  <c r="O79" i="11"/>
  <c r="P79" i="11"/>
  <c r="O80" i="11"/>
  <c r="P80" i="11"/>
  <c r="O81" i="11"/>
  <c r="P81" i="11"/>
  <c r="O82" i="11"/>
  <c r="P82" i="11"/>
  <c r="O83" i="11"/>
  <c r="P83" i="11"/>
  <c r="O84" i="11"/>
  <c r="P84" i="11"/>
  <c r="O85" i="11"/>
  <c r="P85" i="11"/>
  <c r="O86" i="11"/>
  <c r="P86" i="11"/>
  <c r="O87" i="11"/>
  <c r="P87" i="11"/>
  <c r="O88" i="11"/>
  <c r="P88" i="11"/>
  <c r="O89" i="11"/>
  <c r="P89" i="11"/>
  <c r="O90" i="11"/>
  <c r="P90" i="11"/>
  <c r="O91" i="11"/>
  <c r="P91" i="11"/>
  <c r="O92" i="11"/>
  <c r="P92" i="11"/>
  <c r="O93" i="11"/>
  <c r="P93" i="11"/>
  <c r="O94" i="11"/>
  <c r="P94" i="11"/>
  <c r="O95" i="11"/>
  <c r="P95" i="11"/>
  <c r="O96" i="11"/>
  <c r="P96" i="11"/>
  <c r="O97" i="11"/>
  <c r="P97" i="11"/>
  <c r="O98" i="11"/>
  <c r="P98" i="11"/>
  <c r="O99" i="11"/>
  <c r="P99" i="11"/>
  <c r="O100" i="11"/>
  <c r="P100" i="11"/>
  <c r="O101" i="11"/>
  <c r="P101" i="11"/>
  <c r="O102" i="11"/>
  <c r="P102" i="11"/>
  <c r="O103" i="11"/>
  <c r="P103" i="11"/>
  <c r="O104" i="11"/>
  <c r="P104" i="11"/>
  <c r="O105" i="11"/>
  <c r="P105" i="11"/>
  <c r="O106" i="11"/>
  <c r="P106" i="11"/>
  <c r="O107" i="11"/>
  <c r="P107" i="11"/>
  <c r="O108" i="11"/>
  <c r="P108" i="11"/>
  <c r="O109" i="11"/>
  <c r="P109" i="11"/>
  <c r="O110" i="11"/>
  <c r="P110" i="11"/>
  <c r="O111" i="11"/>
  <c r="P111" i="11"/>
  <c r="O112" i="11"/>
  <c r="P112" i="11"/>
  <c r="O113" i="11"/>
  <c r="P113" i="11"/>
  <c r="O114" i="11"/>
  <c r="P114" i="11"/>
  <c r="O115" i="11"/>
  <c r="P115" i="11"/>
  <c r="O116" i="11"/>
  <c r="P116" i="11"/>
  <c r="O117" i="11"/>
  <c r="P117" i="11"/>
  <c r="O118" i="11"/>
  <c r="P118" i="11"/>
  <c r="O119" i="11"/>
  <c r="P119" i="11"/>
  <c r="O120" i="11"/>
  <c r="P120" i="11"/>
  <c r="O121" i="11"/>
  <c r="P121" i="11"/>
  <c r="O122" i="11"/>
  <c r="P122" i="11"/>
  <c r="O123" i="11"/>
  <c r="P123" i="11"/>
  <c r="O124" i="11"/>
  <c r="P124" i="11"/>
  <c r="O125" i="11"/>
  <c r="P125" i="11"/>
  <c r="O126" i="11"/>
  <c r="P126" i="11"/>
  <c r="O127" i="11"/>
  <c r="P127" i="11"/>
  <c r="O128" i="11"/>
  <c r="P128" i="11"/>
  <c r="O129" i="11"/>
  <c r="P129" i="11"/>
  <c r="O130" i="11"/>
  <c r="P130" i="11"/>
  <c r="O131" i="11"/>
  <c r="P131" i="11"/>
  <c r="O132" i="11"/>
  <c r="P132" i="11"/>
  <c r="O133" i="11"/>
  <c r="P133" i="11"/>
  <c r="O134" i="11"/>
  <c r="P134" i="11"/>
  <c r="O135" i="11"/>
  <c r="P135" i="11"/>
  <c r="O136" i="11"/>
  <c r="P136" i="11"/>
  <c r="O137" i="11"/>
  <c r="P137" i="11"/>
  <c r="O138" i="11"/>
  <c r="P138" i="11"/>
  <c r="O139" i="11"/>
  <c r="P139" i="11"/>
  <c r="O140" i="11"/>
  <c r="P140" i="11"/>
  <c r="O141" i="11"/>
  <c r="P141" i="11"/>
  <c r="O142" i="11"/>
  <c r="P142" i="11"/>
  <c r="O143" i="11"/>
  <c r="P143" i="11"/>
  <c r="O144" i="11"/>
  <c r="P144" i="11"/>
  <c r="O145" i="11"/>
  <c r="P145" i="11"/>
  <c r="O146" i="11"/>
  <c r="P146" i="11"/>
  <c r="O147" i="11"/>
  <c r="P147" i="11"/>
  <c r="O148" i="11"/>
  <c r="P148" i="11"/>
  <c r="O149" i="11"/>
  <c r="P149" i="11"/>
  <c r="O150" i="11"/>
  <c r="P150" i="11"/>
  <c r="O151" i="11"/>
  <c r="P151" i="11"/>
  <c r="O152" i="11"/>
  <c r="P152" i="11"/>
  <c r="O153" i="11"/>
  <c r="P153" i="11"/>
  <c r="O154" i="11"/>
  <c r="P154" i="11"/>
  <c r="O155" i="11"/>
  <c r="P155" i="11"/>
  <c r="O156" i="11"/>
  <c r="P156" i="11"/>
  <c r="O157" i="11"/>
  <c r="P157" i="11"/>
  <c r="O158" i="11"/>
  <c r="P158" i="11"/>
  <c r="O159" i="11"/>
  <c r="P159" i="11"/>
  <c r="O160" i="11"/>
  <c r="P160" i="11"/>
  <c r="O161" i="11"/>
  <c r="P161" i="11"/>
  <c r="O162" i="11"/>
  <c r="P162" i="11"/>
  <c r="O163" i="11"/>
  <c r="P163" i="11"/>
  <c r="O164" i="11"/>
  <c r="P164" i="11"/>
  <c r="O165" i="11"/>
  <c r="P165" i="11"/>
  <c r="O166" i="11"/>
  <c r="P166" i="11"/>
  <c r="O167" i="11"/>
  <c r="P167" i="11"/>
  <c r="O168" i="11"/>
  <c r="P168" i="11"/>
  <c r="O169" i="11"/>
  <c r="P169" i="11"/>
  <c r="O170" i="11"/>
  <c r="P170" i="11"/>
  <c r="O171" i="11"/>
  <c r="P171" i="11"/>
  <c r="O172" i="11"/>
  <c r="P172" i="11"/>
  <c r="O173" i="11"/>
  <c r="P173" i="11"/>
  <c r="O174" i="11"/>
  <c r="P174" i="11"/>
  <c r="O175" i="11"/>
  <c r="P175" i="11"/>
  <c r="O176" i="11"/>
  <c r="P176" i="11"/>
  <c r="O177" i="11"/>
  <c r="P177" i="11"/>
  <c r="O178" i="11"/>
  <c r="P178" i="11"/>
  <c r="O179" i="11"/>
  <c r="P179" i="11"/>
  <c r="O180" i="11"/>
  <c r="P180" i="11"/>
  <c r="O181" i="11"/>
  <c r="P181" i="11"/>
  <c r="O182" i="11"/>
  <c r="P182" i="11"/>
  <c r="O183" i="11"/>
  <c r="P183" i="11"/>
  <c r="O184" i="11"/>
  <c r="P184" i="11"/>
  <c r="O185" i="11"/>
  <c r="P185" i="11"/>
  <c r="O186" i="11"/>
  <c r="P186" i="11"/>
  <c r="O187" i="11"/>
  <c r="P187" i="11"/>
  <c r="O188" i="11"/>
  <c r="P188" i="11"/>
  <c r="O189" i="11"/>
  <c r="P189" i="11"/>
  <c r="O190" i="11"/>
  <c r="P190" i="11"/>
  <c r="O191" i="11"/>
  <c r="P191" i="11"/>
  <c r="O192" i="11"/>
  <c r="P192" i="11"/>
  <c r="O193" i="11"/>
  <c r="P193" i="11"/>
  <c r="O194" i="11"/>
  <c r="P194" i="11"/>
  <c r="O195" i="11"/>
  <c r="P195" i="11"/>
  <c r="O196" i="11"/>
  <c r="P196" i="11"/>
  <c r="O197" i="11"/>
  <c r="P197" i="11"/>
  <c r="O198" i="11"/>
  <c r="P198" i="11"/>
  <c r="O199" i="11"/>
  <c r="P199" i="11"/>
  <c r="O200" i="11"/>
  <c r="P200" i="11"/>
  <c r="O201" i="11"/>
  <c r="P201" i="11"/>
  <c r="O202" i="11"/>
  <c r="P202" i="11"/>
  <c r="O203" i="11"/>
  <c r="P203" i="11"/>
  <c r="O204" i="11"/>
  <c r="P204" i="11"/>
  <c r="O205" i="11"/>
  <c r="P205" i="11"/>
  <c r="P2" i="11"/>
  <c r="O2" i="11"/>
  <c r="AI2" i="11"/>
  <c r="B3" i="11"/>
  <c r="C3" i="11"/>
  <c r="E3" i="11"/>
  <c r="F3" i="11"/>
  <c r="B4" i="11"/>
  <c r="C4" i="11"/>
  <c r="E4" i="11"/>
  <c r="F4" i="11"/>
  <c r="B5" i="11"/>
  <c r="C5" i="11"/>
  <c r="E5" i="11"/>
  <c r="F5" i="11"/>
  <c r="B6" i="11"/>
  <c r="C6" i="11"/>
  <c r="E6" i="11"/>
  <c r="F6" i="11"/>
  <c r="B7" i="11"/>
  <c r="C7" i="11"/>
  <c r="E7" i="11"/>
  <c r="F7" i="11"/>
  <c r="B8" i="11"/>
  <c r="C8" i="11"/>
  <c r="E8" i="11"/>
  <c r="F8" i="11"/>
  <c r="B9" i="11"/>
  <c r="C9" i="11"/>
  <c r="E9" i="11"/>
  <c r="F9" i="11"/>
  <c r="B10" i="11"/>
  <c r="C10" i="11"/>
  <c r="E10" i="11"/>
  <c r="F10" i="11"/>
  <c r="B11" i="11"/>
  <c r="C11" i="11"/>
  <c r="E11" i="11"/>
  <c r="F11" i="11"/>
  <c r="B12" i="11"/>
  <c r="C12" i="11"/>
  <c r="E12" i="11"/>
  <c r="F12" i="11"/>
  <c r="B13" i="11"/>
  <c r="C13" i="11"/>
  <c r="E13" i="11"/>
  <c r="F13" i="11"/>
  <c r="B14" i="11"/>
  <c r="C14" i="11"/>
  <c r="E14" i="11"/>
  <c r="F14" i="11"/>
  <c r="B15" i="11"/>
  <c r="C15" i="11"/>
  <c r="E15" i="11"/>
  <c r="F15" i="11"/>
  <c r="B16" i="11"/>
  <c r="C16" i="11"/>
  <c r="E16" i="11"/>
  <c r="F16" i="11"/>
  <c r="B17" i="11"/>
  <c r="C17" i="11"/>
  <c r="E17" i="11"/>
  <c r="F17" i="11"/>
  <c r="B18" i="11"/>
  <c r="C18" i="11"/>
  <c r="E18" i="11"/>
  <c r="F18" i="11"/>
  <c r="B19" i="11"/>
  <c r="C19" i="11"/>
  <c r="E19" i="11"/>
  <c r="F19" i="11"/>
  <c r="B20" i="11"/>
  <c r="C20" i="11"/>
  <c r="E20" i="11"/>
  <c r="F20" i="11"/>
  <c r="B21" i="11"/>
  <c r="C21" i="11"/>
  <c r="E21" i="11"/>
  <c r="F21" i="11"/>
  <c r="B22" i="11"/>
  <c r="C22" i="11"/>
  <c r="E22" i="11"/>
  <c r="F22" i="11"/>
  <c r="B23" i="11"/>
  <c r="C23" i="11"/>
  <c r="E23" i="11"/>
  <c r="F23" i="11"/>
  <c r="B24" i="11"/>
  <c r="C24" i="11"/>
  <c r="E24" i="11"/>
  <c r="F24" i="11"/>
  <c r="B25" i="11"/>
  <c r="C25" i="11"/>
  <c r="E25" i="11"/>
  <c r="F25" i="11"/>
  <c r="B26" i="11"/>
  <c r="C26" i="11"/>
  <c r="E26" i="11"/>
  <c r="F26" i="11"/>
  <c r="B27" i="11"/>
  <c r="C27" i="11"/>
  <c r="E27" i="11"/>
  <c r="F27" i="11"/>
  <c r="B28" i="11"/>
  <c r="C28" i="11"/>
  <c r="E28" i="11"/>
  <c r="F28" i="11"/>
  <c r="B29" i="11"/>
  <c r="C29" i="11"/>
  <c r="E29" i="11"/>
  <c r="F29" i="11"/>
  <c r="B30" i="11"/>
  <c r="C30" i="11"/>
  <c r="E30" i="11"/>
  <c r="F30" i="11"/>
  <c r="B31" i="11"/>
  <c r="C31" i="11"/>
  <c r="E31" i="11"/>
  <c r="F31" i="11"/>
  <c r="B32" i="11"/>
  <c r="C32" i="11"/>
  <c r="E32" i="11"/>
  <c r="F32" i="11"/>
  <c r="B33" i="11"/>
  <c r="C33" i="11"/>
  <c r="E33" i="11"/>
  <c r="F33" i="11"/>
  <c r="B34" i="11"/>
  <c r="C34" i="11"/>
  <c r="E34" i="11"/>
  <c r="F34" i="11"/>
  <c r="B35" i="11"/>
  <c r="C35" i="11"/>
  <c r="E35" i="11"/>
  <c r="F35" i="11"/>
  <c r="B36" i="11"/>
  <c r="C36" i="11"/>
  <c r="E36" i="11"/>
  <c r="F36" i="11"/>
  <c r="B37" i="11"/>
  <c r="C37" i="11"/>
  <c r="E37" i="11"/>
  <c r="F37" i="11"/>
  <c r="B38" i="11"/>
  <c r="C38" i="11"/>
  <c r="E38" i="11"/>
  <c r="F38" i="11"/>
  <c r="B39" i="11"/>
  <c r="C39" i="11"/>
  <c r="E39" i="11"/>
  <c r="F39" i="11"/>
  <c r="B40" i="11"/>
  <c r="C40" i="11"/>
  <c r="E40" i="11"/>
  <c r="F40" i="11"/>
  <c r="B41" i="11"/>
  <c r="C41" i="11"/>
  <c r="E41" i="11"/>
  <c r="F41" i="11"/>
  <c r="B42" i="11"/>
  <c r="C42" i="11"/>
  <c r="E42" i="11"/>
  <c r="F42" i="11"/>
  <c r="B43" i="11"/>
  <c r="C43" i="11"/>
  <c r="E43" i="11"/>
  <c r="F43" i="11"/>
  <c r="B44" i="11"/>
  <c r="C44" i="11"/>
  <c r="E44" i="11"/>
  <c r="F44" i="11"/>
  <c r="B45" i="11"/>
  <c r="C45" i="11"/>
  <c r="E45" i="11"/>
  <c r="F45" i="11"/>
  <c r="B46" i="11"/>
  <c r="C46" i="11"/>
  <c r="E46" i="11"/>
  <c r="F46" i="11"/>
  <c r="B47" i="11"/>
  <c r="C47" i="11"/>
  <c r="E47" i="11"/>
  <c r="F47" i="11"/>
  <c r="B48" i="11"/>
  <c r="C48" i="11"/>
  <c r="E48" i="11"/>
  <c r="F48" i="11"/>
  <c r="B49" i="11"/>
  <c r="C49" i="11"/>
  <c r="E49" i="11"/>
  <c r="F49" i="11"/>
  <c r="B50" i="11"/>
  <c r="C50" i="11"/>
  <c r="E50" i="11"/>
  <c r="F50" i="11"/>
  <c r="B51" i="11"/>
  <c r="C51" i="11"/>
  <c r="E51" i="11"/>
  <c r="F51" i="11"/>
  <c r="B52" i="11"/>
  <c r="C52" i="11"/>
  <c r="E52" i="11"/>
  <c r="F52" i="11"/>
  <c r="B53" i="11"/>
  <c r="C53" i="11"/>
  <c r="E53" i="11"/>
  <c r="F53" i="11"/>
  <c r="B54" i="11"/>
  <c r="C54" i="11"/>
  <c r="E54" i="11"/>
  <c r="F54" i="11"/>
  <c r="B55" i="11"/>
  <c r="C55" i="11"/>
  <c r="E55" i="11"/>
  <c r="F55" i="11"/>
  <c r="B56" i="11"/>
  <c r="C56" i="11"/>
  <c r="E56" i="11"/>
  <c r="F56" i="11"/>
  <c r="B57" i="11"/>
  <c r="C57" i="11"/>
  <c r="E57" i="11"/>
  <c r="F57" i="11"/>
  <c r="B58" i="11"/>
  <c r="C58" i="11"/>
  <c r="E58" i="11"/>
  <c r="F58" i="11"/>
  <c r="B59" i="11"/>
  <c r="C59" i="11"/>
  <c r="E59" i="11"/>
  <c r="F59" i="11"/>
  <c r="B60" i="11"/>
  <c r="C60" i="11"/>
  <c r="E60" i="11"/>
  <c r="F60" i="11"/>
  <c r="B61" i="11"/>
  <c r="C61" i="11"/>
  <c r="E61" i="11"/>
  <c r="F61" i="11"/>
  <c r="B63" i="11"/>
  <c r="C63" i="11"/>
  <c r="E63" i="11"/>
  <c r="F63" i="11"/>
  <c r="B64" i="11"/>
  <c r="C64" i="11"/>
  <c r="E64" i="11"/>
  <c r="F64" i="11"/>
  <c r="B65" i="11"/>
  <c r="C65" i="11"/>
  <c r="E65" i="11"/>
  <c r="F65" i="11"/>
  <c r="B66" i="11"/>
  <c r="C66" i="11"/>
  <c r="E66" i="11"/>
  <c r="F66" i="11"/>
  <c r="B67" i="11"/>
  <c r="C67" i="11"/>
  <c r="E67" i="11"/>
  <c r="F67" i="11"/>
  <c r="B68" i="11"/>
  <c r="C68" i="11"/>
  <c r="E68" i="11"/>
  <c r="F68" i="11"/>
  <c r="B69" i="11"/>
  <c r="C69" i="11"/>
  <c r="E69" i="11"/>
  <c r="F69" i="11"/>
  <c r="B70" i="11"/>
  <c r="C70" i="11"/>
  <c r="E70" i="11"/>
  <c r="F70" i="11"/>
  <c r="B71" i="11"/>
  <c r="C71" i="11"/>
  <c r="E71" i="11"/>
  <c r="F71" i="11"/>
  <c r="B72" i="11"/>
  <c r="C72" i="11"/>
  <c r="E72" i="11"/>
  <c r="F72" i="11"/>
  <c r="B73" i="11"/>
  <c r="C73" i="11"/>
  <c r="E73" i="11"/>
  <c r="F73" i="11"/>
  <c r="B74" i="11"/>
  <c r="C74" i="11"/>
  <c r="E74" i="11"/>
  <c r="F74" i="11"/>
  <c r="B75" i="11"/>
  <c r="C75" i="11"/>
  <c r="E75" i="11"/>
  <c r="F75" i="11"/>
  <c r="B76" i="11"/>
  <c r="C76" i="11"/>
  <c r="E76" i="11"/>
  <c r="F76" i="11"/>
  <c r="B77" i="11"/>
  <c r="C77" i="11"/>
  <c r="E77" i="11"/>
  <c r="F77" i="11"/>
  <c r="B78" i="11"/>
  <c r="C78" i="11"/>
  <c r="E78" i="11"/>
  <c r="F78" i="11"/>
  <c r="B79" i="11"/>
  <c r="C79" i="11"/>
  <c r="E79" i="11"/>
  <c r="F79" i="11"/>
  <c r="B80" i="11"/>
  <c r="C80" i="11"/>
  <c r="E80" i="11"/>
  <c r="F80" i="11"/>
  <c r="B81" i="11"/>
  <c r="C81" i="11"/>
  <c r="E81" i="11"/>
  <c r="F81" i="11"/>
  <c r="B82" i="11"/>
  <c r="C82" i="11"/>
  <c r="E82" i="11"/>
  <c r="F82" i="11"/>
  <c r="B83" i="11"/>
  <c r="C83" i="11"/>
  <c r="E83" i="11"/>
  <c r="F83" i="11"/>
  <c r="B84" i="11"/>
  <c r="C84" i="11"/>
  <c r="E84" i="11"/>
  <c r="F84" i="11"/>
  <c r="B85" i="11"/>
  <c r="C85" i="11"/>
  <c r="E85" i="11"/>
  <c r="F85" i="11"/>
  <c r="B86" i="11"/>
  <c r="C86" i="11"/>
  <c r="E86" i="11"/>
  <c r="F86" i="11"/>
  <c r="B87" i="11"/>
  <c r="C87" i="11"/>
  <c r="E87" i="11"/>
  <c r="F87" i="11"/>
  <c r="B88" i="11"/>
  <c r="C88" i="11"/>
  <c r="E88" i="11"/>
  <c r="F88" i="11"/>
  <c r="B89" i="11"/>
  <c r="C89" i="11"/>
  <c r="E89" i="11"/>
  <c r="F89" i="11"/>
  <c r="B90" i="11"/>
  <c r="C90" i="11"/>
  <c r="E90" i="11"/>
  <c r="F90" i="11"/>
  <c r="B91" i="11"/>
  <c r="C91" i="11"/>
  <c r="E91" i="11"/>
  <c r="F91" i="11"/>
  <c r="B92" i="11"/>
  <c r="C92" i="11"/>
  <c r="E92" i="11"/>
  <c r="F92" i="11"/>
  <c r="B93" i="11"/>
  <c r="C93" i="11"/>
  <c r="E93" i="11"/>
  <c r="F93" i="11"/>
  <c r="B94" i="11"/>
  <c r="C94" i="11"/>
  <c r="E94" i="11"/>
  <c r="F94" i="11"/>
  <c r="B95" i="11"/>
  <c r="C95" i="11"/>
  <c r="E95" i="11"/>
  <c r="F95" i="11"/>
  <c r="B96" i="11"/>
  <c r="C96" i="11"/>
  <c r="E96" i="11"/>
  <c r="F96" i="11"/>
  <c r="B97" i="11"/>
  <c r="C97" i="11"/>
  <c r="E97" i="11"/>
  <c r="F97" i="11"/>
  <c r="B98" i="11"/>
  <c r="C98" i="11"/>
  <c r="E98" i="11"/>
  <c r="F98" i="11"/>
  <c r="B99" i="11"/>
  <c r="C99" i="11"/>
  <c r="E99" i="11"/>
  <c r="F99" i="11"/>
  <c r="B100" i="11"/>
  <c r="C100" i="11"/>
  <c r="E100" i="11"/>
  <c r="F100" i="11"/>
  <c r="B101" i="11"/>
  <c r="C101" i="11"/>
  <c r="E101" i="11"/>
  <c r="F101" i="11"/>
  <c r="B102" i="11"/>
  <c r="C102" i="11"/>
  <c r="E102" i="11"/>
  <c r="F102" i="11"/>
  <c r="B103" i="11"/>
  <c r="C103" i="11"/>
  <c r="E103" i="11"/>
  <c r="F103" i="11"/>
  <c r="B104" i="11"/>
  <c r="C104" i="11"/>
  <c r="E104" i="11"/>
  <c r="F104" i="11"/>
  <c r="B105" i="11"/>
  <c r="C105" i="11"/>
  <c r="E105" i="11"/>
  <c r="F105" i="11"/>
  <c r="B106" i="11"/>
  <c r="C106" i="11"/>
  <c r="E106" i="11"/>
  <c r="F106" i="11"/>
  <c r="B107" i="11"/>
  <c r="C107" i="11"/>
  <c r="E107" i="11"/>
  <c r="F107" i="11"/>
  <c r="B108" i="11"/>
  <c r="C108" i="11"/>
  <c r="E108" i="11"/>
  <c r="F108" i="11"/>
  <c r="B109" i="11"/>
  <c r="C109" i="11"/>
  <c r="E109" i="11"/>
  <c r="F109" i="11"/>
  <c r="B110" i="11"/>
  <c r="C110" i="11"/>
  <c r="E110" i="11"/>
  <c r="F110" i="11"/>
  <c r="B111" i="11"/>
  <c r="C111" i="11"/>
  <c r="E111" i="11"/>
  <c r="F111" i="11"/>
  <c r="B112" i="11"/>
  <c r="C112" i="11"/>
  <c r="E112" i="11"/>
  <c r="F112" i="11"/>
  <c r="B113" i="11"/>
  <c r="C113" i="11"/>
  <c r="E113" i="11"/>
  <c r="F113" i="11"/>
  <c r="B114" i="11"/>
  <c r="C114" i="11"/>
  <c r="E114" i="11"/>
  <c r="F114" i="11"/>
  <c r="B115" i="11"/>
  <c r="C115" i="11"/>
  <c r="E115" i="11"/>
  <c r="F115" i="11"/>
  <c r="B116" i="11"/>
  <c r="C116" i="11"/>
  <c r="E116" i="11"/>
  <c r="F116" i="11"/>
  <c r="B117" i="11"/>
  <c r="C117" i="11"/>
  <c r="E117" i="11"/>
  <c r="F117" i="11"/>
  <c r="B118" i="11"/>
  <c r="C118" i="11"/>
  <c r="E118" i="11"/>
  <c r="F118" i="11"/>
  <c r="B119" i="11"/>
  <c r="C119" i="11"/>
  <c r="E119" i="11"/>
  <c r="F119" i="11"/>
  <c r="B120" i="11"/>
  <c r="C120" i="11"/>
  <c r="E120" i="11"/>
  <c r="F120" i="11"/>
  <c r="B121" i="11"/>
  <c r="C121" i="11"/>
  <c r="E121" i="11"/>
  <c r="F121" i="11"/>
  <c r="B122" i="11"/>
  <c r="C122" i="11"/>
  <c r="E122" i="11"/>
  <c r="F122" i="11"/>
  <c r="B123" i="11"/>
  <c r="C123" i="11"/>
  <c r="E123" i="11"/>
  <c r="F123" i="11"/>
  <c r="B124" i="11"/>
  <c r="C124" i="11"/>
  <c r="E124" i="11"/>
  <c r="F124" i="11"/>
  <c r="B125" i="11"/>
  <c r="C125" i="11"/>
  <c r="E125" i="11"/>
  <c r="F125" i="11"/>
  <c r="B126" i="11"/>
  <c r="C126" i="11"/>
  <c r="E126" i="11"/>
  <c r="F126" i="11"/>
  <c r="B127" i="11"/>
  <c r="C127" i="11"/>
  <c r="E127" i="11"/>
  <c r="F127" i="11"/>
  <c r="B128" i="11"/>
  <c r="C128" i="11"/>
  <c r="E128" i="11"/>
  <c r="F128" i="11"/>
  <c r="B129" i="11"/>
  <c r="C129" i="11"/>
  <c r="E129" i="11"/>
  <c r="F129" i="11"/>
  <c r="B130" i="11"/>
  <c r="C130" i="11"/>
  <c r="E130" i="11"/>
  <c r="F130" i="11"/>
  <c r="B131" i="11"/>
  <c r="C131" i="11"/>
  <c r="E131" i="11"/>
  <c r="F131" i="11"/>
  <c r="B132" i="11"/>
  <c r="C132" i="11"/>
  <c r="E132" i="11"/>
  <c r="F132" i="11"/>
  <c r="B133" i="11"/>
  <c r="C133" i="11"/>
  <c r="E133" i="11"/>
  <c r="F133" i="11"/>
  <c r="B134" i="11"/>
  <c r="C134" i="11"/>
  <c r="E134" i="11"/>
  <c r="F134" i="11"/>
  <c r="B135" i="11"/>
  <c r="C135" i="11"/>
  <c r="E135" i="11"/>
  <c r="F135" i="11"/>
  <c r="B136" i="11"/>
  <c r="C136" i="11"/>
  <c r="E136" i="11"/>
  <c r="F136" i="11"/>
  <c r="B137" i="11"/>
  <c r="C137" i="11"/>
  <c r="E137" i="11"/>
  <c r="F137" i="11"/>
  <c r="B138" i="11"/>
  <c r="C138" i="11"/>
  <c r="E138" i="11"/>
  <c r="F138" i="11"/>
  <c r="B139" i="11"/>
  <c r="C139" i="11"/>
  <c r="E139" i="11"/>
  <c r="F139" i="11"/>
  <c r="B140" i="11"/>
  <c r="C140" i="11"/>
  <c r="E140" i="11"/>
  <c r="F140" i="11"/>
  <c r="B141" i="11"/>
  <c r="C141" i="11"/>
  <c r="E141" i="11"/>
  <c r="F141" i="11"/>
  <c r="B142" i="11"/>
  <c r="C142" i="11"/>
  <c r="E142" i="11"/>
  <c r="F142" i="11"/>
  <c r="B143" i="11"/>
  <c r="C143" i="11"/>
  <c r="E143" i="11"/>
  <c r="F143" i="11"/>
  <c r="B144" i="11"/>
  <c r="C144" i="11"/>
  <c r="E144" i="11"/>
  <c r="F144" i="11"/>
  <c r="B145" i="11"/>
  <c r="C145" i="11"/>
  <c r="E145" i="11"/>
  <c r="F145" i="11"/>
  <c r="B146" i="11"/>
  <c r="C146" i="11"/>
  <c r="E146" i="11"/>
  <c r="F146" i="11"/>
  <c r="B147" i="11"/>
  <c r="C147" i="11"/>
  <c r="E147" i="11"/>
  <c r="F147" i="11"/>
  <c r="B148" i="11"/>
  <c r="C148" i="11"/>
  <c r="E148" i="11"/>
  <c r="F148" i="11"/>
  <c r="B149" i="11"/>
  <c r="C149" i="11"/>
  <c r="E149" i="11"/>
  <c r="F149" i="11"/>
  <c r="B150" i="11"/>
  <c r="C150" i="11"/>
  <c r="E150" i="11"/>
  <c r="F150" i="11"/>
  <c r="B151" i="11"/>
  <c r="C151" i="11"/>
  <c r="E151" i="11"/>
  <c r="F151" i="11"/>
  <c r="B152" i="11"/>
  <c r="C152" i="11"/>
  <c r="E152" i="11"/>
  <c r="F152" i="11"/>
  <c r="B153" i="11"/>
  <c r="C153" i="11"/>
  <c r="E153" i="11"/>
  <c r="F153" i="11"/>
  <c r="B154" i="11"/>
  <c r="C154" i="11"/>
  <c r="E154" i="11"/>
  <c r="F154" i="11"/>
  <c r="B155" i="11"/>
  <c r="C155" i="11"/>
  <c r="E155" i="11"/>
  <c r="F155" i="11"/>
  <c r="B156" i="11"/>
  <c r="C156" i="11"/>
  <c r="E156" i="11"/>
  <c r="F156" i="11"/>
  <c r="B157" i="11"/>
  <c r="C157" i="11"/>
  <c r="E157" i="11"/>
  <c r="F157" i="11"/>
  <c r="B158" i="11"/>
  <c r="C158" i="11"/>
  <c r="E158" i="11"/>
  <c r="F158" i="11"/>
  <c r="B159" i="11"/>
  <c r="C159" i="11"/>
  <c r="E159" i="11"/>
  <c r="F159" i="11"/>
  <c r="B160" i="11"/>
  <c r="C160" i="11"/>
  <c r="E160" i="11"/>
  <c r="F160" i="11"/>
  <c r="B161" i="11"/>
  <c r="C161" i="11"/>
  <c r="E161" i="11"/>
  <c r="F161" i="11"/>
  <c r="B162" i="11"/>
  <c r="C162" i="11"/>
  <c r="E162" i="11"/>
  <c r="F162" i="11"/>
  <c r="B163" i="11"/>
  <c r="C163" i="11"/>
  <c r="E163" i="11"/>
  <c r="F163" i="11"/>
  <c r="B164" i="11"/>
  <c r="C164" i="11"/>
  <c r="E164" i="11"/>
  <c r="F164" i="11"/>
  <c r="B165" i="11"/>
  <c r="C165" i="11"/>
  <c r="E165" i="11"/>
  <c r="F165" i="11"/>
  <c r="B166" i="11"/>
  <c r="C166" i="11"/>
  <c r="E166" i="11"/>
  <c r="F166" i="11"/>
  <c r="B167" i="11"/>
  <c r="C167" i="11"/>
  <c r="E167" i="11"/>
  <c r="F167" i="11"/>
  <c r="B168" i="11"/>
  <c r="C168" i="11"/>
  <c r="E168" i="11"/>
  <c r="F168" i="11"/>
  <c r="B169" i="11"/>
  <c r="C169" i="11"/>
  <c r="E169" i="11"/>
  <c r="F169" i="11"/>
  <c r="B170" i="11"/>
  <c r="C170" i="11"/>
  <c r="E170" i="11"/>
  <c r="F170" i="11"/>
  <c r="B171" i="11"/>
  <c r="C171" i="11"/>
  <c r="E171" i="11"/>
  <c r="F171" i="11"/>
  <c r="B172" i="11"/>
  <c r="C172" i="11"/>
  <c r="E172" i="11"/>
  <c r="F172" i="11"/>
  <c r="B173" i="11"/>
  <c r="C173" i="11"/>
  <c r="E173" i="11"/>
  <c r="F173" i="11"/>
  <c r="B174" i="11"/>
  <c r="C174" i="11"/>
  <c r="E174" i="11"/>
  <c r="F174" i="11"/>
  <c r="B175" i="11"/>
  <c r="C175" i="11"/>
  <c r="E175" i="11"/>
  <c r="F175" i="11"/>
  <c r="B176" i="11"/>
  <c r="C176" i="11"/>
  <c r="E176" i="11"/>
  <c r="F176" i="11"/>
  <c r="B177" i="11"/>
  <c r="C177" i="11"/>
  <c r="E177" i="11"/>
  <c r="F177" i="11"/>
  <c r="B178" i="11"/>
  <c r="C178" i="11"/>
  <c r="E178" i="11"/>
  <c r="F178" i="11"/>
  <c r="B179" i="11"/>
  <c r="C179" i="11"/>
  <c r="E179" i="11"/>
  <c r="F179" i="11"/>
  <c r="B180" i="11"/>
  <c r="C180" i="11"/>
  <c r="E180" i="11"/>
  <c r="F180" i="11"/>
  <c r="B181" i="11"/>
  <c r="C181" i="11"/>
  <c r="E181" i="11"/>
  <c r="F181" i="11"/>
  <c r="B182" i="11"/>
  <c r="C182" i="11"/>
  <c r="E182" i="11"/>
  <c r="F182" i="11"/>
  <c r="B183" i="11"/>
  <c r="C183" i="11"/>
  <c r="E183" i="11"/>
  <c r="F183" i="11"/>
  <c r="B184" i="11"/>
  <c r="C184" i="11"/>
  <c r="E184" i="11"/>
  <c r="F184" i="11"/>
  <c r="B185" i="11"/>
  <c r="C185" i="11"/>
  <c r="E185" i="11"/>
  <c r="F185" i="11"/>
  <c r="B186" i="11"/>
  <c r="C186" i="11"/>
  <c r="E186" i="11"/>
  <c r="F186" i="11"/>
  <c r="B187" i="11"/>
  <c r="C187" i="11"/>
  <c r="E187" i="11"/>
  <c r="F187" i="11"/>
  <c r="B188" i="11"/>
  <c r="C188" i="11"/>
  <c r="E188" i="11"/>
  <c r="F188" i="11"/>
  <c r="B189" i="11"/>
  <c r="C189" i="11"/>
  <c r="E189" i="11"/>
  <c r="F189" i="11"/>
  <c r="B190" i="11"/>
  <c r="C190" i="11"/>
  <c r="E190" i="11"/>
  <c r="F190" i="11"/>
  <c r="B191" i="11"/>
  <c r="C191" i="11"/>
  <c r="E191" i="11"/>
  <c r="F191" i="11"/>
  <c r="F2" i="11"/>
  <c r="E2" i="11"/>
  <c r="C2" i="11"/>
  <c r="B2" i="11"/>
  <c r="A2" i="11"/>
  <c r="A188" i="11"/>
  <c r="A189" i="11"/>
  <c r="A190" i="11"/>
  <c r="A191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5343" i="9"/>
  <c r="A5344" i="9"/>
  <c r="A5345" i="9"/>
  <c r="A5346" i="9"/>
  <c r="A5347" i="9"/>
  <c r="A5348" i="9"/>
  <c r="A138" i="11"/>
  <c r="A5349" i="9"/>
  <c r="A139" i="11"/>
  <c r="A5350" i="9"/>
  <c r="A140" i="11"/>
  <c r="A5351" i="9"/>
  <c r="A141" i="11"/>
  <c r="A5352" i="9"/>
  <c r="A142" i="11"/>
  <c r="A5353" i="9"/>
  <c r="A143" i="11"/>
  <c r="A5354" i="9"/>
  <c r="A144" i="11"/>
  <c r="A5355" i="9"/>
  <c r="A145" i="11"/>
  <c r="A5356" i="9"/>
  <c r="A146" i="11"/>
  <c r="A5357" i="9"/>
  <c r="A147" i="11"/>
  <c r="A5358" i="9"/>
  <c r="A148" i="11"/>
  <c r="A5359" i="9"/>
  <c r="A149" i="11"/>
  <c r="A150" i="11"/>
  <c r="A151" i="11"/>
  <c r="A152" i="11"/>
  <c r="A153" i="11"/>
  <c r="A154" i="11"/>
  <c r="A120" i="11"/>
  <c r="A121" i="11"/>
  <c r="A122" i="11"/>
  <c r="A123" i="11"/>
  <c r="A124" i="11"/>
  <c r="A125" i="11"/>
  <c r="A126" i="11"/>
  <c r="A5337" i="9"/>
  <c r="A127" i="11"/>
  <c r="A128" i="11"/>
  <c r="A5339" i="9"/>
  <c r="A129" i="11"/>
  <c r="A5340" i="9"/>
  <c r="A130" i="11"/>
  <c r="A131" i="11"/>
  <c r="A132" i="11"/>
  <c r="A133" i="11"/>
  <c r="A134" i="11"/>
  <c r="A135" i="11"/>
  <c r="A136" i="11"/>
  <c r="A137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55" i="11"/>
  <c r="A67" i="11"/>
  <c r="A68" i="11"/>
  <c r="A69" i="11"/>
  <c r="A70" i="11"/>
  <c r="A71" i="11"/>
  <c r="A72" i="11"/>
  <c r="A7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17" i="11"/>
  <c r="A18" i="11"/>
  <c r="A19" i="11"/>
  <c r="A3" i="11"/>
  <c r="A4" i="11"/>
  <c r="A5" i="11"/>
  <c r="A6" i="11"/>
  <c r="A7" i="11"/>
  <c r="A8" i="11"/>
  <c r="A9" i="11"/>
  <c r="A10" i="11"/>
  <c r="A11" i="11"/>
  <c r="A12" i="11"/>
  <c r="A13" i="11"/>
  <c r="A14" i="11"/>
  <c r="A15" i="11"/>
  <c r="A16" i="11"/>
  <c r="K4930" i="9"/>
  <c r="N4930" i="9"/>
  <c r="O4930" i="9"/>
  <c r="K4931" i="9"/>
  <c r="N4931" i="9"/>
  <c r="O4931" i="9"/>
  <c r="K4932" i="9"/>
  <c r="N4932" i="9"/>
  <c r="O4932" i="9"/>
  <c r="I4933" i="9"/>
  <c r="J4933" i="9"/>
  <c r="K4933" i="9"/>
  <c r="N4933" i="9"/>
  <c r="O4933" i="9"/>
  <c r="I4934" i="9"/>
  <c r="J4934" i="9"/>
  <c r="K4934" i="9"/>
  <c r="N4934" i="9"/>
  <c r="O4934" i="9"/>
  <c r="I4935" i="9"/>
  <c r="J4935" i="9"/>
  <c r="K4935" i="9"/>
  <c r="N4935" i="9"/>
  <c r="O4935" i="9"/>
  <c r="I4936" i="9"/>
  <c r="J4936" i="9"/>
  <c r="K4936" i="9"/>
  <c r="N4936" i="9"/>
  <c r="O4936" i="9"/>
  <c r="I4937" i="9"/>
  <c r="J4937" i="9"/>
  <c r="K4937" i="9"/>
  <c r="N4937" i="9"/>
  <c r="O4937" i="9"/>
  <c r="I4938" i="9"/>
  <c r="J4938" i="9"/>
  <c r="K4938" i="9"/>
  <c r="N4938" i="9"/>
  <c r="O4938" i="9"/>
  <c r="I4939" i="9"/>
  <c r="J4939" i="9"/>
  <c r="K4939" i="9"/>
  <c r="N4939" i="9"/>
  <c r="O4939" i="9"/>
  <c r="I4940" i="9"/>
  <c r="J4940" i="9"/>
  <c r="K4940" i="9"/>
  <c r="N4940" i="9"/>
  <c r="O4940" i="9"/>
  <c r="I4941" i="9"/>
  <c r="J4941" i="9"/>
  <c r="K4941" i="9"/>
  <c r="N4941" i="9"/>
  <c r="O4941" i="9"/>
  <c r="I4942" i="9"/>
  <c r="J4942" i="9"/>
  <c r="K4942" i="9"/>
  <c r="N4942" i="9"/>
  <c r="O4942" i="9"/>
  <c r="I4943" i="9"/>
  <c r="J4943" i="9"/>
  <c r="K4943" i="9"/>
  <c r="N4943" i="9"/>
  <c r="O4943" i="9"/>
  <c r="I4944" i="9"/>
  <c r="J4944" i="9"/>
  <c r="K4944" i="9"/>
  <c r="N4944" i="9"/>
  <c r="O4944" i="9"/>
  <c r="I4945" i="9"/>
  <c r="J4945" i="9"/>
  <c r="K4945" i="9"/>
  <c r="N4945" i="9"/>
  <c r="O4945" i="9"/>
  <c r="I4946" i="9"/>
  <c r="J4946" i="9"/>
  <c r="K4946" i="9"/>
  <c r="N4946" i="9"/>
  <c r="O4946" i="9"/>
  <c r="I4947" i="9"/>
  <c r="J4947" i="9"/>
  <c r="K4947" i="9"/>
  <c r="N4947" i="9"/>
  <c r="O4947" i="9"/>
  <c r="I4948" i="9"/>
  <c r="J4948" i="9"/>
  <c r="K4948" i="9"/>
  <c r="N4948" i="9"/>
  <c r="O4948" i="9"/>
  <c r="I4949" i="9"/>
  <c r="J4949" i="9"/>
  <c r="K4949" i="9"/>
  <c r="N4949" i="9"/>
  <c r="O4949" i="9"/>
  <c r="K4950" i="9"/>
  <c r="N4950" i="9"/>
  <c r="O4950" i="9"/>
  <c r="I4951" i="9"/>
  <c r="J4951" i="9"/>
  <c r="K4951" i="9"/>
  <c r="N4951" i="9"/>
  <c r="O4951" i="9"/>
  <c r="I4952" i="9"/>
  <c r="J4952" i="9"/>
  <c r="K4952" i="9"/>
  <c r="N4952" i="9"/>
  <c r="O4952" i="9"/>
  <c r="I4953" i="9"/>
  <c r="J4953" i="9"/>
  <c r="K4953" i="9"/>
  <c r="N4953" i="9"/>
  <c r="O4953" i="9"/>
  <c r="I4954" i="9"/>
  <c r="K4954" i="9"/>
  <c r="N4954" i="9"/>
  <c r="O4954" i="9"/>
  <c r="I4955" i="9"/>
  <c r="K4955" i="9"/>
  <c r="N4955" i="9"/>
  <c r="O4955" i="9"/>
  <c r="I4956" i="9"/>
  <c r="K4956" i="9"/>
  <c r="N4956" i="9"/>
  <c r="O4956" i="9"/>
  <c r="I4957" i="9"/>
  <c r="K4957" i="9"/>
  <c r="N4957" i="9"/>
  <c r="O4957" i="9"/>
  <c r="I4958" i="9"/>
  <c r="K4958" i="9"/>
  <c r="N4958" i="9"/>
  <c r="O4958" i="9"/>
  <c r="I4959" i="9"/>
  <c r="K4959" i="9"/>
  <c r="N4959" i="9"/>
  <c r="O4959" i="9"/>
  <c r="I4960" i="9"/>
  <c r="K4960" i="9"/>
  <c r="N4960" i="9"/>
  <c r="O4960" i="9"/>
  <c r="I4961" i="9"/>
  <c r="K4961" i="9"/>
  <c r="N4961" i="9"/>
  <c r="O4961" i="9"/>
  <c r="I4962" i="9"/>
  <c r="K4962" i="9"/>
  <c r="N4962" i="9"/>
  <c r="O4962" i="9"/>
  <c r="I4963" i="9"/>
  <c r="K4963" i="9"/>
  <c r="N4963" i="9"/>
  <c r="O4963" i="9"/>
  <c r="I4964" i="9"/>
  <c r="K4964" i="9"/>
  <c r="N4964" i="9"/>
  <c r="O4964" i="9"/>
  <c r="I4965" i="9"/>
  <c r="K4965" i="9"/>
  <c r="N4965" i="9"/>
  <c r="O4965" i="9"/>
  <c r="J4966" i="9"/>
  <c r="K4966" i="9"/>
  <c r="N4966" i="9"/>
  <c r="O4966" i="9"/>
  <c r="J4967" i="9"/>
  <c r="K4967" i="9"/>
  <c r="N4967" i="9"/>
  <c r="O4967" i="9"/>
  <c r="J4968" i="9"/>
  <c r="K4968" i="9"/>
  <c r="N4968" i="9"/>
  <c r="O4968" i="9"/>
  <c r="I4969" i="9"/>
  <c r="K4969" i="9"/>
  <c r="N4969" i="9"/>
  <c r="O4969" i="9"/>
  <c r="I4970" i="9"/>
  <c r="J4970" i="9"/>
  <c r="K4970" i="9"/>
  <c r="N4970" i="9"/>
  <c r="O4970" i="9"/>
  <c r="I4971" i="9"/>
  <c r="K4971" i="9"/>
  <c r="N4971" i="9"/>
  <c r="O4971" i="9"/>
  <c r="J4972" i="9"/>
  <c r="K4972" i="9"/>
  <c r="N4972" i="9"/>
  <c r="O4972" i="9"/>
  <c r="K4973" i="9"/>
  <c r="N4973" i="9"/>
  <c r="O4973" i="9"/>
  <c r="N4974" i="9"/>
  <c r="O4974" i="9"/>
  <c r="N4975" i="9"/>
  <c r="O4975" i="9"/>
  <c r="N4976" i="9"/>
  <c r="O4976" i="9"/>
  <c r="N4977" i="9"/>
  <c r="O4977" i="9"/>
  <c r="N4978" i="9"/>
  <c r="O4978" i="9"/>
  <c r="N4979" i="9"/>
  <c r="O4979" i="9"/>
  <c r="J4980" i="9"/>
  <c r="K4980" i="9"/>
  <c r="N4980" i="9"/>
  <c r="O4980" i="9"/>
  <c r="J4981" i="9"/>
  <c r="K4981" i="9"/>
  <c r="N4981" i="9"/>
  <c r="O4981" i="9"/>
  <c r="J4982" i="9"/>
  <c r="K4982" i="9"/>
  <c r="N4982" i="9"/>
  <c r="O4982" i="9"/>
  <c r="J4983" i="9"/>
  <c r="K4983" i="9"/>
  <c r="N4983" i="9"/>
  <c r="O4983" i="9"/>
  <c r="I4984" i="9"/>
  <c r="J4984" i="9"/>
  <c r="K4984" i="9"/>
  <c r="N4984" i="9"/>
  <c r="O4984" i="9"/>
  <c r="I4985" i="9"/>
  <c r="J4985" i="9"/>
  <c r="K4985" i="9"/>
  <c r="N4985" i="9"/>
  <c r="O4985" i="9"/>
  <c r="I4986" i="9"/>
  <c r="J4986" i="9"/>
  <c r="K4986" i="9"/>
  <c r="N4986" i="9"/>
  <c r="O4986" i="9"/>
  <c r="I4987" i="9"/>
  <c r="J4987" i="9"/>
  <c r="K4987" i="9"/>
  <c r="N4987" i="9"/>
  <c r="O4987" i="9"/>
  <c r="I4988" i="9"/>
  <c r="J4988" i="9"/>
  <c r="K4988" i="9"/>
  <c r="N4988" i="9"/>
  <c r="O4988" i="9"/>
  <c r="I4989" i="9"/>
  <c r="J4989" i="9"/>
  <c r="K4989" i="9"/>
  <c r="N4989" i="9"/>
  <c r="O4989" i="9"/>
  <c r="I4990" i="9"/>
  <c r="J4990" i="9"/>
  <c r="K4990" i="9"/>
  <c r="N4990" i="9"/>
  <c r="O4990" i="9"/>
  <c r="I4991" i="9"/>
  <c r="K4991" i="9"/>
  <c r="N4991" i="9"/>
  <c r="O4991" i="9"/>
  <c r="I4992" i="9"/>
  <c r="K4992" i="9"/>
  <c r="N4992" i="9"/>
  <c r="O4992" i="9"/>
  <c r="J4993" i="9"/>
  <c r="K4993" i="9"/>
  <c r="N4993" i="9"/>
  <c r="O4993" i="9"/>
  <c r="N4994" i="9"/>
  <c r="O4994" i="9"/>
  <c r="N4995" i="9"/>
  <c r="O4995" i="9"/>
  <c r="M4996" i="9"/>
  <c r="N4996" i="9"/>
  <c r="O4996" i="9"/>
  <c r="N4997" i="9"/>
  <c r="O4997" i="9"/>
  <c r="N4998" i="9"/>
  <c r="O4998" i="9"/>
  <c r="N4999" i="9"/>
  <c r="O4999" i="9"/>
  <c r="O5000" i="9"/>
  <c r="N5001" i="9"/>
  <c r="O5001" i="9"/>
  <c r="K5002" i="9"/>
  <c r="N5002" i="9"/>
  <c r="O5002" i="9"/>
  <c r="N5003" i="9"/>
  <c r="O5003" i="9"/>
  <c r="J5004" i="9"/>
  <c r="K5004" i="9"/>
  <c r="N5004" i="9"/>
  <c r="O5004" i="9"/>
  <c r="I5005" i="9"/>
  <c r="K5005" i="9"/>
  <c r="N5005" i="9"/>
  <c r="O5005" i="9"/>
  <c r="J5006" i="9"/>
  <c r="K5006" i="9"/>
  <c r="N5006" i="9"/>
  <c r="O5006" i="9"/>
  <c r="J5007" i="9"/>
  <c r="K5007" i="9"/>
  <c r="N5007" i="9"/>
  <c r="O5007" i="9"/>
  <c r="I5008" i="9"/>
  <c r="J5008" i="9"/>
  <c r="K5008" i="9"/>
  <c r="N5008" i="9"/>
  <c r="O5008" i="9"/>
  <c r="I5009" i="9"/>
  <c r="J5009" i="9"/>
  <c r="K5009" i="9"/>
  <c r="N5009" i="9"/>
  <c r="O5009" i="9"/>
  <c r="I5010" i="9"/>
  <c r="J5010" i="9"/>
  <c r="K5010" i="9"/>
  <c r="N5010" i="9"/>
  <c r="O5010" i="9"/>
  <c r="I5011" i="9"/>
  <c r="J5011" i="9"/>
  <c r="K5011" i="9"/>
  <c r="N5011" i="9"/>
  <c r="O5011" i="9"/>
  <c r="I5012" i="9"/>
  <c r="K5012" i="9"/>
  <c r="N5012" i="9"/>
  <c r="O5012" i="9"/>
  <c r="I5013" i="9"/>
  <c r="K5013" i="9"/>
  <c r="N5013" i="9"/>
  <c r="O5013" i="9"/>
  <c r="I5014" i="9"/>
  <c r="K5014" i="9"/>
  <c r="N5014" i="9"/>
  <c r="O5014" i="9"/>
  <c r="I5015" i="9"/>
  <c r="K5015" i="9"/>
  <c r="N5015" i="9"/>
  <c r="O5015" i="9"/>
  <c r="I5016" i="9"/>
  <c r="K5016" i="9"/>
  <c r="N5016" i="9"/>
  <c r="O5016" i="9"/>
  <c r="I5017" i="9"/>
  <c r="K5017" i="9"/>
  <c r="N5017" i="9"/>
  <c r="O5017" i="9"/>
  <c r="I5018" i="9"/>
  <c r="K5018" i="9"/>
  <c r="N5018" i="9"/>
  <c r="O5018" i="9"/>
  <c r="I5019" i="9"/>
  <c r="K5019" i="9"/>
  <c r="N5019" i="9"/>
  <c r="O5019" i="9"/>
  <c r="I5020" i="9"/>
  <c r="K5020" i="9"/>
  <c r="N5020" i="9"/>
  <c r="O5020" i="9"/>
  <c r="N5021" i="9"/>
  <c r="O5021" i="9"/>
  <c r="I5022" i="9"/>
  <c r="K5022" i="9"/>
  <c r="N5022" i="9"/>
  <c r="O5022" i="9"/>
  <c r="I5023" i="9"/>
  <c r="K5023" i="9"/>
  <c r="N5023" i="9"/>
  <c r="O5023" i="9"/>
  <c r="I5024" i="9"/>
  <c r="J5024" i="9"/>
  <c r="K5024" i="9"/>
  <c r="N5024" i="9"/>
  <c r="O5024" i="9"/>
  <c r="J5025" i="9"/>
  <c r="K5025" i="9"/>
  <c r="N5025" i="9"/>
  <c r="O5025" i="9"/>
  <c r="J5026" i="9"/>
  <c r="K5026" i="9"/>
  <c r="N5026" i="9"/>
  <c r="O5026" i="9"/>
  <c r="N5027" i="9"/>
  <c r="O5027" i="9"/>
  <c r="K5028" i="9"/>
  <c r="N5028" i="9"/>
  <c r="O5028" i="9"/>
  <c r="N5029" i="9"/>
  <c r="O5029" i="9"/>
  <c r="N5030" i="9"/>
  <c r="O5030" i="9"/>
  <c r="I5031" i="9"/>
  <c r="J5031" i="9"/>
  <c r="K5031" i="9"/>
  <c r="N5031" i="9"/>
  <c r="O5031" i="9"/>
  <c r="I5032" i="9"/>
  <c r="K5032" i="9"/>
  <c r="N5032" i="9"/>
  <c r="O5032" i="9"/>
  <c r="J5033" i="9"/>
  <c r="K5033" i="9"/>
  <c r="N5033" i="9"/>
  <c r="O5033" i="9"/>
  <c r="J5034" i="9"/>
  <c r="K5034" i="9"/>
  <c r="N5034" i="9"/>
  <c r="O5034" i="9"/>
  <c r="J5035" i="9"/>
  <c r="K5035" i="9"/>
  <c r="N5035" i="9"/>
  <c r="O5035" i="9"/>
  <c r="K5036" i="9"/>
  <c r="N5036" i="9"/>
  <c r="O5036" i="9"/>
  <c r="J5037" i="9"/>
  <c r="K5037" i="9"/>
  <c r="N5037" i="9"/>
  <c r="O5037" i="9"/>
  <c r="J5038" i="9"/>
  <c r="K5038" i="9"/>
  <c r="N5038" i="9"/>
  <c r="O5038" i="9"/>
  <c r="N5039" i="9"/>
  <c r="O5039" i="9"/>
  <c r="N5040" i="9"/>
  <c r="O5040" i="9"/>
  <c r="K5041" i="9"/>
  <c r="N5041" i="9"/>
  <c r="O5041" i="9"/>
  <c r="N5042" i="9"/>
  <c r="O5042" i="9"/>
  <c r="N5043" i="9"/>
  <c r="O5043" i="9"/>
  <c r="N5044" i="9"/>
  <c r="O5044" i="9"/>
  <c r="J5045" i="9"/>
  <c r="K5045" i="9"/>
  <c r="N5045" i="9"/>
  <c r="O5045" i="9"/>
  <c r="N5046" i="9"/>
  <c r="O5046" i="9"/>
  <c r="J5047" i="9"/>
  <c r="K5047" i="9"/>
  <c r="N5047" i="9"/>
  <c r="O5047" i="9"/>
  <c r="K5048" i="9"/>
  <c r="N5048" i="9"/>
  <c r="O5048" i="9"/>
  <c r="J5049" i="9"/>
  <c r="K5049" i="9"/>
  <c r="N5049" i="9"/>
  <c r="O5049" i="9"/>
  <c r="J5050" i="9"/>
  <c r="K5050" i="9"/>
  <c r="N5050" i="9"/>
  <c r="O5050" i="9"/>
  <c r="N5051" i="9"/>
  <c r="O5051" i="9"/>
  <c r="N5052" i="9"/>
  <c r="O5052" i="9"/>
  <c r="I5053" i="9"/>
  <c r="J5053" i="9"/>
  <c r="K5053" i="9"/>
  <c r="N5053" i="9"/>
  <c r="O5053" i="9"/>
  <c r="I5054" i="9"/>
  <c r="J5054" i="9"/>
  <c r="K5054" i="9"/>
  <c r="N5054" i="9"/>
  <c r="O5054" i="9"/>
  <c r="I5055" i="9"/>
  <c r="J5055" i="9"/>
  <c r="K5055" i="9"/>
  <c r="N5055" i="9"/>
  <c r="O5055" i="9"/>
  <c r="I5056" i="9"/>
  <c r="J5056" i="9"/>
  <c r="K5056" i="9"/>
  <c r="N5056" i="9"/>
  <c r="O5056" i="9"/>
  <c r="I5057" i="9"/>
  <c r="J5057" i="9"/>
  <c r="K5057" i="9"/>
  <c r="N5057" i="9"/>
  <c r="O5057" i="9"/>
  <c r="J5058" i="9"/>
  <c r="K5058" i="9"/>
  <c r="N5058" i="9"/>
  <c r="O5058" i="9"/>
  <c r="J5059" i="9"/>
  <c r="K5059" i="9"/>
  <c r="N5059" i="9"/>
  <c r="O5059" i="9"/>
  <c r="N5060" i="9"/>
  <c r="O5060" i="9"/>
  <c r="J5061" i="9"/>
  <c r="K5061" i="9"/>
  <c r="N5061" i="9"/>
  <c r="O5061" i="9"/>
  <c r="J5062" i="9"/>
  <c r="K5062" i="9"/>
  <c r="N5062" i="9"/>
  <c r="O5062" i="9"/>
  <c r="K5063" i="9"/>
  <c r="N5063" i="9"/>
  <c r="O5063" i="9"/>
  <c r="I5064" i="9"/>
  <c r="K5064" i="9"/>
  <c r="N5064" i="9"/>
  <c r="O5064" i="9"/>
  <c r="I5065" i="9"/>
  <c r="K5065" i="9"/>
  <c r="N5065" i="9"/>
  <c r="O5065" i="9"/>
  <c r="I5066" i="9"/>
  <c r="K5066" i="9"/>
  <c r="N5066" i="9"/>
  <c r="O5066" i="9"/>
  <c r="I5067" i="9"/>
  <c r="K5067" i="9"/>
  <c r="N5067" i="9"/>
  <c r="O5067" i="9"/>
  <c r="I5068" i="9"/>
  <c r="K5068" i="9"/>
  <c r="N5068" i="9"/>
  <c r="O5068" i="9"/>
  <c r="I5069" i="9"/>
  <c r="K5069" i="9"/>
  <c r="N5069" i="9"/>
  <c r="O5069" i="9"/>
  <c r="I5070" i="9"/>
  <c r="K5070" i="9"/>
  <c r="N5070" i="9"/>
  <c r="O5070" i="9"/>
  <c r="I5071" i="9"/>
  <c r="K5071" i="9"/>
  <c r="N5071" i="9"/>
  <c r="O5071" i="9"/>
  <c r="I5072" i="9"/>
  <c r="K5072" i="9"/>
  <c r="N5072" i="9"/>
  <c r="O5072" i="9"/>
  <c r="I5073" i="9"/>
  <c r="K5073" i="9"/>
  <c r="N5073" i="9"/>
  <c r="O5073" i="9"/>
  <c r="I5074" i="9"/>
  <c r="J5074" i="9"/>
  <c r="K5074" i="9"/>
  <c r="N5074" i="9"/>
  <c r="O5074" i="9"/>
  <c r="J5075" i="9"/>
  <c r="K5075" i="9"/>
  <c r="N5075" i="9"/>
  <c r="O5075" i="9"/>
  <c r="I5076" i="9"/>
  <c r="J5076" i="9"/>
  <c r="K5076" i="9"/>
  <c r="N5076" i="9"/>
  <c r="O5076" i="9"/>
  <c r="K5077" i="9"/>
  <c r="N5077" i="9"/>
  <c r="O5077" i="9"/>
  <c r="I5078" i="9"/>
  <c r="J5078" i="9"/>
  <c r="K5078" i="9"/>
  <c r="N5078" i="9"/>
  <c r="O5078" i="9"/>
  <c r="I5079" i="9"/>
  <c r="J5079" i="9"/>
  <c r="K5079" i="9"/>
  <c r="N5079" i="9"/>
  <c r="O5079" i="9"/>
  <c r="I5080" i="9"/>
  <c r="J5080" i="9"/>
  <c r="K5080" i="9"/>
  <c r="N5080" i="9"/>
  <c r="O5080" i="9"/>
  <c r="I5081" i="9"/>
  <c r="J5081" i="9"/>
  <c r="K5081" i="9"/>
  <c r="N5081" i="9"/>
  <c r="O5081" i="9"/>
  <c r="I5082" i="9"/>
  <c r="J5082" i="9"/>
  <c r="K5082" i="9"/>
  <c r="N5082" i="9"/>
  <c r="O5082" i="9"/>
  <c r="I5083" i="9"/>
  <c r="J5083" i="9"/>
  <c r="K5083" i="9"/>
  <c r="N5083" i="9"/>
  <c r="O5083" i="9"/>
  <c r="I5084" i="9"/>
  <c r="J5084" i="9"/>
  <c r="K5084" i="9"/>
  <c r="N5084" i="9"/>
  <c r="O5084" i="9"/>
  <c r="J5085" i="9"/>
  <c r="K5085" i="9"/>
  <c r="N5085" i="9"/>
  <c r="O5085" i="9"/>
  <c r="I5086" i="9"/>
  <c r="K5086" i="9"/>
  <c r="N5086" i="9"/>
  <c r="O5086" i="9"/>
  <c r="I5087" i="9"/>
  <c r="K5087" i="9"/>
  <c r="N5087" i="9"/>
  <c r="O5087" i="9"/>
  <c r="I5088" i="9"/>
  <c r="K5088" i="9"/>
  <c r="N5088" i="9"/>
  <c r="O5088" i="9"/>
  <c r="I5089" i="9"/>
  <c r="K5089" i="9"/>
  <c r="N5089" i="9"/>
  <c r="O5089" i="9"/>
  <c r="J5090" i="9"/>
  <c r="K5090" i="9"/>
  <c r="N5090" i="9"/>
  <c r="O5090" i="9"/>
  <c r="J5091" i="9"/>
  <c r="K5091" i="9"/>
  <c r="N5091" i="9"/>
  <c r="O5091" i="9"/>
  <c r="I5092" i="9"/>
  <c r="K5092" i="9"/>
  <c r="N5092" i="9"/>
  <c r="O5092" i="9"/>
  <c r="I5093" i="9"/>
  <c r="J5093" i="9"/>
  <c r="K5093" i="9"/>
  <c r="N5093" i="9"/>
  <c r="O5093" i="9"/>
  <c r="I5094" i="9"/>
  <c r="J5094" i="9"/>
  <c r="K5094" i="9"/>
  <c r="N5094" i="9"/>
  <c r="O5094" i="9"/>
  <c r="I5095" i="9"/>
  <c r="K5095" i="9"/>
  <c r="N5095" i="9"/>
  <c r="O5095" i="9"/>
  <c r="I5096" i="9"/>
  <c r="J5096" i="9"/>
  <c r="K5096" i="9"/>
  <c r="N5096" i="9"/>
  <c r="O5096" i="9"/>
  <c r="I5097" i="9"/>
  <c r="J5097" i="9"/>
  <c r="K5097" i="9"/>
  <c r="N5097" i="9"/>
  <c r="O5097" i="9"/>
  <c r="I5098" i="9"/>
  <c r="J5098" i="9"/>
  <c r="K5098" i="9"/>
  <c r="N5098" i="9"/>
  <c r="O5098" i="9"/>
  <c r="J5099" i="9"/>
  <c r="K5099" i="9"/>
  <c r="N5099" i="9"/>
  <c r="O5099" i="9"/>
  <c r="N5100" i="9"/>
  <c r="O5100" i="9"/>
  <c r="I5101" i="9"/>
  <c r="J5101" i="9"/>
  <c r="K5101" i="9"/>
  <c r="N5101" i="9"/>
  <c r="O5101" i="9"/>
  <c r="K5102" i="9"/>
  <c r="N5102" i="9"/>
  <c r="O5102" i="9"/>
  <c r="N5103" i="9"/>
  <c r="O5103" i="9"/>
  <c r="J5104" i="9"/>
  <c r="K5104" i="9"/>
  <c r="N5104" i="9"/>
  <c r="O5104" i="9"/>
  <c r="K5105" i="9"/>
  <c r="N5105" i="9"/>
  <c r="O5105" i="9"/>
  <c r="N5106" i="9"/>
  <c r="O5106" i="9"/>
  <c r="K5107" i="9"/>
  <c r="N5107" i="9"/>
  <c r="O5107" i="9"/>
  <c r="N5108" i="9"/>
  <c r="O5108" i="9"/>
  <c r="N5109" i="9"/>
  <c r="O5109" i="9"/>
  <c r="I5110" i="9"/>
  <c r="J5110" i="9"/>
  <c r="K5110" i="9"/>
  <c r="N5110" i="9"/>
  <c r="O5110" i="9"/>
  <c r="I5111" i="9"/>
  <c r="J5111" i="9"/>
  <c r="K5111" i="9"/>
  <c r="N5111" i="9"/>
  <c r="O5111" i="9"/>
  <c r="I5112" i="9"/>
  <c r="J5112" i="9"/>
  <c r="K5112" i="9"/>
  <c r="N5112" i="9"/>
  <c r="O5112" i="9"/>
  <c r="I5113" i="9"/>
  <c r="J5113" i="9"/>
  <c r="K5113" i="9"/>
  <c r="N5113" i="9"/>
  <c r="O5113" i="9"/>
  <c r="I5114" i="9"/>
  <c r="J5114" i="9"/>
  <c r="K5114" i="9"/>
  <c r="N5114" i="9"/>
  <c r="O5114" i="9"/>
  <c r="N5115" i="9"/>
  <c r="O5115" i="9"/>
  <c r="I5116" i="9"/>
  <c r="J5116" i="9"/>
  <c r="K5116" i="9"/>
  <c r="N5116" i="9"/>
  <c r="O5116" i="9"/>
  <c r="I5117" i="9"/>
  <c r="J5117" i="9"/>
  <c r="K5117" i="9"/>
  <c r="N5117" i="9"/>
  <c r="O5117" i="9"/>
  <c r="I5118" i="9"/>
  <c r="J5118" i="9"/>
  <c r="K5118" i="9"/>
  <c r="N5118" i="9"/>
  <c r="O5118" i="9"/>
  <c r="I5119" i="9"/>
  <c r="J5119" i="9"/>
  <c r="K5119" i="9"/>
  <c r="N5119" i="9"/>
  <c r="O5119" i="9"/>
  <c r="I5120" i="9"/>
  <c r="J5120" i="9"/>
  <c r="K5120" i="9"/>
  <c r="N5120" i="9"/>
  <c r="O5120" i="9"/>
  <c r="I5121" i="9"/>
  <c r="J5121" i="9"/>
  <c r="K5121" i="9"/>
  <c r="N5121" i="9"/>
  <c r="O5121" i="9"/>
  <c r="I5122" i="9"/>
  <c r="J5122" i="9"/>
  <c r="K5122" i="9"/>
  <c r="N5122" i="9"/>
  <c r="O5122" i="9"/>
  <c r="I5123" i="9"/>
  <c r="J5123" i="9"/>
  <c r="K5123" i="9"/>
  <c r="N5123" i="9"/>
  <c r="O5123" i="9"/>
  <c r="I5124" i="9"/>
  <c r="K5124" i="9"/>
  <c r="N5124" i="9"/>
  <c r="O5124" i="9"/>
  <c r="I5125" i="9"/>
  <c r="K5125" i="9"/>
  <c r="N5125" i="9"/>
  <c r="O5125" i="9"/>
  <c r="I5126" i="9"/>
  <c r="K5126" i="9"/>
  <c r="N5126" i="9"/>
  <c r="O5126" i="9"/>
  <c r="I5127" i="9"/>
  <c r="K5127" i="9"/>
  <c r="N5127" i="9"/>
  <c r="O5127" i="9"/>
  <c r="I5128" i="9"/>
  <c r="K5128" i="9"/>
  <c r="N5128" i="9"/>
  <c r="O5128" i="9"/>
  <c r="I5129" i="9"/>
  <c r="K5129" i="9"/>
  <c r="N5129" i="9"/>
  <c r="O5129" i="9"/>
  <c r="I5130" i="9"/>
  <c r="K5130" i="9"/>
  <c r="N5130" i="9"/>
  <c r="O5130" i="9"/>
  <c r="I5131" i="9"/>
  <c r="K5131" i="9"/>
  <c r="N5131" i="9"/>
  <c r="O5131" i="9"/>
  <c r="I5132" i="9"/>
  <c r="K5132" i="9"/>
  <c r="N5132" i="9"/>
  <c r="O5132" i="9"/>
  <c r="I5133" i="9"/>
  <c r="K5133" i="9"/>
  <c r="N5133" i="9"/>
  <c r="O5133" i="9"/>
  <c r="I5134" i="9"/>
  <c r="K5134" i="9"/>
  <c r="N5134" i="9"/>
  <c r="O5134" i="9"/>
  <c r="I5135" i="9"/>
  <c r="K5135" i="9"/>
  <c r="N5135" i="9"/>
  <c r="O5135" i="9"/>
  <c r="I5136" i="9"/>
  <c r="K5136" i="9"/>
  <c r="N5136" i="9"/>
  <c r="O5136" i="9"/>
  <c r="I5137" i="9"/>
  <c r="K5137" i="9"/>
  <c r="N5137" i="9"/>
  <c r="O5137" i="9"/>
  <c r="I5138" i="9"/>
  <c r="K5138" i="9"/>
  <c r="N5138" i="9"/>
  <c r="O5138" i="9"/>
  <c r="I5139" i="9"/>
  <c r="K5139" i="9"/>
  <c r="N5139" i="9"/>
  <c r="O5139" i="9"/>
  <c r="I5140" i="9"/>
  <c r="K5140" i="9"/>
  <c r="N5140" i="9"/>
  <c r="O5140" i="9"/>
  <c r="I5141" i="9"/>
  <c r="K5141" i="9"/>
  <c r="N5141" i="9"/>
  <c r="O5141" i="9"/>
  <c r="I5142" i="9"/>
  <c r="K5142" i="9"/>
  <c r="N5142" i="9"/>
  <c r="O5142" i="9"/>
  <c r="I5143" i="9"/>
  <c r="K5143" i="9"/>
  <c r="N5143" i="9"/>
  <c r="O5143" i="9"/>
  <c r="I5144" i="9"/>
  <c r="J5144" i="9"/>
  <c r="K5144" i="9"/>
  <c r="N5144" i="9"/>
  <c r="O5144" i="9"/>
  <c r="M4287" i="9"/>
  <c r="M4690" i="9"/>
  <c r="M4217" i="9"/>
  <c r="M4887" i="9"/>
  <c r="M4786" i="9"/>
  <c r="M4813" i="9"/>
  <c r="M4727" i="9"/>
  <c r="M4641" i="9"/>
  <c r="M4427" i="9"/>
  <c r="M4431" i="9"/>
  <c r="M4426" i="9"/>
  <c r="M4240" i="9"/>
  <c r="M4595" i="9"/>
  <c r="M4634" i="9"/>
  <c r="M4524" i="9"/>
  <c r="J4517" i="9"/>
  <c r="K4517" i="9"/>
  <c r="K4518" i="9"/>
  <c r="N4929" i="9"/>
  <c r="J4929" i="9"/>
  <c r="K4929" i="9"/>
  <c r="I4628" i="9"/>
  <c r="K4628" i="9"/>
  <c r="N4628" i="9"/>
  <c r="O4628" i="9"/>
  <c r="I4629" i="9"/>
  <c r="K4629" i="9"/>
  <c r="N4629" i="9"/>
  <c r="O4629" i="9"/>
  <c r="I4630" i="9"/>
  <c r="K4630" i="9"/>
  <c r="N4630" i="9"/>
  <c r="O4630" i="9"/>
  <c r="K4631" i="9"/>
  <c r="N4631" i="9"/>
  <c r="O4631" i="9"/>
  <c r="N4632" i="9"/>
  <c r="O4632" i="9"/>
  <c r="N4633" i="9"/>
  <c r="O4633" i="9"/>
  <c r="N4634" i="9"/>
  <c r="O4634" i="9"/>
  <c r="N4635" i="9"/>
  <c r="O4635" i="9"/>
  <c r="I4636" i="9"/>
  <c r="J4636" i="9"/>
  <c r="K4636" i="9"/>
  <c r="N4636" i="9"/>
  <c r="O4636" i="9"/>
  <c r="I4637" i="9"/>
  <c r="J4637" i="9"/>
  <c r="K4637" i="9"/>
  <c r="N4637" i="9"/>
  <c r="O4637" i="9"/>
  <c r="I4638" i="9"/>
  <c r="J4638" i="9"/>
  <c r="K4638" i="9"/>
  <c r="N4638" i="9"/>
  <c r="O4638" i="9"/>
  <c r="I4639" i="9"/>
  <c r="J4639" i="9"/>
  <c r="K4639" i="9"/>
  <c r="N4639" i="9"/>
  <c r="O4639" i="9"/>
  <c r="I4640" i="9"/>
  <c r="J4640" i="9"/>
  <c r="K4640" i="9"/>
  <c r="N4640" i="9"/>
  <c r="O4640" i="9"/>
  <c r="I4641" i="9"/>
  <c r="J4641" i="9"/>
  <c r="K4641" i="9"/>
  <c r="N4641" i="9"/>
  <c r="O4641" i="9"/>
  <c r="I4642" i="9"/>
  <c r="J4642" i="9"/>
  <c r="K4642" i="9"/>
  <c r="N4642" i="9"/>
  <c r="O4642" i="9"/>
  <c r="I4643" i="9"/>
  <c r="J4643" i="9"/>
  <c r="K4643" i="9"/>
  <c r="N4643" i="9"/>
  <c r="O4643" i="9"/>
  <c r="I4644" i="9"/>
  <c r="J4644" i="9"/>
  <c r="K4644" i="9"/>
  <c r="N4644" i="9"/>
  <c r="O4644" i="9"/>
  <c r="I4645" i="9"/>
  <c r="J4645" i="9"/>
  <c r="K4645" i="9"/>
  <c r="N4645" i="9"/>
  <c r="O4645" i="9"/>
  <c r="I4646" i="9"/>
  <c r="J4646" i="9"/>
  <c r="K4646" i="9"/>
  <c r="N4646" i="9"/>
  <c r="O4646" i="9"/>
  <c r="I4647" i="9"/>
  <c r="J4647" i="9"/>
  <c r="K4647" i="9"/>
  <c r="N4647" i="9"/>
  <c r="O4647" i="9"/>
  <c r="I4648" i="9"/>
  <c r="J4648" i="9"/>
  <c r="K4648" i="9"/>
  <c r="N4648" i="9"/>
  <c r="O4648" i="9"/>
  <c r="I4649" i="9"/>
  <c r="J4649" i="9"/>
  <c r="K4649" i="9"/>
  <c r="N4649" i="9"/>
  <c r="O4649" i="9"/>
  <c r="I4650" i="9"/>
  <c r="J4650" i="9"/>
  <c r="K4650" i="9"/>
  <c r="N4650" i="9"/>
  <c r="O4650" i="9"/>
  <c r="I4651" i="9"/>
  <c r="J4651" i="9"/>
  <c r="K4651" i="9"/>
  <c r="N4651" i="9"/>
  <c r="O4651" i="9"/>
  <c r="I4652" i="9"/>
  <c r="K4652" i="9"/>
  <c r="N4652" i="9"/>
  <c r="O4652" i="9"/>
  <c r="I4653" i="9"/>
  <c r="K4653" i="9"/>
  <c r="N4653" i="9"/>
  <c r="O4653" i="9"/>
  <c r="N4654" i="9"/>
  <c r="I4654" i="9"/>
  <c r="K4654" i="9"/>
  <c r="O4654" i="9"/>
  <c r="N4655" i="9"/>
  <c r="H4655" i="9"/>
  <c r="K4655" i="9"/>
  <c r="O4655" i="9"/>
  <c r="J4656" i="9"/>
  <c r="K4656" i="9"/>
  <c r="N4656" i="9"/>
  <c r="O4656" i="9"/>
  <c r="J4657" i="9"/>
  <c r="K4657" i="9"/>
  <c r="N4657" i="9"/>
  <c r="O4657" i="9"/>
  <c r="J4658" i="9"/>
  <c r="K4658" i="9"/>
  <c r="N4658" i="9"/>
  <c r="O4658" i="9"/>
  <c r="J4659" i="9"/>
  <c r="K4659" i="9"/>
  <c r="N4659" i="9"/>
  <c r="O4659" i="9"/>
  <c r="K4660" i="9"/>
  <c r="N4660" i="9"/>
  <c r="O4660" i="9"/>
  <c r="N4661" i="9"/>
  <c r="O4661" i="9"/>
  <c r="N4662" i="9"/>
  <c r="O4662" i="9"/>
  <c r="I4663" i="9"/>
  <c r="K4663" i="9"/>
  <c r="N4663" i="9"/>
  <c r="O4663" i="9"/>
  <c r="I4664" i="9"/>
  <c r="K4664" i="9"/>
  <c r="N4664" i="9"/>
  <c r="O4664" i="9"/>
  <c r="I4665" i="9"/>
  <c r="K4665" i="9"/>
  <c r="N4665" i="9"/>
  <c r="O4665" i="9"/>
  <c r="I4666" i="9"/>
  <c r="K4666" i="9"/>
  <c r="N4666" i="9"/>
  <c r="O4666" i="9"/>
  <c r="I4667" i="9"/>
  <c r="K4667" i="9"/>
  <c r="N4667" i="9"/>
  <c r="O4667" i="9"/>
  <c r="I4668" i="9"/>
  <c r="K4668" i="9"/>
  <c r="N4668" i="9"/>
  <c r="O4668" i="9"/>
  <c r="K4669" i="9"/>
  <c r="N4669" i="9"/>
  <c r="O4669" i="9"/>
  <c r="K4670" i="9"/>
  <c r="N4670" i="9"/>
  <c r="O4670" i="9"/>
  <c r="N4671" i="9"/>
  <c r="K4671" i="9"/>
  <c r="O4671" i="9"/>
  <c r="I4672" i="9"/>
  <c r="J4672" i="9"/>
  <c r="K4672" i="9"/>
  <c r="N4672" i="9"/>
  <c r="O4672" i="9"/>
  <c r="I4673" i="9"/>
  <c r="J4673" i="9"/>
  <c r="K4673" i="9"/>
  <c r="N4673" i="9"/>
  <c r="O4673" i="9"/>
  <c r="I4674" i="9"/>
  <c r="J4674" i="9"/>
  <c r="K4674" i="9"/>
  <c r="N4674" i="9"/>
  <c r="O4674" i="9"/>
  <c r="N4675" i="9"/>
  <c r="O4675" i="9"/>
  <c r="I4676" i="9"/>
  <c r="J4676" i="9"/>
  <c r="K4676" i="9"/>
  <c r="N4676" i="9"/>
  <c r="O4676" i="9"/>
  <c r="I4677" i="9"/>
  <c r="J4677" i="9"/>
  <c r="K4677" i="9"/>
  <c r="N4677" i="9"/>
  <c r="O4677" i="9"/>
  <c r="I4678" i="9"/>
  <c r="J4678" i="9"/>
  <c r="K4678" i="9"/>
  <c r="N4678" i="9"/>
  <c r="O4678" i="9"/>
  <c r="I4679" i="9"/>
  <c r="K4679" i="9"/>
  <c r="N4679" i="9"/>
  <c r="O4679" i="9"/>
  <c r="J4680" i="9"/>
  <c r="K4680" i="9"/>
  <c r="N4680" i="9"/>
  <c r="O4680" i="9"/>
  <c r="J4681" i="9"/>
  <c r="K4681" i="9"/>
  <c r="N4681" i="9"/>
  <c r="O4681" i="9"/>
  <c r="J4682" i="9"/>
  <c r="K4682" i="9"/>
  <c r="N4682" i="9"/>
  <c r="O4682" i="9"/>
  <c r="N4683" i="9"/>
  <c r="O4683" i="9"/>
  <c r="N4684" i="9"/>
  <c r="O4684" i="9"/>
  <c r="N4685" i="9"/>
  <c r="O4685" i="9"/>
  <c r="J4686" i="9"/>
  <c r="K4686" i="9"/>
  <c r="N4686" i="9"/>
  <c r="O4686" i="9"/>
  <c r="J4687" i="9"/>
  <c r="K4687" i="9"/>
  <c r="N4687" i="9"/>
  <c r="O4687" i="9"/>
  <c r="J4688" i="9"/>
  <c r="K4688" i="9"/>
  <c r="N4688" i="9"/>
  <c r="O4688" i="9"/>
  <c r="J4689" i="9"/>
  <c r="K4689" i="9"/>
  <c r="N4689" i="9"/>
  <c r="O4689" i="9"/>
  <c r="N4690" i="9"/>
  <c r="J4690" i="9"/>
  <c r="K4690" i="9"/>
  <c r="O4690" i="9"/>
  <c r="J4691" i="9"/>
  <c r="K4691" i="9"/>
  <c r="N4691" i="9"/>
  <c r="O4691" i="9"/>
  <c r="J4692" i="9"/>
  <c r="K4692" i="9"/>
  <c r="N4692" i="9"/>
  <c r="O4692" i="9"/>
  <c r="J4693" i="9"/>
  <c r="K4693" i="9"/>
  <c r="N4693" i="9"/>
  <c r="O4693" i="9"/>
  <c r="N4694" i="9"/>
  <c r="J4694" i="9"/>
  <c r="K4694" i="9"/>
  <c r="O4694" i="9"/>
  <c r="I4695" i="9"/>
  <c r="J4695" i="9"/>
  <c r="K4695" i="9"/>
  <c r="N4695" i="9"/>
  <c r="O4695" i="9"/>
  <c r="N4696" i="9"/>
  <c r="I4696" i="9"/>
  <c r="J4696" i="9"/>
  <c r="K4696" i="9"/>
  <c r="O4696" i="9"/>
  <c r="N4697" i="9"/>
  <c r="I4697" i="9"/>
  <c r="J4697" i="9"/>
  <c r="K4697" i="9"/>
  <c r="O4697" i="9"/>
  <c r="I4698" i="9"/>
  <c r="J4698" i="9"/>
  <c r="K4698" i="9"/>
  <c r="N4698" i="9"/>
  <c r="O4698" i="9"/>
  <c r="I4699" i="9"/>
  <c r="J4699" i="9"/>
  <c r="K4699" i="9"/>
  <c r="N4699" i="9"/>
  <c r="O4699" i="9"/>
  <c r="I4700" i="9"/>
  <c r="J4700" i="9"/>
  <c r="K4700" i="9"/>
  <c r="N4700" i="9"/>
  <c r="O4700" i="9"/>
  <c r="N4701" i="9"/>
  <c r="I4701" i="9"/>
  <c r="J4701" i="9"/>
  <c r="K4701" i="9"/>
  <c r="O4701" i="9"/>
  <c r="I4702" i="9"/>
  <c r="J4702" i="9"/>
  <c r="K4702" i="9"/>
  <c r="N4702" i="9"/>
  <c r="O4702" i="9"/>
  <c r="N4703" i="9"/>
  <c r="I4703" i="9"/>
  <c r="J4703" i="9"/>
  <c r="K4703" i="9"/>
  <c r="O4703" i="9"/>
  <c r="N4704" i="9"/>
  <c r="O4704" i="9"/>
  <c r="I4705" i="9"/>
  <c r="K4705" i="9"/>
  <c r="N4705" i="9"/>
  <c r="O4705" i="9"/>
  <c r="I4706" i="9"/>
  <c r="K4706" i="9"/>
  <c r="N4706" i="9"/>
  <c r="O4706" i="9"/>
  <c r="J4707" i="9"/>
  <c r="K4707" i="9"/>
  <c r="N4707" i="9"/>
  <c r="O4707" i="9"/>
  <c r="J4708" i="9"/>
  <c r="K4708" i="9"/>
  <c r="N4708" i="9"/>
  <c r="O4708" i="9"/>
  <c r="I4709" i="9"/>
  <c r="K4709" i="9"/>
  <c r="N4709" i="9"/>
  <c r="O4709" i="9"/>
  <c r="I4710" i="9"/>
  <c r="K4710" i="9"/>
  <c r="N4710" i="9"/>
  <c r="O4710" i="9"/>
  <c r="I4711" i="9"/>
  <c r="K4711" i="9"/>
  <c r="N4711" i="9"/>
  <c r="O4711" i="9"/>
  <c r="N4712" i="9"/>
  <c r="I4712" i="9"/>
  <c r="K4712" i="9"/>
  <c r="O4712" i="9"/>
  <c r="I4713" i="9"/>
  <c r="K4713" i="9"/>
  <c r="N4713" i="9"/>
  <c r="O4713" i="9"/>
  <c r="I4714" i="9"/>
  <c r="K4714" i="9"/>
  <c r="N4714" i="9"/>
  <c r="O4714" i="9"/>
  <c r="I4715" i="9"/>
  <c r="J4715" i="9"/>
  <c r="K4715" i="9"/>
  <c r="N4715" i="9"/>
  <c r="O4715" i="9"/>
  <c r="N4716" i="9"/>
  <c r="O4716" i="9"/>
  <c r="J4717" i="9"/>
  <c r="K4717" i="9"/>
  <c r="N4717" i="9"/>
  <c r="O4717" i="9"/>
  <c r="J4718" i="9"/>
  <c r="K4718" i="9"/>
  <c r="N4718" i="9"/>
  <c r="O4718" i="9"/>
  <c r="J4719" i="9"/>
  <c r="K4719" i="9"/>
  <c r="N4719" i="9"/>
  <c r="O4719" i="9"/>
  <c r="K4720" i="9"/>
  <c r="N4720" i="9"/>
  <c r="O4720" i="9"/>
  <c r="I4721" i="9"/>
  <c r="K4721" i="9"/>
  <c r="N4721" i="9"/>
  <c r="O4721" i="9"/>
  <c r="I4722" i="9"/>
  <c r="J4722" i="9"/>
  <c r="K4722" i="9"/>
  <c r="N4722" i="9"/>
  <c r="O4722" i="9"/>
  <c r="I4723" i="9"/>
  <c r="J4723" i="9"/>
  <c r="K4723" i="9"/>
  <c r="N4723" i="9"/>
  <c r="O4723" i="9"/>
  <c r="I4724" i="9"/>
  <c r="J4724" i="9"/>
  <c r="K4724" i="9"/>
  <c r="N4724" i="9"/>
  <c r="O4724" i="9"/>
  <c r="N4725" i="9"/>
  <c r="I4725" i="9"/>
  <c r="J4725" i="9"/>
  <c r="K4725" i="9"/>
  <c r="O4725" i="9"/>
  <c r="I4726" i="9"/>
  <c r="J4726" i="9"/>
  <c r="K4726" i="9"/>
  <c r="N4726" i="9"/>
  <c r="O4726" i="9"/>
  <c r="I4727" i="9"/>
  <c r="J4727" i="9"/>
  <c r="K4727" i="9"/>
  <c r="N4727" i="9"/>
  <c r="O4727" i="9"/>
  <c r="I4728" i="9"/>
  <c r="J4728" i="9"/>
  <c r="K4728" i="9"/>
  <c r="N4728" i="9"/>
  <c r="O4728" i="9"/>
  <c r="J4729" i="9"/>
  <c r="K4729" i="9"/>
  <c r="N4729" i="9"/>
  <c r="O4729" i="9"/>
  <c r="N4730" i="9"/>
  <c r="O4730" i="9"/>
  <c r="J4731" i="9"/>
  <c r="K4731" i="9"/>
  <c r="N4731" i="9"/>
  <c r="O4731" i="9"/>
  <c r="N4732" i="9"/>
  <c r="O4732" i="9"/>
  <c r="I4733" i="9"/>
  <c r="K4733" i="9"/>
  <c r="N4733" i="9"/>
  <c r="O4733" i="9"/>
  <c r="J4734" i="9"/>
  <c r="K4734" i="9"/>
  <c r="N4734" i="9"/>
  <c r="O4734" i="9"/>
  <c r="J4735" i="9"/>
  <c r="K4735" i="9"/>
  <c r="N4735" i="9"/>
  <c r="O4735" i="9"/>
  <c r="J4736" i="9"/>
  <c r="K4736" i="9"/>
  <c r="N4736" i="9"/>
  <c r="O4736" i="9"/>
  <c r="I4737" i="9"/>
  <c r="K4737" i="9"/>
  <c r="N4737" i="9"/>
  <c r="O4737" i="9"/>
  <c r="I4738" i="9"/>
  <c r="J4738" i="9"/>
  <c r="K4738" i="9"/>
  <c r="N4738" i="9"/>
  <c r="O4738" i="9"/>
  <c r="I4739" i="9"/>
  <c r="J4739" i="9"/>
  <c r="K4739" i="9"/>
  <c r="N4739" i="9"/>
  <c r="O4739" i="9"/>
  <c r="J4740" i="9"/>
  <c r="K4740" i="9"/>
  <c r="N4740" i="9"/>
  <c r="O4740" i="9"/>
  <c r="N4741" i="9"/>
  <c r="J4741" i="9"/>
  <c r="K4741" i="9"/>
  <c r="O4741" i="9"/>
  <c r="I4742" i="9"/>
  <c r="K4742" i="9"/>
  <c r="N4742" i="9"/>
  <c r="O4742" i="9"/>
  <c r="I4743" i="9"/>
  <c r="J4743" i="9"/>
  <c r="K4743" i="9"/>
  <c r="N4743" i="9"/>
  <c r="O4743" i="9"/>
  <c r="I4744" i="9"/>
  <c r="K4744" i="9"/>
  <c r="N4744" i="9"/>
  <c r="O4744" i="9"/>
  <c r="N4745" i="9"/>
  <c r="J4745" i="9"/>
  <c r="K4745" i="9"/>
  <c r="O4745" i="9"/>
  <c r="J4746" i="9"/>
  <c r="K4746" i="9"/>
  <c r="N4746" i="9"/>
  <c r="O4746" i="9"/>
  <c r="I4747" i="9"/>
  <c r="J4747" i="9"/>
  <c r="K4747" i="9"/>
  <c r="N4747" i="9"/>
  <c r="O4747" i="9"/>
  <c r="I4748" i="9"/>
  <c r="J4748" i="9"/>
  <c r="K4748" i="9"/>
  <c r="N4748" i="9"/>
  <c r="O4748" i="9"/>
  <c r="I4749" i="9"/>
  <c r="J4749" i="9"/>
  <c r="K4749" i="9"/>
  <c r="N4749" i="9"/>
  <c r="O4749" i="9"/>
  <c r="I4750" i="9"/>
  <c r="J4750" i="9"/>
  <c r="K4750" i="9"/>
  <c r="N4750" i="9"/>
  <c r="O4750" i="9"/>
  <c r="I4751" i="9"/>
  <c r="K4751" i="9"/>
  <c r="N4751" i="9"/>
  <c r="O4751" i="9"/>
  <c r="I4752" i="9"/>
  <c r="K4752" i="9"/>
  <c r="N4752" i="9"/>
  <c r="O4752" i="9"/>
  <c r="J4753" i="9"/>
  <c r="K4753" i="9"/>
  <c r="N4753" i="9"/>
  <c r="O4753" i="9"/>
  <c r="N4754" i="9"/>
  <c r="O4754" i="9"/>
  <c r="J4755" i="9"/>
  <c r="K4755" i="9"/>
  <c r="N4755" i="9"/>
  <c r="O4755" i="9"/>
  <c r="J4756" i="9"/>
  <c r="K4756" i="9"/>
  <c r="N4756" i="9"/>
  <c r="O4756" i="9"/>
  <c r="N4757" i="9"/>
  <c r="O4757" i="9"/>
  <c r="N4758" i="9"/>
  <c r="O4758" i="9"/>
  <c r="N4759" i="9"/>
  <c r="O4759" i="9"/>
  <c r="N4760" i="9"/>
  <c r="O4760" i="9"/>
  <c r="J4761" i="9"/>
  <c r="K4761" i="9"/>
  <c r="N4761" i="9"/>
  <c r="O4761" i="9"/>
  <c r="J4762" i="9"/>
  <c r="K4762" i="9"/>
  <c r="N4762" i="9"/>
  <c r="O4762" i="9"/>
  <c r="K4763" i="9"/>
  <c r="N4763" i="9"/>
  <c r="O4763" i="9"/>
  <c r="K4764" i="9"/>
  <c r="N4764" i="9"/>
  <c r="O4764" i="9"/>
  <c r="J4765" i="9"/>
  <c r="K4765" i="9"/>
  <c r="N4765" i="9"/>
  <c r="O4765" i="9"/>
  <c r="J4766" i="9"/>
  <c r="K4766" i="9"/>
  <c r="N4766" i="9"/>
  <c r="O4766" i="9"/>
  <c r="I4767" i="9"/>
  <c r="J4767" i="9"/>
  <c r="K4767" i="9"/>
  <c r="N4767" i="9"/>
  <c r="O4767" i="9"/>
  <c r="N4768" i="9"/>
  <c r="I4768" i="9"/>
  <c r="J4768" i="9"/>
  <c r="K4768" i="9"/>
  <c r="O4768" i="9"/>
  <c r="I4769" i="9"/>
  <c r="J4769" i="9"/>
  <c r="K4769" i="9"/>
  <c r="N4769" i="9"/>
  <c r="O4769" i="9"/>
  <c r="I4770" i="9"/>
  <c r="J4770" i="9"/>
  <c r="K4770" i="9"/>
  <c r="N4770" i="9"/>
  <c r="O4770" i="9"/>
  <c r="J4771" i="9"/>
  <c r="K4771" i="9"/>
  <c r="N4771" i="9"/>
  <c r="O4771" i="9"/>
  <c r="I4772" i="9"/>
  <c r="J4772" i="9"/>
  <c r="K4772" i="9"/>
  <c r="N4772" i="9"/>
  <c r="O4772" i="9"/>
  <c r="I4773" i="9"/>
  <c r="J4773" i="9"/>
  <c r="K4773" i="9"/>
  <c r="N4773" i="9"/>
  <c r="O4773" i="9"/>
  <c r="I4774" i="9"/>
  <c r="J4774" i="9"/>
  <c r="K4774" i="9"/>
  <c r="N4774" i="9"/>
  <c r="O4774" i="9"/>
  <c r="I4775" i="9"/>
  <c r="J4775" i="9"/>
  <c r="K4775" i="9"/>
  <c r="N4775" i="9"/>
  <c r="O4775" i="9"/>
  <c r="I4776" i="9"/>
  <c r="J4776" i="9"/>
  <c r="K4776" i="9"/>
  <c r="N4776" i="9"/>
  <c r="O4776" i="9"/>
  <c r="I4777" i="9"/>
  <c r="J4777" i="9"/>
  <c r="K4777" i="9"/>
  <c r="N4777" i="9"/>
  <c r="O4777" i="9"/>
  <c r="I4778" i="9"/>
  <c r="J4778" i="9"/>
  <c r="K4778" i="9"/>
  <c r="N4778" i="9"/>
  <c r="O4778" i="9"/>
  <c r="I4779" i="9"/>
  <c r="J4779" i="9"/>
  <c r="K4779" i="9"/>
  <c r="N4779" i="9"/>
  <c r="O4779" i="9"/>
  <c r="I4780" i="9"/>
  <c r="J4780" i="9"/>
  <c r="K4780" i="9"/>
  <c r="N4780" i="9"/>
  <c r="O4780" i="9"/>
  <c r="I4781" i="9"/>
  <c r="J4781" i="9"/>
  <c r="K4781" i="9"/>
  <c r="N4781" i="9"/>
  <c r="O4781" i="9"/>
  <c r="I4782" i="9"/>
  <c r="J4782" i="9"/>
  <c r="K4782" i="9"/>
  <c r="N4782" i="9"/>
  <c r="O4782" i="9"/>
  <c r="I4783" i="9"/>
  <c r="J4783" i="9"/>
  <c r="K4783" i="9"/>
  <c r="N4783" i="9"/>
  <c r="O4783" i="9"/>
  <c r="I4784" i="9"/>
  <c r="J4784" i="9"/>
  <c r="K4784" i="9"/>
  <c r="N4784" i="9"/>
  <c r="O4784" i="9"/>
  <c r="I4785" i="9"/>
  <c r="J4785" i="9"/>
  <c r="K4785" i="9"/>
  <c r="N4785" i="9"/>
  <c r="O4785" i="9"/>
  <c r="I4786" i="9"/>
  <c r="J4786" i="9"/>
  <c r="K4786" i="9"/>
  <c r="N4786" i="9"/>
  <c r="O4786" i="9"/>
  <c r="I4787" i="9"/>
  <c r="J4787" i="9"/>
  <c r="K4787" i="9"/>
  <c r="N4787" i="9"/>
  <c r="O4787" i="9"/>
  <c r="I4788" i="9"/>
  <c r="J4788" i="9"/>
  <c r="K4788" i="9"/>
  <c r="N4788" i="9"/>
  <c r="O4788" i="9"/>
  <c r="I4789" i="9"/>
  <c r="J4789" i="9"/>
  <c r="K4789" i="9"/>
  <c r="N4789" i="9"/>
  <c r="O4789" i="9"/>
  <c r="I4790" i="9"/>
  <c r="J4790" i="9"/>
  <c r="K4790" i="9"/>
  <c r="N4790" i="9"/>
  <c r="O4790" i="9"/>
  <c r="I4791" i="9"/>
  <c r="K4791" i="9"/>
  <c r="N4791" i="9"/>
  <c r="O4791" i="9"/>
  <c r="I4792" i="9"/>
  <c r="K4792" i="9"/>
  <c r="N4792" i="9"/>
  <c r="O4792" i="9"/>
  <c r="I4793" i="9"/>
  <c r="K4793" i="9"/>
  <c r="N4793" i="9"/>
  <c r="O4793" i="9"/>
  <c r="I4794" i="9"/>
  <c r="K4794" i="9"/>
  <c r="N4794" i="9"/>
  <c r="O4794" i="9"/>
  <c r="I4795" i="9"/>
  <c r="K4795" i="9"/>
  <c r="N4795" i="9"/>
  <c r="O4795" i="9"/>
  <c r="I4796" i="9"/>
  <c r="K4796" i="9"/>
  <c r="N4796" i="9"/>
  <c r="O4796" i="9"/>
  <c r="I4797" i="9"/>
  <c r="K4797" i="9"/>
  <c r="N4797" i="9"/>
  <c r="O4797" i="9"/>
  <c r="I4798" i="9"/>
  <c r="K4798" i="9"/>
  <c r="N4798" i="9"/>
  <c r="O4798" i="9"/>
  <c r="I4799" i="9"/>
  <c r="K4799" i="9"/>
  <c r="N4799" i="9"/>
  <c r="O4799" i="9"/>
  <c r="I4800" i="9"/>
  <c r="K4800" i="9"/>
  <c r="N4800" i="9"/>
  <c r="O4800" i="9"/>
  <c r="I4801" i="9"/>
  <c r="K4801" i="9"/>
  <c r="N4801" i="9"/>
  <c r="O4801" i="9"/>
  <c r="I4802" i="9"/>
  <c r="K4802" i="9"/>
  <c r="N4802" i="9"/>
  <c r="O4802" i="9"/>
  <c r="N4803" i="9"/>
  <c r="O4803" i="9"/>
  <c r="I4804" i="9"/>
  <c r="K4804" i="9"/>
  <c r="N4804" i="9"/>
  <c r="O4804" i="9"/>
  <c r="I4805" i="9"/>
  <c r="K4805" i="9"/>
  <c r="N4805" i="9"/>
  <c r="O4805" i="9"/>
  <c r="I4806" i="9"/>
  <c r="K4806" i="9"/>
  <c r="N4806" i="9"/>
  <c r="O4806" i="9"/>
  <c r="N4807" i="9"/>
  <c r="O4807" i="9"/>
  <c r="I4808" i="9"/>
  <c r="K4808" i="9"/>
  <c r="N4808" i="9"/>
  <c r="O4808" i="9"/>
  <c r="I4809" i="9"/>
  <c r="K4809" i="9"/>
  <c r="N4809" i="9"/>
  <c r="O4809" i="9"/>
  <c r="I4810" i="9"/>
  <c r="K4810" i="9"/>
  <c r="N4810" i="9"/>
  <c r="O4810" i="9"/>
  <c r="I4811" i="9"/>
  <c r="K4811" i="9"/>
  <c r="N4811" i="9"/>
  <c r="O4811" i="9"/>
  <c r="J4812" i="9"/>
  <c r="K4812" i="9"/>
  <c r="N4812" i="9"/>
  <c r="O4812" i="9"/>
  <c r="J4813" i="9"/>
  <c r="K4813" i="9"/>
  <c r="N4813" i="9"/>
  <c r="O4813" i="9"/>
  <c r="J4814" i="9"/>
  <c r="K4814" i="9"/>
  <c r="N4814" i="9"/>
  <c r="O4814" i="9"/>
  <c r="J4815" i="9"/>
  <c r="K4815" i="9"/>
  <c r="N4815" i="9"/>
  <c r="O4815" i="9"/>
  <c r="J4816" i="9"/>
  <c r="K4816" i="9"/>
  <c r="N4816" i="9"/>
  <c r="O4816" i="9"/>
  <c r="J4817" i="9"/>
  <c r="K4817" i="9"/>
  <c r="N4817" i="9"/>
  <c r="O4817" i="9"/>
  <c r="J4818" i="9"/>
  <c r="K4818" i="9"/>
  <c r="N4818" i="9"/>
  <c r="O4818" i="9"/>
  <c r="J4819" i="9"/>
  <c r="K4819" i="9"/>
  <c r="N4819" i="9"/>
  <c r="O4819" i="9"/>
  <c r="J4820" i="9"/>
  <c r="K4820" i="9"/>
  <c r="N4820" i="9"/>
  <c r="O4820" i="9"/>
  <c r="J4821" i="9"/>
  <c r="K4821" i="9"/>
  <c r="N4821" i="9"/>
  <c r="O4821" i="9"/>
  <c r="I4822" i="9"/>
  <c r="K4822" i="9"/>
  <c r="N4822" i="9"/>
  <c r="O4822" i="9"/>
  <c r="I4823" i="9"/>
  <c r="K4823" i="9"/>
  <c r="N4823" i="9"/>
  <c r="O4823" i="9"/>
  <c r="I4824" i="9"/>
  <c r="K4824" i="9"/>
  <c r="N4824" i="9"/>
  <c r="O4824" i="9"/>
  <c r="I4825" i="9"/>
  <c r="K4825" i="9"/>
  <c r="N4825" i="9"/>
  <c r="O4825" i="9"/>
  <c r="I4826" i="9"/>
  <c r="K4826" i="9"/>
  <c r="N4826" i="9"/>
  <c r="O4826" i="9"/>
  <c r="K4827" i="9"/>
  <c r="N4827" i="9"/>
  <c r="O4827" i="9"/>
  <c r="I4828" i="9"/>
  <c r="K4828" i="9"/>
  <c r="N4828" i="9"/>
  <c r="O4828" i="9"/>
  <c r="I4829" i="9"/>
  <c r="K4829" i="9"/>
  <c r="N4829" i="9"/>
  <c r="O4829" i="9"/>
  <c r="N4830" i="9"/>
  <c r="I4830" i="9"/>
  <c r="J4830" i="9"/>
  <c r="K4830" i="9"/>
  <c r="O4830" i="9"/>
  <c r="I4831" i="9"/>
  <c r="J4831" i="9"/>
  <c r="K4831" i="9"/>
  <c r="N4831" i="9"/>
  <c r="O4831" i="9"/>
  <c r="I4832" i="9"/>
  <c r="J4832" i="9"/>
  <c r="K4832" i="9"/>
  <c r="N4832" i="9"/>
  <c r="O4832" i="9"/>
  <c r="I4833" i="9"/>
  <c r="J4833" i="9"/>
  <c r="K4833" i="9"/>
  <c r="N4833" i="9"/>
  <c r="O4833" i="9"/>
  <c r="N4834" i="9"/>
  <c r="O4834" i="9"/>
  <c r="I4835" i="9"/>
  <c r="J4835" i="9"/>
  <c r="K4835" i="9"/>
  <c r="N4835" i="9"/>
  <c r="O4835" i="9"/>
  <c r="I4836" i="9"/>
  <c r="J4836" i="9"/>
  <c r="K4836" i="9"/>
  <c r="N4836" i="9"/>
  <c r="O4836" i="9"/>
  <c r="I4837" i="9"/>
  <c r="J4837" i="9"/>
  <c r="K4837" i="9"/>
  <c r="N4837" i="9"/>
  <c r="O4837" i="9"/>
  <c r="I4838" i="9"/>
  <c r="J4838" i="9"/>
  <c r="K4838" i="9"/>
  <c r="N4838" i="9"/>
  <c r="O4838" i="9"/>
  <c r="J4839" i="9"/>
  <c r="K4839" i="9"/>
  <c r="N4839" i="9"/>
  <c r="O4839" i="9"/>
  <c r="J4840" i="9"/>
  <c r="K4840" i="9"/>
  <c r="N4840" i="9"/>
  <c r="O4840" i="9"/>
  <c r="N4841" i="9"/>
  <c r="O4841" i="9"/>
  <c r="J4842" i="9"/>
  <c r="K4842" i="9"/>
  <c r="N4842" i="9"/>
  <c r="O4842" i="9"/>
  <c r="I4843" i="9"/>
  <c r="J4843" i="9"/>
  <c r="K4843" i="9"/>
  <c r="N4843" i="9"/>
  <c r="O4843" i="9"/>
  <c r="J4844" i="9"/>
  <c r="K4844" i="9"/>
  <c r="N4844" i="9"/>
  <c r="O4844" i="9"/>
  <c r="N4845" i="9"/>
  <c r="O4845" i="9"/>
  <c r="N4846" i="9"/>
  <c r="O4846" i="9"/>
  <c r="N4847" i="9"/>
  <c r="O4847" i="9"/>
  <c r="N4848" i="9"/>
  <c r="O4848" i="9"/>
  <c r="N4849" i="9"/>
  <c r="O4849" i="9"/>
  <c r="N4850" i="9"/>
  <c r="O4850" i="9"/>
  <c r="K4851" i="9"/>
  <c r="N4851" i="9"/>
  <c r="O4851" i="9"/>
  <c r="K4852" i="9"/>
  <c r="N4852" i="9"/>
  <c r="O4852" i="9"/>
  <c r="N4853" i="9"/>
  <c r="O4853" i="9"/>
  <c r="N4854" i="9"/>
  <c r="O4854" i="9"/>
  <c r="N4855" i="9"/>
  <c r="O4855" i="9"/>
  <c r="N4856" i="9"/>
  <c r="O4856" i="9"/>
  <c r="J4857" i="9"/>
  <c r="K4857" i="9"/>
  <c r="N4857" i="9"/>
  <c r="O4857" i="9"/>
  <c r="J4858" i="9"/>
  <c r="K4858" i="9"/>
  <c r="N4858" i="9"/>
  <c r="O4858" i="9"/>
  <c r="I4859" i="9"/>
  <c r="K4859" i="9"/>
  <c r="N4859" i="9"/>
  <c r="O4859" i="9"/>
  <c r="I4860" i="9"/>
  <c r="K4860" i="9"/>
  <c r="N4860" i="9"/>
  <c r="O4860" i="9"/>
  <c r="I4861" i="9"/>
  <c r="K4861" i="9"/>
  <c r="N4861" i="9"/>
  <c r="O4861" i="9"/>
  <c r="I4862" i="9"/>
  <c r="K4862" i="9"/>
  <c r="N4862" i="9"/>
  <c r="O4862" i="9"/>
  <c r="I4863" i="9"/>
  <c r="K4863" i="9"/>
  <c r="N4863" i="9"/>
  <c r="O4863" i="9"/>
  <c r="I4864" i="9"/>
  <c r="K4864" i="9"/>
  <c r="N4864" i="9"/>
  <c r="O4864" i="9"/>
  <c r="N4865" i="9"/>
  <c r="O4865" i="9"/>
  <c r="I4866" i="9"/>
  <c r="J4866" i="9"/>
  <c r="K4866" i="9"/>
  <c r="N4866" i="9"/>
  <c r="O4866" i="9"/>
  <c r="N4867" i="9"/>
  <c r="O4867" i="9"/>
  <c r="I4868" i="9"/>
  <c r="J4868" i="9"/>
  <c r="K4868" i="9"/>
  <c r="N4868" i="9"/>
  <c r="O4868" i="9"/>
  <c r="I4869" i="9"/>
  <c r="J4869" i="9"/>
  <c r="K4869" i="9"/>
  <c r="N4869" i="9"/>
  <c r="O4869" i="9"/>
  <c r="J4870" i="9"/>
  <c r="K4870" i="9"/>
  <c r="N4870" i="9"/>
  <c r="O4870" i="9"/>
  <c r="I4871" i="9"/>
  <c r="J4871" i="9"/>
  <c r="K4871" i="9"/>
  <c r="N4871" i="9"/>
  <c r="O4871" i="9"/>
  <c r="I4872" i="9"/>
  <c r="J4872" i="9"/>
  <c r="K4872" i="9"/>
  <c r="N4872" i="9"/>
  <c r="O4872" i="9"/>
  <c r="I4873" i="9"/>
  <c r="J4873" i="9"/>
  <c r="K4873" i="9"/>
  <c r="N4873" i="9"/>
  <c r="O4873" i="9"/>
  <c r="I4874" i="9"/>
  <c r="J4874" i="9"/>
  <c r="K4874" i="9"/>
  <c r="N4874" i="9"/>
  <c r="O4874" i="9"/>
  <c r="I4875" i="9"/>
  <c r="J4875" i="9"/>
  <c r="K4875" i="9"/>
  <c r="N4875" i="9"/>
  <c r="O4875" i="9"/>
  <c r="K4876" i="9"/>
  <c r="N4877" i="9"/>
  <c r="O4877" i="9"/>
  <c r="N4878" i="9"/>
  <c r="O4878" i="9"/>
  <c r="I4879" i="9"/>
  <c r="K4879" i="9"/>
  <c r="N4879" i="9"/>
  <c r="O4879" i="9"/>
  <c r="I4880" i="9"/>
  <c r="K4880" i="9"/>
  <c r="N4880" i="9"/>
  <c r="O4880" i="9"/>
  <c r="I4881" i="9"/>
  <c r="K4881" i="9"/>
  <c r="N4881" i="9"/>
  <c r="O4881" i="9"/>
  <c r="J4882" i="9"/>
  <c r="K4882" i="9"/>
  <c r="N4882" i="9"/>
  <c r="O4882" i="9"/>
  <c r="J4883" i="9"/>
  <c r="K4883" i="9"/>
  <c r="N4883" i="9"/>
  <c r="O4883" i="9"/>
  <c r="K4884" i="9"/>
  <c r="N4884" i="9"/>
  <c r="O4884" i="9"/>
  <c r="J4885" i="9"/>
  <c r="K4885" i="9"/>
  <c r="N4885" i="9"/>
  <c r="O4885" i="9"/>
  <c r="I4886" i="9"/>
  <c r="J4886" i="9"/>
  <c r="K4886" i="9"/>
  <c r="N4886" i="9"/>
  <c r="O4886" i="9"/>
  <c r="I4887" i="9"/>
  <c r="J4887" i="9"/>
  <c r="K4887" i="9"/>
  <c r="N4887" i="9"/>
  <c r="O4887" i="9"/>
  <c r="I4888" i="9"/>
  <c r="J4888" i="9"/>
  <c r="K4888" i="9"/>
  <c r="N4888" i="9"/>
  <c r="O4888" i="9"/>
  <c r="I4889" i="9"/>
  <c r="J4889" i="9"/>
  <c r="K4889" i="9"/>
  <c r="N4889" i="9"/>
  <c r="O4889" i="9"/>
  <c r="I4890" i="9"/>
  <c r="J4890" i="9"/>
  <c r="K4890" i="9"/>
  <c r="N4890" i="9"/>
  <c r="O4890" i="9"/>
  <c r="J4891" i="9"/>
  <c r="K4891" i="9"/>
  <c r="N4891" i="9"/>
  <c r="O4891" i="9"/>
  <c r="I4892" i="9"/>
  <c r="K4892" i="9"/>
  <c r="N4892" i="9"/>
  <c r="O4892" i="9"/>
  <c r="I4893" i="9"/>
  <c r="K4893" i="9"/>
  <c r="N4893" i="9"/>
  <c r="O4893" i="9"/>
  <c r="I4894" i="9"/>
  <c r="K4894" i="9"/>
  <c r="N4894" i="9"/>
  <c r="O4894" i="9"/>
  <c r="I4895" i="9"/>
  <c r="K4895" i="9"/>
  <c r="N4895" i="9"/>
  <c r="O4895" i="9"/>
  <c r="I4896" i="9"/>
  <c r="K4896" i="9"/>
  <c r="N4896" i="9"/>
  <c r="O4896" i="9"/>
  <c r="I4897" i="9"/>
  <c r="K4897" i="9"/>
  <c r="N4897" i="9"/>
  <c r="O4897" i="9"/>
  <c r="N4898" i="9"/>
  <c r="J4898" i="9"/>
  <c r="K4898" i="9"/>
  <c r="O4898" i="9"/>
  <c r="J4899" i="9"/>
  <c r="K4899" i="9"/>
  <c r="N4899" i="9"/>
  <c r="O4899" i="9"/>
  <c r="N4900" i="9"/>
  <c r="J4900" i="9"/>
  <c r="K4900" i="9"/>
  <c r="O4900" i="9"/>
  <c r="J4901" i="9"/>
  <c r="K4901" i="9"/>
  <c r="N4901" i="9"/>
  <c r="O4901" i="9"/>
  <c r="N4902" i="9"/>
  <c r="J4902" i="9"/>
  <c r="K4902" i="9"/>
  <c r="O4902" i="9"/>
  <c r="N4903" i="9"/>
  <c r="O4903" i="9"/>
  <c r="J4904" i="9"/>
  <c r="K4904" i="9"/>
  <c r="N4904" i="9"/>
  <c r="O4904" i="9"/>
  <c r="J4905" i="9"/>
  <c r="K4905" i="9"/>
  <c r="N4905" i="9"/>
  <c r="O4905" i="9"/>
  <c r="I4906" i="9"/>
  <c r="J4906" i="9"/>
  <c r="K4906" i="9"/>
  <c r="N4906" i="9"/>
  <c r="O4906" i="9"/>
  <c r="J4907" i="9"/>
  <c r="K4907" i="9"/>
  <c r="N4907" i="9"/>
  <c r="O4907" i="9"/>
  <c r="I4908" i="9"/>
  <c r="J4908" i="9"/>
  <c r="K4908" i="9"/>
  <c r="N4908" i="9"/>
  <c r="O4908" i="9"/>
  <c r="I4909" i="9"/>
  <c r="J4909" i="9"/>
  <c r="K4909" i="9"/>
  <c r="N4909" i="9"/>
  <c r="O4909" i="9"/>
  <c r="I4910" i="9"/>
  <c r="J4910" i="9"/>
  <c r="K4910" i="9"/>
  <c r="N4910" i="9"/>
  <c r="O4910" i="9"/>
  <c r="I4911" i="9"/>
  <c r="J4911" i="9"/>
  <c r="K4911" i="9"/>
  <c r="N4911" i="9"/>
  <c r="O4911" i="9"/>
  <c r="I4912" i="9"/>
  <c r="J4912" i="9"/>
  <c r="K4912" i="9"/>
  <c r="N4912" i="9"/>
  <c r="O4912" i="9"/>
  <c r="I4913" i="9"/>
  <c r="K4913" i="9"/>
  <c r="N4913" i="9"/>
  <c r="O4913" i="9"/>
  <c r="I4914" i="9"/>
  <c r="K4914" i="9"/>
  <c r="N4914" i="9"/>
  <c r="O4914" i="9"/>
  <c r="I4915" i="9"/>
  <c r="K4915" i="9"/>
  <c r="N4915" i="9"/>
  <c r="O4915" i="9"/>
  <c r="J4916" i="9"/>
  <c r="K4916" i="9"/>
  <c r="N4916" i="9"/>
  <c r="O4916" i="9"/>
  <c r="I4917" i="9"/>
  <c r="J4917" i="9"/>
  <c r="K4917" i="9"/>
  <c r="N4917" i="9"/>
  <c r="O4917" i="9"/>
  <c r="K4918" i="9"/>
  <c r="N4918" i="9"/>
  <c r="O4918" i="9"/>
  <c r="K4919" i="9"/>
  <c r="N4919" i="9"/>
  <c r="O4919" i="9"/>
  <c r="N4920" i="9"/>
  <c r="O4920" i="9"/>
  <c r="N4921" i="9"/>
  <c r="O4921" i="9"/>
  <c r="N4922" i="9"/>
  <c r="O4922" i="9"/>
  <c r="N4923" i="9"/>
  <c r="O4923" i="9"/>
  <c r="N4924" i="9"/>
  <c r="O4924" i="9"/>
  <c r="N4925" i="9"/>
  <c r="O4925" i="9"/>
  <c r="J4926" i="9"/>
  <c r="K4926" i="9"/>
  <c r="I4927" i="9"/>
  <c r="J4927" i="9"/>
  <c r="K4927" i="9"/>
  <c r="N4927" i="9"/>
  <c r="O4927" i="9"/>
  <c r="I4928" i="9"/>
  <c r="J4928" i="9"/>
  <c r="K4928" i="9"/>
  <c r="N4928" i="9"/>
  <c r="O4928" i="9"/>
  <c r="O4929" i="9"/>
  <c r="M4446" i="9"/>
  <c r="N4425" i="9"/>
  <c r="M4345" i="9"/>
  <c r="M4399" i="9"/>
  <c r="M4336" i="9"/>
  <c r="M4353" i="9"/>
  <c r="M4274" i="9"/>
  <c r="M4272" i="9"/>
  <c r="M4284" i="9"/>
  <c r="M4249" i="9"/>
  <c r="M4276" i="9"/>
  <c r="M4280" i="9"/>
  <c r="M4273" i="9"/>
  <c r="M4263" i="9"/>
  <c r="M4243" i="9"/>
  <c r="M4260" i="9"/>
  <c r="M4262" i="9"/>
  <c r="M4252" i="9"/>
  <c r="M4228" i="9"/>
  <c r="M4227" i="9"/>
  <c r="M4221" i="9"/>
  <c r="M4182" i="9"/>
  <c r="M4183" i="9"/>
  <c r="M4210" i="9"/>
  <c r="M4194" i="9"/>
  <c r="M4192" i="9"/>
  <c r="M4171" i="9"/>
  <c r="M4179" i="9"/>
  <c r="M4208" i="9"/>
  <c r="M4193" i="9"/>
  <c r="M4209" i="9"/>
  <c r="M4172" i="9"/>
  <c r="M4176" i="9"/>
  <c r="M4166" i="9"/>
  <c r="M4202" i="9"/>
  <c r="M4206" i="9"/>
  <c r="M4180" i="9"/>
  <c r="M4175" i="9"/>
  <c r="M4109" i="9"/>
  <c r="M4174" i="9"/>
  <c r="M4173" i="9"/>
  <c r="M4169" i="9"/>
  <c r="M4161" i="9"/>
  <c r="M4160" i="9"/>
  <c r="M4114" i="9"/>
  <c r="M4105" i="9"/>
  <c r="M4111" i="9"/>
  <c r="M4113" i="9"/>
  <c r="M4112" i="9"/>
  <c r="M4110" i="9"/>
  <c r="M4070" i="9"/>
  <c r="M4087" i="9"/>
  <c r="M4085" i="9"/>
  <c r="M4095" i="9"/>
  <c r="M4074" i="9"/>
  <c r="M4092" i="9"/>
  <c r="M4068" i="9"/>
  <c r="M4083" i="9"/>
  <c r="M4067" i="9"/>
  <c r="J4876" i="9"/>
  <c r="I4553" i="9"/>
  <c r="J4553" i="9"/>
  <c r="K4553" i="9"/>
  <c r="N4553" i="9"/>
  <c r="O4553" i="9"/>
  <c r="I4554" i="9"/>
  <c r="J4554" i="9"/>
  <c r="K4554" i="9"/>
  <c r="N4554" i="9"/>
  <c r="O4554" i="9"/>
  <c r="I4555" i="9"/>
  <c r="J4555" i="9"/>
  <c r="K4555" i="9"/>
  <c r="N4555" i="9"/>
  <c r="O4555" i="9"/>
  <c r="I4556" i="9"/>
  <c r="J4556" i="9"/>
  <c r="K4556" i="9"/>
  <c r="N4556" i="9"/>
  <c r="O4556" i="9"/>
  <c r="I4557" i="9"/>
  <c r="J4557" i="9"/>
  <c r="K4557" i="9"/>
  <c r="N4557" i="9"/>
  <c r="O4557" i="9"/>
  <c r="I4558" i="9"/>
  <c r="J4558" i="9"/>
  <c r="K4558" i="9"/>
  <c r="N4558" i="9"/>
  <c r="O4558" i="9"/>
  <c r="I4559" i="9"/>
  <c r="J4559" i="9"/>
  <c r="K4559" i="9"/>
  <c r="N4559" i="9"/>
  <c r="O4559" i="9"/>
  <c r="I4560" i="9"/>
  <c r="J4560" i="9"/>
  <c r="K4560" i="9"/>
  <c r="N4560" i="9"/>
  <c r="O4560" i="9"/>
  <c r="I4561" i="9"/>
  <c r="J4561" i="9"/>
  <c r="K4561" i="9"/>
  <c r="N4561" i="9"/>
  <c r="O4561" i="9"/>
  <c r="I4562" i="9"/>
  <c r="J4562" i="9"/>
  <c r="K4562" i="9"/>
  <c r="N4562" i="9"/>
  <c r="O4562" i="9"/>
  <c r="I4563" i="9"/>
  <c r="J4563" i="9"/>
  <c r="K4563" i="9"/>
  <c r="N4563" i="9"/>
  <c r="O4563" i="9"/>
  <c r="I4564" i="9"/>
  <c r="K4564" i="9"/>
  <c r="N4564" i="9"/>
  <c r="O4564" i="9"/>
  <c r="I4565" i="9"/>
  <c r="K4565" i="9"/>
  <c r="N4565" i="9"/>
  <c r="O4565" i="9"/>
  <c r="I4566" i="9"/>
  <c r="K4566" i="9"/>
  <c r="N4566" i="9"/>
  <c r="O4566" i="9"/>
  <c r="I4567" i="9"/>
  <c r="K4567" i="9"/>
  <c r="N4567" i="9"/>
  <c r="O4567" i="9"/>
  <c r="K4568" i="9"/>
  <c r="N4568" i="9"/>
  <c r="O4568" i="9"/>
  <c r="J4569" i="9"/>
  <c r="K4569" i="9"/>
  <c r="N4569" i="9"/>
  <c r="O4569" i="9"/>
  <c r="N4570" i="9"/>
  <c r="O4570" i="9"/>
  <c r="N4571" i="9"/>
  <c r="O4571" i="9"/>
  <c r="N4572" i="9"/>
  <c r="O4572" i="9"/>
  <c r="I4573" i="9"/>
  <c r="J4573" i="9"/>
  <c r="K4573" i="9"/>
  <c r="N4573" i="9"/>
  <c r="O4573" i="9"/>
  <c r="I4574" i="9"/>
  <c r="J4574" i="9"/>
  <c r="K4574" i="9"/>
  <c r="N4574" i="9"/>
  <c r="O4574" i="9"/>
  <c r="J4575" i="9"/>
  <c r="K4575" i="9"/>
  <c r="N4575" i="9"/>
  <c r="O4575" i="9"/>
  <c r="I4576" i="9"/>
  <c r="K4576" i="9"/>
  <c r="N4576" i="9"/>
  <c r="O4576" i="9"/>
  <c r="I4577" i="9"/>
  <c r="K4577" i="9"/>
  <c r="N4577" i="9"/>
  <c r="O4577" i="9"/>
  <c r="I4578" i="9"/>
  <c r="K4578" i="9"/>
  <c r="N4578" i="9"/>
  <c r="O4578" i="9"/>
  <c r="I4579" i="9"/>
  <c r="J4579" i="9"/>
  <c r="K4579" i="9"/>
  <c r="N4579" i="9"/>
  <c r="O4579" i="9"/>
  <c r="N4580" i="9"/>
  <c r="O4580" i="9"/>
  <c r="I4581" i="9"/>
  <c r="J4581" i="9"/>
  <c r="K4581" i="9"/>
  <c r="N4581" i="9"/>
  <c r="O4581" i="9"/>
  <c r="I4582" i="9"/>
  <c r="J4582" i="9"/>
  <c r="K4582" i="9"/>
  <c r="N4582" i="9"/>
  <c r="O4582" i="9"/>
  <c r="I4583" i="9"/>
  <c r="J4583" i="9"/>
  <c r="K4583" i="9"/>
  <c r="N4583" i="9"/>
  <c r="O4583" i="9"/>
  <c r="I4584" i="9"/>
  <c r="K4584" i="9"/>
  <c r="N4584" i="9"/>
  <c r="O4584" i="9"/>
  <c r="I4585" i="9"/>
  <c r="J4585" i="9"/>
  <c r="K4585" i="9"/>
  <c r="N4585" i="9"/>
  <c r="O4585" i="9"/>
  <c r="I4586" i="9"/>
  <c r="K4586" i="9"/>
  <c r="N4586" i="9"/>
  <c r="O4586" i="9"/>
  <c r="I4587" i="9"/>
  <c r="J4587" i="9"/>
  <c r="K4587" i="9"/>
  <c r="N4587" i="9"/>
  <c r="O4587" i="9"/>
  <c r="J4588" i="9"/>
  <c r="K4588" i="9"/>
  <c r="N4588" i="9"/>
  <c r="O4588" i="9"/>
  <c r="I4589" i="9"/>
  <c r="K4589" i="9"/>
  <c r="N4589" i="9"/>
  <c r="O4589" i="9"/>
  <c r="I4590" i="9"/>
  <c r="K4590" i="9"/>
  <c r="N4590" i="9"/>
  <c r="O4590" i="9"/>
  <c r="I4591" i="9"/>
  <c r="K4591" i="9"/>
  <c r="N4591" i="9"/>
  <c r="O4591" i="9"/>
  <c r="I4592" i="9"/>
  <c r="K4592" i="9"/>
  <c r="N4592" i="9"/>
  <c r="O4592" i="9"/>
  <c r="I4593" i="9"/>
  <c r="K4593" i="9"/>
  <c r="N4593" i="9"/>
  <c r="O4593" i="9"/>
  <c r="I4594" i="9"/>
  <c r="K4594" i="9"/>
  <c r="N4594" i="9"/>
  <c r="O4594" i="9"/>
  <c r="I4595" i="9"/>
  <c r="K4595" i="9"/>
  <c r="N4595" i="9"/>
  <c r="O4595" i="9"/>
  <c r="K4596" i="9"/>
  <c r="N4596" i="9"/>
  <c r="O4596" i="9"/>
  <c r="N4597" i="9"/>
  <c r="O4597" i="9"/>
  <c r="N4598" i="9"/>
  <c r="O4598" i="9"/>
  <c r="N4599" i="9"/>
  <c r="O4599" i="9"/>
  <c r="N4600" i="9"/>
  <c r="O4600" i="9"/>
  <c r="N4601" i="9"/>
  <c r="O4601" i="9"/>
  <c r="N4602" i="9"/>
  <c r="O4602" i="9"/>
  <c r="N4603" i="9"/>
  <c r="O4603" i="9"/>
  <c r="N4604" i="9"/>
  <c r="O4604" i="9"/>
  <c r="N4605" i="9"/>
  <c r="O4605" i="9"/>
  <c r="N4606" i="9"/>
  <c r="O4606" i="9"/>
  <c r="J4607" i="9"/>
  <c r="K4607" i="9"/>
  <c r="N4607" i="9"/>
  <c r="O4607" i="9"/>
  <c r="I4608" i="9"/>
  <c r="J4608" i="9"/>
  <c r="K4608" i="9"/>
  <c r="N4608" i="9"/>
  <c r="O4608" i="9"/>
  <c r="I4609" i="9"/>
  <c r="J4609" i="9"/>
  <c r="K4609" i="9"/>
  <c r="N4609" i="9"/>
  <c r="O4609" i="9"/>
  <c r="K4610" i="9"/>
  <c r="N4610" i="9"/>
  <c r="O4610" i="9"/>
  <c r="K4611" i="9"/>
  <c r="N4611" i="9"/>
  <c r="O4611" i="9"/>
  <c r="K4612" i="9"/>
  <c r="N4612" i="9"/>
  <c r="O4612" i="9"/>
  <c r="K4613" i="9"/>
  <c r="N4613" i="9"/>
  <c r="O4613" i="9"/>
  <c r="H4614" i="9"/>
  <c r="J4614" i="9"/>
  <c r="K4614" i="9"/>
  <c r="N4614" i="9"/>
  <c r="O4614" i="9"/>
  <c r="I4615" i="9"/>
  <c r="J4615" i="9"/>
  <c r="K4615" i="9"/>
  <c r="N4615" i="9"/>
  <c r="O4615" i="9"/>
  <c r="J4616" i="9"/>
  <c r="K4616" i="9"/>
  <c r="N4616" i="9"/>
  <c r="O4616" i="9"/>
  <c r="I4617" i="9"/>
  <c r="K4617" i="9"/>
  <c r="N4617" i="9"/>
  <c r="O4617" i="9"/>
  <c r="I4618" i="9"/>
  <c r="K4618" i="9"/>
  <c r="N4618" i="9"/>
  <c r="O4618" i="9"/>
  <c r="I4619" i="9"/>
  <c r="K4619" i="9"/>
  <c r="N4619" i="9"/>
  <c r="O4619" i="9"/>
  <c r="H4620" i="9"/>
  <c r="I4620" i="9"/>
  <c r="K4620" i="9"/>
  <c r="N4620" i="9"/>
  <c r="O4620" i="9"/>
  <c r="N4621" i="9"/>
  <c r="O4621" i="9"/>
  <c r="I4622" i="9"/>
  <c r="K4622" i="9"/>
  <c r="N4622" i="9"/>
  <c r="O4622" i="9"/>
  <c r="I4623" i="9"/>
  <c r="K4623" i="9"/>
  <c r="N4623" i="9"/>
  <c r="O4623" i="9"/>
  <c r="I4624" i="9"/>
  <c r="K4624" i="9"/>
  <c r="N4624" i="9"/>
  <c r="O4624" i="9"/>
  <c r="I4625" i="9"/>
  <c r="K4625" i="9"/>
  <c r="N4625" i="9"/>
  <c r="O4625" i="9"/>
  <c r="I4626" i="9"/>
  <c r="K4626" i="9"/>
  <c r="N4626" i="9"/>
  <c r="O4626" i="9"/>
  <c r="I4627" i="9"/>
  <c r="K4627" i="9"/>
  <c r="N4627" i="9"/>
  <c r="O4627" i="9"/>
  <c r="M2955" i="9"/>
  <c r="M4239" i="9"/>
  <c r="X4718" i="9"/>
  <c r="Y4718" i="9"/>
  <c r="X4707" i="9"/>
  <c r="Y4707" i="9"/>
  <c r="N4269" i="9"/>
  <c r="O4269" i="9"/>
  <c r="J4270" i="9"/>
  <c r="K4270" i="9"/>
  <c r="N4270" i="9"/>
  <c r="O4270" i="9"/>
  <c r="I4271" i="9"/>
  <c r="J4271" i="9"/>
  <c r="K4271" i="9"/>
  <c r="N4271" i="9"/>
  <c r="O4271" i="9"/>
  <c r="I4272" i="9"/>
  <c r="J4272" i="9"/>
  <c r="K4272" i="9"/>
  <c r="N4272" i="9"/>
  <c r="O4272" i="9"/>
  <c r="I4273" i="9"/>
  <c r="J4273" i="9"/>
  <c r="K4273" i="9"/>
  <c r="N4273" i="9"/>
  <c r="O4273" i="9"/>
  <c r="I4274" i="9"/>
  <c r="J4274" i="9"/>
  <c r="K4274" i="9"/>
  <c r="N4274" i="9"/>
  <c r="O4274" i="9"/>
  <c r="I4275" i="9"/>
  <c r="J4275" i="9"/>
  <c r="K4275" i="9"/>
  <c r="N4275" i="9"/>
  <c r="O4275" i="9"/>
  <c r="I4276" i="9"/>
  <c r="J4276" i="9"/>
  <c r="K4276" i="9"/>
  <c r="N4276" i="9"/>
  <c r="O4276" i="9"/>
  <c r="I4277" i="9"/>
  <c r="J4277" i="9"/>
  <c r="K4277" i="9"/>
  <c r="N4277" i="9"/>
  <c r="O4277" i="9"/>
  <c r="I4278" i="9"/>
  <c r="J4278" i="9"/>
  <c r="K4278" i="9"/>
  <c r="N4278" i="9"/>
  <c r="O4278" i="9"/>
  <c r="I4279" i="9"/>
  <c r="J4279" i="9"/>
  <c r="K4279" i="9"/>
  <c r="N4279" i="9"/>
  <c r="O4279" i="9"/>
  <c r="I4280" i="9"/>
  <c r="J4280" i="9"/>
  <c r="K4280" i="9"/>
  <c r="N4280" i="9"/>
  <c r="O4280" i="9"/>
  <c r="I4281" i="9"/>
  <c r="J4281" i="9"/>
  <c r="K4281" i="9"/>
  <c r="N4281" i="9"/>
  <c r="O4281" i="9"/>
  <c r="I4282" i="9"/>
  <c r="J4282" i="9"/>
  <c r="K4282" i="9"/>
  <c r="N4282" i="9"/>
  <c r="O4282" i="9"/>
  <c r="I4283" i="9"/>
  <c r="J4283" i="9"/>
  <c r="K4283" i="9"/>
  <c r="N4283" i="9"/>
  <c r="O4283" i="9"/>
  <c r="I4284" i="9"/>
  <c r="J4284" i="9"/>
  <c r="K4284" i="9"/>
  <c r="N4284" i="9"/>
  <c r="O4284" i="9"/>
  <c r="I4285" i="9"/>
  <c r="J4285" i="9"/>
  <c r="K4285" i="9"/>
  <c r="N4285" i="9"/>
  <c r="O4285" i="9"/>
  <c r="I4286" i="9"/>
  <c r="J4286" i="9"/>
  <c r="K4286" i="9"/>
  <c r="N4286" i="9"/>
  <c r="O4286" i="9"/>
  <c r="I4287" i="9"/>
  <c r="J4287" i="9"/>
  <c r="K4287" i="9"/>
  <c r="N4287" i="9"/>
  <c r="O4287" i="9"/>
  <c r="I4288" i="9"/>
  <c r="J4288" i="9"/>
  <c r="K4288" i="9"/>
  <c r="N4288" i="9"/>
  <c r="O4288" i="9"/>
  <c r="I4289" i="9"/>
  <c r="J4289" i="9"/>
  <c r="K4289" i="9"/>
  <c r="N4289" i="9"/>
  <c r="O4289" i="9"/>
  <c r="I4290" i="9"/>
  <c r="K4290" i="9"/>
  <c r="N4290" i="9"/>
  <c r="O4290" i="9"/>
  <c r="I4291" i="9"/>
  <c r="K4291" i="9"/>
  <c r="N4291" i="9"/>
  <c r="O4291" i="9"/>
  <c r="I4292" i="9"/>
  <c r="K4292" i="9"/>
  <c r="N4292" i="9"/>
  <c r="O4292" i="9"/>
  <c r="I4293" i="9"/>
  <c r="K4293" i="9"/>
  <c r="N4293" i="9"/>
  <c r="O4293" i="9"/>
  <c r="I4294" i="9"/>
  <c r="K4294" i="9"/>
  <c r="N4294" i="9"/>
  <c r="O4294" i="9"/>
  <c r="I4295" i="9"/>
  <c r="K4295" i="9"/>
  <c r="N4295" i="9"/>
  <c r="O4295" i="9"/>
  <c r="I4296" i="9"/>
  <c r="K4296" i="9"/>
  <c r="N4296" i="9"/>
  <c r="O4296" i="9"/>
  <c r="I4297" i="9"/>
  <c r="K4297" i="9"/>
  <c r="N4297" i="9"/>
  <c r="O4297" i="9"/>
  <c r="I4298" i="9"/>
  <c r="J4298" i="9"/>
  <c r="K4298" i="9"/>
  <c r="N4298" i="9"/>
  <c r="O4298" i="9"/>
  <c r="K4299" i="9"/>
  <c r="N4299" i="9"/>
  <c r="O4299" i="9"/>
  <c r="I4300" i="9"/>
  <c r="J4300" i="9"/>
  <c r="K4300" i="9"/>
  <c r="N4300" i="9"/>
  <c r="O4300" i="9"/>
  <c r="I4301" i="9"/>
  <c r="J4301" i="9"/>
  <c r="K4301" i="9"/>
  <c r="N4301" i="9"/>
  <c r="O4301" i="9"/>
  <c r="I4302" i="9"/>
  <c r="J4302" i="9"/>
  <c r="K4302" i="9"/>
  <c r="N4302" i="9"/>
  <c r="O4302" i="9"/>
  <c r="J4303" i="9"/>
  <c r="K4303" i="9"/>
  <c r="N4303" i="9"/>
  <c r="O4303" i="9"/>
  <c r="J4304" i="9"/>
  <c r="K4304" i="9"/>
  <c r="N4304" i="9"/>
  <c r="O4304" i="9"/>
  <c r="I4305" i="9"/>
  <c r="J4305" i="9"/>
  <c r="K4305" i="9"/>
  <c r="N4305" i="9"/>
  <c r="O4305" i="9"/>
  <c r="J4306" i="9"/>
  <c r="K4306" i="9"/>
  <c r="N4306" i="9"/>
  <c r="O4306" i="9"/>
  <c r="J4307" i="9"/>
  <c r="K4307" i="9"/>
  <c r="N4307" i="9"/>
  <c r="O4307" i="9"/>
  <c r="J4308" i="9"/>
  <c r="K4308" i="9"/>
  <c r="N4308" i="9"/>
  <c r="O4308" i="9"/>
  <c r="J4309" i="9"/>
  <c r="K4309" i="9"/>
  <c r="N4309" i="9"/>
  <c r="O4309" i="9"/>
  <c r="N4310" i="9"/>
  <c r="O4310" i="9"/>
  <c r="J4311" i="9"/>
  <c r="K4311" i="9"/>
  <c r="N4311" i="9"/>
  <c r="O4311" i="9"/>
  <c r="J4312" i="9"/>
  <c r="K4312" i="9"/>
  <c r="N4312" i="9"/>
  <c r="O4312" i="9"/>
  <c r="I4313" i="9"/>
  <c r="J4313" i="9"/>
  <c r="K4313" i="9"/>
  <c r="N4313" i="9"/>
  <c r="O4313" i="9"/>
  <c r="I4314" i="9"/>
  <c r="J4314" i="9"/>
  <c r="K4314" i="9"/>
  <c r="N4314" i="9"/>
  <c r="O4314" i="9"/>
  <c r="I4315" i="9"/>
  <c r="J4315" i="9"/>
  <c r="K4315" i="9"/>
  <c r="N4315" i="9"/>
  <c r="O4315" i="9"/>
  <c r="I4316" i="9"/>
  <c r="J4316" i="9"/>
  <c r="K4316" i="9"/>
  <c r="N4316" i="9"/>
  <c r="O4316" i="9"/>
  <c r="I4317" i="9"/>
  <c r="J4317" i="9"/>
  <c r="K4317" i="9"/>
  <c r="N4317" i="9"/>
  <c r="O4317" i="9"/>
  <c r="I4318" i="9"/>
  <c r="J4318" i="9"/>
  <c r="K4318" i="9"/>
  <c r="N4318" i="9"/>
  <c r="O4318" i="9"/>
  <c r="I4319" i="9"/>
  <c r="J4319" i="9"/>
  <c r="K4319" i="9"/>
  <c r="N4319" i="9"/>
  <c r="O4319" i="9"/>
  <c r="I4320" i="9"/>
  <c r="J4320" i="9"/>
  <c r="K4320" i="9"/>
  <c r="N4320" i="9"/>
  <c r="O4320" i="9"/>
  <c r="I4321" i="9"/>
  <c r="J4321" i="9"/>
  <c r="K4321" i="9"/>
  <c r="N4321" i="9"/>
  <c r="O4321" i="9"/>
  <c r="I4322" i="9"/>
  <c r="K4322" i="9"/>
  <c r="N4322" i="9"/>
  <c r="O4322" i="9"/>
  <c r="I4323" i="9"/>
  <c r="K4323" i="9"/>
  <c r="N4323" i="9"/>
  <c r="O4323" i="9"/>
  <c r="I4324" i="9"/>
  <c r="K4324" i="9"/>
  <c r="N4324" i="9"/>
  <c r="O4324" i="9"/>
  <c r="J4325" i="9"/>
  <c r="K4325" i="9"/>
  <c r="N4325" i="9"/>
  <c r="O4325" i="9"/>
  <c r="N4326" i="9"/>
  <c r="O4326" i="9"/>
  <c r="I4327" i="9"/>
  <c r="K4327" i="9"/>
  <c r="N4327" i="9"/>
  <c r="O4327" i="9"/>
  <c r="I4328" i="9"/>
  <c r="J4328" i="9"/>
  <c r="K4328" i="9"/>
  <c r="N4328" i="9"/>
  <c r="O4328" i="9"/>
  <c r="I4329" i="9"/>
  <c r="J4329" i="9"/>
  <c r="K4329" i="9"/>
  <c r="N4329" i="9"/>
  <c r="O4329" i="9"/>
  <c r="J4330" i="9"/>
  <c r="K4330" i="9"/>
  <c r="N4330" i="9"/>
  <c r="O4330" i="9"/>
  <c r="J4331" i="9"/>
  <c r="K4331" i="9"/>
  <c r="N4331" i="9"/>
  <c r="O4331" i="9"/>
  <c r="J4332" i="9"/>
  <c r="K4332" i="9"/>
  <c r="N4332" i="9"/>
  <c r="O4332" i="9"/>
  <c r="N4333" i="9"/>
  <c r="O4333" i="9"/>
  <c r="J4334" i="9"/>
  <c r="K4334" i="9"/>
  <c r="N4334" i="9"/>
  <c r="O4334" i="9"/>
  <c r="J4335" i="9"/>
  <c r="K4335" i="9"/>
  <c r="N4335" i="9"/>
  <c r="O4335" i="9"/>
  <c r="N4336" i="9"/>
  <c r="O4336" i="9"/>
  <c r="K4337" i="9"/>
  <c r="N4337" i="9"/>
  <c r="O4337" i="9"/>
  <c r="J4338" i="9"/>
  <c r="K4338" i="9"/>
  <c r="N4338" i="9"/>
  <c r="O4338" i="9"/>
  <c r="N4339" i="9"/>
  <c r="O4339" i="9"/>
  <c r="J4340" i="9"/>
  <c r="K4340" i="9"/>
  <c r="N4340" i="9"/>
  <c r="O4340" i="9"/>
  <c r="K4341" i="9"/>
  <c r="N4341" i="9"/>
  <c r="O4341" i="9"/>
  <c r="N4342" i="9"/>
  <c r="O4342" i="9"/>
  <c r="N4343" i="9"/>
  <c r="O4343" i="9"/>
  <c r="K4344" i="9"/>
  <c r="N4344" i="9"/>
  <c r="O4344" i="9"/>
  <c r="I4345" i="9"/>
  <c r="J4345" i="9"/>
  <c r="K4345" i="9"/>
  <c r="N4345" i="9"/>
  <c r="O4345" i="9"/>
  <c r="I4346" i="9"/>
  <c r="J4346" i="9"/>
  <c r="K4346" i="9"/>
  <c r="N4346" i="9"/>
  <c r="O4346" i="9"/>
  <c r="I4347" i="9"/>
  <c r="J4347" i="9"/>
  <c r="K4347" i="9"/>
  <c r="N4347" i="9"/>
  <c r="O4347" i="9"/>
  <c r="I4348" i="9"/>
  <c r="J4348" i="9"/>
  <c r="K4348" i="9"/>
  <c r="N4348" i="9"/>
  <c r="O4348" i="9"/>
  <c r="I4349" i="9"/>
  <c r="J4349" i="9"/>
  <c r="K4349" i="9"/>
  <c r="N4349" i="9"/>
  <c r="O4349" i="9"/>
  <c r="I4350" i="9"/>
  <c r="J4350" i="9"/>
  <c r="K4350" i="9"/>
  <c r="N4350" i="9"/>
  <c r="O4350" i="9"/>
  <c r="I4351" i="9"/>
  <c r="J4351" i="9"/>
  <c r="K4351" i="9"/>
  <c r="N4351" i="9"/>
  <c r="O4351" i="9"/>
  <c r="I4352" i="9"/>
  <c r="J4352" i="9"/>
  <c r="K4352" i="9"/>
  <c r="N4352" i="9"/>
  <c r="O4352" i="9"/>
  <c r="I4353" i="9"/>
  <c r="J4353" i="9"/>
  <c r="K4353" i="9"/>
  <c r="N4353" i="9"/>
  <c r="O4353" i="9"/>
  <c r="I4354" i="9"/>
  <c r="J4354" i="9"/>
  <c r="K4354" i="9"/>
  <c r="N4354" i="9"/>
  <c r="O4354" i="9"/>
  <c r="I4355" i="9"/>
  <c r="K4355" i="9"/>
  <c r="N4355" i="9"/>
  <c r="O4355" i="9"/>
  <c r="I4356" i="9"/>
  <c r="K4356" i="9"/>
  <c r="N4356" i="9"/>
  <c r="O4356" i="9"/>
  <c r="I4357" i="9"/>
  <c r="K4357" i="9"/>
  <c r="N4357" i="9"/>
  <c r="O4357" i="9"/>
  <c r="J4358" i="9"/>
  <c r="K4358" i="9"/>
  <c r="N4358" i="9"/>
  <c r="O4358" i="9"/>
  <c r="N4359" i="9"/>
  <c r="O4359" i="9"/>
  <c r="N4360" i="9"/>
  <c r="O4360" i="9"/>
  <c r="I4361" i="9"/>
  <c r="J4361" i="9"/>
  <c r="K4361" i="9"/>
  <c r="N4361" i="9"/>
  <c r="O4361" i="9"/>
  <c r="I4362" i="9"/>
  <c r="J4362" i="9"/>
  <c r="K4362" i="9"/>
  <c r="N4362" i="9"/>
  <c r="O4362" i="9"/>
  <c r="J4363" i="9"/>
  <c r="K4363" i="9"/>
  <c r="N4363" i="9"/>
  <c r="O4363" i="9"/>
  <c r="J4364" i="9"/>
  <c r="K4364" i="9"/>
  <c r="N4364" i="9"/>
  <c r="O4364" i="9"/>
  <c r="I4365" i="9"/>
  <c r="J4365" i="9"/>
  <c r="K4365" i="9"/>
  <c r="N4365" i="9"/>
  <c r="O4365" i="9"/>
  <c r="I4366" i="9"/>
  <c r="J4366" i="9"/>
  <c r="K4366" i="9"/>
  <c r="N4366" i="9"/>
  <c r="O4366" i="9"/>
  <c r="I4367" i="9"/>
  <c r="J4367" i="9"/>
  <c r="K4367" i="9"/>
  <c r="N4367" i="9"/>
  <c r="O4367" i="9"/>
  <c r="I4368" i="9"/>
  <c r="J4368" i="9"/>
  <c r="K4368" i="9"/>
  <c r="N4368" i="9"/>
  <c r="O4368" i="9"/>
  <c r="I4369" i="9"/>
  <c r="J4369" i="9"/>
  <c r="K4369" i="9"/>
  <c r="N4369" i="9"/>
  <c r="O4369" i="9"/>
  <c r="I4370" i="9"/>
  <c r="J4370" i="9"/>
  <c r="K4370" i="9"/>
  <c r="N4370" i="9"/>
  <c r="O4370" i="9"/>
  <c r="I4371" i="9"/>
  <c r="J4371" i="9"/>
  <c r="K4371" i="9"/>
  <c r="N4371" i="9"/>
  <c r="O4371" i="9"/>
  <c r="I4372" i="9"/>
  <c r="J4372" i="9"/>
  <c r="K4372" i="9"/>
  <c r="N4372" i="9"/>
  <c r="O4372" i="9"/>
  <c r="I4373" i="9"/>
  <c r="J4373" i="9"/>
  <c r="K4373" i="9"/>
  <c r="N4373" i="9"/>
  <c r="O4373" i="9"/>
  <c r="I4374" i="9"/>
  <c r="K4374" i="9"/>
  <c r="N4374" i="9"/>
  <c r="O4374" i="9"/>
  <c r="I4375" i="9"/>
  <c r="K4375" i="9"/>
  <c r="N4375" i="9"/>
  <c r="O4375" i="9"/>
  <c r="I4376" i="9"/>
  <c r="K4376" i="9"/>
  <c r="N4376" i="9"/>
  <c r="O4376" i="9"/>
  <c r="I4377" i="9"/>
  <c r="K4377" i="9"/>
  <c r="N4377" i="9"/>
  <c r="O4377" i="9"/>
  <c r="I4378" i="9"/>
  <c r="K4378" i="9"/>
  <c r="N4378" i="9"/>
  <c r="O4378" i="9"/>
  <c r="I4379" i="9"/>
  <c r="K4379" i="9"/>
  <c r="N4379" i="9"/>
  <c r="O4379" i="9"/>
  <c r="K4380" i="9"/>
  <c r="N4380" i="9"/>
  <c r="O4380" i="9"/>
  <c r="K4381" i="9"/>
  <c r="N4381" i="9"/>
  <c r="O4381" i="9"/>
  <c r="N4382" i="9"/>
  <c r="O4382" i="9"/>
  <c r="N4383" i="9"/>
  <c r="O4383" i="9"/>
  <c r="N4384" i="9"/>
  <c r="O4384" i="9"/>
  <c r="N4385" i="9"/>
  <c r="O4385" i="9"/>
  <c r="N4386" i="9"/>
  <c r="O4386" i="9"/>
  <c r="N4387" i="9"/>
  <c r="O4387" i="9"/>
  <c r="N4388" i="9"/>
  <c r="O4388" i="9"/>
  <c r="N4389" i="9"/>
  <c r="O4389" i="9"/>
  <c r="J4390" i="9"/>
  <c r="K4390" i="9"/>
  <c r="N4390" i="9"/>
  <c r="O4390" i="9"/>
  <c r="I4391" i="9"/>
  <c r="J4391" i="9"/>
  <c r="K4391" i="9"/>
  <c r="N4391" i="9"/>
  <c r="O4391" i="9"/>
  <c r="J4392" i="9"/>
  <c r="K4392" i="9"/>
  <c r="N4392" i="9"/>
  <c r="O4392" i="9"/>
  <c r="I4393" i="9"/>
  <c r="J4393" i="9"/>
  <c r="K4393" i="9"/>
  <c r="N4393" i="9"/>
  <c r="O4393" i="9"/>
  <c r="I4394" i="9"/>
  <c r="J4394" i="9"/>
  <c r="K4394" i="9"/>
  <c r="N4394" i="9"/>
  <c r="O4394" i="9"/>
  <c r="I4395" i="9"/>
  <c r="K4395" i="9"/>
  <c r="N4395" i="9"/>
  <c r="O4395" i="9"/>
  <c r="J4396" i="9"/>
  <c r="K4396" i="9"/>
  <c r="N4396" i="9"/>
  <c r="O4396" i="9"/>
  <c r="J4397" i="9"/>
  <c r="K4397" i="9"/>
  <c r="N4397" i="9"/>
  <c r="O4397" i="9"/>
  <c r="J4398" i="9"/>
  <c r="K4398" i="9"/>
  <c r="N4398" i="9"/>
  <c r="O4398" i="9"/>
  <c r="I4399" i="9"/>
  <c r="J4399" i="9"/>
  <c r="K4399" i="9"/>
  <c r="N4399" i="9"/>
  <c r="O4399" i="9"/>
  <c r="I4400" i="9"/>
  <c r="J4400" i="9"/>
  <c r="K4400" i="9"/>
  <c r="N4400" i="9"/>
  <c r="O4400" i="9"/>
  <c r="I4401" i="9"/>
  <c r="J4401" i="9"/>
  <c r="K4401" i="9"/>
  <c r="N4401" i="9"/>
  <c r="O4401" i="9"/>
  <c r="I4402" i="9"/>
  <c r="J4402" i="9"/>
  <c r="K4402" i="9"/>
  <c r="N4402" i="9"/>
  <c r="O4402" i="9"/>
  <c r="I4403" i="9"/>
  <c r="J4403" i="9"/>
  <c r="K4403" i="9"/>
  <c r="N4403" i="9"/>
  <c r="O4403" i="9"/>
  <c r="I4404" i="9"/>
  <c r="J4404" i="9"/>
  <c r="K4404" i="9"/>
  <c r="N4404" i="9"/>
  <c r="O4404" i="9"/>
  <c r="I4405" i="9"/>
  <c r="J4405" i="9"/>
  <c r="K4405" i="9"/>
  <c r="N4405" i="9"/>
  <c r="O4405" i="9"/>
  <c r="I4406" i="9"/>
  <c r="J4406" i="9"/>
  <c r="K4406" i="9"/>
  <c r="N4406" i="9"/>
  <c r="O4406" i="9"/>
  <c r="I4407" i="9"/>
  <c r="J4407" i="9"/>
  <c r="K4407" i="9"/>
  <c r="N4407" i="9"/>
  <c r="O4407" i="9"/>
  <c r="I4408" i="9"/>
  <c r="K4408" i="9"/>
  <c r="N4408" i="9"/>
  <c r="O4408" i="9"/>
  <c r="I4409" i="9"/>
  <c r="K4409" i="9"/>
  <c r="N4409" i="9"/>
  <c r="O4409" i="9"/>
  <c r="I4410" i="9"/>
  <c r="K4410" i="9"/>
  <c r="N4410" i="9"/>
  <c r="O4410" i="9"/>
  <c r="K4411" i="9"/>
  <c r="N4411" i="9"/>
  <c r="O4411" i="9"/>
  <c r="N4412" i="9"/>
  <c r="O4412" i="9"/>
  <c r="N4413" i="9"/>
  <c r="O4413" i="9"/>
  <c r="N4414" i="9"/>
  <c r="O4414" i="9"/>
  <c r="N4415" i="9"/>
  <c r="O4415" i="9"/>
  <c r="J4416" i="9"/>
  <c r="K4416" i="9"/>
  <c r="N4416" i="9"/>
  <c r="O4416" i="9"/>
  <c r="J4417" i="9"/>
  <c r="K4417" i="9"/>
  <c r="N4417" i="9"/>
  <c r="O4417" i="9"/>
  <c r="J4418" i="9"/>
  <c r="K4418" i="9"/>
  <c r="N4418" i="9"/>
  <c r="O4418" i="9"/>
  <c r="I4419" i="9"/>
  <c r="J4419" i="9"/>
  <c r="K4419" i="9"/>
  <c r="N4419" i="9"/>
  <c r="O4419" i="9"/>
  <c r="I4420" i="9"/>
  <c r="J4420" i="9"/>
  <c r="K4420" i="9"/>
  <c r="N4420" i="9"/>
  <c r="O4420" i="9"/>
  <c r="J4421" i="9"/>
  <c r="K4421" i="9"/>
  <c r="N4421" i="9"/>
  <c r="O4421" i="9"/>
  <c r="I4422" i="9"/>
  <c r="K4422" i="9"/>
  <c r="N4422" i="9"/>
  <c r="O4422" i="9"/>
  <c r="I4423" i="9"/>
  <c r="K4423" i="9"/>
  <c r="N4423" i="9"/>
  <c r="O4423" i="9"/>
  <c r="I4424" i="9"/>
  <c r="K4424" i="9"/>
  <c r="N4424" i="9"/>
  <c r="O4424" i="9"/>
  <c r="I4425" i="9"/>
  <c r="K4425" i="9"/>
  <c r="O4425" i="9"/>
  <c r="I4426" i="9"/>
  <c r="K4426" i="9"/>
  <c r="N4426" i="9"/>
  <c r="O4426" i="9"/>
  <c r="I4427" i="9"/>
  <c r="K4427" i="9"/>
  <c r="N4427" i="9"/>
  <c r="O4427" i="9"/>
  <c r="I4428" i="9"/>
  <c r="K4428" i="9"/>
  <c r="N4428" i="9"/>
  <c r="O4428" i="9"/>
  <c r="I4429" i="9"/>
  <c r="K4429" i="9"/>
  <c r="N4429" i="9"/>
  <c r="O4429" i="9"/>
  <c r="I4430" i="9"/>
  <c r="K4430" i="9"/>
  <c r="N4430" i="9"/>
  <c r="O4430" i="9"/>
  <c r="I4431" i="9"/>
  <c r="K4431" i="9"/>
  <c r="N4431" i="9"/>
  <c r="O4431" i="9"/>
  <c r="I4432" i="9"/>
  <c r="K4432" i="9"/>
  <c r="N4432" i="9"/>
  <c r="O4432" i="9"/>
  <c r="N4433" i="9"/>
  <c r="O4433" i="9"/>
  <c r="I4434" i="9"/>
  <c r="J4434" i="9"/>
  <c r="K4434" i="9"/>
  <c r="N4434" i="9"/>
  <c r="O4434" i="9"/>
  <c r="I4435" i="9"/>
  <c r="J4435" i="9"/>
  <c r="K4435" i="9"/>
  <c r="N4435" i="9"/>
  <c r="O4435" i="9"/>
  <c r="I4436" i="9"/>
  <c r="J4436" i="9"/>
  <c r="K4436" i="9"/>
  <c r="N4436" i="9"/>
  <c r="O4436" i="9"/>
  <c r="I4437" i="9"/>
  <c r="J4437" i="9"/>
  <c r="K4437" i="9"/>
  <c r="N4437" i="9"/>
  <c r="O4437" i="9"/>
  <c r="I4438" i="9"/>
  <c r="J4438" i="9"/>
  <c r="K4438" i="9"/>
  <c r="N4438" i="9"/>
  <c r="O4438" i="9"/>
  <c r="I4439" i="9"/>
  <c r="J4439" i="9"/>
  <c r="K4439" i="9"/>
  <c r="N4439" i="9"/>
  <c r="O4439" i="9"/>
  <c r="I4440" i="9"/>
  <c r="J4440" i="9"/>
  <c r="K4440" i="9"/>
  <c r="N4440" i="9"/>
  <c r="O4440" i="9"/>
  <c r="I4441" i="9"/>
  <c r="J4441" i="9"/>
  <c r="K4441" i="9"/>
  <c r="N4441" i="9"/>
  <c r="O4441" i="9"/>
  <c r="I4442" i="9"/>
  <c r="J4442" i="9"/>
  <c r="K4442" i="9"/>
  <c r="N4442" i="9"/>
  <c r="O4442" i="9"/>
  <c r="I4443" i="9"/>
  <c r="J4443" i="9"/>
  <c r="K4443" i="9"/>
  <c r="N4443" i="9"/>
  <c r="O4443" i="9"/>
  <c r="I4444" i="9"/>
  <c r="J4444" i="9"/>
  <c r="K4444" i="9"/>
  <c r="N4444" i="9"/>
  <c r="O4444" i="9"/>
  <c r="I4445" i="9"/>
  <c r="J4445" i="9"/>
  <c r="K4445" i="9"/>
  <c r="N4445" i="9"/>
  <c r="O4445" i="9"/>
  <c r="I4446" i="9"/>
  <c r="J4446" i="9"/>
  <c r="K4446" i="9"/>
  <c r="N4446" i="9"/>
  <c r="O4446" i="9"/>
  <c r="I4447" i="9"/>
  <c r="J4447" i="9"/>
  <c r="K4447" i="9"/>
  <c r="N4447" i="9"/>
  <c r="O4447" i="9"/>
  <c r="I4448" i="9"/>
  <c r="J4448" i="9"/>
  <c r="K4448" i="9"/>
  <c r="N4448" i="9"/>
  <c r="O4448" i="9"/>
  <c r="I4449" i="9"/>
  <c r="J4449" i="9"/>
  <c r="K4449" i="9"/>
  <c r="N4449" i="9"/>
  <c r="O4449" i="9"/>
  <c r="I4450" i="9"/>
  <c r="J4450" i="9"/>
  <c r="K4450" i="9"/>
  <c r="N4450" i="9"/>
  <c r="O4450" i="9"/>
  <c r="I4451" i="9"/>
  <c r="J4451" i="9"/>
  <c r="K4451" i="9"/>
  <c r="N4451" i="9"/>
  <c r="O4451" i="9"/>
  <c r="I4452" i="9"/>
  <c r="J4452" i="9"/>
  <c r="K4452" i="9"/>
  <c r="N4452" i="9"/>
  <c r="O4452" i="9"/>
  <c r="I4453" i="9"/>
  <c r="J4453" i="9"/>
  <c r="K4453" i="9"/>
  <c r="N4453" i="9"/>
  <c r="O4453" i="9"/>
  <c r="I4454" i="9"/>
  <c r="J4454" i="9"/>
  <c r="K4454" i="9"/>
  <c r="N4454" i="9"/>
  <c r="O4454" i="9"/>
  <c r="I4455" i="9"/>
  <c r="J4455" i="9"/>
  <c r="K4455" i="9"/>
  <c r="N4455" i="9"/>
  <c r="O4455" i="9"/>
  <c r="I4456" i="9"/>
  <c r="J4456" i="9"/>
  <c r="K4456" i="9"/>
  <c r="N4456" i="9"/>
  <c r="O4456" i="9"/>
  <c r="N4457" i="9"/>
  <c r="I4457" i="9"/>
  <c r="J4457" i="9"/>
  <c r="K4457" i="9"/>
  <c r="O4457" i="9"/>
  <c r="K4458" i="9"/>
  <c r="N4458" i="9"/>
  <c r="O4458" i="9"/>
  <c r="J4459" i="9"/>
  <c r="K4459" i="9"/>
  <c r="N4459" i="9"/>
  <c r="O4459" i="9"/>
  <c r="N4460" i="9"/>
  <c r="O4460" i="9"/>
  <c r="K4461" i="9"/>
  <c r="N4461" i="9"/>
  <c r="O4461" i="9"/>
  <c r="N4462" i="9"/>
  <c r="O4462" i="9"/>
  <c r="N4463" i="9"/>
  <c r="O4463" i="9"/>
  <c r="N4464" i="9"/>
  <c r="O4464" i="9"/>
  <c r="N4465" i="9"/>
  <c r="O4465" i="9"/>
  <c r="N4466" i="9"/>
  <c r="O4466" i="9"/>
  <c r="N4467" i="9"/>
  <c r="O4467" i="9"/>
  <c r="J4468" i="9"/>
  <c r="K4468" i="9"/>
  <c r="N4468" i="9"/>
  <c r="O4468" i="9"/>
  <c r="J4469" i="9"/>
  <c r="K4469" i="9"/>
  <c r="N4469" i="9"/>
  <c r="O4469" i="9"/>
  <c r="J4470" i="9"/>
  <c r="K4470" i="9"/>
  <c r="N4470" i="9"/>
  <c r="O4470" i="9"/>
  <c r="K4471" i="9"/>
  <c r="N4471" i="9"/>
  <c r="O4471" i="9"/>
  <c r="N4472" i="9"/>
  <c r="O4472" i="9"/>
  <c r="N4473" i="9"/>
  <c r="O4473" i="9"/>
  <c r="N4474" i="9"/>
  <c r="O4474" i="9"/>
  <c r="N4475" i="9"/>
  <c r="O4475" i="9"/>
  <c r="N4476" i="9"/>
  <c r="O4476" i="9"/>
  <c r="J4477" i="9"/>
  <c r="K4477" i="9"/>
  <c r="N4477" i="9"/>
  <c r="O4477" i="9"/>
  <c r="N4478" i="9"/>
  <c r="O4478" i="9"/>
  <c r="N4479" i="9"/>
  <c r="O4479" i="9"/>
  <c r="N4480" i="9"/>
  <c r="O4480" i="9"/>
  <c r="N4481" i="9"/>
  <c r="O4481" i="9"/>
  <c r="N4482" i="9"/>
  <c r="O4482" i="9"/>
  <c r="N4483" i="9"/>
  <c r="O4483" i="9"/>
  <c r="N4484" i="9"/>
  <c r="O4484" i="9"/>
  <c r="J4485" i="9"/>
  <c r="K4485" i="9"/>
  <c r="N4485" i="9"/>
  <c r="O4485" i="9"/>
  <c r="J4486" i="9"/>
  <c r="K4486" i="9"/>
  <c r="N4486" i="9"/>
  <c r="O4486" i="9"/>
  <c r="J4487" i="9"/>
  <c r="K4487" i="9"/>
  <c r="N4487" i="9"/>
  <c r="O4487" i="9"/>
  <c r="J4488" i="9"/>
  <c r="K4488" i="9"/>
  <c r="N4488" i="9"/>
  <c r="O4488" i="9"/>
  <c r="N4489" i="9"/>
  <c r="O4489" i="9"/>
  <c r="I4490" i="9"/>
  <c r="J4490" i="9"/>
  <c r="K4490" i="9"/>
  <c r="N4490" i="9"/>
  <c r="O4490" i="9"/>
  <c r="I4491" i="9"/>
  <c r="J4491" i="9"/>
  <c r="K4491" i="9"/>
  <c r="N4491" i="9"/>
  <c r="O4491" i="9"/>
  <c r="I4492" i="9"/>
  <c r="J4492" i="9"/>
  <c r="K4492" i="9"/>
  <c r="N4492" i="9"/>
  <c r="O4492" i="9"/>
  <c r="I4493" i="9"/>
  <c r="K4493" i="9"/>
  <c r="N4493" i="9"/>
  <c r="O4493" i="9"/>
  <c r="N4494" i="9"/>
  <c r="O4494" i="9"/>
  <c r="I4495" i="9"/>
  <c r="K4495" i="9"/>
  <c r="N4495" i="9"/>
  <c r="O4495" i="9"/>
  <c r="I4496" i="9"/>
  <c r="K4496" i="9"/>
  <c r="N4496" i="9"/>
  <c r="O4496" i="9"/>
  <c r="I4497" i="9"/>
  <c r="K4497" i="9"/>
  <c r="N4497" i="9"/>
  <c r="O4497" i="9"/>
  <c r="I4498" i="9"/>
  <c r="K4498" i="9"/>
  <c r="N4498" i="9"/>
  <c r="O4498" i="9"/>
  <c r="I4499" i="9"/>
  <c r="K4499" i="9"/>
  <c r="N4499" i="9"/>
  <c r="O4499" i="9"/>
  <c r="I4500" i="9"/>
  <c r="K4500" i="9"/>
  <c r="N4500" i="9"/>
  <c r="O4500" i="9"/>
  <c r="J4501" i="9"/>
  <c r="K4501" i="9"/>
  <c r="N4501" i="9"/>
  <c r="O4501" i="9"/>
  <c r="J4502" i="9"/>
  <c r="K4502" i="9"/>
  <c r="N4502" i="9"/>
  <c r="O4502" i="9"/>
  <c r="J4503" i="9"/>
  <c r="K4503" i="9"/>
  <c r="N4503" i="9"/>
  <c r="O4503" i="9"/>
  <c r="J4504" i="9"/>
  <c r="K4504" i="9"/>
  <c r="N4504" i="9"/>
  <c r="O4504" i="9"/>
  <c r="N4505" i="9"/>
  <c r="O4505" i="9"/>
  <c r="N4506" i="9"/>
  <c r="O4506" i="9"/>
  <c r="N4507" i="9"/>
  <c r="O4507" i="9"/>
  <c r="J4508" i="9"/>
  <c r="K4508" i="9"/>
  <c r="N4508" i="9"/>
  <c r="O4508" i="9"/>
  <c r="J4509" i="9"/>
  <c r="K4509" i="9"/>
  <c r="N4509" i="9"/>
  <c r="O4509" i="9"/>
  <c r="I4510" i="9"/>
  <c r="J4510" i="9"/>
  <c r="K4510" i="9"/>
  <c r="N4510" i="9"/>
  <c r="O4510" i="9"/>
  <c r="I4511" i="9"/>
  <c r="J4511" i="9"/>
  <c r="K4511" i="9"/>
  <c r="N4511" i="9"/>
  <c r="O4511" i="9"/>
  <c r="I4512" i="9"/>
  <c r="J4512" i="9"/>
  <c r="K4512" i="9"/>
  <c r="N4512" i="9"/>
  <c r="O4512" i="9"/>
  <c r="I4513" i="9"/>
  <c r="J4513" i="9"/>
  <c r="K4513" i="9"/>
  <c r="N4513" i="9"/>
  <c r="O4513" i="9"/>
  <c r="I4514" i="9"/>
  <c r="K4514" i="9"/>
  <c r="N4514" i="9"/>
  <c r="O4514" i="9"/>
  <c r="I4515" i="9"/>
  <c r="K4515" i="9"/>
  <c r="N4515" i="9"/>
  <c r="O4515" i="9"/>
  <c r="J4516" i="9"/>
  <c r="K4516" i="9"/>
  <c r="N4516" i="9"/>
  <c r="O4516" i="9"/>
  <c r="N4517" i="9"/>
  <c r="O4517" i="9"/>
  <c r="N4518" i="9"/>
  <c r="O4518" i="9"/>
  <c r="I4519" i="9"/>
  <c r="K4519" i="9"/>
  <c r="N4519" i="9"/>
  <c r="O4519" i="9"/>
  <c r="I4520" i="9"/>
  <c r="K4520" i="9"/>
  <c r="N4520" i="9"/>
  <c r="O4520" i="9"/>
  <c r="I4521" i="9"/>
  <c r="J4521" i="9"/>
  <c r="K4521" i="9"/>
  <c r="N4521" i="9"/>
  <c r="O4521" i="9"/>
  <c r="N4522" i="9"/>
  <c r="O4522" i="9"/>
  <c r="N4523" i="9"/>
  <c r="O4523" i="9"/>
  <c r="I4524" i="9"/>
  <c r="K4524" i="9"/>
  <c r="N4524" i="9"/>
  <c r="O4524" i="9"/>
  <c r="I4525" i="9"/>
  <c r="K4525" i="9"/>
  <c r="N4525" i="9"/>
  <c r="O4525" i="9"/>
  <c r="I4526" i="9"/>
  <c r="J4526" i="9"/>
  <c r="K4526" i="9"/>
  <c r="N4526" i="9"/>
  <c r="O4526" i="9"/>
  <c r="I4527" i="9"/>
  <c r="J4527" i="9"/>
  <c r="K4527" i="9"/>
  <c r="N4527" i="9"/>
  <c r="O4527" i="9"/>
  <c r="I4528" i="9"/>
  <c r="J4528" i="9"/>
  <c r="K4528" i="9"/>
  <c r="N4528" i="9"/>
  <c r="O4528" i="9"/>
  <c r="I4529" i="9"/>
  <c r="J4529" i="9"/>
  <c r="K4529" i="9"/>
  <c r="N4529" i="9"/>
  <c r="O4529" i="9"/>
  <c r="I4530" i="9"/>
  <c r="J4530" i="9"/>
  <c r="K4530" i="9"/>
  <c r="N4530" i="9"/>
  <c r="O4530" i="9"/>
  <c r="I4531" i="9"/>
  <c r="J4531" i="9"/>
  <c r="K4531" i="9"/>
  <c r="N4531" i="9"/>
  <c r="O4531" i="9"/>
  <c r="N4532" i="9"/>
  <c r="O4532" i="9"/>
  <c r="I4533" i="9"/>
  <c r="J4533" i="9"/>
  <c r="K4533" i="9"/>
  <c r="N4533" i="9"/>
  <c r="O4533" i="9"/>
  <c r="I4534" i="9"/>
  <c r="J4534" i="9"/>
  <c r="K4534" i="9"/>
  <c r="N4534" i="9"/>
  <c r="O4534" i="9"/>
  <c r="I4535" i="9"/>
  <c r="K4535" i="9"/>
  <c r="N4535" i="9"/>
  <c r="O4535" i="9"/>
  <c r="J4536" i="9"/>
  <c r="K4536" i="9"/>
  <c r="N4536" i="9"/>
  <c r="O4536" i="9"/>
  <c r="N4537" i="9"/>
  <c r="O4537" i="9"/>
  <c r="J4538" i="9"/>
  <c r="K4538" i="9"/>
  <c r="N4538" i="9"/>
  <c r="O4538" i="9"/>
  <c r="J4539" i="9"/>
  <c r="K4539" i="9"/>
  <c r="N4539" i="9"/>
  <c r="O4539" i="9"/>
  <c r="J4540" i="9"/>
  <c r="K4540" i="9"/>
  <c r="N4540" i="9"/>
  <c r="O4540" i="9"/>
  <c r="N4541" i="9"/>
  <c r="I4541" i="9"/>
  <c r="J4541" i="9"/>
  <c r="K4541" i="9"/>
  <c r="O4541" i="9"/>
  <c r="I4542" i="9"/>
  <c r="J4542" i="9"/>
  <c r="K4542" i="9"/>
  <c r="N4542" i="9"/>
  <c r="O4542" i="9"/>
  <c r="K4543" i="9"/>
  <c r="N4543" i="9"/>
  <c r="O4543" i="9"/>
  <c r="N4544" i="9"/>
  <c r="O4544" i="9"/>
  <c r="J4545" i="9"/>
  <c r="K4545" i="9"/>
  <c r="N4545" i="9"/>
  <c r="O4545" i="9"/>
  <c r="N4546" i="9"/>
  <c r="O4546" i="9"/>
  <c r="J4547" i="9"/>
  <c r="K4547" i="9"/>
  <c r="N4547" i="9"/>
  <c r="O4547" i="9"/>
  <c r="J4548" i="9"/>
  <c r="K4548" i="9"/>
  <c r="N4548" i="9"/>
  <c r="O4548" i="9"/>
  <c r="J4549" i="9"/>
  <c r="K4549" i="9"/>
  <c r="N4549" i="9"/>
  <c r="O4549" i="9"/>
  <c r="J4550" i="9"/>
  <c r="K4550" i="9"/>
  <c r="N4550" i="9"/>
  <c r="O4550" i="9"/>
  <c r="I4551" i="9"/>
  <c r="J4551" i="9"/>
  <c r="K4551" i="9"/>
  <c r="N4551" i="9"/>
  <c r="O4551" i="9"/>
  <c r="I4552" i="9"/>
  <c r="J4552" i="9"/>
  <c r="K4552" i="9"/>
  <c r="N4552" i="9"/>
  <c r="O4552" i="9"/>
  <c r="I4254" i="9"/>
  <c r="K4254" i="9"/>
  <c r="N4254" i="9"/>
  <c r="O4254" i="9"/>
  <c r="I4255" i="9"/>
  <c r="J4255" i="9"/>
  <c r="K4255" i="9"/>
  <c r="N4255" i="9"/>
  <c r="O4255" i="9"/>
  <c r="I4256" i="9"/>
  <c r="J4256" i="9"/>
  <c r="K4256" i="9"/>
  <c r="N4256" i="9"/>
  <c r="O4256" i="9"/>
  <c r="I4257" i="9"/>
  <c r="J4257" i="9"/>
  <c r="K4257" i="9"/>
  <c r="M4257" i="9"/>
  <c r="N4257" i="9"/>
  <c r="O4257" i="9"/>
  <c r="I4258" i="9"/>
  <c r="J4258" i="9"/>
  <c r="K4258" i="9"/>
  <c r="N4258" i="9"/>
  <c r="O4258" i="9"/>
  <c r="N4259" i="9"/>
  <c r="O4259" i="9"/>
  <c r="I4260" i="9"/>
  <c r="J4260" i="9"/>
  <c r="K4260" i="9"/>
  <c r="N4260" i="9"/>
  <c r="O4260" i="9"/>
  <c r="I4261" i="9"/>
  <c r="J4261" i="9"/>
  <c r="K4261" i="9"/>
  <c r="N4261" i="9"/>
  <c r="O4261" i="9"/>
  <c r="J4262" i="9"/>
  <c r="K4262" i="9"/>
  <c r="N4262" i="9"/>
  <c r="O4262" i="9"/>
  <c r="I4263" i="9"/>
  <c r="J4263" i="9"/>
  <c r="K4263" i="9"/>
  <c r="N4263" i="9"/>
  <c r="O4263" i="9"/>
  <c r="I4264" i="9"/>
  <c r="J4264" i="9"/>
  <c r="K4264" i="9"/>
  <c r="N4264" i="9"/>
  <c r="O4264" i="9"/>
  <c r="K4265" i="9"/>
  <c r="N4265" i="9"/>
  <c r="O4265" i="9"/>
  <c r="I4266" i="9"/>
  <c r="J4266" i="9"/>
  <c r="K4266" i="9"/>
  <c r="N4266" i="9"/>
  <c r="O4266" i="9"/>
  <c r="J4267" i="9"/>
  <c r="K4267" i="9"/>
  <c r="N4267" i="9"/>
  <c r="O4267" i="9"/>
  <c r="K4268" i="9"/>
  <c r="N4268" i="9"/>
  <c r="O4268" i="9"/>
  <c r="N4237" i="9"/>
  <c r="O4237" i="9"/>
  <c r="I4238" i="9"/>
  <c r="J4238" i="9"/>
  <c r="K4238" i="9"/>
  <c r="N4238" i="9"/>
  <c r="O4238" i="9"/>
  <c r="I4239" i="9"/>
  <c r="J4239" i="9"/>
  <c r="K4239" i="9"/>
  <c r="N4239" i="9"/>
  <c r="O4239" i="9"/>
  <c r="I4240" i="9"/>
  <c r="J4240" i="9"/>
  <c r="K4240" i="9"/>
  <c r="N4240" i="9"/>
  <c r="O4240" i="9"/>
  <c r="J4241" i="9"/>
  <c r="K4241" i="9"/>
  <c r="N4241" i="9"/>
  <c r="O4241" i="9"/>
  <c r="K4242" i="9"/>
  <c r="N4242" i="9"/>
  <c r="O4242" i="9"/>
  <c r="J4243" i="9"/>
  <c r="K4243" i="9"/>
  <c r="N4243" i="9"/>
  <c r="O4243" i="9"/>
  <c r="N4244" i="9"/>
  <c r="O4244" i="9"/>
  <c r="K4245" i="9"/>
  <c r="N4245" i="9"/>
  <c r="O4245" i="9"/>
  <c r="J4246" i="9"/>
  <c r="K4246" i="9"/>
  <c r="N4246" i="9"/>
  <c r="O4246" i="9"/>
  <c r="J4247" i="9"/>
  <c r="K4247" i="9"/>
  <c r="N4247" i="9"/>
  <c r="O4247" i="9"/>
  <c r="N4248" i="9"/>
  <c r="O4248" i="9"/>
  <c r="J4249" i="9"/>
  <c r="K4249" i="9"/>
  <c r="N4249" i="9"/>
  <c r="O4249" i="9"/>
  <c r="J4250" i="9"/>
  <c r="K4250" i="9"/>
  <c r="N4250" i="9"/>
  <c r="O4250" i="9"/>
  <c r="N4251" i="9"/>
  <c r="O4251" i="9"/>
  <c r="I4252" i="9"/>
  <c r="K4252" i="9"/>
  <c r="N4252" i="9"/>
  <c r="O4252" i="9"/>
  <c r="I4253" i="9"/>
  <c r="K4253" i="9"/>
  <c r="N4253" i="9"/>
  <c r="O4253" i="9"/>
  <c r="K4224" i="9"/>
  <c r="N4224" i="9"/>
  <c r="O4224" i="9"/>
  <c r="J4225" i="9"/>
  <c r="K4225" i="9"/>
  <c r="N4225" i="9"/>
  <c r="O4225" i="9"/>
  <c r="I4226" i="9"/>
  <c r="J4226" i="9"/>
  <c r="K4226" i="9"/>
  <c r="N4226" i="9"/>
  <c r="O4226" i="9"/>
  <c r="I4227" i="9"/>
  <c r="J4227" i="9"/>
  <c r="K4227" i="9"/>
  <c r="N4227" i="9"/>
  <c r="O4227" i="9"/>
  <c r="I4228" i="9"/>
  <c r="J4228" i="9"/>
  <c r="K4228" i="9"/>
  <c r="N4228" i="9"/>
  <c r="O4228" i="9"/>
  <c r="I4229" i="9"/>
  <c r="J4229" i="9"/>
  <c r="K4229" i="9"/>
  <c r="N4229" i="9"/>
  <c r="O4229" i="9"/>
  <c r="I4230" i="9"/>
  <c r="K4230" i="9"/>
  <c r="N4230" i="9"/>
  <c r="O4230" i="9"/>
  <c r="I4231" i="9"/>
  <c r="K4231" i="9"/>
  <c r="N4231" i="9"/>
  <c r="O4231" i="9"/>
  <c r="K4232" i="9"/>
  <c r="N4232" i="9"/>
  <c r="O4232" i="9"/>
  <c r="N4233" i="9"/>
  <c r="O4233" i="9"/>
  <c r="N4234" i="9"/>
  <c r="O4234" i="9"/>
  <c r="N4235" i="9"/>
  <c r="O4235" i="9"/>
  <c r="N4236" i="9"/>
  <c r="O4236" i="9"/>
  <c r="I3947" i="9"/>
  <c r="M4147" i="9"/>
  <c r="M4145" i="9"/>
  <c r="M4045" i="9"/>
  <c r="M3204" i="9"/>
  <c r="H4522" i="9"/>
  <c r="M3184" i="9"/>
  <c r="M3167" i="9"/>
  <c r="M3619" i="9"/>
  <c r="M3621" i="9"/>
  <c r="M3905" i="9"/>
  <c r="M3859" i="9"/>
  <c r="K2973" i="9"/>
  <c r="M4098" i="9"/>
  <c r="E3981" i="9"/>
  <c r="N3971" i="9"/>
  <c r="K3971" i="9"/>
  <c r="O3971" i="9"/>
  <c r="N3972" i="9"/>
  <c r="O3972" i="9"/>
  <c r="N3973" i="9"/>
  <c r="O3973" i="9"/>
  <c r="N3974" i="9"/>
  <c r="O3974" i="9"/>
  <c r="N3975" i="9"/>
  <c r="O3975" i="9"/>
  <c r="N3976" i="9"/>
  <c r="O3976" i="9"/>
  <c r="N3977" i="9"/>
  <c r="O3977" i="9"/>
  <c r="N3978" i="9"/>
  <c r="O3978" i="9"/>
  <c r="N3979" i="9"/>
  <c r="O3979" i="9"/>
  <c r="N3980" i="9"/>
  <c r="O3980" i="9"/>
  <c r="N3981" i="9"/>
  <c r="O3981" i="9"/>
  <c r="N3982" i="9"/>
  <c r="O3982" i="9"/>
  <c r="N3983" i="9"/>
  <c r="O3983" i="9"/>
  <c r="N3984" i="9"/>
  <c r="O3984" i="9"/>
  <c r="N3985" i="9"/>
  <c r="O3985" i="9"/>
  <c r="N3986" i="9"/>
  <c r="O3986" i="9"/>
  <c r="N3987" i="9"/>
  <c r="O3987" i="9"/>
  <c r="J3988" i="9"/>
  <c r="K3988" i="9"/>
  <c r="N3988" i="9"/>
  <c r="O3988" i="9"/>
  <c r="N3989" i="9"/>
  <c r="O3989" i="9"/>
  <c r="J3990" i="9"/>
  <c r="K3990" i="9"/>
  <c r="N3990" i="9"/>
  <c r="O3990" i="9"/>
  <c r="N3991" i="9"/>
  <c r="O3991" i="9"/>
  <c r="J3992" i="9"/>
  <c r="K3992" i="9"/>
  <c r="N3992" i="9"/>
  <c r="O3992" i="9"/>
  <c r="I3993" i="9"/>
  <c r="J3993" i="9"/>
  <c r="K3993" i="9"/>
  <c r="N3993" i="9"/>
  <c r="O3993" i="9"/>
  <c r="I3994" i="9"/>
  <c r="J3994" i="9"/>
  <c r="K3994" i="9"/>
  <c r="N3994" i="9"/>
  <c r="O3994" i="9"/>
  <c r="I3995" i="9"/>
  <c r="J3995" i="9"/>
  <c r="K3995" i="9"/>
  <c r="N3995" i="9"/>
  <c r="O3995" i="9"/>
  <c r="I3996" i="9"/>
  <c r="J3996" i="9"/>
  <c r="K3996" i="9"/>
  <c r="N3996" i="9"/>
  <c r="O3996" i="9"/>
  <c r="I3997" i="9"/>
  <c r="J3997" i="9"/>
  <c r="K3997" i="9"/>
  <c r="N3997" i="9"/>
  <c r="O3997" i="9"/>
  <c r="N3998" i="9"/>
  <c r="O3998" i="9"/>
  <c r="I3999" i="9"/>
  <c r="J3999" i="9"/>
  <c r="K3999" i="9"/>
  <c r="N3999" i="9"/>
  <c r="O3999" i="9"/>
  <c r="I4000" i="9"/>
  <c r="J4000" i="9"/>
  <c r="K4000" i="9"/>
  <c r="N4000" i="9"/>
  <c r="O4000" i="9"/>
  <c r="I4001" i="9"/>
  <c r="J4001" i="9"/>
  <c r="K4001" i="9"/>
  <c r="N4001" i="9"/>
  <c r="O4001" i="9"/>
  <c r="I4002" i="9"/>
  <c r="J4002" i="9"/>
  <c r="K4002" i="9"/>
  <c r="N4002" i="9"/>
  <c r="O4002" i="9"/>
  <c r="N4003" i="9"/>
  <c r="O4003" i="9"/>
  <c r="I4004" i="9"/>
  <c r="J4004" i="9"/>
  <c r="K4004" i="9"/>
  <c r="N4004" i="9"/>
  <c r="O4004" i="9"/>
  <c r="I4005" i="9"/>
  <c r="J4005" i="9"/>
  <c r="K4005" i="9"/>
  <c r="N4005" i="9"/>
  <c r="O4005" i="9"/>
  <c r="I4006" i="9"/>
  <c r="J4006" i="9"/>
  <c r="K4006" i="9"/>
  <c r="N4006" i="9"/>
  <c r="O4006" i="9"/>
  <c r="I4007" i="9"/>
  <c r="J4007" i="9"/>
  <c r="K4007" i="9"/>
  <c r="N4007" i="9"/>
  <c r="O4007" i="9"/>
  <c r="N4008" i="9"/>
  <c r="I4008" i="9"/>
  <c r="J4008" i="9"/>
  <c r="K4008" i="9"/>
  <c r="O4008" i="9"/>
  <c r="I4009" i="9"/>
  <c r="K4009" i="9"/>
  <c r="N4009" i="9"/>
  <c r="O4009" i="9"/>
  <c r="I4010" i="9"/>
  <c r="K4010" i="9"/>
  <c r="N4010" i="9"/>
  <c r="O4010" i="9"/>
  <c r="I4011" i="9"/>
  <c r="K4011" i="9"/>
  <c r="N4011" i="9"/>
  <c r="O4011" i="9"/>
  <c r="I4012" i="9"/>
  <c r="K4012" i="9"/>
  <c r="N4012" i="9"/>
  <c r="O4012" i="9"/>
  <c r="I4013" i="9"/>
  <c r="K4013" i="9"/>
  <c r="N4013" i="9"/>
  <c r="O4013" i="9"/>
  <c r="I4014" i="9"/>
  <c r="K4014" i="9"/>
  <c r="N4014" i="9"/>
  <c r="O4014" i="9"/>
  <c r="N4015" i="9"/>
  <c r="O4015" i="9"/>
  <c r="I4016" i="9"/>
  <c r="K4016" i="9"/>
  <c r="N4016" i="9"/>
  <c r="O4016" i="9"/>
  <c r="I4017" i="9"/>
  <c r="K4017" i="9"/>
  <c r="N4017" i="9"/>
  <c r="O4017" i="9"/>
  <c r="I4018" i="9"/>
  <c r="K4018" i="9"/>
  <c r="N4018" i="9"/>
  <c r="O4018" i="9"/>
  <c r="N4019" i="9"/>
  <c r="O4019" i="9"/>
  <c r="N4020" i="9"/>
  <c r="O4020" i="9"/>
  <c r="J4021" i="9"/>
  <c r="K4021" i="9"/>
  <c r="N4021" i="9"/>
  <c r="O4021" i="9"/>
  <c r="J4022" i="9"/>
  <c r="K4022" i="9"/>
  <c r="N4022" i="9"/>
  <c r="O4022" i="9"/>
  <c r="J4023" i="9"/>
  <c r="K4023" i="9"/>
  <c r="N4023" i="9"/>
  <c r="O4023" i="9"/>
  <c r="K4024" i="9"/>
  <c r="N4024" i="9"/>
  <c r="O4024" i="9"/>
  <c r="N4025" i="9"/>
  <c r="O4025" i="9"/>
  <c r="N4026" i="9"/>
  <c r="O4026" i="9"/>
  <c r="N4027" i="9"/>
  <c r="O4027" i="9"/>
  <c r="N4028" i="9"/>
  <c r="O4028" i="9"/>
  <c r="J4029" i="9"/>
  <c r="K4029" i="9"/>
  <c r="N4029" i="9"/>
  <c r="O4029" i="9"/>
  <c r="J4030" i="9"/>
  <c r="K4030" i="9"/>
  <c r="N4030" i="9"/>
  <c r="O4030" i="9"/>
  <c r="N4031" i="9"/>
  <c r="O4031" i="9"/>
  <c r="N4032" i="9"/>
  <c r="J4032" i="9"/>
  <c r="K4032" i="9"/>
  <c r="O4032" i="9"/>
  <c r="N4033" i="9"/>
  <c r="J4033" i="9"/>
  <c r="K4033" i="9"/>
  <c r="O4033" i="9"/>
  <c r="N4034" i="9"/>
  <c r="O4034" i="9"/>
  <c r="I4035" i="9"/>
  <c r="J4035" i="9"/>
  <c r="K4035" i="9"/>
  <c r="N4035" i="9"/>
  <c r="O4035" i="9"/>
  <c r="I4036" i="9"/>
  <c r="J4036" i="9"/>
  <c r="K4036" i="9"/>
  <c r="N4036" i="9"/>
  <c r="O4036" i="9"/>
  <c r="I4037" i="9"/>
  <c r="J4037" i="9"/>
  <c r="K4037" i="9"/>
  <c r="N4037" i="9"/>
  <c r="O4037" i="9"/>
  <c r="I4038" i="9"/>
  <c r="J4038" i="9"/>
  <c r="K4038" i="9"/>
  <c r="N4038" i="9"/>
  <c r="O4038" i="9"/>
  <c r="I4039" i="9"/>
  <c r="J4039" i="9"/>
  <c r="K4039" i="9"/>
  <c r="N4039" i="9"/>
  <c r="O4039" i="9"/>
  <c r="I4040" i="9"/>
  <c r="J4040" i="9"/>
  <c r="K4040" i="9"/>
  <c r="N4040" i="9"/>
  <c r="O4040" i="9"/>
  <c r="I4041" i="9"/>
  <c r="J4041" i="9"/>
  <c r="K4041" i="9"/>
  <c r="N4041" i="9"/>
  <c r="O4041" i="9"/>
  <c r="J4042" i="9"/>
  <c r="K4042" i="9"/>
  <c r="N4042" i="9"/>
  <c r="O4042" i="9"/>
  <c r="J4043" i="9"/>
  <c r="K4043" i="9"/>
  <c r="N4043" i="9"/>
  <c r="O4043" i="9"/>
  <c r="I4044" i="9"/>
  <c r="K4044" i="9"/>
  <c r="N4044" i="9"/>
  <c r="O4044" i="9"/>
  <c r="I4045" i="9"/>
  <c r="K4045" i="9"/>
  <c r="N4045" i="9"/>
  <c r="O4045" i="9"/>
  <c r="I4046" i="9"/>
  <c r="K4046" i="9"/>
  <c r="N4046" i="9"/>
  <c r="O4046" i="9"/>
  <c r="I4047" i="9"/>
  <c r="K4047" i="9"/>
  <c r="N4047" i="9"/>
  <c r="O4047" i="9"/>
  <c r="I4048" i="9"/>
  <c r="K4048" i="9"/>
  <c r="N4048" i="9"/>
  <c r="O4048" i="9"/>
  <c r="I4049" i="9"/>
  <c r="K4049" i="9"/>
  <c r="N4049" i="9"/>
  <c r="O4049" i="9"/>
  <c r="I4050" i="9"/>
  <c r="K4050" i="9"/>
  <c r="N4050" i="9"/>
  <c r="O4050" i="9"/>
  <c r="K4051" i="9"/>
  <c r="N4051" i="9"/>
  <c r="O4051" i="9"/>
  <c r="N4052" i="9"/>
  <c r="O4052" i="9"/>
  <c r="J4053" i="9"/>
  <c r="K4053" i="9"/>
  <c r="N4053" i="9"/>
  <c r="O4053" i="9"/>
  <c r="N4054" i="9"/>
  <c r="O4054" i="9"/>
  <c r="J4055" i="9"/>
  <c r="K4055" i="9"/>
  <c r="N4055" i="9"/>
  <c r="O4055" i="9"/>
  <c r="N4056" i="9"/>
  <c r="O4056" i="9"/>
  <c r="N4057" i="9"/>
  <c r="O4057" i="9"/>
  <c r="J4058" i="9"/>
  <c r="K4058" i="9"/>
  <c r="N4058" i="9"/>
  <c r="O4058" i="9"/>
  <c r="J4059" i="9"/>
  <c r="K4059" i="9"/>
  <c r="N4059" i="9"/>
  <c r="O4059" i="9"/>
  <c r="N4060" i="9"/>
  <c r="O4060" i="9"/>
  <c r="J4061" i="9"/>
  <c r="K4061" i="9"/>
  <c r="N4061" i="9"/>
  <c r="O4061" i="9"/>
  <c r="I4062" i="9"/>
  <c r="J4062" i="9"/>
  <c r="K4062" i="9"/>
  <c r="N4062" i="9"/>
  <c r="O4062" i="9"/>
  <c r="I4063" i="9"/>
  <c r="J4063" i="9"/>
  <c r="K4063" i="9"/>
  <c r="N4063" i="9"/>
  <c r="O4063" i="9"/>
  <c r="I4064" i="9"/>
  <c r="J4064" i="9"/>
  <c r="K4064" i="9"/>
  <c r="N4064" i="9"/>
  <c r="O4064" i="9"/>
  <c r="I4065" i="9"/>
  <c r="J4065" i="9"/>
  <c r="K4065" i="9"/>
  <c r="N4065" i="9"/>
  <c r="O4065" i="9"/>
  <c r="I4066" i="9"/>
  <c r="K4066" i="9"/>
  <c r="N4066" i="9"/>
  <c r="O4066" i="9"/>
  <c r="I4067" i="9"/>
  <c r="K4067" i="9"/>
  <c r="N4067" i="9"/>
  <c r="O4067" i="9"/>
  <c r="I4068" i="9"/>
  <c r="K4068" i="9"/>
  <c r="N4068" i="9"/>
  <c r="O4068" i="9"/>
  <c r="I4069" i="9"/>
  <c r="K4069" i="9"/>
  <c r="N4069" i="9"/>
  <c r="O4069" i="9"/>
  <c r="I4070" i="9"/>
  <c r="K4070" i="9"/>
  <c r="N4070" i="9"/>
  <c r="O4070" i="9"/>
  <c r="I4071" i="9"/>
  <c r="K4071" i="9"/>
  <c r="N4071" i="9"/>
  <c r="O4071" i="9"/>
  <c r="I4072" i="9"/>
  <c r="K4072" i="9"/>
  <c r="N4072" i="9"/>
  <c r="O4072" i="9"/>
  <c r="I4073" i="9"/>
  <c r="K4073" i="9"/>
  <c r="N4073" i="9"/>
  <c r="O4073" i="9"/>
  <c r="I4074" i="9"/>
  <c r="K4074" i="9"/>
  <c r="N4074" i="9"/>
  <c r="O4074" i="9"/>
  <c r="I4075" i="9"/>
  <c r="K4075" i="9"/>
  <c r="N4075" i="9"/>
  <c r="O4075" i="9"/>
  <c r="K4076" i="9"/>
  <c r="N4076" i="9"/>
  <c r="O4076" i="9"/>
  <c r="N4077" i="9"/>
  <c r="O4077" i="9"/>
  <c r="K4078" i="9"/>
  <c r="N4078" i="9"/>
  <c r="O4078" i="9"/>
  <c r="J4079" i="9"/>
  <c r="K4079" i="9"/>
  <c r="N4079" i="9"/>
  <c r="O4079" i="9"/>
  <c r="I4080" i="9"/>
  <c r="J4080" i="9"/>
  <c r="K4080" i="9"/>
  <c r="N4080" i="9"/>
  <c r="O4080" i="9"/>
  <c r="I4081" i="9"/>
  <c r="J4081" i="9"/>
  <c r="K4081" i="9"/>
  <c r="N4081" i="9"/>
  <c r="O4081" i="9"/>
  <c r="I4082" i="9"/>
  <c r="J4082" i="9"/>
  <c r="K4082" i="9"/>
  <c r="N4082" i="9"/>
  <c r="O4082" i="9"/>
  <c r="I4083" i="9"/>
  <c r="J4083" i="9"/>
  <c r="K4083" i="9"/>
  <c r="N4083" i="9"/>
  <c r="O4083" i="9"/>
  <c r="I4084" i="9"/>
  <c r="J4084" i="9"/>
  <c r="K4084" i="9"/>
  <c r="N4084" i="9"/>
  <c r="O4084" i="9"/>
  <c r="I4085" i="9"/>
  <c r="J4085" i="9"/>
  <c r="K4085" i="9"/>
  <c r="N4085" i="9"/>
  <c r="O4085" i="9"/>
  <c r="I4086" i="9"/>
  <c r="J4086" i="9"/>
  <c r="K4086" i="9"/>
  <c r="N4086" i="9"/>
  <c r="O4086" i="9"/>
  <c r="I4087" i="9"/>
  <c r="J4087" i="9"/>
  <c r="K4087" i="9"/>
  <c r="N4087" i="9"/>
  <c r="O4087" i="9"/>
  <c r="I4088" i="9"/>
  <c r="J4088" i="9"/>
  <c r="K4088" i="9"/>
  <c r="N4088" i="9"/>
  <c r="O4088" i="9"/>
  <c r="N4089" i="9"/>
  <c r="O4089" i="9"/>
  <c r="I4090" i="9"/>
  <c r="J4090" i="9"/>
  <c r="K4090" i="9"/>
  <c r="N4090" i="9"/>
  <c r="O4090" i="9"/>
  <c r="I4091" i="9"/>
  <c r="J4091" i="9"/>
  <c r="K4091" i="9"/>
  <c r="N4091" i="9"/>
  <c r="O4091" i="9"/>
  <c r="I4092" i="9"/>
  <c r="K4092" i="9"/>
  <c r="N4092" i="9"/>
  <c r="O4092" i="9"/>
  <c r="I4093" i="9"/>
  <c r="K4093" i="9"/>
  <c r="N4093" i="9"/>
  <c r="O4093" i="9"/>
  <c r="I4094" i="9"/>
  <c r="K4094" i="9"/>
  <c r="N4094" i="9"/>
  <c r="O4094" i="9"/>
  <c r="I4095" i="9"/>
  <c r="K4095" i="9"/>
  <c r="N4095" i="9"/>
  <c r="O4095" i="9"/>
  <c r="J4096" i="9"/>
  <c r="K4096" i="9"/>
  <c r="N4096" i="9"/>
  <c r="O4096" i="9"/>
  <c r="I4097" i="9"/>
  <c r="J4097" i="9"/>
  <c r="K4097" i="9"/>
  <c r="N4097" i="9"/>
  <c r="O4097" i="9"/>
  <c r="I4098" i="9"/>
  <c r="J4098" i="9"/>
  <c r="K4098" i="9"/>
  <c r="N4098" i="9"/>
  <c r="O4098" i="9"/>
  <c r="I4099" i="9"/>
  <c r="J4099" i="9"/>
  <c r="K4099" i="9"/>
  <c r="N4099" i="9"/>
  <c r="O4099" i="9"/>
  <c r="J4100" i="9"/>
  <c r="K4100" i="9"/>
  <c r="N4100" i="9"/>
  <c r="O4100" i="9"/>
  <c r="N4101" i="9"/>
  <c r="I4101" i="9"/>
  <c r="J4101" i="9"/>
  <c r="K4101" i="9"/>
  <c r="O4101" i="9"/>
  <c r="N4102" i="9"/>
  <c r="J4102" i="9"/>
  <c r="K4102" i="9"/>
  <c r="O4102" i="9"/>
  <c r="N4103" i="9"/>
  <c r="O4103" i="9"/>
  <c r="N4104" i="9"/>
  <c r="O4104" i="9"/>
  <c r="N4105" i="9"/>
  <c r="O4105" i="9"/>
  <c r="N4106" i="9"/>
  <c r="O4106" i="9"/>
  <c r="J4107" i="9"/>
  <c r="K4107" i="9"/>
  <c r="N4107" i="9"/>
  <c r="O4107" i="9"/>
  <c r="I4108" i="9"/>
  <c r="J4108" i="9"/>
  <c r="K4108" i="9"/>
  <c r="N4108" i="9"/>
  <c r="O4108" i="9"/>
  <c r="I4109" i="9"/>
  <c r="J4109" i="9"/>
  <c r="K4109" i="9"/>
  <c r="N4109" i="9"/>
  <c r="O4109" i="9"/>
  <c r="I4110" i="9"/>
  <c r="J4110" i="9"/>
  <c r="K4110" i="9"/>
  <c r="N4110" i="9"/>
  <c r="O4110" i="9"/>
  <c r="I4111" i="9"/>
  <c r="K4111" i="9"/>
  <c r="N4111" i="9"/>
  <c r="O4111" i="9"/>
  <c r="I4112" i="9"/>
  <c r="K4112" i="9"/>
  <c r="N4112" i="9"/>
  <c r="O4112" i="9"/>
  <c r="I4113" i="9"/>
  <c r="J4113" i="9"/>
  <c r="K4113" i="9"/>
  <c r="N4113" i="9"/>
  <c r="O4113" i="9"/>
  <c r="J4114" i="9"/>
  <c r="K4114" i="9"/>
  <c r="N4114" i="9"/>
  <c r="O4114" i="9"/>
  <c r="J4115" i="9"/>
  <c r="K4115" i="9"/>
  <c r="N4115" i="9"/>
  <c r="O4115" i="9"/>
  <c r="N4116" i="9"/>
  <c r="O4116" i="9"/>
  <c r="J4117" i="9"/>
  <c r="K4117" i="9"/>
  <c r="N4117" i="9"/>
  <c r="O4117" i="9"/>
  <c r="I4118" i="9"/>
  <c r="J4118" i="9"/>
  <c r="K4118" i="9"/>
  <c r="N4118" i="9"/>
  <c r="O4118" i="9"/>
  <c r="I4119" i="9"/>
  <c r="J4119" i="9"/>
  <c r="K4119" i="9"/>
  <c r="N4119" i="9"/>
  <c r="O4119" i="9"/>
  <c r="J4120" i="9"/>
  <c r="K4120" i="9"/>
  <c r="N4120" i="9"/>
  <c r="O4120" i="9"/>
  <c r="J4121" i="9"/>
  <c r="K4121" i="9"/>
  <c r="N4121" i="9"/>
  <c r="O4121" i="9"/>
  <c r="N4122" i="9"/>
  <c r="O4122" i="9"/>
  <c r="N4123" i="9"/>
  <c r="O4123" i="9"/>
  <c r="I4124" i="9"/>
  <c r="J4124" i="9"/>
  <c r="K4124" i="9"/>
  <c r="N4124" i="9"/>
  <c r="O4124" i="9"/>
  <c r="J4125" i="9"/>
  <c r="K4125" i="9"/>
  <c r="N4125" i="9"/>
  <c r="O4125" i="9"/>
  <c r="I4126" i="9"/>
  <c r="J4126" i="9"/>
  <c r="K4126" i="9"/>
  <c r="N4126" i="9"/>
  <c r="O4126" i="9"/>
  <c r="J4127" i="9"/>
  <c r="K4127" i="9"/>
  <c r="N4127" i="9"/>
  <c r="O4127" i="9"/>
  <c r="J4128" i="9"/>
  <c r="K4128" i="9"/>
  <c r="N4128" i="9"/>
  <c r="O4128" i="9"/>
  <c r="I4129" i="9"/>
  <c r="J4129" i="9"/>
  <c r="K4129" i="9"/>
  <c r="N4129" i="9"/>
  <c r="O4129" i="9"/>
  <c r="I4130" i="9"/>
  <c r="J4130" i="9"/>
  <c r="K4130" i="9"/>
  <c r="N4130" i="9"/>
  <c r="O4130" i="9"/>
  <c r="I4131" i="9"/>
  <c r="J4131" i="9"/>
  <c r="K4131" i="9"/>
  <c r="N4131" i="9"/>
  <c r="O4131" i="9"/>
  <c r="I4132" i="9"/>
  <c r="J4132" i="9"/>
  <c r="K4132" i="9"/>
  <c r="N4132" i="9"/>
  <c r="O4132" i="9"/>
  <c r="I4133" i="9"/>
  <c r="J4133" i="9"/>
  <c r="K4133" i="9"/>
  <c r="N4133" i="9"/>
  <c r="O4133" i="9"/>
  <c r="I4134" i="9"/>
  <c r="J4134" i="9"/>
  <c r="K4134" i="9"/>
  <c r="N4134" i="9"/>
  <c r="O4134" i="9"/>
  <c r="I4135" i="9"/>
  <c r="J4135" i="9"/>
  <c r="K4135" i="9"/>
  <c r="N4135" i="9"/>
  <c r="O4135" i="9"/>
  <c r="I4136" i="9"/>
  <c r="J4136" i="9"/>
  <c r="K4136" i="9"/>
  <c r="N4136" i="9"/>
  <c r="O4136" i="9"/>
  <c r="I4137" i="9"/>
  <c r="J4137" i="9"/>
  <c r="K4137" i="9"/>
  <c r="N4137" i="9"/>
  <c r="O4137" i="9"/>
  <c r="I4138" i="9"/>
  <c r="J4138" i="9"/>
  <c r="K4138" i="9"/>
  <c r="N4138" i="9"/>
  <c r="O4138" i="9"/>
  <c r="I4139" i="9"/>
  <c r="J4139" i="9"/>
  <c r="K4139" i="9"/>
  <c r="N4139" i="9"/>
  <c r="O4139" i="9"/>
  <c r="I4140" i="9"/>
  <c r="J4140" i="9"/>
  <c r="K4140" i="9"/>
  <c r="N4140" i="9"/>
  <c r="O4140" i="9"/>
  <c r="I4141" i="9"/>
  <c r="J4141" i="9"/>
  <c r="K4141" i="9"/>
  <c r="N4141" i="9"/>
  <c r="O4141" i="9"/>
  <c r="I4142" i="9"/>
  <c r="J4142" i="9"/>
  <c r="K4142" i="9"/>
  <c r="N4142" i="9"/>
  <c r="O4142" i="9"/>
  <c r="I4143" i="9"/>
  <c r="J4143" i="9"/>
  <c r="K4143" i="9"/>
  <c r="N4143" i="9"/>
  <c r="O4143" i="9"/>
  <c r="I4144" i="9"/>
  <c r="J4144" i="9"/>
  <c r="K4144" i="9"/>
  <c r="N4144" i="9"/>
  <c r="O4144" i="9"/>
  <c r="I4145" i="9"/>
  <c r="K4145" i="9"/>
  <c r="N4145" i="9"/>
  <c r="O4145" i="9"/>
  <c r="I4146" i="9"/>
  <c r="K4146" i="9"/>
  <c r="N4146" i="9"/>
  <c r="O4146" i="9"/>
  <c r="I4147" i="9"/>
  <c r="K4147" i="9"/>
  <c r="N4147" i="9"/>
  <c r="O4147" i="9"/>
  <c r="N4148" i="9"/>
  <c r="I4148" i="9"/>
  <c r="K4148" i="9"/>
  <c r="O4148" i="9"/>
  <c r="I4149" i="9"/>
  <c r="K4149" i="9"/>
  <c r="N4149" i="9"/>
  <c r="O4149" i="9"/>
  <c r="I4150" i="9"/>
  <c r="K4150" i="9"/>
  <c r="N4150" i="9"/>
  <c r="O4150" i="9"/>
  <c r="I4151" i="9"/>
  <c r="K4151" i="9"/>
  <c r="N4151" i="9"/>
  <c r="O4151" i="9"/>
  <c r="I4152" i="9"/>
  <c r="K4152" i="9"/>
  <c r="N4152" i="9"/>
  <c r="O4152" i="9"/>
  <c r="I4153" i="9"/>
  <c r="K4153" i="9"/>
  <c r="N4153" i="9"/>
  <c r="O4153" i="9"/>
  <c r="I4154" i="9"/>
  <c r="K4154" i="9"/>
  <c r="N4154" i="9"/>
  <c r="O4154" i="9"/>
  <c r="K4155" i="9"/>
  <c r="N4155" i="9"/>
  <c r="O4155" i="9"/>
  <c r="N4156" i="9"/>
  <c r="O4156" i="9"/>
  <c r="J4157" i="9"/>
  <c r="K4157" i="9"/>
  <c r="N4157" i="9"/>
  <c r="O4157" i="9"/>
  <c r="N4158" i="9"/>
  <c r="O4158" i="9"/>
  <c r="N4159" i="9"/>
  <c r="O4159" i="9"/>
  <c r="I4160" i="9"/>
  <c r="K4160" i="9"/>
  <c r="N4160" i="9"/>
  <c r="O4160" i="9"/>
  <c r="I4161" i="9"/>
  <c r="J4161" i="9"/>
  <c r="K4161" i="9"/>
  <c r="N4161" i="9"/>
  <c r="O4161" i="9"/>
  <c r="J4162" i="9"/>
  <c r="K4162" i="9"/>
  <c r="N4162" i="9"/>
  <c r="O4162" i="9"/>
  <c r="N4163" i="9"/>
  <c r="J4163" i="9"/>
  <c r="K4163" i="9"/>
  <c r="O4163" i="9"/>
  <c r="N4164" i="9"/>
  <c r="J4164" i="9"/>
  <c r="K4164" i="9"/>
  <c r="O4164" i="9"/>
  <c r="N4165" i="9"/>
  <c r="J4165" i="9"/>
  <c r="K4165" i="9"/>
  <c r="O4165" i="9"/>
  <c r="J4166" i="9"/>
  <c r="K4166" i="9"/>
  <c r="N4166" i="9"/>
  <c r="O4166" i="9"/>
  <c r="N4167" i="9"/>
  <c r="O4167" i="9"/>
  <c r="N4168" i="9"/>
  <c r="O4168" i="9"/>
  <c r="I4169" i="9"/>
  <c r="J4169" i="9"/>
  <c r="K4169" i="9"/>
  <c r="N4169" i="9"/>
  <c r="O4169" i="9"/>
  <c r="I4170" i="9"/>
  <c r="J4170" i="9"/>
  <c r="K4170" i="9"/>
  <c r="N4170" i="9"/>
  <c r="O4170" i="9"/>
  <c r="I4171" i="9"/>
  <c r="J4171" i="9"/>
  <c r="K4171" i="9"/>
  <c r="N4171" i="9"/>
  <c r="O4171" i="9"/>
  <c r="I4172" i="9"/>
  <c r="J4172" i="9"/>
  <c r="K4172" i="9"/>
  <c r="N4172" i="9"/>
  <c r="O4172" i="9"/>
  <c r="I4173" i="9"/>
  <c r="J4173" i="9"/>
  <c r="K4173" i="9"/>
  <c r="N4173" i="9"/>
  <c r="O4173" i="9"/>
  <c r="I4174" i="9"/>
  <c r="J4174" i="9"/>
  <c r="K4174" i="9"/>
  <c r="N4174" i="9"/>
  <c r="O4174" i="9"/>
  <c r="I4175" i="9"/>
  <c r="J4175" i="9"/>
  <c r="K4175" i="9"/>
  <c r="N4175" i="9"/>
  <c r="O4175" i="9"/>
  <c r="I4176" i="9"/>
  <c r="J4176" i="9"/>
  <c r="K4176" i="9"/>
  <c r="N4176" i="9"/>
  <c r="O4176" i="9"/>
  <c r="I4177" i="9"/>
  <c r="K4177" i="9"/>
  <c r="N4177" i="9"/>
  <c r="O4177" i="9"/>
  <c r="N4178" i="9"/>
  <c r="I4178" i="9"/>
  <c r="K4178" i="9"/>
  <c r="O4178" i="9"/>
  <c r="I4179" i="9"/>
  <c r="K4179" i="9"/>
  <c r="N4179" i="9"/>
  <c r="O4179" i="9"/>
  <c r="J4180" i="9"/>
  <c r="K4180" i="9"/>
  <c r="N4180" i="9"/>
  <c r="O4180" i="9"/>
  <c r="J4181" i="9"/>
  <c r="K4181" i="9"/>
  <c r="N4181" i="9"/>
  <c r="O4181" i="9"/>
  <c r="J4182" i="9"/>
  <c r="K4182" i="9"/>
  <c r="N4182" i="9"/>
  <c r="O4182" i="9"/>
  <c r="J4183" i="9"/>
  <c r="K4183" i="9"/>
  <c r="N4183" i="9"/>
  <c r="O4183" i="9"/>
  <c r="J4184" i="9"/>
  <c r="K4184" i="9"/>
  <c r="N4184" i="9"/>
  <c r="O4184" i="9"/>
  <c r="N4185" i="9"/>
  <c r="O4185" i="9"/>
  <c r="J4186" i="9"/>
  <c r="K4186" i="9"/>
  <c r="N4186" i="9"/>
  <c r="O4186" i="9"/>
  <c r="N4187" i="9"/>
  <c r="O4187" i="9"/>
  <c r="N4188" i="9"/>
  <c r="O4188" i="9"/>
  <c r="I4189" i="9"/>
  <c r="J4189" i="9"/>
  <c r="K4189" i="9"/>
  <c r="N4189" i="9"/>
  <c r="O4189" i="9"/>
  <c r="I4190" i="9"/>
  <c r="J4190" i="9"/>
  <c r="K4190" i="9"/>
  <c r="N4190" i="9"/>
  <c r="O4190" i="9"/>
  <c r="J4191" i="9"/>
  <c r="K4191" i="9"/>
  <c r="N4191" i="9"/>
  <c r="O4191" i="9"/>
  <c r="I4192" i="9"/>
  <c r="K4192" i="9"/>
  <c r="N4192" i="9"/>
  <c r="O4192" i="9"/>
  <c r="I4193" i="9"/>
  <c r="K4193" i="9"/>
  <c r="N4193" i="9"/>
  <c r="O4193" i="9"/>
  <c r="I4194" i="9"/>
  <c r="J4194" i="9"/>
  <c r="K4194" i="9"/>
  <c r="N4194" i="9"/>
  <c r="O4194" i="9"/>
  <c r="J4195" i="9"/>
  <c r="K4195" i="9"/>
  <c r="N4195" i="9"/>
  <c r="O4195" i="9"/>
  <c r="N4196" i="9"/>
  <c r="J4196" i="9"/>
  <c r="K4196" i="9"/>
  <c r="O4196" i="9"/>
  <c r="N4197" i="9"/>
  <c r="J4197" i="9"/>
  <c r="K4197" i="9"/>
  <c r="O4197" i="9"/>
  <c r="J4198" i="9"/>
  <c r="K4198" i="9"/>
  <c r="N4198" i="9"/>
  <c r="O4198" i="9"/>
  <c r="N4199" i="9"/>
  <c r="J4199" i="9"/>
  <c r="K4199" i="9"/>
  <c r="O4199" i="9"/>
  <c r="N4200" i="9"/>
  <c r="I4200" i="9"/>
  <c r="J4200" i="9"/>
  <c r="K4200" i="9"/>
  <c r="O4200" i="9"/>
  <c r="N4201" i="9"/>
  <c r="O4201" i="9"/>
  <c r="I4202" i="9"/>
  <c r="J4202" i="9"/>
  <c r="K4202" i="9"/>
  <c r="N4202" i="9"/>
  <c r="O4202" i="9"/>
  <c r="N4203" i="9"/>
  <c r="I4203" i="9"/>
  <c r="J4203" i="9"/>
  <c r="K4203" i="9"/>
  <c r="O4203" i="9"/>
  <c r="I4204" i="9"/>
  <c r="J4204" i="9"/>
  <c r="K4204" i="9"/>
  <c r="N4204" i="9"/>
  <c r="O4204" i="9"/>
  <c r="I4205" i="9"/>
  <c r="J4205" i="9"/>
  <c r="K4205" i="9"/>
  <c r="N4205" i="9"/>
  <c r="O4205" i="9"/>
  <c r="I4206" i="9"/>
  <c r="J4206" i="9"/>
  <c r="K4206" i="9"/>
  <c r="N4206" i="9"/>
  <c r="O4206" i="9"/>
  <c r="I4207" i="9"/>
  <c r="J4207" i="9"/>
  <c r="K4207" i="9"/>
  <c r="N4207" i="9"/>
  <c r="O4207" i="9"/>
  <c r="I4208" i="9"/>
  <c r="J4208" i="9"/>
  <c r="K4208" i="9"/>
  <c r="N4208" i="9"/>
  <c r="O4208" i="9"/>
  <c r="I4209" i="9"/>
  <c r="K4209" i="9"/>
  <c r="N4209" i="9"/>
  <c r="O4209" i="9"/>
  <c r="I4210" i="9"/>
  <c r="K4210" i="9"/>
  <c r="N4210" i="9"/>
  <c r="O4210" i="9"/>
  <c r="I4211" i="9"/>
  <c r="K4211" i="9"/>
  <c r="N4211" i="9"/>
  <c r="O4211" i="9"/>
  <c r="K4212" i="9"/>
  <c r="N4212" i="9"/>
  <c r="O4212" i="9"/>
  <c r="N4213" i="9"/>
  <c r="O4213" i="9"/>
  <c r="N4214" i="9"/>
  <c r="O4214" i="9"/>
  <c r="K4215" i="9"/>
  <c r="N4215" i="9"/>
  <c r="O4215" i="9"/>
  <c r="N4216" i="9"/>
  <c r="O4216" i="9"/>
  <c r="I4217" i="9"/>
  <c r="J4217" i="9"/>
  <c r="K4217" i="9"/>
  <c r="N4217" i="9"/>
  <c r="O4217" i="9"/>
  <c r="J4218" i="9"/>
  <c r="K4218" i="9"/>
  <c r="N4218" i="9"/>
  <c r="O4218" i="9"/>
  <c r="J4219" i="9"/>
  <c r="K4219" i="9"/>
  <c r="N4219" i="9"/>
  <c r="O4219" i="9"/>
  <c r="N4220" i="9"/>
  <c r="I4220" i="9"/>
  <c r="K4220" i="9"/>
  <c r="O4220" i="9"/>
  <c r="I4221" i="9"/>
  <c r="K4221" i="9"/>
  <c r="N4221" i="9"/>
  <c r="O4221" i="9"/>
  <c r="N4222" i="9"/>
  <c r="J4222" i="9"/>
  <c r="K4222" i="9"/>
  <c r="O4222" i="9"/>
  <c r="N4223" i="9"/>
  <c r="J4223" i="9"/>
  <c r="K4223" i="9"/>
  <c r="O4223" i="9"/>
  <c r="J3642" i="9"/>
  <c r="K3642" i="9"/>
  <c r="M3642" i="9"/>
  <c r="N3642" i="9"/>
  <c r="O3642" i="9"/>
  <c r="J3643" i="9"/>
  <c r="K3643" i="9"/>
  <c r="N3643" i="9"/>
  <c r="O3643" i="9"/>
  <c r="K3644" i="9"/>
  <c r="N3644" i="9"/>
  <c r="O3644" i="9"/>
  <c r="J3645" i="9"/>
  <c r="K3645" i="9"/>
  <c r="N3645" i="9"/>
  <c r="O3645" i="9"/>
  <c r="N3646" i="9"/>
  <c r="O3646" i="9"/>
  <c r="K3647" i="9"/>
  <c r="N3647" i="9"/>
  <c r="O3647" i="9"/>
  <c r="N3648" i="9"/>
  <c r="O3648" i="9"/>
  <c r="N3649" i="9"/>
  <c r="O3649" i="9"/>
  <c r="N3650" i="9"/>
  <c r="O3650" i="9"/>
  <c r="N3651" i="9"/>
  <c r="O3651" i="9"/>
  <c r="N3652" i="9"/>
  <c r="O3652" i="9"/>
  <c r="N3653" i="9"/>
  <c r="O3653" i="9"/>
  <c r="N3654" i="9"/>
  <c r="O3654" i="9"/>
  <c r="N3655" i="9"/>
  <c r="O3655" i="9"/>
  <c r="N3656" i="9"/>
  <c r="O3656" i="9"/>
  <c r="N3657" i="9"/>
  <c r="O3657" i="9"/>
  <c r="N3658" i="9"/>
  <c r="O3658" i="9"/>
  <c r="N3659" i="9"/>
  <c r="O3659" i="9"/>
  <c r="N3660" i="9"/>
  <c r="O3660" i="9"/>
  <c r="N3661" i="9"/>
  <c r="O3661" i="9"/>
  <c r="N3662" i="9"/>
  <c r="O3662" i="9"/>
  <c r="N3663" i="9"/>
  <c r="O3663" i="9"/>
  <c r="J3664" i="9"/>
  <c r="K3664" i="9"/>
  <c r="N3664" i="9"/>
  <c r="O3664" i="9"/>
  <c r="K3665" i="9"/>
  <c r="N3665" i="9"/>
  <c r="O3665" i="9"/>
  <c r="I3666" i="9"/>
  <c r="J3666" i="9"/>
  <c r="K3666" i="9"/>
  <c r="N3666" i="9"/>
  <c r="O3666" i="9"/>
  <c r="I3667" i="9"/>
  <c r="J3667" i="9"/>
  <c r="K3667" i="9"/>
  <c r="N3667" i="9"/>
  <c r="O3667" i="9"/>
  <c r="I3668" i="9"/>
  <c r="J3668" i="9"/>
  <c r="K3668" i="9"/>
  <c r="N3668" i="9"/>
  <c r="O3668" i="9"/>
  <c r="N3669" i="9"/>
  <c r="O3669" i="9"/>
  <c r="I3670" i="9"/>
  <c r="J3670" i="9"/>
  <c r="K3670" i="9"/>
  <c r="N3670" i="9"/>
  <c r="O3670" i="9"/>
  <c r="N3671" i="9"/>
  <c r="O3671" i="9"/>
  <c r="I3672" i="9"/>
  <c r="J3672" i="9"/>
  <c r="K3672" i="9"/>
  <c r="N3672" i="9"/>
  <c r="O3672" i="9"/>
  <c r="I3673" i="9"/>
  <c r="J3673" i="9"/>
  <c r="K3673" i="9"/>
  <c r="N3673" i="9"/>
  <c r="O3673" i="9"/>
  <c r="I3674" i="9"/>
  <c r="J3674" i="9"/>
  <c r="K3674" i="9"/>
  <c r="N3674" i="9"/>
  <c r="O3674" i="9"/>
  <c r="I3675" i="9"/>
  <c r="J3675" i="9"/>
  <c r="K3675" i="9"/>
  <c r="N3675" i="9"/>
  <c r="O3675" i="9"/>
  <c r="N3676" i="9"/>
  <c r="I3676" i="9"/>
  <c r="J3676" i="9"/>
  <c r="K3676" i="9"/>
  <c r="O3676" i="9"/>
  <c r="I3677" i="9"/>
  <c r="J3677" i="9"/>
  <c r="K3677" i="9"/>
  <c r="N3677" i="9"/>
  <c r="O3677" i="9"/>
  <c r="I3678" i="9"/>
  <c r="J3678" i="9"/>
  <c r="K3678" i="9"/>
  <c r="N3678" i="9"/>
  <c r="O3678" i="9"/>
  <c r="I3679" i="9"/>
  <c r="K3679" i="9"/>
  <c r="N3679" i="9"/>
  <c r="O3679" i="9"/>
  <c r="I3680" i="9"/>
  <c r="K3680" i="9"/>
  <c r="N3680" i="9"/>
  <c r="O3680" i="9"/>
  <c r="N3681" i="9"/>
  <c r="O3681" i="9"/>
  <c r="I3682" i="9"/>
  <c r="K3682" i="9"/>
  <c r="N3682" i="9"/>
  <c r="O3682" i="9"/>
  <c r="I3683" i="9"/>
  <c r="K3683" i="9"/>
  <c r="N3683" i="9"/>
  <c r="O3683" i="9"/>
  <c r="N3684" i="9"/>
  <c r="O3684" i="9"/>
  <c r="I3685" i="9"/>
  <c r="K3685" i="9"/>
  <c r="N3685" i="9"/>
  <c r="O3685" i="9"/>
  <c r="I3686" i="9"/>
  <c r="K3686" i="9"/>
  <c r="N3686" i="9"/>
  <c r="O3686" i="9"/>
  <c r="I3687" i="9"/>
  <c r="K3687" i="9"/>
  <c r="N3687" i="9"/>
  <c r="O3687" i="9"/>
  <c r="I3688" i="9"/>
  <c r="J3688" i="9"/>
  <c r="K3688" i="9"/>
  <c r="N3688" i="9"/>
  <c r="O3688" i="9"/>
  <c r="I3689" i="9"/>
  <c r="J3689" i="9"/>
  <c r="K3689" i="9"/>
  <c r="N3689" i="9"/>
  <c r="O3689" i="9"/>
  <c r="J3690" i="9"/>
  <c r="K3690" i="9"/>
  <c r="N3690" i="9"/>
  <c r="O3690" i="9"/>
  <c r="K3691" i="9"/>
  <c r="N3691" i="9"/>
  <c r="O3691" i="9"/>
  <c r="N3692" i="9"/>
  <c r="O3692" i="9"/>
  <c r="N3693" i="9"/>
  <c r="O3693" i="9"/>
  <c r="J3694" i="9"/>
  <c r="K3694" i="9"/>
  <c r="N3694" i="9"/>
  <c r="O3694" i="9"/>
  <c r="K3695" i="9"/>
  <c r="N3695" i="9"/>
  <c r="O3695" i="9"/>
  <c r="J3696" i="9"/>
  <c r="K3696" i="9"/>
  <c r="N3696" i="9"/>
  <c r="O3696" i="9"/>
  <c r="J3697" i="9"/>
  <c r="K3697" i="9"/>
  <c r="N3697" i="9"/>
  <c r="O3697" i="9"/>
  <c r="N3698" i="9"/>
  <c r="O3698" i="9"/>
  <c r="K3699" i="9"/>
  <c r="N3699" i="9"/>
  <c r="O3699" i="9"/>
  <c r="I3700" i="9"/>
  <c r="K3700" i="9"/>
  <c r="N3700" i="9"/>
  <c r="O3700" i="9"/>
  <c r="N3701" i="9"/>
  <c r="O3701" i="9"/>
  <c r="M3702" i="9"/>
  <c r="N3702" i="9"/>
  <c r="O3702" i="9"/>
  <c r="N3703" i="9"/>
  <c r="O3703" i="9"/>
  <c r="N3704" i="9"/>
  <c r="O3704" i="9"/>
  <c r="I3705" i="9"/>
  <c r="J3705" i="9"/>
  <c r="K3705" i="9"/>
  <c r="N3705" i="9"/>
  <c r="O3705" i="9"/>
  <c r="I3706" i="9"/>
  <c r="J3706" i="9"/>
  <c r="K3706" i="9"/>
  <c r="N3706" i="9"/>
  <c r="O3706" i="9"/>
  <c r="J3707" i="9"/>
  <c r="K3707" i="9"/>
  <c r="N3707" i="9"/>
  <c r="O3707" i="9"/>
  <c r="N3708" i="9"/>
  <c r="O3708" i="9"/>
  <c r="K3709" i="9"/>
  <c r="N3709" i="9"/>
  <c r="O3709" i="9"/>
  <c r="I3710" i="9"/>
  <c r="J3710" i="9"/>
  <c r="K3710" i="9"/>
  <c r="N3710" i="9"/>
  <c r="O3710" i="9"/>
  <c r="N3711" i="9"/>
  <c r="I3711" i="9"/>
  <c r="J3711" i="9"/>
  <c r="K3711" i="9"/>
  <c r="O3711" i="9"/>
  <c r="I3712" i="9"/>
  <c r="J3712" i="9"/>
  <c r="K3712" i="9"/>
  <c r="N3712" i="9"/>
  <c r="O3712" i="9"/>
  <c r="I3713" i="9"/>
  <c r="J3713" i="9"/>
  <c r="K3713" i="9"/>
  <c r="N3713" i="9"/>
  <c r="O3713" i="9"/>
  <c r="I3714" i="9"/>
  <c r="J3714" i="9"/>
  <c r="K3714" i="9"/>
  <c r="N3714" i="9"/>
  <c r="O3714" i="9"/>
  <c r="N3715" i="9"/>
  <c r="I3715" i="9"/>
  <c r="J3715" i="9"/>
  <c r="K3715" i="9"/>
  <c r="O3715" i="9"/>
  <c r="I3716" i="9"/>
  <c r="J3716" i="9"/>
  <c r="K3716" i="9"/>
  <c r="N3716" i="9"/>
  <c r="O3716" i="9"/>
  <c r="N3717" i="9"/>
  <c r="I3717" i="9"/>
  <c r="J3717" i="9"/>
  <c r="K3717" i="9"/>
  <c r="O3717" i="9"/>
  <c r="I3718" i="9"/>
  <c r="J3718" i="9"/>
  <c r="K3718" i="9"/>
  <c r="N3718" i="9"/>
  <c r="O3718" i="9"/>
  <c r="I3719" i="9"/>
  <c r="J3719" i="9"/>
  <c r="K3719" i="9"/>
  <c r="N3719" i="9"/>
  <c r="O3719" i="9"/>
  <c r="I3720" i="9"/>
  <c r="J3720" i="9"/>
  <c r="K3720" i="9"/>
  <c r="N3720" i="9"/>
  <c r="O3720" i="9"/>
  <c r="I3721" i="9"/>
  <c r="J3721" i="9"/>
  <c r="K3721" i="9"/>
  <c r="N3721" i="9"/>
  <c r="O3721" i="9"/>
  <c r="I3722" i="9"/>
  <c r="J3722" i="9"/>
  <c r="K3722" i="9"/>
  <c r="N3722" i="9"/>
  <c r="O3722" i="9"/>
  <c r="I3723" i="9"/>
  <c r="J3723" i="9"/>
  <c r="K3723" i="9"/>
  <c r="N3723" i="9"/>
  <c r="O3723" i="9"/>
  <c r="J3724" i="9"/>
  <c r="K3724" i="9"/>
  <c r="N3724" i="9"/>
  <c r="O3724" i="9"/>
  <c r="J3725" i="9"/>
  <c r="K3725" i="9"/>
  <c r="N3725" i="9"/>
  <c r="O3725" i="9"/>
  <c r="N3726" i="9"/>
  <c r="O3726" i="9"/>
  <c r="N3727" i="9"/>
  <c r="O3727" i="9"/>
  <c r="N3728" i="9"/>
  <c r="O3728" i="9"/>
  <c r="I3729" i="9"/>
  <c r="K3729" i="9"/>
  <c r="N3729" i="9"/>
  <c r="O3729" i="9"/>
  <c r="I3730" i="9"/>
  <c r="K3730" i="9"/>
  <c r="N3730" i="9"/>
  <c r="O3730" i="9"/>
  <c r="I3731" i="9"/>
  <c r="K3731" i="9"/>
  <c r="N3731" i="9"/>
  <c r="O3731" i="9"/>
  <c r="J3732" i="9"/>
  <c r="K3732" i="9"/>
  <c r="N3732" i="9"/>
  <c r="O3732" i="9"/>
  <c r="J3733" i="9"/>
  <c r="K3733" i="9"/>
  <c r="N3733" i="9"/>
  <c r="O3733" i="9"/>
  <c r="J3734" i="9"/>
  <c r="K3734" i="9"/>
  <c r="N3734" i="9"/>
  <c r="O3734" i="9"/>
  <c r="N3735" i="9"/>
  <c r="O3735" i="9"/>
  <c r="K3736" i="9"/>
  <c r="N3736" i="9"/>
  <c r="O3736" i="9"/>
  <c r="J3737" i="9"/>
  <c r="K3737" i="9"/>
  <c r="N3737" i="9"/>
  <c r="O3737" i="9"/>
  <c r="J3738" i="9"/>
  <c r="K3738" i="9"/>
  <c r="N3738" i="9"/>
  <c r="O3738" i="9"/>
  <c r="I3739" i="9"/>
  <c r="J3739" i="9"/>
  <c r="K3739" i="9"/>
  <c r="N3739" i="9"/>
  <c r="O3739" i="9"/>
  <c r="I3740" i="9"/>
  <c r="J3740" i="9"/>
  <c r="K3740" i="9"/>
  <c r="N3740" i="9"/>
  <c r="O3740" i="9"/>
  <c r="I3741" i="9"/>
  <c r="J3741" i="9"/>
  <c r="K3741" i="9"/>
  <c r="N3741" i="9"/>
  <c r="O3741" i="9"/>
  <c r="I3742" i="9"/>
  <c r="J3742" i="9"/>
  <c r="K3742" i="9"/>
  <c r="N3742" i="9"/>
  <c r="O3742" i="9"/>
  <c r="I3743" i="9"/>
  <c r="J3743" i="9"/>
  <c r="K3743" i="9"/>
  <c r="N3743" i="9"/>
  <c r="O3743" i="9"/>
  <c r="N3744" i="9"/>
  <c r="I3744" i="9"/>
  <c r="J3744" i="9"/>
  <c r="K3744" i="9"/>
  <c r="O3744" i="9"/>
  <c r="I3745" i="9"/>
  <c r="J3745" i="9"/>
  <c r="K3745" i="9"/>
  <c r="N3745" i="9"/>
  <c r="O3745" i="9"/>
  <c r="I3746" i="9"/>
  <c r="J3746" i="9"/>
  <c r="K3746" i="9"/>
  <c r="N3746" i="9"/>
  <c r="O3746" i="9"/>
  <c r="N3747" i="9"/>
  <c r="I3747" i="9"/>
  <c r="J3747" i="9"/>
  <c r="K3747" i="9"/>
  <c r="O3747" i="9"/>
  <c r="I3748" i="9"/>
  <c r="J3748" i="9"/>
  <c r="K3748" i="9"/>
  <c r="N3748" i="9"/>
  <c r="O3748" i="9"/>
  <c r="N3749" i="9"/>
  <c r="I3749" i="9"/>
  <c r="J3749" i="9"/>
  <c r="K3749" i="9"/>
  <c r="O3749" i="9"/>
  <c r="I3750" i="9"/>
  <c r="J3750" i="9"/>
  <c r="K3750" i="9"/>
  <c r="N3750" i="9"/>
  <c r="O3750" i="9"/>
  <c r="J3751" i="9"/>
  <c r="K3751" i="9"/>
  <c r="N3751" i="9"/>
  <c r="O3751" i="9"/>
  <c r="I3752" i="9"/>
  <c r="J3752" i="9"/>
  <c r="K3752" i="9"/>
  <c r="N3752" i="9"/>
  <c r="O3752" i="9"/>
  <c r="J3753" i="9"/>
  <c r="K3753" i="9"/>
  <c r="N3753" i="9"/>
  <c r="O3753" i="9"/>
  <c r="N3754" i="9"/>
  <c r="J3754" i="9"/>
  <c r="K3754" i="9"/>
  <c r="O3754" i="9"/>
  <c r="I3755" i="9"/>
  <c r="J3755" i="9"/>
  <c r="K3755" i="9"/>
  <c r="N3755" i="9"/>
  <c r="O3755" i="9"/>
  <c r="I3756" i="9"/>
  <c r="J3756" i="9"/>
  <c r="K3756" i="9"/>
  <c r="N3756" i="9"/>
  <c r="O3756" i="9"/>
  <c r="N3757" i="9"/>
  <c r="I3757" i="9"/>
  <c r="J3757" i="9"/>
  <c r="K3757" i="9"/>
  <c r="O3757" i="9"/>
  <c r="N3758" i="9"/>
  <c r="I3758" i="9"/>
  <c r="J3758" i="9"/>
  <c r="K3758" i="9"/>
  <c r="O3758" i="9"/>
  <c r="I3759" i="9"/>
  <c r="J3759" i="9"/>
  <c r="K3759" i="9"/>
  <c r="N3759" i="9"/>
  <c r="O3759" i="9"/>
  <c r="N3760" i="9"/>
  <c r="I3760" i="9"/>
  <c r="J3760" i="9"/>
  <c r="K3760" i="9"/>
  <c r="O3760" i="9"/>
  <c r="N3761" i="9"/>
  <c r="I3761" i="9"/>
  <c r="J3761" i="9"/>
  <c r="K3761" i="9"/>
  <c r="O3761" i="9"/>
  <c r="I3762" i="9"/>
  <c r="K3762" i="9"/>
  <c r="N3762" i="9"/>
  <c r="O3762" i="9"/>
  <c r="N3763" i="9"/>
  <c r="I3763" i="9"/>
  <c r="K3763" i="9"/>
  <c r="O3763" i="9"/>
  <c r="N3764" i="9"/>
  <c r="I3764" i="9"/>
  <c r="K3764" i="9"/>
  <c r="O3764" i="9"/>
  <c r="N3765" i="9"/>
  <c r="O3765" i="9"/>
  <c r="I3766" i="9"/>
  <c r="K3766" i="9"/>
  <c r="N3766" i="9"/>
  <c r="O3766" i="9"/>
  <c r="N3767" i="9"/>
  <c r="I3767" i="9"/>
  <c r="K3767" i="9"/>
  <c r="O3767" i="9"/>
  <c r="N3768" i="9"/>
  <c r="I3768" i="9"/>
  <c r="K3768" i="9"/>
  <c r="O3768" i="9"/>
  <c r="N3769" i="9"/>
  <c r="I3769" i="9"/>
  <c r="J3769" i="9"/>
  <c r="K3769" i="9"/>
  <c r="O3769" i="9"/>
  <c r="K3770" i="9"/>
  <c r="N3770" i="9"/>
  <c r="O3770" i="9"/>
  <c r="N3771" i="9"/>
  <c r="I3771" i="9"/>
  <c r="J3771" i="9"/>
  <c r="K3771" i="9"/>
  <c r="O3771" i="9"/>
  <c r="N3772" i="9"/>
  <c r="J3772" i="9"/>
  <c r="K3772" i="9"/>
  <c r="O3772" i="9"/>
  <c r="J3773" i="9"/>
  <c r="K3773" i="9"/>
  <c r="N3773" i="9"/>
  <c r="O3773" i="9"/>
  <c r="J3774" i="9"/>
  <c r="K3774" i="9"/>
  <c r="N3774" i="9"/>
  <c r="O3774" i="9"/>
  <c r="N3775" i="9"/>
  <c r="J3775" i="9"/>
  <c r="K3775" i="9"/>
  <c r="O3775" i="9"/>
  <c r="J3776" i="9"/>
  <c r="K3776" i="9"/>
  <c r="N3776" i="9"/>
  <c r="O3776" i="9"/>
  <c r="N3777" i="9"/>
  <c r="O3777" i="9"/>
  <c r="N3778" i="9"/>
  <c r="I3778" i="9"/>
  <c r="J3778" i="9"/>
  <c r="K3778" i="9"/>
  <c r="O3778" i="9"/>
  <c r="I3779" i="9"/>
  <c r="J3779" i="9"/>
  <c r="K3779" i="9"/>
  <c r="N3779" i="9"/>
  <c r="O3779" i="9"/>
  <c r="N3780" i="9"/>
  <c r="I3780" i="9"/>
  <c r="J3780" i="9"/>
  <c r="K3780" i="9"/>
  <c r="O3780" i="9"/>
  <c r="N3781" i="9"/>
  <c r="I3781" i="9"/>
  <c r="J3781" i="9"/>
  <c r="K3781" i="9"/>
  <c r="O3781" i="9"/>
  <c r="I3782" i="9"/>
  <c r="J3782" i="9"/>
  <c r="K3782" i="9"/>
  <c r="N3782" i="9"/>
  <c r="O3782" i="9"/>
  <c r="N3783" i="9"/>
  <c r="I3783" i="9"/>
  <c r="J3783" i="9"/>
  <c r="K3783" i="9"/>
  <c r="O3783" i="9"/>
  <c r="N3784" i="9"/>
  <c r="I3784" i="9"/>
  <c r="J3784" i="9"/>
  <c r="K3784" i="9"/>
  <c r="O3784" i="9"/>
  <c r="N3785" i="9"/>
  <c r="I3785" i="9"/>
  <c r="J3785" i="9"/>
  <c r="K3785" i="9"/>
  <c r="O3785" i="9"/>
  <c r="N3786" i="9"/>
  <c r="I3786" i="9"/>
  <c r="J3786" i="9"/>
  <c r="K3786" i="9"/>
  <c r="O3786" i="9"/>
  <c r="I3787" i="9"/>
  <c r="K3787" i="9"/>
  <c r="N3787" i="9"/>
  <c r="O3787" i="9"/>
  <c r="I3788" i="9"/>
  <c r="K3788" i="9"/>
  <c r="N3788" i="9"/>
  <c r="O3788" i="9"/>
  <c r="N3789" i="9"/>
  <c r="I3789" i="9"/>
  <c r="K3789" i="9"/>
  <c r="O3789" i="9"/>
  <c r="N3790" i="9"/>
  <c r="I3790" i="9"/>
  <c r="K3790" i="9"/>
  <c r="O3790" i="9"/>
  <c r="N3791" i="9"/>
  <c r="I3791" i="9"/>
  <c r="K3791" i="9"/>
  <c r="O3791" i="9"/>
  <c r="I3792" i="9"/>
  <c r="K3792" i="9"/>
  <c r="N3792" i="9"/>
  <c r="O3792" i="9"/>
  <c r="I3793" i="9"/>
  <c r="K3793" i="9"/>
  <c r="N3793" i="9"/>
  <c r="O3793" i="9"/>
  <c r="I3794" i="9"/>
  <c r="K3794" i="9"/>
  <c r="N3794" i="9"/>
  <c r="O3794" i="9"/>
  <c r="N3795" i="9"/>
  <c r="I3795" i="9"/>
  <c r="K3795" i="9"/>
  <c r="O3795" i="9"/>
  <c r="J3796" i="9"/>
  <c r="K3796" i="9"/>
  <c r="N3796" i="9"/>
  <c r="O3796" i="9"/>
  <c r="I3797" i="9"/>
  <c r="J3797" i="9"/>
  <c r="K3797" i="9"/>
  <c r="N3797" i="9"/>
  <c r="O3797" i="9"/>
  <c r="K3798" i="9"/>
  <c r="N3798" i="9"/>
  <c r="O3798" i="9"/>
  <c r="N3799" i="9"/>
  <c r="O3799" i="9"/>
  <c r="N3800" i="9"/>
  <c r="O3800" i="9"/>
  <c r="N3801" i="9"/>
  <c r="O3801" i="9"/>
  <c r="N3802" i="9"/>
  <c r="O3802" i="9"/>
  <c r="N3803" i="9"/>
  <c r="O3803" i="9"/>
  <c r="N3804" i="9"/>
  <c r="O3804" i="9"/>
  <c r="N3805" i="9"/>
  <c r="O3805" i="9"/>
  <c r="N3806" i="9"/>
  <c r="O3806" i="9"/>
  <c r="N3807" i="9"/>
  <c r="O3807" i="9"/>
  <c r="N3808" i="9"/>
  <c r="O3808" i="9"/>
  <c r="N3809" i="9"/>
  <c r="O3809" i="9"/>
  <c r="N3810" i="9"/>
  <c r="O3810" i="9"/>
  <c r="K3811" i="9"/>
  <c r="N3811" i="9"/>
  <c r="O3811" i="9"/>
  <c r="N3812" i="9"/>
  <c r="O3812" i="9"/>
  <c r="N3813" i="9"/>
  <c r="O3813" i="9"/>
  <c r="N3814" i="9"/>
  <c r="O3814" i="9"/>
  <c r="J3815" i="9"/>
  <c r="K3815" i="9"/>
  <c r="N3815" i="9"/>
  <c r="O3815" i="9"/>
  <c r="N3816" i="9"/>
  <c r="I3816" i="9"/>
  <c r="J3816" i="9"/>
  <c r="K3816" i="9"/>
  <c r="O3816" i="9"/>
  <c r="N3817" i="9"/>
  <c r="I3817" i="9"/>
  <c r="J3817" i="9"/>
  <c r="K3817" i="9"/>
  <c r="O3817" i="9"/>
  <c r="N3818" i="9"/>
  <c r="I3818" i="9"/>
  <c r="J3818" i="9"/>
  <c r="K3818" i="9"/>
  <c r="O3818" i="9"/>
  <c r="N3819" i="9"/>
  <c r="I3819" i="9"/>
  <c r="J3819" i="9"/>
  <c r="K3819" i="9"/>
  <c r="O3819" i="9"/>
  <c r="J3820" i="9"/>
  <c r="K3820" i="9"/>
  <c r="N3820" i="9"/>
  <c r="O3820" i="9"/>
  <c r="J3821" i="9"/>
  <c r="K3821" i="9"/>
  <c r="N3821" i="9"/>
  <c r="O3821" i="9"/>
  <c r="N3823" i="9"/>
  <c r="I3823" i="9"/>
  <c r="J3823" i="9"/>
  <c r="K3823" i="9"/>
  <c r="O3823" i="9"/>
  <c r="I3824" i="9"/>
  <c r="J3824" i="9"/>
  <c r="K3824" i="9"/>
  <c r="N3824" i="9"/>
  <c r="O3824" i="9"/>
  <c r="N3825" i="9"/>
  <c r="I3825" i="9"/>
  <c r="J3825" i="9"/>
  <c r="K3825" i="9"/>
  <c r="O3825" i="9"/>
  <c r="N3826" i="9"/>
  <c r="I3826" i="9"/>
  <c r="K3826" i="9"/>
  <c r="O3826" i="9"/>
  <c r="N3827" i="9"/>
  <c r="I3827" i="9"/>
  <c r="K3827" i="9"/>
  <c r="O3827" i="9"/>
  <c r="N3828" i="9"/>
  <c r="I3828" i="9"/>
  <c r="K3828" i="9"/>
  <c r="O3828" i="9"/>
  <c r="I3829" i="9"/>
  <c r="K3829" i="9"/>
  <c r="N3829" i="9"/>
  <c r="O3829" i="9"/>
  <c r="N3830" i="9"/>
  <c r="I3830" i="9"/>
  <c r="K3830" i="9"/>
  <c r="O3830" i="9"/>
  <c r="I3831" i="9"/>
  <c r="K3831" i="9"/>
  <c r="N3831" i="9"/>
  <c r="O3831" i="9"/>
  <c r="N3832" i="9"/>
  <c r="I3832" i="9"/>
  <c r="K3832" i="9"/>
  <c r="O3832" i="9"/>
  <c r="N3833" i="9"/>
  <c r="I3833" i="9"/>
  <c r="K3833" i="9"/>
  <c r="O3833" i="9"/>
  <c r="N3834" i="9"/>
  <c r="O3834" i="9"/>
  <c r="N3835" i="9"/>
  <c r="I3835" i="9"/>
  <c r="K3835" i="9"/>
  <c r="O3835" i="9"/>
  <c r="N3836" i="9"/>
  <c r="I3836" i="9"/>
  <c r="K3836" i="9"/>
  <c r="O3836" i="9"/>
  <c r="N3837" i="9"/>
  <c r="I3837" i="9"/>
  <c r="K3837" i="9"/>
  <c r="O3837" i="9"/>
  <c r="N3838" i="9"/>
  <c r="I3838" i="9"/>
  <c r="K3838" i="9"/>
  <c r="O3838" i="9"/>
  <c r="I3839" i="9"/>
  <c r="J3839" i="9"/>
  <c r="K3839" i="9"/>
  <c r="N3839" i="9"/>
  <c r="O3839" i="9"/>
  <c r="N3840" i="9"/>
  <c r="J3840" i="9"/>
  <c r="K3840" i="9"/>
  <c r="O3840" i="9"/>
  <c r="K3841" i="9"/>
  <c r="N3841" i="9"/>
  <c r="O3841" i="9"/>
  <c r="N3842" i="9"/>
  <c r="O3842" i="9"/>
  <c r="I3843" i="9"/>
  <c r="K3843" i="9"/>
  <c r="N3843" i="9"/>
  <c r="O3843" i="9"/>
  <c r="N3844" i="9"/>
  <c r="O3844" i="9"/>
  <c r="I3845" i="9"/>
  <c r="K3845" i="9"/>
  <c r="N3845" i="9"/>
  <c r="O3845" i="9"/>
  <c r="N3846" i="9"/>
  <c r="I3846" i="9"/>
  <c r="K3846" i="9"/>
  <c r="O3846" i="9"/>
  <c r="J3847" i="9"/>
  <c r="K3847" i="9"/>
  <c r="M3847" i="9"/>
  <c r="N3847" i="9"/>
  <c r="O3847" i="9"/>
  <c r="I3848" i="9"/>
  <c r="J3848" i="9"/>
  <c r="K3848" i="9"/>
  <c r="N3848" i="9"/>
  <c r="O3848" i="9"/>
  <c r="J3849" i="9"/>
  <c r="K3849" i="9"/>
  <c r="N3849" i="9"/>
  <c r="O3849" i="9"/>
  <c r="N3850" i="9"/>
  <c r="J3850" i="9"/>
  <c r="K3850" i="9"/>
  <c r="O3850" i="9"/>
  <c r="N3851" i="9"/>
  <c r="O3851" i="9"/>
  <c r="K3852" i="9"/>
  <c r="N3852" i="9"/>
  <c r="O3852" i="9"/>
  <c r="J3853" i="9"/>
  <c r="K3853" i="9"/>
  <c r="N3853" i="9"/>
  <c r="O3853" i="9"/>
  <c r="J3854" i="9"/>
  <c r="K3854" i="9"/>
  <c r="N3854" i="9"/>
  <c r="O3854" i="9"/>
  <c r="K3855" i="9"/>
  <c r="N3855" i="9"/>
  <c r="O3855" i="9"/>
  <c r="I3856" i="9"/>
  <c r="J3856" i="9"/>
  <c r="K3856" i="9"/>
  <c r="N3856" i="9"/>
  <c r="O3856" i="9"/>
  <c r="N3857" i="9"/>
  <c r="I3857" i="9"/>
  <c r="J3857" i="9"/>
  <c r="K3857" i="9"/>
  <c r="O3857" i="9"/>
  <c r="I3858" i="9"/>
  <c r="J3858" i="9"/>
  <c r="K3858" i="9"/>
  <c r="N3858" i="9"/>
  <c r="O3858" i="9"/>
  <c r="I3859" i="9"/>
  <c r="J3859" i="9"/>
  <c r="K3859" i="9"/>
  <c r="N3859" i="9"/>
  <c r="O3859" i="9"/>
  <c r="N3860" i="9"/>
  <c r="I3860" i="9"/>
  <c r="J3860" i="9"/>
  <c r="K3860" i="9"/>
  <c r="O3860" i="9"/>
  <c r="I3861" i="9"/>
  <c r="J3861" i="9"/>
  <c r="K3861" i="9"/>
  <c r="N3861" i="9"/>
  <c r="O3861" i="9"/>
  <c r="N3862" i="9"/>
  <c r="I3862" i="9"/>
  <c r="J3862" i="9"/>
  <c r="K3862" i="9"/>
  <c r="O3862" i="9"/>
  <c r="I3863" i="9"/>
  <c r="J3863" i="9"/>
  <c r="K3863" i="9"/>
  <c r="N3863" i="9"/>
  <c r="O3863" i="9"/>
  <c r="N3864" i="9"/>
  <c r="I3864" i="9"/>
  <c r="J3864" i="9"/>
  <c r="K3864" i="9"/>
  <c r="O3864" i="9"/>
  <c r="N3865" i="9"/>
  <c r="I3865" i="9"/>
  <c r="J3865" i="9"/>
  <c r="K3865" i="9"/>
  <c r="O3865" i="9"/>
  <c r="I3866" i="9"/>
  <c r="J3866" i="9"/>
  <c r="K3866" i="9"/>
  <c r="N3866" i="9"/>
  <c r="O3866" i="9"/>
  <c r="I3867" i="9"/>
  <c r="J3867" i="9"/>
  <c r="K3867" i="9"/>
  <c r="N3867" i="9"/>
  <c r="O3867" i="9"/>
  <c r="I3868" i="9"/>
  <c r="J3868" i="9"/>
  <c r="K3868" i="9"/>
  <c r="N3868" i="9"/>
  <c r="O3868" i="9"/>
  <c r="N3869" i="9"/>
  <c r="I3869" i="9"/>
  <c r="J3869" i="9"/>
  <c r="K3869" i="9"/>
  <c r="O3869" i="9"/>
  <c r="N3870" i="9"/>
  <c r="I3870" i="9"/>
  <c r="J3870" i="9"/>
  <c r="K3870" i="9"/>
  <c r="O3870" i="9"/>
  <c r="I3871" i="9"/>
  <c r="J3871" i="9"/>
  <c r="K3871" i="9"/>
  <c r="N3871" i="9"/>
  <c r="O3871" i="9"/>
  <c r="I3872" i="9"/>
  <c r="J3872" i="9"/>
  <c r="K3872" i="9"/>
  <c r="N3872" i="9"/>
  <c r="O3872" i="9"/>
  <c r="I3873" i="9"/>
  <c r="J3873" i="9"/>
  <c r="K3873" i="9"/>
  <c r="N3873" i="9"/>
  <c r="O3873" i="9"/>
  <c r="N3874" i="9"/>
  <c r="O3874" i="9"/>
  <c r="I3875" i="9"/>
  <c r="J3875" i="9"/>
  <c r="K3875" i="9"/>
  <c r="N3875" i="9"/>
  <c r="O3875" i="9"/>
  <c r="I3876" i="9"/>
  <c r="J3876" i="9"/>
  <c r="K3876" i="9"/>
  <c r="N3876" i="9"/>
  <c r="O3876" i="9"/>
  <c r="I3877" i="9"/>
  <c r="J3877" i="9"/>
  <c r="K3877" i="9"/>
  <c r="N3877" i="9"/>
  <c r="O3877" i="9"/>
  <c r="N3878" i="9"/>
  <c r="I3878" i="9"/>
  <c r="J3878" i="9"/>
  <c r="K3878" i="9"/>
  <c r="O3878" i="9"/>
  <c r="I3879" i="9"/>
  <c r="J3879" i="9"/>
  <c r="K3879" i="9"/>
  <c r="N3879" i="9"/>
  <c r="O3879" i="9"/>
  <c r="I3880" i="9"/>
  <c r="J3880" i="9"/>
  <c r="K3880" i="9"/>
  <c r="N3880" i="9"/>
  <c r="O3880" i="9"/>
  <c r="J3881" i="9"/>
  <c r="K3881" i="9"/>
  <c r="N3881" i="9"/>
  <c r="O3881" i="9"/>
  <c r="N3882" i="9"/>
  <c r="J3882" i="9"/>
  <c r="K3882" i="9"/>
  <c r="O3882" i="9"/>
  <c r="I3883" i="9"/>
  <c r="K3883" i="9"/>
  <c r="N3883" i="9"/>
  <c r="O3883" i="9"/>
  <c r="I3884" i="9"/>
  <c r="K3884" i="9"/>
  <c r="N3884" i="9"/>
  <c r="O3884" i="9"/>
  <c r="N3885" i="9"/>
  <c r="O3885" i="9"/>
  <c r="I3886" i="9"/>
  <c r="K3886" i="9"/>
  <c r="N3886" i="9"/>
  <c r="O3886" i="9"/>
  <c r="I3887" i="9"/>
  <c r="K3887" i="9"/>
  <c r="N3887" i="9"/>
  <c r="O3887" i="9"/>
  <c r="N3888" i="9"/>
  <c r="I3888" i="9"/>
  <c r="K3888" i="9"/>
  <c r="O3888" i="9"/>
  <c r="I3889" i="9"/>
  <c r="K3889" i="9"/>
  <c r="N3889" i="9"/>
  <c r="O3889" i="9"/>
  <c r="N3890" i="9"/>
  <c r="I3890" i="9"/>
  <c r="K3890" i="9"/>
  <c r="O3890" i="9"/>
  <c r="I3891" i="9"/>
  <c r="K3891" i="9"/>
  <c r="N3891" i="9"/>
  <c r="O3891" i="9"/>
  <c r="I3892" i="9"/>
  <c r="K3892" i="9"/>
  <c r="N3892" i="9"/>
  <c r="O3892" i="9"/>
  <c r="N3893" i="9"/>
  <c r="I3893" i="9"/>
  <c r="K3893" i="9"/>
  <c r="O3893" i="9"/>
  <c r="I3894" i="9"/>
  <c r="K3894" i="9"/>
  <c r="N3894" i="9"/>
  <c r="O3894" i="9"/>
  <c r="I3895" i="9"/>
  <c r="K3895" i="9"/>
  <c r="N3895" i="9"/>
  <c r="O3895" i="9"/>
  <c r="I3896" i="9"/>
  <c r="K3896" i="9"/>
  <c r="N3896" i="9"/>
  <c r="O3896" i="9"/>
  <c r="I3897" i="9"/>
  <c r="K3897" i="9"/>
  <c r="N3897" i="9"/>
  <c r="O3897" i="9"/>
  <c r="I3898" i="9"/>
  <c r="K3898" i="9"/>
  <c r="N3898" i="9"/>
  <c r="O3898" i="9"/>
  <c r="I3899" i="9"/>
  <c r="K3899" i="9"/>
  <c r="N3899" i="9"/>
  <c r="O3899" i="9"/>
  <c r="I3900" i="9"/>
  <c r="K3900" i="9"/>
  <c r="N3900" i="9"/>
  <c r="O3900" i="9"/>
  <c r="I3901" i="9"/>
  <c r="K3901" i="9"/>
  <c r="N3901" i="9"/>
  <c r="O3901" i="9"/>
  <c r="I3902" i="9"/>
  <c r="K3902" i="9"/>
  <c r="N3902" i="9"/>
  <c r="O3902" i="9"/>
  <c r="I3903" i="9"/>
  <c r="K3903" i="9"/>
  <c r="N3903" i="9"/>
  <c r="O3903" i="9"/>
  <c r="I3904" i="9"/>
  <c r="K3904" i="9"/>
  <c r="N3904" i="9"/>
  <c r="O3904" i="9"/>
  <c r="I3905" i="9"/>
  <c r="K3905" i="9"/>
  <c r="N3905" i="9"/>
  <c r="O3905" i="9"/>
  <c r="N3906" i="9"/>
  <c r="O3906" i="9"/>
  <c r="J3907" i="9"/>
  <c r="K3907" i="9"/>
  <c r="N3907" i="9"/>
  <c r="O3907" i="9"/>
  <c r="N3908" i="9"/>
  <c r="O3908" i="9"/>
  <c r="J3909" i="9"/>
  <c r="K3909" i="9"/>
  <c r="N3909" i="9"/>
  <c r="O3909" i="9"/>
  <c r="J3910" i="9"/>
  <c r="K3910" i="9"/>
  <c r="N3910" i="9"/>
  <c r="O3910" i="9"/>
  <c r="N3911" i="9"/>
  <c r="O3911" i="9"/>
  <c r="N3912" i="9"/>
  <c r="O3912" i="9"/>
  <c r="N3913" i="9"/>
  <c r="O3913" i="9"/>
  <c r="N3914" i="9"/>
  <c r="O3914" i="9"/>
  <c r="I3915" i="9"/>
  <c r="J3915" i="9"/>
  <c r="K3915" i="9"/>
  <c r="N3915" i="9"/>
  <c r="O3915" i="9"/>
  <c r="I3916" i="9"/>
  <c r="J3916" i="9"/>
  <c r="K3916" i="9"/>
  <c r="N3916" i="9"/>
  <c r="O3916" i="9"/>
  <c r="I3917" i="9"/>
  <c r="J3917" i="9"/>
  <c r="K3917" i="9"/>
  <c r="M3917" i="9"/>
  <c r="N3917" i="9"/>
  <c r="O3917" i="9"/>
  <c r="I3918" i="9"/>
  <c r="J3918" i="9"/>
  <c r="K3918" i="9"/>
  <c r="N3918" i="9"/>
  <c r="O3918" i="9"/>
  <c r="I3919" i="9"/>
  <c r="K3919" i="9"/>
  <c r="N3919" i="9"/>
  <c r="O3919" i="9"/>
  <c r="I3920" i="9"/>
  <c r="K3920" i="9"/>
  <c r="N3920" i="9"/>
  <c r="O3920" i="9"/>
  <c r="J3921" i="9"/>
  <c r="K3921" i="9"/>
  <c r="M3921" i="9"/>
  <c r="N3921" i="9"/>
  <c r="O3921" i="9"/>
  <c r="J3922" i="9"/>
  <c r="K3922" i="9"/>
  <c r="N3922" i="9"/>
  <c r="O3922" i="9"/>
  <c r="N3923" i="9"/>
  <c r="I3923" i="9"/>
  <c r="K3923" i="9"/>
  <c r="O3923" i="9"/>
  <c r="N3924" i="9"/>
  <c r="I3924" i="9"/>
  <c r="K3924" i="9"/>
  <c r="O3924" i="9"/>
  <c r="N3925" i="9"/>
  <c r="I3925" i="9"/>
  <c r="J3925" i="9"/>
  <c r="K3925" i="9"/>
  <c r="O3925" i="9"/>
  <c r="J3926" i="9"/>
  <c r="K3926" i="9"/>
  <c r="M3926" i="9"/>
  <c r="N3926" i="9"/>
  <c r="O3926" i="9"/>
  <c r="K3927" i="9"/>
  <c r="N3927" i="9"/>
  <c r="O3927" i="9"/>
  <c r="N3928" i="9"/>
  <c r="O3928" i="9"/>
  <c r="J3929" i="9"/>
  <c r="K3929" i="9"/>
  <c r="N3929" i="9"/>
  <c r="O3929" i="9"/>
  <c r="N3930" i="9"/>
  <c r="O3930" i="9"/>
  <c r="J3931" i="9"/>
  <c r="K3931" i="9"/>
  <c r="N3931" i="9"/>
  <c r="O3931" i="9"/>
  <c r="K3932" i="9"/>
  <c r="N3932" i="9"/>
  <c r="O3932" i="9"/>
  <c r="N3933" i="9"/>
  <c r="O3933" i="9"/>
  <c r="J3934" i="9"/>
  <c r="K3934" i="9"/>
  <c r="N3934" i="9"/>
  <c r="O3934" i="9"/>
  <c r="I3935" i="9"/>
  <c r="J3935" i="9"/>
  <c r="K3935" i="9"/>
  <c r="N3935" i="9"/>
  <c r="O3935" i="9"/>
  <c r="I3936" i="9"/>
  <c r="J3936" i="9"/>
  <c r="K3936" i="9"/>
  <c r="N3936" i="9"/>
  <c r="O3936" i="9"/>
  <c r="I3937" i="9"/>
  <c r="J3937" i="9"/>
  <c r="K3937" i="9"/>
  <c r="N3937" i="9"/>
  <c r="O3937" i="9"/>
  <c r="I3938" i="9"/>
  <c r="J3938" i="9"/>
  <c r="K3938" i="9"/>
  <c r="N3938" i="9"/>
  <c r="O3938" i="9"/>
  <c r="I3939" i="9"/>
  <c r="J3939" i="9"/>
  <c r="K3939" i="9"/>
  <c r="N3939" i="9"/>
  <c r="O3939" i="9"/>
  <c r="I3940" i="9"/>
  <c r="J3940" i="9"/>
  <c r="K3940" i="9"/>
  <c r="N3940" i="9"/>
  <c r="O3940" i="9"/>
  <c r="I3941" i="9"/>
  <c r="J3941" i="9"/>
  <c r="K3941" i="9"/>
  <c r="N3941" i="9"/>
  <c r="O3941" i="9"/>
  <c r="I3942" i="9"/>
  <c r="K3942" i="9"/>
  <c r="N3942" i="9"/>
  <c r="O3942" i="9"/>
  <c r="J3943" i="9"/>
  <c r="K3943" i="9"/>
  <c r="N3943" i="9"/>
  <c r="O3943" i="9"/>
  <c r="I3944" i="9"/>
  <c r="J3944" i="9"/>
  <c r="K3944" i="9"/>
  <c r="N3944" i="9"/>
  <c r="O3944" i="9"/>
  <c r="I3945" i="9"/>
  <c r="J3945" i="9"/>
  <c r="K3945" i="9"/>
  <c r="N3945" i="9"/>
  <c r="O3945" i="9"/>
  <c r="I3946" i="9"/>
  <c r="J3946" i="9"/>
  <c r="K3946" i="9"/>
  <c r="N3946" i="9"/>
  <c r="O3946" i="9"/>
  <c r="J3947" i="9"/>
  <c r="K3947" i="9"/>
  <c r="N3947" i="9"/>
  <c r="O3947" i="9"/>
  <c r="J3948" i="9"/>
  <c r="K3948" i="9"/>
  <c r="N3948" i="9"/>
  <c r="O3948" i="9"/>
  <c r="N3949" i="9"/>
  <c r="O3949" i="9"/>
  <c r="J3950" i="9"/>
  <c r="K3950" i="9"/>
  <c r="N3950" i="9"/>
  <c r="O3950" i="9"/>
  <c r="I3951" i="9"/>
  <c r="J3951" i="9"/>
  <c r="K3951" i="9"/>
  <c r="N3951" i="9"/>
  <c r="O3951" i="9"/>
  <c r="I3952" i="9"/>
  <c r="J3952" i="9"/>
  <c r="K3952" i="9"/>
  <c r="N3952" i="9"/>
  <c r="O3952" i="9"/>
  <c r="J3953" i="9"/>
  <c r="K3953" i="9"/>
  <c r="N3953" i="9"/>
  <c r="O3953" i="9"/>
  <c r="N3954" i="9"/>
  <c r="O3954" i="9"/>
  <c r="I3955" i="9"/>
  <c r="J3955" i="9"/>
  <c r="K3955" i="9"/>
  <c r="N3955" i="9"/>
  <c r="O3955" i="9"/>
  <c r="I3956" i="9"/>
  <c r="J3956" i="9"/>
  <c r="K3956" i="9"/>
  <c r="N3956" i="9"/>
  <c r="O3956" i="9"/>
  <c r="I3957" i="9"/>
  <c r="J3957" i="9"/>
  <c r="K3957" i="9"/>
  <c r="N3957" i="9"/>
  <c r="O3957" i="9"/>
  <c r="I3958" i="9"/>
  <c r="J3958" i="9"/>
  <c r="K3958" i="9"/>
  <c r="N3958" i="9"/>
  <c r="O3958" i="9"/>
  <c r="I3959" i="9"/>
  <c r="J3959" i="9"/>
  <c r="K3959" i="9"/>
  <c r="N3959" i="9"/>
  <c r="O3959" i="9"/>
  <c r="I3960" i="9"/>
  <c r="J3960" i="9"/>
  <c r="K3960" i="9"/>
  <c r="N3960" i="9"/>
  <c r="O3960" i="9"/>
  <c r="I3961" i="9"/>
  <c r="J3961" i="9"/>
  <c r="K3961" i="9"/>
  <c r="N3961" i="9"/>
  <c r="O3961" i="9"/>
  <c r="I3962" i="9"/>
  <c r="J3962" i="9"/>
  <c r="K3962" i="9"/>
  <c r="N3962" i="9"/>
  <c r="O3962" i="9"/>
  <c r="I3963" i="9"/>
  <c r="J3963" i="9"/>
  <c r="K3963" i="9"/>
  <c r="N3963" i="9"/>
  <c r="O3963" i="9"/>
  <c r="I3964" i="9"/>
  <c r="J3964" i="9"/>
  <c r="K3964" i="9"/>
  <c r="N3964" i="9"/>
  <c r="O3964" i="9"/>
  <c r="J3965" i="9"/>
  <c r="K3965" i="9"/>
  <c r="N3965" i="9"/>
  <c r="O3965" i="9"/>
  <c r="J3966" i="9"/>
  <c r="K3966" i="9"/>
  <c r="N3966" i="9"/>
  <c r="O3966" i="9"/>
  <c r="J3967" i="9"/>
  <c r="K3967" i="9"/>
  <c r="N3967" i="9"/>
  <c r="O3967" i="9"/>
  <c r="I3968" i="9"/>
  <c r="J3968" i="9"/>
  <c r="K3968" i="9"/>
  <c r="N3968" i="9"/>
  <c r="O3968" i="9"/>
  <c r="J3969" i="9"/>
  <c r="K3969" i="9"/>
  <c r="N3969" i="9"/>
  <c r="O3969" i="9"/>
  <c r="N3970" i="9"/>
  <c r="O3970" i="9"/>
  <c r="K3635" i="9"/>
  <c r="N3635" i="9"/>
  <c r="O3635" i="9"/>
  <c r="N3636" i="9"/>
  <c r="O3636" i="9"/>
  <c r="N3637" i="9"/>
  <c r="O3637" i="9"/>
  <c r="N3638" i="9"/>
  <c r="O3638" i="9"/>
  <c r="N3639" i="9"/>
  <c r="J3639" i="9"/>
  <c r="K3639" i="9"/>
  <c r="O3639" i="9"/>
  <c r="N3640" i="9"/>
  <c r="J3640" i="9"/>
  <c r="K3640" i="9"/>
  <c r="O3640" i="9"/>
  <c r="N3641" i="9"/>
  <c r="J3641" i="9"/>
  <c r="K3641" i="9"/>
  <c r="O3641" i="9"/>
  <c r="N3822" i="9"/>
  <c r="K3822" i="9"/>
  <c r="I3692" i="9"/>
  <c r="I3693" i="9"/>
  <c r="N3630" i="9"/>
  <c r="O3630" i="9"/>
  <c r="I3631" i="9"/>
  <c r="K3631" i="9"/>
  <c r="N3631" i="9"/>
  <c r="O3631" i="9"/>
  <c r="I3632" i="9"/>
  <c r="K3632" i="9"/>
  <c r="N3632" i="9"/>
  <c r="O3632" i="9"/>
  <c r="I3633" i="9"/>
  <c r="K3633" i="9"/>
  <c r="N3633" i="9"/>
  <c r="O3633" i="9"/>
  <c r="I3634" i="9"/>
  <c r="K3634" i="9"/>
  <c r="N3634" i="9"/>
  <c r="O3634" i="9"/>
  <c r="N3627" i="9"/>
  <c r="N3628" i="9"/>
  <c r="N3629" i="9"/>
  <c r="J3629" i="9"/>
  <c r="K3629" i="9"/>
  <c r="J3615" i="9"/>
  <c r="K3615" i="9"/>
  <c r="N3615" i="9"/>
  <c r="O3615" i="9"/>
  <c r="I3616" i="9"/>
  <c r="J3616" i="9"/>
  <c r="K3616" i="9"/>
  <c r="N3616" i="9"/>
  <c r="O3616" i="9"/>
  <c r="I3617" i="9"/>
  <c r="J3617" i="9"/>
  <c r="K3617" i="9"/>
  <c r="N3617" i="9"/>
  <c r="O3617" i="9"/>
  <c r="I3618" i="9"/>
  <c r="J3618" i="9"/>
  <c r="K3618" i="9"/>
  <c r="N3618" i="9"/>
  <c r="O3618" i="9"/>
  <c r="I3619" i="9"/>
  <c r="J3619" i="9"/>
  <c r="K3619" i="9"/>
  <c r="N3619" i="9"/>
  <c r="O3619" i="9"/>
  <c r="I3620" i="9"/>
  <c r="J3620" i="9"/>
  <c r="K3620" i="9"/>
  <c r="N3620" i="9"/>
  <c r="O3620" i="9"/>
  <c r="I3621" i="9"/>
  <c r="J3621" i="9"/>
  <c r="K3621" i="9"/>
  <c r="N3621" i="9"/>
  <c r="O3621" i="9"/>
  <c r="I3622" i="9"/>
  <c r="J3622" i="9"/>
  <c r="K3622" i="9"/>
  <c r="N3622" i="9"/>
  <c r="O3622" i="9"/>
  <c r="I3623" i="9"/>
  <c r="J3623" i="9"/>
  <c r="K3623" i="9"/>
  <c r="N3623" i="9"/>
  <c r="O3623" i="9"/>
  <c r="I3624" i="9"/>
  <c r="J3624" i="9"/>
  <c r="K3624" i="9"/>
  <c r="N3624" i="9"/>
  <c r="O3624" i="9"/>
  <c r="I3625" i="9"/>
  <c r="J3625" i="9"/>
  <c r="K3625" i="9"/>
  <c r="N3625" i="9"/>
  <c r="O3625" i="9"/>
  <c r="I3626" i="9"/>
  <c r="J3626" i="9"/>
  <c r="K3626" i="9"/>
  <c r="N3626" i="9"/>
  <c r="O3626" i="9"/>
  <c r="I3627" i="9"/>
  <c r="K3627" i="9"/>
  <c r="O3627" i="9"/>
  <c r="O3628" i="9"/>
  <c r="O3629" i="9"/>
  <c r="K3548" i="9"/>
  <c r="N3548" i="9"/>
  <c r="O3548" i="9"/>
  <c r="J3549" i="9"/>
  <c r="K3549" i="9"/>
  <c r="N3549" i="9"/>
  <c r="O3549" i="9"/>
  <c r="N3550" i="9"/>
  <c r="J3550" i="9"/>
  <c r="K3550" i="9"/>
  <c r="O3550" i="9"/>
  <c r="I3551" i="9"/>
  <c r="J3551" i="9"/>
  <c r="K3551" i="9"/>
  <c r="N3551" i="9"/>
  <c r="O3551" i="9"/>
  <c r="I3552" i="9"/>
  <c r="J3552" i="9"/>
  <c r="K3552" i="9"/>
  <c r="N3552" i="9"/>
  <c r="O3552" i="9"/>
  <c r="I3553" i="9"/>
  <c r="J3553" i="9"/>
  <c r="K3553" i="9"/>
  <c r="N3553" i="9"/>
  <c r="O3553" i="9"/>
  <c r="I3554" i="9"/>
  <c r="J3554" i="9"/>
  <c r="K3554" i="9"/>
  <c r="N3554" i="9"/>
  <c r="O3554" i="9"/>
  <c r="I3555" i="9"/>
  <c r="J3555" i="9"/>
  <c r="K3555" i="9"/>
  <c r="N3555" i="9"/>
  <c r="O3555" i="9"/>
  <c r="I3556" i="9"/>
  <c r="J3556" i="9"/>
  <c r="K3556" i="9"/>
  <c r="N3556" i="9"/>
  <c r="O3556" i="9"/>
  <c r="J3557" i="9"/>
  <c r="K3557" i="9"/>
  <c r="N3557" i="9"/>
  <c r="O3557" i="9"/>
  <c r="I3558" i="9"/>
  <c r="J3558" i="9"/>
  <c r="K3558" i="9"/>
  <c r="N3558" i="9"/>
  <c r="O3558" i="9"/>
  <c r="I3559" i="9"/>
  <c r="J3559" i="9"/>
  <c r="K3559" i="9"/>
  <c r="N3559" i="9"/>
  <c r="O3559" i="9"/>
  <c r="I3560" i="9"/>
  <c r="J3560" i="9"/>
  <c r="K3560" i="9"/>
  <c r="N3560" i="9"/>
  <c r="O3560" i="9"/>
  <c r="I3561" i="9"/>
  <c r="J3561" i="9"/>
  <c r="K3561" i="9"/>
  <c r="N3561" i="9"/>
  <c r="O3561" i="9"/>
  <c r="N3562" i="9"/>
  <c r="O3562" i="9"/>
  <c r="I3563" i="9"/>
  <c r="J3563" i="9"/>
  <c r="K3563" i="9"/>
  <c r="N3563" i="9"/>
  <c r="O3563" i="9"/>
  <c r="I3564" i="9"/>
  <c r="J3564" i="9"/>
  <c r="K3564" i="9"/>
  <c r="N3564" i="9"/>
  <c r="O3564" i="9"/>
  <c r="I3565" i="9"/>
  <c r="J3565" i="9"/>
  <c r="K3565" i="9"/>
  <c r="N3565" i="9"/>
  <c r="O3565" i="9"/>
  <c r="I3566" i="9"/>
  <c r="J3566" i="9"/>
  <c r="K3566" i="9"/>
  <c r="N3566" i="9"/>
  <c r="O3566" i="9"/>
  <c r="I3567" i="9"/>
  <c r="K3567" i="9"/>
  <c r="N3567" i="9"/>
  <c r="O3567" i="9"/>
  <c r="I3568" i="9"/>
  <c r="K3568" i="9"/>
  <c r="N3568" i="9"/>
  <c r="O3568" i="9"/>
  <c r="I3569" i="9"/>
  <c r="K3569" i="9"/>
  <c r="N3569" i="9"/>
  <c r="O3569" i="9"/>
  <c r="I3570" i="9"/>
  <c r="K3570" i="9"/>
  <c r="N3570" i="9"/>
  <c r="O3570" i="9"/>
  <c r="N3571" i="9"/>
  <c r="O3571" i="9"/>
  <c r="I3572" i="9"/>
  <c r="J3572" i="9"/>
  <c r="K3572" i="9"/>
  <c r="N3572" i="9"/>
  <c r="O3572" i="9"/>
  <c r="J3573" i="9"/>
  <c r="K3573" i="9"/>
  <c r="N3573" i="9"/>
  <c r="O3573" i="9"/>
  <c r="J3574" i="9"/>
  <c r="K3574" i="9"/>
  <c r="N3574" i="9"/>
  <c r="O3574" i="9"/>
  <c r="K3575" i="9"/>
  <c r="N3575" i="9"/>
  <c r="O3575" i="9"/>
  <c r="N3576" i="9"/>
  <c r="O3576" i="9"/>
  <c r="N3577" i="9"/>
  <c r="O3577" i="9"/>
  <c r="N3578" i="9"/>
  <c r="O3578" i="9"/>
  <c r="I3579" i="9"/>
  <c r="J3579" i="9"/>
  <c r="K3579" i="9"/>
  <c r="N3579" i="9"/>
  <c r="O3579" i="9"/>
  <c r="I3580" i="9"/>
  <c r="J3580" i="9"/>
  <c r="K3580" i="9"/>
  <c r="N3580" i="9"/>
  <c r="O3580" i="9"/>
  <c r="I3581" i="9"/>
  <c r="J3581" i="9"/>
  <c r="K3581" i="9"/>
  <c r="N3581" i="9"/>
  <c r="O3581" i="9"/>
  <c r="I3582" i="9"/>
  <c r="J3582" i="9"/>
  <c r="K3582" i="9"/>
  <c r="N3582" i="9"/>
  <c r="O3582" i="9"/>
  <c r="N3583" i="9"/>
  <c r="I3583" i="9"/>
  <c r="J3583" i="9"/>
  <c r="K3583" i="9"/>
  <c r="O3583" i="9"/>
  <c r="I3584" i="9"/>
  <c r="K3584" i="9"/>
  <c r="N3584" i="9"/>
  <c r="O3584" i="9"/>
  <c r="J3585" i="9"/>
  <c r="K3585" i="9"/>
  <c r="N3585" i="9"/>
  <c r="O3585" i="9"/>
  <c r="N3586" i="9"/>
  <c r="O3586" i="9"/>
  <c r="N3587" i="9"/>
  <c r="I3587" i="9"/>
  <c r="J3587" i="9"/>
  <c r="K3587" i="9"/>
  <c r="O3587" i="9"/>
  <c r="N3588" i="9"/>
  <c r="J3588" i="9"/>
  <c r="K3588" i="9"/>
  <c r="O3588" i="9"/>
  <c r="K3589" i="9"/>
  <c r="N3589" i="9"/>
  <c r="O3589" i="9"/>
  <c r="I3590" i="9"/>
  <c r="J3590" i="9"/>
  <c r="K3590" i="9"/>
  <c r="N3590" i="9"/>
  <c r="O3590" i="9"/>
  <c r="J3591" i="9"/>
  <c r="K3591" i="9"/>
  <c r="N3591" i="9"/>
  <c r="O3591" i="9"/>
  <c r="N3592" i="9"/>
  <c r="I3592" i="9"/>
  <c r="J3592" i="9"/>
  <c r="K3592" i="9"/>
  <c r="O3592" i="9"/>
  <c r="I3593" i="9"/>
  <c r="J3593" i="9"/>
  <c r="K3593" i="9"/>
  <c r="N3593" i="9"/>
  <c r="O3593" i="9"/>
  <c r="I3594" i="9"/>
  <c r="J3594" i="9"/>
  <c r="K3594" i="9"/>
  <c r="N3594" i="9"/>
  <c r="O3594" i="9"/>
  <c r="I3595" i="9"/>
  <c r="J3595" i="9"/>
  <c r="K3595" i="9"/>
  <c r="N3595" i="9"/>
  <c r="O3595" i="9"/>
  <c r="I3596" i="9"/>
  <c r="J3596" i="9"/>
  <c r="K3596" i="9"/>
  <c r="N3596" i="9"/>
  <c r="O3596" i="9"/>
  <c r="I3597" i="9"/>
  <c r="J3597" i="9"/>
  <c r="K3597" i="9"/>
  <c r="N3597" i="9"/>
  <c r="O3597" i="9"/>
  <c r="I3598" i="9"/>
  <c r="J3598" i="9"/>
  <c r="K3598" i="9"/>
  <c r="N3598" i="9"/>
  <c r="O3598" i="9"/>
  <c r="I3599" i="9"/>
  <c r="K3599" i="9"/>
  <c r="N3599" i="9"/>
  <c r="O3599" i="9"/>
  <c r="K3600" i="9"/>
  <c r="N3600" i="9"/>
  <c r="O3600" i="9"/>
  <c r="K3601" i="9"/>
  <c r="N3601" i="9"/>
  <c r="O3601" i="9"/>
  <c r="I3602" i="9"/>
  <c r="J3602" i="9"/>
  <c r="K3602" i="9"/>
  <c r="N3602" i="9"/>
  <c r="O3602" i="9"/>
  <c r="I3603" i="9"/>
  <c r="J3603" i="9"/>
  <c r="K3603" i="9"/>
  <c r="N3603" i="9"/>
  <c r="O3603" i="9"/>
  <c r="J3604" i="9"/>
  <c r="K3604" i="9"/>
  <c r="N3604" i="9"/>
  <c r="O3604" i="9"/>
  <c r="N3605" i="9"/>
  <c r="J3605" i="9"/>
  <c r="K3605" i="9"/>
  <c r="O3605" i="9"/>
  <c r="N3606" i="9"/>
  <c r="O3606" i="9"/>
  <c r="J3607" i="9"/>
  <c r="K3607" i="9"/>
  <c r="N3607" i="9"/>
  <c r="O3607" i="9"/>
  <c r="N3608" i="9"/>
  <c r="O3608" i="9"/>
  <c r="J3609" i="9"/>
  <c r="K3609" i="9"/>
  <c r="N3609" i="9"/>
  <c r="O3609" i="9"/>
  <c r="N3610" i="9"/>
  <c r="O3610" i="9"/>
  <c r="N3611" i="9"/>
  <c r="O3611" i="9"/>
  <c r="N3612" i="9"/>
  <c r="J3612" i="9"/>
  <c r="K3612" i="9"/>
  <c r="O3612" i="9"/>
  <c r="N3613" i="9"/>
  <c r="J3613" i="9"/>
  <c r="K3613" i="9"/>
  <c r="O3613" i="9"/>
  <c r="J3614" i="9"/>
  <c r="K3614" i="9"/>
  <c r="N3614" i="9"/>
  <c r="O3614" i="9"/>
  <c r="J3448" i="9"/>
  <c r="K3448" i="9"/>
  <c r="N3448" i="9"/>
  <c r="O3448" i="9"/>
  <c r="J3449" i="9"/>
  <c r="K3449" i="9"/>
  <c r="N3449" i="9"/>
  <c r="O3449" i="9"/>
  <c r="K3450" i="9"/>
  <c r="N3450" i="9"/>
  <c r="O3450" i="9"/>
  <c r="J3451" i="9"/>
  <c r="K3451" i="9"/>
  <c r="N3451" i="9"/>
  <c r="O3451" i="9"/>
  <c r="K3452" i="9"/>
  <c r="N3452" i="9"/>
  <c r="O3452" i="9"/>
  <c r="N3453" i="9"/>
  <c r="O3453" i="9"/>
  <c r="N3454" i="9"/>
  <c r="O3454" i="9"/>
  <c r="N3455" i="9"/>
  <c r="O3455" i="9"/>
  <c r="N3456" i="9"/>
  <c r="O3456" i="9"/>
  <c r="N3457" i="9"/>
  <c r="O3457" i="9"/>
  <c r="N3458" i="9"/>
  <c r="O3458" i="9"/>
  <c r="N3459" i="9"/>
  <c r="O3459" i="9"/>
  <c r="N3460" i="9"/>
  <c r="O3460" i="9"/>
  <c r="N3461" i="9"/>
  <c r="O3461" i="9"/>
  <c r="I3462" i="9"/>
  <c r="J3462" i="9"/>
  <c r="K3462" i="9"/>
  <c r="N3462" i="9"/>
  <c r="O3462" i="9"/>
  <c r="I3463" i="9"/>
  <c r="J3463" i="9"/>
  <c r="K3463" i="9"/>
  <c r="N3463" i="9"/>
  <c r="O3463" i="9"/>
  <c r="I3464" i="9"/>
  <c r="J3464" i="9"/>
  <c r="K3464" i="9"/>
  <c r="N3464" i="9"/>
  <c r="O3464" i="9"/>
  <c r="K3465" i="9"/>
  <c r="N3465" i="9"/>
  <c r="O3465" i="9"/>
  <c r="N3466" i="9"/>
  <c r="O3466" i="9"/>
  <c r="N3467" i="9"/>
  <c r="O3467" i="9"/>
  <c r="I3468" i="9"/>
  <c r="K3468" i="9"/>
  <c r="N3468" i="9"/>
  <c r="O3468" i="9"/>
  <c r="I3469" i="9"/>
  <c r="K3469" i="9"/>
  <c r="N3469" i="9"/>
  <c r="O3469" i="9"/>
  <c r="I3470" i="9"/>
  <c r="K3470" i="9"/>
  <c r="N3470" i="9"/>
  <c r="O3470" i="9"/>
  <c r="I3471" i="9"/>
  <c r="K3471" i="9"/>
  <c r="N3471" i="9"/>
  <c r="O3471" i="9"/>
  <c r="I3472" i="9"/>
  <c r="J3472" i="9"/>
  <c r="K3472" i="9"/>
  <c r="N3472" i="9"/>
  <c r="O3472" i="9"/>
  <c r="I3473" i="9"/>
  <c r="J3473" i="9"/>
  <c r="K3473" i="9"/>
  <c r="N3473" i="9"/>
  <c r="O3473" i="9"/>
  <c r="J3474" i="9"/>
  <c r="K3474" i="9"/>
  <c r="N3474" i="9"/>
  <c r="O3474" i="9"/>
  <c r="N3475" i="9"/>
  <c r="O3475" i="9"/>
  <c r="N3476" i="9"/>
  <c r="O3476" i="9"/>
  <c r="J3477" i="9"/>
  <c r="K3477" i="9"/>
  <c r="N3477" i="9"/>
  <c r="O3477" i="9"/>
  <c r="J3478" i="9"/>
  <c r="K3478" i="9"/>
  <c r="N3478" i="9"/>
  <c r="O3478" i="9"/>
  <c r="N3479" i="9"/>
  <c r="O3479" i="9"/>
  <c r="K3480" i="9"/>
  <c r="N3480" i="9"/>
  <c r="O3480" i="9"/>
  <c r="N3481" i="9"/>
  <c r="O3481" i="9"/>
  <c r="J3482" i="9"/>
  <c r="K3482" i="9"/>
  <c r="N3482" i="9"/>
  <c r="O3482" i="9"/>
  <c r="N3483" i="9"/>
  <c r="O3483" i="9"/>
  <c r="N3484" i="9"/>
  <c r="O3484" i="9"/>
  <c r="J3485" i="9"/>
  <c r="K3485" i="9"/>
  <c r="N3485" i="9"/>
  <c r="O3485" i="9"/>
  <c r="J3486" i="9"/>
  <c r="K3486" i="9"/>
  <c r="N3486" i="9"/>
  <c r="O3486" i="9"/>
  <c r="J3487" i="9"/>
  <c r="K3487" i="9"/>
  <c r="N3487" i="9"/>
  <c r="O3487" i="9"/>
  <c r="I3488" i="9"/>
  <c r="J3488" i="9"/>
  <c r="K3488" i="9"/>
  <c r="N3488" i="9"/>
  <c r="O3488" i="9"/>
  <c r="I3489" i="9"/>
  <c r="J3489" i="9"/>
  <c r="K3489" i="9"/>
  <c r="N3489" i="9"/>
  <c r="O3489" i="9"/>
  <c r="I3490" i="9"/>
  <c r="J3490" i="9"/>
  <c r="K3490" i="9"/>
  <c r="N3490" i="9"/>
  <c r="O3490" i="9"/>
  <c r="I3491" i="9"/>
  <c r="J3491" i="9"/>
  <c r="K3491" i="9"/>
  <c r="N3491" i="9"/>
  <c r="O3491" i="9"/>
  <c r="I3492" i="9"/>
  <c r="J3492" i="9"/>
  <c r="K3492" i="9"/>
  <c r="N3492" i="9"/>
  <c r="O3492" i="9"/>
  <c r="I3493" i="9"/>
  <c r="J3493" i="9"/>
  <c r="K3493" i="9"/>
  <c r="N3493" i="9"/>
  <c r="O3493" i="9"/>
  <c r="I3494" i="9"/>
  <c r="J3494" i="9"/>
  <c r="K3494" i="9"/>
  <c r="N3494" i="9"/>
  <c r="O3494" i="9"/>
  <c r="I3495" i="9"/>
  <c r="J3495" i="9"/>
  <c r="K3495" i="9"/>
  <c r="N3495" i="9"/>
  <c r="O3495" i="9"/>
  <c r="I3496" i="9"/>
  <c r="J3496" i="9"/>
  <c r="K3496" i="9"/>
  <c r="N3496" i="9"/>
  <c r="O3496" i="9"/>
  <c r="I3497" i="9"/>
  <c r="J3497" i="9"/>
  <c r="K3497" i="9"/>
  <c r="N3497" i="9"/>
  <c r="O3497" i="9"/>
  <c r="I3498" i="9"/>
  <c r="K3498" i="9"/>
  <c r="N3498" i="9"/>
  <c r="O3498" i="9"/>
  <c r="I3499" i="9"/>
  <c r="K3499" i="9"/>
  <c r="N3499" i="9"/>
  <c r="O3499" i="9"/>
  <c r="I3500" i="9"/>
  <c r="K3500" i="9"/>
  <c r="N3500" i="9"/>
  <c r="O3500" i="9"/>
  <c r="I3501" i="9"/>
  <c r="J3501" i="9"/>
  <c r="K3501" i="9"/>
  <c r="N3501" i="9"/>
  <c r="O3501" i="9"/>
  <c r="I3502" i="9"/>
  <c r="J3502" i="9"/>
  <c r="K3502" i="9"/>
  <c r="N3502" i="9"/>
  <c r="O3502" i="9"/>
  <c r="J3503" i="9"/>
  <c r="K3503" i="9"/>
  <c r="N3503" i="9"/>
  <c r="O3503" i="9"/>
  <c r="J3504" i="9"/>
  <c r="K3504" i="9"/>
  <c r="N3504" i="9"/>
  <c r="O3504" i="9"/>
  <c r="N3505" i="9"/>
  <c r="O3505" i="9"/>
  <c r="K3506" i="9"/>
  <c r="N3506" i="9"/>
  <c r="O3506" i="9"/>
  <c r="N3507" i="9"/>
  <c r="O3507" i="9"/>
  <c r="N3508" i="9"/>
  <c r="O3508" i="9"/>
  <c r="J3509" i="9"/>
  <c r="K3509" i="9"/>
  <c r="N3509" i="9"/>
  <c r="O3509" i="9"/>
  <c r="J3510" i="9"/>
  <c r="K3510" i="9"/>
  <c r="N3510" i="9"/>
  <c r="O3510" i="9"/>
  <c r="N3511" i="9"/>
  <c r="O3511" i="9"/>
  <c r="J3512" i="9"/>
  <c r="K3512" i="9"/>
  <c r="N3512" i="9"/>
  <c r="O3512" i="9"/>
  <c r="J3513" i="9"/>
  <c r="K3513" i="9"/>
  <c r="N3513" i="9"/>
  <c r="O3513" i="9"/>
  <c r="N3514" i="9"/>
  <c r="O3514" i="9"/>
  <c r="N3515" i="9"/>
  <c r="J3516" i="9"/>
  <c r="K3516" i="9"/>
  <c r="N3516" i="9"/>
  <c r="O3516" i="9"/>
  <c r="K3517" i="9"/>
  <c r="N3517" i="9"/>
  <c r="O3517" i="9"/>
  <c r="N3518" i="9"/>
  <c r="O3518" i="9"/>
  <c r="N3519" i="9"/>
  <c r="O3519" i="9"/>
  <c r="K3520" i="9"/>
  <c r="N3520" i="9"/>
  <c r="O3520" i="9"/>
  <c r="N3521" i="9"/>
  <c r="O3521" i="9"/>
  <c r="I3522" i="9"/>
  <c r="J3522" i="9"/>
  <c r="K3522" i="9"/>
  <c r="N3522" i="9"/>
  <c r="O3522" i="9"/>
  <c r="I3523" i="9"/>
  <c r="J3523" i="9"/>
  <c r="K3523" i="9"/>
  <c r="N3523" i="9"/>
  <c r="O3523" i="9"/>
  <c r="I3524" i="9"/>
  <c r="J3524" i="9"/>
  <c r="K3524" i="9"/>
  <c r="N3524" i="9"/>
  <c r="O3524" i="9"/>
  <c r="I3525" i="9"/>
  <c r="J3525" i="9"/>
  <c r="K3525" i="9"/>
  <c r="N3525" i="9"/>
  <c r="O3525" i="9"/>
  <c r="I3526" i="9"/>
  <c r="J3526" i="9"/>
  <c r="K3526" i="9"/>
  <c r="N3526" i="9"/>
  <c r="O3526" i="9"/>
  <c r="I3527" i="9"/>
  <c r="J3527" i="9"/>
  <c r="K3527" i="9"/>
  <c r="N3527" i="9"/>
  <c r="O3527" i="9"/>
  <c r="I3528" i="9"/>
  <c r="J3528" i="9"/>
  <c r="K3528" i="9"/>
  <c r="N3528" i="9"/>
  <c r="O3528" i="9"/>
  <c r="I3529" i="9"/>
  <c r="J3529" i="9"/>
  <c r="K3529" i="9"/>
  <c r="N3529" i="9"/>
  <c r="O3529" i="9"/>
  <c r="I3530" i="9"/>
  <c r="J3530" i="9"/>
  <c r="K3530" i="9"/>
  <c r="N3530" i="9"/>
  <c r="O3530" i="9"/>
  <c r="K3531" i="9"/>
  <c r="N3531" i="9"/>
  <c r="O3531" i="9"/>
  <c r="J3532" i="9"/>
  <c r="K3532" i="9"/>
  <c r="N3532" i="9"/>
  <c r="O3532" i="9"/>
  <c r="N3533" i="9"/>
  <c r="J3533" i="9"/>
  <c r="K3533" i="9"/>
  <c r="O3533" i="9"/>
  <c r="J3534" i="9"/>
  <c r="K3534" i="9"/>
  <c r="N3534" i="9"/>
  <c r="O3534" i="9"/>
  <c r="N3535" i="9"/>
  <c r="O3535" i="9"/>
  <c r="K3536" i="9"/>
  <c r="N3536" i="9"/>
  <c r="O3536" i="9"/>
  <c r="I3537" i="9"/>
  <c r="J3537" i="9"/>
  <c r="K3537" i="9"/>
  <c r="N3537" i="9"/>
  <c r="O3537" i="9"/>
  <c r="I3538" i="9"/>
  <c r="J3538" i="9"/>
  <c r="K3538" i="9"/>
  <c r="N3538" i="9"/>
  <c r="O3538" i="9"/>
  <c r="I3539" i="9"/>
  <c r="J3539" i="9"/>
  <c r="K3539" i="9"/>
  <c r="N3539" i="9"/>
  <c r="O3539" i="9"/>
  <c r="I3540" i="9"/>
  <c r="J3540" i="9"/>
  <c r="K3540" i="9"/>
  <c r="N3540" i="9"/>
  <c r="O3540" i="9"/>
  <c r="I3541" i="9"/>
  <c r="J3541" i="9"/>
  <c r="K3541" i="9"/>
  <c r="N3541" i="9"/>
  <c r="O3541" i="9"/>
  <c r="J3542" i="9"/>
  <c r="K3542" i="9"/>
  <c r="N3542" i="9"/>
  <c r="O3542" i="9"/>
  <c r="J3543" i="9"/>
  <c r="K3543" i="9"/>
  <c r="N3543" i="9"/>
  <c r="O3543" i="9"/>
  <c r="J3544" i="9"/>
  <c r="K3544" i="9"/>
  <c r="N3544" i="9"/>
  <c r="O3544" i="9"/>
  <c r="N3545" i="9"/>
  <c r="O3545" i="9"/>
  <c r="J3546" i="9"/>
  <c r="K3546" i="9"/>
  <c r="N3546" i="9"/>
  <c r="O3546" i="9"/>
  <c r="N3547" i="9"/>
  <c r="O3547" i="9"/>
  <c r="J3290" i="9"/>
  <c r="K3290" i="9"/>
  <c r="N3290" i="9"/>
  <c r="O3290" i="9"/>
  <c r="N3291" i="9"/>
  <c r="O3291" i="9"/>
  <c r="N3292" i="9"/>
  <c r="O3292" i="9"/>
  <c r="K3293" i="9"/>
  <c r="N3293" i="9"/>
  <c r="O3293" i="9"/>
  <c r="J3294" i="9"/>
  <c r="K3294" i="9"/>
  <c r="N3294" i="9"/>
  <c r="O3294" i="9"/>
  <c r="N3295" i="9"/>
  <c r="O3295" i="9"/>
  <c r="J3296" i="9"/>
  <c r="K3296" i="9"/>
  <c r="N3296" i="9"/>
  <c r="O3296" i="9"/>
  <c r="N3297" i="9"/>
  <c r="O3297" i="9"/>
  <c r="J3298" i="9"/>
  <c r="K3298" i="9"/>
  <c r="N3298" i="9"/>
  <c r="O3298" i="9"/>
  <c r="N3299" i="9"/>
  <c r="O3299" i="9"/>
  <c r="I3300" i="9"/>
  <c r="J3300" i="9"/>
  <c r="K3300" i="9"/>
  <c r="N3300" i="9"/>
  <c r="O3300" i="9"/>
  <c r="J3301" i="9"/>
  <c r="K3301" i="9"/>
  <c r="N3301" i="9"/>
  <c r="O3301" i="9"/>
  <c r="J3302" i="9"/>
  <c r="K3302" i="9"/>
  <c r="N3302" i="9"/>
  <c r="O3302" i="9"/>
  <c r="K3303" i="9"/>
  <c r="N3303" i="9"/>
  <c r="O3303" i="9"/>
  <c r="N3304" i="9"/>
  <c r="O3304" i="9"/>
  <c r="I3305" i="9"/>
  <c r="J3305" i="9"/>
  <c r="K3305" i="9"/>
  <c r="N3305" i="9"/>
  <c r="O3305" i="9"/>
  <c r="I3306" i="9"/>
  <c r="J3306" i="9"/>
  <c r="K3306" i="9"/>
  <c r="N3306" i="9"/>
  <c r="O3306" i="9"/>
  <c r="I3307" i="9"/>
  <c r="J3307" i="9"/>
  <c r="K3307" i="9"/>
  <c r="N3307" i="9"/>
  <c r="O3307" i="9"/>
  <c r="I3308" i="9"/>
  <c r="J3308" i="9"/>
  <c r="K3308" i="9"/>
  <c r="N3308" i="9"/>
  <c r="O3308" i="9"/>
  <c r="I3309" i="9"/>
  <c r="J3309" i="9"/>
  <c r="K3309" i="9"/>
  <c r="N3309" i="9"/>
  <c r="O3309" i="9"/>
  <c r="I3310" i="9"/>
  <c r="J3310" i="9"/>
  <c r="K3310" i="9"/>
  <c r="N3310" i="9"/>
  <c r="O3310" i="9"/>
  <c r="I3311" i="9"/>
  <c r="J3311" i="9"/>
  <c r="K3311" i="9"/>
  <c r="N3311" i="9"/>
  <c r="O3311" i="9"/>
  <c r="I3312" i="9"/>
  <c r="J3312" i="9"/>
  <c r="K3312" i="9"/>
  <c r="N3312" i="9"/>
  <c r="O3312" i="9"/>
  <c r="I3313" i="9"/>
  <c r="J3313" i="9"/>
  <c r="K3313" i="9"/>
  <c r="N3313" i="9"/>
  <c r="O3313" i="9"/>
  <c r="I3314" i="9"/>
  <c r="J3314" i="9"/>
  <c r="K3314" i="9"/>
  <c r="N3314" i="9"/>
  <c r="O3314" i="9"/>
  <c r="I3315" i="9"/>
  <c r="J3315" i="9"/>
  <c r="K3315" i="9"/>
  <c r="N3315" i="9"/>
  <c r="O3315" i="9"/>
  <c r="I3316" i="9"/>
  <c r="J3316" i="9"/>
  <c r="K3316" i="9"/>
  <c r="N3316" i="9"/>
  <c r="O3316" i="9"/>
  <c r="I3317" i="9"/>
  <c r="J3317" i="9"/>
  <c r="K3317" i="9"/>
  <c r="N3317" i="9"/>
  <c r="O3317" i="9"/>
  <c r="I3318" i="9"/>
  <c r="J3318" i="9"/>
  <c r="K3318" i="9"/>
  <c r="N3318" i="9"/>
  <c r="O3318" i="9"/>
  <c r="J3319" i="9"/>
  <c r="K3319" i="9"/>
  <c r="N3319" i="9"/>
  <c r="O3319" i="9"/>
  <c r="J3320" i="9"/>
  <c r="K3320" i="9"/>
  <c r="N3320" i="9"/>
  <c r="O3320" i="9"/>
  <c r="J3321" i="9"/>
  <c r="K3321" i="9"/>
  <c r="N3321" i="9"/>
  <c r="O3321" i="9"/>
  <c r="J3322" i="9"/>
  <c r="K3322" i="9"/>
  <c r="N3322" i="9"/>
  <c r="O3322" i="9"/>
  <c r="I3323" i="9"/>
  <c r="J3323" i="9"/>
  <c r="K3323" i="9"/>
  <c r="O3323" i="9"/>
  <c r="I3324" i="9"/>
  <c r="J3324" i="9"/>
  <c r="K3324" i="9"/>
  <c r="N3324" i="9"/>
  <c r="O3324" i="9"/>
  <c r="N3325" i="9"/>
  <c r="O3325" i="9"/>
  <c r="I3326" i="9"/>
  <c r="J3326" i="9"/>
  <c r="K3326" i="9"/>
  <c r="N3326" i="9"/>
  <c r="O3326" i="9"/>
  <c r="K3327" i="9"/>
  <c r="N3327" i="9"/>
  <c r="O3327" i="9"/>
  <c r="N3328" i="9"/>
  <c r="O3328" i="9"/>
  <c r="N3329" i="9"/>
  <c r="O3329" i="9"/>
  <c r="J3330" i="9"/>
  <c r="K3330" i="9"/>
  <c r="N3330" i="9"/>
  <c r="O3330" i="9"/>
  <c r="J3331" i="9"/>
  <c r="K3331" i="9"/>
  <c r="N3331" i="9"/>
  <c r="O3331" i="9"/>
  <c r="N3332" i="9"/>
  <c r="O3332" i="9"/>
  <c r="J3333" i="9"/>
  <c r="K3333" i="9"/>
  <c r="N3333" i="9"/>
  <c r="O3333" i="9"/>
  <c r="K3334" i="9"/>
  <c r="N3334" i="9"/>
  <c r="O3334" i="9"/>
  <c r="N3335" i="9"/>
  <c r="O3335" i="9"/>
  <c r="N3336" i="9"/>
  <c r="O3336" i="9"/>
  <c r="N3337" i="9"/>
  <c r="O3337" i="9"/>
  <c r="N3338" i="9"/>
  <c r="O3338" i="9"/>
  <c r="N3339" i="9"/>
  <c r="O3339" i="9"/>
  <c r="N3340" i="9"/>
  <c r="O3340" i="9"/>
  <c r="K3341" i="9"/>
  <c r="N3341" i="9"/>
  <c r="O3341" i="9"/>
  <c r="N3342" i="9"/>
  <c r="O3342" i="9"/>
  <c r="I3343" i="9"/>
  <c r="J3343" i="9"/>
  <c r="K3343" i="9"/>
  <c r="N3343" i="9"/>
  <c r="O3343" i="9"/>
  <c r="I3344" i="9"/>
  <c r="J3344" i="9"/>
  <c r="K3344" i="9"/>
  <c r="N3344" i="9"/>
  <c r="O3344" i="9"/>
  <c r="I3345" i="9"/>
  <c r="J3345" i="9"/>
  <c r="K3345" i="9"/>
  <c r="N3345" i="9"/>
  <c r="O3345" i="9"/>
  <c r="I3346" i="9"/>
  <c r="J3346" i="9"/>
  <c r="K3346" i="9"/>
  <c r="N3346" i="9"/>
  <c r="O3346" i="9"/>
  <c r="I3347" i="9"/>
  <c r="J3347" i="9"/>
  <c r="K3347" i="9"/>
  <c r="N3347" i="9"/>
  <c r="O3347" i="9"/>
  <c r="I3348" i="9"/>
  <c r="J3348" i="9"/>
  <c r="K3348" i="9"/>
  <c r="N3348" i="9"/>
  <c r="O3348" i="9"/>
  <c r="I3349" i="9"/>
  <c r="J3349" i="9"/>
  <c r="K3349" i="9"/>
  <c r="N3349" i="9"/>
  <c r="O3349" i="9"/>
  <c r="I3350" i="9"/>
  <c r="J3350" i="9"/>
  <c r="K3350" i="9"/>
  <c r="N3350" i="9"/>
  <c r="O3350" i="9"/>
  <c r="I3351" i="9"/>
  <c r="J3351" i="9"/>
  <c r="K3351" i="9"/>
  <c r="N3351" i="9"/>
  <c r="O3351" i="9"/>
  <c r="I3352" i="9"/>
  <c r="J3352" i="9"/>
  <c r="K3352" i="9"/>
  <c r="N3352" i="9"/>
  <c r="O3352" i="9"/>
  <c r="I3353" i="9"/>
  <c r="J3353" i="9"/>
  <c r="K3353" i="9"/>
  <c r="N3353" i="9"/>
  <c r="O3353" i="9"/>
  <c r="I3354" i="9"/>
  <c r="J3354" i="9"/>
  <c r="K3354" i="9"/>
  <c r="N3354" i="9"/>
  <c r="O3354" i="9"/>
  <c r="I3355" i="9"/>
  <c r="J3355" i="9"/>
  <c r="K3355" i="9"/>
  <c r="N3355" i="9"/>
  <c r="O3355" i="9"/>
  <c r="J3356" i="9"/>
  <c r="K3356" i="9"/>
  <c r="N3356" i="9"/>
  <c r="O3356" i="9"/>
  <c r="I3357" i="9"/>
  <c r="K3357" i="9"/>
  <c r="N3357" i="9"/>
  <c r="O3357" i="9"/>
  <c r="K3358" i="9"/>
  <c r="N3358" i="9"/>
  <c r="O3358" i="9"/>
  <c r="N3359" i="9"/>
  <c r="O3359" i="9"/>
  <c r="I3360" i="9"/>
  <c r="J3360" i="9"/>
  <c r="K3360" i="9"/>
  <c r="N3360" i="9"/>
  <c r="O3360" i="9"/>
  <c r="I3361" i="9"/>
  <c r="K3361" i="9"/>
  <c r="N3361" i="9"/>
  <c r="O3361" i="9"/>
  <c r="I3362" i="9"/>
  <c r="K3362" i="9"/>
  <c r="N3362" i="9"/>
  <c r="O3362" i="9"/>
  <c r="J3363" i="9"/>
  <c r="K3363" i="9"/>
  <c r="N3363" i="9"/>
  <c r="O3363" i="9"/>
  <c r="N3364" i="9"/>
  <c r="I3364" i="9"/>
  <c r="J3364" i="9"/>
  <c r="K3364" i="9"/>
  <c r="O3364" i="9"/>
  <c r="J3365" i="9"/>
  <c r="K3365" i="9"/>
  <c r="N3365" i="9"/>
  <c r="O3365" i="9"/>
  <c r="N3366" i="9"/>
  <c r="O3366" i="9"/>
  <c r="N3367" i="9"/>
  <c r="O3367" i="9"/>
  <c r="N3368" i="9"/>
  <c r="O3368" i="9"/>
  <c r="N3369" i="9"/>
  <c r="O3369" i="9"/>
  <c r="N3370" i="9"/>
  <c r="O3370" i="9"/>
  <c r="N3371" i="9"/>
  <c r="O3371" i="9"/>
  <c r="N3372" i="9"/>
  <c r="O3372" i="9"/>
  <c r="J3373" i="9"/>
  <c r="K3373" i="9"/>
  <c r="N3373" i="9"/>
  <c r="O3373" i="9"/>
  <c r="I3374" i="9"/>
  <c r="J3374" i="9"/>
  <c r="K3374" i="9"/>
  <c r="N3374" i="9"/>
  <c r="O3374" i="9"/>
  <c r="I3375" i="9"/>
  <c r="J3375" i="9"/>
  <c r="K3375" i="9"/>
  <c r="N3375" i="9"/>
  <c r="O3375" i="9"/>
  <c r="I3376" i="9"/>
  <c r="J3376" i="9"/>
  <c r="K3376" i="9"/>
  <c r="N3376" i="9"/>
  <c r="O3376" i="9"/>
  <c r="K3377" i="9"/>
  <c r="N3377" i="9"/>
  <c r="O3377" i="9"/>
  <c r="K3378" i="9"/>
  <c r="N3378" i="9"/>
  <c r="O3378" i="9"/>
  <c r="K3379" i="9"/>
  <c r="N3379" i="9"/>
  <c r="O3379" i="9"/>
  <c r="K3380" i="9"/>
  <c r="N3380" i="9"/>
  <c r="O3380" i="9"/>
  <c r="K3381" i="9"/>
  <c r="N3381" i="9"/>
  <c r="O3381" i="9"/>
  <c r="J3382" i="9"/>
  <c r="K3382" i="9"/>
  <c r="N3382" i="9"/>
  <c r="O3382" i="9"/>
  <c r="J3383" i="9"/>
  <c r="K3383" i="9"/>
  <c r="N3383" i="9"/>
  <c r="O3383" i="9"/>
  <c r="K3384" i="9"/>
  <c r="N3384" i="9"/>
  <c r="O3384" i="9"/>
  <c r="K3385" i="9"/>
  <c r="N3385" i="9"/>
  <c r="O3385" i="9"/>
  <c r="K3386" i="9"/>
  <c r="N3386" i="9"/>
  <c r="O3386" i="9"/>
  <c r="N3387" i="9"/>
  <c r="J3387" i="9"/>
  <c r="K3387" i="9"/>
  <c r="O3387" i="9"/>
  <c r="J3388" i="9"/>
  <c r="K3388" i="9"/>
  <c r="N3388" i="9"/>
  <c r="O3388" i="9"/>
  <c r="N3389" i="9"/>
  <c r="O3389" i="9"/>
  <c r="N3390" i="9"/>
  <c r="O3390" i="9"/>
  <c r="N3391" i="9"/>
  <c r="O3391" i="9"/>
  <c r="N3392" i="9"/>
  <c r="O3392" i="9"/>
  <c r="N3393" i="9"/>
  <c r="O3393" i="9"/>
  <c r="N3394" i="9"/>
  <c r="O3394" i="9"/>
  <c r="N3395" i="9"/>
  <c r="O3395" i="9"/>
  <c r="N3396" i="9"/>
  <c r="O3396" i="9"/>
  <c r="N3397" i="9"/>
  <c r="O3397" i="9"/>
  <c r="N3398" i="9"/>
  <c r="O3398" i="9"/>
  <c r="N3399" i="9"/>
  <c r="O3399" i="9"/>
  <c r="N3400" i="9"/>
  <c r="O3400" i="9"/>
  <c r="N3401" i="9"/>
  <c r="O3401" i="9"/>
  <c r="N3402" i="9"/>
  <c r="O3402" i="9"/>
  <c r="N3403" i="9"/>
  <c r="O3403" i="9"/>
  <c r="N3404" i="9"/>
  <c r="O3404" i="9"/>
  <c r="N3405" i="9"/>
  <c r="O3405" i="9"/>
  <c r="I3407" i="9"/>
  <c r="J3407" i="9"/>
  <c r="K3407" i="9"/>
  <c r="N3407" i="9"/>
  <c r="O3407" i="9"/>
  <c r="I3408" i="9"/>
  <c r="J3408" i="9"/>
  <c r="K3408" i="9"/>
  <c r="N3408" i="9"/>
  <c r="O3408" i="9"/>
  <c r="I3409" i="9"/>
  <c r="J3409" i="9"/>
  <c r="K3409" i="9"/>
  <c r="N3409" i="9"/>
  <c r="O3409" i="9"/>
  <c r="I3410" i="9"/>
  <c r="J3410" i="9"/>
  <c r="K3410" i="9"/>
  <c r="N3410" i="9"/>
  <c r="O3410" i="9"/>
  <c r="I3411" i="9"/>
  <c r="J3411" i="9"/>
  <c r="K3411" i="9"/>
  <c r="N3411" i="9"/>
  <c r="O3411" i="9"/>
  <c r="I3412" i="9"/>
  <c r="J3412" i="9"/>
  <c r="K3412" i="9"/>
  <c r="N3412" i="9"/>
  <c r="O3412" i="9"/>
  <c r="I3413" i="9"/>
  <c r="J3413" i="9"/>
  <c r="K3413" i="9"/>
  <c r="N3413" i="9"/>
  <c r="O3413" i="9"/>
  <c r="I3414" i="9"/>
  <c r="J3414" i="9"/>
  <c r="K3414" i="9"/>
  <c r="N3414" i="9"/>
  <c r="O3414" i="9"/>
  <c r="I3415" i="9"/>
  <c r="J3415" i="9"/>
  <c r="K3415" i="9"/>
  <c r="N3415" i="9"/>
  <c r="O3415" i="9"/>
  <c r="I3416" i="9"/>
  <c r="J3416" i="9"/>
  <c r="K3416" i="9"/>
  <c r="N3416" i="9"/>
  <c r="O3416" i="9"/>
  <c r="J3417" i="9"/>
  <c r="K3417" i="9"/>
  <c r="N3417" i="9"/>
  <c r="O3417" i="9"/>
  <c r="N3418" i="9"/>
  <c r="O3418" i="9"/>
  <c r="J3419" i="9"/>
  <c r="K3419" i="9"/>
  <c r="N3419" i="9"/>
  <c r="O3419" i="9"/>
  <c r="I3420" i="9"/>
  <c r="J3420" i="9"/>
  <c r="K3420" i="9"/>
  <c r="N3420" i="9"/>
  <c r="O3420" i="9"/>
  <c r="I3421" i="9"/>
  <c r="J3421" i="9"/>
  <c r="K3421" i="9"/>
  <c r="N3421" i="9"/>
  <c r="O3421" i="9"/>
  <c r="I3422" i="9"/>
  <c r="J3422" i="9"/>
  <c r="K3422" i="9"/>
  <c r="N3422" i="9"/>
  <c r="O3422" i="9"/>
  <c r="I3423" i="9"/>
  <c r="J3423" i="9"/>
  <c r="K3423" i="9"/>
  <c r="N3423" i="9"/>
  <c r="O3423" i="9"/>
  <c r="I3424" i="9"/>
  <c r="J3424" i="9"/>
  <c r="K3424" i="9"/>
  <c r="N3424" i="9"/>
  <c r="O3424" i="9"/>
  <c r="I3425" i="9"/>
  <c r="J3425" i="9"/>
  <c r="K3425" i="9"/>
  <c r="N3425" i="9"/>
  <c r="O3425" i="9"/>
  <c r="I3426" i="9"/>
  <c r="J3426" i="9"/>
  <c r="K3426" i="9"/>
  <c r="N3426" i="9"/>
  <c r="O3426" i="9"/>
  <c r="I3427" i="9"/>
  <c r="J3427" i="9"/>
  <c r="K3427" i="9"/>
  <c r="N3427" i="9"/>
  <c r="O3427" i="9"/>
  <c r="I3428" i="9"/>
  <c r="J3428" i="9"/>
  <c r="K3428" i="9"/>
  <c r="N3428" i="9"/>
  <c r="O3428" i="9"/>
  <c r="I3429" i="9"/>
  <c r="J3429" i="9"/>
  <c r="K3429" i="9"/>
  <c r="N3429" i="9"/>
  <c r="O3429" i="9"/>
  <c r="I3430" i="9"/>
  <c r="J3430" i="9"/>
  <c r="K3430" i="9"/>
  <c r="N3430" i="9"/>
  <c r="O3430" i="9"/>
  <c r="I3431" i="9"/>
  <c r="J3431" i="9"/>
  <c r="K3431" i="9"/>
  <c r="N3431" i="9"/>
  <c r="O3431" i="9"/>
  <c r="I3432" i="9"/>
  <c r="J3432" i="9"/>
  <c r="K3432" i="9"/>
  <c r="N3432" i="9"/>
  <c r="O3432" i="9"/>
  <c r="I3433" i="9"/>
  <c r="J3433" i="9"/>
  <c r="K3433" i="9"/>
  <c r="N3433" i="9"/>
  <c r="O3433" i="9"/>
  <c r="N3434" i="9"/>
  <c r="O3434" i="9"/>
  <c r="I3435" i="9"/>
  <c r="J3435" i="9"/>
  <c r="K3435" i="9"/>
  <c r="N3435" i="9"/>
  <c r="O3435" i="9"/>
  <c r="I3436" i="9"/>
  <c r="J3436" i="9"/>
  <c r="K3436" i="9"/>
  <c r="N3436" i="9"/>
  <c r="O3436" i="9"/>
  <c r="I3437" i="9"/>
  <c r="K3437" i="9"/>
  <c r="N3437" i="9"/>
  <c r="O3437" i="9"/>
  <c r="I3438" i="9"/>
  <c r="K3438" i="9"/>
  <c r="N3438" i="9"/>
  <c r="O3438" i="9"/>
  <c r="I3439" i="9"/>
  <c r="K3439" i="9"/>
  <c r="N3439" i="9"/>
  <c r="O3439" i="9"/>
  <c r="N3440" i="9"/>
  <c r="O3440" i="9"/>
  <c r="I3441" i="9"/>
  <c r="J3441" i="9"/>
  <c r="K3441" i="9"/>
  <c r="N3441" i="9"/>
  <c r="O3441" i="9"/>
  <c r="N3442" i="9"/>
  <c r="O3442" i="9"/>
  <c r="J3443" i="9"/>
  <c r="K3443" i="9"/>
  <c r="N3443" i="9"/>
  <c r="O3443" i="9"/>
  <c r="J3444" i="9"/>
  <c r="K3444" i="9"/>
  <c r="N3444" i="9"/>
  <c r="O3444" i="9"/>
  <c r="J3445" i="9"/>
  <c r="K3445" i="9"/>
  <c r="N3445" i="9"/>
  <c r="O3445" i="9"/>
  <c r="N3446" i="9"/>
  <c r="O3446" i="9"/>
  <c r="J3447" i="9"/>
  <c r="K3447" i="9"/>
  <c r="N3447" i="9"/>
  <c r="O3447" i="9"/>
  <c r="I2233" i="9"/>
  <c r="J2233" i="9"/>
  <c r="K2233" i="9"/>
  <c r="N2233" i="9"/>
  <c r="O2233" i="9"/>
  <c r="I2234" i="9"/>
  <c r="J2234" i="9"/>
  <c r="K2234" i="9"/>
  <c r="N2234" i="9"/>
  <c r="O2234" i="9"/>
  <c r="J2235" i="9"/>
  <c r="K2235" i="9"/>
  <c r="N2235" i="9"/>
  <c r="O2235" i="9"/>
  <c r="N2236" i="9"/>
  <c r="O2236" i="9"/>
  <c r="N2237" i="9"/>
  <c r="O2237" i="9"/>
  <c r="N2238" i="9"/>
  <c r="O2238" i="9"/>
  <c r="K2239" i="9"/>
  <c r="N2239" i="9"/>
  <c r="O2239" i="9"/>
  <c r="N2240" i="9"/>
  <c r="O2240" i="9"/>
  <c r="J2241" i="9"/>
  <c r="K2241" i="9"/>
  <c r="N2241" i="9"/>
  <c r="O2241" i="9"/>
  <c r="I2242" i="9"/>
  <c r="K2242" i="9"/>
  <c r="N2242" i="9"/>
  <c r="O2242" i="9"/>
  <c r="I2243" i="9"/>
  <c r="K2243" i="9"/>
  <c r="N2243" i="9"/>
  <c r="O2243" i="9"/>
  <c r="I2244" i="9"/>
  <c r="J2244" i="9"/>
  <c r="K2244" i="9"/>
  <c r="N2244" i="9"/>
  <c r="O2244" i="9"/>
  <c r="J2245" i="9"/>
  <c r="K2245" i="9"/>
  <c r="N2245" i="9"/>
  <c r="O2245" i="9"/>
  <c r="N2246" i="9"/>
  <c r="O2246" i="9"/>
  <c r="N2247" i="9"/>
  <c r="O2247" i="9"/>
  <c r="J2248" i="9"/>
  <c r="K2248" i="9"/>
  <c r="N2248" i="9"/>
  <c r="O2248" i="9"/>
  <c r="J2249" i="9"/>
  <c r="K2249" i="9"/>
  <c r="N2249" i="9"/>
  <c r="O2249" i="9"/>
  <c r="I2250" i="9"/>
  <c r="J2250" i="9"/>
  <c r="K2250" i="9"/>
  <c r="N2250" i="9"/>
  <c r="O2250" i="9"/>
  <c r="I2251" i="9"/>
  <c r="J2251" i="9"/>
  <c r="K2251" i="9"/>
  <c r="N2251" i="9"/>
  <c r="O2251" i="9"/>
  <c r="I2252" i="9"/>
  <c r="J2252" i="9"/>
  <c r="K2252" i="9"/>
  <c r="N2252" i="9"/>
  <c r="O2252" i="9"/>
  <c r="I2253" i="9"/>
  <c r="J2253" i="9"/>
  <c r="K2253" i="9"/>
  <c r="N2253" i="9"/>
  <c r="O2253" i="9"/>
  <c r="I2254" i="9"/>
  <c r="J2254" i="9"/>
  <c r="K2254" i="9"/>
  <c r="N2254" i="9"/>
  <c r="O2254" i="9"/>
  <c r="I2255" i="9"/>
  <c r="J2255" i="9"/>
  <c r="K2255" i="9"/>
  <c r="N2255" i="9"/>
  <c r="O2255" i="9"/>
  <c r="I2256" i="9"/>
  <c r="J2256" i="9"/>
  <c r="K2256" i="9"/>
  <c r="N2256" i="9"/>
  <c r="O2256" i="9"/>
  <c r="I2257" i="9"/>
  <c r="J2257" i="9"/>
  <c r="K2257" i="9"/>
  <c r="N2257" i="9"/>
  <c r="O2257" i="9"/>
  <c r="J2258" i="9"/>
  <c r="K2258" i="9"/>
  <c r="N2258" i="9"/>
  <c r="O2258" i="9"/>
  <c r="K2259" i="9"/>
  <c r="N2259" i="9"/>
  <c r="O2259" i="9"/>
  <c r="N2260" i="9"/>
  <c r="O2260" i="9"/>
  <c r="I2261" i="9"/>
  <c r="J2261" i="9"/>
  <c r="K2261" i="9"/>
  <c r="N2261" i="9"/>
  <c r="O2261" i="9"/>
  <c r="J2262" i="9"/>
  <c r="K2262" i="9"/>
  <c r="N2262" i="9"/>
  <c r="O2262" i="9"/>
  <c r="N2263" i="9"/>
  <c r="O2263" i="9"/>
  <c r="N2264" i="9"/>
  <c r="O2264" i="9"/>
  <c r="N2265" i="9"/>
  <c r="O2265" i="9"/>
  <c r="N2266" i="9"/>
  <c r="O2266" i="9"/>
  <c r="J2267" i="9"/>
  <c r="K2267" i="9"/>
  <c r="N2267" i="9"/>
  <c r="O2267" i="9"/>
  <c r="J2268" i="9"/>
  <c r="K2268" i="9"/>
  <c r="N2268" i="9"/>
  <c r="O2268" i="9"/>
  <c r="J2269" i="9"/>
  <c r="K2269" i="9"/>
  <c r="N2269" i="9"/>
  <c r="O2269" i="9"/>
  <c r="J2270" i="9"/>
  <c r="K2270" i="9"/>
  <c r="N2270" i="9"/>
  <c r="O2270" i="9"/>
  <c r="N2271" i="9"/>
  <c r="O2271" i="9"/>
  <c r="I2272" i="9"/>
  <c r="J2272" i="9"/>
  <c r="K2272" i="9"/>
  <c r="N2272" i="9"/>
  <c r="O2272" i="9"/>
  <c r="I2273" i="9"/>
  <c r="J2273" i="9"/>
  <c r="K2273" i="9"/>
  <c r="N2273" i="9"/>
  <c r="O2273" i="9"/>
  <c r="K2274" i="9"/>
  <c r="N2274" i="9"/>
  <c r="O2274" i="9"/>
  <c r="N2275" i="9"/>
  <c r="O2275" i="9"/>
  <c r="N2276" i="9"/>
  <c r="O2276" i="9"/>
  <c r="I2277" i="9"/>
  <c r="J2277" i="9"/>
  <c r="K2277" i="9"/>
  <c r="N2277" i="9"/>
  <c r="O2277" i="9"/>
  <c r="I2278" i="9"/>
  <c r="J2278" i="9"/>
  <c r="K2278" i="9"/>
  <c r="N2278" i="9"/>
  <c r="O2278" i="9"/>
  <c r="I2279" i="9"/>
  <c r="J2279" i="9"/>
  <c r="K2279" i="9"/>
  <c r="N2279" i="9"/>
  <c r="O2279" i="9"/>
  <c r="I2280" i="9"/>
  <c r="J2280" i="9"/>
  <c r="K2280" i="9"/>
  <c r="N2280" i="9"/>
  <c r="O2280" i="9"/>
  <c r="I2281" i="9"/>
  <c r="J2281" i="9"/>
  <c r="K2281" i="9"/>
  <c r="N2281" i="9"/>
  <c r="O2281" i="9"/>
  <c r="I2282" i="9"/>
  <c r="J2282" i="9"/>
  <c r="K2282" i="9"/>
  <c r="N2282" i="9"/>
  <c r="O2282" i="9"/>
  <c r="I2283" i="9"/>
  <c r="J2283" i="9"/>
  <c r="K2283" i="9"/>
  <c r="N2283" i="9"/>
  <c r="O2283" i="9"/>
  <c r="I2284" i="9"/>
  <c r="J2284" i="9"/>
  <c r="K2284" i="9"/>
  <c r="N2284" i="9"/>
  <c r="O2284" i="9"/>
  <c r="I2285" i="9"/>
  <c r="J2285" i="9"/>
  <c r="K2285" i="9"/>
  <c r="N2285" i="9"/>
  <c r="O2285" i="9"/>
  <c r="N2286" i="9"/>
  <c r="O2286" i="9"/>
  <c r="I2287" i="9"/>
  <c r="J2287" i="9"/>
  <c r="K2287" i="9"/>
  <c r="N2287" i="9"/>
  <c r="O2287" i="9"/>
  <c r="N2288" i="9"/>
  <c r="O2288" i="9"/>
  <c r="K2289" i="9"/>
  <c r="N2289" i="9"/>
  <c r="O2289" i="9"/>
  <c r="I2290" i="9"/>
  <c r="J2290" i="9"/>
  <c r="K2290" i="9"/>
  <c r="N2290" i="9"/>
  <c r="O2290" i="9"/>
  <c r="I2291" i="9"/>
  <c r="J2291" i="9"/>
  <c r="K2291" i="9"/>
  <c r="N2291" i="9"/>
  <c r="O2291" i="9"/>
  <c r="J2292" i="9"/>
  <c r="K2292" i="9"/>
  <c r="N2292" i="9"/>
  <c r="O2292" i="9"/>
  <c r="J2293" i="9"/>
  <c r="K2293" i="9"/>
  <c r="N2293" i="9"/>
  <c r="O2293" i="9"/>
  <c r="N2294" i="9"/>
  <c r="O2294" i="9"/>
  <c r="J2295" i="9"/>
  <c r="K2295" i="9"/>
  <c r="N2295" i="9"/>
  <c r="O2295" i="9"/>
  <c r="J2296" i="9"/>
  <c r="K2296" i="9"/>
  <c r="N2296" i="9"/>
  <c r="O2296" i="9"/>
  <c r="J2297" i="9"/>
  <c r="K2297" i="9"/>
  <c r="N2297" i="9"/>
  <c r="O2297" i="9"/>
  <c r="I2298" i="9"/>
  <c r="J2298" i="9"/>
  <c r="K2298" i="9"/>
  <c r="N2298" i="9"/>
  <c r="O2298" i="9"/>
  <c r="J2299" i="9"/>
  <c r="K2299" i="9"/>
  <c r="N2299" i="9"/>
  <c r="O2299" i="9"/>
  <c r="J2300" i="9"/>
  <c r="K2300" i="9"/>
  <c r="N2300" i="9"/>
  <c r="O2300" i="9"/>
  <c r="I2301" i="9"/>
  <c r="J2301" i="9"/>
  <c r="K2301" i="9"/>
  <c r="N2301" i="9"/>
  <c r="O2301" i="9"/>
  <c r="I2302" i="9"/>
  <c r="J2302" i="9"/>
  <c r="K2302" i="9"/>
  <c r="N2302" i="9"/>
  <c r="O2302" i="9"/>
  <c r="I2303" i="9"/>
  <c r="J2303" i="9"/>
  <c r="K2303" i="9"/>
  <c r="N2303" i="9"/>
  <c r="O2303" i="9"/>
  <c r="I2304" i="9"/>
  <c r="J2304" i="9"/>
  <c r="K2304" i="9"/>
  <c r="N2304" i="9"/>
  <c r="O2304" i="9"/>
  <c r="I2305" i="9"/>
  <c r="J2305" i="9"/>
  <c r="K2305" i="9"/>
  <c r="N2305" i="9"/>
  <c r="O2305" i="9"/>
  <c r="I2306" i="9"/>
  <c r="J2306" i="9"/>
  <c r="K2306" i="9"/>
  <c r="N2306" i="9"/>
  <c r="O2306" i="9"/>
  <c r="I2307" i="9"/>
  <c r="J2307" i="9"/>
  <c r="K2307" i="9"/>
  <c r="N2307" i="9"/>
  <c r="O2307" i="9"/>
  <c r="I2308" i="9"/>
  <c r="J2308" i="9"/>
  <c r="K2308" i="9"/>
  <c r="N2308" i="9"/>
  <c r="O2308" i="9"/>
  <c r="I2309" i="9"/>
  <c r="J2309" i="9"/>
  <c r="K2309" i="9"/>
  <c r="N2309" i="9"/>
  <c r="O2309" i="9"/>
  <c r="I2310" i="9"/>
  <c r="J2310" i="9"/>
  <c r="K2310" i="9"/>
  <c r="N2310" i="9"/>
  <c r="O2310" i="9"/>
  <c r="I2311" i="9"/>
  <c r="J2311" i="9"/>
  <c r="K2311" i="9"/>
  <c r="N2311" i="9"/>
  <c r="O2311" i="9"/>
  <c r="I2312" i="9"/>
  <c r="J2312" i="9"/>
  <c r="K2312" i="9"/>
  <c r="N2312" i="9"/>
  <c r="O2312" i="9"/>
  <c r="I2313" i="9"/>
  <c r="J2313" i="9"/>
  <c r="K2313" i="9"/>
  <c r="N2313" i="9"/>
  <c r="O2313" i="9"/>
  <c r="I2314" i="9"/>
  <c r="J2314" i="9"/>
  <c r="K2314" i="9"/>
  <c r="N2314" i="9"/>
  <c r="O2314" i="9"/>
  <c r="J2315" i="9"/>
  <c r="K2315" i="9"/>
  <c r="N2315" i="9"/>
  <c r="O2315" i="9"/>
  <c r="J2316" i="9"/>
  <c r="K2316" i="9"/>
  <c r="N2316" i="9"/>
  <c r="O2316" i="9"/>
  <c r="I2317" i="9"/>
  <c r="J2317" i="9"/>
  <c r="K2317" i="9"/>
  <c r="N2317" i="9"/>
  <c r="O2317" i="9"/>
  <c r="I2318" i="9"/>
  <c r="K2318" i="9"/>
  <c r="N2318" i="9"/>
  <c r="O2318" i="9"/>
  <c r="K2319" i="9"/>
  <c r="N2319" i="9"/>
  <c r="O2319" i="9"/>
  <c r="N2320" i="9"/>
  <c r="O2320" i="9"/>
  <c r="N2321" i="9"/>
  <c r="O2321" i="9"/>
  <c r="N2322" i="9"/>
  <c r="O2322" i="9"/>
  <c r="K2323" i="9"/>
  <c r="N2323" i="9"/>
  <c r="O2323" i="9"/>
  <c r="N2324" i="9"/>
  <c r="O2324" i="9"/>
  <c r="N2325" i="9"/>
  <c r="O2325" i="9"/>
  <c r="N2326" i="9"/>
  <c r="O2326" i="9"/>
  <c r="N2327" i="9"/>
  <c r="O2327" i="9"/>
  <c r="N2328" i="9"/>
  <c r="O2328" i="9"/>
  <c r="N2329" i="9"/>
  <c r="O2329" i="9"/>
  <c r="N2330" i="9"/>
  <c r="O2330" i="9"/>
  <c r="N2331" i="9"/>
  <c r="O2331" i="9"/>
  <c r="N2332" i="9"/>
  <c r="O2332" i="9"/>
  <c r="N2333" i="9"/>
  <c r="O2333" i="9"/>
  <c r="N2334" i="9"/>
  <c r="O2334" i="9"/>
  <c r="N2335" i="9"/>
  <c r="O2335" i="9"/>
  <c r="N2336" i="9"/>
  <c r="O2336" i="9"/>
  <c r="N2337" i="9"/>
  <c r="O2337" i="9"/>
  <c r="N2338" i="9"/>
  <c r="O2338" i="9"/>
  <c r="N2339" i="9"/>
  <c r="O2339" i="9"/>
  <c r="N2340" i="9"/>
  <c r="O2340" i="9"/>
  <c r="N2341" i="9"/>
  <c r="O2341" i="9"/>
  <c r="N2342" i="9"/>
  <c r="O2342" i="9"/>
  <c r="J2343" i="9"/>
  <c r="K2343" i="9"/>
  <c r="N2343" i="9"/>
  <c r="O2343" i="9"/>
  <c r="J2344" i="9"/>
  <c r="K2344" i="9"/>
  <c r="N2344" i="9"/>
  <c r="O2344" i="9"/>
  <c r="J2345" i="9"/>
  <c r="K2345" i="9"/>
  <c r="N2345" i="9"/>
  <c r="O2345" i="9"/>
  <c r="J2346" i="9"/>
  <c r="K2346" i="9"/>
  <c r="N2346" i="9"/>
  <c r="O2346" i="9"/>
  <c r="I2347" i="9"/>
  <c r="J2347" i="9"/>
  <c r="K2347" i="9"/>
  <c r="N2347" i="9"/>
  <c r="O2347" i="9"/>
  <c r="I2348" i="9"/>
  <c r="J2348" i="9"/>
  <c r="K2348" i="9"/>
  <c r="N2348" i="9"/>
  <c r="O2348" i="9"/>
  <c r="I2349" i="9"/>
  <c r="J2349" i="9"/>
  <c r="K2349" i="9"/>
  <c r="N2349" i="9"/>
  <c r="O2349" i="9"/>
  <c r="I2350" i="9"/>
  <c r="J2350" i="9"/>
  <c r="K2350" i="9"/>
  <c r="N2350" i="9"/>
  <c r="O2350" i="9"/>
  <c r="I2351" i="9"/>
  <c r="J2351" i="9"/>
  <c r="K2351" i="9"/>
  <c r="N2351" i="9"/>
  <c r="O2351" i="9"/>
  <c r="I2352" i="9"/>
  <c r="J2352" i="9"/>
  <c r="K2352" i="9"/>
  <c r="N2352" i="9"/>
  <c r="O2352" i="9"/>
  <c r="I2353" i="9"/>
  <c r="J2353" i="9"/>
  <c r="K2353" i="9"/>
  <c r="N2353" i="9"/>
  <c r="O2353" i="9"/>
  <c r="I2354" i="9"/>
  <c r="J2354" i="9"/>
  <c r="K2354" i="9"/>
  <c r="N2354" i="9"/>
  <c r="O2354" i="9"/>
  <c r="I2355" i="9"/>
  <c r="J2355" i="9"/>
  <c r="K2355" i="9"/>
  <c r="N2355" i="9"/>
  <c r="O2355" i="9"/>
  <c r="I2356" i="9"/>
  <c r="J2356" i="9"/>
  <c r="K2356" i="9"/>
  <c r="N2356" i="9"/>
  <c r="O2356" i="9"/>
  <c r="N2357" i="9"/>
  <c r="O2357" i="9"/>
  <c r="I2358" i="9"/>
  <c r="J2358" i="9"/>
  <c r="K2358" i="9"/>
  <c r="N2358" i="9"/>
  <c r="O2358" i="9"/>
  <c r="I2359" i="9"/>
  <c r="J2359" i="9"/>
  <c r="K2359" i="9"/>
  <c r="N2359" i="9"/>
  <c r="O2359" i="9"/>
  <c r="N2360" i="9"/>
  <c r="O2360" i="9"/>
  <c r="I2361" i="9"/>
  <c r="K2361" i="9"/>
  <c r="N2361" i="9"/>
  <c r="O2361" i="9"/>
  <c r="I2362" i="9"/>
  <c r="K2362" i="9"/>
  <c r="N2362" i="9"/>
  <c r="O2362" i="9"/>
  <c r="N2363" i="9"/>
  <c r="O2363" i="9"/>
  <c r="I2364" i="9"/>
  <c r="J2364" i="9"/>
  <c r="K2364" i="9"/>
  <c r="N2364" i="9"/>
  <c r="O2364" i="9"/>
  <c r="J2365" i="9"/>
  <c r="K2365" i="9"/>
  <c r="N2365" i="9"/>
  <c r="O2365" i="9"/>
  <c r="J2366" i="9"/>
  <c r="K2366" i="9"/>
  <c r="N2366" i="9"/>
  <c r="O2366" i="9"/>
  <c r="K2367" i="9"/>
  <c r="N2367" i="9"/>
  <c r="O2367" i="9"/>
  <c r="N2368" i="9"/>
  <c r="O2368" i="9"/>
  <c r="N2369" i="9"/>
  <c r="O2369" i="9"/>
  <c r="J2370" i="9"/>
  <c r="K2370" i="9"/>
  <c r="N2370" i="9"/>
  <c r="O2370" i="9"/>
  <c r="N2371" i="9"/>
  <c r="O2371" i="9"/>
  <c r="J2372" i="9"/>
  <c r="K2372" i="9"/>
  <c r="N2372" i="9"/>
  <c r="O2372" i="9"/>
  <c r="I2373" i="9"/>
  <c r="J2373" i="9"/>
  <c r="K2373" i="9"/>
  <c r="N2373" i="9"/>
  <c r="O2373" i="9"/>
  <c r="I2374" i="9"/>
  <c r="J2374" i="9"/>
  <c r="K2374" i="9"/>
  <c r="N2374" i="9"/>
  <c r="O2374" i="9"/>
  <c r="I2375" i="9"/>
  <c r="J2375" i="9"/>
  <c r="K2375" i="9"/>
  <c r="N2375" i="9"/>
  <c r="O2375" i="9"/>
  <c r="I2376" i="9"/>
  <c r="J2376" i="9"/>
  <c r="K2376" i="9"/>
  <c r="N2376" i="9"/>
  <c r="O2376" i="9"/>
  <c r="I2377" i="9"/>
  <c r="K2377" i="9"/>
  <c r="N2377" i="9"/>
  <c r="O2377" i="9"/>
  <c r="I2378" i="9"/>
  <c r="K2378" i="9"/>
  <c r="N2378" i="9"/>
  <c r="O2378" i="9"/>
  <c r="I2379" i="9"/>
  <c r="K2379" i="9"/>
  <c r="N2379" i="9"/>
  <c r="O2379" i="9"/>
  <c r="K2380" i="9"/>
  <c r="N2380" i="9"/>
  <c r="O2380" i="9"/>
  <c r="I2381" i="9"/>
  <c r="K2381" i="9"/>
  <c r="N2381" i="9"/>
  <c r="O2381" i="9"/>
  <c r="I2382" i="9"/>
  <c r="J2382" i="9"/>
  <c r="K2382" i="9"/>
  <c r="N2382" i="9"/>
  <c r="O2382" i="9"/>
  <c r="I2383" i="9"/>
  <c r="J2383" i="9"/>
  <c r="K2383" i="9"/>
  <c r="N2383" i="9"/>
  <c r="O2383" i="9"/>
  <c r="I2384" i="9"/>
  <c r="J2384" i="9"/>
  <c r="K2384" i="9"/>
  <c r="N2384" i="9"/>
  <c r="O2384" i="9"/>
  <c r="I2385" i="9"/>
  <c r="J2385" i="9"/>
  <c r="K2385" i="9"/>
  <c r="N2385" i="9"/>
  <c r="O2385" i="9"/>
  <c r="N2386" i="9"/>
  <c r="O2386" i="9"/>
  <c r="K2387" i="9"/>
  <c r="N2387" i="9"/>
  <c r="O2387" i="9"/>
  <c r="I2388" i="9"/>
  <c r="J2388" i="9"/>
  <c r="K2388" i="9"/>
  <c r="N2388" i="9"/>
  <c r="O2388" i="9"/>
  <c r="I2389" i="9"/>
  <c r="J2389" i="9"/>
  <c r="K2389" i="9"/>
  <c r="N2389" i="9"/>
  <c r="O2389" i="9"/>
  <c r="J2390" i="9"/>
  <c r="K2390" i="9"/>
  <c r="N2390" i="9"/>
  <c r="O2390" i="9"/>
  <c r="J2391" i="9"/>
  <c r="K2391" i="9"/>
  <c r="N2391" i="9"/>
  <c r="O2391" i="9"/>
  <c r="J2392" i="9"/>
  <c r="K2392" i="9"/>
  <c r="N2392" i="9"/>
  <c r="O2392" i="9"/>
  <c r="J2393" i="9"/>
  <c r="K2393" i="9"/>
  <c r="N2393" i="9"/>
  <c r="O2393" i="9"/>
  <c r="I2394" i="9"/>
  <c r="J2394" i="9"/>
  <c r="K2394" i="9"/>
  <c r="N2394" i="9"/>
  <c r="O2394" i="9"/>
  <c r="I2395" i="9"/>
  <c r="J2395" i="9"/>
  <c r="K2395" i="9"/>
  <c r="N2395" i="9"/>
  <c r="O2395" i="9"/>
  <c r="I2396" i="9"/>
  <c r="J2396" i="9"/>
  <c r="K2396" i="9"/>
  <c r="N2396" i="9"/>
  <c r="O2396" i="9"/>
  <c r="I2397" i="9"/>
  <c r="J2397" i="9"/>
  <c r="K2397" i="9"/>
  <c r="N2397" i="9"/>
  <c r="O2397" i="9"/>
  <c r="I2398" i="9"/>
  <c r="J2398" i="9"/>
  <c r="K2398" i="9"/>
  <c r="N2398" i="9"/>
  <c r="O2398" i="9"/>
  <c r="I2399" i="9"/>
  <c r="J2399" i="9"/>
  <c r="K2399" i="9"/>
  <c r="N2399" i="9"/>
  <c r="O2399" i="9"/>
  <c r="I2400" i="9"/>
  <c r="J2400" i="9"/>
  <c r="K2400" i="9"/>
  <c r="N2400" i="9"/>
  <c r="O2400" i="9"/>
  <c r="I2401" i="9"/>
  <c r="J2401" i="9"/>
  <c r="K2401" i="9"/>
  <c r="N2401" i="9"/>
  <c r="O2401" i="9"/>
  <c r="I2402" i="9"/>
  <c r="J2402" i="9"/>
  <c r="K2402" i="9"/>
  <c r="N2402" i="9"/>
  <c r="O2402" i="9"/>
  <c r="J2403" i="9"/>
  <c r="K2403" i="9"/>
  <c r="N2403" i="9"/>
  <c r="O2403" i="9"/>
  <c r="J2404" i="9"/>
  <c r="K2404" i="9"/>
  <c r="N2404" i="9"/>
  <c r="O2404" i="9"/>
  <c r="N2405" i="9"/>
  <c r="O2405" i="9"/>
  <c r="N2406" i="9"/>
  <c r="O2406" i="9"/>
  <c r="J2407" i="9"/>
  <c r="K2407" i="9"/>
  <c r="N2407" i="9"/>
  <c r="O2407" i="9"/>
  <c r="N2408" i="9"/>
  <c r="O2408" i="9"/>
  <c r="I2409" i="9"/>
  <c r="J2409" i="9"/>
  <c r="K2409" i="9"/>
  <c r="N2409" i="9"/>
  <c r="O2409" i="9"/>
  <c r="I2410" i="9"/>
  <c r="J2410" i="9"/>
  <c r="K2410" i="9"/>
  <c r="N2410" i="9"/>
  <c r="O2410" i="9"/>
  <c r="J2411" i="9"/>
  <c r="K2411" i="9"/>
  <c r="N2411" i="9"/>
  <c r="O2411" i="9"/>
  <c r="N2412" i="9"/>
  <c r="O2412" i="9"/>
  <c r="N2413" i="9"/>
  <c r="O2413" i="9"/>
  <c r="J2414" i="9"/>
  <c r="K2414" i="9"/>
  <c r="N2414" i="9"/>
  <c r="O2414" i="9"/>
  <c r="N2415" i="9"/>
  <c r="O2415" i="9"/>
  <c r="N2416" i="9"/>
  <c r="O2416" i="9"/>
  <c r="J2417" i="9"/>
  <c r="K2417" i="9"/>
  <c r="N2417" i="9"/>
  <c r="O2417" i="9"/>
  <c r="J2418" i="9"/>
  <c r="K2418" i="9"/>
  <c r="N2418" i="9"/>
  <c r="O2418" i="9"/>
  <c r="J2419" i="9"/>
  <c r="K2419" i="9"/>
  <c r="N2419" i="9"/>
  <c r="O2419" i="9"/>
  <c r="J2420" i="9"/>
  <c r="K2420" i="9"/>
  <c r="N2420" i="9"/>
  <c r="O2420" i="9"/>
  <c r="K2421" i="9"/>
  <c r="N2421" i="9"/>
  <c r="O2421" i="9"/>
  <c r="N2422" i="9"/>
  <c r="O2422" i="9"/>
  <c r="N2423" i="9"/>
  <c r="O2423" i="9"/>
  <c r="N2424" i="9"/>
  <c r="O2424" i="9"/>
  <c r="N2425" i="9"/>
  <c r="O2425" i="9"/>
  <c r="N2426" i="9"/>
  <c r="O2426" i="9"/>
  <c r="I2427" i="9"/>
  <c r="J2427" i="9"/>
  <c r="K2427" i="9"/>
  <c r="N2427" i="9"/>
  <c r="O2427" i="9"/>
  <c r="I2428" i="9"/>
  <c r="J2428" i="9"/>
  <c r="K2428" i="9"/>
  <c r="N2428" i="9"/>
  <c r="O2428" i="9"/>
  <c r="I2429" i="9"/>
  <c r="J2429" i="9"/>
  <c r="K2429" i="9"/>
  <c r="N2429" i="9"/>
  <c r="O2429" i="9"/>
  <c r="I2430" i="9"/>
  <c r="J2430" i="9"/>
  <c r="K2430" i="9"/>
  <c r="N2430" i="9"/>
  <c r="O2430" i="9"/>
  <c r="I2431" i="9"/>
  <c r="J2431" i="9"/>
  <c r="K2431" i="9"/>
  <c r="N2431" i="9"/>
  <c r="O2431" i="9"/>
  <c r="I2432" i="9"/>
  <c r="J2432" i="9"/>
  <c r="K2432" i="9"/>
  <c r="N2432" i="9"/>
  <c r="O2432" i="9"/>
  <c r="I2433" i="9"/>
  <c r="J2433" i="9"/>
  <c r="K2433" i="9"/>
  <c r="N2433" i="9"/>
  <c r="O2433" i="9"/>
  <c r="N2434" i="9"/>
  <c r="O2434" i="9"/>
  <c r="I2435" i="9"/>
  <c r="J2435" i="9"/>
  <c r="K2435" i="9"/>
  <c r="N2435" i="9"/>
  <c r="O2435" i="9"/>
  <c r="I2436" i="9"/>
  <c r="J2436" i="9"/>
  <c r="K2436" i="9"/>
  <c r="N2436" i="9"/>
  <c r="O2436" i="9"/>
  <c r="I2437" i="9"/>
  <c r="J2437" i="9"/>
  <c r="K2437" i="9"/>
  <c r="N2437" i="9"/>
  <c r="O2437" i="9"/>
  <c r="I2438" i="9"/>
  <c r="J2438" i="9"/>
  <c r="K2438" i="9"/>
  <c r="N2438" i="9"/>
  <c r="O2438" i="9"/>
  <c r="I2439" i="9"/>
  <c r="J2439" i="9"/>
  <c r="K2439" i="9"/>
  <c r="N2439" i="9"/>
  <c r="O2439" i="9"/>
  <c r="I2440" i="9"/>
  <c r="J2440" i="9"/>
  <c r="K2440" i="9"/>
  <c r="N2440" i="9"/>
  <c r="O2440" i="9"/>
  <c r="I2441" i="9"/>
  <c r="J2441" i="9"/>
  <c r="K2441" i="9"/>
  <c r="N2441" i="9"/>
  <c r="O2441" i="9"/>
  <c r="I2442" i="9"/>
  <c r="J2442" i="9"/>
  <c r="K2442" i="9"/>
  <c r="N2442" i="9"/>
  <c r="O2442" i="9"/>
  <c r="I2443" i="9"/>
  <c r="J2443" i="9"/>
  <c r="K2443" i="9"/>
  <c r="N2443" i="9"/>
  <c r="O2443" i="9"/>
  <c r="I2444" i="9"/>
  <c r="J2444" i="9"/>
  <c r="K2444" i="9"/>
  <c r="N2444" i="9"/>
  <c r="O2444" i="9"/>
  <c r="J2445" i="9"/>
  <c r="K2445" i="9"/>
  <c r="N2445" i="9"/>
  <c r="O2445" i="9"/>
  <c r="N2446" i="9"/>
  <c r="O2446" i="9"/>
  <c r="J2447" i="9"/>
  <c r="K2447" i="9"/>
  <c r="N2447" i="9"/>
  <c r="O2447" i="9"/>
  <c r="I2448" i="9"/>
  <c r="J2448" i="9"/>
  <c r="K2448" i="9"/>
  <c r="N2448" i="9"/>
  <c r="O2448" i="9"/>
  <c r="J2449" i="9"/>
  <c r="K2449" i="9"/>
  <c r="N2449" i="9"/>
  <c r="O2449" i="9"/>
  <c r="I2450" i="9"/>
  <c r="J2450" i="9"/>
  <c r="K2450" i="9"/>
  <c r="N2450" i="9"/>
  <c r="O2450" i="9"/>
  <c r="I2451" i="9"/>
  <c r="J2451" i="9"/>
  <c r="K2451" i="9"/>
  <c r="N2451" i="9"/>
  <c r="O2451" i="9"/>
  <c r="I2452" i="9"/>
  <c r="J2452" i="9"/>
  <c r="K2452" i="9"/>
  <c r="N2452" i="9"/>
  <c r="O2452" i="9"/>
  <c r="I2453" i="9"/>
  <c r="J2453" i="9"/>
  <c r="K2453" i="9"/>
  <c r="N2453" i="9"/>
  <c r="O2453" i="9"/>
  <c r="I2454" i="9"/>
  <c r="J2454" i="9"/>
  <c r="K2454" i="9"/>
  <c r="N2454" i="9"/>
  <c r="O2454" i="9"/>
  <c r="I2455" i="9"/>
  <c r="J2455" i="9"/>
  <c r="K2455" i="9"/>
  <c r="N2455" i="9"/>
  <c r="O2455" i="9"/>
  <c r="J2456" i="9"/>
  <c r="K2456" i="9"/>
  <c r="N2456" i="9"/>
  <c r="O2456" i="9"/>
  <c r="I2457" i="9"/>
  <c r="K2457" i="9"/>
  <c r="N2457" i="9"/>
  <c r="O2457" i="9"/>
  <c r="I2458" i="9"/>
  <c r="K2458" i="9"/>
  <c r="N2458" i="9"/>
  <c r="O2458" i="9"/>
  <c r="I2459" i="9"/>
  <c r="J2459" i="9"/>
  <c r="K2459" i="9"/>
  <c r="N2459" i="9"/>
  <c r="O2459" i="9"/>
  <c r="I2460" i="9"/>
  <c r="J2460" i="9"/>
  <c r="K2460" i="9"/>
  <c r="N2460" i="9"/>
  <c r="O2460" i="9"/>
  <c r="I2461" i="9"/>
  <c r="J2461" i="9"/>
  <c r="K2461" i="9"/>
  <c r="N2461" i="9"/>
  <c r="O2461" i="9"/>
  <c r="I2462" i="9"/>
  <c r="J2462" i="9"/>
  <c r="K2462" i="9"/>
  <c r="N2462" i="9"/>
  <c r="O2462" i="9"/>
  <c r="I2463" i="9"/>
  <c r="J2463" i="9"/>
  <c r="K2463" i="9"/>
  <c r="N2463" i="9"/>
  <c r="O2463" i="9"/>
  <c r="I2464" i="9"/>
  <c r="J2464" i="9"/>
  <c r="K2464" i="9"/>
  <c r="N2464" i="9"/>
  <c r="O2464" i="9"/>
  <c r="I2465" i="9"/>
  <c r="J2465" i="9"/>
  <c r="K2465" i="9"/>
  <c r="N2465" i="9"/>
  <c r="O2465" i="9"/>
  <c r="I2466" i="9"/>
  <c r="J2466" i="9"/>
  <c r="K2466" i="9"/>
  <c r="N2466" i="9"/>
  <c r="O2466" i="9"/>
  <c r="I2467" i="9"/>
  <c r="J2467" i="9"/>
  <c r="K2467" i="9"/>
  <c r="N2467" i="9"/>
  <c r="O2467" i="9"/>
  <c r="I2468" i="9"/>
  <c r="J2468" i="9"/>
  <c r="K2468" i="9"/>
  <c r="N2468" i="9"/>
  <c r="O2468" i="9"/>
  <c r="J2469" i="9"/>
  <c r="K2469" i="9"/>
  <c r="N2469" i="9"/>
  <c r="O2469" i="9"/>
  <c r="N2470" i="9"/>
  <c r="O2470" i="9"/>
  <c r="J2471" i="9"/>
  <c r="K2471" i="9"/>
  <c r="N2471" i="9"/>
  <c r="O2471" i="9"/>
  <c r="J2472" i="9"/>
  <c r="K2472" i="9"/>
  <c r="N2472" i="9"/>
  <c r="O2472" i="9"/>
  <c r="N2473" i="9"/>
  <c r="O2473" i="9"/>
  <c r="K2474" i="9"/>
  <c r="N2474" i="9"/>
  <c r="O2474" i="9"/>
  <c r="N2475" i="9"/>
  <c r="O2475" i="9"/>
  <c r="N2476" i="9"/>
  <c r="O2476" i="9"/>
  <c r="J2477" i="9"/>
  <c r="K2477" i="9"/>
  <c r="N2477" i="9"/>
  <c r="O2477" i="9"/>
  <c r="I2478" i="9"/>
  <c r="J2478" i="9"/>
  <c r="K2478" i="9"/>
  <c r="N2478" i="9"/>
  <c r="O2478" i="9"/>
  <c r="I2479" i="9"/>
  <c r="J2479" i="9"/>
  <c r="K2479" i="9"/>
  <c r="N2479" i="9"/>
  <c r="O2479" i="9"/>
  <c r="I2480" i="9"/>
  <c r="J2480" i="9"/>
  <c r="K2480" i="9"/>
  <c r="N2480" i="9"/>
  <c r="O2480" i="9"/>
  <c r="I2481" i="9"/>
  <c r="J2481" i="9"/>
  <c r="K2481" i="9"/>
  <c r="N2481" i="9"/>
  <c r="O2481" i="9"/>
  <c r="I2482" i="9"/>
  <c r="J2482" i="9"/>
  <c r="K2482" i="9"/>
  <c r="N2482" i="9"/>
  <c r="O2482" i="9"/>
  <c r="I2483" i="9"/>
  <c r="J2483" i="9"/>
  <c r="K2483" i="9"/>
  <c r="N2483" i="9"/>
  <c r="O2483" i="9"/>
  <c r="I2484" i="9"/>
  <c r="J2484" i="9"/>
  <c r="K2484" i="9"/>
  <c r="N2484" i="9"/>
  <c r="O2484" i="9"/>
  <c r="I2485" i="9"/>
  <c r="J2485" i="9"/>
  <c r="K2485" i="9"/>
  <c r="N2485" i="9"/>
  <c r="O2485" i="9"/>
  <c r="I2486" i="9"/>
  <c r="J2486" i="9"/>
  <c r="K2486" i="9"/>
  <c r="N2486" i="9"/>
  <c r="O2486" i="9"/>
  <c r="I2487" i="9"/>
  <c r="J2487" i="9"/>
  <c r="K2487" i="9"/>
  <c r="N2487" i="9"/>
  <c r="O2487" i="9"/>
  <c r="I2488" i="9"/>
  <c r="J2488" i="9"/>
  <c r="K2488" i="9"/>
  <c r="N2488" i="9"/>
  <c r="O2488" i="9"/>
  <c r="I2489" i="9"/>
  <c r="J2489" i="9"/>
  <c r="K2489" i="9"/>
  <c r="N2489" i="9"/>
  <c r="O2489" i="9"/>
  <c r="I2490" i="9"/>
  <c r="J2490" i="9"/>
  <c r="K2490" i="9"/>
  <c r="N2490" i="9"/>
  <c r="O2490" i="9"/>
  <c r="I2491" i="9"/>
  <c r="J2491" i="9"/>
  <c r="K2491" i="9"/>
  <c r="N2491" i="9"/>
  <c r="O2491" i="9"/>
  <c r="I2492" i="9"/>
  <c r="J2492" i="9"/>
  <c r="K2492" i="9"/>
  <c r="N2492" i="9"/>
  <c r="O2492" i="9"/>
  <c r="I2493" i="9"/>
  <c r="J2493" i="9"/>
  <c r="K2493" i="9"/>
  <c r="N2493" i="9"/>
  <c r="O2493" i="9"/>
  <c r="I2494" i="9"/>
  <c r="J2494" i="9"/>
  <c r="K2494" i="9"/>
  <c r="N2494" i="9"/>
  <c r="O2494" i="9"/>
  <c r="I2495" i="9"/>
  <c r="J2495" i="9"/>
  <c r="K2495" i="9"/>
  <c r="N2495" i="9"/>
  <c r="O2495" i="9"/>
  <c r="I2496" i="9"/>
  <c r="J2496" i="9"/>
  <c r="K2496" i="9"/>
  <c r="N2496" i="9"/>
  <c r="O2496" i="9"/>
  <c r="I2497" i="9"/>
  <c r="J2497" i="9"/>
  <c r="K2497" i="9"/>
  <c r="N2497" i="9"/>
  <c r="O2497" i="9"/>
  <c r="I2498" i="9"/>
  <c r="K2498" i="9"/>
  <c r="N2498" i="9"/>
  <c r="O2498" i="9"/>
  <c r="I2499" i="9"/>
  <c r="K2499" i="9"/>
  <c r="N2499" i="9"/>
  <c r="O2499" i="9"/>
  <c r="I2500" i="9"/>
  <c r="K2500" i="9"/>
  <c r="N2500" i="9"/>
  <c r="O2500" i="9"/>
  <c r="J2501" i="9"/>
  <c r="K2501" i="9"/>
  <c r="N2501" i="9"/>
  <c r="O2501" i="9"/>
  <c r="J2502" i="9"/>
  <c r="K2502" i="9"/>
  <c r="N2502" i="9"/>
  <c r="O2502" i="9"/>
  <c r="J2503" i="9"/>
  <c r="K2503" i="9"/>
  <c r="N2503" i="9"/>
  <c r="O2503" i="9"/>
  <c r="J2504" i="9"/>
  <c r="K2504" i="9"/>
  <c r="N2504" i="9"/>
  <c r="O2504" i="9"/>
  <c r="K2505" i="9"/>
  <c r="N2505" i="9"/>
  <c r="O2505" i="9"/>
  <c r="O2506" i="9"/>
  <c r="J2507" i="9"/>
  <c r="K2507" i="9"/>
  <c r="N2507" i="9"/>
  <c r="O2507" i="9"/>
  <c r="J2508" i="9"/>
  <c r="K2508" i="9"/>
  <c r="N2508" i="9"/>
  <c r="O2508" i="9"/>
  <c r="J2509" i="9"/>
  <c r="K2509" i="9"/>
  <c r="N2509" i="9"/>
  <c r="O2509" i="9"/>
  <c r="N2510" i="9"/>
  <c r="O2510" i="9"/>
  <c r="J2511" i="9"/>
  <c r="K2511" i="9"/>
  <c r="N2511" i="9"/>
  <c r="O2511" i="9"/>
  <c r="J2512" i="9"/>
  <c r="K2512" i="9"/>
  <c r="N2512" i="9"/>
  <c r="O2512" i="9"/>
  <c r="I2513" i="9"/>
  <c r="J2513" i="9"/>
  <c r="K2513" i="9"/>
  <c r="N2513" i="9"/>
  <c r="O2513" i="9"/>
  <c r="I2514" i="9"/>
  <c r="J2514" i="9"/>
  <c r="K2514" i="9"/>
  <c r="N2514" i="9"/>
  <c r="O2514" i="9"/>
  <c r="I2515" i="9"/>
  <c r="J2515" i="9"/>
  <c r="K2515" i="9"/>
  <c r="N2515" i="9"/>
  <c r="O2515" i="9"/>
  <c r="I2516" i="9"/>
  <c r="J2516" i="9"/>
  <c r="K2516" i="9"/>
  <c r="N2516" i="9"/>
  <c r="O2516" i="9"/>
  <c r="I2517" i="9"/>
  <c r="J2517" i="9"/>
  <c r="K2517" i="9"/>
  <c r="N2517" i="9"/>
  <c r="O2517" i="9"/>
  <c r="I2518" i="9"/>
  <c r="J2518" i="9"/>
  <c r="K2518" i="9"/>
  <c r="N2518" i="9"/>
  <c r="O2518" i="9"/>
  <c r="I2519" i="9"/>
  <c r="J2519" i="9"/>
  <c r="K2519" i="9"/>
  <c r="N2519" i="9"/>
  <c r="O2519" i="9"/>
  <c r="I2520" i="9"/>
  <c r="J2520" i="9"/>
  <c r="K2520" i="9"/>
  <c r="N2520" i="9"/>
  <c r="O2520" i="9"/>
  <c r="I2521" i="9"/>
  <c r="J2521" i="9"/>
  <c r="K2521" i="9"/>
  <c r="N2521" i="9"/>
  <c r="O2521" i="9"/>
  <c r="I2522" i="9"/>
  <c r="J2522" i="9"/>
  <c r="K2522" i="9"/>
  <c r="N2522" i="9"/>
  <c r="O2522" i="9"/>
  <c r="N2523" i="9"/>
  <c r="O2523" i="9"/>
  <c r="I2524" i="9"/>
  <c r="J2524" i="9"/>
  <c r="K2524" i="9"/>
  <c r="N2524" i="9"/>
  <c r="O2524" i="9"/>
  <c r="J2525" i="9"/>
  <c r="K2525" i="9"/>
  <c r="N2525" i="9"/>
  <c r="O2525" i="9"/>
  <c r="I2526" i="9"/>
  <c r="K2526" i="9"/>
  <c r="N2526" i="9"/>
  <c r="O2526" i="9"/>
  <c r="J2527" i="9"/>
  <c r="K2527" i="9"/>
  <c r="N2527" i="9"/>
  <c r="O2527" i="9"/>
  <c r="N2528" i="9"/>
  <c r="O2528" i="9"/>
  <c r="N2529" i="9"/>
  <c r="O2529" i="9"/>
  <c r="J2530" i="9"/>
  <c r="K2530" i="9"/>
  <c r="N2530" i="9"/>
  <c r="O2530" i="9"/>
  <c r="J2531" i="9"/>
  <c r="K2531" i="9"/>
  <c r="N2531" i="9"/>
  <c r="O2531" i="9"/>
  <c r="J2532" i="9"/>
  <c r="K2532" i="9"/>
  <c r="N2532" i="9"/>
  <c r="O2532" i="9"/>
  <c r="N2533" i="9"/>
  <c r="O2533" i="9"/>
  <c r="J2534" i="9"/>
  <c r="K2534" i="9"/>
  <c r="N2534" i="9"/>
  <c r="O2534" i="9"/>
  <c r="N2535" i="9"/>
  <c r="O2535" i="9"/>
  <c r="N2536" i="9"/>
  <c r="O2536" i="9"/>
  <c r="N2537" i="9"/>
  <c r="O2537" i="9"/>
  <c r="I2538" i="9"/>
  <c r="J2538" i="9"/>
  <c r="K2538" i="9"/>
  <c r="N2538" i="9"/>
  <c r="O2538" i="9"/>
  <c r="I2539" i="9"/>
  <c r="J2539" i="9"/>
  <c r="K2539" i="9"/>
  <c r="N2539" i="9"/>
  <c r="O2539" i="9"/>
  <c r="N2540" i="9"/>
  <c r="O2540" i="9"/>
  <c r="I2541" i="9"/>
  <c r="J2541" i="9"/>
  <c r="K2541" i="9"/>
  <c r="N2541" i="9"/>
  <c r="O2541" i="9"/>
  <c r="I2542" i="9"/>
  <c r="J2542" i="9"/>
  <c r="K2542" i="9"/>
  <c r="N2542" i="9"/>
  <c r="O2542" i="9"/>
  <c r="I2543" i="9"/>
  <c r="J2543" i="9"/>
  <c r="K2543" i="9"/>
  <c r="N2543" i="9"/>
  <c r="O2543" i="9"/>
  <c r="I2544" i="9"/>
  <c r="J2544" i="9"/>
  <c r="K2544" i="9"/>
  <c r="N2544" i="9"/>
  <c r="O2544" i="9"/>
  <c r="I2545" i="9"/>
  <c r="J2545" i="9"/>
  <c r="K2545" i="9"/>
  <c r="N2545" i="9"/>
  <c r="O2545" i="9"/>
  <c r="I2546" i="9"/>
  <c r="J2546" i="9"/>
  <c r="K2546" i="9"/>
  <c r="N2546" i="9"/>
  <c r="O2546" i="9"/>
  <c r="I2547" i="9"/>
  <c r="J2547" i="9"/>
  <c r="K2547" i="9"/>
  <c r="N2547" i="9"/>
  <c r="O2547" i="9"/>
  <c r="N2548" i="9"/>
  <c r="O2548" i="9"/>
  <c r="J2549" i="9"/>
  <c r="K2549" i="9"/>
  <c r="N2549" i="9"/>
  <c r="O2549" i="9"/>
  <c r="N2550" i="9"/>
  <c r="O2550" i="9"/>
  <c r="N2551" i="9"/>
  <c r="O2551" i="9"/>
  <c r="N2552" i="9"/>
  <c r="O2552" i="9"/>
  <c r="K2553" i="9"/>
  <c r="N2553" i="9"/>
  <c r="O2553" i="9"/>
  <c r="J2554" i="9"/>
  <c r="K2554" i="9"/>
  <c r="N2554" i="9"/>
  <c r="O2554" i="9"/>
  <c r="J2555" i="9"/>
  <c r="K2555" i="9"/>
  <c r="N2555" i="9"/>
  <c r="O2555" i="9"/>
  <c r="J2556" i="9"/>
  <c r="K2556" i="9"/>
  <c r="N2556" i="9"/>
  <c r="O2556" i="9"/>
  <c r="J2557" i="9"/>
  <c r="K2557" i="9"/>
  <c r="N2557" i="9"/>
  <c r="O2557" i="9"/>
  <c r="N2558" i="9"/>
  <c r="O2558" i="9"/>
  <c r="K2559" i="9"/>
  <c r="N2559" i="9"/>
  <c r="O2559" i="9"/>
  <c r="I2560" i="9"/>
  <c r="J2560" i="9"/>
  <c r="K2560" i="9"/>
  <c r="N2560" i="9"/>
  <c r="O2560" i="9"/>
  <c r="I2561" i="9"/>
  <c r="J2561" i="9"/>
  <c r="K2561" i="9"/>
  <c r="O2561" i="9"/>
  <c r="I2562" i="9"/>
  <c r="J2562" i="9"/>
  <c r="K2562" i="9"/>
  <c r="N2562" i="9"/>
  <c r="O2562" i="9"/>
  <c r="I2563" i="9"/>
  <c r="J2563" i="9"/>
  <c r="K2563" i="9"/>
  <c r="N2563" i="9"/>
  <c r="O2563" i="9"/>
  <c r="I2564" i="9"/>
  <c r="J2564" i="9"/>
  <c r="K2564" i="9"/>
  <c r="N2564" i="9"/>
  <c r="O2564" i="9"/>
  <c r="I2565" i="9"/>
  <c r="J2565" i="9"/>
  <c r="K2565" i="9"/>
  <c r="N2565" i="9"/>
  <c r="O2565" i="9"/>
  <c r="J2566" i="9"/>
  <c r="K2566" i="9"/>
  <c r="N2566" i="9"/>
  <c r="O2566" i="9"/>
  <c r="N2567" i="9"/>
  <c r="O2567" i="9"/>
  <c r="K2568" i="9"/>
  <c r="N2568" i="9"/>
  <c r="O2568" i="9"/>
  <c r="N2569" i="9"/>
  <c r="O2569" i="9"/>
  <c r="J2570" i="9"/>
  <c r="K2570" i="9"/>
  <c r="N2570" i="9"/>
  <c r="O2570" i="9"/>
  <c r="I2571" i="9"/>
  <c r="J2571" i="9"/>
  <c r="K2571" i="9"/>
  <c r="N2571" i="9"/>
  <c r="O2571" i="9"/>
  <c r="I2572" i="9"/>
  <c r="J2572" i="9"/>
  <c r="K2572" i="9"/>
  <c r="N2572" i="9"/>
  <c r="O2572" i="9"/>
  <c r="I2573" i="9"/>
  <c r="J2573" i="9"/>
  <c r="K2573" i="9"/>
  <c r="N2573" i="9"/>
  <c r="O2573" i="9"/>
  <c r="I2574" i="9"/>
  <c r="J2574" i="9"/>
  <c r="K2574" i="9"/>
  <c r="N2574" i="9"/>
  <c r="O2574" i="9"/>
  <c r="I2575" i="9"/>
  <c r="J2575" i="9"/>
  <c r="K2575" i="9"/>
  <c r="N2575" i="9"/>
  <c r="O2575" i="9"/>
  <c r="J2576" i="9"/>
  <c r="K2576" i="9"/>
  <c r="N2576" i="9"/>
  <c r="O2576" i="9"/>
  <c r="J2577" i="9"/>
  <c r="K2577" i="9"/>
  <c r="N2577" i="9"/>
  <c r="O2577" i="9"/>
  <c r="K2578" i="9"/>
  <c r="N2578" i="9"/>
  <c r="O2578" i="9"/>
  <c r="N2579" i="9"/>
  <c r="O2579" i="9"/>
  <c r="K2580" i="9"/>
  <c r="N2580" i="9"/>
  <c r="O2580" i="9"/>
  <c r="N2581" i="9"/>
  <c r="O2581" i="9"/>
  <c r="N2582" i="9"/>
  <c r="O2582" i="9"/>
  <c r="N2583" i="9"/>
  <c r="O2583" i="9"/>
  <c r="J2584" i="9"/>
  <c r="K2584" i="9"/>
  <c r="N2584" i="9"/>
  <c r="O2584" i="9"/>
  <c r="I2585" i="9"/>
  <c r="J2585" i="9"/>
  <c r="K2585" i="9"/>
  <c r="N2585" i="9"/>
  <c r="O2585" i="9"/>
  <c r="I2586" i="9"/>
  <c r="J2586" i="9"/>
  <c r="K2586" i="9"/>
  <c r="N2586" i="9"/>
  <c r="O2586" i="9"/>
  <c r="I2587" i="9"/>
  <c r="J2587" i="9"/>
  <c r="K2587" i="9"/>
  <c r="N2587" i="9"/>
  <c r="O2587" i="9"/>
  <c r="J2588" i="9"/>
  <c r="K2588" i="9"/>
  <c r="N2588" i="9"/>
  <c r="O2588" i="9"/>
  <c r="J2589" i="9"/>
  <c r="K2589" i="9"/>
  <c r="N2589" i="9"/>
  <c r="O2589" i="9"/>
  <c r="N2590" i="9"/>
  <c r="O2590" i="9"/>
  <c r="J2591" i="9"/>
  <c r="K2591" i="9"/>
  <c r="N2591" i="9"/>
  <c r="O2591" i="9"/>
  <c r="N2592" i="9"/>
  <c r="O2592" i="9"/>
  <c r="J2593" i="9"/>
  <c r="K2593" i="9"/>
  <c r="N2593" i="9"/>
  <c r="O2593" i="9"/>
  <c r="I2594" i="9"/>
  <c r="J2594" i="9"/>
  <c r="K2594" i="9"/>
  <c r="N2594" i="9"/>
  <c r="O2594" i="9"/>
  <c r="I2595" i="9"/>
  <c r="J2595" i="9"/>
  <c r="K2595" i="9"/>
  <c r="N2595" i="9"/>
  <c r="O2595" i="9"/>
  <c r="I2596" i="9"/>
  <c r="J2596" i="9"/>
  <c r="K2596" i="9"/>
  <c r="N2596" i="9"/>
  <c r="O2596" i="9"/>
  <c r="I2597" i="9"/>
  <c r="J2597" i="9"/>
  <c r="K2597" i="9"/>
  <c r="N2597" i="9"/>
  <c r="O2597" i="9"/>
  <c r="I2598" i="9"/>
  <c r="J2598" i="9"/>
  <c r="K2598" i="9"/>
  <c r="N2598" i="9"/>
  <c r="O2598" i="9"/>
  <c r="I2599" i="9"/>
  <c r="J2599" i="9"/>
  <c r="K2599" i="9"/>
  <c r="N2599" i="9"/>
  <c r="O2599" i="9"/>
  <c r="I2600" i="9"/>
  <c r="J2600" i="9"/>
  <c r="K2600" i="9"/>
  <c r="N2600" i="9"/>
  <c r="O2600" i="9"/>
  <c r="I2601" i="9"/>
  <c r="J2601" i="9"/>
  <c r="K2601" i="9"/>
  <c r="N2601" i="9"/>
  <c r="O2601" i="9"/>
  <c r="I2602" i="9"/>
  <c r="J2602" i="9"/>
  <c r="K2602" i="9"/>
  <c r="N2602" i="9"/>
  <c r="O2602" i="9"/>
  <c r="I2603" i="9"/>
  <c r="J2603" i="9"/>
  <c r="K2603" i="9"/>
  <c r="N2603" i="9"/>
  <c r="O2603" i="9"/>
  <c r="I2604" i="9"/>
  <c r="J2604" i="9"/>
  <c r="K2604" i="9"/>
  <c r="N2604" i="9"/>
  <c r="O2604" i="9"/>
  <c r="I2605" i="9"/>
  <c r="J2605" i="9"/>
  <c r="K2605" i="9"/>
  <c r="N2605" i="9"/>
  <c r="O2605" i="9"/>
  <c r="I2606" i="9"/>
  <c r="J2606" i="9"/>
  <c r="K2606" i="9"/>
  <c r="N2606" i="9"/>
  <c r="O2606" i="9"/>
  <c r="I2607" i="9"/>
  <c r="J2607" i="9"/>
  <c r="K2607" i="9"/>
  <c r="N2607" i="9"/>
  <c r="O2607" i="9"/>
  <c r="I2608" i="9"/>
  <c r="J2608" i="9"/>
  <c r="K2608" i="9"/>
  <c r="N2608" i="9"/>
  <c r="O2608" i="9"/>
  <c r="I2609" i="9"/>
  <c r="J2609" i="9"/>
  <c r="K2609" i="9"/>
  <c r="N2609" i="9"/>
  <c r="O2609" i="9"/>
  <c r="I2610" i="9"/>
  <c r="J2610" i="9"/>
  <c r="K2610" i="9"/>
  <c r="N2610" i="9"/>
  <c r="O2610" i="9"/>
  <c r="I2611" i="9"/>
  <c r="J2611" i="9"/>
  <c r="K2611" i="9"/>
  <c r="N2611" i="9"/>
  <c r="O2611" i="9"/>
  <c r="I2612" i="9"/>
  <c r="J2612" i="9"/>
  <c r="K2612" i="9"/>
  <c r="N2612" i="9"/>
  <c r="O2612" i="9"/>
  <c r="I2613" i="9"/>
  <c r="J2613" i="9"/>
  <c r="K2613" i="9"/>
  <c r="N2613" i="9"/>
  <c r="O2613" i="9"/>
  <c r="I2614" i="9"/>
  <c r="J2614" i="9"/>
  <c r="K2614" i="9"/>
  <c r="N2614" i="9"/>
  <c r="O2614" i="9"/>
  <c r="I2615" i="9"/>
  <c r="J2615" i="9"/>
  <c r="K2615" i="9"/>
  <c r="N2615" i="9"/>
  <c r="O2615" i="9"/>
  <c r="I2616" i="9"/>
  <c r="J2616" i="9"/>
  <c r="K2616" i="9"/>
  <c r="N2616" i="9"/>
  <c r="O2616" i="9"/>
  <c r="I2617" i="9"/>
  <c r="J2617" i="9"/>
  <c r="K2617" i="9"/>
  <c r="N2617" i="9"/>
  <c r="O2617" i="9"/>
  <c r="I2618" i="9"/>
  <c r="J2618" i="9"/>
  <c r="K2618" i="9"/>
  <c r="N2618" i="9"/>
  <c r="O2618" i="9"/>
  <c r="I2619" i="9"/>
  <c r="J2619" i="9"/>
  <c r="K2619" i="9"/>
  <c r="N2619" i="9"/>
  <c r="O2619" i="9"/>
  <c r="J2620" i="9"/>
  <c r="K2620" i="9"/>
  <c r="N2620" i="9"/>
  <c r="O2620" i="9"/>
  <c r="J2621" i="9"/>
  <c r="K2621" i="9"/>
  <c r="N2621" i="9"/>
  <c r="O2621" i="9"/>
  <c r="J2622" i="9"/>
  <c r="K2622" i="9"/>
  <c r="N2622" i="9"/>
  <c r="O2622" i="9"/>
  <c r="J2623" i="9"/>
  <c r="K2623" i="9"/>
  <c r="N2623" i="9"/>
  <c r="O2623" i="9"/>
  <c r="J2624" i="9"/>
  <c r="K2624" i="9"/>
  <c r="N2624" i="9"/>
  <c r="O2624" i="9"/>
  <c r="K2625" i="9"/>
  <c r="N2625" i="9"/>
  <c r="O2625" i="9"/>
  <c r="N2626" i="9"/>
  <c r="O2626" i="9"/>
  <c r="N2627" i="9"/>
  <c r="O2627" i="9"/>
  <c r="N2628" i="9"/>
  <c r="O2628" i="9"/>
  <c r="J2629" i="9"/>
  <c r="K2629" i="9"/>
  <c r="N2629" i="9"/>
  <c r="O2629" i="9"/>
  <c r="I2630" i="9"/>
  <c r="J2630" i="9"/>
  <c r="K2630" i="9"/>
  <c r="N2630" i="9"/>
  <c r="O2630" i="9"/>
  <c r="I2631" i="9"/>
  <c r="J2631" i="9"/>
  <c r="K2631" i="9"/>
  <c r="N2631" i="9"/>
  <c r="O2631" i="9"/>
  <c r="I2632" i="9"/>
  <c r="J2632" i="9"/>
  <c r="K2632" i="9"/>
  <c r="N2632" i="9"/>
  <c r="O2632" i="9"/>
  <c r="I2633" i="9"/>
  <c r="J2633" i="9"/>
  <c r="K2633" i="9"/>
  <c r="N2633" i="9"/>
  <c r="O2633" i="9"/>
  <c r="I2634" i="9"/>
  <c r="J2634" i="9"/>
  <c r="K2634" i="9"/>
  <c r="N2634" i="9"/>
  <c r="O2634" i="9"/>
  <c r="I2635" i="9"/>
  <c r="J2635" i="9"/>
  <c r="K2635" i="9"/>
  <c r="N2635" i="9"/>
  <c r="O2635" i="9"/>
  <c r="I2636" i="9"/>
  <c r="J2636" i="9"/>
  <c r="K2636" i="9"/>
  <c r="N2636" i="9"/>
  <c r="O2636" i="9"/>
  <c r="I2637" i="9"/>
  <c r="J2637" i="9"/>
  <c r="K2637" i="9"/>
  <c r="N2637" i="9"/>
  <c r="O2637" i="9"/>
  <c r="I2638" i="9"/>
  <c r="J2638" i="9"/>
  <c r="K2638" i="9"/>
  <c r="N2638" i="9"/>
  <c r="O2638" i="9"/>
  <c r="I2639" i="9"/>
  <c r="J2639" i="9"/>
  <c r="K2639" i="9"/>
  <c r="N2639" i="9"/>
  <c r="O2639" i="9"/>
  <c r="I2640" i="9"/>
  <c r="J2640" i="9"/>
  <c r="K2640" i="9"/>
  <c r="N2640" i="9"/>
  <c r="O2640" i="9"/>
  <c r="I2641" i="9"/>
  <c r="J2641" i="9"/>
  <c r="K2641" i="9"/>
  <c r="N2641" i="9"/>
  <c r="O2641" i="9"/>
  <c r="I2642" i="9"/>
  <c r="J2642" i="9"/>
  <c r="K2642" i="9"/>
  <c r="N2642" i="9"/>
  <c r="O2642" i="9"/>
  <c r="I2643" i="9"/>
  <c r="J2643" i="9"/>
  <c r="K2643" i="9"/>
  <c r="N2643" i="9"/>
  <c r="O2643" i="9"/>
  <c r="J2644" i="9"/>
  <c r="K2644" i="9"/>
  <c r="N2644" i="9"/>
  <c r="O2644" i="9"/>
  <c r="J2645" i="9"/>
  <c r="K2645" i="9"/>
  <c r="N2645" i="9"/>
  <c r="O2645" i="9"/>
  <c r="K2646" i="9"/>
  <c r="N2646" i="9"/>
  <c r="O2646" i="9"/>
  <c r="J2647" i="9"/>
  <c r="K2647" i="9"/>
  <c r="N2647" i="9"/>
  <c r="O2647" i="9"/>
  <c r="J2648" i="9"/>
  <c r="K2648" i="9"/>
  <c r="N2648" i="9"/>
  <c r="O2648" i="9"/>
  <c r="J2649" i="9"/>
  <c r="K2649" i="9"/>
  <c r="N2649" i="9"/>
  <c r="O2649" i="9"/>
  <c r="N2650" i="9"/>
  <c r="O2650" i="9"/>
  <c r="N2651" i="9"/>
  <c r="O2651" i="9"/>
  <c r="K2652" i="9"/>
  <c r="N2652" i="9"/>
  <c r="O2652" i="9"/>
  <c r="J2653" i="9"/>
  <c r="K2653" i="9"/>
  <c r="N2653" i="9"/>
  <c r="O2653" i="9"/>
  <c r="N2654" i="9"/>
  <c r="O2654" i="9"/>
  <c r="I2655" i="9"/>
  <c r="J2655" i="9"/>
  <c r="K2655" i="9"/>
  <c r="N2655" i="9"/>
  <c r="O2655" i="9"/>
  <c r="I2656" i="9"/>
  <c r="J2656" i="9"/>
  <c r="K2656" i="9"/>
  <c r="N2656" i="9"/>
  <c r="O2656" i="9"/>
  <c r="I2657" i="9"/>
  <c r="J2657" i="9"/>
  <c r="K2657" i="9"/>
  <c r="N2657" i="9"/>
  <c r="O2657" i="9"/>
  <c r="I2658" i="9"/>
  <c r="J2658" i="9"/>
  <c r="K2658" i="9"/>
  <c r="N2658" i="9"/>
  <c r="O2658" i="9"/>
  <c r="I2659" i="9"/>
  <c r="J2659" i="9"/>
  <c r="K2659" i="9"/>
  <c r="N2659" i="9"/>
  <c r="O2659" i="9"/>
  <c r="I2660" i="9"/>
  <c r="J2660" i="9"/>
  <c r="K2660" i="9"/>
  <c r="N2660" i="9"/>
  <c r="O2660" i="9"/>
  <c r="I2661" i="9"/>
  <c r="J2661" i="9"/>
  <c r="K2661" i="9"/>
  <c r="N2661" i="9"/>
  <c r="O2661" i="9"/>
  <c r="I2662" i="9"/>
  <c r="J2662" i="9"/>
  <c r="K2662" i="9"/>
  <c r="N2662" i="9"/>
  <c r="O2662" i="9"/>
  <c r="I2663" i="9"/>
  <c r="J2663" i="9"/>
  <c r="K2663" i="9"/>
  <c r="N2663" i="9"/>
  <c r="O2663" i="9"/>
  <c r="I2664" i="9"/>
  <c r="J2664" i="9"/>
  <c r="K2664" i="9"/>
  <c r="N2664" i="9"/>
  <c r="O2664" i="9"/>
  <c r="I2665" i="9"/>
  <c r="J2665" i="9"/>
  <c r="K2665" i="9"/>
  <c r="N2665" i="9"/>
  <c r="O2665" i="9"/>
  <c r="I2666" i="9"/>
  <c r="J2666" i="9"/>
  <c r="K2666" i="9"/>
  <c r="N2666" i="9"/>
  <c r="O2666" i="9"/>
  <c r="I2667" i="9"/>
  <c r="J2667" i="9"/>
  <c r="K2667" i="9"/>
  <c r="N2667" i="9"/>
  <c r="O2667" i="9"/>
  <c r="I2668" i="9"/>
  <c r="J2668" i="9"/>
  <c r="K2668" i="9"/>
  <c r="N2668" i="9"/>
  <c r="O2668" i="9"/>
  <c r="I2669" i="9"/>
  <c r="J2669" i="9"/>
  <c r="K2669" i="9"/>
  <c r="N2669" i="9"/>
  <c r="O2669" i="9"/>
  <c r="I2670" i="9"/>
  <c r="J2670" i="9"/>
  <c r="K2670" i="9"/>
  <c r="N2670" i="9"/>
  <c r="O2670" i="9"/>
  <c r="J2671" i="9"/>
  <c r="K2671" i="9"/>
  <c r="N2671" i="9"/>
  <c r="O2671" i="9"/>
  <c r="N2672" i="9"/>
  <c r="O2672" i="9"/>
  <c r="I2673" i="9"/>
  <c r="K2673" i="9"/>
  <c r="N2673" i="9"/>
  <c r="O2673" i="9"/>
  <c r="I2674" i="9"/>
  <c r="K2674" i="9"/>
  <c r="N2674" i="9"/>
  <c r="O2674" i="9"/>
  <c r="J2675" i="9"/>
  <c r="K2675" i="9"/>
  <c r="N2675" i="9"/>
  <c r="O2675" i="9"/>
  <c r="J2676" i="9"/>
  <c r="K2676" i="9"/>
  <c r="N2676" i="9"/>
  <c r="O2676" i="9"/>
  <c r="J2677" i="9"/>
  <c r="K2677" i="9"/>
  <c r="N2677" i="9"/>
  <c r="O2677" i="9"/>
  <c r="N2678" i="9"/>
  <c r="O2678" i="9"/>
  <c r="J2679" i="9"/>
  <c r="K2679" i="9"/>
  <c r="N2679" i="9"/>
  <c r="O2679" i="9"/>
  <c r="N2680" i="9"/>
  <c r="O2680" i="9"/>
  <c r="J2681" i="9"/>
  <c r="K2681" i="9"/>
  <c r="N2681" i="9"/>
  <c r="O2681" i="9"/>
  <c r="K2682" i="9"/>
  <c r="N2682" i="9"/>
  <c r="O2682" i="9"/>
  <c r="J2683" i="9"/>
  <c r="K2683" i="9"/>
  <c r="N2683" i="9"/>
  <c r="O2683" i="9"/>
  <c r="J2684" i="9"/>
  <c r="K2684" i="9"/>
  <c r="N2684" i="9"/>
  <c r="O2684" i="9"/>
  <c r="J2685" i="9"/>
  <c r="K2685" i="9"/>
  <c r="N2685" i="9"/>
  <c r="O2685" i="9"/>
  <c r="J2686" i="9"/>
  <c r="K2686" i="9"/>
  <c r="N2686" i="9"/>
  <c r="O2686" i="9"/>
  <c r="N2687" i="9"/>
  <c r="O2687" i="9"/>
  <c r="I2688" i="9"/>
  <c r="J2688" i="9"/>
  <c r="K2688" i="9"/>
  <c r="N2688" i="9"/>
  <c r="O2688" i="9"/>
  <c r="I2689" i="9"/>
  <c r="J2689" i="9"/>
  <c r="K2689" i="9"/>
  <c r="N2689" i="9"/>
  <c r="O2689" i="9"/>
  <c r="I2690" i="9"/>
  <c r="J2690" i="9"/>
  <c r="K2690" i="9"/>
  <c r="N2690" i="9"/>
  <c r="O2690" i="9"/>
  <c r="I2691" i="9"/>
  <c r="J2691" i="9"/>
  <c r="K2691" i="9"/>
  <c r="N2691" i="9"/>
  <c r="O2691" i="9"/>
  <c r="I2692" i="9"/>
  <c r="J2692" i="9"/>
  <c r="K2692" i="9"/>
  <c r="N2692" i="9"/>
  <c r="O2692" i="9"/>
  <c r="I2693" i="9"/>
  <c r="J2693" i="9"/>
  <c r="K2693" i="9"/>
  <c r="N2693" i="9"/>
  <c r="O2693" i="9"/>
  <c r="I2694" i="9"/>
  <c r="J2694" i="9"/>
  <c r="K2694" i="9"/>
  <c r="N2694" i="9"/>
  <c r="O2694" i="9"/>
  <c r="I2695" i="9"/>
  <c r="J2695" i="9"/>
  <c r="K2695" i="9"/>
  <c r="N2695" i="9"/>
  <c r="O2695" i="9"/>
  <c r="I2696" i="9"/>
  <c r="J2696" i="9"/>
  <c r="K2696" i="9"/>
  <c r="N2696" i="9"/>
  <c r="O2696" i="9"/>
  <c r="I2697" i="9"/>
  <c r="J2697" i="9"/>
  <c r="K2697" i="9"/>
  <c r="N2697" i="9"/>
  <c r="O2697" i="9"/>
  <c r="I2698" i="9"/>
  <c r="J2698" i="9"/>
  <c r="K2698" i="9"/>
  <c r="N2698" i="9"/>
  <c r="O2698" i="9"/>
  <c r="N2699" i="9"/>
  <c r="O2699" i="9"/>
  <c r="I2700" i="9"/>
  <c r="J2700" i="9"/>
  <c r="K2700" i="9"/>
  <c r="N2700" i="9"/>
  <c r="O2700" i="9"/>
  <c r="J2701" i="9"/>
  <c r="K2701" i="9"/>
  <c r="N2701" i="9"/>
  <c r="O2701" i="9"/>
  <c r="J2702" i="9"/>
  <c r="K2702" i="9"/>
  <c r="N2702" i="9"/>
  <c r="O2702" i="9"/>
  <c r="J2703" i="9"/>
  <c r="K2703" i="9"/>
  <c r="N2703" i="9"/>
  <c r="O2703" i="9"/>
  <c r="K2704" i="9"/>
  <c r="N2704" i="9"/>
  <c r="O2704" i="9"/>
  <c r="N2705" i="9"/>
  <c r="O2705" i="9"/>
  <c r="N2706" i="9"/>
  <c r="O2706" i="9"/>
  <c r="N2707" i="9"/>
  <c r="O2707" i="9"/>
  <c r="N2708" i="9"/>
  <c r="O2708" i="9"/>
  <c r="N2709" i="9"/>
  <c r="O2709" i="9"/>
  <c r="N2710" i="9"/>
  <c r="O2710" i="9"/>
  <c r="J2711" i="9"/>
  <c r="K2711" i="9"/>
  <c r="N2711" i="9"/>
  <c r="O2711" i="9"/>
  <c r="J2712" i="9"/>
  <c r="K2712" i="9"/>
  <c r="N2712" i="9"/>
  <c r="O2712" i="9"/>
  <c r="N2713" i="9"/>
  <c r="O2713" i="9"/>
  <c r="I2714" i="9"/>
  <c r="J2714" i="9"/>
  <c r="K2714" i="9"/>
  <c r="N2714" i="9"/>
  <c r="O2714" i="9"/>
  <c r="I2715" i="9"/>
  <c r="J2715" i="9"/>
  <c r="K2715" i="9"/>
  <c r="N2715" i="9"/>
  <c r="O2715" i="9"/>
  <c r="I2716" i="9"/>
  <c r="J2716" i="9"/>
  <c r="K2716" i="9"/>
  <c r="N2716" i="9"/>
  <c r="O2716" i="9"/>
  <c r="I2717" i="9"/>
  <c r="J2717" i="9"/>
  <c r="K2717" i="9"/>
  <c r="N2717" i="9"/>
  <c r="O2717" i="9"/>
  <c r="I2718" i="9"/>
  <c r="J2718" i="9"/>
  <c r="K2718" i="9"/>
  <c r="N2718" i="9"/>
  <c r="O2718" i="9"/>
  <c r="I2719" i="9"/>
  <c r="J2719" i="9"/>
  <c r="K2719" i="9"/>
  <c r="N2719" i="9"/>
  <c r="O2719" i="9"/>
  <c r="I2720" i="9"/>
  <c r="J2720" i="9"/>
  <c r="K2720" i="9"/>
  <c r="N2720" i="9"/>
  <c r="O2720" i="9"/>
  <c r="I2721" i="9"/>
  <c r="J2721" i="9"/>
  <c r="K2721" i="9"/>
  <c r="N2721" i="9"/>
  <c r="O2721" i="9"/>
  <c r="I2722" i="9"/>
  <c r="J2722" i="9"/>
  <c r="K2722" i="9"/>
  <c r="N2722" i="9"/>
  <c r="O2722" i="9"/>
  <c r="I2723" i="9"/>
  <c r="J2723" i="9"/>
  <c r="K2723" i="9"/>
  <c r="N2723" i="9"/>
  <c r="O2723" i="9"/>
  <c r="I2724" i="9"/>
  <c r="J2724" i="9"/>
  <c r="K2724" i="9"/>
  <c r="N2724" i="9"/>
  <c r="O2724" i="9"/>
  <c r="I2725" i="9"/>
  <c r="K2725" i="9"/>
  <c r="N2725" i="9"/>
  <c r="O2725" i="9"/>
  <c r="J2726" i="9"/>
  <c r="K2726" i="9"/>
  <c r="N2726" i="9"/>
  <c r="O2726" i="9"/>
  <c r="K2727" i="9"/>
  <c r="N2727" i="9"/>
  <c r="O2727" i="9"/>
  <c r="K2728" i="9"/>
  <c r="N2728" i="9"/>
  <c r="O2728" i="9"/>
  <c r="J2729" i="9"/>
  <c r="K2729" i="9"/>
  <c r="N2729" i="9"/>
  <c r="O2729" i="9"/>
  <c r="J2730" i="9"/>
  <c r="K2730" i="9"/>
  <c r="N2730" i="9"/>
  <c r="O2730" i="9"/>
  <c r="N2731" i="9"/>
  <c r="O2731" i="9"/>
  <c r="J2732" i="9"/>
  <c r="K2732" i="9"/>
  <c r="N2732" i="9"/>
  <c r="O2732" i="9"/>
  <c r="K2733" i="9"/>
  <c r="N2733" i="9"/>
  <c r="O2733" i="9"/>
  <c r="N2734" i="9"/>
  <c r="O2734" i="9"/>
  <c r="N2735" i="9"/>
  <c r="O2735" i="9"/>
  <c r="J2736" i="9"/>
  <c r="K2736" i="9"/>
  <c r="N2736" i="9"/>
  <c r="O2736" i="9"/>
  <c r="J2737" i="9"/>
  <c r="K2737" i="9"/>
  <c r="N2737" i="9"/>
  <c r="O2737" i="9"/>
  <c r="J2738" i="9"/>
  <c r="K2738" i="9"/>
  <c r="N2738" i="9"/>
  <c r="O2738" i="9"/>
  <c r="J2739" i="9"/>
  <c r="K2739" i="9"/>
  <c r="N2739" i="9"/>
  <c r="O2739" i="9"/>
  <c r="N2740" i="9"/>
  <c r="O2740" i="9"/>
  <c r="N2741" i="9"/>
  <c r="O2741" i="9"/>
  <c r="N2742" i="9"/>
  <c r="O2742" i="9"/>
  <c r="J2743" i="9"/>
  <c r="K2743" i="9"/>
  <c r="N2743" i="9"/>
  <c r="O2743" i="9"/>
  <c r="K2744" i="9"/>
  <c r="N2744" i="9"/>
  <c r="O2744" i="9"/>
  <c r="I2745" i="9"/>
  <c r="J2745" i="9"/>
  <c r="K2745" i="9"/>
  <c r="N2745" i="9"/>
  <c r="O2745" i="9"/>
  <c r="I2746" i="9"/>
  <c r="J2746" i="9"/>
  <c r="K2746" i="9"/>
  <c r="N2746" i="9"/>
  <c r="O2746" i="9"/>
  <c r="I2747" i="9"/>
  <c r="J2747" i="9"/>
  <c r="K2747" i="9"/>
  <c r="N2747" i="9"/>
  <c r="O2747" i="9"/>
  <c r="I2748" i="9"/>
  <c r="J2748" i="9"/>
  <c r="K2748" i="9"/>
  <c r="N2748" i="9"/>
  <c r="O2748" i="9"/>
  <c r="I2749" i="9"/>
  <c r="J2749" i="9"/>
  <c r="K2749" i="9"/>
  <c r="N2749" i="9"/>
  <c r="O2749" i="9"/>
  <c r="I2750" i="9"/>
  <c r="J2750" i="9"/>
  <c r="K2750" i="9"/>
  <c r="N2750" i="9"/>
  <c r="O2750" i="9"/>
  <c r="I2751" i="9"/>
  <c r="J2751" i="9"/>
  <c r="K2751" i="9"/>
  <c r="N2751" i="9"/>
  <c r="O2751" i="9"/>
  <c r="I2752" i="9"/>
  <c r="J2752" i="9"/>
  <c r="K2752" i="9"/>
  <c r="N2752" i="9"/>
  <c r="O2752" i="9"/>
  <c r="I2753" i="9"/>
  <c r="J2753" i="9"/>
  <c r="K2753" i="9"/>
  <c r="N2753" i="9"/>
  <c r="O2753" i="9"/>
  <c r="I2754" i="9"/>
  <c r="J2754" i="9"/>
  <c r="K2754" i="9"/>
  <c r="N2754" i="9"/>
  <c r="O2754" i="9"/>
  <c r="I2755" i="9"/>
  <c r="J2755" i="9"/>
  <c r="K2755" i="9"/>
  <c r="N2755" i="9"/>
  <c r="O2755" i="9"/>
  <c r="I2756" i="9"/>
  <c r="J2756" i="9"/>
  <c r="K2756" i="9"/>
  <c r="N2756" i="9"/>
  <c r="O2756" i="9"/>
  <c r="I2757" i="9"/>
  <c r="J2757" i="9"/>
  <c r="K2757" i="9"/>
  <c r="N2757" i="9"/>
  <c r="O2757" i="9"/>
  <c r="I2758" i="9"/>
  <c r="J2758" i="9"/>
  <c r="K2758" i="9"/>
  <c r="N2758" i="9"/>
  <c r="O2758" i="9"/>
  <c r="J2759" i="9"/>
  <c r="K2759" i="9"/>
  <c r="N2759" i="9"/>
  <c r="O2759" i="9"/>
  <c r="I2760" i="9"/>
  <c r="J2760" i="9"/>
  <c r="K2760" i="9"/>
  <c r="N2760" i="9"/>
  <c r="O2760" i="9"/>
  <c r="I2761" i="9"/>
  <c r="J2761" i="9"/>
  <c r="K2761" i="9"/>
  <c r="N2761" i="9"/>
  <c r="O2761" i="9"/>
  <c r="I2762" i="9"/>
  <c r="J2762" i="9"/>
  <c r="K2762" i="9"/>
  <c r="N2762" i="9"/>
  <c r="O2762" i="9"/>
  <c r="I2763" i="9"/>
  <c r="J2763" i="9"/>
  <c r="K2763" i="9"/>
  <c r="N2763" i="9"/>
  <c r="O2763" i="9"/>
  <c r="I2764" i="9"/>
  <c r="J2764" i="9"/>
  <c r="K2764" i="9"/>
  <c r="N2764" i="9"/>
  <c r="O2764" i="9"/>
  <c r="I2765" i="9"/>
  <c r="J2765" i="9"/>
  <c r="K2765" i="9"/>
  <c r="N2765" i="9"/>
  <c r="O2765" i="9"/>
  <c r="I2766" i="9"/>
  <c r="J2766" i="9"/>
  <c r="K2766" i="9"/>
  <c r="N2766" i="9"/>
  <c r="O2766" i="9"/>
  <c r="I2767" i="9"/>
  <c r="J2767" i="9"/>
  <c r="K2767" i="9"/>
  <c r="N2767" i="9"/>
  <c r="O2767" i="9"/>
  <c r="I2768" i="9"/>
  <c r="J2768" i="9"/>
  <c r="K2768" i="9"/>
  <c r="N2768" i="9"/>
  <c r="O2768" i="9"/>
  <c r="I2769" i="9"/>
  <c r="J2769" i="9"/>
  <c r="K2769" i="9"/>
  <c r="N2769" i="9"/>
  <c r="O2769" i="9"/>
  <c r="I2770" i="9"/>
  <c r="J2770" i="9"/>
  <c r="K2770" i="9"/>
  <c r="N2770" i="9"/>
  <c r="O2770" i="9"/>
  <c r="I2771" i="9"/>
  <c r="J2771" i="9"/>
  <c r="K2771" i="9"/>
  <c r="N2771" i="9"/>
  <c r="O2771" i="9"/>
  <c r="I2772" i="9"/>
  <c r="J2772" i="9"/>
  <c r="K2772" i="9"/>
  <c r="N2772" i="9"/>
  <c r="O2772" i="9"/>
  <c r="I2773" i="9"/>
  <c r="J2773" i="9"/>
  <c r="K2773" i="9"/>
  <c r="N2773" i="9"/>
  <c r="O2773" i="9"/>
  <c r="I2774" i="9"/>
  <c r="J2774" i="9"/>
  <c r="K2774" i="9"/>
  <c r="N2774" i="9"/>
  <c r="O2774" i="9"/>
  <c r="I2775" i="9"/>
  <c r="J2775" i="9"/>
  <c r="K2775" i="9"/>
  <c r="N2775" i="9"/>
  <c r="O2775" i="9"/>
  <c r="I2776" i="9"/>
  <c r="J2776" i="9"/>
  <c r="K2776" i="9"/>
  <c r="N2776" i="9"/>
  <c r="O2776" i="9"/>
  <c r="I2777" i="9"/>
  <c r="J2777" i="9"/>
  <c r="K2777" i="9"/>
  <c r="N2777" i="9"/>
  <c r="O2777" i="9"/>
  <c r="I2778" i="9"/>
  <c r="J2778" i="9"/>
  <c r="K2778" i="9"/>
  <c r="N2778" i="9"/>
  <c r="O2778" i="9"/>
  <c r="I2779" i="9"/>
  <c r="J2779" i="9"/>
  <c r="K2779" i="9"/>
  <c r="N2779" i="9"/>
  <c r="O2779" i="9"/>
  <c r="N2780" i="9"/>
  <c r="O2780" i="9"/>
  <c r="I2781" i="9"/>
  <c r="J2781" i="9"/>
  <c r="K2781" i="9"/>
  <c r="N2781" i="9"/>
  <c r="O2781" i="9"/>
  <c r="I2782" i="9"/>
  <c r="J2782" i="9"/>
  <c r="K2782" i="9"/>
  <c r="N2782" i="9"/>
  <c r="O2782" i="9"/>
  <c r="I2783" i="9"/>
  <c r="J2783" i="9"/>
  <c r="K2783" i="9"/>
  <c r="N2783" i="9"/>
  <c r="O2783" i="9"/>
  <c r="I2784" i="9"/>
  <c r="J2784" i="9"/>
  <c r="K2784" i="9"/>
  <c r="N2784" i="9"/>
  <c r="O2784" i="9"/>
  <c r="I2785" i="9"/>
  <c r="J2785" i="9"/>
  <c r="K2785" i="9"/>
  <c r="N2785" i="9"/>
  <c r="O2785" i="9"/>
  <c r="I2786" i="9"/>
  <c r="J2786" i="9"/>
  <c r="K2786" i="9"/>
  <c r="N2786" i="9"/>
  <c r="O2786" i="9"/>
  <c r="I2787" i="9"/>
  <c r="J2787" i="9"/>
  <c r="K2787" i="9"/>
  <c r="N2787" i="9"/>
  <c r="O2787" i="9"/>
  <c r="N2788" i="9"/>
  <c r="O2788" i="9"/>
  <c r="I2789" i="9"/>
  <c r="J2789" i="9"/>
  <c r="K2789" i="9"/>
  <c r="N2789" i="9"/>
  <c r="O2789" i="9"/>
  <c r="I2790" i="9"/>
  <c r="J2790" i="9"/>
  <c r="K2790" i="9"/>
  <c r="N2790" i="9"/>
  <c r="O2790" i="9"/>
  <c r="J2791" i="9"/>
  <c r="K2791" i="9"/>
  <c r="N2791" i="9"/>
  <c r="O2791" i="9"/>
  <c r="J2792" i="9"/>
  <c r="K2792" i="9"/>
  <c r="N2792" i="9"/>
  <c r="O2792" i="9"/>
  <c r="J2793" i="9"/>
  <c r="K2793" i="9"/>
  <c r="N2793" i="9"/>
  <c r="O2793" i="9"/>
  <c r="J2794" i="9"/>
  <c r="K2794" i="9"/>
  <c r="N2794" i="9"/>
  <c r="O2794" i="9"/>
  <c r="J2795" i="9"/>
  <c r="K2795" i="9"/>
  <c r="N2795" i="9"/>
  <c r="O2795" i="9"/>
  <c r="I2796" i="9"/>
  <c r="J2796" i="9"/>
  <c r="K2796" i="9"/>
  <c r="N2796" i="9"/>
  <c r="O2796" i="9"/>
  <c r="I2797" i="9"/>
  <c r="J2797" i="9"/>
  <c r="K2797" i="9"/>
  <c r="N2797" i="9"/>
  <c r="O2797" i="9"/>
  <c r="I2798" i="9"/>
  <c r="J2798" i="9"/>
  <c r="K2798" i="9"/>
  <c r="N2798" i="9"/>
  <c r="O2798" i="9"/>
  <c r="I2799" i="9"/>
  <c r="J2799" i="9"/>
  <c r="K2799" i="9"/>
  <c r="N2799" i="9"/>
  <c r="O2799" i="9"/>
  <c r="J2800" i="9"/>
  <c r="K2800" i="9"/>
  <c r="N2800" i="9"/>
  <c r="O2800" i="9"/>
  <c r="J2801" i="9"/>
  <c r="K2801" i="9"/>
  <c r="N2801" i="9"/>
  <c r="O2801" i="9"/>
  <c r="K2802" i="9"/>
  <c r="N2802" i="9"/>
  <c r="O2802" i="9"/>
  <c r="J2803" i="9"/>
  <c r="K2803" i="9"/>
  <c r="N2803" i="9"/>
  <c r="O2803" i="9"/>
  <c r="J2804" i="9"/>
  <c r="K2804" i="9"/>
  <c r="N2804" i="9"/>
  <c r="O2804" i="9"/>
  <c r="I2805" i="9"/>
  <c r="J2805" i="9"/>
  <c r="K2805" i="9"/>
  <c r="N2805" i="9"/>
  <c r="O2805" i="9"/>
  <c r="I2806" i="9"/>
  <c r="J2806" i="9"/>
  <c r="K2806" i="9"/>
  <c r="N2806" i="9"/>
  <c r="O2806" i="9"/>
  <c r="I2807" i="9"/>
  <c r="J2807" i="9"/>
  <c r="K2807" i="9"/>
  <c r="N2807" i="9"/>
  <c r="O2807" i="9"/>
  <c r="I2808" i="9"/>
  <c r="J2808" i="9"/>
  <c r="K2808" i="9"/>
  <c r="N2808" i="9"/>
  <c r="O2808" i="9"/>
  <c r="I2809" i="9"/>
  <c r="J2809" i="9"/>
  <c r="K2809" i="9"/>
  <c r="N2809" i="9"/>
  <c r="O2809" i="9"/>
  <c r="I2810" i="9"/>
  <c r="J2810" i="9"/>
  <c r="K2810" i="9"/>
  <c r="N2810" i="9"/>
  <c r="O2810" i="9"/>
  <c r="I2811" i="9"/>
  <c r="J2811" i="9"/>
  <c r="K2811" i="9"/>
  <c r="N2811" i="9"/>
  <c r="O2811" i="9"/>
  <c r="K2812" i="9"/>
  <c r="N2812" i="9"/>
  <c r="O2812" i="9"/>
  <c r="N2813" i="9"/>
  <c r="O2813" i="9"/>
  <c r="N2814" i="9"/>
  <c r="O2814" i="9"/>
  <c r="N2815" i="9"/>
  <c r="O2815" i="9"/>
  <c r="N2816" i="9"/>
  <c r="O2816" i="9"/>
  <c r="K2817" i="9"/>
  <c r="N2817" i="9"/>
  <c r="O2817" i="9"/>
  <c r="N2818" i="9"/>
  <c r="O2818" i="9"/>
  <c r="I2819" i="9"/>
  <c r="J2819" i="9"/>
  <c r="K2819" i="9"/>
  <c r="N2819" i="9"/>
  <c r="O2819" i="9"/>
  <c r="I2820" i="9"/>
  <c r="K2820" i="9"/>
  <c r="N2820" i="9"/>
  <c r="O2820" i="9"/>
  <c r="J2821" i="9"/>
  <c r="K2821" i="9"/>
  <c r="N2821" i="9"/>
  <c r="O2821" i="9"/>
  <c r="K2822" i="9"/>
  <c r="N2822" i="9"/>
  <c r="O2822" i="9"/>
  <c r="N2823" i="9"/>
  <c r="O2823" i="9"/>
  <c r="N2824" i="9"/>
  <c r="O2824" i="9"/>
  <c r="N2825" i="9"/>
  <c r="O2825" i="9"/>
  <c r="N2826" i="9"/>
  <c r="O2826" i="9"/>
  <c r="I2827" i="9"/>
  <c r="J2827" i="9"/>
  <c r="K2827" i="9"/>
  <c r="N2827" i="9"/>
  <c r="O2827" i="9"/>
  <c r="K2828" i="9"/>
  <c r="N2828" i="9"/>
  <c r="O2828" i="9"/>
  <c r="I2829" i="9"/>
  <c r="J2829" i="9"/>
  <c r="K2829" i="9"/>
  <c r="N2829" i="9"/>
  <c r="O2829" i="9"/>
  <c r="I2830" i="9"/>
  <c r="J2830" i="9"/>
  <c r="K2830" i="9"/>
  <c r="N2830" i="9"/>
  <c r="O2830" i="9"/>
  <c r="I2831" i="9"/>
  <c r="J2831" i="9"/>
  <c r="K2831" i="9"/>
  <c r="N2831" i="9"/>
  <c r="O2831" i="9"/>
  <c r="I2832" i="9"/>
  <c r="J2832" i="9"/>
  <c r="K2832" i="9"/>
  <c r="N2832" i="9"/>
  <c r="O2832" i="9"/>
  <c r="I2833" i="9"/>
  <c r="J2833" i="9"/>
  <c r="K2833" i="9"/>
  <c r="N2833" i="9"/>
  <c r="O2833" i="9"/>
  <c r="I2834" i="9"/>
  <c r="J2834" i="9"/>
  <c r="K2834" i="9"/>
  <c r="N2834" i="9"/>
  <c r="O2834" i="9"/>
  <c r="I2835" i="9"/>
  <c r="J2835" i="9"/>
  <c r="K2835" i="9"/>
  <c r="N2835" i="9"/>
  <c r="O2835" i="9"/>
  <c r="I2836" i="9"/>
  <c r="J2836" i="9"/>
  <c r="K2836" i="9"/>
  <c r="N2836" i="9"/>
  <c r="O2836" i="9"/>
  <c r="I2837" i="9"/>
  <c r="J2837" i="9"/>
  <c r="K2837" i="9"/>
  <c r="N2837" i="9"/>
  <c r="O2837" i="9"/>
  <c r="I2838" i="9"/>
  <c r="J2838" i="9"/>
  <c r="K2838" i="9"/>
  <c r="N2838" i="9"/>
  <c r="O2838" i="9"/>
  <c r="I2839" i="9"/>
  <c r="J2839" i="9"/>
  <c r="K2839" i="9"/>
  <c r="N2839" i="9"/>
  <c r="O2839" i="9"/>
  <c r="J2840" i="9"/>
  <c r="K2840" i="9"/>
  <c r="N2840" i="9"/>
  <c r="O2840" i="9"/>
  <c r="J2841" i="9"/>
  <c r="K2841" i="9"/>
  <c r="N2841" i="9"/>
  <c r="O2841" i="9"/>
  <c r="N2842" i="9"/>
  <c r="O2842" i="9"/>
  <c r="N2843" i="9"/>
  <c r="O2843" i="9"/>
  <c r="N2844" i="9"/>
  <c r="O2844" i="9"/>
  <c r="J2845" i="9"/>
  <c r="K2845" i="9"/>
  <c r="N2845" i="9"/>
  <c r="O2845" i="9"/>
  <c r="N2846" i="9"/>
  <c r="O2846" i="9"/>
  <c r="I2847" i="9"/>
  <c r="J2847" i="9"/>
  <c r="K2847" i="9"/>
  <c r="N2847" i="9"/>
  <c r="O2847" i="9"/>
  <c r="I2848" i="9"/>
  <c r="J2848" i="9"/>
  <c r="K2848" i="9"/>
  <c r="N2848" i="9"/>
  <c r="O2848" i="9"/>
  <c r="I2849" i="9"/>
  <c r="J2849" i="9"/>
  <c r="K2849" i="9"/>
  <c r="N2849" i="9"/>
  <c r="O2849" i="9"/>
  <c r="J2850" i="9"/>
  <c r="K2850" i="9"/>
  <c r="N2850" i="9"/>
  <c r="O2850" i="9"/>
  <c r="I2851" i="9"/>
  <c r="J2851" i="9"/>
  <c r="K2851" i="9"/>
  <c r="N2851" i="9"/>
  <c r="O2851" i="9"/>
  <c r="I2852" i="9"/>
  <c r="J2852" i="9"/>
  <c r="K2852" i="9"/>
  <c r="N2852" i="9"/>
  <c r="O2852" i="9"/>
  <c r="J2853" i="9"/>
  <c r="K2853" i="9"/>
  <c r="N2853" i="9"/>
  <c r="O2853" i="9"/>
  <c r="I2854" i="9"/>
  <c r="J2854" i="9"/>
  <c r="K2854" i="9"/>
  <c r="N2854" i="9"/>
  <c r="O2854" i="9"/>
  <c r="I2855" i="9"/>
  <c r="J2855" i="9"/>
  <c r="K2855" i="9"/>
  <c r="N2855" i="9"/>
  <c r="O2855" i="9"/>
  <c r="J2856" i="9"/>
  <c r="K2856" i="9"/>
  <c r="N2856" i="9"/>
  <c r="O2856" i="9"/>
  <c r="I2857" i="9"/>
  <c r="J2857" i="9"/>
  <c r="K2857" i="9"/>
  <c r="N2857" i="9"/>
  <c r="O2857" i="9"/>
  <c r="I2858" i="9"/>
  <c r="J2858" i="9"/>
  <c r="K2858" i="9"/>
  <c r="N2858" i="9"/>
  <c r="O2858" i="9"/>
  <c r="I2859" i="9"/>
  <c r="J2859" i="9"/>
  <c r="K2859" i="9"/>
  <c r="N2859" i="9"/>
  <c r="O2859" i="9"/>
  <c r="I2860" i="9"/>
  <c r="J2860" i="9"/>
  <c r="K2860" i="9"/>
  <c r="N2860" i="9"/>
  <c r="O2860" i="9"/>
  <c r="I2861" i="9"/>
  <c r="J2861" i="9"/>
  <c r="K2861" i="9"/>
  <c r="N2861" i="9"/>
  <c r="O2861" i="9"/>
  <c r="I2862" i="9"/>
  <c r="J2862" i="9"/>
  <c r="K2862" i="9"/>
  <c r="N2862" i="9"/>
  <c r="O2862" i="9"/>
  <c r="I2863" i="9"/>
  <c r="J2863" i="9"/>
  <c r="K2863" i="9"/>
  <c r="N2863" i="9"/>
  <c r="O2863" i="9"/>
  <c r="I2864" i="9"/>
  <c r="J2864" i="9"/>
  <c r="K2864" i="9"/>
  <c r="N2864" i="9"/>
  <c r="O2864" i="9"/>
  <c r="I2865" i="9"/>
  <c r="J2865" i="9"/>
  <c r="K2865" i="9"/>
  <c r="N2865" i="9"/>
  <c r="O2865" i="9"/>
  <c r="I2866" i="9"/>
  <c r="J2866" i="9"/>
  <c r="K2866" i="9"/>
  <c r="N2866" i="9"/>
  <c r="O2866" i="9"/>
  <c r="I2867" i="9"/>
  <c r="J2867" i="9"/>
  <c r="K2867" i="9"/>
  <c r="N2867" i="9"/>
  <c r="O2867" i="9"/>
  <c r="I2868" i="9"/>
  <c r="J2868" i="9"/>
  <c r="K2868" i="9"/>
  <c r="N2868" i="9"/>
  <c r="O2868" i="9"/>
  <c r="J2869" i="9"/>
  <c r="K2869" i="9"/>
  <c r="N2869" i="9"/>
  <c r="O2869" i="9"/>
  <c r="I2870" i="9"/>
  <c r="K2870" i="9"/>
  <c r="N2870" i="9"/>
  <c r="O2870" i="9"/>
  <c r="K2871" i="9"/>
  <c r="N2871" i="9"/>
  <c r="O2871" i="9"/>
  <c r="N2872" i="9"/>
  <c r="O2872" i="9"/>
  <c r="N2873" i="9"/>
  <c r="O2873" i="9"/>
  <c r="J2874" i="9"/>
  <c r="K2874" i="9"/>
  <c r="N2874" i="9"/>
  <c r="O2874" i="9"/>
  <c r="J2875" i="9"/>
  <c r="K2875" i="9"/>
  <c r="N2875" i="9"/>
  <c r="O2875" i="9"/>
  <c r="I2876" i="9"/>
  <c r="J2876" i="9"/>
  <c r="K2876" i="9"/>
  <c r="N2876" i="9"/>
  <c r="O2876" i="9"/>
  <c r="I2877" i="9"/>
  <c r="J2877" i="9"/>
  <c r="K2877" i="9"/>
  <c r="N2877" i="9"/>
  <c r="O2877" i="9"/>
  <c r="I2878" i="9"/>
  <c r="J2878" i="9"/>
  <c r="K2878" i="9"/>
  <c r="N2878" i="9"/>
  <c r="O2878" i="9"/>
  <c r="J2879" i="9"/>
  <c r="K2879" i="9"/>
  <c r="N2879" i="9"/>
  <c r="O2879" i="9"/>
  <c r="J2880" i="9"/>
  <c r="K2880" i="9"/>
  <c r="N2880" i="9"/>
  <c r="O2880" i="9"/>
  <c r="J2881" i="9"/>
  <c r="K2881" i="9"/>
  <c r="N2881" i="9"/>
  <c r="O2881" i="9"/>
  <c r="J2882" i="9"/>
  <c r="K2882" i="9"/>
  <c r="N2882" i="9"/>
  <c r="O2882" i="9"/>
  <c r="N2883" i="9"/>
  <c r="O2883" i="9"/>
  <c r="I2884" i="9"/>
  <c r="J2884" i="9"/>
  <c r="K2884" i="9"/>
  <c r="N2884" i="9"/>
  <c r="O2884" i="9"/>
  <c r="I2885" i="9"/>
  <c r="J2885" i="9"/>
  <c r="K2885" i="9"/>
  <c r="N2885" i="9"/>
  <c r="O2885" i="9"/>
  <c r="I2886" i="9"/>
  <c r="J2886" i="9"/>
  <c r="K2886" i="9"/>
  <c r="N2886" i="9"/>
  <c r="O2886" i="9"/>
  <c r="I2887" i="9"/>
  <c r="J2887" i="9"/>
  <c r="K2887" i="9"/>
  <c r="N2887" i="9"/>
  <c r="O2887" i="9"/>
  <c r="I2888" i="9"/>
  <c r="J2888" i="9"/>
  <c r="K2888" i="9"/>
  <c r="N2888" i="9"/>
  <c r="O2888" i="9"/>
  <c r="I2889" i="9"/>
  <c r="J2889" i="9"/>
  <c r="K2889" i="9"/>
  <c r="N2889" i="9"/>
  <c r="O2889" i="9"/>
  <c r="I2890" i="9"/>
  <c r="J2890" i="9"/>
  <c r="K2890" i="9"/>
  <c r="N2890" i="9"/>
  <c r="O2890" i="9"/>
  <c r="I2891" i="9"/>
  <c r="J2891" i="9"/>
  <c r="K2891" i="9"/>
  <c r="N2891" i="9"/>
  <c r="O2891" i="9"/>
  <c r="I2892" i="9"/>
  <c r="J2892" i="9"/>
  <c r="K2892" i="9"/>
  <c r="N2892" i="9"/>
  <c r="O2892" i="9"/>
  <c r="I2893" i="9"/>
  <c r="J2893" i="9"/>
  <c r="K2893" i="9"/>
  <c r="N2893" i="9"/>
  <c r="O2893" i="9"/>
  <c r="I2894" i="9"/>
  <c r="J2894" i="9"/>
  <c r="K2894" i="9"/>
  <c r="N2894" i="9"/>
  <c r="O2894" i="9"/>
  <c r="I2895" i="9"/>
  <c r="J2895" i="9"/>
  <c r="K2895" i="9"/>
  <c r="N2895" i="9"/>
  <c r="O2895" i="9"/>
  <c r="I2896" i="9"/>
  <c r="J2896" i="9"/>
  <c r="K2896" i="9"/>
  <c r="N2896" i="9"/>
  <c r="O2896" i="9"/>
  <c r="I2897" i="9"/>
  <c r="J2897" i="9"/>
  <c r="K2897" i="9"/>
  <c r="N2897" i="9"/>
  <c r="O2897" i="9"/>
  <c r="I2898" i="9"/>
  <c r="J2898" i="9"/>
  <c r="K2898" i="9"/>
  <c r="N2898" i="9"/>
  <c r="O2898" i="9"/>
  <c r="I2899" i="9"/>
  <c r="J2899" i="9"/>
  <c r="K2899" i="9"/>
  <c r="N2899" i="9"/>
  <c r="O2899" i="9"/>
  <c r="I2900" i="9"/>
  <c r="J2900" i="9"/>
  <c r="K2900" i="9"/>
  <c r="N2900" i="9"/>
  <c r="O2900" i="9"/>
  <c r="I2901" i="9"/>
  <c r="J2901" i="9"/>
  <c r="K2901" i="9"/>
  <c r="N2901" i="9"/>
  <c r="O2901" i="9"/>
  <c r="I2902" i="9"/>
  <c r="J2902" i="9"/>
  <c r="K2902" i="9"/>
  <c r="N2902" i="9"/>
  <c r="O2902" i="9"/>
  <c r="I2903" i="9"/>
  <c r="J2903" i="9"/>
  <c r="K2903" i="9"/>
  <c r="N2903" i="9"/>
  <c r="O2903" i="9"/>
  <c r="I2904" i="9"/>
  <c r="J2904" i="9"/>
  <c r="K2904" i="9"/>
  <c r="N2904" i="9"/>
  <c r="O2904" i="9"/>
  <c r="I2905" i="9"/>
  <c r="J2905" i="9"/>
  <c r="K2905" i="9"/>
  <c r="N2905" i="9"/>
  <c r="O2905" i="9"/>
  <c r="I2906" i="9"/>
  <c r="J2906" i="9"/>
  <c r="K2906" i="9"/>
  <c r="N2906" i="9"/>
  <c r="O2906" i="9"/>
  <c r="I2907" i="9"/>
  <c r="K2907" i="9"/>
  <c r="N2907" i="9"/>
  <c r="O2907" i="9"/>
  <c r="I2908" i="9"/>
  <c r="K2908" i="9"/>
  <c r="N2908" i="9"/>
  <c r="O2908" i="9"/>
  <c r="I2909" i="9"/>
  <c r="K2909" i="9"/>
  <c r="N2909" i="9"/>
  <c r="O2909" i="9"/>
  <c r="I2910" i="9"/>
  <c r="K2910" i="9"/>
  <c r="N2910" i="9"/>
  <c r="O2910" i="9"/>
  <c r="I2911" i="9"/>
  <c r="K2911" i="9"/>
  <c r="N2911" i="9"/>
  <c r="O2911" i="9"/>
  <c r="J2912" i="9"/>
  <c r="K2912" i="9"/>
  <c r="N2912" i="9"/>
  <c r="O2912" i="9"/>
  <c r="J2913" i="9"/>
  <c r="K2913" i="9"/>
  <c r="N2913" i="9"/>
  <c r="O2913" i="9"/>
  <c r="J2914" i="9"/>
  <c r="K2914" i="9"/>
  <c r="N2914" i="9"/>
  <c r="O2914" i="9"/>
  <c r="N2915" i="9"/>
  <c r="O2915" i="9"/>
  <c r="N2916" i="9"/>
  <c r="O2916" i="9"/>
  <c r="N2917" i="9"/>
  <c r="O2917" i="9"/>
  <c r="N2918" i="9"/>
  <c r="O2918" i="9"/>
  <c r="J2919" i="9"/>
  <c r="K2919" i="9"/>
  <c r="N2919" i="9"/>
  <c r="O2919" i="9"/>
  <c r="N2920" i="9"/>
  <c r="O2920" i="9"/>
  <c r="N2921" i="9"/>
  <c r="O2921" i="9"/>
  <c r="K2922" i="9"/>
  <c r="N2922" i="9"/>
  <c r="O2922" i="9"/>
  <c r="N2923" i="9"/>
  <c r="O2923" i="9"/>
  <c r="N2924" i="9"/>
  <c r="O2924" i="9"/>
  <c r="N2925" i="9"/>
  <c r="O2925" i="9"/>
  <c r="N2926" i="9"/>
  <c r="O2926" i="9"/>
  <c r="N2927" i="9"/>
  <c r="O2927" i="9"/>
  <c r="N2928" i="9"/>
  <c r="O2928" i="9"/>
  <c r="J2929" i="9"/>
  <c r="K2929" i="9"/>
  <c r="N2929" i="9"/>
  <c r="O2929" i="9"/>
  <c r="J2930" i="9"/>
  <c r="K2930" i="9"/>
  <c r="N2930" i="9"/>
  <c r="O2930" i="9"/>
  <c r="I2931" i="9"/>
  <c r="J2931" i="9"/>
  <c r="K2931" i="9"/>
  <c r="N2931" i="9"/>
  <c r="O2931" i="9"/>
  <c r="I2932" i="9"/>
  <c r="J2932" i="9"/>
  <c r="K2932" i="9"/>
  <c r="N2932" i="9"/>
  <c r="O2932" i="9"/>
  <c r="I2933" i="9"/>
  <c r="J2933" i="9"/>
  <c r="K2933" i="9"/>
  <c r="N2933" i="9"/>
  <c r="O2933" i="9"/>
  <c r="I2934" i="9"/>
  <c r="J2934" i="9"/>
  <c r="K2934" i="9"/>
  <c r="N2934" i="9"/>
  <c r="O2934" i="9"/>
  <c r="I2935" i="9"/>
  <c r="J2935" i="9"/>
  <c r="K2935" i="9"/>
  <c r="N2935" i="9"/>
  <c r="O2935" i="9"/>
  <c r="I2936" i="9"/>
  <c r="J2936" i="9"/>
  <c r="K2936" i="9"/>
  <c r="N2936" i="9"/>
  <c r="O2936" i="9"/>
  <c r="I2937" i="9"/>
  <c r="J2937" i="9"/>
  <c r="K2937" i="9"/>
  <c r="N2937" i="9"/>
  <c r="O2937" i="9"/>
  <c r="K2938" i="9"/>
  <c r="N2938" i="9"/>
  <c r="O2938" i="9"/>
  <c r="N2939" i="9"/>
  <c r="O2939" i="9"/>
  <c r="N2940" i="9"/>
  <c r="O2940" i="9"/>
  <c r="N2941" i="9"/>
  <c r="O2941" i="9"/>
  <c r="N2942" i="9"/>
  <c r="O2942" i="9"/>
  <c r="N2943" i="9"/>
  <c r="O2943" i="9"/>
  <c r="J2944" i="9"/>
  <c r="K2944" i="9"/>
  <c r="N2944" i="9"/>
  <c r="O2944" i="9"/>
  <c r="N2945" i="9"/>
  <c r="O2945" i="9"/>
  <c r="N2946" i="9"/>
  <c r="O2946" i="9"/>
  <c r="J2947" i="9"/>
  <c r="K2947" i="9"/>
  <c r="N2947" i="9"/>
  <c r="O2947" i="9"/>
  <c r="J2948" i="9"/>
  <c r="K2948" i="9"/>
  <c r="N2948" i="9"/>
  <c r="O2948" i="9"/>
  <c r="N2949" i="9"/>
  <c r="O2949" i="9"/>
  <c r="I2950" i="9"/>
  <c r="J2950" i="9"/>
  <c r="K2950" i="9"/>
  <c r="N2950" i="9"/>
  <c r="O2950" i="9"/>
  <c r="I2951" i="9"/>
  <c r="J2951" i="9"/>
  <c r="K2951" i="9"/>
  <c r="N2951" i="9"/>
  <c r="O2951" i="9"/>
  <c r="I2952" i="9"/>
  <c r="J2952" i="9"/>
  <c r="K2952" i="9"/>
  <c r="N2952" i="9"/>
  <c r="O2952" i="9"/>
  <c r="I2953" i="9"/>
  <c r="J2953" i="9"/>
  <c r="K2953" i="9"/>
  <c r="N2953" i="9"/>
  <c r="O2953" i="9"/>
  <c r="I2954" i="9"/>
  <c r="J2954" i="9"/>
  <c r="K2954" i="9"/>
  <c r="N2954" i="9"/>
  <c r="O2954" i="9"/>
  <c r="I2955" i="9"/>
  <c r="J2955" i="9"/>
  <c r="K2955" i="9"/>
  <c r="N2955" i="9"/>
  <c r="O2955" i="9"/>
  <c r="K2956" i="9"/>
  <c r="N2956" i="9"/>
  <c r="O2956" i="9"/>
  <c r="K2957" i="9"/>
  <c r="N2957" i="9"/>
  <c r="O2957" i="9"/>
  <c r="I2958" i="9"/>
  <c r="J2958" i="9"/>
  <c r="K2958" i="9"/>
  <c r="N2958" i="9"/>
  <c r="O2958" i="9"/>
  <c r="I2959" i="9"/>
  <c r="J2959" i="9"/>
  <c r="K2959" i="9"/>
  <c r="N2959" i="9"/>
  <c r="O2959" i="9"/>
  <c r="I2960" i="9"/>
  <c r="J2960" i="9"/>
  <c r="K2960" i="9"/>
  <c r="N2960" i="9"/>
  <c r="O2960" i="9"/>
  <c r="I2961" i="9"/>
  <c r="J2961" i="9"/>
  <c r="K2961" i="9"/>
  <c r="N2961" i="9"/>
  <c r="O2961" i="9"/>
  <c r="I2962" i="9"/>
  <c r="J2962" i="9"/>
  <c r="K2962" i="9"/>
  <c r="N2962" i="9"/>
  <c r="O2962" i="9"/>
  <c r="I2963" i="9"/>
  <c r="J2963" i="9"/>
  <c r="K2963" i="9"/>
  <c r="N2963" i="9"/>
  <c r="O2963" i="9"/>
  <c r="I2964" i="9"/>
  <c r="J2964" i="9"/>
  <c r="K2964" i="9"/>
  <c r="N2964" i="9"/>
  <c r="O2964" i="9"/>
  <c r="I2965" i="9"/>
  <c r="J2965" i="9"/>
  <c r="K2965" i="9"/>
  <c r="N2965" i="9"/>
  <c r="O2965" i="9"/>
  <c r="I2966" i="9"/>
  <c r="J2966" i="9"/>
  <c r="K2966" i="9"/>
  <c r="N2966" i="9"/>
  <c r="O2966" i="9"/>
  <c r="I2967" i="9"/>
  <c r="J2967" i="9"/>
  <c r="K2967" i="9"/>
  <c r="N2967" i="9"/>
  <c r="O2967" i="9"/>
  <c r="I2968" i="9"/>
  <c r="J2968" i="9"/>
  <c r="K2968" i="9"/>
  <c r="N2968" i="9"/>
  <c r="O2968" i="9"/>
  <c r="J2969" i="9"/>
  <c r="K2969" i="9"/>
  <c r="N2969" i="9"/>
  <c r="O2969" i="9"/>
  <c r="N2970" i="9"/>
  <c r="O2970" i="9"/>
  <c r="J2971" i="9"/>
  <c r="K2971" i="9"/>
  <c r="N2971" i="9"/>
  <c r="O2971" i="9"/>
  <c r="I2972" i="9"/>
  <c r="J2972" i="9"/>
  <c r="K2972" i="9"/>
  <c r="N2972" i="9"/>
  <c r="O2972" i="9"/>
  <c r="N2973" i="9"/>
  <c r="O2973" i="9"/>
  <c r="N2974" i="9"/>
  <c r="O2974" i="9"/>
  <c r="N2975" i="9"/>
  <c r="O2975" i="9"/>
  <c r="N2976" i="9"/>
  <c r="O2976" i="9"/>
  <c r="N2977" i="9"/>
  <c r="O2977" i="9"/>
  <c r="N2978" i="9"/>
  <c r="O2978" i="9"/>
  <c r="N2979" i="9"/>
  <c r="O2979" i="9"/>
  <c r="N2980" i="9"/>
  <c r="O2980" i="9"/>
  <c r="J2981" i="9"/>
  <c r="K2981" i="9"/>
  <c r="N2981" i="9"/>
  <c r="O2981" i="9"/>
  <c r="J2982" i="9"/>
  <c r="K2982" i="9"/>
  <c r="N2982" i="9"/>
  <c r="O2982" i="9"/>
  <c r="J2983" i="9"/>
  <c r="K2983" i="9"/>
  <c r="N2983" i="9"/>
  <c r="O2983" i="9"/>
  <c r="K2984" i="9"/>
  <c r="N2984" i="9"/>
  <c r="O2984" i="9"/>
  <c r="J2985" i="9"/>
  <c r="K2985" i="9"/>
  <c r="N2985" i="9"/>
  <c r="O2985" i="9"/>
  <c r="K2986" i="9"/>
  <c r="N2986" i="9"/>
  <c r="O2986" i="9"/>
  <c r="N2987" i="9"/>
  <c r="O2987" i="9"/>
  <c r="I2988" i="9"/>
  <c r="J2988" i="9"/>
  <c r="K2988" i="9"/>
  <c r="N2988" i="9"/>
  <c r="O2988" i="9"/>
  <c r="I2989" i="9"/>
  <c r="J2989" i="9"/>
  <c r="K2989" i="9"/>
  <c r="N2989" i="9"/>
  <c r="O2989" i="9"/>
  <c r="I2990" i="9"/>
  <c r="J2990" i="9"/>
  <c r="K2990" i="9"/>
  <c r="N2990" i="9"/>
  <c r="O2990" i="9"/>
  <c r="I2991" i="9"/>
  <c r="J2991" i="9"/>
  <c r="K2991" i="9"/>
  <c r="N2991" i="9"/>
  <c r="O2991" i="9"/>
  <c r="I2992" i="9"/>
  <c r="J2992" i="9"/>
  <c r="K2992" i="9"/>
  <c r="N2992" i="9"/>
  <c r="O2992" i="9"/>
  <c r="K2993" i="9"/>
  <c r="N2993" i="9"/>
  <c r="O2993" i="9"/>
  <c r="N2994" i="9"/>
  <c r="O2994" i="9"/>
  <c r="I2995" i="9"/>
  <c r="J2995" i="9"/>
  <c r="K2995" i="9"/>
  <c r="N2995" i="9"/>
  <c r="O2995" i="9"/>
  <c r="I2996" i="9"/>
  <c r="J2996" i="9"/>
  <c r="K2996" i="9"/>
  <c r="N2996" i="9"/>
  <c r="O2996" i="9"/>
  <c r="I2997" i="9"/>
  <c r="J2997" i="9"/>
  <c r="K2997" i="9"/>
  <c r="N2997" i="9"/>
  <c r="O2997" i="9"/>
  <c r="I2998" i="9"/>
  <c r="J2998" i="9"/>
  <c r="K2998" i="9"/>
  <c r="N2998" i="9"/>
  <c r="O2998" i="9"/>
  <c r="I2999" i="9"/>
  <c r="J2999" i="9"/>
  <c r="K2999" i="9"/>
  <c r="N2999" i="9"/>
  <c r="O2999" i="9"/>
  <c r="I3000" i="9"/>
  <c r="J3000" i="9"/>
  <c r="K3000" i="9"/>
  <c r="N3000" i="9"/>
  <c r="O3000" i="9"/>
  <c r="I3001" i="9"/>
  <c r="K3001" i="9"/>
  <c r="N3001" i="9"/>
  <c r="O3001" i="9"/>
  <c r="I3002" i="9"/>
  <c r="K3002" i="9"/>
  <c r="N3002" i="9"/>
  <c r="O3002" i="9"/>
  <c r="I3003" i="9"/>
  <c r="K3003" i="9"/>
  <c r="N3003" i="9"/>
  <c r="O3003" i="9"/>
  <c r="J3004" i="9"/>
  <c r="K3004" i="9"/>
  <c r="N3004" i="9"/>
  <c r="O3004" i="9"/>
  <c r="I3005" i="9"/>
  <c r="J3005" i="9"/>
  <c r="K3005" i="9"/>
  <c r="N3005" i="9"/>
  <c r="O3005" i="9"/>
  <c r="J3006" i="9"/>
  <c r="K3006" i="9"/>
  <c r="N3006" i="9"/>
  <c r="O3006" i="9"/>
  <c r="J3007" i="9"/>
  <c r="K3007" i="9"/>
  <c r="N3007" i="9"/>
  <c r="O3007" i="9"/>
  <c r="J3008" i="9"/>
  <c r="K3008" i="9"/>
  <c r="N3008" i="9"/>
  <c r="O3008" i="9"/>
  <c r="J3009" i="9"/>
  <c r="K3009" i="9"/>
  <c r="N3009" i="9"/>
  <c r="O3009" i="9"/>
  <c r="N3010" i="9"/>
  <c r="O3010" i="9"/>
  <c r="J3011" i="9"/>
  <c r="K3011" i="9"/>
  <c r="N3011" i="9"/>
  <c r="O3011" i="9"/>
  <c r="I3012" i="9"/>
  <c r="J3012" i="9"/>
  <c r="K3012" i="9"/>
  <c r="N3012" i="9"/>
  <c r="O3012" i="9"/>
  <c r="I3013" i="9"/>
  <c r="J3013" i="9"/>
  <c r="K3013" i="9"/>
  <c r="N3013" i="9"/>
  <c r="O3013" i="9"/>
  <c r="I3014" i="9"/>
  <c r="J3014" i="9"/>
  <c r="K3014" i="9"/>
  <c r="N3014" i="9"/>
  <c r="O3014" i="9"/>
  <c r="I3015" i="9"/>
  <c r="J3015" i="9"/>
  <c r="K3015" i="9"/>
  <c r="N3015" i="9"/>
  <c r="O3015" i="9"/>
  <c r="I3016" i="9"/>
  <c r="K3016" i="9"/>
  <c r="N3016" i="9"/>
  <c r="O3016" i="9"/>
  <c r="J3017" i="9"/>
  <c r="K3017" i="9"/>
  <c r="N3017" i="9"/>
  <c r="O3017" i="9"/>
  <c r="I3018" i="9"/>
  <c r="J3018" i="9"/>
  <c r="K3018" i="9"/>
  <c r="N3018" i="9"/>
  <c r="O3018" i="9"/>
  <c r="I3019" i="9"/>
  <c r="J3019" i="9"/>
  <c r="K3019" i="9"/>
  <c r="N3019" i="9"/>
  <c r="O3019" i="9"/>
  <c r="I3020" i="9"/>
  <c r="J3020" i="9"/>
  <c r="K3020" i="9"/>
  <c r="N3020" i="9"/>
  <c r="O3020" i="9"/>
  <c r="J3021" i="9"/>
  <c r="K3021" i="9"/>
  <c r="N3021" i="9"/>
  <c r="O3021" i="9"/>
  <c r="N3022" i="9"/>
  <c r="O3022" i="9"/>
  <c r="N3023" i="9"/>
  <c r="O3023" i="9"/>
  <c r="J3024" i="9"/>
  <c r="K3024" i="9"/>
  <c r="N3024" i="9"/>
  <c r="O3024" i="9"/>
  <c r="J3025" i="9"/>
  <c r="K3025" i="9"/>
  <c r="N3025" i="9"/>
  <c r="O3025" i="9"/>
  <c r="J3026" i="9"/>
  <c r="K3026" i="9"/>
  <c r="N3026" i="9"/>
  <c r="O3026" i="9"/>
  <c r="N3027" i="9"/>
  <c r="O3027" i="9"/>
  <c r="N3028" i="9"/>
  <c r="O3028" i="9"/>
  <c r="N3029" i="9"/>
  <c r="O3029" i="9"/>
  <c r="N3030" i="9"/>
  <c r="O3030" i="9"/>
  <c r="N3031" i="9"/>
  <c r="O3031" i="9"/>
  <c r="N3032" i="9"/>
  <c r="O3032" i="9"/>
  <c r="N3033" i="9"/>
  <c r="O3033" i="9"/>
  <c r="I3034" i="9"/>
  <c r="J3034" i="9"/>
  <c r="K3034" i="9"/>
  <c r="N3034" i="9"/>
  <c r="O3034" i="9"/>
  <c r="I3035" i="9"/>
  <c r="J3035" i="9"/>
  <c r="K3035" i="9"/>
  <c r="N3035" i="9"/>
  <c r="O3035" i="9"/>
  <c r="I3036" i="9"/>
  <c r="J3036" i="9"/>
  <c r="K3036" i="9"/>
  <c r="N3036" i="9"/>
  <c r="O3036" i="9"/>
  <c r="J3037" i="9"/>
  <c r="K3037" i="9"/>
  <c r="N3037" i="9"/>
  <c r="O3037" i="9"/>
  <c r="I3038" i="9"/>
  <c r="J3038" i="9"/>
  <c r="K3038" i="9"/>
  <c r="N3038" i="9"/>
  <c r="O3038" i="9"/>
  <c r="I3039" i="9"/>
  <c r="J3039" i="9"/>
  <c r="K3039" i="9"/>
  <c r="N3039" i="9"/>
  <c r="O3039" i="9"/>
  <c r="I3040" i="9"/>
  <c r="J3040" i="9"/>
  <c r="K3040" i="9"/>
  <c r="N3040" i="9"/>
  <c r="O3040" i="9"/>
  <c r="I3041" i="9"/>
  <c r="J3041" i="9"/>
  <c r="K3041" i="9"/>
  <c r="N3041" i="9"/>
  <c r="O3041" i="9"/>
  <c r="I3042" i="9"/>
  <c r="J3042" i="9"/>
  <c r="K3042" i="9"/>
  <c r="N3042" i="9"/>
  <c r="O3042" i="9"/>
  <c r="I3043" i="9"/>
  <c r="J3043" i="9"/>
  <c r="K3043" i="9"/>
  <c r="N3043" i="9"/>
  <c r="O3043" i="9"/>
  <c r="I3044" i="9"/>
  <c r="J3044" i="9"/>
  <c r="K3044" i="9"/>
  <c r="N3044" i="9"/>
  <c r="O3044" i="9"/>
  <c r="I3045" i="9"/>
  <c r="J3045" i="9"/>
  <c r="K3045" i="9"/>
  <c r="N3045" i="9"/>
  <c r="O3045" i="9"/>
  <c r="I3046" i="9"/>
  <c r="K3046" i="9"/>
  <c r="N3046" i="9"/>
  <c r="O3046" i="9"/>
  <c r="I3047" i="9"/>
  <c r="K3047" i="9"/>
  <c r="N3047" i="9"/>
  <c r="O3047" i="9"/>
  <c r="N3048" i="9"/>
  <c r="O3048" i="9"/>
  <c r="I3049" i="9"/>
  <c r="K3049" i="9"/>
  <c r="N3049" i="9"/>
  <c r="O3049" i="9"/>
  <c r="I3050" i="9"/>
  <c r="K3050" i="9"/>
  <c r="N3050" i="9"/>
  <c r="O3050" i="9"/>
  <c r="I3051" i="9"/>
  <c r="J3051" i="9"/>
  <c r="K3051" i="9"/>
  <c r="N3051" i="9"/>
  <c r="O3051" i="9"/>
  <c r="J3052" i="9"/>
  <c r="K3052" i="9"/>
  <c r="N3052" i="9"/>
  <c r="O3052" i="9"/>
  <c r="N3053" i="9"/>
  <c r="O3053" i="9"/>
  <c r="J3054" i="9"/>
  <c r="K3054" i="9"/>
  <c r="N3054" i="9"/>
  <c r="O3054" i="9"/>
  <c r="J3055" i="9"/>
  <c r="K3055" i="9"/>
  <c r="N3055" i="9"/>
  <c r="O3055" i="9"/>
  <c r="J3056" i="9"/>
  <c r="K3056" i="9"/>
  <c r="N3056" i="9"/>
  <c r="O3056" i="9"/>
  <c r="I3057" i="9"/>
  <c r="J3057" i="9"/>
  <c r="K3057" i="9"/>
  <c r="N3057" i="9"/>
  <c r="O3057" i="9"/>
  <c r="I3058" i="9"/>
  <c r="J3058" i="9"/>
  <c r="K3058" i="9"/>
  <c r="N3058" i="9"/>
  <c r="O3058" i="9"/>
  <c r="I3059" i="9"/>
  <c r="J3059" i="9"/>
  <c r="K3059" i="9"/>
  <c r="N3059" i="9"/>
  <c r="O3059" i="9"/>
  <c r="I3060" i="9"/>
  <c r="J3060" i="9"/>
  <c r="K3060" i="9"/>
  <c r="N3060" i="9"/>
  <c r="O3060" i="9"/>
  <c r="I3061" i="9"/>
  <c r="J3061" i="9"/>
  <c r="K3061" i="9"/>
  <c r="N3061" i="9"/>
  <c r="O3061" i="9"/>
  <c r="I3062" i="9"/>
  <c r="J3062" i="9"/>
  <c r="K3062" i="9"/>
  <c r="N3062" i="9"/>
  <c r="O3062" i="9"/>
  <c r="I3063" i="9"/>
  <c r="K3063" i="9"/>
  <c r="N3063" i="9"/>
  <c r="O3063" i="9"/>
  <c r="I3064" i="9"/>
  <c r="J3064" i="9"/>
  <c r="K3064" i="9"/>
  <c r="N3064" i="9"/>
  <c r="O3064" i="9"/>
  <c r="I3065" i="9"/>
  <c r="J3065" i="9"/>
  <c r="K3065" i="9"/>
  <c r="N3065" i="9"/>
  <c r="O3065" i="9"/>
  <c r="J3066" i="9"/>
  <c r="K3066" i="9"/>
  <c r="N3066" i="9"/>
  <c r="O3066" i="9"/>
  <c r="N3067" i="9"/>
  <c r="O3067" i="9"/>
  <c r="N3068" i="9"/>
  <c r="O3068" i="9"/>
  <c r="K3069" i="9"/>
  <c r="N3069" i="9"/>
  <c r="O3069" i="9"/>
  <c r="N3070" i="9"/>
  <c r="O3070" i="9"/>
  <c r="N3071" i="9"/>
  <c r="O3071" i="9"/>
  <c r="J3072" i="9"/>
  <c r="K3072" i="9"/>
  <c r="N3072" i="9"/>
  <c r="O3072" i="9"/>
  <c r="J3073" i="9"/>
  <c r="K3073" i="9"/>
  <c r="N3073" i="9"/>
  <c r="O3073" i="9"/>
  <c r="J3074" i="9"/>
  <c r="K3074" i="9"/>
  <c r="N3074" i="9"/>
  <c r="O3074" i="9"/>
  <c r="I3075" i="9"/>
  <c r="J3075" i="9"/>
  <c r="K3075" i="9"/>
  <c r="N3075" i="9"/>
  <c r="O3075" i="9"/>
  <c r="I3076" i="9"/>
  <c r="J3076" i="9"/>
  <c r="K3076" i="9"/>
  <c r="N3076" i="9"/>
  <c r="O3076" i="9"/>
  <c r="I3077" i="9"/>
  <c r="J3077" i="9"/>
  <c r="K3077" i="9"/>
  <c r="N3077" i="9"/>
  <c r="O3077" i="9"/>
  <c r="I3078" i="9"/>
  <c r="J3078" i="9"/>
  <c r="K3078" i="9"/>
  <c r="N3078" i="9"/>
  <c r="O3078" i="9"/>
  <c r="I3079" i="9"/>
  <c r="J3079" i="9"/>
  <c r="K3079" i="9"/>
  <c r="N3079" i="9"/>
  <c r="O3079" i="9"/>
  <c r="I3080" i="9"/>
  <c r="J3080" i="9"/>
  <c r="K3080" i="9"/>
  <c r="N3080" i="9"/>
  <c r="O3080" i="9"/>
  <c r="I3081" i="9"/>
  <c r="J3081" i="9"/>
  <c r="K3081" i="9"/>
  <c r="N3081" i="9"/>
  <c r="O3081" i="9"/>
  <c r="I3082" i="9"/>
  <c r="J3082" i="9"/>
  <c r="K3082" i="9"/>
  <c r="N3082" i="9"/>
  <c r="O3082" i="9"/>
  <c r="I3083" i="9"/>
  <c r="K3083" i="9"/>
  <c r="N3083" i="9"/>
  <c r="O3083" i="9"/>
  <c r="N3084" i="9"/>
  <c r="O3084" i="9"/>
  <c r="K3085" i="9"/>
  <c r="N3085" i="9"/>
  <c r="O3085" i="9"/>
  <c r="J3086" i="9"/>
  <c r="K3086" i="9"/>
  <c r="N3086" i="9"/>
  <c r="O3086" i="9"/>
  <c r="J3087" i="9"/>
  <c r="K3087" i="9"/>
  <c r="N3087" i="9"/>
  <c r="O3087" i="9"/>
  <c r="I3088" i="9"/>
  <c r="J3088" i="9"/>
  <c r="K3088" i="9"/>
  <c r="N3088" i="9"/>
  <c r="O3088" i="9"/>
  <c r="K3089" i="9"/>
  <c r="N3089" i="9"/>
  <c r="O3089" i="9"/>
  <c r="N3090" i="9"/>
  <c r="O3090" i="9"/>
  <c r="J3091" i="9"/>
  <c r="K3091" i="9"/>
  <c r="N3091" i="9"/>
  <c r="O3091" i="9"/>
  <c r="J3092" i="9"/>
  <c r="K3092" i="9"/>
  <c r="N3092" i="9"/>
  <c r="O3092" i="9"/>
  <c r="I3093" i="9"/>
  <c r="J3093" i="9"/>
  <c r="K3093" i="9"/>
  <c r="N3093" i="9"/>
  <c r="O3093" i="9"/>
  <c r="I3094" i="9"/>
  <c r="J3094" i="9"/>
  <c r="K3094" i="9"/>
  <c r="N3094" i="9"/>
  <c r="O3094" i="9"/>
  <c r="I3095" i="9"/>
  <c r="J3095" i="9"/>
  <c r="K3095" i="9"/>
  <c r="N3095" i="9"/>
  <c r="O3095" i="9"/>
  <c r="I3096" i="9"/>
  <c r="J3096" i="9"/>
  <c r="K3096" i="9"/>
  <c r="N3096" i="9"/>
  <c r="O3096" i="9"/>
  <c r="I3097" i="9"/>
  <c r="J3097" i="9"/>
  <c r="K3097" i="9"/>
  <c r="N3097" i="9"/>
  <c r="O3097" i="9"/>
  <c r="I3098" i="9"/>
  <c r="J3098" i="9"/>
  <c r="K3098" i="9"/>
  <c r="N3098" i="9"/>
  <c r="O3098" i="9"/>
  <c r="I3099" i="9"/>
  <c r="J3099" i="9"/>
  <c r="K3099" i="9"/>
  <c r="N3099" i="9"/>
  <c r="O3099" i="9"/>
  <c r="I3100" i="9"/>
  <c r="J3100" i="9"/>
  <c r="K3100" i="9"/>
  <c r="N3100" i="9"/>
  <c r="O3100" i="9"/>
  <c r="J3101" i="9"/>
  <c r="K3101" i="9"/>
  <c r="N3101" i="9"/>
  <c r="O3101" i="9"/>
  <c r="K3102" i="9"/>
  <c r="N3102" i="9"/>
  <c r="O3102" i="9"/>
  <c r="N3103" i="9"/>
  <c r="O3103" i="9"/>
  <c r="I3104" i="9"/>
  <c r="J3104" i="9"/>
  <c r="K3104" i="9"/>
  <c r="N3104" i="9"/>
  <c r="O3104" i="9"/>
  <c r="N3105" i="9"/>
  <c r="O3105" i="9"/>
  <c r="I3106" i="9"/>
  <c r="J3106" i="9"/>
  <c r="K3106" i="9"/>
  <c r="N3106" i="9"/>
  <c r="O3106" i="9"/>
  <c r="I3107" i="9"/>
  <c r="J3107" i="9"/>
  <c r="K3107" i="9"/>
  <c r="N3107" i="9"/>
  <c r="O3107" i="9"/>
  <c r="I3108" i="9"/>
  <c r="J3108" i="9"/>
  <c r="K3108" i="9"/>
  <c r="N3108" i="9"/>
  <c r="O3108" i="9"/>
  <c r="I3109" i="9"/>
  <c r="K3109" i="9"/>
  <c r="N3109" i="9"/>
  <c r="O3109" i="9"/>
  <c r="J3110" i="9"/>
  <c r="K3110" i="9"/>
  <c r="N3110" i="9"/>
  <c r="O3110" i="9"/>
  <c r="J3111" i="9"/>
  <c r="K3111" i="9"/>
  <c r="N3111" i="9"/>
  <c r="O3111" i="9"/>
  <c r="J3112" i="9"/>
  <c r="K3112" i="9"/>
  <c r="N3112" i="9"/>
  <c r="O3112" i="9"/>
  <c r="I3113" i="9"/>
  <c r="K3113" i="9"/>
  <c r="N3113" i="9"/>
  <c r="O3113" i="9"/>
  <c r="I3114" i="9"/>
  <c r="J3114" i="9"/>
  <c r="K3114" i="9"/>
  <c r="N3114" i="9"/>
  <c r="O3114" i="9"/>
  <c r="I3115" i="9"/>
  <c r="J3115" i="9"/>
  <c r="K3115" i="9"/>
  <c r="N3115" i="9"/>
  <c r="O3115" i="9"/>
  <c r="I3116" i="9"/>
  <c r="J3116" i="9"/>
  <c r="K3116" i="9"/>
  <c r="N3116" i="9"/>
  <c r="O3116" i="9"/>
  <c r="I3117" i="9"/>
  <c r="J3117" i="9"/>
  <c r="K3117" i="9"/>
  <c r="N3117" i="9"/>
  <c r="O3117" i="9"/>
  <c r="I3118" i="9"/>
  <c r="J3118" i="9"/>
  <c r="K3118" i="9"/>
  <c r="N3118" i="9"/>
  <c r="O3118" i="9"/>
  <c r="I3119" i="9"/>
  <c r="J3119" i="9"/>
  <c r="K3119" i="9"/>
  <c r="N3119" i="9"/>
  <c r="O3119" i="9"/>
  <c r="I3120" i="9"/>
  <c r="J3120" i="9"/>
  <c r="K3120" i="9"/>
  <c r="N3120" i="9"/>
  <c r="O3120" i="9"/>
  <c r="I3121" i="9"/>
  <c r="J3121" i="9"/>
  <c r="K3121" i="9"/>
  <c r="N3121" i="9"/>
  <c r="O3121" i="9"/>
  <c r="I3122" i="9"/>
  <c r="J3122" i="9"/>
  <c r="K3122" i="9"/>
  <c r="N3122" i="9"/>
  <c r="O3122" i="9"/>
  <c r="J3123" i="9"/>
  <c r="K3123" i="9"/>
  <c r="N3123" i="9"/>
  <c r="O3123" i="9"/>
  <c r="J3124" i="9"/>
  <c r="K3124" i="9"/>
  <c r="N3124" i="9"/>
  <c r="O3124" i="9"/>
  <c r="N3125" i="9"/>
  <c r="O3125" i="9"/>
  <c r="J3126" i="9"/>
  <c r="K3126" i="9"/>
  <c r="N3126" i="9"/>
  <c r="O3126" i="9"/>
  <c r="J3127" i="9"/>
  <c r="K3127" i="9"/>
  <c r="N3127" i="9"/>
  <c r="O3127" i="9"/>
  <c r="N3128" i="9"/>
  <c r="O3128" i="9"/>
  <c r="K3129" i="9"/>
  <c r="N3129" i="9"/>
  <c r="O3129" i="9"/>
  <c r="N3130" i="9"/>
  <c r="O3130" i="9"/>
  <c r="J3131" i="9"/>
  <c r="K3131" i="9"/>
  <c r="N3131" i="9"/>
  <c r="O3131" i="9"/>
  <c r="J3132" i="9"/>
  <c r="K3132" i="9"/>
  <c r="N3132" i="9"/>
  <c r="O3132" i="9"/>
  <c r="J3133" i="9"/>
  <c r="K3133" i="9"/>
  <c r="N3133" i="9"/>
  <c r="O3133" i="9"/>
  <c r="K3134" i="9"/>
  <c r="N3134" i="9"/>
  <c r="O3134" i="9"/>
  <c r="N3135" i="9"/>
  <c r="O3135" i="9"/>
  <c r="N3136" i="9"/>
  <c r="O3136" i="9"/>
  <c r="I3137" i="9"/>
  <c r="J3137" i="9"/>
  <c r="K3137" i="9"/>
  <c r="N3137" i="9"/>
  <c r="O3137" i="9"/>
  <c r="I3138" i="9"/>
  <c r="J3138" i="9"/>
  <c r="K3138" i="9"/>
  <c r="N3138" i="9"/>
  <c r="O3138" i="9"/>
  <c r="I3139" i="9"/>
  <c r="J3139" i="9"/>
  <c r="K3139" i="9"/>
  <c r="N3139" i="9"/>
  <c r="O3139" i="9"/>
  <c r="I3140" i="9"/>
  <c r="J3140" i="9"/>
  <c r="K3140" i="9"/>
  <c r="N3140" i="9"/>
  <c r="O3140" i="9"/>
  <c r="K3141" i="9"/>
  <c r="N3141" i="9"/>
  <c r="O3141" i="9"/>
  <c r="N3142" i="9"/>
  <c r="O3142" i="9"/>
  <c r="N3143" i="9"/>
  <c r="O3143" i="9"/>
  <c r="N3144" i="9"/>
  <c r="O3144" i="9"/>
  <c r="I3145" i="9"/>
  <c r="J3145" i="9"/>
  <c r="K3145" i="9"/>
  <c r="N3145" i="9"/>
  <c r="O3145" i="9"/>
  <c r="I3146" i="9"/>
  <c r="J3146" i="9"/>
  <c r="K3146" i="9"/>
  <c r="N3146" i="9"/>
  <c r="O3146" i="9"/>
  <c r="I3147" i="9"/>
  <c r="J3147" i="9"/>
  <c r="K3147" i="9"/>
  <c r="N3147" i="9"/>
  <c r="O3147" i="9"/>
  <c r="I3148" i="9"/>
  <c r="J3148" i="9"/>
  <c r="K3148" i="9"/>
  <c r="N3148" i="9"/>
  <c r="O3148" i="9"/>
  <c r="I3149" i="9"/>
  <c r="J3149" i="9"/>
  <c r="K3149" i="9"/>
  <c r="N3149" i="9"/>
  <c r="O3149" i="9"/>
  <c r="I3150" i="9"/>
  <c r="J3150" i="9"/>
  <c r="K3150" i="9"/>
  <c r="N3150" i="9"/>
  <c r="O3150" i="9"/>
  <c r="I3151" i="9"/>
  <c r="J3151" i="9"/>
  <c r="K3151" i="9"/>
  <c r="N3151" i="9"/>
  <c r="O3151" i="9"/>
  <c r="I3152" i="9"/>
  <c r="J3152" i="9"/>
  <c r="K3152" i="9"/>
  <c r="N3152" i="9"/>
  <c r="O3152" i="9"/>
  <c r="I3153" i="9"/>
  <c r="J3153" i="9"/>
  <c r="K3153" i="9"/>
  <c r="N3153" i="9"/>
  <c r="O3153" i="9"/>
  <c r="I3154" i="9"/>
  <c r="J3154" i="9"/>
  <c r="K3154" i="9"/>
  <c r="N3154" i="9"/>
  <c r="O3154" i="9"/>
  <c r="I3155" i="9"/>
  <c r="J3155" i="9"/>
  <c r="K3155" i="9"/>
  <c r="N3155" i="9"/>
  <c r="O3155" i="9"/>
  <c r="I3156" i="9"/>
  <c r="J3156" i="9"/>
  <c r="K3156" i="9"/>
  <c r="N3156" i="9"/>
  <c r="O3156" i="9"/>
  <c r="I3157" i="9"/>
  <c r="J3157" i="9"/>
  <c r="K3157" i="9"/>
  <c r="N3157" i="9"/>
  <c r="O3157" i="9"/>
  <c r="I3158" i="9"/>
  <c r="J3158" i="9"/>
  <c r="K3158" i="9"/>
  <c r="N3158" i="9"/>
  <c r="O3158" i="9"/>
  <c r="I3159" i="9"/>
  <c r="J3159" i="9"/>
  <c r="K3159" i="9"/>
  <c r="N3159" i="9"/>
  <c r="O3159" i="9"/>
  <c r="I3160" i="9"/>
  <c r="J3160" i="9"/>
  <c r="K3160" i="9"/>
  <c r="N3160" i="9"/>
  <c r="O3160" i="9"/>
  <c r="I3161" i="9"/>
  <c r="J3161" i="9"/>
  <c r="K3161" i="9"/>
  <c r="N3161" i="9"/>
  <c r="O3161" i="9"/>
  <c r="I3162" i="9"/>
  <c r="J3162" i="9"/>
  <c r="K3162" i="9"/>
  <c r="N3162" i="9"/>
  <c r="O3162" i="9"/>
  <c r="I3163" i="9"/>
  <c r="J3163" i="9"/>
  <c r="K3163" i="9"/>
  <c r="N3163" i="9"/>
  <c r="O3163" i="9"/>
  <c r="I3164" i="9"/>
  <c r="J3164" i="9"/>
  <c r="K3164" i="9"/>
  <c r="N3164" i="9"/>
  <c r="O3164" i="9"/>
  <c r="I3165" i="9"/>
  <c r="J3165" i="9"/>
  <c r="K3165" i="9"/>
  <c r="N3165" i="9"/>
  <c r="O3165" i="9"/>
  <c r="I3166" i="9"/>
  <c r="J3166" i="9"/>
  <c r="K3166" i="9"/>
  <c r="N3166" i="9"/>
  <c r="O3166" i="9"/>
  <c r="I3167" i="9"/>
  <c r="K3167" i="9"/>
  <c r="N3167" i="9"/>
  <c r="O3167" i="9"/>
  <c r="I3168" i="9"/>
  <c r="K3168" i="9"/>
  <c r="N3168" i="9"/>
  <c r="O3168" i="9"/>
  <c r="I3169" i="9"/>
  <c r="K3169" i="9"/>
  <c r="N3169" i="9"/>
  <c r="O3169" i="9"/>
  <c r="I3170" i="9"/>
  <c r="K3170" i="9"/>
  <c r="N3170" i="9"/>
  <c r="O3170" i="9"/>
  <c r="J3171" i="9"/>
  <c r="K3171" i="9"/>
  <c r="N3171" i="9"/>
  <c r="O3171" i="9"/>
  <c r="J3172" i="9"/>
  <c r="K3172" i="9"/>
  <c r="N3172" i="9"/>
  <c r="O3172" i="9"/>
  <c r="J3173" i="9"/>
  <c r="K3173" i="9"/>
  <c r="N3173" i="9"/>
  <c r="O3173" i="9"/>
  <c r="J3174" i="9"/>
  <c r="K3174" i="9"/>
  <c r="N3174" i="9"/>
  <c r="O3174" i="9"/>
  <c r="J3175" i="9"/>
  <c r="K3175" i="9"/>
  <c r="N3175" i="9"/>
  <c r="O3175" i="9"/>
  <c r="J3176" i="9"/>
  <c r="K3176" i="9"/>
  <c r="N3176" i="9"/>
  <c r="O3176" i="9"/>
  <c r="I3177" i="9"/>
  <c r="J3177" i="9"/>
  <c r="K3177" i="9"/>
  <c r="N3177" i="9"/>
  <c r="O3177" i="9"/>
  <c r="I3178" i="9"/>
  <c r="J3178" i="9"/>
  <c r="K3178" i="9"/>
  <c r="N3178" i="9"/>
  <c r="O3178" i="9"/>
  <c r="I3179" i="9"/>
  <c r="J3179" i="9"/>
  <c r="K3179" i="9"/>
  <c r="N3179" i="9"/>
  <c r="O3179" i="9"/>
  <c r="I3180" i="9"/>
  <c r="J3180" i="9"/>
  <c r="K3180" i="9"/>
  <c r="N3180" i="9"/>
  <c r="O3180" i="9"/>
  <c r="I3181" i="9"/>
  <c r="J3181" i="9"/>
  <c r="K3181" i="9"/>
  <c r="N3181" i="9"/>
  <c r="O3181" i="9"/>
  <c r="I3182" i="9"/>
  <c r="J3182" i="9"/>
  <c r="K3182" i="9"/>
  <c r="N3182" i="9"/>
  <c r="O3182" i="9"/>
  <c r="I3183" i="9"/>
  <c r="J3183" i="9"/>
  <c r="K3183" i="9"/>
  <c r="N3183" i="9"/>
  <c r="O3183" i="9"/>
  <c r="I3184" i="9"/>
  <c r="K3184" i="9"/>
  <c r="N3184" i="9"/>
  <c r="O3184" i="9"/>
  <c r="I3185" i="9"/>
  <c r="K3185" i="9"/>
  <c r="N3185" i="9"/>
  <c r="O3185" i="9"/>
  <c r="I3186" i="9"/>
  <c r="K3186" i="9"/>
  <c r="N3186" i="9"/>
  <c r="O3186" i="9"/>
  <c r="I3187" i="9"/>
  <c r="K3187" i="9"/>
  <c r="N3187" i="9"/>
  <c r="O3187" i="9"/>
  <c r="I3188" i="9"/>
  <c r="J3188" i="9"/>
  <c r="K3188" i="9"/>
  <c r="N3188" i="9"/>
  <c r="O3188" i="9"/>
  <c r="J3189" i="9"/>
  <c r="K3189" i="9"/>
  <c r="N3189" i="9"/>
  <c r="O3189" i="9"/>
  <c r="J3190" i="9"/>
  <c r="K3190" i="9"/>
  <c r="N3190" i="9"/>
  <c r="O3190" i="9"/>
  <c r="I3191" i="9"/>
  <c r="J3191" i="9"/>
  <c r="K3191" i="9"/>
  <c r="N3191" i="9"/>
  <c r="O3191" i="9"/>
  <c r="J3192" i="9"/>
  <c r="K3192" i="9"/>
  <c r="N3192" i="9"/>
  <c r="O3192" i="9"/>
  <c r="N3193" i="9"/>
  <c r="O3193" i="9"/>
  <c r="J3194" i="9"/>
  <c r="K3194" i="9"/>
  <c r="N3194" i="9"/>
  <c r="O3194" i="9"/>
  <c r="I3195" i="9"/>
  <c r="J3195" i="9"/>
  <c r="K3195" i="9"/>
  <c r="N3195" i="9"/>
  <c r="O3195" i="9"/>
  <c r="I3196" i="9"/>
  <c r="J3196" i="9"/>
  <c r="K3196" i="9"/>
  <c r="N3196" i="9"/>
  <c r="O3196" i="9"/>
  <c r="I3197" i="9"/>
  <c r="J3197" i="9"/>
  <c r="K3197" i="9"/>
  <c r="N3197" i="9"/>
  <c r="O3197" i="9"/>
  <c r="I3198" i="9"/>
  <c r="J3198" i="9"/>
  <c r="K3198" i="9"/>
  <c r="N3198" i="9"/>
  <c r="O3198" i="9"/>
  <c r="I3199" i="9"/>
  <c r="J3199" i="9"/>
  <c r="K3199" i="9"/>
  <c r="N3199" i="9"/>
  <c r="O3199" i="9"/>
  <c r="I3200" i="9"/>
  <c r="J3200" i="9"/>
  <c r="K3200" i="9"/>
  <c r="N3200" i="9"/>
  <c r="O3200" i="9"/>
  <c r="I3201" i="9"/>
  <c r="J3201" i="9"/>
  <c r="K3201" i="9"/>
  <c r="N3201" i="9"/>
  <c r="O3201" i="9"/>
  <c r="I3202" i="9"/>
  <c r="J3202" i="9"/>
  <c r="K3202" i="9"/>
  <c r="N3202" i="9"/>
  <c r="O3202" i="9"/>
  <c r="I3203" i="9"/>
  <c r="J3203" i="9"/>
  <c r="K3203" i="9"/>
  <c r="N3203" i="9"/>
  <c r="O3203" i="9"/>
  <c r="I3204" i="9"/>
  <c r="J3204" i="9"/>
  <c r="K3204" i="9"/>
  <c r="N3204" i="9"/>
  <c r="O3204" i="9"/>
  <c r="I3205" i="9"/>
  <c r="J3205" i="9"/>
  <c r="K3205" i="9"/>
  <c r="N3205" i="9"/>
  <c r="O3205" i="9"/>
  <c r="K3206" i="9"/>
  <c r="N3206" i="9"/>
  <c r="O3206" i="9"/>
  <c r="N3207" i="9"/>
  <c r="O3207" i="9"/>
  <c r="J3208" i="9"/>
  <c r="K3208" i="9"/>
  <c r="N3208" i="9"/>
  <c r="O3208" i="9"/>
  <c r="N3209" i="9"/>
  <c r="O3209" i="9"/>
  <c r="J3210" i="9"/>
  <c r="K3210" i="9"/>
  <c r="N3210" i="9"/>
  <c r="O3210" i="9"/>
  <c r="N3211" i="9"/>
  <c r="O3211" i="9"/>
  <c r="J3212" i="9"/>
  <c r="K3212" i="9"/>
  <c r="N3212" i="9"/>
  <c r="O3212" i="9"/>
  <c r="K3213" i="9"/>
  <c r="N3213" i="9"/>
  <c r="O3213" i="9"/>
  <c r="J3214" i="9"/>
  <c r="K3214" i="9"/>
  <c r="N3214" i="9"/>
  <c r="O3214" i="9"/>
  <c r="J3215" i="9"/>
  <c r="K3215" i="9"/>
  <c r="N3215" i="9"/>
  <c r="O3215" i="9"/>
  <c r="K3216" i="9"/>
  <c r="N3216" i="9"/>
  <c r="O3216" i="9"/>
  <c r="K3217" i="9"/>
  <c r="N3217" i="9"/>
  <c r="O3217" i="9"/>
  <c r="N3218" i="9"/>
  <c r="O3218" i="9"/>
  <c r="J3219" i="9"/>
  <c r="K3219" i="9"/>
  <c r="N3219" i="9"/>
  <c r="O3219" i="9"/>
  <c r="K3220" i="9"/>
  <c r="N3220" i="9"/>
  <c r="O3220" i="9"/>
  <c r="J3221" i="9"/>
  <c r="K3221" i="9"/>
  <c r="N3221" i="9"/>
  <c r="O3221" i="9"/>
  <c r="J3222" i="9"/>
  <c r="K3222" i="9"/>
  <c r="N3222" i="9"/>
  <c r="O3222" i="9"/>
  <c r="I3223" i="9"/>
  <c r="J3223" i="9"/>
  <c r="K3223" i="9"/>
  <c r="N3223" i="9"/>
  <c r="O3223" i="9"/>
  <c r="I3224" i="9"/>
  <c r="J3224" i="9"/>
  <c r="K3224" i="9"/>
  <c r="N3224" i="9"/>
  <c r="O3224" i="9"/>
  <c r="I3225" i="9"/>
  <c r="J3225" i="9"/>
  <c r="K3225" i="9"/>
  <c r="N3225" i="9"/>
  <c r="O3225" i="9"/>
  <c r="I3226" i="9"/>
  <c r="J3226" i="9"/>
  <c r="K3226" i="9"/>
  <c r="N3226" i="9"/>
  <c r="O3226" i="9"/>
  <c r="I3227" i="9"/>
  <c r="J3227" i="9"/>
  <c r="K3227" i="9"/>
  <c r="N3227" i="9"/>
  <c r="O3227" i="9"/>
  <c r="I3228" i="9"/>
  <c r="J3228" i="9"/>
  <c r="K3228" i="9"/>
  <c r="N3228" i="9"/>
  <c r="O3228" i="9"/>
  <c r="I3229" i="9"/>
  <c r="J3229" i="9"/>
  <c r="K3229" i="9"/>
  <c r="N3229" i="9"/>
  <c r="O3229" i="9"/>
  <c r="I3230" i="9"/>
  <c r="J3230" i="9"/>
  <c r="K3230" i="9"/>
  <c r="N3230" i="9"/>
  <c r="O3230" i="9"/>
  <c r="I3231" i="9"/>
  <c r="J3231" i="9"/>
  <c r="K3231" i="9"/>
  <c r="N3231" i="9"/>
  <c r="O3231" i="9"/>
  <c r="I3232" i="9"/>
  <c r="J3232" i="9"/>
  <c r="K3232" i="9"/>
  <c r="N3232" i="9"/>
  <c r="O3232" i="9"/>
  <c r="I3233" i="9"/>
  <c r="J3233" i="9"/>
  <c r="K3233" i="9"/>
  <c r="N3233" i="9"/>
  <c r="O3233" i="9"/>
  <c r="I3234" i="9"/>
  <c r="J3234" i="9"/>
  <c r="K3234" i="9"/>
  <c r="N3234" i="9"/>
  <c r="O3234" i="9"/>
  <c r="I3235" i="9"/>
  <c r="J3235" i="9"/>
  <c r="K3235" i="9"/>
  <c r="N3235" i="9"/>
  <c r="O3235" i="9"/>
  <c r="J3236" i="9"/>
  <c r="K3236" i="9"/>
  <c r="N3236" i="9"/>
  <c r="O3236" i="9"/>
  <c r="J3237" i="9"/>
  <c r="K3237" i="9"/>
  <c r="N3237" i="9"/>
  <c r="O3237" i="9"/>
  <c r="J3238" i="9"/>
  <c r="K3238" i="9"/>
  <c r="N3238" i="9"/>
  <c r="O3238" i="9"/>
  <c r="N3239" i="9"/>
  <c r="O3239" i="9"/>
  <c r="J3240" i="9"/>
  <c r="K3240" i="9"/>
  <c r="N3240" i="9"/>
  <c r="O3240" i="9"/>
  <c r="I3241" i="9"/>
  <c r="J3241" i="9"/>
  <c r="K3241" i="9"/>
  <c r="N3241" i="9"/>
  <c r="O3241" i="9"/>
  <c r="I3242" i="9"/>
  <c r="J3242" i="9"/>
  <c r="K3242" i="9"/>
  <c r="N3242" i="9"/>
  <c r="O3242" i="9"/>
  <c r="I3243" i="9"/>
  <c r="J3243" i="9"/>
  <c r="K3243" i="9"/>
  <c r="N3243" i="9"/>
  <c r="O3243" i="9"/>
  <c r="I3244" i="9"/>
  <c r="J3244" i="9"/>
  <c r="K3244" i="9"/>
  <c r="N3244" i="9"/>
  <c r="O3244" i="9"/>
  <c r="I3245" i="9"/>
  <c r="J3245" i="9"/>
  <c r="K3245" i="9"/>
  <c r="N3245" i="9"/>
  <c r="O3245" i="9"/>
  <c r="I3246" i="9"/>
  <c r="J3246" i="9"/>
  <c r="K3246" i="9"/>
  <c r="N3246" i="9"/>
  <c r="O3246" i="9"/>
  <c r="I3247" i="9"/>
  <c r="J3247" i="9"/>
  <c r="K3247" i="9"/>
  <c r="N3247" i="9"/>
  <c r="O3247" i="9"/>
  <c r="I3248" i="9"/>
  <c r="J3248" i="9"/>
  <c r="K3248" i="9"/>
  <c r="N3248" i="9"/>
  <c r="O3248" i="9"/>
  <c r="I3249" i="9"/>
  <c r="J3249" i="9"/>
  <c r="K3249" i="9"/>
  <c r="N3249" i="9"/>
  <c r="O3249" i="9"/>
  <c r="I3250" i="9"/>
  <c r="J3250" i="9"/>
  <c r="K3250" i="9"/>
  <c r="N3250" i="9"/>
  <c r="O3250" i="9"/>
  <c r="I3251" i="9"/>
  <c r="J3251" i="9"/>
  <c r="K3251" i="9"/>
  <c r="N3251" i="9"/>
  <c r="O3251" i="9"/>
  <c r="I3252" i="9"/>
  <c r="J3252" i="9"/>
  <c r="K3252" i="9"/>
  <c r="N3252" i="9"/>
  <c r="O3252" i="9"/>
  <c r="I3253" i="9"/>
  <c r="J3253" i="9"/>
  <c r="K3253" i="9"/>
  <c r="N3253" i="9"/>
  <c r="O3253" i="9"/>
  <c r="I3254" i="9"/>
  <c r="J3254" i="9"/>
  <c r="K3254" i="9"/>
  <c r="N3254" i="9"/>
  <c r="O3254" i="9"/>
  <c r="J3255" i="9"/>
  <c r="K3255" i="9"/>
  <c r="N3255" i="9"/>
  <c r="O3255" i="9"/>
  <c r="I3256" i="9"/>
  <c r="J3256" i="9"/>
  <c r="K3256" i="9"/>
  <c r="N3256" i="9"/>
  <c r="O3256" i="9"/>
  <c r="I3257" i="9"/>
  <c r="J3257" i="9"/>
  <c r="K3257" i="9"/>
  <c r="N3257" i="9"/>
  <c r="O3257" i="9"/>
  <c r="I3258" i="9"/>
  <c r="J3258" i="9"/>
  <c r="K3258" i="9"/>
  <c r="N3258" i="9"/>
  <c r="O3258" i="9"/>
  <c r="I3259" i="9"/>
  <c r="J3259" i="9"/>
  <c r="K3259" i="9"/>
  <c r="N3259" i="9"/>
  <c r="O3259" i="9"/>
  <c r="I3260" i="9"/>
  <c r="J3260" i="9"/>
  <c r="K3260" i="9"/>
  <c r="N3260" i="9"/>
  <c r="O3260" i="9"/>
  <c r="N3261" i="9"/>
  <c r="O3261" i="9"/>
  <c r="I3262" i="9"/>
  <c r="J3262" i="9"/>
  <c r="K3262" i="9"/>
  <c r="N3262" i="9"/>
  <c r="O3262" i="9"/>
  <c r="I3263" i="9"/>
  <c r="J3263" i="9"/>
  <c r="K3263" i="9"/>
  <c r="N3263" i="9"/>
  <c r="O3263" i="9"/>
  <c r="I3264" i="9"/>
  <c r="J3264" i="9"/>
  <c r="K3264" i="9"/>
  <c r="N3264" i="9"/>
  <c r="O3264" i="9"/>
  <c r="I3265" i="9"/>
  <c r="J3265" i="9"/>
  <c r="K3265" i="9"/>
  <c r="N3265" i="9"/>
  <c r="O3265" i="9"/>
  <c r="I3266" i="9"/>
  <c r="J3266" i="9"/>
  <c r="K3266" i="9"/>
  <c r="N3266" i="9"/>
  <c r="O3266" i="9"/>
  <c r="I3267" i="9"/>
  <c r="J3267" i="9"/>
  <c r="K3267" i="9"/>
  <c r="N3267" i="9"/>
  <c r="O3267" i="9"/>
  <c r="I3268" i="9"/>
  <c r="J3268" i="9"/>
  <c r="K3268" i="9"/>
  <c r="N3268" i="9"/>
  <c r="O3268" i="9"/>
  <c r="I3269" i="9"/>
  <c r="K3269" i="9"/>
  <c r="N3269" i="9"/>
  <c r="O3269" i="9"/>
  <c r="I3270" i="9"/>
  <c r="K3270" i="9"/>
  <c r="N3270" i="9"/>
  <c r="O3270" i="9"/>
  <c r="I3271" i="9"/>
  <c r="K3271" i="9"/>
  <c r="N3271" i="9"/>
  <c r="O3271" i="9"/>
  <c r="I3272" i="9"/>
  <c r="K3272" i="9"/>
  <c r="N3272" i="9"/>
  <c r="O3272" i="9"/>
  <c r="I3273" i="9"/>
  <c r="K3273" i="9"/>
  <c r="N3273" i="9"/>
  <c r="O3273" i="9"/>
  <c r="N3274" i="9"/>
  <c r="K3274" i="9"/>
  <c r="O3274" i="9"/>
  <c r="N3275" i="9"/>
  <c r="O3275" i="9"/>
  <c r="K3276" i="9"/>
  <c r="N3276" i="9"/>
  <c r="O3276" i="9"/>
  <c r="K3277" i="9"/>
  <c r="N3277" i="9"/>
  <c r="O3277" i="9"/>
  <c r="K3278" i="9"/>
  <c r="N3278" i="9"/>
  <c r="O3278" i="9"/>
  <c r="J3279" i="9"/>
  <c r="K3279" i="9"/>
  <c r="N3279" i="9"/>
  <c r="O3279" i="9"/>
  <c r="J3280" i="9"/>
  <c r="K3280" i="9"/>
  <c r="N3280" i="9"/>
  <c r="O3280" i="9"/>
  <c r="I3281" i="9"/>
  <c r="J3281" i="9"/>
  <c r="K3281" i="9"/>
  <c r="N3281" i="9"/>
  <c r="O3281" i="9"/>
  <c r="I3282" i="9"/>
  <c r="J3282" i="9"/>
  <c r="K3282" i="9"/>
  <c r="N3282" i="9"/>
  <c r="O3282" i="9"/>
  <c r="I3283" i="9"/>
  <c r="J3283" i="9"/>
  <c r="K3283" i="9"/>
  <c r="N3283" i="9"/>
  <c r="O3283" i="9"/>
  <c r="I3284" i="9"/>
  <c r="J3284" i="9"/>
  <c r="K3284" i="9"/>
  <c r="N3284" i="9"/>
  <c r="O3284" i="9"/>
  <c r="I3285" i="9"/>
  <c r="J3285" i="9"/>
  <c r="K3285" i="9"/>
  <c r="N3285" i="9"/>
  <c r="O3285" i="9"/>
  <c r="I3286" i="9"/>
  <c r="K3286" i="9"/>
  <c r="N3286" i="9"/>
  <c r="O3286" i="9"/>
  <c r="I3287" i="9"/>
  <c r="K3287" i="9"/>
  <c r="N3287" i="9"/>
  <c r="O3287" i="9"/>
  <c r="I3288" i="9"/>
  <c r="K3288" i="9"/>
  <c r="N3288" i="9"/>
  <c r="O3288" i="9"/>
  <c r="I3289" i="9"/>
  <c r="K3289" i="9"/>
  <c r="N3289" i="9"/>
  <c r="O3289" i="9"/>
  <c r="N1296" i="9"/>
  <c r="O1296" i="9"/>
  <c r="I2523" i="9"/>
  <c r="J2523" i="9"/>
  <c r="I2232" i="9"/>
  <c r="J2232" i="9"/>
  <c r="K2232" i="9"/>
  <c r="N2232" i="9"/>
  <c r="O2232" i="9"/>
  <c r="I2157" i="9"/>
  <c r="J2157" i="9"/>
  <c r="K2157" i="9"/>
  <c r="N2157" i="9"/>
  <c r="O2157" i="9"/>
  <c r="I2158" i="9"/>
  <c r="J2158" i="9"/>
  <c r="K2158" i="9"/>
  <c r="N2158" i="9"/>
  <c r="O2158" i="9"/>
  <c r="I2159" i="9"/>
  <c r="J2159" i="9"/>
  <c r="K2159" i="9"/>
  <c r="N2159" i="9"/>
  <c r="O2159" i="9"/>
  <c r="I2160" i="9"/>
  <c r="J2160" i="9"/>
  <c r="K2160" i="9"/>
  <c r="N2160" i="9"/>
  <c r="O2160" i="9"/>
  <c r="I2161" i="9"/>
  <c r="J2161" i="9"/>
  <c r="K2161" i="9"/>
  <c r="N2161" i="9"/>
  <c r="O2161" i="9"/>
  <c r="I2162" i="9"/>
  <c r="J2162" i="9"/>
  <c r="K2162" i="9"/>
  <c r="N2162" i="9"/>
  <c r="O2162" i="9"/>
  <c r="I2163" i="9"/>
  <c r="J2163" i="9"/>
  <c r="K2163" i="9"/>
  <c r="N2163" i="9"/>
  <c r="O2163" i="9"/>
  <c r="I2164" i="9"/>
  <c r="J2164" i="9"/>
  <c r="K2164" i="9"/>
  <c r="N2164" i="9"/>
  <c r="O2164" i="9"/>
  <c r="I2165" i="9"/>
  <c r="J2165" i="9"/>
  <c r="K2165" i="9"/>
  <c r="N2165" i="9"/>
  <c r="O2165" i="9"/>
  <c r="I2166" i="9"/>
  <c r="K2166" i="9"/>
  <c r="N2166" i="9"/>
  <c r="O2166" i="9"/>
  <c r="N2167" i="9"/>
  <c r="O2167" i="9"/>
  <c r="I2168" i="9"/>
  <c r="K2168" i="9"/>
  <c r="N2168" i="9"/>
  <c r="O2168" i="9"/>
  <c r="I2169" i="9"/>
  <c r="K2169" i="9"/>
  <c r="N2169" i="9"/>
  <c r="O2169" i="9"/>
  <c r="I2170" i="9"/>
  <c r="K2170" i="9"/>
  <c r="N2170" i="9"/>
  <c r="O2170" i="9"/>
  <c r="N2171" i="9"/>
  <c r="O2171" i="9"/>
  <c r="J2172" i="9"/>
  <c r="K2172" i="9"/>
  <c r="N2172" i="9"/>
  <c r="O2172" i="9"/>
  <c r="J2173" i="9"/>
  <c r="K2173" i="9"/>
  <c r="N2173" i="9"/>
  <c r="O2173" i="9"/>
  <c r="J2174" i="9"/>
  <c r="K2174" i="9"/>
  <c r="N2174" i="9"/>
  <c r="O2174" i="9"/>
  <c r="J2175" i="9"/>
  <c r="K2175" i="9"/>
  <c r="N2175" i="9"/>
  <c r="O2175" i="9"/>
  <c r="J2176" i="9"/>
  <c r="K2176" i="9"/>
  <c r="N2176" i="9"/>
  <c r="O2176" i="9"/>
  <c r="N2177" i="9"/>
  <c r="O2177" i="9"/>
  <c r="J2178" i="9"/>
  <c r="K2178" i="9"/>
  <c r="N2178" i="9"/>
  <c r="O2178" i="9"/>
  <c r="J2179" i="9"/>
  <c r="K2179" i="9"/>
  <c r="N2179" i="9"/>
  <c r="O2179" i="9"/>
  <c r="J2180" i="9"/>
  <c r="K2180" i="9"/>
  <c r="N2180" i="9"/>
  <c r="O2180" i="9"/>
  <c r="I2181" i="9"/>
  <c r="J2181" i="9"/>
  <c r="K2181" i="9"/>
  <c r="N2181" i="9"/>
  <c r="O2181" i="9"/>
  <c r="I2182" i="9"/>
  <c r="J2182" i="9"/>
  <c r="K2182" i="9"/>
  <c r="N2182" i="9"/>
  <c r="O2182" i="9"/>
  <c r="I2183" i="9"/>
  <c r="J2183" i="9"/>
  <c r="K2183" i="9"/>
  <c r="N2183" i="9"/>
  <c r="O2183" i="9"/>
  <c r="I2184" i="9"/>
  <c r="J2184" i="9"/>
  <c r="K2184" i="9"/>
  <c r="N2184" i="9"/>
  <c r="O2184" i="9"/>
  <c r="I2185" i="9"/>
  <c r="J2185" i="9"/>
  <c r="K2185" i="9"/>
  <c r="N2185" i="9"/>
  <c r="O2185" i="9"/>
  <c r="I2186" i="9"/>
  <c r="J2186" i="9"/>
  <c r="K2186" i="9"/>
  <c r="N2186" i="9"/>
  <c r="O2186" i="9"/>
  <c r="I2187" i="9"/>
  <c r="J2187" i="9"/>
  <c r="K2187" i="9"/>
  <c r="N2187" i="9"/>
  <c r="O2187" i="9"/>
  <c r="I2188" i="9"/>
  <c r="J2188" i="9"/>
  <c r="K2188" i="9"/>
  <c r="N2188" i="9"/>
  <c r="O2188" i="9"/>
  <c r="I2189" i="9"/>
  <c r="J2189" i="9"/>
  <c r="K2189" i="9"/>
  <c r="N2189" i="9"/>
  <c r="O2189" i="9"/>
  <c r="I2190" i="9"/>
  <c r="J2190" i="9"/>
  <c r="K2190" i="9"/>
  <c r="N2190" i="9"/>
  <c r="O2190" i="9"/>
  <c r="I2191" i="9"/>
  <c r="J2191" i="9"/>
  <c r="K2191" i="9"/>
  <c r="N2191" i="9"/>
  <c r="O2191" i="9"/>
  <c r="I2192" i="9"/>
  <c r="J2192" i="9"/>
  <c r="K2192" i="9"/>
  <c r="N2192" i="9"/>
  <c r="O2192" i="9"/>
  <c r="I2193" i="9"/>
  <c r="J2193" i="9"/>
  <c r="K2193" i="9"/>
  <c r="N2193" i="9"/>
  <c r="O2193" i="9"/>
  <c r="I2194" i="9"/>
  <c r="J2194" i="9"/>
  <c r="K2194" i="9"/>
  <c r="N2194" i="9"/>
  <c r="O2194" i="9"/>
  <c r="I2195" i="9"/>
  <c r="J2195" i="9"/>
  <c r="K2195" i="9"/>
  <c r="N2195" i="9"/>
  <c r="O2195" i="9"/>
  <c r="I2196" i="9"/>
  <c r="J2196" i="9"/>
  <c r="K2196" i="9"/>
  <c r="N2196" i="9"/>
  <c r="O2196" i="9"/>
  <c r="I2197" i="9"/>
  <c r="J2197" i="9"/>
  <c r="K2197" i="9"/>
  <c r="N2197" i="9"/>
  <c r="O2197" i="9"/>
  <c r="I2198" i="9"/>
  <c r="J2198" i="9"/>
  <c r="K2198" i="9"/>
  <c r="N2198" i="9"/>
  <c r="O2198" i="9"/>
  <c r="I2199" i="9"/>
  <c r="J2199" i="9"/>
  <c r="K2199" i="9"/>
  <c r="N2199" i="9"/>
  <c r="O2199" i="9"/>
  <c r="I2200" i="9"/>
  <c r="J2200" i="9"/>
  <c r="K2200" i="9"/>
  <c r="N2200" i="9"/>
  <c r="O2200" i="9"/>
  <c r="I2201" i="9"/>
  <c r="J2201" i="9"/>
  <c r="K2201" i="9"/>
  <c r="N2201" i="9"/>
  <c r="O2201" i="9"/>
  <c r="I2202" i="9"/>
  <c r="J2202" i="9"/>
  <c r="K2202" i="9"/>
  <c r="N2202" i="9"/>
  <c r="O2202" i="9"/>
  <c r="I2203" i="9"/>
  <c r="K2203" i="9"/>
  <c r="N2203" i="9"/>
  <c r="O2203" i="9"/>
  <c r="I2204" i="9"/>
  <c r="K2204" i="9"/>
  <c r="N2204" i="9"/>
  <c r="O2204" i="9"/>
  <c r="N2205" i="9"/>
  <c r="O2205" i="9"/>
  <c r="I2206" i="9"/>
  <c r="K2206" i="9"/>
  <c r="N2206" i="9"/>
  <c r="O2206" i="9"/>
  <c r="N2207" i="9"/>
  <c r="J2207" i="9"/>
  <c r="K2207" i="9"/>
  <c r="O2207" i="9"/>
  <c r="N2208" i="9"/>
  <c r="I2208" i="9"/>
  <c r="K2208" i="9"/>
  <c r="O2208" i="9"/>
  <c r="J2209" i="9"/>
  <c r="K2209" i="9"/>
  <c r="N2209" i="9"/>
  <c r="O2209" i="9"/>
  <c r="J2210" i="9"/>
  <c r="K2210" i="9"/>
  <c r="N2210" i="9"/>
  <c r="O2210" i="9"/>
  <c r="N2211" i="9"/>
  <c r="O2211" i="9"/>
  <c r="J2212" i="9"/>
  <c r="K2212" i="9"/>
  <c r="N2212" i="9"/>
  <c r="O2212" i="9"/>
  <c r="J2213" i="9"/>
  <c r="K2213" i="9"/>
  <c r="N2213" i="9"/>
  <c r="O2213" i="9"/>
  <c r="J2214" i="9"/>
  <c r="K2214" i="9"/>
  <c r="N2214" i="9"/>
  <c r="O2214" i="9"/>
  <c r="J2215" i="9"/>
  <c r="K2215" i="9"/>
  <c r="N2215" i="9"/>
  <c r="O2215" i="9"/>
  <c r="N2216" i="9"/>
  <c r="K2216" i="9"/>
  <c r="O2216" i="9"/>
  <c r="N2217" i="9"/>
  <c r="O2217" i="9"/>
  <c r="N2218" i="9"/>
  <c r="O2218" i="9"/>
  <c r="N2219" i="9"/>
  <c r="O2219" i="9"/>
  <c r="N2220" i="9"/>
  <c r="O2220" i="9"/>
  <c r="J2221" i="9"/>
  <c r="K2221" i="9"/>
  <c r="N2221" i="9"/>
  <c r="O2221" i="9"/>
  <c r="N2222" i="9"/>
  <c r="O2222" i="9"/>
  <c r="J2223" i="9"/>
  <c r="K2223" i="9"/>
  <c r="N2223" i="9"/>
  <c r="O2223" i="9"/>
  <c r="J2224" i="9"/>
  <c r="K2224" i="9"/>
  <c r="N2224" i="9"/>
  <c r="O2224" i="9"/>
  <c r="N2225" i="9"/>
  <c r="O2225" i="9"/>
  <c r="N2226" i="9"/>
  <c r="O2226" i="9"/>
  <c r="J2227" i="9"/>
  <c r="K2227" i="9"/>
  <c r="N2227" i="9"/>
  <c r="O2227" i="9"/>
  <c r="J2228" i="9"/>
  <c r="K2228" i="9"/>
  <c r="N2228" i="9"/>
  <c r="O2228" i="9"/>
  <c r="I2229" i="9"/>
  <c r="J2229" i="9"/>
  <c r="K2229" i="9"/>
  <c r="N2229" i="9"/>
  <c r="O2229" i="9"/>
  <c r="I2230" i="9"/>
  <c r="J2230" i="9"/>
  <c r="K2230" i="9"/>
  <c r="N2230" i="9"/>
  <c r="O2230" i="9"/>
  <c r="I2231" i="9"/>
  <c r="J2231" i="9"/>
  <c r="K2231" i="9"/>
  <c r="N2231" i="9"/>
  <c r="O2231" i="9"/>
  <c r="N31" i="2"/>
  <c r="J2088" i="9"/>
  <c r="K2088" i="9"/>
  <c r="N2088" i="9"/>
  <c r="O2088" i="9"/>
  <c r="J2089" i="9"/>
  <c r="K2089" i="9"/>
  <c r="N2089" i="9"/>
  <c r="O2089" i="9"/>
  <c r="J2090" i="9"/>
  <c r="K2090" i="9"/>
  <c r="N2090" i="9"/>
  <c r="O2090" i="9"/>
  <c r="N2091" i="9"/>
  <c r="O2091" i="9"/>
  <c r="N2092" i="9"/>
  <c r="O2092" i="9"/>
  <c r="J2093" i="9"/>
  <c r="K2093" i="9"/>
  <c r="N2093" i="9"/>
  <c r="O2093" i="9"/>
  <c r="J2094" i="9"/>
  <c r="K2094" i="9"/>
  <c r="N2094" i="9"/>
  <c r="O2094" i="9"/>
  <c r="K2095" i="9"/>
  <c r="N2095" i="9"/>
  <c r="O2095" i="9"/>
  <c r="J2096" i="9"/>
  <c r="K2096" i="9"/>
  <c r="N2096" i="9"/>
  <c r="O2096" i="9"/>
  <c r="J2097" i="9"/>
  <c r="K2097" i="9"/>
  <c r="N2097" i="9"/>
  <c r="O2097" i="9"/>
  <c r="J2098" i="9"/>
  <c r="K2098" i="9"/>
  <c r="N2098" i="9"/>
  <c r="O2098" i="9"/>
  <c r="I2099" i="9"/>
  <c r="J2099" i="9"/>
  <c r="K2099" i="9"/>
  <c r="N2099" i="9"/>
  <c r="O2099" i="9"/>
  <c r="I2100" i="9"/>
  <c r="J2100" i="9"/>
  <c r="K2100" i="9"/>
  <c r="N2100" i="9"/>
  <c r="O2100" i="9"/>
  <c r="N2101" i="9"/>
  <c r="O2101" i="9"/>
  <c r="I2102" i="9"/>
  <c r="J2102" i="9"/>
  <c r="K2102" i="9"/>
  <c r="N2102" i="9"/>
  <c r="O2102" i="9"/>
  <c r="J2103" i="9"/>
  <c r="K2103" i="9"/>
  <c r="N2103" i="9"/>
  <c r="O2103" i="9"/>
  <c r="I2104" i="9"/>
  <c r="J2104" i="9"/>
  <c r="K2104" i="9"/>
  <c r="N2104" i="9"/>
  <c r="O2104" i="9"/>
  <c r="I2105" i="9"/>
  <c r="J2105" i="9"/>
  <c r="K2105" i="9"/>
  <c r="N2105" i="9"/>
  <c r="O2105" i="9"/>
  <c r="I2106" i="9"/>
  <c r="J2106" i="9"/>
  <c r="K2106" i="9"/>
  <c r="N2106" i="9"/>
  <c r="O2106" i="9"/>
  <c r="I2107" i="9"/>
  <c r="J2107" i="9"/>
  <c r="K2107" i="9"/>
  <c r="N2107" i="9"/>
  <c r="O2107" i="9"/>
  <c r="I2108" i="9"/>
  <c r="J2108" i="9"/>
  <c r="K2108" i="9"/>
  <c r="N2108" i="9"/>
  <c r="O2108" i="9"/>
  <c r="I2109" i="9"/>
  <c r="J2109" i="9"/>
  <c r="K2109" i="9"/>
  <c r="N2109" i="9"/>
  <c r="O2109" i="9"/>
  <c r="I2110" i="9"/>
  <c r="J2110" i="9"/>
  <c r="K2110" i="9"/>
  <c r="N2110" i="9"/>
  <c r="O2110" i="9"/>
  <c r="I2111" i="9"/>
  <c r="J2111" i="9"/>
  <c r="K2111" i="9"/>
  <c r="N2111" i="9"/>
  <c r="O2111" i="9"/>
  <c r="I2112" i="9"/>
  <c r="J2112" i="9"/>
  <c r="K2112" i="9"/>
  <c r="N2112" i="9"/>
  <c r="O2112" i="9"/>
  <c r="I2113" i="9"/>
  <c r="K2113" i="9"/>
  <c r="N2113" i="9"/>
  <c r="O2113" i="9"/>
  <c r="N2114" i="9"/>
  <c r="O2114" i="9"/>
  <c r="I2115" i="9"/>
  <c r="K2115" i="9"/>
  <c r="N2115" i="9"/>
  <c r="O2115" i="9"/>
  <c r="N2116" i="9"/>
  <c r="O2116" i="9"/>
  <c r="I2117" i="9"/>
  <c r="K2117" i="9"/>
  <c r="N2117" i="9"/>
  <c r="O2117" i="9"/>
  <c r="I2118" i="9"/>
  <c r="K2118" i="9"/>
  <c r="N2118" i="9"/>
  <c r="O2118" i="9"/>
  <c r="I2119" i="9"/>
  <c r="K2119" i="9"/>
  <c r="N2119" i="9"/>
  <c r="O2119" i="9"/>
  <c r="J2120" i="9"/>
  <c r="K2120" i="9"/>
  <c r="N2120" i="9"/>
  <c r="O2120" i="9"/>
  <c r="J2121" i="9"/>
  <c r="K2121" i="9"/>
  <c r="N2121" i="9"/>
  <c r="O2121" i="9"/>
  <c r="J2122" i="9"/>
  <c r="K2122" i="9"/>
  <c r="N2122" i="9"/>
  <c r="O2122" i="9"/>
  <c r="J2123" i="9"/>
  <c r="K2123" i="9"/>
  <c r="N2123" i="9"/>
  <c r="O2123" i="9"/>
  <c r="N2124" i="9"/>
  <c r="J2124" i="9"/>
  <c r="K2124" i="9"/>
  <c r="O2124" i="9"/>
  <c r="I2125" i="9"/>
  <c r="J2125" i="9"/>
  <c r="K2125" i="9"/>
  <c r="N2125" i="9"/>
  <c r="O2125" i="9"/>
  <c r="I2126" i="9"/>
  <c r="J2126" i="9"/>
  <c r="K2126" i="9"/>
  <c r="N2126" i="9"/>
  <c r="O2126" i="9"/>
  <c r="I2127" i="9"/>
  <c r="J2127" i="9"/>
  <c r="K2127" i="9"/>
  <c r="N2127" i="9"/>
  <c r="O2127" i="9"/>
  <c r="I2128" i="9"/>
  <c r="J2128" i="9"/>
  <c r="K2128" i="9"/>
  <c r="N2128" i="9"/>
  <c r="O2128" i="9"/>
  <c r="I2129" i="9"/>
  <c r="J2129" i="9"/>
  <c r="K2129" i="9"/>
  <c r="N2129" i="9"/>
  <c r="O2129" i="9"/>
  <c r="I2130" i="9"/>
  <c r="J2130" i="9"/>
  <c r="K2130" i="9"/>
  <c r="N2130" i="9"/>
  <c r="O2130" i="9"/>
  <c r="I2131" i="9"/>
  <c r="J2131" i="9"/>
  <c r="K2131" i="9"/>
  <c r="N2131" i="9"/>
  <c r="O2131" i="9"/>
  <c r="I2132" i="9"/>
  <c r="K2132" i="9"/>
  <c r="N2132" i="9"/>
  <c r="O2132" i="9"/>
  <c r="I2133" i="9"/>
  <c r="K2133" i="9"/>
  <c r="N2133" i="9"/>
  <c r="O2133" i="9"/>
  <c r="I2134" i="9"/>
  <c r="K2134" i="9"/>
  <c r="N2134" i="9"/>
  <c r="O2134" i="9"/>
  <c r="J2135" i="9"/>
  <c r="K2135" i="9"/>
  <c r="N2135" i="9"/>
  <c r="O2135" i="9"/>
  <c r="N2136" i="9"/>
  <c r="O2136" i="9"/>
  <c r="N2137" i="9"/>
  <c r="J2137" i="9"/>
  <c r="K2137" i="9"/>
  <c r="O2137" i="9"/>
  <c r="N2138" i="9"/>
  <c r="O2138" i="9"/>
  <c r="I2139" i="9"/>
  <c r="J2139" i="9"/>
  <c r="K2139" i="9"/>
  <c r="N2139" i="9"/>
  <c r="O2139" i="9"/>
  <c r="I2140" i="9"/>
  <c r="J2140" i="9"/>
  <c r="K2140" i="9"/>
  <c r="N2140" i="9"/>
  <c r="O2140" i="9"/>
  <c r="J2141" i="9"/>
  <c r="K2141" i="9"/>
  <c r="N2141" i="9"/>
  <c r="O2141" i="9"/>
  <c r="N2142" i="9"/>
  <c r="O2142" i="9"/>
  <c r="J2143" i="9"/>
  <c r="K2143" i="9"/>
  <c r="N2143" i="9"/>
  <c r="O2143" i="9"/>
  <c r="N2144" i="9"/>
  <c r="K2144" i="9"/>
  <c r="O2144" i="9"/>
  <c r="N2145" i="9"/>
  <c r="O2145" i="9"/>
  <c r="J2146" i="9"/>
  <c r="K2146" i="9"/>
  <c r="N2146" i="9"/>
  <c r="O2146" i="9"/>
  <c r="J2147" i="9"/>
  <c r="K2147" i="9"/>
  <c r="N2147" i="9"/>
  <c r="O2147" i="9"/>
  <c r="J2148" i="9"/>
  <c r="K2148" i="9"/>
  <c r="N2148" i="9"/>
  <c r="O2148" i="9"/>
  <c r="N2149" i="9"/>
  <c r="K2149" i="9"/>
  <c r="O2149" i="9"/>
  <c r="N2150" i="9"/>
  <c r="O2150" i="9"/>
  <c r="N2151" i="9"/>
  <c r="O2151" i="9"/>
  <c r="N2152" i="9"/>
  <c r="O2152" i="9"/>
  <c r="N2153" i="9"/>
  <c r="J2153" i="9"/>
  <c r="K2153" i="9"/>
  <c r="O2153" i="9"/>
  <c r="J2154" i="9"/>
  <c r="K2154" i="9"/>
  <c r="N2154" i="9"/>
  <c r="O2154" i="9"/>
  <c r="I2155" i="9"/>
  <c r="J2155" i="9"/>
  <c r="K2155" i="9"/>
  <c r="N2155" i="9"/>
  <c r="O2155" i="9"/>
  <c r="I2156" i="9"/>
  <c r="J2156" i="9"/>
  <c r="K2156" i="9"/>
  <c r="N2156" i="9"/>
  <c r="O2156" i="9"/>
  <c r="I2040" i="9"/>
  <c r="K2040" i="9"/>
  <c r="N2040" i="9"/>
  <c r="O2040" i="9"/>
  <c r="I2041" i="9"/>
  <c r="K2041" i="9"/>
  <c r="N2041" i="9"/>
  <c r="O2041" i="9"/>
  <c r="I2042" i="9"/>
  <c r="K2042" i="9"/>
  <c r="N2042" i="9"/>
  <c r="O2042" i="9"/>
  <c r="I2043" i="9"/>
  <c r="K2043" i="9"/>
  <c r="N2043" i="9"/>
  <c r="O2043" i="9"/>
  <c r="I2044" i="9"/>
  <c r="K2044" i="9"/>
  <c r="N2044" i="9"/>
  <c r="O2044" i="9"/>
  <c r="I2045" i="9"/>
  <c r="K2045" i="9"/>
  <c r="N2045" i="9"/>
  <c r="O2045" i="9"/>
  <c r="I2046" i="9"/>
  <c r="K2046" i="9"/>
  <c r="N2046" i="9"/>
  <c r="O2046" i="9"/>
  <c r="I2047" i="9"/>
  <c r="J2047" i="9"/>
  <c r="K2047" i="9"/>
  <c r="N2047" i="9"/>
  <c r="O2047" i="9"/>
  <c r="I2048" i="9"/>
  <c r="J2048" i="9"/>
  <c r="K2048" i="9"/>
  <c r="N2048" i="9"/>
  <c r="O2048" i="9"/>
  <c r="I2049" i="9"/>
  <c r="K2049" i="9"/>
  <c r="N2049" i="9"/>
  <c r="O2049" i="9"/>
  <c r="I2050" i="9"/>
  <c r="K2050" i="9"/>
  <c r="N2050" i="9"/>
  <c r="O2050" i="9"/>
  <c r="N2051" i="9"/>
  <c r="O2051" i="9"/>
  <c r="I2052" i="9"/>
  <c r="K2052" i="9"/>
  <c r="N2052" i="9"/>
  <c r="O2052" i="9"/>
  <c r="I2053" i="9"/>
  <c r="K2053" i="9"/>
  <c r="N2053" i="9"/>
  <c r="O2053" i="9"/>
  <c r="I2054" i="9"/>
  <c r="K2054" i="9"/>
  <c r="N2054" i="9"/>
  <c r="O2054" i="9"/>
  <c r="N2055" i="9"/>
  <c r="J2055" i="9"/>
  <c r="K2055" i="9"/>
  <c r="O2055" i="9"/>
  <c r="N2056" i="9"/>
  <c r="O2056" i="9"/>
  <c r="J2057" i="9"/>
  <c r="K2057" i="9"/>
  <c r="N2057" i="9"/>
  <c r="O2057" i="9"/>
  <c r="N2058" i="9"/>
  <c r="O2058" i="9"/>
  <c r="N2059" i="9"/>
  <c r="O2059" i="9"/>
  <c r="N2060" i="9"/>
  <c r="O2060" i="9"/>
  <c r="J2061" i="9"/>
  <c r="K2061" i="9"/>
  <c r="N2061" i="9"/>
  <c r="O2061" i="9"/>
  <c r="J2062" i="9"/>
  <c r="K2062" i="9"/>
  <c r="N2062" i="9"/>
  <c r="O2062" i="9"/>
  <c r="J2063" i="9"/>
  <c r="K2063" i="9"/>
  <c r="N2063" i="9"/>
  <c r="O2063" i="9"/>
  <c r="I2064" i="9"/>
  <c r="J2064" i="9"/>
  <c r="K2064" i="9"/>
  <c r="N2064" i="9"/>
  <c r="O2064" i="9"/>
  <c r="J2065" i="9"/>
  <c r="K2065" i="9"/>
  <c r="N2065" i="9"/>
  <c r="O2065" i="9"/>
  <c r="J2066" i="9"/>
  <c r="K2066" i="9"/>
  <c r="N2066" i="9"/>
  <c r="O2066" i="9"/>
  <c r="J2067" i="9"/>
  <c r="K2067" i="9"/>
  <c r="N2067" i="9"/>
  <c r="O2067" i="9"/>
  <c r="J2068" i="9"/>
  <c r="K2068" i="9"/>
  <c r="N2068" i="9"/>
  <c r="O2068" i="9"/>
  <c r="K2069" i="9"/>
  <c r="N2069" i="9"/>
  <c r="N2070" i="9"/>
  <c r="N2071" i="9"/>
  <c r="J2073" i="9"/>
  <c r="K2073" i="9"/>
  <c r="N2073" i="9"/>
  <c r="O2073" i="9"/>
  <c r="I2074" i="9"/>
  <c r="J2074" i="9"/>
  <c r="K2074" i="9"/>
  <c r="N2074" i="9"/>
  <c r="O2074" i="9"/>
  <c r="I2075" i="9"/>
  <c r="J2075" i="9"/>
  <c r="K2075" i="9"/>
  <c r="N2075" i="9"/>
  <c r="O2075" i="9"/>
  <c r="I2076" i="9"/>
  <c r="J2076" i="9"/>
  <c r="K2076" i="9"/>
  <c r="N2076" i="9"/>
  <c r="O2076" i="9"/>
  <c r="N2077" i="9"/>
  <c r="O2077" i="9"/>
  <c r="I2078" i="9"/>
  <c r="J2078" i="9"/>
  <c r="K2078" i="9"/>
  <c r="N2078" i="9"/>
  <c r="O2078" i="9"/>
  <c r="I2079" i="9"/>
  <c r="J2079" i="9"/>
  <c r="K2079" i="9"/>
  <c r="N2079" i="9"/>
  <c r="O2079" i="9"/>
  <c r="I2080" i="9"/>
  <c r="J2080" i="9"/>
  <c r="K2080" i="9"/>
  <c r="N2080" i="9"/>
  <c r="O2080" i="9"/>
  <c r="I2081" i="9"/>
  <c r="J2081" i="9"/>
  <c r="K2081" i="9"/>
  <c r="N2081" i="9"/>
  <c r="O2081" i="9"/>
  <c r="I2082" i="9"/>
  <c r="J2082" i="9"/>
  <c r="K2082" i="9"/>
  <c r="N2082" i="9"/>
  <c r="O2082" i="9"/>
  <c r="I2083" i="9"/>
  <c r="K2083" i="9"/>
  <c r="N2083" i="9"/>
  <c r="O2083" i="9"/>
  <c r="I2084" i="9"/>
  <c r="K2084" i="9"/>
  <c r="N2084" i="9"/>
  <c r="O2084" i="9"/>
  <c r="I2085" i="9"/>
  <c r="K2085" i="9"/>
  <c r="N2085" i="9"/>
  <c r="O2085" i="9"/>
  <c r="J2086" i="9"/>
  <c r="K2086" i="9"/>
  <c r="N2086" i="9"/>
  <c r="O2086" i="9"/>
  <c r="N2087" i="9"/>
  <c r="O2087" i="9"/>
  <c r="I2003" i="9"/>
  <c r="K2003" i="9"/>
  <c r="N2003" i="9"/>
  <c r="O2003" i="9"/>
  <c r="I2004" i="9"/>
  <c r="K2004" i="9"/>
  <c r="N2004" i="9"/>
  <c r="O2004" i="9"/>
  <c r="N2005" i="9"/>
  <c r="O2005" i="9"/>
  <c r="I2006" i="9"/>
  <c r="K2006" i="9"/>
  <c r="N2006" i="9"/>
  <c r="O2006" i="9"/>
  <c r="J2007" i="9"/>
  <c r="K2007" i="9"/>
  <c r="N2007" i="9"/>
  <c r="O2007" i="9"/>
  <c r="K2008" i="9"/>
  <c r="N2008" i="9"/>
  <c r="O2008" i="9"/>
  <c r="N2009" i="9"/>
  <c r="O2009" i="9"/>
  <c r="N2010" i="9"/>
  <c r="O2010" i="9"/>
  <c r="N2011" i="9"/>
  <c r="O2011" i="9"/>
  <c r="N2012" i="9"/>
  <c r="O2012" i="9"/>
  <c r="N2013" i="9"/>
  <c r="O2013" i="9"/>
  <c r="N2014" i="9"/>
  <c r="O2014" i="9"/>
  <c r="I2015" i="9"/>
  <c r="J2015" i="9"/>
  <c r="K2015" i="9"/>
  <c r="N2015" i="9"/>
  <c r="O2015" i="9"/>
  <c r="I2016" i="9"/>
  <c r="J2016" i="9"/>
  <c r="K2016" i="9"/>
  <c r="N2016" i="9"/>
  <c r="O2016" i="9"/>
  <c r="I2017" i="9"/>
  <c r="J2017" i="9"/>
  <c r="K2017" i="9"/>
  <c r="N2017" i="9"/>
  <c r="O2017" i="9"/>
  <c r="J2018" i="9"/>
  <c r="K2018" i="9"/>
  <c r="N2018" i="9"/>
  <c r="O2018" i="9"/>
  <c r="J2019" i="9"/>
  <c r="K2019" i="9"/>
  <c r="N2019" i="9"/>
  <c r="O2019" i="9"/>
  <c r="J2020" i="9"/>
  <c r="K2020" i="9"/>
  <c r="N2020" i="9"/>
  <c r="O2020" i="9"/>
  <c r="J2021" i="9"/>
  <c r="K2021" i="9"/>
  <c r="N2021" i="9"/>
  <c r="O2021" i="9"/>
  <c r="J2022" i="9"/>
  <c r="K2022" i="9"/>
  <c r="N2022" i="9"/>
  <c r="O2022" i="9"/>
  <c r="N2023" i="9"/>
  <c r="O2023" i="9"/>
  <c r="I2024" i="9"/>
  <c r="J2024" i="9"/>
  <c r="K2024" i="9"/>
  <c r="N2024" i="9"/>
  <c r="O2024" i="9"/>
  <c r="I2025" i="9"/>
  <c r="J2025" i="9"/>
  <c r="K2025" i="9"/>
  <c r="N2025" i="9"/>
  <c r="O2025" i="9"/>
  <c r="I2026" i="9"/>
  <c r="J2026" i="9"/>
  <c r="K2026" i="9"/>
  <c r="N2026" i="9"/>
  <c r="O2026" i="9"/>
  <c r="I2027" i="9"/>
  <c r="J2027" i="9"/>
  <c r="K2027" i="9"/>
  <c r="N2027" i="9"/>
  <c r="O2027" i="9"/>
  <c r="I2028" i="9"/>
  <c r="J2028" i="9"/>
  <c r="K2028" i="9"/>
  <c r="N2028" i="9"/>
  <c r="O2028" i="9"/>
  <c r="I2029" i="9"/>
  <c r="J2029" i="9"/>
  <c r="K2029" i="9"/>
  <c r="N2029" i="9"/>
  <c r="O2029" i="9"/>
  <c r="I2030" i="9"/>
  <c r="J2030" i="9"/>
  <c r="K2030" i="9"/>
  <c r="N2030" i="9"/>
  <c r="O2030" i="9"/>
  <c r="I2031" i="9"/>
  <c r="J2031" i="9"/>
  <c r="K2031" i="9"/>
  <c r="N2031" i="9"/>
  <c r="O2031" i="9"/>
  <c r="I2032" i="9"/>
  <c r="J2032" i="9"/>
  <c r="K2032" i="9"/>
  <c r="N2032" i="9"/>
  <c r="O2032" i="9"/>
  <c r="I2033" i="9"/>
  <c r="J2033" i="9"/>
  <c r="K2033" i="9"/>
  <c r="N2033" i="9"/>
  <c r="O2033" i="9"/>
  <c r="I2034" i="9"/>
  <c r="J2034" i="9"/>
  <c r="K2034" i="9"/>
  <c r="N2034" i="9"/>
  <c r="O2034" i="9"/>
  <c r="N2035" i="9"/>
  <c r="I2035" i="9"/>
  <c r="J2035" i="9"/>
  <c r="K2035" i="9"/>
  <c r="O2035" i="9"/>
  <c r="I2036" i="9"/>
  <c r="J2036" i="9"/>
  <c r="K2036" i="9"/>
  <c r="N2036" i="9"/>
  <c r="O2036" i="9"/>
  <c r="I2037" i="9"/>
  <c r="J2037" i="9"/>
  <c r="K2037" i="9"/>
  <c r="N2037" i="9"/>
  <c r="O2037" i="9"/>
  <c r="I2038" i="9"/>
  <c r="K2038" i="9"/>
  <c r="N2038" i="9"/>
  <c r="O2038" i="9"/>
  <c r="I2039" i="9"/>
  <c r="K2039" i="9"/>
  <c r="N2039" i="9"/>
  <c r="O2039" i="9"/>
  <c r="J1969" i="9"/>
  <c r="K1969" i="9"/>
  <c r="N1969" i="9"/>
  <c r="O1969" i="9"/>
  <c r="I1970" i="9"/>
  <c r="J1970" i="9"/>
  <c r="K1970" i="9"/>
  <c r="N1970" i="9"/>
  <c r="O1970" i="9"/>
  <c r="I1971" i="9"/>
  <c r="J1971" i="9"/>
  <c r="K1971" i="9"/>
  <c r="N1971" i="9"/>
  <c r="O1971" i="9"/>
  <c r="I1972" i="9"/>
  <c r="J1972" i="9"/>
  <c r="K1972" i="9"/>
  <c r="N1972" i="9"/>
  <c r="O1972" i="9"/>
  <c r="I1973" i="9"/>
  <c r="J1973" i="9"/>
  <c r="K1973" i="9"/>
  <c r="N1973" i="9"/>
  <c r="O1973" i="9"/>
  <c r="I1974" i="9"/>
  <c r="J1974" i="9"/>
  <c r="K1974" i="9"/>
  <c r="N1974" i="9"/>
  <c r="O1974" i="9"/>
  <c r="I1975" i="9"/>
  <c r="J1975" i="9"/>
  <c r="K1975" i="9"/>
  <c r="N1975" i="9"/>
  <c r="O1975" i="9"/>
  <c r="I1976" i="9"/>
  <c r="J1976" i="9"/>
  <c r="K1976" i="9"/>
  <c r="N1976" i="9"/>
  <c r="O1976" i="9"/>
  <c r="I1977" i="9"/>
  <c r="K1977" i="9"/>
  <c r="N1977" i="9"/>
  <c r="O1977" i="9"/>
  <c r="I1978" i="9"/>
  <c r="K1978" i="9"/>
  <c r="N1978" i="9"/>
  <c r="O1978" i="9"/>
  <c r="I1979" i="9"/>
  <c r="K1979" i="9"/>
  <c r="N1979" i="9"/>
  <c r="O1979" i="9"/>
  <c r="I1980" i="9"/>
  <c r="K1980" i="9"/>
  <c r="N1980" i="9"/>
  <c r="O1980" i="9"/>
  <c r="I1981" i="9"/>
  <c r="K1981" i="9"/>
  <c r="N1981" i="9"/>
  <c r="O1981" i="9"/>
  <c r="I1982" i="9"/>
  <c r="K1982" i="9"/>
  <c r="N1982" i="9"/>
  <c r="O1982" i="9"/>
  <c r="N1983" i="9"/>
  <c r="O1983" i="9"/>
  <c r="I1984" i="9"/>
  <c r="K1984" i="9"/>
  <c r="N1984" i="9"/>
  <c r="O1984" i="9"/>
  <c r="I1985" i="9"/>
  <c r="K1985" i="9"/>
  <c r="N1985" i="9"/>
  <c r="O1985" i="9"/>
  <c r="N1986" i="9"/>
  <c r="J1986" i="9"/>
  <c r="K1986" i="9"/>
  <c r="O1986" i="9"/>
  <c r="J1987" i="9"/>
  <c r="K1987" i="9"/>
  <c r="N1987" i="9"/>
  <c r="O1987" i="9"/>
  <c r="N1988" i="9"/>
  <c r="O1988" i="9"/>
  <c r="J1989" i="9"/>
  <c r="K1989" i="9"/>
  <c r="N1989" i="9"/>
  <c r="O1989" i="9"/>
  <c r="J1990" i="9"/>
  <c r="K1990" i="9"/>
  <c r="N1990" i="9"/>
  <c r="O1990" i="9"/>
  <c r="J1991" i="9"/>
  <c r="K1991" i="9"/>
  <c r="N1991" i="9"/>
  <c r="O1991" i="9"/>
  <c r="I1992" i="9"/>
  <c r="J1992" i="9"/>
  <c r="K1992" i="9"/>
  <c r="N1992" i="9"/>
  <c r="O1992" i="9"/>
  <c r="I1993" i="9"/>
  <c r="J1993" i="9"/>
  <c r="K1993" i="9"/>
  <c r="N1993" i="9"/>
  <c r="O1993" i="9"/>
  <c r="I1994" i="9"/>
  <c r="J1994" i="9"/>
  <c r="K1994" i="9"/>
  <c r="N1994" i="9"/>
  <c r="O1994" i="9"/>
  <c r="I1995" i="9"/>
  <c r="J1995" i="9"/>
  <c r="K1995" i="9"/>
  <c r="N1995" i="9"/>
  <c r="O1995" i="9"/>
  <c r="I1996" i="9"/>
  <c r="J1996" i="9"/>
  <c r="K1996" i="9"/>
  <c r="N1996" i="9"/>
  <c r="O1996" i="9"/>
  <c r="I1997" i="9"/>
  <c r="J1997" i="9"/>
  <c r="K1997" i="9"/>
  <c r="N1997" i="9"/>
  <c r="O1997" i="9"/>
  <c r="I1998" i="9"/>
  <c r="J1998" i="9"/>
  <c r="K1998" i="9"/>
  <c r="N1998" i="9"/>
  <c r="O1998" i="9"/>
  <c r="J1999" i="9"/>
  <c r="K1999" i="9"/>
  <c r="N1999" i="9"/>
  <c r="O1999" i="9"/>
  <c r="I2000" i="9"/>
  <c r="K2000" i="9"/>
  <c r="N2000" i="9"/>
  <c r="O2000" i="9"/>
  <c r="I2001" i="9"/>
  <c r="K2001" i="9"/>
  <c r="N2001" i="9"/>
  <c r="O2001" i="9"/>
  <c r="I2002" i="9"/>
  <c r="K2002" i="9"/>
  <c r="N2002" i="9"/>
  <c r="O2002" i="9"/>
  <c r="J1930" i="9"/>
  <c r="K1930" i="9"/>
  <c r="N1930" i="9"/>
  <c r="O1930" i="9"/>
  <c r="J1931" i="9"/>
  <c r="K1931" i="9"/>
  <c r="N1931" i="9"/>
  <c r="O1931" i="9"/>
  <c r="K1932" i="9"/>
  <c r="N1932" i="9"/>
  <c r="O1932" i="9"/>
  <c r="N1933" i="9"/>
  <c r="O1933" i="9"/>
  <c r="J1934" i="9"/>
  <c r="K1934" i="9"/>
  <c r="N1934" i="9"/>
  <c r="O1934" i="9"/>
  <c r="J1935" i="9"/>
  <c r="K1935" i="9"/>
  <c r="N1935" i="9"/>
  <c r="O1935" i="9"/>
  <c r="I1936" i="9"/>
  <c r="J1936" i="9"/>
  <c r="K1936" i="9"/>
  <c r="N1936" i="9"/>
  <c r="O1936" i="9"/>
  <c r="N1937" i="9"/>
  <c r="O1937" i="9"/>
  <c r="I1938" i="9"/>
  <c r="J1938" i="9"/>
  <c r="K1938" i="9"/>
  <c r="N1938" i="9"/>
  <c r="O1938" i="9"/>
  <c r="I1939" i="9"/>
  <c r="J1939" i="9"/>
  <c r="K1939" i="9"/>
  <c r="N1939" i="9"/>
  <c r="O1939" i="9"/>
  <c r="I1940" i="9"/>
  <c r="J1940" i="9"/>
  <c r="K1940" i="9"/>
  <c r="N1940" i="9"/>
  <c r="O1940" i="9"/>
  <c r="I1941" i="9"/>
  <c r="J1941" i="9"/>
  <c r="K1941" i="9"/>
  <c r="N1941" i="9"/>
  <c r="O1941" i="9"/>
  <c r="I1942" i="9"/>
  <c r="J1942" i="9"/>
  <c r="K1942" i="9"/>
  <c r="N1942" i="9"/>
  <c r="O1942" i="9"/>
  <c r="I1943" i="9"/>
  <c r="J1943" i="9"/>
  <c r="K1943" i="9"/>
  <c r="N1943" i="9"/>
  <c r="O1943" i="9"/>
  <c r="I1944" i="9"/>
  <c r="J1944" i="9"/>
  <c r="K1944" i="9"/>
  <c r="N1944" i="9"/>
  <c r="O1944" i="9"/>
  <c r="I1945" i="9"/>
  <c r="J1945" i="9"/>
  <c r="K1945" i="9"/>
  <c r="N1945" i="9"/>
  <c r="O1945" i="9"/>
  <c r="I1946" i="9"/>
  <c r="J1946" i="9"/>
  <c r="K1946" i="9"/>
  <c r="N1946" i="9"/>
  <c r="O1946" i="9"/>
  <c r="I1947" i="9"/>
  <c r="J1947" i="9"/>
  <c r="K1947" i="9"/>
  <c r="N1947" i="9"/>
  <c r="O1947" i="9"/>
  <c r="I1948" i="9"/>
  <c r="J1948" i="9"/>
  <c r="K1948" i="9"/>
  <c r="N1948" i="9"/>
  <c r="O1948" i="9"/>
  <c r="I1949" i="9"/>
  <c r="K1949" i="9"/>
  <c r="N1949" i="9"/>
  <c r="O1949" i="9"/>
  <c r="N1950" i="9"/>
  <c r="O1950" i="9"/>
  <c r="I1951" i="9"/>
  <c r="K1951" i="9"/>
  <c r="N1951" i="9"/>
  <c r="O1951" i="9"/>
  <c r="N1952" i="9"/>
  <c r="O1952" i="9"/>
  <c r="I1953" i="9"/>
  <c r="K1953" i="9"/>
  <c r="N1953" i="9"/>
  <c r="O1953" i="9"/>
  <c r="I1954" i="9"/>
  <c r="J1954" i="9"/>
  <c r="K1954" i="9"/>
  <c r="N1954" i="9"/>
  <c r="O1954" i="9"/>
  <c r="J1955" i="9"/>
  <c r="K1955" i="9"/>
  <c r="N1955" i="9"/>
  <c r="O1955" i="9"/>
  <c r="N1956" i="9"/>
  <c r="O1956" i="9"/>
  <c r="N1957" i="9"/>
  <c r="O1957" i="9"/>
  <c r="K1958" i="9"/>
  <c r="N1958" i="9"/>
  <c r="O1958" i="9"/>
  <c r="N1959" i="9"/>
  <c r="O1959" i="9"/>
  <c r="N1960" i="9"/>
  <c r="O1960" i="9"/>
  <c r="J1961" i="9"/>
  <c r="K1961" i="9"/>
  <c r="N1961" i="9"/>
  <c r="O1961" i="9"/>
  <c r="J1962" i="9"/>
  <c r="K1962" i="9"/>
  <c r="N1962" i="9"/>
  <c r="O1962" i="9"/>
  <c r="K1963" i="9"/>
  <c r="N1963" i="9"/>
  <c r="O1963" i="9"/>
  <c r="N1964" i="9"/>
  <c r="O1964" i="9"/>
  <c r="N1965" i="9"/>
  <c r="O1965" i="9"/>
  <c r="N1966" i="9"/>
  <c r="O1966" i="9"/>
  <c r="J1967" i="9"/>
  <c r="K1967" i="9"/>
  <c r="N1967" i="9"/>
  <c r="O1967" i="9"/>
  <c r="K1968" i="9"/>
  <c r="N1968" i="9"/>
  <c r="O1968" i="9"/>
  <c r="I1885" i="9"/>
  <c r="K1885" i="9"/>
  <c r="N1885" i="9"/>
  <c r="O1885" i="9"/>
  <c r="N1886" i="9"/>
  <c r="O1886" i="9"/>
  <c r="I1887" i="9"/>
  <c r="K1887" i="9"/>
  <c r="N1887" i="9"/>
  <c r="O1887" i="9"/>
  <c r="N1888" i="9"/>
  <c r="O1888" i="9"/>
  <c r="I1889" i="9"/>
  <c r="K1889" i="9"/>
  <c r="N1889" i="9"/>
  <c r="O1889" i="9"/>
  <c r="I1890" i="9"/>
  <c r="K1890" i="9"/>
  <c r="N1890" i="9"/>
  <c r="O1890" i="9"/>
  <c r="I1891" i="9"/>
  <c r="K1891" i="9"/>
  <c r="N1891" i="9"/>
  <c r="O1891" i="9"/>
  <c r="N1892" i="9"/>
  <c r="O1892" i="9"/>
  <c r="K1893" i="9"/>
  <c r="N1893" i="9"/>
  <c r="O1893" i="9"/>
  <c r="J1894" i="9"/>
  <c r="K1894" i="9"/>
  <c r="N1894" i="9"/>
  <c r="O1894" i="9"/>
  <c r="J1895" i="9"/>
  <c r="K1895" i="9"/>
  <c r="N1895" i="9"/>
  <c r="O1895" i="9"/>
  <c r="J1896" i="9"/>
  <c r="K1896" i="9"/>
  <c r="N1896" i="9"/>
  <c r="O1896" i="9"/>
  <c r="J1897" i="9"/>
  <c r="K1897" i="9"/>
  <c r="N1897" i="9"/>
  <c r="O1897" i="9"/>
  <c r="I1898" i="9"/>
  <c r="J1898" i="9"/>
  <c r="K1898" i="9"/>
  <c r="N1898" i="9"/>
  <c r="O1898" i="9"/>
  <c r="I1899" i="9"/>
  <c r="J1899" i="9"/>
  <c r="K1899" i="9"/>
  <c r="N1899" i="9"/>
  <c r="O1899" i="9"/>
  <c r="I1900" i="9"/>
  <c r="J1900" i="9"/>
  <c r="K1900" i="9"/>
  <c r="N1900" i="9"/>
  <c r="O1900" i="9"/>
  <c r="N1901" i="9"/>
  <c r="I1901" i="9"/>
  <c r="J1901" i="9"/>
  <c r="K1901" i="9"/>
  <c r="O1901" i="9"/>
  <c r="I1902" i="9"/>
  <c r="J1902" i="9"/>
  <c r="K1902" i="9"/>
  <c r="N1902" i="9"/>
  <c r="O1902" i="9"/>
  <c r="I1903" i="9"/>
  <c r="J1903" i="9"/>
  <c r="K1903" i="9"/>
  <c r="N1903" i="9"/>
  <c r="O1903" i="9"/>
  <c r="I1904" i="9"/>
  <c r="J1904" i="9"/>
  <c r="K1904" i="9"/>
  <c r="N1904" i="9"/>
  <c r="O1904" i="9"/>
  <c r="I1905" i="9"/>
  <c r="K1905" i="9"/>
  <c r="N1905" i="9"/>
  <c r="O1905" i="9"/>
  <c r="I1906" i="9"/>
  <c r="K1906" i="9"/>
  <c r="N1906" i="9"/>
  <c r="O1906" i="9"/>
  <c r="I1907" i="9"/>
  <c r="K1907" i="9"/>
  <c r="N1907" i="9"/>
  <c r="O1907" i="9"/>
  <c r="I1908" i="9"/>
  <c r="K1908" i="9"/>
  <c r="N1908" i="9"/>
  <c r="O1908" i="9"/>
  <c r="I1909" i="9"/>
  <c r="K1909" i="9"/>
  <c r="N1909" i="9"/>
  <c r="O1909" i="9"/>
  <c r="I1910" i="9"/>
  <c r="K1910" i="9"/>
  <c r="N1910" i="9"/>
  <c r="O1910" i="9"/>
  <c r="N1911" i="9"/>
  <c r="O1911" i="9"/>
  <c r="I1912" i="9"/>
  <c r="J1912" i="9"/>
  <c r="K1912" i="9"/>
  <c r="N1912" i="9"/>
  <c r="O1912" i="9"/>
  <c r="I1913" i="9"/>
  <c r="J1913" i="9"/>
  <c r="K1913" i="9"/>
  <c r="N1913" i="9"/>
  <c r="O1913" i="9"/>
  <c r="I1914" i="9"/>
  <c r="J1914" i="9"/>
  <c r="K1914" i="9"/>
  <c r="N1914" i="9"/>
  <c r="O1914" i="9"/>
  <c r="J1915" i="9"/>
  <c r="K1915" i="9"/>
  <c r="N1915" i="9"/>
  <c r="O1915" i="9"/>
  <c r="N1916" i="9"/>
  <c r="O1916" i="9"/>
  <c r="N1917" i="9"/>
  <c r="O1917" i="9"/>
  <c r="J1918" i="9"/>
  <c r="K1918" i="9"/>
  <c r="N1918" i="9"/>
  <c r="O1918" i="9"/>
  <c r="J1919" i="9"/>
  <c r="K1919" i="9"/>
  <c r="N1919" i="9"/>
  <c r="O1919" i="9"/>
  <c r="N1920" i="9"/>
  <c r="O1920" i="9"/>
  <c r="J1921" i="9"/>
  <c r="K1921" i="9"/>
  <c r="N1921" i="9"/>
  <c r="O1921" i="9"/>
  <c r="N1922" i="9"/>
  <c r="O1922" i="9"/>
  <c r="J1923" i="9"/>
  <c r="K1923" i="9"/>
  <c r="N1923" i="9"/>
  <c r="O1923" i="9"/>
  <c r="J1924" i="9"/>
  <c r="K1924" i="9"/>
  <c r="N1924" i="9"/>
  <c r="O1924" i="9"/>
  <c r="J1925" i="9"/>
  <c r="K1925" i="9"/>
  <c r="N1925" i="9"/>
  <c r="O1925" i="9"/>
  <c r="N1926" i="9"/>
  <c r="O1926" i="9"/>
  <c r="K1927" i="9"/>
  <c r="N1927" i="9"/>
  <c r="O1927" i="9"/>
  <c r="J1928" i="9"/>
  <c r="K1928" i="9"/>
  <c r="N1928" i="9"/>
  <c r="O1928" i="9"/>
  <c r="K1929" i="9"/>
  <c r="N1929" i="9"/>
  <c r="O1929" i="9"/>
  <c r="I1790" i="9"/>
  <c r="J1790" i="9"/>
  <c r="K1790" i="9"/>
  <c r="N1790" i="9"/>
  <c r="O1790" i="9"/>
  <c r="I1791" i="9"/>
  <c r="J1791" i="9"/>
  <c r="K1791" i="9"/>
  <c r="N1791" i="9"/>
  <c r="O1791" i="9"/>
  <c r="I1792" i="9"/>
  <c r="J1792" i="9"/>
  <c r="K1792" i="9"/>
  <c r="N1792" i="9"/>
  <c r="O1792" i="9"/>
  <c r="N1793" i="9"/>
  <c r="O1793" i="9"/>
  <c r="I1794" i="9"/>
  <c r="J1794" i="9"/>
  <c r="K1794" i="9"/>
  <c r="N1794" i="9"/>
  <c r="O1794" i="9"/>
  <c r="I1795" i="9"/>
  <c r="J1795" i="9"/>
  <c r="K1795" i="9"/>
  <c r="N1795" i="9"/>
  <c r="O1795" i="9"/>
  <c r="I1796" i="9"/>
  <c r="J1796" i="9"/>
  <c r="K1796" i="9"/>
  <c r="N1796" i="9"/>
  <c r="O1796" i="9"/>
  <c r="I1797" i="9"/>
  <c r="J1797" i="9"/>
  <c r="K1797" i="9"/>
  <c r="N1797" i="9"/>
  <c r="O1797" i="9"/>
  <c r="N1798" i="9"/>
  <c r="O1798" i="9"/>
  <c r="I1799" i="9"/>
  <c r="K1799" i="9"/>
  <c r="N1799" i="9"/>
  <c r="O1799" i="9"/>
  <c r="I1800" i="9"/>
  <c r="K1800" i="9"/>
  <c r="N1800" i="9"/>
  <c r="O1800" i="9"/>
  <c r="I1801" i="9"/>
  <c r="K1801" i="9"/>
  <c r="N1801" i="9"/>
  <c r="O1801" i="9"/>
  <c r="I1802" i="9"/>
  <c r="K1802" i="9"/>
  <c r="N1802" i="9"/>
  <c r="O1802" i="9"/>
  <c r="K1803" i="9"/>
  <c r="N1803" i="9"/>
  <c r="O1803" i="9"/>
  <c r="N1804" i="9"/>
  <c r="O1804" i="9"/>
  <c r="K1805" i="9"/>
  <c r="N1805" i="9"/>
  <c r="O1805" i="9"/>
  <c r="K1806" i="9"/>
  <c r="N1806" i="9"/>
  <c r="O1806" i="9"/>
  <c r="N1807" i="9"/>
  <c r="O1807" i="9"/>
  <c r="J1808" i="9"/>
  <c r="K1808" i="9"/>
  <c r="N1808" i="9"/>
  <c r="O1808" i="9"/>
  <c r="J1809" i="9"/>
  <c r="K1809" i="9"/>
  <c r="N1809" i="9"/>
  <c r="O1809" i="9"/>
  <c r="N1810" i="9"/>
  <c r="O1810" i="9"/>
  <c r="N1811" i="9"/>
  <c r="O1811" i="9"/>
  <c r="J1812" i="9"/>
  <c r="K1812" i="9"/>
  <c r="N1812" i="9"/>
  <c r="O1812" i="9"/>
  <c r="J1813" i="9"/>
  <c r="K1813" i="9"/>
  <c r="N1813" i="9"/>
  <c r="O1813" i="9"/>
  <c r="N1814" i="9"/>
  <c r="O1814" i="9"/>
  <c r="K1815" i="9"/>
  <c r="N1815" i="9"/>
  <c r="O1815" i="9"/>
  <c r="J1816" i="9"/>
  <c r="K1816" i="9"/>
  <c r="N1816" i="9"/>
  <c r="O1816" i="9"/>
  <c r="N1817" i="9"/>
  <c r="O1817" i="9"/>
  <c r="N1818" i="9"/>
  <c r="O1818" i="9"/>
  <c r="N1819" i="9"/>
  <c r="O1819" i="9"/>
  <c r="N1820" i="9"/>
  <c r="O1820" i="9"/>
  <c r="N1821" i="9"/>
  <c r="O1821" i="9"/>
  <c r="N1822" i="9"/>
  <c r="O1822" i="9"/>
  <c r="N1823" i="9"/>
  <c r="O1823" i="9"/>
  <c r="N1824" i="9"/>
  <c r="O1824" i="9"/>
  <c r="N1825" i="9"/>
  <c r="O1825" i="9"/>
  <c r="N1826" i="9"/>
  <c r="O1826" i="9"/>
  <c r="N1827" i="9"/>
  <c r="O1827" i="9"/>
  <c r="N1828" i="9"/>
  <c r="O1828" i="9"/>
  <c r="N1829" i="9"/>
  <c r="O1829" i="9"/>
  <c r="J1830" i="9"/>
  <c r="K1830" i="9"/>
  <c r="N1830" i="9"/>
  <c r="O1830" i="9"/>
  <c r="N1831" i="9"/>
  <c r="O1831" i="9"/>
  <c r="N1832" i="9"/>
  <c r="O1832" i="9"/>
  <c r="I1833" i="9"/>
  <c r="J1833" i="9"/>
  <c r="K1833" i="9"/>
  <c r="N1833" i="9"/>
  <c r="O1833" i="9"/>
  <c r="I1834" i="9"/>
  <c r="J1834" i="9"/>
  <c r="K1834" i="9"/>
  <c r="N1834" i="9"/>
  <c r="O1834" i="9"/>
  <c r="I1835" i="9"/>
  <c r="K1835" i="9"/>
  <c r="N1835" i="9"/>
  <c r="O1835" i="9"/>
  <c r="I1836" i="9"/>
  <c r="K1836" i="9"/>
  <c r="N1836" i="9"/>
  <c r="O1836" i="9"/>
  <c r="J1837" i="9"/>
  <c r="K1837" i="9"/>
  <c r="N1837" i="9"/>
  <c r="O1837" i="9"/>
  <c r="N1838" i="9"/>
  <c r="O1838" i="9"/>
  <c r="N1839" i="9"/>
  <c r="O1839" i="9"/>
  <c r="N1840" i="9"/>
  <c r="O1840" i="9"/>
  <c r="N1841" i="9"/>
  <c r="O1841" i="9"/>
  <c r="N1842" i="9"/>
  <c r="O1842" i="9"/>
  <c r="N1843" i="9"/>
  <c r="O1843" i="9"/>
  <c r="N1844" i="9"/>
  <c r="O1844" i="9"/>
  <c r="I1845" i="9"/>
  <c r="J1845" i="9"/>
  <c r="K1845" i="9"/>
  <c r="N1845" i="9"/>
  <c r="O1845" i="9"/>
  <c r="J1846" i="9"/>
  <c r="K1846" i="9"/>
  <c r="N1846" i="9"/>
  <c r="O1846" i="9"/>
  <c r="N1847" i="9"/>
  <c r="O1847" i="9"/>
  <c r="J1848" i="9"/>
  <c r="K1848" i="9"/>
  <c r="N1848" i="9"/>
  <c r="O1848" i="9"/>
  <c r="J1849" i="9"/>
  <c r="K1849" i="9"/>
  <c r="N1849" i="9"/>
  <c r="O1849" i="9"/>
  <c r="J1850" i="9"/>
  <c r="K1850" i="9"/>
  <c r="N1850" i="9"/>
  <c r="O1850" i="9"/>
  <c r="N1851" i="9"/>
  <c r="O1851" i="9"/>
  <c r="J1852" i="9"/>
  <c r="K1852" i="9"/>
  <c r="N1852" i="9"/>
  <c r="O1852" i="9"/>
  <c r="J1853" i="9"/>
  <c r="K1853" i="9"/>
  <c r="N1853" i="9"/>
  <c r="O1853" i="9"/>
  <c r="I1854" i="9"/>
  <c r="J1854" i="9"/>
  <c r="K1854" i="9"/>
  <c r="N1854" i="9"/>
  <c r="O1854" i="9"/>
  <c r="I1855" i="9"/>
  <c r="J1855" i="9"/>
  <c r="K1855" i="9"/>
  <c r="N1855" i="9"/>
  <c r="O1855" i="9"/>
  <c r="K1856" i="9"/>
  <c r="N1856" i="9"/>
  <c r="O1856" i="9"/>
  <c r="N1857" i="9"/>
  <c r="O1857" i="9"/>
  <c r="I1858" i="9"/>
  <c r="J1858" i="9"/>
  <c r="K1858" i="9"/>
  <c r="N1858" i="9"/>
  <c r="O1858" i="9"/>
  <c r="I1859" i="9"/>
  <c r="J1859" i="9"/>
  <c r="K1859" i="9"/>
  <c r="N1859" i="9"/>
  <c r="O1859" i="9"/>
  <c r="I1860" i="9"/>
  <c r="J1860" i="9"/>
  <c r="K1860" i="9"/>
  <c r="N1860" i="9"/>
  <c r="O1860" i="9"/>
  <c r="I1861" i="9"/>
  <c r="J1861" i="9"/>
  <c r="K1861" i="9"/>
  <c r="N1861" i="9"/>
  <c r="O1861" i="9"/>
  <c r="I1862" i="9"/>
  <c r="J1862" i="9"/>
  <c r="K1862" i="9"/>
  <c r="N1862" i="9"/>
  <c r="O1862" i="9"/>
  <c r="I1863" i="9"/>
  <c r="J1863" i="9"/>
  <c r="K1863" i="9"/>
  <c r="N1863" i="9"/>
  <c r="O1863" i="9"/>
  <c r="I1864" i="9"/>
  <c r="J1864" i="9"/>
  <c r="K1864" i="9"/>
  <c r="N1864" i="9"/>
  <c r="O1864" i="9"/>
  <c r="I1865" i="9"/>
  <c r="J1865" i="9"/>
  <c r="K1865" i="9"/>
  <c r="N1865" i="9"/>
  <c r="O1865" i="9"/>
  <c r="N1866" i="9"/>
  <c r="O1866" i="9"/>
  <c r="I1867" i="9"/>
  <c r="J1867" i="9"/>
  <c r="K1867" i="9"/>
  <c r="N1867" i="9"/>
  <c r="O1867" i="9"/>
  <c r="N1868" i="9"/>
  <c r="O1868" i="9"/>
  <c r="I1869" i="9"/>
  <c r="J1869" i="9"/>
  <c r="K1869" i="9"/>
  <c r="N1869" i="9"/>
  <c r="O1869" i="9"/>
  <c r="I1870" i="9"/>
  <c r="J1870" i="9"/>
  <c r="K1870" i="9"/>
  <c r="N1870" i="9"/>
  <c r="O1870" i="9"/>
  <c r="I1871" i="9"/>
  <c r="J1871" i="9"/>
  <c r="K1871" i="9"/>
  <c r="N1871" i="9"/>
  <c r="O1871" i="9"/>
  <c r="I1872" i="9"/>
  <c r="J1872" i="9"/>
  <c r="K1872" i="9"/>
  <c r="N1872" i="9"/>
  <c r="O1872" i="9"/>
  <c r="I1873" i="9"/>
  <c r="J1873" i="9"/>
  <c r="K1873" i="9"/>
  <c r="N1873" i="9"/>
  <c r="O1873" i="9"/>
  <c r="I1874" i="9"/>
  <c r="J1874" i="9"/>
  <c r="K1874" i="9"/>
  <c r="N1874" i="9"/>
  <c r="O1874" i="9"/>
  <c r="J1875" i="9"/>
  <c r="K1875" i="9"/>
  <c r="N1875" i="9"/>
  <c r="O1875" i="9"/>
  <c r="J1876" i="9"/>
  <c r="K1876" i="9"/>
  <c r="N1876" i="9"/>
  <c r="O1876" i="9"/>
  <c r="N1877" i="9"/>
  <c r="O1877" i="9"/>
  <c r="N1878" i="9"/>
  <c r="J1878" i="9"/>
  <c r="K1878" i="9"/>
  <c r="O1878" i="9"/>
  <c r="I1879" i="9"/>
  <c r="K1879" i="9"/>
  <c r="N1879" i="9"/>
  <c r="O1879" i="9"/>
  <c r="I1880" i="9"/>
  <c r="K1880" i="9"/>
  <c r="N1880" i="9"/>
  <c r="O1880" i="9"/>
  <c r="N1881" i="9"/>
  <c r="O1881" i="9"/>
  <c r="I1882" i="9"/>
  <c r="K1882" i="9"/>
  <c r="N1882" i="9"/>
  <c r="O1882" i="9"/>
  <c r="I1883" i="9"/>
  <c r="K1883" i="9"/>
  <c r="N1883" i="9"/>
  <c r="O1883" i="9"/>
  <c r="I1884" i="9"/>
  <c r="K1884" i="9"/>
  <c r="N1884" i="9"/>
  <c r="O1884" i="9"/>
  <c r="J1777" i="9"/>
  <c r="K1777" i="9"/>
  <c r="N1777" i="9"/>
  <c r="O1777" i="9"/>
  <c r="K1778" i="9"/>
  <c r="N1778" i="9"/>
  <c r="O1778" i="9"/>
  <c r="N1779" i="9"/>
  <c r="O1779" i="9"/>
  <c r="N1780" i="9"/>
  <c r="O1780" i="9"/>
  <c r="N1781" i="9"/>
  <c r="O1781" i="9"/>
  <c r="N1782" i="9"/>
  <c r="O1782" i="9"/>
  <c r="N1783" i="9"/>
  <c r="O1783" i="9"/>
  <c r="J1784" i="9"/>
  <c r="K1784" i="9"/>
  <c r="N1784" i="9"/>
  <c r="O1784" i="9"/>
  <c r="I1785" i="9"/>
  <c r="J1785" i="9"/>
  <c r="K1785" i="9"/>
  <c r="N1785" i="9"/>
  <c r="O1785" i="9"/>
  <c r="K1786" i="9"/>
  <c r="N1786" i="9"/>
  <c r="O1786" i="9"/>
  <c r="N1787" i="9"/>
  <c r="O1787" i="9"/>
  <c r="N1788" i="9"/>
  <c r="O1788" i="9"/>
  <c r="I1789" i="9"/>
  <c r="J1789" i="9"/>
  <c r="K1789" i="9"/>
  <c r="N1789" i="9"/>
  <c r="O1789" i="9"/>
  <c r="J1676" i="9"/>
  <c r="K1676" i="9"/>
  <c r="N1676" i="9"/>
  <c r="O1676" i="9"/>
  <c r="J1677" i="9"/>
  <c r="K1677" i="9"/>
  <c r="N1677" i="9"/>
  <c r="O1677" i="9"/>
  <c r="J1678" i="9"/>
  <c r="K1678" i="9"/>
  <c r="N1678" i="9"/>
  <c r="O1678" i="9"/>
  <c r="J1679" i="9"/>
  <c r="K1679" i="9"/>
  <c r="N1679" i="9"/>
  <c r="O1679" i="9"/>
  <c r="K1680" i="9"/>
  <c r="N1680" i="9"/>
  <c r="O1680" i="9"/>
  <c r="N1681" i="9"/>
  <c r="O1681" i="9"/>
  <c r="N1682" i="9"/>
  <c r="O1682" i="9"/>
  <c r="N1683" i="9"/>
  <c r="O1683" i="9"/>
  <c r="J1684" i="9"/>
  <c r="K1684" i="9"/>
  <c r="N1684" i="9"/>
  <c r="O1684" i="9"/>
  <c r="J1685" i="9"/>
  <c r="K1685" i="9"/>
  <c r="N1685" i="9"/>
  <c r="O1685" i="9"/>
  <c r="J1686" i="9"/>
  <c r="K1686" i="9"/>
  <c r="N1686" i="9"/>
  <c r="O1686" i="9"/>
  <c r="J1687" i="9"/>
  <c r="K1687" i="9"/>
  <c r="N1687" i="9"/>
  <c r="O1687" i="9"/>
  <c r="K1688" i="9"/>
  <c r="N1688" i="9"/>
  <c r="O1688" i="9"/>
  <c r="I1689" i="9"/>
  <c r="J1689" i="9"/>
  <c r="K1689" i="9"/>
  <c r="N1689" i="9"/>
  <c r="O1689" i="9"/>
  <c r="I1690" i="9"/>
  <c r="J1690" i="9"/>
  <c r="K1690" i="9"/>
  <c r="N1690" i="9"/>
  <c r="O1690" i="9"/>
  <c r="I1691" i="9"/>
  <c r="J1691" i="9"/>
  <c r="K1691" i="9"/>
  <c r="N1691" i="9"/>
  <c r="O1691" i="9"/>
  <c r="I1692" i="9"/>
  <c r="J1692" i="9"/>
  <c r="K1692" i="9"/>
  <c r="N1692" i="9"/>
  <c r="O1692" i="9"/>
  <c r="I1693" i="9"/>
  <c r="J1693" i="9"/>
  <c r="K1693" i="9"/>
  <c r="N1693" i="9"/>
  <c r="O1693" i="9"/>
  <c r="I1694" i="9"/>
  <c r="J1694" i="9"/>
  <c r="K1694" i="9"/>
  <c r="N1694" i="9"/>
  <c r="O1694" i="9"/>
  <c r="I1695" i="9"/>
  <c r="J1695" i="9"/>
  <c r="K1695" i="9"/>
  <c r="N1695" i="9"/>
  <c r="O1695" i="9"/>
  <c r="I1696" i="9"/>
  <c r="J1696" i="9"/>
  <c r="K1696" i="9"/>
  <c r="N1696" i="9"/>
  <c r="O1696" i="9"/>
  <c r="I1697" i="9"/>
  <c r="J1697" i="9"/>
  <c r="K1697" i="9"/>
  <c r="N1697" i="9"/>
  <c r="O1697" i="9"/>
  <c r="I1698" i="9"/>
  <c r="J1698" i="9"/>
  <c r="K1698" i="9"/>
  <c r="N1698" i="9"/>
  <c r="O1698" i="9"/>
  <c r="I1699" i="9"/>
  <c r="J1699" i="9"/>
  <c r="K1699" i="9"/>
  <c r="N1699" i="9"/>
  <c r="O1699" i="9"/>
  <c r="I1700" i="9"/>
  <c r="J1700" i="9"/>
  <c r="K1700" i="9"/>
  <c r="N1700" i="9"/>
  <c r="O1700" i="9"/>
  <c r="I1701" i="9"/>
  <c r="J1701" i="9"/>
  <c r="K1701" i="9"/>
  <c r="N1701" i="9"/>
  <c r="O1701" i="9"/>
  <c r="I1702" i="9"/>
  <c r="J1702" i="9"/>
  <c r="K1702" i="9"/>
  <c r="N1702" i="9"/>
  <c r="O1702" i="9"/>
  <c r="I1703" i="9"/>
  <c r="J1703" i="9"/>
  <c r="K1703" i="9"/>
  <c r="N1703" i="9"/>
  <c r="O1703" i="9"/>
  <c r="I1704" i="9"/>
  <c r="J1704" i="9"/>
  <c r="K1704" i="9"/>
  <c r="N1704" i="9"/>
  <c r="O1704" i="9"/>
  <c r="I1705" i="9"/>
  <c r="J1705" i="9"/>
  <c r="K1705" i="9"/>
  <c r="N1705" i="9"/>
  <c r="O1705" i="9"/>
  <c r="I1706" i="9"/>
  <c r="J1706" i="9"/>
  <c r="K1706" i="9"/>
  <c r="N1706" i="9"/>
  <c r="O1706" i="9"/>
  <c r="I1707" i="9"/>
  <c r="J1707" i="9"/>
  <c r="K1707" i="9"/>
  <c r="N1707" i="9"/>
  <c r="O1707" i="9"/>
  <c r="I1708" i="9"/>
  <c r="J1708" i="9"/>
  <c r="K1708" i="9"/>
  <c r="N1708" i="9"/>
  <c r="O1708" i="9"/>
  <c r="J1709" i="9"/>
  <c r="K1709" i="9"/>
  <c r="N1709" i="9"/>
  <c r="O1709" i="9"/>
  <c r="N1710" i="9"/>
  <c r="O1710" i="9"/>
  <c r="J1711" i="9"/>
  <c r="K1711" i="9"/>
  <c r="N1711" i="9"/>
  <c r="O1711" i="9"/>
  <c r="N1712" i="9"/>
  <c r="O1712" i="9"/>
  <c r="N1713" i="9"/>
  <c r="O1713" i="9"/>
  <c r="N1714" i="9"/>
  <c r="O1714" i="9"/>
  <c r="I1715" i="9"/>
  <c r="K1715" i="9"/>
  <c r="N1715" i="9"/>
  <c r="O1715" i="9"/>
  <c r="I1716" i="9"/>
  <c r="K1716" i="9"/>
  <c r="N1716" i="9"/>
  <c r="O1716" i="9"/>
  <c r="I1717" i="9"/>
  <c r="K1717" i="9"/>
  <c r="N1717" i="9"/>
  <c r="O1717" i="9"/>
  <c r="I1718" i="9"/>
  <c r="K1718" i="9"/>
  <c r="N1718" i="9"/>
  <c r="O1718" i="9"/>
  <c r="I1719" i="9"/>
  <c r="K1719" i="9"/>
  <c r="N1719" i="9"/>
  <c r="O1719" i="9"/>
  <c r="I1720" i="9"/>
  <c r="K1720" i="9"/>
  <c r="N1720" i="9"/>
  <c r="O1720" i="9"/>
  <c r="I1721" i="9"/>
  <c r="K1721" i="9"/>
  <c r="N1721" i="9"/>
  <c r="O1721" i="9"/>
  <c r="I1722" i="9"/>
  <c r="K1722" i="9"/>
  <c r="N1722" i="9"/>
  <c r="O1722" i="9"/>
  <c r="I1723" i="9"/>
  <c r="K1723" i="9"/>
  <c r="N1723" i="9"/>
  <c r="O1723" i="9"/>
  <c r="I1724" i="9"/>
  <c r="K1724" i="9"/>
  <c r="N1724" i="9"/>
  <c r="O1724" i="9"/>
  <c r="I1725" i="9"/>
  <c r="K1725" i="9"/>
  <c r="N1725" i="9"/>
  <c r="O1725" i="9"/>
  <c r="J1726" i="9"/>
  <c r="K1726" i="9"/>
  <c r="N1726" i="9"/>
  <c r="O1726" i="9"/>
  <c r="J1727" i="9"/>
  <c r="K1727" i="9"/>
  <c r="N1727" i="9"/>
  <c r="O1727" i="9"/>
  <c r="K1728" i="9"/>
  <c r="N1728" i="9"/>
  <c r="O1728" i="9"/>
  <c r="J1729" i="9"/>
  <c r="K1729" i="9"/>
  <c r="N1729" i="9"/>
  <c r="O1729" i="9"/>
  <c r="I1730" i="9"/>
  <c r="J1730" i="9"/>
  <c r="K1730" i="9"/>
  <c r="N1730" i="9"/>
  <c r="O1730" i="9"/>
  <c r="I1731" i="9"/>
  <c r="J1731" i="9"/>
  <c r="K1731" i="9"/>
  <c r="N1731" i="9"/>
  <c r="O1731" i="9"/>
  <c r="I1732" i="9"/>
  <c r="J1732" i="9"/>
  <c r="K1732" i="9"/>
  <c r="N1732" i="9"/>
  <c r="O1732" i="9"/>
  <c r="I1733" i="9"/>
  <c r="J1733" i="9"/>
  <c r="K1733" i="9"/>
  <c r="N1733" i="9"/>
  <c r="O1733" i="9"/>
  <c r="I1734" i="9"/>
  <c r="J1734" i="9"/>
  <c r="K1734" i="9"/>
  <c r="N1734" i="9"/>
  <c r="O1734" i="9"/>
  <c r="I1735" i="9"/>
  <c r="J1735" i="9"/>
  <c r="K1735" i="9"/>
  <c r="N1735" i="9"/>
  <c r="O1735" i="9"/>
  <c r="I1736" i="9"/>
  <c r="J1736" i="9"/>
  <c r="K1736" i="9"/>
  <c r="N1736" i="9"/>
  <c r="O1736" i="9"/>
  <c r="N1737" i="9"/>
  <c r="O1737" i="9"/>
  <c r="J1738" i="9"/>
  <c r="K1738" i="9"/>
  <c r="N1738" i="9"/>
  <c r="O1738" i="9"/>
  <c r="N1739" i="9"/>
  <c r="O1739" i="9"/>
  <c r="I1740" i="9"/>
  <c r="K1740" i="9"/>
  <c r="N1740" i="9"/>
  <c r="O1740" i="9"/>
  <c r="I1741" i="9"/>
  <c r="K1741" i="9"/>
  <c r="N1741" i="9"/>
  <c r="O1741" i="9"/>
  <c r="I1742" i="9"/>
  <c r="K1742" i="9"/>
  <c r="N1742" i="9"/>
  <c r="O1742" i="9"/>
  <c r="I1743" i="9"/>
  <c r="K1743" i="9"/>
  <c r="N1743" i="9"/>
  <c r="O1743" i="9"/>
  <c r="J1744" i="9"/>
  <c r="K1744" i="9"/>
  <c r="N1744" i="9"/>
  <c r="O1744" i="9"/>
  <c r="J1745" i="9"/>
  <c r="K1745" i="9"/>
  <c r="N1745" i="9"/>
  <c r="O1745" i="9"/>
  <c r="N1746" i="9"/>
  <c r="O1746" i="9"/>
  <c r="I1747" i="9"/>
  <c r="J1747" i="9"/>
  <c r="K1747" i="9"/>
  <c r="N1747" i="9"/>
  <c r="O1747" i="9"/>
  <c r="I1748" i="9"/>
  <c r="K1748" i="9"/>
  <c r="N1748" i="9"/>
  <c r="O1748" i="9"/>
  <c r="N1749" i="9"/>
  <c r="O1749" i="9"/>
  <c r="K1750" i="9"/>
  <c r="N1750" i="9"/>
  <c r="O1750" i="9"/>
  <c r="N1751" i="9"/>
  <c r="O1751" i="9"/>
  <c r="N1752" i="9"/>
  <c r="O1752" i="9"/>
  <c r="I1753" i="9"/>
  <c r="J1753" i="9"/>
  <c r="K1753" i="9"/>
  <c r="N1753" i="9"/>
  <c r="O1753" i="9"/>
  <c r="J1754" i="9"/>
  <c r="K1754" i="9"/>
  <c r="N1754" i="9"/>
  <c r="O1754" i="9"/>
  <c r="J1755" i="9"/>
  <c r="K1755" i="9"/>
  <c r="N1755" i="9"/>
  <c r="O1755" i="9"/>
  <c r="J1756" i="9"/>
  <c r="K1756" i="9"/>
  <c r="N1756" i="9"/>
  <c r="O1756" i="9"/>
  <c r="N1757" i="9"/>
  <c r="O1757" i="9"/>
  <c r="J1758" i="9"/>
  <c r="K1758" i="9"/>
  <c r="N1758" i="9"/>
  <c r="O1758" i="9"/>
  <c r="J1759" i="9"/>
  <c r="K1759" i="9"/>
  <c r="N1759" i="9"/>
  <c r="O1759" i="9"/>
  <c r="J1760" i="9"/>
  <c r="K1760" i="9"/>
  <c r="N1760" i="9"/>
  <c r="O1760" i="9"/>
  <c r="J1761" i="9"/>
  <c r="K1761" i="9"/>
  <c r="N1761" i="9"/>
  <c r="O1761" i="9"/>
  <c r="J1762" i="9"/>
  <c r="K1762" i="9"/>
  <c r="N1762" i="9"/>
  <c r="O1762" i="9"/>
  <c r="N1763" i="9"/>
  <c r="O1763" i="9"/>
  <c r="I1764" i="9"/>
  <c r="J1764" i="9"/>
  <c r="K1764" i="9"/>
  <c r="N1764" i="9"/>
  <c r="O1764" i="9"/>
  <c r="I1765" i="9"/>
  <c r="J1765" i="9"/>
  <c r="K1765" i="9"/>
  <c r="N1765" i="9"/>
  <c r="O1765" i="9"/>
  <c r="I1766" i="9"/>
  <c r="J1766" i="9"/>
  <c r="K1766" i="9"/>
  <c r="N1766" i="9"/>
  <c r="O1766" i="9"/>
  <c r="I1767" i="9"/>
  <c r="J1767" i="9"/>
  <c r="K1767" i="9"/>
  <c r="N1767" i="9"/>
  <c r="O1767" i="9"/>
  <c r="I1768" i="9"/>
  <c r="J1768" i="9"/>
  <c r="K1768" i="9"/>
  <c r="N1768" i="9"/>
  <c r="O1768" i="9"/>
  <c r="I1769" i="9"/>
  <c r="J1769" i="9"/>
  <c r="K1769" i="9"/>
  <c r="N1769" i="9"/>
  <c r="O1769" i="9"/>
  <c r="I1770" i="9"/>
  <c r="K1770" i="9"/>
  <c r="N1770" i="9"/>
  <c r="O1770" i="9"/>
  <c r="I1771" i="9"/>
  <c r="K1771" i="9"/>
  <c r="N1771" i="9"/>
  <c r="O1771" i="9"/>
  <c r="N1772" i="9"/>
  <c r="O1772" i="9"/>
  <c r="K1773" i="9"/>
  <c r="N1773" i="9"/>
  <c r="O1773" i="9"/>
  <c r="N1774" i="9"/>
  <c r="O1774" i="9"/>
  <c r="N1775" i="9"/>
  <c r="O1775" i="9"/>
  <c r="N1776" i="9"/>
  <c r="O1776" i="9"/>
  <c r="J1675" i="9"/>
  <c r="K1675" i="9"/>
  <c r="N1675" i="9"/>
  <c r="O1675" i="9"/>
  <c r="J1505" i="9"/>
  <c r="K1505" i="9"/>
  <c r="N1505" i="9"/>
  <c r="O1505" i="9"/>
  <c r="I1506" i="9"/>
  <c r="J1506" i="9"/>
  <c r="K1506" i="9"/>
  <c r="N1506" i="9"/>
  <c r="O1506" i="9"/>
  <c r="I1507" i="9"/>
  <c r="J1507" i="9"/>
  <c r="K1507" i="9"/>
  <c r="N1507" i="9"/>
  <c r="O1507" i="9"/>
  <c r="I1508" i="9"/>
  <c r="J1508" i="9"/>
  <c r="K1508" i="9"/>
  <c r="N1508" i="9"/>
  <c r="O1508" i="9"/>
  <c r="I1509" i="9"/>
  <c r="J1509" i="9"/>
  <c r="K1509" i="9"/>
  <c r="N1509" i="9"/>
  <c r="O1509" i="9"/>
  <c r="I1510" i="9"/>
  <c r="J1510" i="9"/>
  <c r="K1510" i="9"/>
  <c r="N1510" i="9"/>
  <c r="O1510" i="9"/>
  <c r="J1511" i="9"/>
  <c r="K1511" i="9"/>
  <c r="N1511" i="9"/>
  <c r="O1511" i="9"/>
  <c r="J1512" i="9"/>
  <c r="K1512" i="9"/>
  <c r="N1512" i="9"/>
  <c r="O1512" i="9"/>
  <c r="I1513" i="9"/>
  <c r="J1513" i="9"/>
  <c r="K1513" i="9"/>
  <c r="N1513" i="9"/>
  <c r="O1513" i="9"/>
  <c r="I1514" i="9"/>
  <c r="J1514" i="9"/>
  <c r="K1514" i="9"/>
  <c r="N1514" i="9"/>
  <c r="O1514" i="9"/>
  <c r="I1515" i="9"/>
  <c r="J1515" i="9"/>
  <c r="K1515" i="9"/>
  <c r="N1515" i="9"/>
  <c r="O1515" i="9"/>
  <c r="I1516" i="9"/>
  <c r="J1516" i="9"/>
  <c r="K1516" i="9"/>
  <c r="N1516" i="9"/>
  <c r="O1516" i="9"/>
  <c r="I1517" i="9"/>
  <c r="J1517" i="9"/>
  <c r="K1517" i="9"/>
  <c r="N1517" i="9"/>
  <c r="O1517" i="9"/>
  <c r="I1518" i="9"/>
  <c r="J1518" i="9"/>
  <c r="K1518" i="9"/>
  <c r="N1518" i="9"/>
  <c r="O1518" i="9"/>
  <c r="I1519" i="9"/>
  <c r="J1519" i="9"/>
  <c r="K1519" i="9"/>
  <c r="N1519" i="9"/>
  <c r="O1519" i="9"/>
  <c r="I1520" i="9"/>
  <c r="J1520" i="9"/>
  <c r="K1520" i="9"/>
  <c r="N1520" i="9"/>
  <c r="O1520" i="9"/>
  <c r="I1521" i="9"/>
  <c r="J1521" i="9"/>
  <c r="K1521" i="9"/>
  <c r="N1521" i="9"/>
  <c r="O1521" i="9"/>
  <c r="I1522" i="9"/>
  <c r="J1522" i="9"/>
  <c r="K1522" i="9"/>
  <c r="N1522" i="9"/>
  <c r="O1522" i="9"/>
  <c r="I1523" i="9"/>
  <c r="J1523" i="9"/>
  <c r="K1523" i="9"/>
  <c r="N1523" i="9"/>
  <c r="O1523" i="9"/>
  <c r="I1524" i="9"/>
  <c r="J1524" i="9"/>
  <c r="K1524" i="9"/>
  <c r="N1524" i="9"/>
  <c r="O1524" i="9"/>
  <c r="I1525" i="9"/>
  <c r="J1525" i="9"/>
  <c r="K1525" i="9"/>
  <c r="N1525" i="9"/>
  <c r="O1525" i="9"/>
  <c r="I1526" i="9"/>
  <c r="J1526" i="9"/>
  <c r="K1526" i="9"/>
  <c r="N1526" i="9"/>
  <c r="O1526" i="9"/>
  <c r="I1527" i="9"/>
  <c r="J1527" i="9"/>
  <c r="K1527" i="9"/>
  <c r="N1527" i="9"/>
  <c r="O1527" i="9"/>
  <c r="I1528" i="9"/>
  <c r="J1528" i="9"/>
  <c r="K1528" i="9"/>
  <c r="N1528" i="9"/>
  <c r="O1528" i="9"/>
  <c r="I1529" i="9"/>
  <c r="J1529" i="9"/>
  <c r="K1529" i="9"/>
  <c r="N1529" i="9"/>
  <c r="O1529" i="9"/>
  <c r="I1530" i="9"/>
  <c r="K1530" i="9"/>
  <c r="N1530" i="9"/>
  <c r="O1530" i="9"/>
  <c r="I1531" i="9"/>
  <c r="K1531" i="9"/>
  <c r="N1531" i="9"/>
  <c r="O1531" i="9"/>
  <c r="I1532" i="9"/>
  <c r="K1532" i="9"/>
  <c r="N1532" i="9"/>
  <c r="O1532" i="9"/>
  <c r="I1533" i="9"/>
  <c r="K1533" i="9"/>
  <c r="N1533" i="9"/>
  <c r="O1533" i="9"/>
  <c r="I1534" i="9"/>
  <c r="K1534" i="9"/>
  <c r="N1534" i="9"/>
  <c r="O1534" i="9"/>
  <c r="I1535" i="9"/>
  <c r="K1535" i="9"/>
  <c r="N1535" i="9"/>
  <c r="O1535" i="9"/>
  <c r="I1536" i="9"/>
  <c r="K1536" i="9"/>
  <c r="N1536" i="9"/>
  <c r="O1536" i="9"/>
  <c r="I1537" i="9"/>
  <c r="K1537" i="9"/>
  <c r="N1537" i="9"/>
  <c r="O1537" i="9"/>
  <c r="I1538" i="9"/>
  <c r="K1538" i="9"/>
  <c r="N1538" i="9"/>
  <c r="O1538" i="9"/>
  <c r="I1539" i="9"/>
  <c r="K1539" i="9"/>
  <c r="N1539" i="9"/>
  <c r="O1539" i="9"/>
  <c r="I1540" i="9"/>
  <c r="J1540" i="9"/>
  <c r="K1540" i="9"/>
  <c r="N1540" i="9"/>
  <c r="O1540" i="9"/>
  <c r="J1541" i="9"/>
  <c r="K1541" i="9"/>
  <c r="N1541" i="9"/>
  <c r="O1541" i="9"/>
  <c r="J1542" i="9"/>
  <c r="K1542" i="9"/>
  <c r="N1542" i="9"/>
  <c r="O1542" i="9"/>
  <c r="K1543" i="9"/>
  <c r="N1543" i="9"/>
  <c r="O1543" i="9"/>
  <c r="N1544" i="9"/>
  <c r="O1544" i="9"/>
  <c r="J1545" i="9"/>
  <c r="K1545" i="9"/>
  <c r="N1545" i="9"/>
  <c r="O1545" i="9"/>
  <c r="I1546" i="9"/>
  <c r="J1546" i="9"/>
  <c r="K1546" i="9"/>
  <c r="N1546" i="9"/>
  <c r="O1546" i="9"/>
  <c r="I1547" i="9"/>
  <c r="J1547" i="9"/>
  <c r="K1547" i="9"/>
  <c r="N1547" i="9"/>
  <c r="O1547" i="9"/>
  <c r="I1548" i="9"/>
  <c r="J1548" i="9"/>
  <c r="K1548" i="9"/>
  <c r="N1548" i="9"/>
  <c r="O1548" i="9"/>
  <c r="N1549" i="9"/>
  <c r="O1549" i="9"/>
  <c r="N1550" i="9"/>
  <c r="O1550" i="9"/>
  <c r="N1551" i="9"/>
  <c r="O1551" i="9"/>
  <c r="I1552" i="9"/>
  <c r="J1552" i="9"/>
  <c r="K1552" i="9"/>
  <c r="N1552" i="9"/>
  <c r="O1552" i="9"/>
  <c r="I1553" i="9"/>
  <c r="J1553" i="9"/>
  <c r="K1553" i="9"/>
  <c r="N1553" i="9"/>
  <c r="O1553" i="9"/>
  <c r="I1554" i="9"/>
  <c r="J1554" i="9"/>
  <c r="K1554" i="9"/>
  <c r="N1554" i="9"/>
  <c r="O1554" i="9"/>
  <c r="I1555" i="9"/>
  <c r="J1555" i="9"/>
  <c r="K1555" i="9"/>
  <c r="N1555" i="9"/>
  <c r="O1555" i="9"/>
  <c r="I1556" i="9"/>
  <c r="J1556" i="9"/>
  <c r="K1556" i="9"/>
  <c r="N1556" i="9"/>
  <c r="O1556" i="9"/>
  <c r="I1557" i="9"/>
  <c r="J1557" i="9"/>
  <c r="K1557" i="9"/>
  <c r="N1557" i="9"/>
  <c r="O1557" i="9"/>
  <c r="I1558" i="9"/>
  <c r="J1558" i="9"/>
  <c r="K1558" i="9"/>
  <c r="N1558" i="9"/>
  <c r="O1558" i="9"/>
  <c r="I1559" i="9"/>
  <c r="K1559" i="9"/>
  <c r="N1559" i="9"/>
  <c r="O1559" i="9"/>
  <c r="I1560" i="9"/>
  <c r="K1560" i="9"/>
  <c r="N1560" i="9"/>
  <c r="O1560" i="9"/>
  <c r="I1561" i="9"/>
  <c r="K1561" i="9"/>
  <c r="N1561" i="9"/>
  <c r="O1561" i="9"/>
  <c r="I1562" i="9"/>
  <c r="K1562" i="9"/>
  <c r="N1562" i="9"/>
  <c r="O1562" i="9"/>
  <c r="I1563" i="9"/>
  <c r="K1563" i="9"/>
  <c r="N1563" i="9"/>
  <c r="O1563" i="9"/>
  <c r="I1564" i="9"/>
  <c r="K1564" i="9"/>
  <c r="N1564" i="9"/>
  <c r="O1564" i="9"/>
  <c r="I1565" i="9"/>
  <c r="K1565" i="9"/>
  <c r="N1565" i="9"/>
  <c r="O1565" i="9"/>
  <c r="J1566" i="9"/>
  <c r="K1566" i="9"/>
  <c r="N1566" i="9"/>
  <c r="O1566" i="9"/>
  <c r="J1567" i="9"/>
  <c r="K1567" i="9"/>
  <c r="N1567" i="9"/>
  <c r="O1567" i="9"/>
  <c r="J1568" i="9"/>
  <c r="K1568" i="9"/>
  <c r="N1568" i="9"/>
  <c r="O1568" i="9"/>
  <c r="N1569" i="9"/>
  <c r="O1569" i="9"/>
  <c r="N1570" i="9"/>
  <c r="O1570" i="9"/>
  <c r="J1571" i="9"/>
  <c r="K1571" i="9"/>
  <c r="N1571" i="9"/>
  <c r="O1571" i="9"/>
  <c r="J1572" i="9"/>
  <c r="K1572" i="9"/>
  <c r="N1572" i="9"/>
  <c r="O1572" i="9"/>
  <c r="I1573" i="9"/>
  <c r="J1573" i="9"/>
  <c r="K1573" i="9"/>
  <c r="N1573" i="9"/>
  <c r="O1573" i="9"/>
  <c r="K1574" i="9"/>
  <c r="N1574" i="9"/>
  <c r="O1574" i="9"/>
  <c r="J1575" i="9"/>
  <c r="K1575" i="9"/>
  <c r="N1575" i="9"/>
  <c r="O1575" i="9"/>
  <c r="N1576" i="9"/>
  <c r="O1576" i="9"/>
  <c r="N1577" i="9"/>
  <c r="O1577" i="9"/>
  <c r="J1578" i="9"/>
  <c r="K1578" i="9"/>
  <c r="N1578" i="9"/>
  <c r="O1578" i="9"/>
  <c r="K1579" i="9"/>
  <c r="N1579" i="9"/>
  <c r="O1579" i="9"/>
  <c r="J1580" i="9"/>
  <c r="K1580" i="9"/>
  <c r="N1580" i="9"/>
  <c r="O1580" i="9"/>
  <c r="J1581" i="9"/>
  <c r="K1581" i="9"/>
  <c r="N1581" i="9"/>
  <c r="O1581" i="9"/>
  <c r="J1582" i="9"/>
  <c r="K1582" i="9"/>
  <c r="N1582" i="9"/>
  <c r="O1582" i="9"/>
  <c r="J1583" i="9"/>
  <c r="K1583" i="9"/>
  <c r="N1583" i="9"/>
  <c r="O1583" i="9"/>
  <c r="K1584" i="9"/>
  <c r="N1584" i="9"/>
  <c r="O1584" i="9"/>
  <c r="N1585" i="9"/>
  <c r="O1585" i="9"/>
  <c r="J1586" i="9"/>
  <c r="K1586" i="9"/>
  <c r="N1586" i="9"/>
  <c r="O1586" i="9"/>
  <c r="N1587" i="9"/>
  <c r="O1587" i="9"/>
  <c r="J1588" i="9"/>
  <c r="K1588" i="9"/>
  <c r="N1588" i="9"/>
  <c r="O1588" i="9"/>
  <c r="I1589" i="9"/>
  <c r="J1589" i="9"/>
  <c r="K1589" i="9"/>
  <c r="N1589" i="9"/>
  <c r="O1589" i="9"/>
  <c r="I1590" i="9"/>
  <c r="J1590" i="9"/>
  <c r="K1590" i="9"/>
  <c r="N1590" i="9"/>
  <c r="O1590" i="9"/>
  <c r="I1591" i="9"/>
  <c r="J1591" i="9"/>
  <c r="K1591" i="9"/>
  <c r="N1591" i="9"/>
  <c r="O1591" i="9"/>
  <c r="I1592" i="9"/>
  <c r="J1592" i="9"/>
  <c r="K1592" i="9"/>
  <c r="N1592" i="9"/>
  <c r="O1592" i="9"/>
  <c r="I1593" i="9"/>
  <c r="J1593" i="9"/>
  <c r="K1593" i="9"/>
  <c r="N1593" i="9"/>
  <c r="O1593" i="9"/>
  <c r="I1594" i="9"/>
  <c r="J1594" i="9"/>
  <c r="K1594" i="9"/>
  <c r="N1594" i="9"/>
  <c r="O1594" i="9"/>
  <c r="I1595" i="9"/>
  <c r="J1595" i="9"/>
  <c r="K1595" i="9"/>
  <c r="N1595" i="9"/>
  <c r="O1595" i="9"/>
  <c r="I1596" i="9"/>
  <c r="J1596" i="9"/>
  <c r="K1596" i="9"/>
  <c r="N1596" i="9"/>
  <c r="O1596" i="9"/>
  <c r="I1597" i="9"/>
  <c r="K1597" i="9"/>
  <c r="N1597" i="9"/>
  <c r="O1597" i="9"/>
  <c r="I1598" i="9"/>
  <c r="K1598" i="9"/>
  <c r="N1598" i="9"/>
  <c r="O1598" i="9"/>
  <c r="I1599" i="9"/>
  <c r="K1599" i="9"/>
  <c r="N1599" i="9"/>
  <c r="O1599" i="9"/>
  <c r="J1600" i="9"/>
  <c r="K1600" i="9"/>
  <c r="N1600" i="9"/>
  <c r="O1600" i="9"/>
  <c r="I1601" i="9"/>
  <c r="K1601" i="9"/>
  <c r="N1601" i="9"/>
  <c r="O1601" i="9"/>
  <c r="I1602" i="9"/>
  <c r="J1602" i="9"/>
  <c r="K1602" i="9"/>
  <c r="N1602" i="9"/>
  <c r="O1602" i="9"/>
  <c r="I1603" i="9"/>
  <c r="J1603" i="9"/>
  <c r="K1603" i="9"/>
  <c r="N1603" i="9"/>
  <c r="O1603" i="9"/>
  <c r="I1604" i="9"/>
  <c r="J1604" i="9"/>
  <c r="K1604" i="9"/>
  <c r="N1604" i="9"/>
  <c r="O1604" i="9"/>
  <c r="I1605" i="9"/>
  <c r="J1605" i="9"/>
  <c r="K1605" i="9"/>
  <c r="N1605" i="9"/>
  <c r="O1605" i="9"/>
  <c r="I1606" i="9"/>
  <c r="K1606" i="9"/>
  <c r="N1606" i="9"/>
  <c r="O1606" i="9"/>
  <c r="I1607" i="9"/>
  <c r="K1607" i="9"/>
  <c r="N1607" i="9"/>
  <c r="O1607" i="9"/>
  <c r="I1608" i="9"/>
  <c r="J1608" i="9"/>
  <c r="K1608" i="9"/>
  <c r="N1608" i="9"/>
  <c r="O1608" i="9"/>
  <c r="J1609" i="9"/>
  <c r="K1609" i="9"/>
  <c r="N1609" i="9"/>
  <c r="O1609" i="9"/>
  <c r="I1610" i="9"/>
  <c r="J1610" i="9"/>
  <c r="K1610" i="9"/>
  <c r="N1610" i="9"/>
  <c r="O1610" i="9"/>
  <c r="K1611" i="9"/>
  <c r="N1611" i="9"/>
  <c r="O1611" i="9"/>
  <c r="N1612" i="9"/>
  <c r="O1612" i="9"/>
  <c r="N1613" i="9"/>
  <c r="O1613" i="9"/>
  <c r="N1614" i="9"/>
  <c r="O1614" i="9"/>
  <c r="N1615" i="9"/>
  <c r="O1615" i="9"/>
  <c r="N1616" i="9"/>
  <c r="O1616" i="9"/>
  <c r="N1617" i="9"/>
  <c r="O1617" i="9"/>
  <c r="N1618" i="9"/>
  <c r="O1618" i="9"/>
  <c r="N1619" i="9"/>
  <c r="O1619" i="9"/>
  <c r="N1620" i="9"/>
  <c r="O1620" i="9"/>
  <c r="K1621" i="9"/>
  <c r="N1621" i="9"/>
  <c r="O1621" i="9"/>
  <c r="N1622" i="9"/>
  <c r="O1622" i="9"/>
  <c r="N1623" i="9"/>
  <c r="O1623" i="9"/>
  <c r="N1624" i="9"/>
  <c r="O1624" i="9"/>
  <c r="N1625" i="9"/>
  <c r="O1625" i="9"/>
  <c r="N1626" i="9"/>
  <c r="O1626" i="9"/>
  <c r="N1627" i="9"/>
  <c r="O1627" i="9"/>
  <c r="N1628" i="9"/>
  <c r="O1628" i="9"/>
  <c r="N1629" i="9"/>
  <c r="O1629" i="9"/>
  <c r="N1630" i="9"/>
  <c r="O1630" i="9"/>
  <c r="N1631" i="9"/>
  <c r="O1631" i="9"/>
  <c r="N1632" i="9"/>
  <c r="O1632" i="9"/>
  <c r="N1633" i="9"/>
  <c r="O1633" i="9"/>
  <c r="N1634" i="9"/>
  <c r="O1634" i="9"/>
  <c r="N1635" i="9"/>
  <c r="O1635" i="9"/>
  <c r="N1636" i="9"/>
  <c r="O1636" i="9"/>
  <c r="N1637" i="9"/>
  <c r="O1637" i="9"/>
  <c r="N1638" i="9"/>
  <c r="O1638" i="9"/>
  <c r="N1639" i="9"/>
  <c r="O1639" i="9"/>
  <c r="N1640" i="9"/>
  <c r="O1640" i="9"/>
  <c r="N1641" i="9"/>
  <c r="O1641" i="9"/>
  <c r="N1642" i="9"/>
  <c r="O1642" i="9"/>
  <c r="N1643" i="9"/>
  <c r="O1643" i="9"/>
  <c r="N1644" i="9"/>
  <c r="O1644" i="9"/>
  <c r="N1645" i="9"/>
  <c r="O1645" i="9"/>
  <c r="N1646" i="9"/>
  <c r="O1646" i="9"/>
  <c r="N1647" i="9"/>
  <c r="O1647" i="9"/>
  <c r="N1648" i="9"/>
  <c r="O1648" i="9"/>
  <c r="N1649" i="9"/>
  <c r="O1649" i="9"/>
  <c r="N1650" i="9"/>
  <c r="O1650" i="9"/>
  <c r="N1651" i="9"/>
  <c r="O1651" i="9"/>
  <c r="N1652" i="9"/>
  <c r="O1652" i="9"/>
  <c r="N1653" i="9"/>
  <c r="O1653" i="9"/>
  <c r="N1654" i="9"/>
  <c r="O1654" i="9"/>
  <c r="N1655" i="9"/>
  <c r="O1655" i="9"/>
  <c r="N1656" i="9"/>
  <c r="O1656" i="9"/>
  <c r="N1657" i="9"/>
  <c r="O1657" i="9"/>
  <c r="N1658" i="9"/>
  <c r="O1658" i="9"/>
  <c r="N1659" i="9"/>
  <c r="O1659" i="9"/>
  <c r="N1660" i="9"/>
  <c r="O1660" i="9"/>
  <c r="N1661" i="9"/>
  <c r="O1661" i="9"/>
  <c r="N1662" i="9"/>
  <c r="O1662" i="9"/>
  <c r="I1663" i="9"/>
  <c r="J1663" i="9"/>
  <c r="K1663" i="9"/>
  <c r="N1663" i="9"/>
  <c r="O1663" i="9"/>
  <c r="I1664" i="9"/>
  <c r="J1664" i="9"/>
  <c r="K1664" i="9"/>
  <c r="N1664" i="9"/>
  <c r="O1664" i="9"/>
  <c r="N1665" i="9"/>
  <c r="O1665" i="9"/>
  <c r="J1666" i="9"/>
  <c r="K1666" i="9"/>
  <c r="N1666" i="9"/>
  <c r="O1666" i="9"/>
  <c r="J1667" i="9"/>
  <c r="K1667" i="9"/>
  <c r="N1667" i="9"/>
  <c r="O1667" i="9"/>
  <c r="I1668" i="9"/>
  <c r="J1668" i="9"/>
  <c r="K1668" i="9"/>
  <c r="N1668" i="9"/>
  <c r="O1668" i="9"/>
  <c r="I1669" i="9"/>
  <c r="J1669" i="9"/>
  <c r="K1669" i="9"/>
  <c r="N1669" i="9"/>
  <c r="O1669" i="9"/>
  <c r="I1670" i="9"/>
  <c r="J1670" i="9"/>
  <c r="K1670" i="9"/>
  <c r="N1670" i="9"/>
  <c r="O1670" i="9"/>
  <c r="I1671" i="9"/>
  <c r="J1671" i="9"/>
  <c r="K1671" i="9"/>
  <c r="N1671" i="9"/>
  <c r="O1671" i="9"/>
  <c r="I1672" i="9"/>
  <c r="K1672" i="9"/>
  <c r="N1672" i="9"/>
  <c r="O1672" i="9"/>
  <c r="J1673" i="9"/>
  <c r="K1673" i="9"/>
  <c r="N1673" i="9"/>
  <c r="O1673" i="9"/>
  <c r="J1674" i="9"/>
  <c r="K1674" i="9"/>
  <c r="N1674" i="9"/>
  <c r="O1674" i="9"/>
  <c r="N1504" i="9"/>
  <c r="O1504" i="9"/>
  <c r="J1012" i="9"/>
  <c r="K1012" i="9"/>
  <c r="N1012" i="9"/>
  <c r="O1012" i="9"/>
  <c r="N1013" i="9"/>
  <c r="O1013" i="9"/>
  <c r="J1014" i="9"/>
  <c r="K1014" i="9"/>
  <c r="N1014" i="9"/>
  <c r="O1014" i="9"/>
  <c r="N1015" i="9"/>
  <c r="O1015" i="9"/>
  <c r="N1016" i="9"/>
  <c r="O1016" i="9"/>
  <c r="N1017" i="9"/>
  <c r="O1017" i="9"/>
  <c r="N1018" i="9"/>
  <c r="O1018" i="9"/>
  <c r="N1019" i="9"/>
  <c r="O1019" i="9"/>
  <c r="N1020" i="9"/>
  <c r="O1020" i="9"/>
  <c r="J1021" i="9"/>
  <c r="K1021" i="9"/>
  <c r="N1021" i="9"/>
  <c r="O1021" i="9"/>
  <c r="J1022" i="9"/>
  <c r="K1022" i="9"/>
  <c r="N1022" i="9"/>
  <c r="O1022" i="9"/>
  <c r="K1023" i="9"/>
  <c r="N1023" i="9"/>
  <c r="O1023" i="9"/>
  <c r="J1024" i="9"/>
  <c r="K1024" i="9"/>
  <c r="N1024" i="9"/>
  <c r="O1024" i="9"/>
  <c r="I1025" i="9"/>
  <c r="J1025" i="9"/>
  <c r="K1025" i="9"/>
  <c r="N1025" i="9"/>
  <c r="O1025" i="9"/>
  <c r="I1026" i="9"/>
  <c r="J1026" i="9"/>
  <c r="K1026" i="9"/>
  <c r="N1026" i="9"/>
  <c r="O1026" i="9"/>
  <c r="I1027" i="9"/>
  <c r="J1027" i="9"/>
  <c r="K1027" i="9"/>
  <c r="N1027" i="9"/>
  <c r="O1027" i="9"/>
  <c r="I1028" i="9"/>
  <c r="J1028" i="9"/>
  <c r="K1028" i="9"/>
  <c r="N1028" i="9"/>
  <c r="O1028" i="9"/>
  <c r="I1029" i="9"/>
  <c r="J1029" i="9"/>
  <c r="K1029" i="9"/>
  <c r="N1029" i="9"/>
  <c r="O1029" i="9"/>
  <c r="I1030" i="9"/>
  <c r="J1030" i="9"/>
  <c r="K1030" i="9"/>
  <c r="N1030" i="9"/>
  <c r="O1030" i="9"/>
  <c r="I1031" i="9"/>
  <c r="J1031" i="9"/>
  <c r="K1031" i="9"/>
  <c r="N1031" i="9"/>
  <c r="O1031" i="9"/>
  <c r="I1032" i="9"/>
  <c r="J1032" i="9"/>
  <c r="K1032" i="9"/>
  <c r="N1032" i="9"/>
  <c r="O1032" i="9"/>
  <c r="I1033" i="9"/>
  <c r="J1033" i="9"/>
  <c r="K1033" i="9"/>
  <c r="N1033" i="9"/>
  <c r="O1033" i="9"/>
  <c r="I1034" i="9"/>
  <c r="J1034" i="9"/>
  <c r="K1034" i="9"/>
  <c r="N1034" i="9"/>
  <c r="O1034" i="9"/>
  <c r="I1035" i="9"/>
  <c r="J1035" i="9"/>
  <c r="K1035" i="9"/>
  <c r="N1035" i="9"/>
  <c r="O1035" i="9"/>
  <c r="I1036" i="9"/>
  <c r="J1036" i="9"/>
  <c r="K1036" i="9"/>
  <c r="N1036" i="9"/>
  <c r="O1036" i="9"/>
  <c r="I1037" i="9"/>
  <c r="J1037" i="9"/>
  <c r="K1037" i="9"/>
  <c r="N1037" i="9"/>
  <c r="O1037" i="9"/>
  <c r="I1038" i="9"/>
  <c r="J1038" i="9"/>
  <c r="K1038" i="9"/>
  <c r="N1038" i="9"/>
  <c r="O1038" i="9"/>
  <c r="I1039" i="9"/>
  <c r="J1039" i="9"/>
  <c r="K1039" i="9"/>
  <c r="N1039" i="9"/>
  <c r="O1039" i="9"/>
  <c r="I1040" i="9"/>
  <c r="J1040" i="9"/>
  <c r="K1040" i="9"/>
  <c r="N1040" i="9"/>
  <c r="O1040" i="9"/>
  <c r="I1041" i="9"/>
  <c r="J1041" i="9"/>
  <c r="K1041" i="9"/>
  <c r="N1041" i="9"/>
  <c r="O1041" i="9"/>
  <c r="I1042" i="9"/>
  <c r="J1042" i="9"/>
  <c r="K1042" i="9"/>
  <c r="N1042" i="9"/>
  <c r="O1042" i="9"/>
  <c r="I1043" i="9"/>
  <c r="J1043" i="9"/>
  <c r="K1043" i="9"/>
  <c r="N1043" i="9"/>
  <c r="O1043" i="9"/>
  <c r="I1044" i="9"/>
  <c r="J1044" i="9"/>
  <c r="K1044" i="9"/>
  <c r="N1044" i="9"/>
  <c r="O1044" i="9"/>
  <c r="I1045" i="9"/>
  <c r="J1045" i="9"/>
  <c r="K1045" i="9"/>
  <c r="N1045" i="9"/>
  <c r="O1045" i="9"/>
  <c r="I1046" i="9"/>
  <c r="J1046" i="9"/>
  <c r="K1046" i="9"/>
  <c r="O1046" i="9"/>
  <c r="I1047" i="9"/>
  <c r="J1047" i="9"/>
  <c r="K1047" i="9"/>
  <c r="N1047" i="9"/>
  <c r="O1047" i="9"/>
  <c r="I1048" i="9"/>
  <c r="J1048" i="9"/>
  <c r="K1048" i="9"/>
  <c r="N1048" i="9"/>
  <c r="O1048" i="9"/>
  <c r="I1049" i="9"/>
  <c r="J1049" i="9"/>
  <c r="K1049" i="9"/>
  <c r="N1049" i="9"/>
  <c r="O1049" i="9"/>
  <c r="I1050" i="9"/>
  <c r="J1050" i="9"/>
  <c r="K1050" i="9"/>
  <c r="N1050" i="9"/>
  <c r="O1050" i="9"/>
  <c r="I1051" i="9"/>
  <c r="K1051" i="9"/>
  <c r="N1051" i="9"/>
  <c r="O1051" i="9"/>
  <c r="I1052" i="9"/>
  <c r="K1052" i="9"/>
  <c r="N1052" i="9"/>
  <c r="O1052" i="9"/>
  <c r="I1053" i="9"/>
  <c r="K1053" i="9"/>
  <c r="N1053" i="9"/>
  <c r="O1053" i="9"/>
  <c r="I1054" i="9"/>
  <c r="K1054" i="9"/>
  <c r="N1054" i="9"/>
  <c r="O1054" i="9"/>
  <c r="K1055" i="9"/>
  <c r="N1055" i="9"/>
  <c r="O1055" i="9"/>
  <c r="N1056" i="9"/>
  <c r="O1056" i="9"/>
  <c r="N1057" i="9"/>
  <c r="O1057" i="9"/>
  <c r="N1058" i="9"/>
  <c r="O1058" i="9"/>
  <c r="N1059" i="9"/>
  <c r="O1059" i="9"/>
  <c r="N1060" i="9"/>
  <c r="O1060" i="9"/>
  <c r="N1061" i="9"/>
  <c r="O1061" i="9"/>
  <c r="J1062" i="9"/>
  <c r="K1062" i="9"/>
  <c r="N1062" i="9"/>
  <c r="O1062" i="9"/>
  <c r="N1063" i="9"/>
  <c r="O1063" i="9"/>
  <c r="K1064" i="9"/>
  <c r="N1064" i="9"/>
  <c r="O1064" i="9"/>
  <c r="N1065" i="9"/>
  <c r="O1065" i="9"/>
  <c r="I1066" i="9"/>
  <c r="J1066" i="9"/>
  <c r="K1066" i="9"/>
  <c r="N1066" i="9"/>
  <c r="O1066" i="9"/>
  <c r="N1067" i="9"/>
  <c r="O1067" i="9"/>
  <c r="I1068" i="9"/>
  <c r="J1068" i="9"/>
  <c r="K1068" i="9"/>
  <c r="N1068" i="9"/>
  <c r="O1068" i="9"/>
  <c r="I1069" i="9"/>
  <c r="J1069" i="9"/>
  <c r="K1069" i="9"/>
  <c r="N1069" i="9"/>
  <c r="O1069" i="9"/>
  <c r="I1070" i="9"/>
  <c r="J1070" i="9"/>
  <c r="K1070" i="9"/>
  <c r="N1070" i="9"/>
  <c r="O1070" i="9"/>
  <c r="I1071" i="9"/>
  <c r="J1071" i="9"/>
  <c r="K1071" i="9"/>
  <c r="N1071" i="9"/>
  <c r="O1071" i="9"/>
  <c r="I1072" i="9"/>
  <c r="J1072" i="9"/>
  <c r="K1072" i="9"/>
  <c r="N1072" i="9"/>
  <c r="O1072" i="9"/>
  <c r="I1073" i="9"/>
  <c r="K1073" i="9"/>
  <c r="N1073" i="9"/>
  <c r="O1073" i="9"/>
  <c r="J1074" i="9"/>
  <c r="K1074" i="9"/>
  <c r="N1074" i="9"/>
  <c r="O1074" i="9"/>
  <c r="I1075" i="9"/>
  <c r="J1075" i="9"/>
  <c r="K1075" i="9"/>
  <c r="N1075" i="9"/>
  <c r="O1075" i="9"/>
  <c r="J1076" i="9"/>
  <c r="K1076" i="9"/>
  <c r="N1076" i="9"/>
  <c r="O1076" i="9"/>
  <c r="I1077" i="9"/>
  <c r="J1077" i="9"/>
  <c r="K1077" i="9"/>
  <c r="N1077" i="9"/>
  <c r="O1077" i="9"/>
  <c r="I1078" i="9"/>
  <c r="J1078" i="9"/>
  <c r="K1078" i="9"/>
  <c r="N1078" i="9"/>
  <c r="O1078" i="9"/>
  <c r="I1079" i="9"/>
  <c r="J1079" i="9"/>
  <c r="K1079" i="9"/>
  <c r="N1079" i="9"/>
  <c r="O1079" i="9"/>
  <c r="J1080" i="9"/>
  <c r="K1080" i="9"/>
  <c r="N1080" i="9"/>
  <c r="O1080" i="9"/>
  <c r="J1081" i="9"/>
  <c r="K1081" i="9"/>
  <c r="N1081" i="9"/>
  <c r="O1081" i="9"/>
  <c r="J1082" i="9"/>
  <c r="K1082" i="9"/>
  <c r="N1082" i="9"/>
  <c r="O1082" i="9"/>
  <c r="I1083" i="9"/>
  <c r="J1083" i="9"/>
  <c r="K1083" i="9"/>
  <c r="N1083" i="9"/>
  <c r="O1083" i="9"/>
  <c r="I1084" i="9"/>
  <c r="J1084" i="9"/>
  <c r="K1084" i="9"/>
  <c r="N1084" i="9"/>
  <c r="O1084" i="9"/>
  <c r="I1085" i="9"/>
  <c r="J1085" i="9"/>
  <c r="K1085" i="9"/>
  <c r="N1085" i="9"/>
  <c r="O1085" i="9"/>
  <c r="I1086" i="9"/>
  <c r="J1086" i="9"/>
  <c r="K1086" i="9"/>
  <c r="N1086" i="9"/>
  <c r="O1086" i="9"/>
  <c r="I1087" i="9"/>
  <c r="J1087" i="9"/>
  <c r="K1087" i="9"/>
  <c r="O1087" i="9"/>
  <c r="I1088" i="9"/>
  <c r="J1088" i="9"/>
  <c r="K1088" i="9"/>
  <c r="N1088" i="9"/>
  <c r="O1088" i="9"/>
  <c r="I1089" i="9"/>
  <c r="J1089" i="9"/>
  <c r="K1089" i="9"/>
  <c r="N1089" i="9"/>
  <c r="O1089" i="9"/>
  <c r="I1090" i="9"/>
  <c r="J1090" i="9"/>
  <c r="K1090" i="9"/>
  <c r="N1090" i="9"/>
  <c r="O1090" i="9"/>
  <c r="I1091" i="9"/>
  <c r="J1091" i="9"/>
  <c r="K1091" i="9"/>
  <c r="N1091" i="9"/>
  <c r="O1091" i="9"/>
  <c r="I1092" i="9"/>
  <c r="K1092" i="9"/>
  <c r="N1092" i="9"/>
  <c r="O1092" i="9"/>
  <c r="I1093" i="9"/>
  <c r="K1093" i="9"/>
  <c r="N1093" i="9"/>
  <c r="O1093" i="9"/>
  <c r="I1094" i="9"/>
  <c r="K1094" i="9"/>
  <c r="N1094" i="9"/>
  <c r="O1094" i="9"/>
  <c r="K1095" i="9"/>
  <c r="N1095" i="9"/>
  <c r="O1095" i="9"/>
  <c r="N1096" i="9"/>
  <c r="O1096" i="9"/>
  <c r="J1097" i="9"/>
  <c r="K1097" i="9"/>
  <c r="N1097" i="9"/>
  <c r="O1097" i="9"/>
  <c r="J1098" i="9"/>
  <c r="K1098" i="9"/>
  <c r="N1098" i="9"/>
  <c r="O1098" i="9"/>
  <c r="J1099" i="9"/>
  <c r="K1099" i="9"/>
  <c r="N1099" i="9"/>
  <c r="O1099" i="9"/>
  <c r="K1100" i="9"/>
  <c r="N1100" i="9"/>
  <c r="O1100" i="9"/>
  <c r="J1101" i="9"/>
  <c r="K1101" i="9"/>
  <c r="N1101" i="9"/>
  <c r="O1101" i="9"/>
  <c r="J1102" i="9"/>
  <c r="K1102" i="9"/>
  <c r="N1102" i="9"/>
  <c r="O1102" i="9"/>
  <c r="N1103" i="9"/>
  <c r="O1103" i="9"/>
  <c r="N1104" i="9"/>
  <c r="O1104" i="9"/>
  <c r="J1105" i="9"/>
  <c r="K1105" i="9"/>
  <c r="N1105" i="9"/>
  <c r="O1105" i="9"/>
  <c r="N1106" i="9"/>
  <c r="O1106" i="9"/>
  <c r="J1107" i="9"/>
  <c r="K1107" i="9"/>
  <c r="N1107" i="9"/>
  <c r="O1107" i="9"/>
  <c r="N1108" i="9"/>
  <c r="O1108" i="9"/>
  <c r="N1109" i="9"/>
  <c r="O1109" i="9"/>
  <c r="N1110" i="9"/>
  <c r="O1110" i="9"/>
  <c r="N1111" i="9"/>
  <c r="O1111" i="9"/>
  <c r="N1112" i="9"/>
  <c r="O1112" i="9"/>
  <c r="N1113" i="9"/>
  <c r="O1113" i="9"/>
  <c r="N1114" i="9"/>
  <c r="O1114" i="9"/>
  <c r="N1115" i="9"/>
  <c r="O1115" i="9"/>
  <c r="N1116" i="9"/>
  <c r="O1116" i="9"/>
  <c r="J1117" i="9"/>
  <c r="K1117" i="9"/>
  <c r="N1117" i="9"/>
  <c r="O1117" i="9"/>
  <c r="J1118" i="9"/>
  <c r="K1118" i="9"/>
  <c r="N1118" i="9"/>
  <c r="O1118" i="9"/>
  <c r="N1119" i="9"/>
  <c r="O1119" i="9"/>
  <c r="J1120" i="9"/>
  <c r="K1120" i="9"/>
  <c r="N1120" i="9"/>
  <c r="O1120" i="9"/>
  <c r="I1121" i="9"/>
  <c r="J1121" i="9"/>
  <c r="K1121" i="9"/>
  <c r="N1121" i="9"/>
  <c r="O1121" i="9"/>
  <c r="I1122" i="9"/>
  <c r="J1122" i="9"/>
  <c r="K1122" i="9"/>
  <c r="N1122" i="9"/>
  <c r="O1122" i="9"/>
  <c r="I1123" i="9"/>
  <c r="J1123" i="9"/>
  <c r="K1123" i="9"/>
  <c r="N1123" i="9"/>
  <c r="O1123" i="9"/>
  <c r="I1124" i="9"/>
  <c r="J1124" i="9"/>
  <c r="K1124" i="9"/>
  <c r="O1124" i="9"/>
  <c r="I1125" i="9"/>
  <c r="J1125" i="9"/>
  <c r="K1125" i="9"/>
  <c r="N1125" i="9"/>
  <c r="O1125" i="9"/>
  <c r="I1126" i="9"/>
  <c r="J1126" i="9"/>
  <c r="K1126" i="9"/>
  <c r="N1126" i="9"/>
  <c r="O1126" i="9"/>
  <c r="N1127" i="9"/>
  <c r="O1127" i="9"/>
  <c r="I1128" i="9"/>
  <c r="J1128" i="9"/>
  <c r="K1128" i="9"/>
  <c r="N1128" i="9"/>
  <c r="O1128" i="9"/>
  <c r="I1129" i="9"/>
  <c r="J1129" i="9"/>
  <c r="K1129" i="9"/>
  <c r="N1129" i="9"/>
  <c r="O1129" i="9"/>
  <c r="I1130" i="9"/>
  <c r="J1130" i="9"/>
  <c r="K1130" i="9"/>
  <c r="N1130" i="9"/>
  <c r="O1130" i="9"/>
  <c r="I1131" i="9"/>
  <c r="J1131" i="9"/>
  <c r="K1131" i="9"/>
  <c r="N1131" i="9"/>
  <c r="O1131" i="9"/>
  <c r="I1132" i="9"/>
  <c r="K1132" i="9"/>
  <c r="N1132" i="9"/>
  <c r="O1132" i="9"/>
  <c r="I1133" i="9"/>
  <c r="K1133" i="9"/>
  <c r="N1133" i="9"/>
  <c r="O1133" i="9"/>
  <c r="I1134" i="9"/>
  <c r="K1134" i="9"/>
  <c r="N1134" i="9"/>
  <c r="O1134" i="9"/>
  <c r="I1135" i="9"/>
  <c r="K1135" i="9"/>
  <c r="N1135" i="9"/>
  <c r="O1135" i="9"/>
  <c r="I1136" i="9"/>
  <c r="J1136" i="9"/>
  <c r="K1136" i="9"/>
  <c r="N1136" i="9"/>
  <c r="O1136" i="9"/>
  <c r="I1137" i="9"/>
  <c r="J1137" i="9"/>
  <c r="K1137" i="9"/>
  <c r="N1137" i="9"/>
  <c r="O1137" i="9"/>
  <c r="J1138" i="9"/>
  <c r="K1138" i="9"/>
  <c r="N1138" i="9"/>
  <c r="O1138" i="9"/>
  <c r="N1139" i="9"/>
  <c r="O1139" i="9"/>
  <c r="K1140" i="9"/>
  <c r="N1140" i="9"/>
  <c r="O1140" i="9"/>
  <c r="N1141" i="9"/>
  <c r="O1141" i="9"/>
  <c r="J1142" i="9"/>
  <c r="K1142" i="9"/>
  <c r="N1142" i="9"/>
  <c r="O1142" i="9"/>
  <c r="I1143" i="9"/>
  <c r="J1143" i="9"/>
  <c r="K1143" i="9"/>
  <c r="N1143" i="9"/>
  <c r="O1143" i="9"/>
  <c r="I1144" i="9"/>
  <c r="J1144" i="9"/>
  <c r="K1144" i="9"/>
  <c r="N1144" i="9"/>
  <c r="O1144" i="9"/>
  <c r="J1145" i="9"/>
  <c r="K1145" i="9"/>
  <c r="N1145" i="9"/>
  <c r="O1145" i="9"/>
  <c r="J1146" i="9"/>
  <c r="K1146" i="9"/>
  <c r="N1146" i="9"/>
  <c r="O1146" i="9"/>
  <c r="N1147" i="9"/>
  <c r="O1147" i="9"/>
  <c r="N1148" i="9"/>
  <c r="O1148" i="9"/>
  <c r="N1149" i="9"/>
  <c r="O1149" i="9"/>
  <c r="J1150" i="9"/>
  <c r="K1150" i="9"/>
  <c r="N1150" i="9"/>
  <c r="O1150" i="9"/>
  <c r="J1151" i="9"/>
  <c r="K1151" i="9"/>
  <c r="N1151" i="9"/>
  <c r="O1151" i="9"/>
  <c r="I1152" i="9"/>
  <c r="J1152" i="9"/>
  <c r="K1152" i="9"/>
  <c r="N1152" i="9"/>
  <c r="O1152" i="9"/>
  <c r="J1153" i="9"/>
  <c r="K1153" i="9"/>
  <c r="N1153" i="9"/>
  <c r="O1153" i="9"/>
  <c r="J1154" i="9"/>
  <c r="K1154" i="9"/>
  <c r="N1154" i="9"/>
  <c r="O1154" i="9"/>
  <c r="N1155" i="9"/>
  <c r="O1155" i="9"/>
  <c r="J1156" i="9"/>
  <c r="K1156" i="9"/>
  <c r="N1156" i="9"/>
  <c r="O1156" i="9"/>
  <c r="J1157" i="9"/>
  <c r="K1157" i="9"/>
  <c r="N1157" i="9"/>
  <c r="O1157" i="9"/>
  <c r="N1158" i="9"/>
  <c r="O1158" i="9"/>
  <c r="I1159" i="9"/>
  <c r="J1159" i="9"/>
  <c r="K1159" i="9"/>
  <c r="N1159" i="9"/>
  <c r="O1159" i="9"/>
  <c r="J1160" i="9"/>
  <c r="K1160" i="9"/>
  <c r="N1160" i="9"/>
  <c r="O1160" i="9"/>
  <c r="J1161" i="9"/>
  <c r="K1161" i="9"/>
  <c r="N1161" i="9"/>
  <c r="O1161" i="9"/>
  <c r="I1162" i="9"/>
  <c r="J1162" i="9"/>
  <c r="K1162" i="9"/>
  <c r="N1162" i="9"/>
  <c r="O1162" i="9"/>
  <c r="I1163" i="9"/>
  <c r="J1163" i="9"/>
  <c r="K1163" i="9"/>
  <c r="N1163" i="9"/>
  <c r="O1163" i="9"/>
  <c r="J1164" i="9"/>
  <c r="K1164" i="9"/>
  <c r="N1164" i="9"/>
  <c r="O1164" i="9"/>
  <c r="J1165" i="9"/>
  <c r="K1165" i="9"/>
  <c r="N1165" i="9"/>
  <c r="O1165" i="9"/>
  <c r="J1166" i="9"/>
  <c r="K1166" i="9"/>
  <c r="N1166" i="9"/>
  <c r="O1166" i="9"/>
  <c r="I1167" i="9"/>
  <c r="J1167" i="9"/>
  <c r="K1167" i="9"/>
  <c r="N1167" i="9"/>
  <c r="O1167" i="9"/>
  <c r="I1168" i="9"/>
  <c r="J1168" i="9"/>
  <c r="K1168" i="9"/>
  <c r="N1168" i="9"/>
  <c r="O1168" i="9"/>
  <c r="I1169" i="9"/>
  <c r="J1169" i="9"/>
  <c r="K1169" i="9"/>
  <c r="N1169" i="9"/>
  <c r="O1169" i="9"/>
  <c r="I1170" i="9"/>
  <c r="J1170" i="9"/>
  <c r="K1170" i="9"/>
  <c r="N1170" i="9"/>
  <c r="O1170" i="9"/>
  <c r="I1171" i="9"/>
  <c r="J1171" i="9"/>
  <c r="K1171" i="9"/>
  <c r="N1171" i="9"/>
  <c r="O1171" i="9"/>
  <c r="I1172" i="9"/>
  <c r="J1172" i="9"/>
  <c r="K1172" i="9"/>
  <c r="N1172" i="9"/>
  <c r="O1172" i="9"/>
  <c r="I1173" i="9"/>
  <c r="J1173" i="9"/>
  <c r="K1173" i="9"/>
  <c r="N1173" i="9"/>
  <c r="O1173" i="9"/>
  <c r="I1174" i="9"/>
  <c r="J1174" i="9"/>
  <c r="K1174" i="9"/>
  <c r="N1174" i="9"/>
  <c r="O1174" i="9"/>
  <c r="I1175" i="9"/>
  <c r="J1175" i="9"/>
  <c r="K1175" i="9"/>
  <c r="N1175" i="9"/>
  <c r="O1175" i="9"/>
  <c r="I1176" i="9"/>
  <c r="J1176" i="9"/>
  <c r="K1176" i="9"/>
  <c r="N1176" i="9"/>
  <c r="O1176" i="9"/>
  <c r="I1177" i="9"/>
  <c r="J1177" i="9"/>
  <c r="K1177" i="9"/>
  <c r="N1177" i="9"/>
  <c r="O1177" i="9"/>
  <c r="I1178" i="9"/>
  <c r="J1178" i="9"/>
  <c r="K1178" i="9"/>
  <c r="N1178" i="9"/>
  <c r="O1178" i="9"/>
  <c r="I1179" i="9"/>
  <c r="J1179" i="9"/>
  <c r="K1179" i="9"/>
  <c r="N1179" i="9"/>
  <c r="O1179" i="9"/>
  <c r="I1180" i="9"/>
  <c r="J1180" i="9"/>
  <c r="K1180" i="9"/>
  <c r="N1180" i="9"/>
  <c r="O1180" i="9"/>
  <c r="I1181" i="9"/>
  <c r="J1181" i="9"/>
  <c r="K1181" i="9"/>
  <c r="N1181" i="9"/>
  <c r="O1181" i="9"/>
  <c r="I1182" i="9"/>
  <c r="J1182" i="9"/>
  <c r="K1182" i="9"/>
  <c r="N1182" i="9"/>
  <c r="O1182" i="9"/>
  <c r="I1183" i="9"/>
  <c r="J1183" i="9"/>
  <c r="K1183" i="9"/>
  <c r="N1183" i="9"/>
  <c r="O1183" i="9"/>
  <c r="I1184" i="9"/>
  <c r="J1184" i="9"/>
  <c r="K1184" i="9"/>
  <c r="N1184" i="9"/>
  <c r="O1184" i="9"/>
  <c r="I1185" i="9"/>
  <c r="J1185" i="9"/>
  <c r="K1185" i="9"/>
  <c r="N1185" i="9"/>
  <c r="O1185" i="9"/>
  <c r="I1186" i="9"/>
  <c r="J1186" i="9"/>
  <c r="K1186" i="9"/>
  <c r="N1186" i="9"/>
  <c r="O1186" i="9"/>
  <c r="I1187" i="9"/>
  <c r="J1187" i="9"/>
  <c r="K1187" i="9"/>
  <c r="N1187" i="9"/>
  <c r="O1187" i="9"/>
  <c r="I1188" i="9"/>
  <c r="J1188" i="9"/>
  <c r="K1188" i="9"/>
  <c r="N1188" i="9"/>
  <c r="O1188" i="9"/>
  <c r="I1189" i="9"/>
  <c r="J1189" i="9"/>
  <c r="K1189" i="9"/>
  <c r="N1189" i="9"/>
  <c r="O1189" i="9"/>
  <c r="I1190" i="9"/>
  <c r="J1190" i="9"/>
  <c r="K1190" i="9"/>
  <c r="N1190" i="9"/>
  <c r="O1190" i="9"/>
  <c r="I1191" i="9"/>
  <c r="J1191" i="9"/>
  <c r="K1191" i="9"/>
  <c r="N1191" i="9"/>
  <c r="O1191" i="9"/>
  <c r="I1192" i="9"/>
  <c r="J1192" i="9"/>
  <c r="K1192" i="9"/>
  <c r="N1192" i="9"/>
  <c r="O1192" i="9"/>
  <c r="I1193" i="9"/>
  <c r="J1193" i="9"/>
  <c r="K1193" i="9"/>
  <c r="N1193" i="9"/>
  <c r="O1193" i="9"/>
  <c r="I1194" i="9"/>
  <c r="J1194" i="9"/>
  <c r="K1194" i="9"/>
  <c r="N1194" i="9"/>
  <c r="O1194" i="9"/>
  <c r="J1195" i="9"/>
  <c r="K1195" i="9"/>
  <c r="N1195" i="9"/>
  <c r="O1195" i="9"/>
  <c r="I1196" i="9"/>
  <c r="J1196" i="9"/>
  <c r="K1196" i="9"/>
  <c r="N1196" i="9"/>
  <c r="O1196" i="9"/>
  <c r="I1197" i="9"/>
  <c r="J1197" i="9"/>
  <c r="K1197" i="9"/>
  <c r="N1197" i="9"/>
  <c r="O1197" i="9"/>
  <c r="I1198" i="9"/>
  <c r="J1198" i="9"/>
  <c r="K1198" i="9"/>
  <c r="N1198" i="9"/>
  <c r="O1198" i="9"/>
  <c r="J1199" i="9"/>
  <c r="K1199" i="9"/>
  <c r="N1199" i="9"/>
  <c r="O1199" i="9"/>
  <c r="J1200" i="9"/>
  <c r="K1200" i="9"/>
  <c r="N1200" i="9"/>
  <c r="O1200" i="9"/>
  <c r="I1201" i="9"/>
  <c r="J1201" i="9"/>
  <c r="K1201" i="9"/>
  <c r="N1201" i="9"/>
  <c r="O1201" i="9"/>
  <c r="I1202" i="9"/>
  <c r="J1202" i="9"/>
  <c r="K1202" i="9"/>
  <c r="N1202" i="9"/>
  <c r="O1202" i="9"/>
  <c r="I1203" i="9"/>
  <c r="J1203" i="9"/>
  <c r="K1203" i="9"/>
  <c r="N1203" i="9"/>
  <c r="O1203" i="9"/>
  <c r="I1204" i="9"/>
  <c r="J1204" i="9"/>
  <c r="K1204" i="9"/>
  <c r="N1204" i="9"/>
  <c r="O1204" i="9"/>
  <c r="J1205" i="9"/>
  <c r="K1205" i="9"/>
  <c r="N1205" i="9"/>
  <c r="O1205" i="9"/>
  <c r="I1206" i="9"/>
  <c r="J1206" i="9"/>
  <c r="K1206" i="9"/>
  <c r="N1206" i="9"/>
  <c r="O1206" i="9"/>
  <c r="I1207" i="9"/>
  <c r="J1207" i="9"/>
  <c r="K1207" i="9"/>
  <c r="N1207" i="9"/>
  <c r="O1207" i="9"/>
  <c r="I1208" i="9"/>
  <c r="J1208" i="9"/>
  <c r="K1208" i="9"/>
  <c r="N1208" i="9"/>
  <c r="O1208" i="9"/>
  <c r="I1209" i="9"/>
  <c r="J1209" i="9"/>
  <c r="K1209" i="9"/>
  <c r="N1209" i="9"/>
  <c r="O1209" i="9"/>
  <c r="I1210" i="9"/>
  <c r="J1210" i="9"/>
  <c r="K1210" i="9"/>
  <c r="N1210" i="9"/>
  <c r="O1210" i="9"/>
  <c r="I1211" i="9"/>
  <c r="J1211" i="9"/>
  <c r="K1211" i="9"/>
  <c r="N1211" i="9"/>
  <c r="O1211" i="9"/>
  <c r="I1212" i="9"/>
  <c r="J1212" i="9"/>
  <c r="K1212" i="9"/>
  <c r="N1212" i="9"/>
  <c r="O1212" i="9"/>
  <c r="I1213" i="9"/>
  <c r="J1213" i="9"/>
  <c r="K1213" i="9"/>
  <c r="N1213" i="9"/>
  <c r="O1213" i="9"/>
  <c r="I1214" i="9"/>
  <c r="J1214" i="9"/>
  <c r="K1214" i="9"/>
  <c r="N1214" i="9"/>
  <c r="O1214" i="9"/>
  <c r="I1215" i="9"/>
  <c r="J1215" i="9"/>
  <c r="K1215" i="9"/>
  <c r="N1215" i="9"/>
  <c r="O1215" i="9"/>
  <c r="I1216" i="9"/>
  <c r="J1216" i="9"/>
  <c r="K1216" i="9"/>
  <c r="N1216" i="9"/>
  <c r="O1216" i="9"/>
  <c r="I1217" i="9"/>
  <c r="J1217" i="9"/>
  <c r="K1217" i="9"/>
  <c r="N1217" i="9"/>
  <c r="O1217" i="9"/>
  <c r="I1218" i="9"/>
  <c r="J1218" i="9"/>
  <c r="K1218" i="9"/>
  <c r="N1218" i="9"/>
  <c r="O1218" i="9"/>
  <c r="J1219" i="9"/>
  <c r="K1219" i="9"/>
  <c r="N1219" i="9"/>
  <c r="O1219" i="9"/>
  <c r="J1220" i="9"/>
  <c r="K1220" i="9"/>
  <c r="N1220" i="9"/>
  <c r="O1220" i="9"/>
  <c r="J1221" i="9"/>
  <c r="K1221" i="9"/>
  <c r="N1221" i="9"/>
  <c r="O1221" i="9"/>
  <c r="J1222" i="9"/>
  <c r="K1222" i="9"/>
  <c r="N1222" i="9"/>
  <c r="O1222" i="9"/>
  <c r="J1223" i="9"/>
  <c r="K1223" i="9"/>
  <c r="N1223" i="9"/>
  <c r="O1223" i="9"/>
  <c r="J1224" i="9"/>
  <c r="K1224" i="9"/>
  <c r="N1224" i="9"/>
  <c r="O1224" i="9"/>
  <c r="I1225" i="9"/>
  <c r="J1225" i="9"/>
  <c r="K1225" i="9"/>
  <c r="N1225" i="9"/>
  <c r="O1225" i="9"/>
  <c r="I1226" i="9"/>
  <c r="J1226" i="9"/>
  <c r="K1226" i="9"/>
  <c r="N1226" i="9"/>
  <c r="O1226" i="9"/>
  <c r="J1227" i="9"/>
  <c r="K1227" i="9"/>
  <c r="N1227" i="9"/>
  <c r="O1227" i="9"/>
  <c r="I1228" i="9"/>
  <c r="J1228" i="9"/>
  <c r="K1228" i="9"/>
  <c r="N1228" i="9"/>
  <c r="O1228" i="9"/>
  <c r="J1229" i="9"/>
  <c r="K1229" i="9"/>
  <c r="N1229" i="9"/>
  <c r="O1229" i="9"/>
  <c r="I1230" i="9"/>
  <c r="J1230" i="9"/>
  <c r="K1230" i="9"/>
  <c r="N1230" i="9"/>
  <c r="O1230" i="9"/>
  <c r="I1231" i="9"/>
  <c r="J1231" i="9"/>
  <c r="K1231" i="9"/>
  <c r="N1231" i="9"/>
  <c r="O1231" i="9"/>
  <c r="I1232" i="9"/>
  <c r="J1232" i="9"/>
  <c r="K1232" i="9"/>
  <c r="N1232" i="9"/>
  <c r="O1232" i="9"/>
  <c r="I1233" i="9"/>
  <c r="J1233" i="9"/>
  <c r="K1233" i="9"/>
  <c r="N1233" i="9"/>
  <c r="O1233" i="9"/>
  <c r="I1234" i="9"/>
  <c r="J1234" i="9"/>
  <c r="K1234" i="9"/>
  <c r="N1234" i="9"/>
  <c r="O1234" i="9"/>
  <c r="I1235" i="9"/>
  <c r="J1235" i="9"/>
  <c r="K1235" i="9"/>
  <c r="O1235" i="9"/>
  <c r="J1236" i="9"/>
  <c r="K1236" i="9"/>
  <c r="N1236" i="9"/>
  <c r="O1236" i="9"/>
  <c r="J1237" i="9"/>
  <c r="K1237" i="9"/>
  <c r="N1237" i="9"/>
  <c r="O1237" i="9"/>
  <c r="I1238" i="9"/>
  <c r="J1238" i="9"/>
  <c r="K1238" i="9"/>
  <c r="N1238" i="9"/>
  <c r="O1238" i="9"/>
  <c r="J1239" i="9"/>
  <c r="K1239" i="9"/>
  <c r="N1239" i="9"/>
  <c r="O1239" i="9"/>
  <c r="J1240" i="9"/>
  <c r="K1240" i="9"/>
  <c r="N1240" i="9"/>
  <c r="O1240" i="9"/>
  <c r="J1241" i="9"/>
  <c r="K1241" i="9"/>
  <c r="N1241" i="9"/>
  <c r="O1241" i="9"/>
  <c r="I1242" i="9"/>
  <c r="J1242" i="9"/>
  <c r="K1242" i="9"/>
  <c r="N1242" i="9"/>
  <c r="O1242" i="9"/>
  <c r="J1243" i="9"/>
  <c r="K1243" i="9"/>
  <c r="N1243" i="9"/>
  <c r="O1243" i="9"/>
  <c r="J1244" i="9"/>
  <c r="K1244" i="9"/>
  <c r="N1244" i="9"/>
  <c r="O1244" i="9"/>
  <c r="I1245" i="9"/>
  <c r="J1245" i="9"/>
  <c r="K1245" i="9"/>
  <c r="N1245" i="9"/>
  <c r="O1245" i="9"/>
  <c r="J1246" i="9"/>
  <c r="K1246" i="9"/>
  <c r="N1246" i="9"/>
  <c r="O1246" i="9"/>
  <c r="J1247" i="9"/>
  <c r="K1247" i="9"/>
  <c r="N1247" i="9"/>
  <c r="O1247" i="9"/>
  <c r="I1248" i="9"/>
  <c r="J1248" i="9"/>
  <c r="K1248" i="9"/>
  <c r="N1248" i="9"/>
  <c r="O1248" i="9"/>
  <c r="I1249" i="9"/>
  <c r="J1249" i="9"/>
  <c r="K1249" i="9"/>
  <c r="N1249" i="9"/>
  <c r="O1249" i="9"/>
  <c r="J1250" i="9"/>
  <c r="K1250" i="9"/>
  <c r="N1250" i="9"/>
  <c r="O1250" i="9"/>
  <c r="I1251" i="9"/>
  <c r="J1251" i="9"/>
  <c r="K1251" i="9"/>
  <c r="N1251" i="9"/>
  <c r="O1251" i="9"/>
  <c r="I1252" i="9"/>
  <c r="J1252" i="9"/>
  <c r="K1252" i="9"/>
  <c r="N1252" i="9"/>
  <c r="O1252" i="9"/>
  <c r="I1253" i="9"/>
  <c r="J1253" i="9"/>
  <c r="K1253" i="9"/>
  <c r="N1253" i="9"/>
  <c r="O1253" i="9"/>
  <c r="I1254" i="9"/>
  <c r="J1254" i="9"/>
  <c r="K1254" i="9"/>
  <c r="N1254" i="9"/>
  <c r="O1254" i="9"/>
  <c r="I1255" i="9"/>
  <c r="J1255" i="9"/>
  <c r="K1255" i="9"/>
  <c r="N1255" i="9"/>
  <c r="O1255" i="9"/>
  <c r="I1256" i="9"/>
  <c r="J1256" i="9"/>
  <c r="K1256" i="9"/>
  <c r="N1256" i="9"/>
  <c r="O1256" i="9"/>
  <c r="I1257" i="9"/>
  <c r="J1257" i="9"/>
  <c r="K1257" i="9"/>
  <c r="N1257" i="9"/>
  <c r="O1257" i="9"/>
  <c r="I1258" i="9"/>
  <c r="J1258" i="9"/>
  <c r="K1258" i="9"/>
  <c r="N1258" i="9"/>
  <c r="O1258" i="9"/>
  <c r="I1259" i="9"/>
  <c r="J1259" i="9"/>
  <c r="K1259" i="9"/>
  <c r="N1259" i="9"/>
  <c r="O1259" i="9"/>
  <c r="I1260" i="9"/>
  <c r="J1260" i="9"/>
  <c r="K1260" i="9"/>
  <c r="N1260" i="9"/>
  <c r="O1260" i="9"/>
  <c r="I1261" i="9"/>
  <c r="J1261" i="9"/>
  <c r="K1261" i="9"/>
  <c r="N1261" i="9"/>
  <c r="O1261" i="9"/>
  <c r="I1262" i="9"/>
  <c r="J1262" i="9"/>
  <c r="K1262" i="9"/>
  <c r="N1262" i="9"/>
  <c r="O1262" i="9"/>
  <c r="I1263" i="9"/>
  <c r="J1263" i="9"/>
  <c r="K1263" i="9"/>
  <c r="N1263" i="9"/>
  <c r="O1263" i="9"/>
  <c r="I1264" i="9"/>
  <c r="J1264" i="9"/>
  <c r="K1264" i="9"/>
  <c r="N1264" i="9"/>
  <c r="O1264" i="9"/>
  <c r="I1265" i="9"/>
  <c r="J1265" i="9"/>
  <c r="K1265" i="9"/>
  <c r="N1265" i="9"/>
  <c r="O1265" i="9"/>
  <c r="I1266" i="9"/>
  <c r="J1266" i="9"/>
  <c r="K1266" i="9"/>
  <c r="N1266" i="9"/>
  <c r="O1266" i="9"/>
  <c r="I1267" i="9"/>
  <c r="J1267" i="9"/>
  <c r="K1267" i="9"/>
  <c r="N1267" i="9"/>
  <c r="O1267" i="9"/>
  <c r="I1268" i="9"/>
  <c r="J1268" i="9"/>
  <c r="K1268" i="9"/>
  <c r="N1268" i="9"/>
  <c r="O1268" i="9"/>
  <c r="I1269" i="9"/>
  <c r="J1269" i="9"/>
  <c r="K1269" i="9"/>
  <c r="N1269" i="9"/>
  <c r="O1269" i="9"/>
  <c r="I1270" i="9"/>
  <c r="J1270" i="9"/>
  <c r="K1270" i="9"/>
  <c r="N1270" i="9"/>
  <c r="O1270" i="9"/>
  <c r="I1271" i="9"/>
  <c r="J1271" i="9"/>
  <c r="K1271" i="9"/>
  <c r="N1271" i="9"/>
  <c r="O1271" i="9"/>
  <c r="I1272" i="9"/>
  <c r="J1272" i="9"/>
  <c r="K1272" i="9"/>
  <c r="N1272" i="9"/>
  <c r="O1272" i="9"/>
  <c r="I1273" i="9"/>
  <c r="J1273" i="9"/>
  <c r="K1273" i="9"/>
  <c r="N1273" i="9"/>
  <c r="O1273" i="9"/>
  <c r="I1274" i="9"/>
  <c r="J1274" i="9"/>
  <c r="K1274" i="9"/>
  <c r="N1274" i="9"/>
  <c r="O1274" i="9"/>
  <c r="I1275" i="9"/>
  <c r="J1275" i="9"/>
  <c r="K1275" i="9"/>
  <c r="N1275" i="9"/>
  <c r="O1275" i="9"/>
  <c r="I1276" i="9"/>
  <c r="J1276" i="9"/>
  <c r="K1276" i="9"/>
  <c r="N1276" i="9"/>
  <c r="O1276" i="9"/>
  <c r="I1277" i="9"/>
  <c r="J1277" i="9"/>
  <c r="K1277" i="9"/>
  <c r="N1277" i="9"/>
  <c r="O1277" i="9"/>
  <c r="I1278" i="9"/>
  <c r="J1278" i="9"/>
  <c r="K1278" i="9"/>
  <c r="N1278" i="9"/>
  <c r="O1278" i="9"/>
  <c r="J1279" i="9"/>
  <c r="K1279" i="9"/>
  <c r="N1279" i="9"/>
  <c r="O1279" i="9"/>
  <c r="I1280" i="9"/>
  <c r="J1280" i="9"/>
  <c r="K1280" i="9"/>
  <c r="N1280" i="9"/>
  <c r="O1280" i="9"/>
  <c r="J1281" i="9"/>
  <c r="K1281" i="9"/>
  <c r="N1281" i="9"/>
  <c r="O1281" i="9"/>
  <c r="I1282" i="9"/>
  <c r="J1282" i="9"/>
  <c r="K1282" i="9"/>
  <c r="N1282" i="9"/>
  <c r="O1282" i="9"/>
  <c r="J1283" i="9"/>
  <c r="K1283" i="9"/>
  <c r="N1283" i="9"/>
  <c r="O1283" i="9"/>
  <c r="J1284" i="9"/>
  <c r="K1284" i="9"/>
  <c r="N1284" i="9"/>
  <c r="O1284" i="9"/>
  <c r="J1285" i="9"/>
  <c r="K1285" i="9"/>
  <c r="N1285" i="9"/>
  <c r="O1285" i="9"/>
  <c r="I1286" i="9"/>
  <c r="J1286" i="9"/>
  <c r="K1286" i="9"/>
  <c r="N1286" i="9"/>
  <c r="O1286" i="9"/>
  <c r="I1287" i="9"/>
  <c r="J1287" i="9"/>
  <c r="K1287" i="9"/>
  <c r="N1287" i="9"/>
  <c r="O1287" i="9"/>
  <c r="I1288" i="9"/>
  <c r="J1288" i="9"/>
  <c r="K1288" i="9"/>
  <c r="N1288" i="9"/>
  <c r="O1288" i="9"/>
  <c r="J1289" i="9"/>
  <c r="K1289" i="9"/>
  <c r="N1289" i="9"/>
  <c r="O1289" i="9"/>
  <c r="N1290" i="9"/>
  <c r="O1290" i="9"/>
  <c r="N1291" i="9"/>
  <c r="O1291" i="9"/>
  <c r="N1292" i="9"/>
  <c r="O1292" i="9"/>
  <c r="N1293" i="9"/>
  <c r="O1293" i="9"/>
  <c r="K1294" i="9"/>
  <c r="N1294" i="9"/>
  <c r="O1294" i="9"/>
  <c r="N1295" i="9"/>
  <c r="O1295" i="9"/>
  <c r="J1297" i="9"/>
  <c r="K1297" i="9"/>
  <c r="N1297" i="9"/>
  <c r="O1297" i="9"/>
  <c r="N1298" i="9"/>
  <c r="O1298" i="9"/>
  <c r="J1299" i="9"/>
  <c r="K1299" i="9"/>
  <c r="N1299" i="9"/>
  <c r="O1299" i="9"/>
  <c r="N1300" i="9"/>
  <c r="O1300" i="9"/>
  <c r="N1301" i="9"/>
  <c r="O1301" i="9"/>
  <c r="N1302" i="9"/>
  <c r="O1302" i="9"/>
  <c r="J1303" i="9"/>
  <c r="K1303" i="9"/>
  <c r="N1303" i="9"/>
  <c r="O1303" i="9"/>
  <c r="N1304" i="9"/>
  <c r="O1304" i="9"/>
  <c r="N1305" i="9"/>
  <c r="O1305" i="9"/>
  <c r="J1306" i="9"/>
  <c r="K1306" i="9"/>
  <c r="N1306" i="9"/>
  <c r="O1306" i="9"/>
  <c r="J1307" i="9"/>
  <c r="K1307" i="9"/>
  <c r="N1307" i="9"/>
  <c r="O1307" i="9"/>
  <c r="N1308" i="9"/>
  <c r="O1308" i="9"/>
  <c r="I1309" i="9"/>
  <c r="J1309" i="9"/>
  <c r="K1309" i="9"/>
  <c r="N1309" i="9"/>
  <c r="O1309" i="9"/>
  <c r="I1310" i="9"/>
  <c r="J1310" i="9"/>
  <c r="K1310" i="9"/>
  <c r="N1310" i="9"/>
  <c r="O1310" i="9"/>
  <c r="I1311" i="9"/>
  <c r="J1311" i="9"/>
  <c r="K1311" i="9"/>
  <c r="N1311" i="9"/>
  <c r="O1311" i="9"/>
  <c r="I1312" i="9"/>
  <c r="J1312" i="9"/>
  <c r="K1312" i="9"/>
  <c r="N1312" i="9"/>
  <c r="O1312" i="9"/>
  <c r="I1313" i="9"/>
  <c r="J1313" i="9"/>
  <c r="K1313" i="9"/>
  <c r="N1313" i="9"/>
  <c r="O1313" i="9"/>
  <c r="I1314" i="9"/>
  <c r="J1314" i="9"/>
  <c r="K1314" i="9"/>
  <c r="N1314" i="9"/>
  <c r="O1314" i="9"/>
  <c r="I1315" i="9"/>
  <c r="J1315" i="9"/>
  <c r="K1315" i="9"/>
  <c r="N1315" i="9"/>
  <c r="O1315" i="9"/>
  <c r="I1316" i="9"/>
  <c r="J1316" i="9"/>
  <c r="K1316" i="9"/>
  <c r="N1316" i="9"/>
  <c r="O1316" i="9"/>
  <c r="I1317" i="9"/>
  <c r="J1317" i="9"/>
  <c r="K1317" i="9"/>
  <c r="N1317" i="9"/>
  <c r="O1317" i="9"/>
  <c r="I1318" i="9"/>
  <c r="K1318" i="9"/>
  <c r="N1318" i="9"/>
  <c r="O1318" i="9"/>
  <c r="I1319" i="9"/>
  <c r="K1319" i="9"/>
  <c r="N1319" i="9"/>
  <c r="O1319" i="9"/>
  <c r="I1320" i="9"/>
  <c r="K1320" i="9"/>
  <c r="N1320" i="9"/>
  <c r="O1320" i="9"/>
  <c r="J1321" i="9"/>
  <c r="K1321" i="9"/>
  <c r="N1321" i="9"/>
  <c r="O1321" i="9"/>
  <c r="J1322" i="9"/>
  <c r="K1322" i="9"/>
  <c r="N1322" i="9"/>
  <c r="O1322" i="9"/>
  <c r="N1323" i="9"/>
  <c r="O1323" i="9"/>
  <c r="N1324" i="9"/>
  <c r="O1324" i="9"/>
  <c r="N1325" i="9"/>
  <c r="O1325" i="9"/>
  <c r="N1326" i="9"/>
  <c r="O1326" i="9"/>
  <c r="J1327" i="9"/>
  <c r="K1327" i="9"/>
  <c r="N1327" i="9"/>
  <c r="O1327" i="9"/>
  <c r="J1328" i="9"/>
  <c r="K1328" i="9"/>
  <c r="N1328" i="9"/>
  <c r="O1328" i="9"/>
  <c r="J1329" i="9"/>
  <c r="K1329" i="9"/>
  <c r="N1329" i="9"/>
  <c r="O1329" i="9"/>
  <c r="I1330" i="9"/>
  <c r="K1330" i="9"/>
  <c r="N1330" i="9"/>
  <c r="O1330" i="9"/>
  <c r="I1331" i="9"/>
  <c r="K1331" i="9"/>
  <c r="N1331" i="9"/>
  <c r="O1331" i="9"/>
  <c r="I1332" i="9"/>
  <c r="K1332" i="9"/>
  <c r="N1332" i="9"/>
  <c r="O1332" i="9"/>
  <c r="N1333" i="9"/>
  <c r="O1333" i="9"/>
  <c r="I1334" i="9"/>
  <c r="K1334" i="9"/>
  <c r="N1334" i="9"/>
  <c r="O1334" i="9"/>
  <c r="I1335" i="9"/>
  <c r="K1335" i="9"/>
  <c r="N1335" i="9"/>
  <c r="O1335" i="9"/>
  <c r="I1336" i="9"/>
  <c r="K1336" i="9"/>
  <c r="N1336" i="9"/>
  <c r="O1336" i="9"/>
  <c r="N1337" i="9"/>
  <c r="O1337" i="9"/>
  <c r="I1338" i="9"/>
  <c r="K1338" i="9"/>
  <c r="N1338" i="9"/>
  <c r="O1338" i="9"/>
  <c r="I1339" i="9"/>
  <c r="K1339" i="9"/>
  <c r="N1339" i="9"/>
  <c r="O1339" i="9"/>
  <c r="I1340" i="9"/>
  <c r="K1340" i="9"/>
  <c r="N1340" i="9"/>
  <c r="O1340" i="9"/>
  <c r="I1341" i="9"/>
  <c r="K1341" i="9"/>
  <c r="N1341" i="9"/>
  <c r="O1341" i="9"/>
  <c r="I1342" i="9"/>
  <c r="K1342" i="9"/>
  <c r="N1342" i="9"/>
  <c r="O1342" i="9"/>
  <c r="I1343" i="9"/>
  <c r="K1343" i="9"/>
  <c r="N1343" i="9"/>
  <c r="O1343" i="9"/>
  <c r="I1344" i="9"/>
  <c r="J1344" i="9"/>
  <c r="K1344" i="9"/>
  <c r="N1344" i="9"/>
  <c r="O1344" i="9"/>
  <c r="I1345" i="9"/>
  <c r="J1345" i="9"/>
  <c r="K1345" i="9"/>
  <c r="N1345" i="9"/>
  <c r="O1345" i="9"/>
  <c r="I1346" i="9"/>
  <c r="J1346" i="9"/>
  <c r="K1346" i="9"/>
  <c r="N1346" i="9"/>
  <c r="O1346" i="9"/>
  <c r="I1347" i="9"/>
  <c r="J1347" i="9"/>
  <c r="K1347" i="9"/>
  <c r="N1347" i="9"/>
  <c r="O1347" i="9"/>
  <c r="I1348" i="9"/>
  <c r="J1348" i="9"/>
  <c r="K1348" i="9"/>
  <c r="N1348" i="9"/>
  <c r="O1348" i="9"/>
  <c r="I1349" i="9"/>
  <c r="J1349" i="9"/>
  <c r="K1349" i="9"/>
  <c r="N1349" i="9"/>
  <c r="O1349" i="9"/>
  <c r="I1350" i="9"/>
  <c r="J1350" i="9"/>
  <c r="K1350" i="9"/>
  <c r="N1350" i="9"/>
  <c r="O1350" i="9"/>
  <c r="I1351" i="9"/>
  <c r="J1351" i="9"/>
  <c r="K1351" i="9"/>
  <c r="N1351" i="9"/>
  <c r="O1351" i="9"/>
  <c r="I1352" i="9"/>
  <c r="J1352" i="9"/>
  <c r="K1352" i="9"/>
  <c r="N1352" i="9"/>
  <c r="O1352" i="9"/>
  <c r="I1353" i="9"/>
  <c r="J1353" i="9"/>
  <c r="K1353" i="9"/>
  <c r="N1353" i="9"/>
  <c r="O1353" i="9"/>
  <c r="I1354" i="9"/>
  <c r="J1354" i="9"/>
  <c r="K1354" i="9"/>
  <c r="N1354" i="9"/>
  <c r="O1354" i="9"/>
  <c r="I1355" i="9"/>
  <c r="J1355" i="9"/>
  <c r="K1355" i="9"/>
  <c r="N1355" i="9"/>
  <c r="O1355" i="9"/>
  <c r="I1356" i="9"/>
  <c r="J1356" i="9"/>
  <c r="K1356" i="9"/>
  <c r="N1356" i="9"/>
  <c r="O1356" i="9"/>
  <c r="I1357" i="9"/>
  <c r="J1357" i="9"/>
  <c r="K1357" i="9"/>
  <c r="N1357" i="9"/>
  <c r="O1357" i="9"/>
  <c r="I1358" i="9"/>
  <c r="J1358" i="9"/>
  <c r="K1358" i="9"/>
  <c r="N1358" i="9"/>
  <c r="O1358" i="9"/>
  <c r="I1359" i="9"/>
  <c r="J1359" i="9"/>
  <c r="K1359" i="9"/>
  <c r="N1359" i="9"/>
  <c r="O1359" i="9"/>
  <c r="I1360" i="9"/>
  <c r="J1360" i="9"/>
  <c r="K1360" i="9"/>
  <c r="N1360" i="9"/>
  <c r="O1360" i="9"/>
  <c r="K1361" i="9"/>
  <c r="N1361" i="9"/>
  <c r="O1361" i="9"/>
  <c r="J1362" i="9"/>
  <c r="K1362" i="9"/>
  <c r="N1362" i="9"/>
  <c r="O1362" i="9"/>
  <c r="N1363" i="9"/>
  <c r="O1363" i="9"/>
  <c r="J1364" i="9"/>
  <c r="K1364" i="9"/>
  <c r="N1364" i="9"/>
  <c r="O1364" i="9"/>
  <c r="J1365" i="9"/>
  <c r="K1365" i="9"/>
  <c r="N1365" i="9"/>
  <c r="O1365" i="9"/>
  <c r="J1366" i="9"/>
  <c r="K1366" i="9"/>
  <c r="N1366" i="9"/>
  <c r="O1366" i="9"/>
  <c r="J1367" i="9"/>
  <c r="K1367" i="9"/>
  <c r="N1367" i="9"/>
  <c r="O1367" i="9"/>
  <c r="J1368" i="9"/>
  <c r="K1368" i="9"/>
  <c r="N1368" i="9"/>
  <c r="O1368" i="9"/>
  <c r="K1369" i="9"/>
  <c r="N1369" i="9"/>
  <c r="O1369" i="9"/>
  <c r="K1370" i="9"/>
  <c r="N1370" i="9"/>
  <c r="O1370" i="9"/>
  <c r="N1371" i="9"/>
  <c r="O1371" i="9"/>
  <c r="N1372" i="9"/>
  <c r="O1372" i="9"/>
  <c r="N1373" i="9"/>
  <c r="O1373" i="9"/>
  <c r="J1374" i="9"/>
  <c r="K1374" i="9"/>
  <c r="N1374" i="9"/>
  <c r="O1374" i="9"/>
  <c r="J1375" i="9"/>
  <c r="K1375" i="9"/>
  <c r="N1375" i="9"/>
  <c r="O1375" i="9"/>
  <c r="J1376" i="9"/>
  <c r="K1376" i="9"/>
  <c r="N1376" i="9"/>
  <c r="O1376" i="9"/>
  <c r="J1377" i="9"/>
  <c r="K1377" i="9"/>
  <c r="N1377" i="9"/>
  <c r="O1377" i="9"/>
  <c r="J1378" i="9"/>
  <c r="K1378" i="9"/>
  <c r="N1378" i="9"/>
  <c r="O1378" i="9"/>
  <c r="I1379" i="9"/>
  <c r="J1379" i="9"/>
  <c r="K1379" i="9"/>
  <c r="N1379" i="9"/>
  <c r="O1379" i="9"/>
  <c r="I1380" i="9"/>
  <c r="J1380" i="9"/>
  <c r="K1380" i="9"/>
  <c r="N1380" i="9"/>
  <c r="O1380" i="9"/>
  <c r="I1381" i="9"/>
  <c r="J1381" i="9"/>
  <c r="K1381" i="9"/>
  <c r="N1381" i="9"/>
  <c r="O1381" i="9"/>
  <c r="I1382" i="9"/>
  <c r="J1382" i="9"/>
  <c r="K1382" i="9"/>
  <c r="N1382" i="9"/>
  <c r="O1382" i="9"/>
  <c r="I1383" i="9"/>
  <c r="J1383" i="9"/>
  <c r="K1383" i="9"/>
  <c r="N1383" i="9"/>
  <c r="O1383" i="9"/>
  <c r="I1384" i="9"/>
  <c r="J1384" i="9"/>
  <c r="K1384" i="9"/>
  <c r="N1384" i="9"/>
  <c r="O1384" i="9"/>
  <c r="I1385" i="9"/>
  <c r="J1385" i="9"/>
  <c r="K1385" i="9"/>
  <c r="N1385" i="9"/>
  <c r="O1385" i="9"/>
  <c r="I1386" i="9"/>
  <c r="J1386" i="9"/>
  <c r="K1386" i="9"/>
  <c r="N1386" i="9"/>
  <c r="O1386" i="9"/>
  <c r="I1387" i="9"/>
  <c r="J1387" i="9"/>
  <c r="K1387" i="9"/>
  <c r="N1387" i="9"/>
  <c r="O1387" i="9"/>
  <c r="I1388" i="9"/>
  <c r="J1388" i="9"/>
  <c r="K1388" i="9"/>
  <c r="N1388" i="9"/>
  <c r="O1388" i="9"/>
  <c r="I1389" i="9"/>
  <c r="J1389" i="9"/>
  <c r="K1389" i="9"/>
  <c r="N1389" i="9"/>
  <c r="O1389" i="9"/>
  <c r="I1390" i="9"/>
  <c r="J1390" i="9"/>
  <c r="K1390" i="9"/>
  <c r="N1390" i="9"/>
  <c r="O1390" i="9"/>
  <c r="I1391" i="9"/>
  <c r="J1391" i="9"/>
  <c r="K1391" i="9"/>
  <c r="N1391" i="9"/>
  <c r="O1391" i="9"/>
  <c r="I1392" i="9"/>
  <c r="J1392" i="9"/>
  <c r="K1392" i="9"/>
  <c r="N1392" i="9"/>
  <c r="O1392" i="9"/>
  <c r="I1393" i="9"/>
  <c r="K1393" i="9"/>
  <c r="N1393" i="9"/>
  <c r="O1393" i="9"/>
  <c r="N1394" i="9"/>
  <c r="O1394" i="9"/>
  <c r="I1395" i="9"/>
  <c r="K1395" i="9"/>
  <c r="N1395" i="9"/>
  <c r="O1395" i="9"/>
  <c r="N1396" i="9"/>
  <c r="O1396" i="9"/>
  <c r="J1397" i="9"/>
  <c r="K1397" i="9"/>
  <c r="N1397" i="9"/>
  <c r="O1397" i="9"/>
  <c r="N1398" i="9"/>
  <c r="O1398" i="9"/>
  <c r="J1399" i="9"/>
  <c r="K1399" i="9"/>
  <c r="N1399" i="9"/>
  <c r="O1399" i="9"/>
  <c r="I1400" i="9"/>
  <c r="J1400" i="9"/>
  <c r="K1400" i="9"/>
  <c r="N1400" i="9"/>
  <c r="O1400" i="9"/>
  <c r="J1401" i="9"/>
  <c r="K1401" i="9"/>
  <c r="N1401" i="9"/>
  <c r="O1401" i="9"/>
  <c r="J1402" i="9"/>
  <c r="K1402" i="9"/>
  <c r="N1402" i="9"/>
  <c r="O1402" i="9"/>
  <c r="J1403" i="9"/>
  <c r="K1403" i="9"/>
  <c r="N1403" i="9"/>
  <c r="O1403" i="9"/>
  <c r="J1404" i="9"/>
  <c r="K1404" i="9"/>
  <c r="N1404" i="9"/>
  <c r="O1404" i="9"/>
  <c r="N1405" i="9"/>
  <c r="O1405" i="9"/>
  <c r="N1406" i="9"/>
  <c r="O1406" i="9"/>
  <c r="J1407" i="9"/>
  <c r="K1407" i="9"/>
  <c r="N1407" i="9"/>
  <c r="O1407" i="9"/>
  <c r="N1408" i="9"/>
  <c r="O1408" i="9"/>
  <c r="N1409" i="9"/>
  <c r="O1409" i="9"/>
  <c r="N1410" i="9"/>
  <c r="O1410" i="9"/>
  <c r="N1411" i="9"/>
  <c r="O1411" i="9"/>
  <c r="N1412" i="9"/>
  <c r="O1412" i="9"/>
  <c r="N1413" i="9"/>
  <c r="O1413" i="9"/>
  <c r="N1414" i="9"/>
  <c r="O1414" i="9"/>
  <c r="N1415" i="9"/>
  <c r="O1415" i="9"/>
  <c r="N1416" i="9"/>
  <c r="O1416" i="9"/>
  <c r="J1417" i="9"/>
  <c r="K1417" i="9"/>
  <c r="N1417" i="9"/>
  <c r="O1417" i="9"/>
  <c r="O1418" i="9"/>
  <c r="I1419" i="9"/>
  <c r="J1419" i="9"/>
  <c r="K1419" i="9"/>
  <c r="N1419" i="9"/>
  <c r="O1419" i="9"/>
  <c r="J1420" i="9"/>
  <c r="K1420" i="9"/>
  <c r="N1420" i="9"/>
  <c r="O1420" i="9"/>
  <c r="J1421" i="9"/>
  <c r="K1421" i="9"/>
  <c r="N1421" i="9"/>
  <c r="O1421" i="9"/>
  <c r="I1422" i="9"/>
  <c r="J1422" i="9"/>
  <c r="K1422" i="9"/>
  <c r="N1422" i="9"/>
  <c r="O1422" i="9"/>
  <c r="I1423" i="9"/>
  <c r="J1423" i="9"/>
  <c r="K1423" i="9"/>
  <c r="N1423" i="9"/>
  <c r="O1423" i="9"/>
  <c r="I1424" i="9"/>
  <c r="J1424" i="9"/>
  <c r="K1424" i="9"/>
  <c r="N1424" i="9"/>
  <c r="O1424" i="9"/>
  <c r="I1425" i="9"/>
  <c r="J1425" i="9"/>
  <c r="K1425" i="9"/>
  <c r="N1425" i="9"/>
  <c r="O1425" i="9"/>
  <c r="I1426" i="9"/>
  <c r="J1426" i="9"/>
  <c r="K1426" i="9"/>
  <c r="N1426" i="9"/>
  <c r="O1426" i="9"/>
  <c r="I1427" i="9"/>
  <c r="J1427" i="9"/>
  <c r="K1427" i="9"/>
  <c r="N1427" i="9"/>
  <c r="O1427" i="9"/>
  <c r="J1428" i="9"/>
  <c r="K1428" i="9"/>
  <c r="N1428" i="9"/>
  <c r="O1428" i="9"/>
  <c r="N1429" i="9"/>
  <c r="O1429" i="9"/>
  <c r="N1430" i="9"/>
  <c r="O1430" i="9"/>
  <c r="N1431" i="9"/>
  <c r="O1431" i="9"/>
  <c r="N1432" i="9"/>
  <c r="O1432" i="9"/>
  <c r="N1433" i="9"/>
  <c r="O1433" i="9"/>
  <c r="N1434" i="9"/>
  <c r="O1434" i="9"/>
  <c r="N1435" i="9"/>
  <c r="O1435" i="9"/>
  <c r="N1436" i="9"/>
  <c r="O1436" i="9"/>
  <c r="N1437" i="9"/>
  <c r="O1437" i="9"/>
  <c r="N1438" i="9"/>
  <c r="O1438" i="9"/>
  <c r="N1439" i="9"/>
  <c r="O1439" i="9"/>
  <c r="N1440" i="9"/>
  <c r="O1440" i="9"/>
  <c r="N1441" i="9"/>
  <c r="O1441" i="9"/>
  <c r="N1442" i="9"/>
  <c r="O1442" i="9"/>
  <c r="N1443" i="9"/>
  <c r="O1443" i="9"/>
  <c r="N1444" i="9"/>
  <c r="O1444" i="9"/>
  <c r="N1445" i="9"/>
  <c r="O1445" i="9"/>
  <c r="N1446" i="9"/>
  <c r="O1446" i="9"/>
  <c r="N1447" i="9"/>
  <c r="O1447" i="9"/>
  <c r="N1448" i="9"/>
  <c r="O1448" i="9"/>
  <c r="N1449" i="9"/>
  <c r="O1449" i="9"/>
  <c r="N1450" i="9"/>
  <c r="O1450" i="9"/>
  <c r="N1451" i="9"/>
  <c r="O1451" i="9"/>
  <c r="N1452" i="9"/>
  <c r="O1452" i="9"/>
  <c r="N1453" i="9"/>
  <c r="O1453" i="9"/>
  <c r="N1454" i="9"/>
  <c r="O1454" i="9"/>
  <c r="I1455" i="9"/>
  <c r="K1455" i="9"/>
  <c r="N1455" i="9"/>
  <c r="O1455" i="9"/>
  <c r="N1456" i="9"/>
  <c r="O1456" i="9"/>
  <c r="I1457" i="9"/>
  <c r="K1457" i="9"/>
  <c r="N1457" i="9"/>
  <c r="O1457" i="9"/>
  <c r="J1458" i="9"/>
  <c r="K1458" i="9"/>
  <c r="N1458" i="9"/>
  <c r="O1458" i="9"/>
  <c r="N1459" i="9"/>
  <c r="O1459" i="9"/>
  <c r="N1460" i="9"/>
  <c r="O1460" i="9"/>
  <c r="J1461" i="9"/>
  <c r="K1461" i="9"/>
  <c r="N1461" i="9"/>
  <c r="O1461" i="9"/>
  <c r="I1462" i="9"/>
  <c r="J1462" i="9"/>
  <c r="K1462" i="9"/>
  <c r="N1462" i="9"/>
  <c r="O1462" i="9"/>
  <c r="I1463" i="9"/>
  <c r="J1463" i="9"/>
  <c r="K1463" i="9"/>
  <c r="N1463" i="9"/>
  <c r="O1463" i="9"/>
  <c r="I1464" i="9"/>
  <c r="J1464" i="9"/>
  <c r="K1464" i="9"/>
  <c r="N1464" i="9"/>
  <c r="O1464" i="9"/>
  <c r="I1465" i="9"/>
  <c r="J1465" i="9"/>
  <c r="K1465" i="9"/>
  <c r="N1465" i="9"/>
  <c r="O1465" i="9"/>
  <c r="I1466" i="9"/>
  <c r="J1466" i="9"/>
  <c r="K1466" i="9"/>
  <c r="N1466" i="9"/>
  <c r="O1466" i="9"/>
  <c r="I1467" i="9"/>
  <c r="J1467" i="9"/>
  <c r="K1467" i="9"/>
  <c r="N1467" i="9"/>
  <c r="O1467" i="9"/>
  <c r="I1468" i="9"/>
  <c r="J1468" i="9"/>
  <c r="K1468" i="9"/>
  <c r="N1468" i="9"/>
  <c r="O1468" i="9"/>
  <c r="J1469" i="9"/>
  <c r="K1469" i="9"/>
  <c r="N1469" i="9"/>
  <c r="O1469" i="9"/>
  <c r="I1470" i="9"/>
  <c r="K1470" i="9"/>
  <c r="N1470" i="9"/>
  <c r="O1470" i="9"/>
  <c r="I1471" i="9"/>
  <c r="K1471" i="9"/>
  <c r="N1471" i="9"/>
  <c r="O1471" i="9"/>
  <c r="I1472" i="9"/>
  <c r="K1472" i="9"/>
  <c r="N1472" i="9"/>
  <c r="O1472" i="9"/>
  <c r="I1473" i="9"/>
  <c r="K1473" i="9"/>
  <c r="N1473" i="9"/>
  <c r="O1473" i="9"/>
  <c r="I1474" i="9"/>
  <c r="J1474" i="9"/>
  <c r="K1474" i="9"/>
  <c r="N1474" i="9"/>
  <c r="O1474" i="9"/>
  <c r="I1475" i="9"/>
  <c r="J1475" i="9"/>
  <c r="K1475" i="9"/>
  <c r="N1475" i="9"/>
  <c r="O1475" i="9"/>
  <c r="K1476" i="9"/>
  <c r="N1476" i="9"/>
  <c r="O1476" i="9"/>
  <c r="N1477" i="9"/>
  <c r="O1477" i="9"/>
  <c r="N1478" i="9"/>
  <c r="O1478" i="9"/>
  <c r="N1479" i="9"/>
  <c r="O1479" i="9"/>
  <c r="K1480" i="9"/>
  <c r="N1480" i="9"/>
  <c r="O1480" i="9"/>
  <c r="N1481" i="9"/>
  <c r="O1481" i="9"/>
  <c r="N1482" i="9"/>
  <c r="O1482" i="9"/>
  <c r="N1483" i="9"/>
  <c r="O1483" i="9"/>
  <c r="I1484" i="9"/>
  <c r="J1484" i="9"/>
  <c r="K1484" i="9"/>
  <c r="N1484" i="9"/>
  <c r="O1484" i="9"/>
  <c r="I1485" i="9"/>
  <c r="J1485" i="9"/>
  <c r="K1485" i="9"/>
  <c r="N1485" i="9"/>
  <c r="O1485" i="9"/>
  <c r="I1486" i="9"/>
  <c r="J1486" i="9"/>
  <c r="K1486" i="9"/>
  <c r="N1486" i="9"/>
  <c r="O1486" i="9"/>
  <c r="N1487" i="9"/>
  <c r="O1487" i="9"/>
  <c r="I1488" i="9"/>
  <c r="J1488" i="9"/>
  <c r="K1488" i="9"/>
  <c r="N1488" i="9"/>
  <c r="O1488" i="9"/>
  <c r="I1489" i="9"/>
  <c r="J1489" i="9"/>
  <c r="K1489" i="9"/>
  <c r="N1489" i="9"/>
  <c r="O1489" i="9"/>
  <c r="I1490" i="9"/>
  <c r="J1490" i="9"/>
  <c r="K1490" i="9"/>
  <c r="N1490" i="9"/>
  <c r="O1490" i="9"/>
  <c r="I1491" i="9"/>
  <c r="J1491" i="9"/>
  <c r="K1491" i="9"/>
  <c r="N1491" i="9"/>
  <c r="O1491" i="9"/>
  <c r="I1492" i="9"/>
  <c r="J1492" i="9"/>
  <c r="K1492" i="9"/>
  <c r="N1492" i="9"/>
  <c r="O1492" i="9"/>
  <c r="I1493" i="9"/>
  <c r="J1493" i="9"/>
  <c r="K1493" i="9"/>
  <c r="N1493" i="9"/>
  <c r="O1493" i="9"/>
  <c r="I1494" i="9"/>
  <c r="J1494" i="9"/>
  <c r="K1494" i="9"/>
  <c r="N1494" i="9"/>
  <c r="O1494" i="9"/>
  <c r="I1495" i="9"/>
  <c r="K1495" i="9"/>
  <c r="N1495" i="9"/>
  <c r="O1495" i="9"/>
  <c r="N1496" i="9"/>
  <c r="O1496" i="9"/>
  <c r="I1497" i="9"/>
  <c r="J1497" i="9"/>
  <c r="K1497" i="9"/>
  <c r="N1497" i="9"/>
  <c r="O1497" i="9"/>
  <c r="J1498" i="9"/>
  <c r="K1498" i="9"/>
  <c r="N1498" i="9"/>
  <c r="O1498" i="9"/>
  <c r="N1499" i="9"/>
  <c r="O1499" i="9"/>
  <c r="N1500" i="9"/>
  <c r="O1500" i="9"/>
  <c r="N1501" i="9"/>
  <c r="O1501" i="9"/>
  <c r="N1502" i="9"/>
  <c r="O1502" i="9"/>
  <c r="N1503" i="9"/>
  <c r="O1503" i="9"/>
  <c r="M120" i="9"/>
  <c r="J1147" i="9"/>
  <c r="J1148" i="9"/>
  <c r="J1149" i="9"/>
  <c r="J1155" i="9"/>
  <c r="J1158" i="9"/>
  <c r="J696" i="9"/>
  <c r="K696" i="9"/>
  <c r="N696" i="9"/>
  <c r="O696" i="9"/>
  <c r="I697" i="9"/>
  <c r="J697" i="9"/>
  <c r="K697" i="9"/>
  <c r="N697" i="9"/>
  <c r="O697" i="9"/>
  <c r="J698" i="9"/>
  <c r="K698" i="9"/>
  <c r="N698" i="9"/>
  <c r="O698" i="9"/>
  <c r="K699" i="9"/>
  <c r="N699" i="9"/>
  <c r="O699" i="9"/>
  <c r="I700" i="9"/>
  <c r="J700" i="9"/>
  <c r="K700" i="9"/>
  <c r="N700" i="9"/>
  <c r="O700" i="9"/>
  <c r="I701" i="9"/>
  <c r="J701" i="9"/>
  <c r="K701" i="9"/>
  <c r="N701" i="9"/>
  <c r="O701" i="9"/>
  <c r="I702" i="9"/>
  <c r="J702" i="9"/>
  <c r="K702" i="9"/>
  <c r="N702" i="9"/>
  <c r="O702" i="9"/>
  <c r="I703" i="9"/>
  <c r="J703" i="9"/>
  <c r="K703" i="9"/>
  <c r="N703" i="9"/>
  <c r="O703" i="9"/>
  <c r="I704" i="9"/>
  <c r="J704" i="9"/>
  <c r="K704" i="9"/>
  <c r="N704" i="9"/>
  <c r="O704" i="9"/>
  <c r="I705" i="9"/>
  <c r="J705" i="9"/>
  <c r="K705" i="9"/>
  <c r="N705" i="9"/>
  <c r="O705" i="9"/>
  <c r="I706" i="9"/>
  <c r="J706" i="9"/>
  <c r="K706" i="9"/>
  <c r="N706" i="9"/>
  <c r="O706" i="9"/>
  <c r="I707" i="9"/>
  <c r="J707" i="9"/>
  <c r="K707" i="9"/>
  <c r="N707" i="9"/>
  <c r="O707" i="9"/>
  <c r="I708" i="9"/>
  <c r="J708" i="9"/>
  <c r="K708" i="9"/>
  <c r="N708" i="9"/>
  <c r="O708" i="9"/>
  <c r="I709" i="9"/>
  <c r="J709" i="9"/>
  <c r="K709" i="9"/>
  <c r="N709" i="9"/>
  <c r="O709" i="9"/>
  <c r="I710" i="9"/>
  <c r="K710" i="9"/>
  <c r="N710" i="9"/>
  <c r="O710" i="9"/>
  <c r="I711" i="9"/>
  <c r="K711" i="9"/>
  <c r="N711" i="9"/>
  <c r="O711" i="9"/>
  <c r="I712" i="9"/>
  <c r="K712" i="9"/>
  <c r="N712" i="9"/>
  <c r="O712" i="9"/>
  <c r="I713" i="9"/>
  <c r="K713" i="9"/>
  <c r="N713" i="9"/>
  <c r="O713" i="9"/>
  <c r="I714" i="9"/>
  <c r="J714" i="9"/>
  <c r="K714" i="9"/>
  <c r="N714" i="9"/>
  <c r="O714" i="9"/>
  <c r="I715" i="9"/>
  <c r="J715" i="9"/>
  <c r="K715" i="9"/>
  <c r="N715" i="9"/>
  <c r="O715" i="9"/>
  <c r="I716" i="9"/>
  <c r="J716" i="9"/>
  <c r="K716" i="9"/>
  <c r="N716" i="9"/>
  <c r="O716" i="9"/>
  <c r="N717" i="9"/>
  <c r="O717" i="9"/>
  <c r="J718" i="9"/>
  <c r="K718" i="9"/>
  <c r="N718" i="9"/>
  <c r="O718" i="9"/>
  <c r="J719" i="9"/>
  <c r="K719" i="9"/>
  <c r="N719" i="9"/>
  <c r="O719" i="9"/>
  <c r="J720" i="9"/>
  <c r="K720" i="9"/>
  <c r="N720" i="9"/>
  <c r="O720" i="9"/>
  <c r="K721" i="9"/>
  <c r="N721" i="9"/>
  <c r="O721" i="9"/>
  <c r="N722" i="9"/>
  <c r="O722" i="9"/>
  <c r="N723" i="9"/>
  <c r="O723" i="9"/>
  <c r="N724" i="9"/>
  <c r="O724" i="9"/>
  <c r="N725" i="9"/>
  <c r="O725" i="9"/>
  <c r="J726" i="9"/>
  <c r="K726" i="9"/>
  <c r="N726" i="9"/>
  <c r="O726" i="9"/>
  <c r="J727" i="9"/>
  <c r="K727" i="9"/>
  <c r="N727" i="9"/>
  <c r="O727" i="9"/>
  <c r="I728" i="9"/>
  <c r="J728" i="9"/>
  <c r="K728" i="9"/>
  <c r="N728" i="9"/>
  <c r="O728" i="9"/>
  <c r="I729" i="9"/>
  <c r="J729" i="9"/>
  <c r="K729" i="9"/>
  <c r="N729" i="9"/>
  <c r="O729" i="9"/>
  <c r="I730" i="9"/>
  <c r="J730" i="9"/>
  <c r="K730" i="9"/>
  <c r="N730" i="9"/>
  <c r="O730" i="9"/>
  <c r="I731" i="9"/>
  <c r="J731" i="9"/>
  <c r="K731" i="9"/>
  <c r="N731" i="9"/>
  <c r="O731" i="9"/>
  <c r="I732" i="9"/>
  <c r="J732" i="9"/>
  <c r="K732" i="9"/>
  <c r="N732" i="9"/>
  <c r="O732" i="9"/>
  <c r="I733" i="9"/>
  <c r="J733" i="9"/>
  <c r="K733" i="9"/>
  <c r="N733" i="9"/>
  <c r="O733" i="9"/>
  <c r="I734" i="9"/>
  <c r="J734" i="9"/>
  <c r="K734" i="9"/>
  <c r="N734" i="9"/>
  <c r="O734" i="9"/>
  <c r="I735" i="9"/>
  <c r="J735" i="9"/>
  <c r="K735" i="9"/>
  <c r="N735" i="9"/>
  <c r="O735" i="9"/>
  <c r="I736" i="9"/>
  <c r="J736" i="9"/>
  <c r="K736" i="9"/>
  <c r="N736" i="9"/>
  <c r="O736" i="9"/>
  <c r="I737" i="9"/>
  <c r="J737" i="9"/>
  <c r="K737" i="9"/>
  <c r="N737" i="9"/>
  <c r="O737" i="9"/>
  <c r="I738" i="9"/>
  <c r="J738" i="9"/>
  <c r="K738" i="9"/>
  <c r="N738" i="9"/>
  <c r="O738" i="9"/>
  <c r="I739" i="9"/>
  <c r="J739" i="9"/>
  <c r="K739" i="9"/>
  <c r="N739" i="9"/>
  <c r="O739" i="9"/>
  <c r="I740" i="9"/>
  <c r="J740" i="9"/>
  <c r="K740" i="9"/>
  <c r="N740" i="9"/>
  <c r="O740" i="9"/>
  <c r="J741" i="9"/>
  <c r="K741" i="9"/>
  <c r="N741" i="9"/>
  <c r="O741" i="9"/>
  <c r="I742" i="9"/>
  <c r="K742" i="9"/>
  <c r="N742" i="9"/>
  <c r="O742" i="9"/>
  <c r="I743" i="9"/>
  <c r="J743" i="9"/>
  <c r="K743" i="9"/>
  <c r="N743" i="9"/>
  <c r="O743" i="9"/>
  <c r="J744" i="9"/>
  <c r="K744" i="9"/>
  <c r="N744" i="9"/>
  <c r="O744" i="9"/>
  <c r="N745" i="9"/>
  <c r="O745" i="9"/>
  <c r="J746" i="9"/>
  <c r="K746" i="9"/>
  <c r="N746" i="9"/>
  <c r="O746" i="9"/>
  <c r="J747" i="9"/>
  <c r="K747" i="9"/>
  <c r="N747" i="9"/>
  <c r="O747" i="9"/>
  <c r="J748" i="9"/>
  <c r="K748" i="9"/>
  <c r="N748" i="9"/>
  <c r="O748" i="9"/>
  <c r="J749" i="9"/>
  <c r="K749" i="9"/>
  <c r="N749" i="9"/>
  <c r="O749" i="9"/>
  <c r="J750" i="9"/>
  <c r="K750" i="9"/>
  <c r="N750" i="9"/>
  <c r="O750" i="9"/>
  <c r="J751" i="9"/>
  <c r="K751" i="9"/>
  <c r="N751" i="9"/>
  <c r="O751" i="9"/>
  <c r="K752" i="9"/>
  <c r="N752" i="9"/>
  <c r="O752" i="9"/>
  <c r="N753" i="9"/>
  <c r="O753" i="9"/>
  <c r="N754" i="9"/>
  <c r="O754" i="9"/>
  <c r="K755" i="9"/>
  <c r="N755" i="9"/>
  <c r="O755" i="9"/>
  <c r="J756" i="9"/>
  <c r="K756" i="9"/>
  <c r="N756" i="9"/>
  <c r="O756" i="9"/>
  <c r="J757" i="9"/>
  <c r="K757" i="9"/>
  <c r="N757" i="9"/>
  <c r="O757" i="9"/>
  <c r="I758" i="9"/>
  <c r="J758" i="9"/>
  <c r="K758" i="9"/>
  <c r="N758" i="9"/>
  <c r="O758" i="9"/>
  <c r="I759" i="9"/>
  <c r="J759" i="9"/>
  <c r="K759" i="9"/>
  <c r="N759" i="9"/>
  <c r="O759" i="9"/>
  <c r="J760" i="9"/>
  <c r="K760" i="9"/>
  <c r="N760" i="9"/>
  <c r="O760" i="9"/>
  <c r="I761" i="9"/>
  <c r="J761" i="9"/>
  <c r="K761" i="9"/>
  <c r="N761" i="9"/>
  <c r="O761" i="9"/>
  <c r="I762" i="9"/>
  <c r="J762" i="9"/>
  <c r="K762" i="9"/>
  <c r="N762" i="9"/>
  <c r="O762" i="9"/>
  <c r="I763" i="9"/>
  <c r="J763" i="9"/>
  <c r="K763" i="9"/>
  <c r="N763" i="9"/>
  <c r="O763" i="9"/>
  <c r="I764" i="9"/>
  <c r="J764" i="9"/>
  <c r="K764" i="9"/>
  <c r="N764" i="9"/>
  <c r="O764" i="9"/>
  <c r="I765" i="9"/>
  <c r="J765" i="9"/>
  <c r="K765" i="9"/>
  <c r="N765" i="9"/>
  <c r="O765" i="9"/>
  <c r="I766" i="9"/>
  <c r="J766" i="9"/>
  <c r="K766" i="9"/>
  <c r="N766" i="9"/>
  <c r="O766" i="9"/>
  <c r="I767" i="9"/>
  <c r="J767" i="9"/>
  <c r="K767" i="9"/>
  <c r="N767" i="9"/>
  <c r="O767" i="9"/>
  <c r="J768" i="9"/>
  <c r="K768" i="9"/>
  <c r="N768" i="9"/>
  <c r="O768" i="9"/>
  <c r="I769" i="9"/>
  <c r="K769" i="9"/>
  <c r="N769" i="9"/>
  <c r="O769" i="9"/>
  <c r="I770" i="9"/>
  <c r="K770" i="9"/>
  <c r="N770" i="9"/>
  <c r="O770" i="9"/>
  <c r="I771" i="9"/>
  <c r="K771" i="9"/>
  <c r="N771" i="9"/>
  <c r="O771" i="9"/>
  <c r="J772" i="9"/>
  <c r="K772" i="9"/>
  <c r="N772" i="9"/>
  <c r="O772" i="9"/>
  <c r="J773" i="9"/>
  <c r="K773" i="9"/>
  <c r="N773" i="9"/>
  <c r="O773" i="9"/>
  <c r="I774" i="9"/>
  <c r="J774" i="9"/>
  <c r="K774" i="9"/>
  <c r="N774" i="9"/>
  <c r="O774" i="9"/>
  <c r="J775" i="9"/>
  <c r="K775" i="9"/>
  <c r="N775" i="9"/>
  <c r="O775" i="9"/>
  <c r="J776" i="9"/>
  <c r="K776" i="9"/>
  <c r="N776" i="9"/>
  <c r="O776" i="9"/>
  <c r="J777" i="9"/>
  <c r="K777" i="9"/>
  <c r="N777" i="9"/>
  <c r="O777" i="9"/>
  <c r="I778" i="9"/>
  <c r="J778" i="9"/>
  <c r="K778" i="9"/>
  <c r="N778" i="9"/>
  <c r="O778" i="9"/>
  <c r="I779" i="9"/>
  <c r="J779" i="9"/>
  <c r="K779" i="9"/>
  <c r="N779" i="9"/>
  <c r="O779" i="9"/>
  <c r="N780" i="9"/>
  <c r="O780" i="9"/>
  <c r="I781" i="9"/>
  <c r="J781" i="9"/>
  <c r="K781" i="9"/>
  <c r="N781" i="9"/>
  <c r="O781" i="9"/>
  <c r="I782" i="9"/>
  <c r="J782" i="9"/>
  <c r="K782" i="9"/>
  <c r="N782" i="9"/>
  <c r="O782" i="9"/>
  <c r="I783" i="9"/>
  <c r="J783" i="9"/>
  <c r="K783" i="9"/>
  <c r="N783" i="9"/>
  <c r="O783" i="9"/>
  <c r="I784" i="9"/>
  <c r="J784" i="9"/>
  <c r="K784" i="9"/>
  <c r="N784" i="9"/>
  <c r="O784" i="9"/>
  <c r="N785" i="9"/>
  <c r="O785" i="9"/>
  <c r="N786" i="9"/>
  <c r="O786" i="9"/>
  <c r="N787" i="9"/>
  <c r="O787" i="9"/>
  <c r="N788" i="9"/>
  <c r="O788" i="9"/>
  <c r="I789" i="9"/>
  <c r="J789" i="9"/>
  <c r="K789" i="9"/>
  <c r="N789" i="9"/>
  <c r="O789" i="9"/>
  <c r="I790" i="9"/>
  <c r="J790" i="9"/>
  <c r="K790" i="9"/>
  <c r="N790" i="9"/>
  <c r="O790" i="9"/>
  <c r="I791" i="9"/>
  <c r="J791" i="9"/>
  <c r="K791" i="9"/>
  <c r="N791" i="9"/>
  <c r="O791" i="9"/>
  <c r="I792" i="9"/>
  <c r="J792" i="9"/>
  <c r="K792" i="9"/>
  <c r="N792" i="9"/>
  <c r="O792" i="9"/>
  <c r="I793" i="9"/>
  <c r="J793" i="9"/>
  <c r="K793" i="9"/>
  <c r="N793" i="9"/>
  <c r="O793" i="9"/>
  <c r="I794" i="9"/>
  <c r="J794" i="9"/>
  <c r="K794" i="9"/>
  <c r="N794" i="9"/>
  <c r="O794" i="9"/>
  <c r="I795" i="9"/>
  <c r="J795" i="9"/>
  <c r="K795" i="9"/>
  <c r="N795" i="9"/>
  <c r="O795" i="9"/>
  <c r="I796" i="9"/>
  <c r="J796" i="9"/>
  <c r="K796" i="9"/>
  <c r="N796" i="9"/>
  <c r="O796" i="9"/>
  <c r="J797" i="9"/>
  <c r="K797" i="9"/>
  <c r="N797" i="9"/>
  <c r="O797" i="9"/>
  <c r="I798" i="9"/>
  <c r="K798" i="9"/>
  <c r="N798" i="9"/>
  <c r="O798" i="9"/>
  <c r="I799" i="9"/>
  <c r="K799" i="9"/>
  <c r="N799" i="9"/>
  <c r="O799" i="9"/>
  <c r="I800" i="9"/>
  <c r="K800" i="9"/>
  <c r="N800" i="9"/>
  <c r="O800" i="9"/>
  <c r="I801" i="9"/>
  <c r="K801" i="9"/>
  <c r="N801" i="9"/>
  <c r="O801" i="9"/>
  <c r="I802" i="9"/>
  <c r="K802" i="9"/>
  <c r="N802" i="9"/>
  <c r="O802" i="9"/>
  <c r="J803" i="9"/>
  <c r="K803" i="9"/>
  <c r="N803" i="9"/>
  <c r="O803" i="9"/>
  <c r="I804" i="9"/>
  <c r="K804" i="9"/>
  <c r="N804" i="9"/>
  <c r="O804" i="9"/>
  <c r="J805" i="9"/>
  <c r="K805" i="9"/>
  <c r="N805" i="9"/>
  <c r="O805" i="9"/>
  <c r="J806" i="9"/>
  <c r="K806" i="9"/>
  <c r="N806" i="9"/>
  <c r="O806" i="9"/>
  <c r="J807" i="9"/>
  <c r="K807" i="9"/>
  <c r="N807" i="9"/>
  <c r="O807" i="9"/>
  <c r="N808" i="9"/>
  <c r="O808" i="9"/>
  <c r="J809" i="9"/>
  <c r="K809" i="9"/>
  <c r="N809" i="9"/>
  <c r="O809" i="9"/>
  <c r="J810" i="9"/>
  <c r="K810" i="9"/>
  <c r="N810" i="9"/>
  <c r="O810" i="9"/>
  <c r="I811" i="9"/>
  <c r="J811" i="9"/>
  <c r="K811" i="9"/>
  <c r="N811" i="9"/>
  <c r="O811" i="9"/>
  <c r="I812" i="9"/>
  <c r="J812" i="9"/>
  <c r="K812" i="9"/>
  <c r="N812" i="9"/>
  <c r="O812" i="9"/>
  <c r="I813" i="9"/>
  <c r="J813" i="9"/>
  <c r="K813" i="9"/>
  <c r="N813" i="9"/>
  <c r="O813" i="9"/>
  <c r="I814" i="9"/>
  <c r="J814" i="9"/>
  <c r="K814" i="9"/>
  <c r="N814" i="9"/>
  <c r="O814" i="9"/>
  <c r="I815" i="9"/>
  <c r="J815" i="9"/>
  <c r="K815" i="9"/>
  <c r="N815" i="9"/>
  <c r="O815" i="9"/>
  <c r="I816" i="9"/>
  <c r="J816" i="9"/>
  <c r="K816" i="9"/>
  <c r="N816" i="9"/>
  <c r="O816" i="9"/>
  <c r="J817" i="9"/>
  <c r="K817" i="9"/>
  <c r="N817" i="9"/>
  <c r="O817" i="9"/>
  <c r="N818" i="9"/>
  <c r="O818" i="9"/>
  <c r="J819" i="9"/>
  <c r="K819" i="9"/>
  <c r="N819" i="9"/>
  <c r="O819" i="9"/>
  <c r="J820" i="9"/>
  <c r="K820" i="9"/>
  <c r="N820" i="9"/>
  <c r="O820" i="9"/>
  <c r="K821" i="9"/>
  <c r="N821" i="9"/>
  <c r="O821" i="9"/>
  <c r="K822" i="9"/>
  <c r="N822" i="9"/>
  <c r="O822" i="9"/>
  <c r="J823" i="9"/>
  <c r="K823" i="9"/>
  <c r="N823" i="9"/>
  <c r="O823" i="9"/>
  <c r="I824" i="9"/>
  <c r="K824" i="9"/>
  <c r="N824" i="9"/>
  <c r="O824" i="9"/>
  <c r="I825" i="9"/>
  <c r="J825" i="9"/>
  <c r="K825" i="9"/>
  <c r="N825" i="9"/>
  <c r="O825" i="9"/>
  <c r="J826" i="9"/>
  <c r="K826" i="9"/>
  <c r="N826" i="9"/>
  <c r="O826" i="9"/>
  <c r="J827" i="9"/>
  <c r="K827" i="9"/>
  <c r="N827" i="9"/>
  <c r="O827" i="9"/>
  <c r="J828" i="9"/>
  <c r="K828" i="9"/>
  <c r="N828" i="9"/>
  <c r="O828" i="9"/>
  <c r="J829" i="9"/>
  <c r="K829" i="9"/>
  <c r="N829" i="9"/>
  <c r="O829" i="9"/>
  <c r="I830" i="9"/>
  <c r="J830" i="9"/>
  <c r="K830" i="9"/>
  <c r="N830" i="9"/>
  <c r="O830" i="9"/>
  <c r="I831" i="9"/>
  <c r="J831" i="9"/>
  <c r="K831" i="9"/>
  <c r="N831" i="9"/>
  <c r="O831" i="9"/>
  <c r="I832" i="9"/>
  <c r="J832" i="9"/>
  <c r="K832" i="9"/>
  <c r="N832" i="9"/>
  <c r="O832" i="9"/>
  <c r="I833" i="9"/>
  <c r="J833" i="9"/>
  <c r="K833" i="9"/>
  <c r="N833" i="9"/>
  <c r="O833" i="9"/>
  <c r="I834" i="9"/>
  <c r="J834" i="9"/>
  <c r="K834" i="9"/>
  <c r="N834" i="9"/>
  <c r="O834" i="9"/>
  <c r="I835" i="9"/>
  <c r="K835" i="9"/>
  <c r="N835" i="9"/>
  <c r="O835" i="9"/>
  <c r="I836" i="9"/>
  <c r="J836" i="9"/>
  <c r="K836" i="9"/>
  <c r="N836" i="9"/>
  <c r="O836" i="9"/>
  <c r="K837" i="9"/>
  <c r="N837" i="9"/>
  <c r="O837" i="9"/>
  <c r="I838" i="9"/>
  <c r="J838" i="9"/>
  <c r="K838" i="9"/>
  <c r="N838" i="9"/>
  <c r="O838" i="9"/>
  <c r="I839" i="9"/>
  <c r="K839" i="9"/>
  <c r="N839" i="9"/>
  <c r="O839" i="9"/>
  <c r="I840" i="9"/>
  <c r="J840" i="9"/>
  <c r="K840" i="9"/>
  <c r="N840" i="9"/>
  <c r="O840" i="9"/>
  <c r="J841" i="9"/>
  <c r="K841" i="9"/>
  <c r="N841" i="9"/>
  <c r="O841" i="9"/>
  <c r="I842" i="9"/>
  <c r="K842" i="9"/>
  <c r="N842" i="9"/>
  <c r="O842" i="9"/>
  <c r="J843" i="9"/>
  <c r="K843" i="9"/>
  <c r="N843" i="9"/>
  <c r="O843" i="9"/>
  <c r="I844" i="9"/>
  <c r="J844" i="9"/>
  <c r="K844" i="9"/>
  <c r="N844" i="9"/>
  <c r="O844" i="9"/>
  <c r="I845" i="9"/>
  <c r="J845" i="9"/>
  <c r="K845" i="9"/>
  <c r="N845" i="9"/>
  <c r="O845" i="9"/>
  <c r="I846" i="9"/>
  <c r="J846" i="9"/>
  <c r="K846" i="9"/>
  <c r="N846" i="9"/>
  <c r="O846" i="9"/>
  <c r="I847" i="9"/>
  <c r="J847" i="9"/>
  <c r="K847" i="9"/>
  <c r="N847" i="9"/>
  <c r="O847" i="9"/>
  <c r="J848" i="9"/>
  <c r="K848" i="9"/>
  <c r="N848" i="9"/>
  <c r="O848" i="9"/>
  <c r="N849" i="9"/>
  <c r="O849" i="9"/>
  <c r="J850" i="9"/>
  <c r="K850" i="9"/>
  <c r="N850" i="9"/>
  <c r="O850" i="9"/>
  <c r="I851" i="9"/>
  <c r="J851" i="9"/>
  <c r="K851" i="9"/>
  <c r="N851" i="9"/>
  <c r="O851" i="9"/>
  <c r="I852" i="9"/>
  <c r="J852" i="9"/>
  <c r="K852" i="9"/>
  <c r="N852" i="9"/>
  <c r="O852" i="9"/>
  <c r="K853" i="9"/>
  <c r="N853" i="9"/>
  <c r="O853" i="9"/>
  <c r="J854" i="9"/>
  <c r="K854" i="9"/>
  <c r="N854" i="9"/>
  <c r="O854" i="9"/>
  <c r="J855" i="9"/>
  <c r="K855" i="9"/>
  <c r="N855" i="9"/>
  <c r="O855" i="9"/>
  <c r="N856" i="9"/>
  <c r="O856" i="9"/>
  <c r="N857" i="9"/>
  <c r="O857" i="9"/>
  <c r="N858" i="9"/>
  <c r="O858" i="9"/>
  <c r="N859" i="9"/>
  <c r="O859" i="9"/>
  <c r="J860" i="9"/>
  <c r="K860" i="9"/>
  <c r="N860" i="9"/>
  <c r="O860" i="9"/>
  <c r="I861" i="9"/>
  <c r="J861" i="9"/>
  <c r="K861" i="9"/>
  <c r="N861" i="9"/>
  <c r="O861" i="9"/>
  <c r="I862" i="9"/>
  <c r="J862" i="9"/>
  <c r="K862" i="9"/>
  <c r="N862" i="9"/>
  <c r="O862" i="9"/>
  <c r="I863" i="9"/>
  <c r="J863" i="9"/>
  <c r="K863" i="9"/>
  <c r="N863" i="9"/>
  <c r="O863" i="9"/>
  <c r="J864" i="9"/>
  <c r="K864" i="9"/>
  <c r="N864" i="9"/>
  <c r="O864" i="9"/>
  <c r="N865" i="9"/>
  <c r="O865" i="9"/>
  <c r="J866" i="9"/>
  <c r="K866" i="9"/>
  <c r="N866" i="9"/>
  <c r="O866" i="9"/>
  <c r="I867" i="9"/>
  <c r="J867" i="9"/>
  <c r="K867" i="9"/>
  <c r="N867" i="9"/>
  <c r="O867" i="9"/>
  <c r="I868" i="9"/>
  <c r="J868" i="9"/>
  <c r="K868" i="9"/>
  <c r="N868" i="9"/>
  <c r="O868" i="9"/>
  <c r="I869" i="9"/>
  <c r="J869" i="9"/>
  <c r="K869" i="9"/>
  <c r="N869" i="9"/>
  <c r="O869" i="9"/>
  <c r="I870" i="9"/>
  <c r="K870" i="9"/>
  <c r="N870" i="9"/>
  <c r="O870" i="9"/>
  <c r="I871" i="9"/>
  <c r="K871" i="9"/>
  <c r="N871" i="9"/>
  <c r="O871" i="9"/>
  <c r="I872" i="9"/>
  <c r="J872" i="9"/>
  <c r="K872" i="9"/>
  <c r="N872" i="9"/>
  <c r="O872" i="9"/>
  <c r="J873" i="9"/>
  <c r="K873" i="9"/>
  <c r="N873" i="9"/>
  <c r="O873" i="9"/>
  <c r="N874" i="9"/>
  <c r="O874" i="9"/>
  <c r="I875" i="9"/>
  <c r="J875" i="9"/>
  <c r="K875" i="9"/>
  <c r="N875" i="9"/>
  <c r="O875" i="9"/>
  <c r="I876" i="9"/>
  <c r="K876" i="9"/>
  <c r="N876" i="9"/>
  <c r="O876" i="9"/>
  <c r="I877" i="9"/>
  <c r="K877" i="9"/>
  <c r="N877" i="9"/>
  <c r="O877" i="9"/>
  <c r="I878" i="9"/>
  <c r="K878" i="9"/>
  <c r="N878" i="9"/>
  <c r="O878" i="9"/>
  <c r="I879" i="9"/>
  <c r="K879" i="9"/>
  <c r="N879" i="9"/>
  <c r="O879" i="9"/>
  <c r="J880" i="9"/>
  <c r="K880" i="9"/>
  <c r="N880" i="9"/>
  <c r="O880" i="9"/>
  <c r="N881" i="9"/>
  <c r="O881" i="9"/>
  <c r="J882" i="9"/>
  <c r="K882" i="9"/>
  <c r="N882" i="9"/>
  <c r="O882" i="9"/>
  <c r="N883" i="9"/>
  <c r="O883" i="9"/>
  <c r="K884" i="9"/>
  <c r="N884" i="9"/>
  <c r="O884" i="9"/>
  <c r="N885" i="9"/>
  <c r="O885" i="9"/>
  <c r="K886" i="9"/>
  <c r="N886" i="9"/>
  <c r="O886" i="9"/>
  <c r="I887" i="9"/>
  <c r="J887" i="9"/>
  <c r="K887" i="9"/>
  <c r="N887" i="9"/>
  <c r="O887" i="9"/>
  <c r="I888" i="9"/>
  <c r="J888" i="9"/>
  <c r="K888" i="9"/>
  <c r="N888" i="9"/>
  <c r="O888" i="9"/>
  <c r="I889" i="9"/>
  <c r="J889" i="9"/>
  <c r="K889" i="9"/>
  <c r="N889" i="9"/>
  <c r="O889" i="9"/>
  <c r="I890" i="9"/>
  <c r="J890" i="9"/>
  <c r="K890" i="9"/>
  <c r="N890" i="9"/>
  <c r="O890" i="9"/>
  <c r="I891" i="9"/>
  <c r="J891" i="9"/>
  <c r="K891" i="9"/>
  <c r="N891" i="9"/>
  <c r="O891" i="9"/>
  <c r="N892" i="9"/>
  <c r="O892" i="9"/>
  <c r="I893" i="9"/>
  <c r="J893" i="9"/>
  <c r="K893" i="9"/>
  <c r="N893" i="9"/>
  <c r="O893" i="9"/>
  <c r="I894" i="9"/>
  <c r="J894" i="9"/>
  <c r="K894" i="9"/>
  <c r="N894" i="9"/>
  <c r="O894" i="9"/>
  <c r="I895" i="9"/>
  <c r="J895" i="9"/>
  <c r="K895" i="9"/>
  <c r="N895" i="9"/>
  <c r="O895" i="9"/>
  <c r="I896" i="9"/>
  <c r="J896" i="9"/>
  <c r="K896" i="9"/>
  <c r="N896" i="9"/>
  <c r="O896" i="9"/>
  <c r="I897" i="9"/>
  <c r="J897" i="9"/>
  <c r="K897" i="9"/>
  <c r="N897" i="9"/>
  <c r="O897" i="9"/>
  <c r="I898" i="9"/>
  <c r="J898" i="9"/>
  <c r="K898" i="9"/>
  <c r="N898" i="9"/>
  <c r="O898" i="9"/>
  <c r="I899" i="9"/>
  <c r="J899" i="9"/>
  <c r="K899" i="9"/>
  <c r="N899" i="9"/>
  <c r="O899" i="9"/>
  <c r="I900" i="9"/>
  <c r="J900" i="9"/>
  <c r="K900" i="9"/>
  <c r="N900" i="9"/>
  <c r="O900" i="9"/>
  <c r="I901" i="9"/>
  <c r="J901" i="9"/>
  <c r="K901" i="9"/>
  <c r="N901" i="9"/>
  <c r="O901" i="9"/>
  <c r="I902" i="9"/>
  <c r="J902" i="9"/>
  <c r="K902" i="9"/>
  <c r="N902" i="9"/>
  <c r="O902" i="9"/>
  <c r="I903" i="9"/>
  <c r="J903" i="9"/>
  <c r="K903" i="9"/>
  <c r="N903" i="9"/>
  <c r="O903" i="9"/>
  <c r="I904" i="9"/>
  <c r="K904" i="9"/>
  <c r="N904" i="9"/>
  <c r="O904" i="9"/>
  <c r="J905" i="9"/>
  <c r="K905" i="9"/>
  <c r="N905" i="9"/>
  <c r="O905" i="9"/>
  <c r="J906" i="9"/>
  <c r="K906" i="9"/>
  <c r="N906" i="9"/>
  <c r="O906" i="9"/>
  <c r="J907" i="9"/>
  <c r="K907" i="9"/>
  <c r="N907" i="9"/>
  <c r="O907" i="9"/>
  <c r="I908" i="9"/>
  <c r="K908" i="9"/>
  <c r="N908" i="9"/>
  <c r="O908" i="9"/>
  <c r="J909" i="9"/>
  <c r="K909" i="9"/>
  <c r="N909" i="9"/>
  <c r="O909" i="9"/>
  <c r="J910" i="9"/>
  <c r="K910" i="9"/>
  <c r="N910" i="9"/>
  <c r="O910" i="9"/>
  <c r="N911" i="9"/>
  <c r="O911" i="9"/>
  <c r="N912" i="9"/>
  <c r="O912" i="9"/>
  <c r="N913" i="9"/>
  <c r="O913" i="9"/>
  <c r="K914" i="9"/>
  <c r="N914" i="9"/>
  <c r="O914" i="9"/>
  <c r="N915" i="9"/>
  <c r="O915" i="9"/>
  <c r="N916" i="9"/>
  <c r="O916" i="9"/>
  <c r="N917" i="9"/>
  <c r="O917" i="9"/>
  <c r="J918" i="9"/>
  <c r="K918" i="9"/>
  <c r="N918" i="9"/>
  <c r="O918" i="9"/>
  <c r="J919" i="9"/>
  <c r="K919" i="9"/>
  <c r="N919" i="9"/>
  <c r="O919" i="9"/>
  <c r="J920" i="9"/>
  <c r="K920" i="9"/>
  <c r="N920" i="9"/>
  <c r="O920" i="9"/>
  <c r="K921" i="9"/>
  <c r="N921" i="9"/>
  <c r="O921" i="9"/>
  <c r="N922" i="9"/>
  <c r="O922" i="9"/>
  <c r="J923" i="9"/>
  <c r="K923" i="9"/>
  <c r="N923" i="9"/>
  <c r="O923" i="9"/>
  <c r="N924" i="9"/>
  <c r="O924" i="9"/>
  <c r="J925" i="9"/>
  <c r="K925" i="9"/>
  <c r="N925" i="9"/>
  <c r="O925" i="9"/>
  <c r="J926" i="9"/>
  <c r="K926" i="9"/>
  <c r="N926" i="9"/>
  <c r="O926" i="9"/>
  <c r="J927" i="9"/>
  <c r="K927" i="9"/>
  <c r="N927" i="9"/>
  <c r="O927" i="9"/>
  <c r="N928" i="9"/>
  <c r="O928" i="9"/>
  <c r="I929" i="9"/>
  <c r="J929" i="9"/>
  <c r="K929" i="9"/>
  <c r="N929" i="9"/>
  <c r="O929" i="9"/>
  <c r="N930" i="9"/>
  <c r="O930" i="9"/>
  <c r="I931" i="9"/>
  <c r="J931" i="9"/>
  <c r="K931" i="9"/>
  <c r="N931" i="9"/>
  <c r="O931" i="9"/>
  <c r="I932" i="9"/>
  <c r="J932" i="9"/>
  <c r="K932" i="9"/>
  <c r="N932" i="9"/>
  <c r="O932" i="9"/>
  <c r="I933" i="9"/>
  <c r="J933" i="9"/>
  <c r="K933" i="9"/>
  <c r="N933" i="9"/>
  <c r="O933" i="9"/>
  <c r="I934" i="9"/>
  <c r="J934" i="9"/>
  <c r="K934" i="9"/>
  <c r="N934" i="9"/>
  <c r="O934" i="9"/>
  <c r="I935" i="9"/>
  <c r="J935" i="9"/>
  <c r="K935" i="9"/>
  <c r="N935" i="9"/>
  <c r="O935" i="9"/>
  <c r="N936" i="9"/>
  <c r="O936" i="9"/>
  <c r="I937" i="9"/>
  <c r="J937" i="9"/>
  <c r="K937" i="9"/>
  <c r="N937" i="9"/>
  <c r="O937" i="9"/>
  <c r="I938" i="9"/>
  <c r="J938" i="9"/>
  <c r="K938" i="9"/>
  <c r="N938" i="9"/>
  <c r="O938" i="9"/>
  <c r="I939" i="9"/>
  <c r="J939" i="9"/>
  <c r="K939" i="9"/>
  <c r="N939" i="9"/>
  <c r="O939" i="9"/>
  <c r="I940" i="9"/>
  <c r="J940" i="9"/>
  <c r="K940" i="9"/>
  <c r="N940" i="9"/>
  <c r="O940" i="9"/>
  <c r="I941" i="9"/>
  <c r="J941" i="9"/>
  <c r="K941" i="9"/>
  <c r="N941" i="9"/>
  <c r="O941" i="9"/>
  <c r="J942" i="9"/>
  <c r="K942" i="9"/>
  <c r="N942" i="9"/>
  <c r="O942" i="9"/>
  <c r="I943" i="9"/>
  <c r="K943" i="9"/>
  <c r="N943" i="9"/>
  <c r="O943" i="9"/>
  <c r="I944" i="9"/>
  <c r="K944" i="9"/>
  <c r="N944" i="9"/>
  <c r="O944" i="9"/>
  <c r="I945" i="9"/>
  <c r="K945" i="9"/>
  <c r="N945" i="9"/>
  <c r="O945" i="9"/>
  <c r="I946" i="9"/>
  <c r="K946" i="9"/>
  <c r="N946" i="9"/>
  <c r="O946" i="9"/>
  <c r="I947" i="9"/>
  <c r="J947" i="9"/>
  <c r="K947" i="9"/>
  <c r="N947" i="9"/>
  <c r="O947" i="9"/>
  <c r="I948" i="9"/>
  <c r="J948" i="9"/>
  <c r="K948" i="9"/>
  <c r="N948" i="9"/>
  <c r="O948" i="9"/>
  <c r="I949" i="9"/>
  <c r="J949" i="9"/>
  <c r="K949" i="9"/>
  <c r="N949" i="9"/>
  <c r="O949" i="9"/>
  <c r="I950" i="9"/>
  <c r="J950" i="9"/>
  <c r="K950" i="9"/>
  <c r="N950" i="9"/>
  <c r="O950" i="9"/>
  <c r="I951" i="9"/>
  <c r="J951" i="9"/>
  <c r="K951" i="9"/>
  <c r="N951" i="9"/>
  <c r="O951" i="9"/>
  <c r="I952" i="9"/>
  <c r="J952" i="9"/>
  <c r="K952" i="9"/>
  <c r="N952" i="9"/>
  <c r="O952" i="9"/>
  <c r="I953" i="9"/>
  <c r="J953" i="9"/>
  <c r="K953" i="9"/>
  <c r="N953" i="9"/>
  <c r="O953" i="9"/>
  <c r="I954" i="9"/>
  <c r="J954" i="9"/>
  <c r="K954" i="9"/>
  <c r="N954" i="9"/>
  <c r="O954" i="9"/>
  <c r="I955" i="9"/>
  <c r="J955" i="9"/>
  <c r="K955" i="9"/>
  <c r="N955" i="9"/>
  <c r="O955" i="9"/>
  <c r="I956" i="9"/>
  <c r="J956" i="9"/>
  <c r="K956" i="9"/>
  <c r="N956" i="9"/>
  <c r="O956" i="9"/>
  <c r="I957" i="9"/>
  <c r="K957" i="9"/>
  <c r="N957" i="9"/>
  <c r="O957" i="9"/>
  <c r="J958" i="9"/>
  <c r="K958" i="9"/>
  <c r="N958" i="9"/>
  <c r="O958" i="9"/>
  <c r="J959" i="9"/>
  <c r="K959" i="9"/>
  <c r="N959" i="9"/>
  <c r="O959" i="9"/>
  <c r="J960" i="9"/>
  <c r="K960" i="9"/>
  <c r="N960" i="9"/>
  <c r="O960" i="9"/>
  <c r="N961" i="9"/>
  <c r="O961" i="9"/>
  <c r="N962" i="9"/>
  <c r="O962" i="9"/>
  <c r="N963" i="9"/>
  <c r="O963" i="9"/>
  <c r="N964" i="9"/>
  <c r="O964" i="9"/>
  <c r="K965" i="9"/>
  <c r="N965" i="9"/>
  <c r="O965" i="9"/>
  <c r="J966" i="9"/>
  <c r="K966" i="9"/>
  <c r="N966" i="9"/>
  <c r="O966" i="9"/>
  <c r="N967" i="9"/>
  <c r="O967" i="9"/>
  <c r="I968" i="9"/>
  <c r="J968" i="9"/>
  <c r="K968" i="9"/>
  <c r="N968" i="9"/>
  <c r="O968" i="9"/>
  <c r="J969" i="9"/>
  <c r="K969" i="9"/>
  <c r="N969" i="9"/>
  <c r="O969" i="9"/>
  <c r="N970" i="9"/>
  <c r="O970" i="9"/>
  <c r="J971" i="9"/>
  <c r="K971" i="9"/>
  <c r="N971" i="9"/>
  <c r="O971" i="9"/>
  <c r="J972" i="9"/>
  <c r="K972" i="9"/>
  <c r="N972" i="9"/>
  <c r="O972" i="9"/>
  <c r="J973" i="9"/>
  <c r="K973" i="9"/>
  <c r="N973" i="9"/>
  <c r="O973" i="9"/>
  <c r="N974" i="9"/>
  <c r="O974" i="9"/>
  <c r="K975" i="9"/>
  <c r="N975" i="9"/>
  <c r="O975" i="9"/>
  <c r="I976" i="9"/>
  <c r="J976" i="9"/>
  <c r="K976" i="9"/>
  <c r="N976" i="9"/>
  <c r="O976" i="9"/>
  <c r="I977" i="9"/>
  <c r="J977" i="9"/>
  <c r="K977" i="9"/>
  <c r="N977" i="9"/>
  <c r="O977" i="9"/>
  <c r="I978" i="9"/>
  <c r="J978" i="9"/>
  <c r="K978" i="9"/>
  <c r="N978" i="9"/>
  <c r="O978" i="9"/>
  <c r="I979" i="9"/>
  <c r="J979" i="9"/>
  <c r="K979" i="9"/>
  <c r="N979" i="9"/>
  <c r="O979" i="9"/>
  <c r="I980" i="9"/>
  <c r="J980" i="9"/>
  <c r="K980" i="9"/>
  <c r="N980" i="9"/>
  <c r="O980" i="9"/>
  <c r="I981" i="9"/>
  <c r="J981" i="9"/>
  <c r="K981" i="9"/>
  <c r="N981" i="9"/>
  <c r="O981" i="9"/>
  <c r="I982" i="9"/>
  <c r="J982" i="9"/>
  <c r="K982" i="9"/>
  <c r="N982" i="9"/>
  <c r="O982" i="9"/>
  <c r="I983" i="9"/>
  <c r="J983" i="9"/>
  <c r="K983" i="9"/>
  <c r="N983" i="9"/>
  <c r="O983" i="9"/>
  <c r="I984" i="9"/>
  <c r="J984" i="9"/>
  <c r="K984" i="9"/>
  <c r="N984" i="9"/>
  <c r="O984" i="9"/>
  <c r="I985" i="9"/>
  <c r="J985" i="9"/>
  <c r="K985" i="9"/>
  <c r="N985" i="9"/>
  <c r="O985" i="9"/>
  <c r="N986" i="9"/>
  <c r="O986" i="9"/>
  <c r="J987" i="9"/>
  <c r="K987" i="9"/>
  <c r="N987" i="9"/>
  <c r="O987" i="9"/>
  <c r="I988" i="9"/>
  <c r="J988" i="9"/>
  <c r="K988" i="9"/>
  <c r="N988" i="9"/>
  <c r="O988" i="9"/>
  <c r="I989" i="9"/>
  <c r="J989" i="9"/>
  <c r="K989" i="9"/>
  <c r="N989" i="9"/>
  <c r="O989" i="9"/>
  <c r="I990" i="9"/>
  <c r="J990" i="9"/>
  <c r="K990" i="9"/>
  <c r="N990" i="9"/>
  <c r="O990" i="9"/>
  <c r="I991" i="9"/>
  <c r="K991" i="9"/>
  <c r="N991" i="9"/>
  <c r="O991" i="9"/>
  <c r="I992" i="9"/>
  <c r="K992" i="9"/>
  <c r="N992" i="9"/>
  <c r="O992" i="9"/>
  <c r="J993" i="9"/>
  <c r="K993" i="9"/>
  <c r="N993" i="9"/>
  <c r="O993" i="9"/>
  <c r="N994" i="9"/>
  <c r="O994" i="9"/>
  <c r="N995" i="9"/>
  <c r="O995" i="9"/>
  <c r="I996" i="9"/>
  <c r="J996" i="9"/>
  <c r="K996" i="9"/>
  <c r="N996" i="9"/>
  <c r="O996" i="9"/>
  <c r="J997" i="9"/>
  <c r="K997" i="9"/>
  <c r="N997" i="9"/>
  <c r="O997" i="9"/>
  <c r="N998" i="9"/>
  <c r="O998" i="9"/>
  <c r="J999" i="9"/>
  <c r="K999" i="9"/>
  <c r="N999" i="9"/>
  <c r="O999" i="9"/>
  <c r="I1000" i="9"/>
  <c r="J1000" i="9"/>
  <c r="K1000" i="9"/>
  <c r="N1000" i="9"/>
  <c r="O1000" i="9"/>
  <c r="I1001" i="9"/>
  <c r="J1001" i="9"/>
  <c r="K1001" i="9"/>
  <c r="N1001" i="9"/>
  <c r="O1001" i="9"/>
  <c r="I1002" i="9"/>
  <c r="J1002" i="9"/>
  <c r="K1002" i="9"/>
  <c r="N1002" i="9"/>
  <c r="O1002" i="9"/>
  <c r="I1003" i="9"/>
  <c r="J1003" i="9"/>
  <c r="K1003" i="9"/>
  <c r="N1003" i="9"/>
  <c r="O1003" i="9"/>
  <c r="I1004" i="9"/>
  <c r="J1004" i="9"/>
  <c r="K1004" i="9"/>
  <c r="N1004" i="9"/>
  <c r="O1004" i="9"/>
  <c r="I1005" i="9"/>
  <c r="K1005" i="9"/>
  <c r="N1005" i="9"/>
  <c r="O1005" i="9"/>
  <c r="J1006" i="9"/>
  <c r="K1006" i="9"/>
  <c r="N1006" i="9"/>
  <c r="O1006" i="9"/>
  <c r="J1007" i="9"/>
  <c r="K1007" i="9"/>
  <c r="N1007" i="9"/>
  <c r="O1007" i="9"/>
  <c r="J1008" i="9"/>
  <c r="K1008" i="9"/>
  <c r="N1008" i="9"/>
  <c r="O1008" i="9"/>
  <c r="J1009" i="9"/>
  <c r="K1009" i="9"/>
  <c r="N1009" i="9"/>
  <c r="O1009" i="9"/>
  <c r="J1010" i="9"/>
  <c r="K1010" i="9"/>
  <c r="N1010" i="9"/>
  <c r="O1010" i="9"/>
  <c r="K1011" i="9"/>
  <c r="N1011" i="9"/>
  <c r="O1011" i="9"/>
  <c r="J490" i="9"/>
  <c r="K490" i="9"/>
  <c r="N490" i="9"/>
  <c r="O490" i="9"/>
  <c r="J995" i="9"/>
  <c r="I995" i="9"/>
  <c r="K385" i="9"/>
  <c r="N385" i="9"/>
  <c r="O385" i="9"/>
  <c r="N386" i="9"/>
  <c r="O386" i="9"/>
  <c r="N387" i="9"/>
  <c r="O387" i="9"/>
  <c r="N388" i="9"/>
  <c r="O388" i="9"/>
  <c r="N389" i="9"/>
  <c r="O389" i="9"/>
  <c r="N390" i="9"/>
  <c r="O390" i="9"/>
  <c r="N391" i="9"/>
  <c r="O391" i="9"/>
  <c r="N273" i="9"/>
  <c r="K273" i="9"/>
  <c r="O273" i="9"/>
  <c r="N274" i="9"/>
  <c r="O274" i="9"/>
  <c r="K629" i="9"/>
  <c r="N629" i="9"/>
  <c r="O629" i="9"/>
  <c r="N630" i="9"/>
  <c r="O630" i="9"/>
  <c r="N631" i="9"/>
  <c r="O631" i="9"/>
  <c r="N632" i="9"/>
  <c r="O632" i="9"/>
  <c r="J633" i="9"/>
  <c r="K633" i="9"/>
  <c r="N633" i="9"/>
  <c r="O633" i="9"/>
  <c r="J634" i="9"/>
  <c r="K634" i="9"/>
  <c r="N634" i="9"/>
  <c r="O634" i="9"/>
  <c r="J635" i="9"/>
  <c r="K635" i="9"/>
  <c r="N635" i="9"/>
  <c r="O635" i="9"/>
  <c r="J636" i="9"/>
  <c r="K636" i="9"/>
  <c r="N636" i="9"/>
  <c r="O636" i="9"/>
  <c r="J637" i="9"/>
  <c r="K637" i="9"/>
  <c r="N637" i="9"/>
  <c r="O637" i="9"/>
  <c r="J638" i="9"/>
  <c r="K638" i="9"/>
  <c r="N638" i="9"/>
  <c r="O638" i="9"/>
  <c r="J639" i="9"/>
  <c r="K639" i="9"/>
  <c r="N639" i="9"/>
  <c r="O639" i="9"/>
  <c r="I640" i="9"/>
  <c r="J640" i="9"/>
  <c r="K640" i="9"/>
  <c r="N640" i="9"/>
  <c r="O640" i="9"/>
  <c r="I641" i="9"/>
  <c r="J641" i="9"/>
  <c r="K641" i="9"/>
  <c r="N641" i="9"/>
  <c r="O641" i="9"/>
  <c r="I642" i="9"/>
  <c r="J642" i="9"/>
  <c r="K642" i="9"/>
  <c r="N642" i="9"/>
  <c r="O642" i="9"/>
  <c r="I643" i="9"/>
  <c r="J643" i="9"/>
  <c r="K643" i="9"/>
  <c r="N643" i="9"/>
  <c r="O643" i="9"/>
  <c r="I644" i="9"/>
  <c r="J644" i="9"/>
  <c r="K644" i="9"/>
  <c r="N644" i="9"/>
  <c r="O644" i="9"/>
  <c r="I645" i="9"/>
  <c r="J645" i="9"/>
  <c r="K645" i="9"/>
  <c r="N645" i="9"/>
  <c r="O645" i="9"/>
  <c r="I646" i="9"/>
  <c r="J646" i="9"/>
  <c r="K646" i="9"/>
  <c r="N646" i="9"/>
  <c r="O646" i="9"/>
  <c r="I647" i="9"/>
  <c r="J647" i="9"/>
  <c r="K647" i="9"/>
  <c r="N647" i="9"/>
  <c r="O647" i="9"/>
  <c r="I648" i="9"/>
  <c r="J648" i="9"/>
  <c r="K648" i="9"/>
  <c r="N648" i="9"/>
  <c r="O648" i="9"/>
  <c r="I649" i="9"/>
  <c r="J649" i="9"/>
  <c r="K649" i="9"/>
  <c r="N649" i="9"/>
  <c r="O649" i="9"/>
  <c r="I650" i="9"/>
  <c r="J650" i="9"/>
  <c r="K650" i="9"/>
  <c r="N650" i="9"/>
  <c r="O650" i="9"/>
  <c r="I651" i="9"/>
  <c r="J651" i="9"/>
  <c r="K651" i="9"/>
  <c r="N651" i="9"/>
  <c r="O651" i="9"/>
  <c r="I652" i="9"/>
  <c r="J652" i="9"/>
  <c r="K652" i="9"/>
  <c r="N652" i="9"/>
  <c r="O652" i="9"/>
  <c r="I653" i="9"/>
  <c r="J653" i="9"/>
  <c r="K653" i="9"/>
  <c r="N653" i="9"/>
  <c r="O653" i="9"/>
  <c r="I654" i="9"/>
  <c r="J654" i="9"/>
  <c r="K654" i="9"/>
  <c r="N654" i="9"/>
  <c r="O654" i="9"/>
  <c r="I655" i="9"/>
  <c r="J655" i="9"/>
  <c r="K655" i="9"/>
  <c r="N655" i="9"/>
  <c r="O655" i="9"/>
  <c r="I656" i="9"/>
  <c r="J656" i="9"/>
  <c r="K656" i="9"/>
  <c r="N656" i="9"/>
  <c r="O656" i="9"/>
  <c r="I657" i="9"/>
  <c r="J657" i="9"/>
  <c r="K657" i="9"/>
  <c r="N657" i="9"/>
  <c r="O657" i="9"/>
  <c r="I658" i="9"/>
  <c r="J658" i="9"/>
  <c r="K658" i="9"/>
  <c r="N658" i="9"/>
  <c r="O658" i="9"/>
  <c r="I659" i="9"/>
  <c r="J659" i="9"/>
  <c r="K659" i="9"/>
  <c r="N659" i="9"/>
  <c r="O659" i="9"/>
  <c r="I660" i="9"/>
  <c r="J660" i="9"/>
  <c r="K660" i="9"/>
  <c r="N660" i="9"/>
  <c r="O660" i="9"/>
  <c r="I661" i="9"/>
  <c r="J661" i="9"/>
  <c r="K661" i="9"/>
  <c r="N661" i="9"/>
  <c r="O661" i="9"/>
  <c r="I662" i="9"/>
  <c r="J662" i="9"/>
  <c r="K662" i="9"/>
  <c r="N662" i="9"/>
  <c r="O662" i="9"/>
  <c r="I663" i="9"/>
  <c r="J663" i="9"/>
  <c r="K663" i="9"/>
  <c r="N663" i="9"/>
  <c r="O663" i="9"/>
  <c r="I664" i="9"/>
  <c r="K664" i="9"/>
  <c r="N664" i="9"/>
  <c r="O664" i="9"/>
  <c r="I665" i="9"/>
  <c r="K665" i="9"/>
  <c r="N665" i="9"/>
  <c r="O665" i="9"/>
  <c r="I666" i="9"/>
  <c r="K666" i="9"/>
  <c r="N666" i="9"/>
  <c r="O666" i="9"/>
  <c r="I667" i="9"/>
  <c r="K667" i="9"/>
  <c r="N667" i="9"/>
  <c r="O667" i="9"/>
  <c r="I668" i="9"/>
  <c r="K668" i="9"/>
  <c r="N668" i="9"/>
  <c r="O668" i="9"/>
  <c r="I669" i="9"/>
  <c r="K669" i="9"/>
  <c r="N669" i="9"/>
  <c r="O669" i="9"/>
  <c r="I670" i="9"/>
  <c r="K670" i="9"/>
  <c r="N670" i="9"/>
  <c r="O670" i="9"/>
  <c r="J671" i="9"/>
  <c r="K671" i="9"/>
  <c r="N671" i="9"/>
  <c r="O671" i="9"/>
  <c r="N672" i="9"/>
  <c r="O672" i="9"/>
  <c r="I673" i="9"/>
  <c r="K673" i="9"/>
  <c r="N673" i="9"/>
  <c r="O673" i="9"/>
  <c r="I674" i="9"/>
  <c r="K674" i="9"/>
  <c r="N674" i="9"/>
  <c r="O674" i="9"/>
  <c r="I675" i="9"/>
  <c r="K675" i="9"/>
  <c r="N675" i="9"/>
  <c r="O675" i="9"/>
  <c r="I676" i="9"/>
  <c r="K676" i="9"/>
  <c r="N676" i="9"/>
  <c r="O676" i="9"/>
  <c r="N677" i="9"/>
  <c r="O677" i="9"/>
  <c r="N678" i="9"/>
  <c r="O678" i="9"/>
  <c r="I679" i="9"/>
  <c r="K679" i="9"/>
  <c r="N679" i="9"/>
  <c r="O679" i="9"/>
  <c r="J680" i="9"/>
  <c r="K680" i="9"/>
  <c r="N680" i="9"/>
  <c r="O680" i="9"/>
  <c r="J681" i="9"/>
  <c r="K681" i="9"/>
  <c r="N681" i="9"/>
  <c r="O681" i="9"/>
  <c r="K682" i="9"/>
  <c r="N682" i="9"/>
  <c r="O682" i="9"/>
  <c r="N683" i="9"/>
  <c r="O683" i="9"/>
  <c r="J684" i="9"/>
  <c r="K684" i="9"/>
  <c r="N684" i="9"/>
  <c r="O684" i="9"/>
  <c r="J685" i="9"/>
  <c r="K685" i="9"/>
  <c r="N685" i="9"/>
  <c r="O685" i="9"/>
  <c r="I686" i="9"/>
  <c r="J686" i="9"/>
  <c r="K686" i="9"/>
  <c r="N686" i="9"/>
  <c r="O686" i="9"/>
  <c r="I687" i="9"/>
  <c r="J687" i="9"/>
  <c r="K687" i="9"/>
  <c r="N687" i="9"/>
  <c r="O687" i="9"/>
  <c r="I688" i="9"/>
  <c r="J688" i="9"/>
  <c r="K688" i="9"/>
  <c r="N688" i="9"/>
  <c r="O688" i="9"/>
  <c r="I689" i="9"/>
  <c r="J689" i="9"/>
  <c r="K689" i="9"/>
  <c r="N689" i="9"/>
  <c r="O689" i="9"/>
  <c r="I690" i="9"/>
  <c r="J690" i="9"/>
  <c r="K690" i="9"/>
  <c r="N690" i="9"/>
  <c r="O690" i="9"/>
  <c r="I691" i="9"/>
  <c r="J691" i="9"/>
  <c r="K691" i="9"/>
  <c r="N691" i="9"/>
  <c r="O691" i="9"/>
  <c r="J692" i="9"/>
  <c r="K692" i="9"/>
  <c r="N692" i="9"/>
  <c r="O692" i="9"/>
  <c r="I693" i="9"/>
  <c r="K693" i="9"/>
  <c r="N693" i="9"/>
  <c r="O693" i="9"/>
  <c r="J694" i="9"/>
  <c r="K694" i="9"/>
  <c r="N694" i="9"/>
  <c r="O694" i="9"/>
  <c r="I695" i="9"/>
  <c r="K695" i="9"/>
  <c r="N695" i="9"/>
  <c r="O695" i="9"/>
  <c r="K457" i="9"/>
  <c r="N457" i="9"/>
  <c r="O457" i="9"/>
  <c r="N458" i="9"/>
  <c r="O458" i="9"/>
  <c r="N459" i="9"/>
  <c r="O459" i="9"/>
  <c r="N460" i="9"/>
  <c r="O460" i="9"/>
  <c r="N461" i="9"/>
  <c r="O461" i="9"/>
  <c r="N462" i="9"/>
  <c r="O462" i="9"/>
  <c r="N463" i="9"/>
  <c r="O463" i="9"/>
  <c r="J255" i="9"/>
  <c r="N494" i="9"/>
  <c r="K494" i="9"/>
  <c r="O494" i="9"/>
  <c r="I506" i="9"/>
  <c r="J506" i="9"/>
  <c r="K506" i="9"/>
  <c r="N506" i="9"/>
  <c r="O506" i="9"/>
  <c r="I507" i="9"/>
  <c r="J507" i="9"/>
  <c r="K507" i="9"/>
  <c r="N507" i="9"/>
  <c r="O507" i="9"/>
  <c r="N508" i="9"/>
  <c r="O508" i="9"/>
  <c r="N509" i="9"/>
  <c r="O509" i="9"/>
  <c r="I510" i="9"/>
  <c r="J510" i="9"/>
  <c r="K510" i="9"/>
  <c r="N510" i="9"/>
  <c r="O510" i="9"/>
  <c r="I511" i="9"/>
  <c r="J511" i="9"/>
  <c r="K511" i="9"/>
  <c r="N511" i="9"/>
  <c r="O511" i="9"/>
  <c r="I512" i="9"/>
  <c r="J512" i="9"/>
  <c r="K512" i="9"/>
  <c r="N512" i="9"/>
  <c r="O512" i="9"/>
  <c r="I513" i="9"/>
  <c r="K513" i="9"/>
  <c r="N513" i="9"/>
  <c r="O513" i="9"/>
  <c r="I514" i="9"/>
  <c r="K514" i="9"/>
  <c r="N514" i="9"/>
  <c r="O514" i="9"/>
  <c r="J515" i="9"/>
  <c r="K515" i="9"/>
  <c r="N515" i="9"/>
  <c r="O515" i="9"/>
  <c r="J516" i="9"/>
  <c r="K516" i="9"/>
  <c r="N516" i="9"/>
  <c r="O516" i="9"/>
  <c r="J517" i="9"/>
  <c r="K517" i="9"/>
  <c r="N517" i="9"/>
  <c r="O517" i="9"/>
  <c r="K518" i="9"/>
  <c r="N518" i="9"/>
  <c r="O518" i="9"/>
  <c r="J519" i="9"/>
  <c r="K519" i="9"/>
  <c r="N519" i="9"/>
  <c r="O519" i="9"/>
  <c r="J521" i="9"/>
  <c r="K521" i="9"/>
  <c r="N521" i="9"/>
  <c r="O521" i="9"/>
  <c r="N522" i="9"/>
  <c r="O522" i="9"/>
  <c r="N523" i="9"/>
  <c r="O523" i="9"/>
  <c r="J524" i="9"/>
  <c r="K524" i="9"/>
  <c r="N524" i="9"/>
  <c r="O524" i="9"/>
  <c r="J525" i="9"/>
  <c r="K525" i="9"/>
  <c r="N525" i="9"/>
  <c r="O525" i="9"/>
  <c r="J526" i="9"/>
  <c r="K526" i="9"/>
  <c r="N526" i="9"/>
  <c r="O526" i="9"/>
  <c r="I527" i="9"/>
  <c r="J527" i="9"/>
  <c r="K527" i="9"/>
  <c r="N527" i="9"/>
  <c r="O527" i="9"/>
  <c r="I528" i="9"/>
  <c r="J528" i="9"/>
  <c r="K528" i="9"/>
  <c r="N528" i="9"/>
  <c r="O528" i="9"/>
  <c r="I529" i="9"/>
  <c r="J529" i="9"/>
  <c r="K529" i="9"/>
  <c r="N529" i="9"/>
  <c r="O529" i="9"/>
  <c r="I530" i="9"/>
  <c r="J530" i="9"/>
  <c r="K530" i="9"/>
  <c r="N530" i="9"/>
  <c r="O530" i="9"/>
  <c r="I531" i="9"/>
  <c r="J531" i="9"/>
  <c r="K531" i="9"/>
  <c r="N531" i="9"/>
  <c r="O531" i="9"/>
  <c r="I532" i="9"/>
  <c r="J532" i="9"/>
  <c r="K532" i="9"/>
  <c r="N532" i="9"/>
  <c r="O532" i="9"/>
  <c r="I533" i="9"/>
  <c r="J533" i="9"/>
  <c r="K533" i="9"/>
  <c r="N533" i="9"/>
  <c r="O533" i="9"/>
  <c r="I534" i="9"/>
  <c r="J534" i="9"/>
  <c r="K534" i="9"/>
  <c r="N534" i="9"/>
  <c r="O534" i="9"/>
  <c r="I535" i="9"/>
  <c r="J535" i="9"/>
  <c r="K535" i="9"/>
  <c r="N535" i="9"/>
  <c r="O535" i="9"/>
  <c r="I536" i="9"/>
  <c r="J536" i="9"/>
  <c r="K536" i="9"/>
  <c r="N536" i="9"/>
  <c r="O536" i="9"/>
  <c r="I537" i="9"/>
  <c r="J537" i="9"/>
  <c r="K537" i="9"/>
  <c r="N537" i="9"/>
  <c r="O537" i="9"/>
  <c r="I538" i="9"/>
  <c r="K538" i="9"/>
  <c r="N538" i="9"/>
  <c r="O538" i="9"/>
  <c r="I539" i="9"/>
  <c r="K539" i="9"/>
  <c r="N539" i="9"/>
  <c r="O539" i="9"/>
  <c r="I540" i="9"/>
  <c r="K540" i="9"/>
  <c r="N540" i="9"/>
  <c r="O540" i="9"/>
  <c r="I541" i="9"/>
  <c r="K541" i="9"/>
  <c r="N541" i="9"/>
  <c r="O541" i="9"/>
  <c r="J543" i="9"/>
  <c r="K543" i="9"/>
  <c r="N543" i="9"/>
  <c r="O543" i="9"/>
  <c r="N544" i="9"/>
  <c r="O544" i="9"/>
  <c r="N545" i="9"/>
  <c r="O545" i="9"/>
  <c r="J547" i="9"/>
  <c r="K547" i="9"/>
  <c r="N547" i="9"/>
  <c r="O547" i="9"/>
  <c r="N548" i="9"/>
  <c r="O548" i="9"/>
  <c r="J549" i="9"/>
  <c r="K549" i="9"/>
  <c r="N549" i="9"/>
  <c r="O549" i="9"/>
  <c r="J550" i="9"/>
  <c r="K550" i="9"/>
  <c r="N550" i="9"/>
  <c r="O550" i="9"/>
  <c r="N551" i="9"/>
  <c r="O551" i="9"/>
  <c r="J552" i="9"/>
  <c r="K552" i="9"/>
  <c r="N552" i="9"/>
  <c r="O552" i="9"/>
  <c r="J553" i="9"/>
  <c r="K553" i="9"/>
  <c r="N553" i="9"/>
  <c r="O553" i="9"/>
  <c r="N554" i="9"/>
  <c r="J554" i="9"/>
  <c r="K554" i="9"/>
  <c r="O554" i="9"/>
  <c r="J555" i="9"/>
  <c r="K555" i="9"/>
  <c r="N555" i="9"/>
  <c r="O555" i="9"/>
  <c r="J561" i="9"/>
  <c r="K561" i="9"/>
  <c r="N561" i="9"/>
  <c r="O561" i="9"/>
  <c r="I562" i="9"/>
  <c r="J562" i="9"/>
  <c r="K562" i="9"/>
  <c r="N562" i="9"/>
  <c r="O562" i="9"/>
  <c r="I563" i="9"/>
  <c r="J563" i="9"/>
  <c r="K563" i="9"/>
  <c r="N563" i="9"/>
  <c r="O563" i="9"/>
  <c r="N564" i="9"/>
  <c r="I564" i="9"/>
  <c r="J564" i="9"/>
  <c r="K564" i="9"/>
  <c r="O564" i="9"/>
  <c r="I565" i="9"/>
  <c r="J565" i="9"/>
  <c r="K565" i="9"/>
  <c r="N565" i="9"/>
  <c r="O565" i="9"/>
  <c r="I566" i="9"/>
  <c r="J566" i="9"/>
  <c r="K566" i="9"/>
  <c r="N566" i="9"/>
  <c r="O566" i="9"/>
  <c r="N567" i="9"/>
  <c r="O567" i="9"/>
  <c r="I568" i="9"/>
  <c r="J568" i="9"/>
  <c r="K568" i="9"/>
  <c r="N568" i="9"/>
  <c r="O568" i="9"/>
  <c r="I569" i="9"/>
  <c r="J569" i="9"/>
  <c r="K569" i="9"/>
  <c r="N569" i="9"/>
  <c r="O569" i="9"/>
  <c r="I570" i="9"/>
  <c r="J570" i="9"/>
  <c r="K570" i="9"/>
  <c r="N570" i="9"/>
  <c r="O570" i="9"/>
  <c r="I571" i="9"/>
  <c r="J571" i="9"/>
  <c r="K571" i="9"/>
  <c r="N571" i="9"/>
  <c r="O571" i="9"/>
  <c r="N572" i="9"/>
  <c r="I572" i="9"/>
  <c r="J572" i="9"/>
  <c r="K572" i="9"/>
  <c r="O572" i="9"/>
  <c r="I573" i="9"/>
  <c r="K573" i="9"/>
  <c r="N573" i="9"/>
  <c r="O573" i="9"/>
  <c r="I574" i="9"/>
  <c r="K574" i="9"/>
  <c r="N574" i="9"/>
  <c r="O574" i="9"/>
  <c r="J575" i="9"/>
  <c r="K575" i="9"/>
  <c r="N575" i="9"/>
  <c r="O575" i="9"/>
  <c r="J576" i="9"/>
  <c r="K576" i="9"/>
  <c r="N576" i="9"/>
  <c r="O576" i="9"/>
  <c r="N577" i="9"/>
  <c r="O577" i="9"/>
  <c r="I578" i="9"/>
  <c r="J578" i="9"/>
  <c r="K578" i="9"/>
  <c r="N578" i="9"/>
  <c r="O578" i="9"/>
  <c r="I579" i="9"/>
  <c r="J579" i="9"/>
  <c r="K579" i="9"/>
  <c r="N579" i="9"/>
  <c r="O579" i="9"/>
  <c r="N580" i="9"/>
  <c r="O580" i="9"/>
  <c r="I581" i="9"/>
  <c r="J581" i="9"/>
  <c r="K581" i="9"/>
  <c r="N581" i="9"/>
  <c r="O581" i="9"/>
  <c r="J582" i="9"/>
  <c r="K582" i="9"/>
  <c r="N582" i="9"/>
  <c r="O582" i="9"/>
  <c r="J583" i="9"/>
  <c r="K583" i="9"/>
  <c r="N583" i="9"/>
  <c r="O583" i="9"/>
  <c r="J584" i="9"/>
  <c r="K584" i="9"/>
  <c r="N584" i="9"/>
  <c r="O584" i="9"/>
  <c r="N585" i="9"/>
  <c r="J585" i="9"/>
  <c r="K585" i="9"/>
  <c r="O585" i="9"/>
  <c r="N586" i="9"/>
  <c r="O586" i="9"/>
  <c r="N587" i="9"/>
  <c r="O587" i="9"/>
  <c r="N588" i="9"/>
  <c r="O588" i="9"/>
  <c r="J589" i="9"/>
  <c r="K589" i="9"/>
  <c r="N589" i="9"/>
  <c r="O589" i="9"/>
  <c r="J590" i="9"/>
  <c r="K590" i="9"/>
  <c r="N590" i="9"/>
  <c r="O590" i="9"/>
  <c r="I591" i="9"/>
  <c r="J591" i="9"/>
  <c r="K591" i="9"/>
  <c r="N591" i="9"/>
  <c r="O591" i="9"/>
  <c r="I592" i="9"/>
  <c r="J592" i="9"/>
  <c r="K592" i="9"/>
  <c r="N592" i="9"/>
  <c r="O592" i="9"/>
  <c r="N593" i="9"/>
  <c r="I593" i="9"/>
  <c r="J593" i="9"/>
  <c r="K593" i="9"/>
  <c r="O593" i="9"/>
  <c r="I594" i="9"/>
  <c r="J594" i="9"/>
  <c r="K594" i="9"/>
  <c r="N594" i="9"/>
  <c r="O594" i="9"/>
  <c r="I595" i="9"/>
  <c r="J595" i="9"/>
  <c r="K595" i="9"/>
  <c r="N595" i="9"/>
  <c r="O595" i="9"/>
  <c r="I596" i="9"/>
  <c r="J596" i="9"/>
  <c r="K596" i="9"/>
  <c r="N596" i="9"/>
  <c r="O596" i="9"/>
  <c r="I597" i="9"/>
  <c r="J597" i="9"/>
  <c r="K597" i="9"/>
  <c r="N597" i="9"/>
  <c r="O597" i="9"/>
  <c r="N598" i="9"/>
  <c r="I598" i="9"/>
  <c r="J598" i="9"/>
  <c r="K598" i="9"/>
  <c r="O598" i="9"/>
  <c r="I599" i="9"/>
  <c r="J599" i="9"/>
  <c r="K599" i="9"/>
  <c r="N599" i="9"/>
  <c r="O599" i="9"/>
  <c r="I600" i="9"/>
  <c r="K600" i="9"/>
  <c r="N600" i="9"/>
  <c r="O600" i="9"/>
  <c r="N601" i="9"/>
  <c r="I601" i="9"/>
  <c r="K601" i="9"/>
  <c r="O601" i="9"/>
  <c r="I602" i="9"/>
  <c r="K602" i="9"/>
  <c r="N602" i="9"/>
  <c r="O602" i="9"/>
  <c r="I603" i="9"/>
  <c r="K603" i="9"/>
  <c r="N603" i="9"/>
  <c r="O603" i="9"/>
  <c r="I604" i="9"/>
  <c r="K604" i="9"/>
  <c r="N604" i="9"/>
  <c r="O604" i="9"/>
  <c r="J605" i="9"/>
  <c r="K605" i="9"/>
  <c r="N605" i="9"/>
  <c r="O605" i="9"/>
  <c r="N606" i="9"/>
  <c r="J606" i="9"/>
  <c r="K606" i="9"/>
  <c r="O606" i="9"/>
  <c r="N607" i="9"/>
  <c r="J607" i="9"/>
  <c r="K607" i="9"/>
  <c r="O607" i="9"/>
  <c r="I609" i="9"/>
  <c r="K609" i="9"/>
  <c r="N609" i="9"/>
  <c r="O609" i="9"/>
  <c r="I610" i="9"/>
  <c r="J610" i="9"/>
  <c r="K610" i="9"/>
  <c r="N610" i="9"/>
  <c r="O610" i="9"/>
  <c r="I611" i="9"/>
  <c r="J611" i="9"/>
  <c r="K611" i="9"/>
  <c r="N611" i="9"/>
  <c r="O611" i="9"/>
  <c r="N612" i="9"/>
  <c r="I612" i="9"/>
  <c r="J612" i="9"/>
  <c r="K612" i="9"/>
  <c r="O612" i="9"/>
  <c r="I613" i="9"/>
  <c r="J613" i="9"/>
  <c r="K613" i="9"/>
  <c r="N613" i="9"/>
  <c r="O613" i="9"/>
  <c r="N614" i="9"/>
  <c r="I614" i="9"/>
  <c r="J614" i="9"/>
  <c r="K614" i="9"/>
  <c r="O614" i="9"/>
  <c r="I615" i="9"/>
  <c r="J615" i="9"/>
  <c r="K615" i="9"/>
  <c r="N615" i="9"/>
  <c r="O615" i="9"/>
  <c r="I616" i="9"/>
  <c r="J616" i="9"/>
  <c r="K616" i="9"/>
  <c r="N616" i="9"/>
  <c r="O616" i="9"/>
  <c r="I617" i="9"/>
  <c r="J617" i="9"/>
  <c r="K617" i="9"/>
  <c r="N617" i="9"/>
  <c r="O617" i="9"/>
  <c r="N618" i="9"/>
  <c r="J618" i="9"/>
  <c r="K618" i="9"/>
  <c r="J619" i="9"/>
  <c r="K619" i="9"/>
  <c r="N619" i="9"/>
  <c r="O619" i="9"/>
  <c r="K620" i="9"/>
  <c r="N620" i="9"/>
  <c r="O620" i="9"/>
  <c r="J621" i="9"/>
  <c r="K621" i="9"/>
  <c r="N621" i="9"/>
  <c r="O621" i="9"/>
  <c r="N622" i="9"/>
  <c r="J622" i="9"/>
  <c r="K622" i="9"/>
  <c r="O622" i="9"/>
  <c r="N623" i="9"/>
  <c r="O623" i="9"/>
  <c r="N624" i="9"/>
  <c r="J624" i="9"/>
  <c r="K624" i="9"/>
  <c r="O624" i="9"/>
  <c r="N625" i="9"/>
  <c r="O625" i="9"/>
  <c r="N626" i="9"/>
  <c r="J626" i="9"/>
  <c r="K626" i="9"/>
  <c r="O626" i="9"/>
  <c r="N627" i="9"/>
  <c r="O627" i="9"/>
  <c r="N628" i="9"/>
  <c r="J628" i="9"/>
  <c r="K628" i="9"/>
  <c r="O628" i="9"/>
  <c r="N608" i="9"/>
  <c r="K608" i="9"/>
  <c r="N542" i="9"/>
  <c r="N546" i="9"/>
  <c r="N556" i="9"/>
  <c r="N557" i="9"/>
  <c r="N558" i="9"/>
  <c r="N559" i="9"/>
  <c r="N560" i="9"/>
  <c r="K556" i="9"/>
  <c r="K546" i="9"/>
  <c r="K542" i="9"/>
  <c r="N520" i="9"/>
  <c r="J520" i="9"/>
  <c r="K520" i="9"/>
  <c r="N495" i="9"/>
  <c r="N496" i="9"/>
  <c r="N497" i="9"/>
  <c r="N498" i="9"/>
  <c r="N499" i="9"/>
  <c r="N500" i="9"/>
  <c r="N501" i="9"/>
  <c r="N502" i="9"/>
  <c r="N503" i="9"/>
  <c r="N504" i="9"/>
  <c r="N505" i="9"/>
  <c r="K495" i="9"/>
  <c r="N492" i="9"/>
  <c r="N493" i="9"/>
  <c r="J477" i="9"/>
  <c r="K477" i="9"/>
  <c r="N477" i="9"/>
  <c r="O477" i="9"/>
  <c r="N480" i="9"/>
  <c r="I480" i="9"/>
  <c r="J480" i="9"/>
  <c r="K480" i="9"/>
  <c r="O480" i="9"/>
  <c r="I481" i="9"/>
  <c r="J481" i="9"/>
  <c r="K481" i="9"/>
  <c r="N481" i="9"/>
  <c r="O481" i="9"/>
  <c r="N482" i="9"/>
  <c r="I482" i="9"/>
  <c r="J482" i="9"/>
  <c r="K482" i="9"/>
  <c r="O482" i="9"/>
  <c r="I483" i="9"/>
  <c r="J483" i="9"/>
  <c r="K483" i="9"/>
  <c r="N483" i="9"/>
  <c r="O483" i="9"/>
  <c r="I485" i="9"/>
  <c r="J485" i="9"/>
  <c r="K485" i="9"/>
  <c r="N485" i="9"/>
  <c r="O485" i="9"/>
  <c r="J486" i="9"/>
  <c r="K486" i="9"/>
  <c r="N486" i="9"/>
  <c r="J487" i="9"/>
  <c r="K487" i="9"/>
  <c r="N487" i="9"/>
  <c r="O487" i="9"/>
  <c r="J488" i="9"/>
  <c r="K488" i="9"/>
  <c r="N488" i="9"/>
  <c r="O488" i="9"/>
  <c r="I489" i="9"/>
  <c r="J489" i="9"/>
  <c r="K489" i="9"/>
  <c r="N489" i="9"/>
  <c r="O489" i="9"/>
  <c r="N491" i="9"/>
  <c r="J491" i="9"/>
  <c r="K491" i="9"/>
  <c r="O491" i="9"/>
  <c r="J492" i="9"/>
  <c r="K492" i="9"/>
  <c r="O492" i="9"/>
  <c r="O493" i="9"/>
  <c r="N476" i="9"/>
  <c r="N478" i="9"/>
  <c r="N479" i="9"/>
  <c r="N484" i="9"/>
  <c r="I484" i="9"/>
  <c r="J484" i="9"/>
  <c r="K484" i="9"/>
  <c r="K478" i="9"/>
  <c r="J392" i="9"/>
  <c r="K392" i="9"/>
  <c r="N392" i="9"/>
  <c r="O392" i="9"/>
  <c r="K393" i="9"/>
  <c r="N393" i="9"/>
  <c r="O393" i="9"/>
  <c r="N394" i="9"/>
  <c r="O394" i="9"/>
  <c r="N395" i="9"/>
  <c r="O395" i="9"/>
  <c r="N396" i="9"/>
  <c r="O396" i="9"/>
  <c r="N397" i="9"/>
  <c r="O397" i="9"/>
  <c r="J398" i="9"/>
  <c r="K398" i="9"/>
  <c r="N398" i="9"/>
  <c r="O398" i="9"/>
  <c r="J399" i="9"/>
  <c r="K399" i="9"/>
  <c r="N399" i="9"/>
  <c r="O399" i="9"/>
  <c r="J400" i="9"/>
  <c r="K400" i="9"/>
  <c r="N400" i="9"/>
  <c r="O400" i="9"/>
  <c r="N401" i="9"/>
  <c r="O401" i="9"/>
  <c r="N402" i="9"/>
  <c r="O402" i="9"/>
  <c r="N403" i="9"/>
  <c r="O403" i="9"/>
  <c r="J404" i="9"/>
  <c r="K404" i="9"/>
  <c r="N404" i="9"/>
  <c r="O404" i="9"/>
  <c r="J405" i="9"/>
  <c r="K405" i="9"/>
  <c r="N405" i="9"/>
  <c r="O405" i="9"/>
  <c r="N406" i="9"/>
  <c r="O406" i="9"/>
  <c r="J407" i="9"/>
  <c r="K407" i="9"/>
  <c r="N407" i="9"/>
  <c r="O407" i="9"/>
  <c r="J408" i="9"/>
  <c r="K408" i="9"/>
  <c r="N408" i="9"/>
  <c r="O408" i="9"/>
  <c r="J410" i="9"/>
  <c r="K410" i="9"/>
  <c r="N410" i="9"/>
  <c r="O410" i="9"/>
  <c r="I411" i="9"/>
  <c r="J411" i="9"/>
  <c r="K411" i="9"/>
  <c r="N411" i="9"/>
  <c r="O411" i="9"/>
  <c r="I412" i="9"/>
  <c r="J412" i="9"/>
  <c r="K412" i="9"/>
  <c r="N412" i="9"/>
  <c r="O412" i="9"/>
  <c r="I413" i="9"/>
  <c r="J413" i="9"/>
  <c r="K413" i="9"/>
  <c r="N413" i="9"/>
  <c r="O413" i="9"/>
  <c r="I414" i="9"/>
  <c r="J414" i="9"/>
  <c r="K414" i="9"/>
  <c r="N414" i="9"/>
  <c r="O414" i="9"/>
  <c r="I415" i="9"/>
  <c r="J415" i="9"/>
  <c r="K415" i="9"/>
  <c r="N415" i="9"/>
  <c r="O415" i="9"/>
  <c r="I416" i="9"/>
  <c r="J416" i="9"/>
  <c r="K416" i="9"/>
  <c r="N416" i="9"/>
  <c r="O416" i="9"/>
  <c r="I417" i="9"/>
  <c r="J417" i="9"/>
  <c r="K417" i="9"/>
  <c r="N417" i="9"/>
  <c r="O417" i="9"/>
  <c r="I418" i="9"/>
  <c r="J418" i="9"/>
  <c r="K418" i="9"/>
  <c r="N418" i="9"/>
  <c r="O418" i="9"/>
  <c r="I419" i="9"/>
  <c r="J419" i="9"/>
  <c r="K419" i="9"/>
  <c r="N419" i="9"/>
  <c r="O419" i="9"/>
  <c r="I420" i="9"/>
  <c r="J420" i="9"/>
  <c r="K420" i="9"/>
  <c r="N420" i="9"/>
  <c r="O420" i="9"/>
  <c r="I421" i="9"/>
  <c r="J421" i="9"/>
  <c r="K421" i="9"/>
  <c r="N421" i="9"/>
  <c r="O421" i="9"/>
  <c r="I422" i="9"/>
  <c r="J422" i="9"/>
  <c r="K422" i="9"/>
  <c r="N422" i="9"/>
  <c r="O422" i="9"/>
  <c r="I423" i="9"/>
  <c r="J423" i="9"/>
  <c r="K423" i="9"/>
  <c r="N423" i="9"/>
  <c r="O423" i="9"/>
  <c r="I424" i="9"/>
  <c r="J424" i="9"/>
  <c r="K424" i="9"/>
  <c r="N424" i="9"/>
  <c r="O424" i="9"/>
  <c r="I425" i="9"/>
  <c r="J425" i="9"/>
  <c r="K425" i="9"/>
  <c r="N425" i="9"/>
  <c r="O425" i="9"/>
  <c r="I426" i="9"/>
  <c r="J426" i="9"/>
  <c r="K426" i="9"/>
  <c r="N426" i="9"/>
  <c r="O426" i="9"/>
  <c r="I427" i="9"/>
  <c r="J427" i="9"/>
  <c r="K427" i="9"/>
  <c r="N427" i="9"/>
  <c r="O427" i="9"/>
  <c r="I428" i="9"/>
  <c r="J428" i="9"/>
  <c r="K428" i="9"/>
  <c r="N428" i="9"/>
  <c r="O428" i="9"/>
  <c r="J429" i="9"/>
  <c r="K429" i="9"/>
  <c r="N429" i="9"/>
  <c r="O429" i="9"/>
  <c r="I430" i="9"/>
  <c r="K430" i="9"/>
  <c r="N430" i="9"/>
  <c r="O430" i="9"/>
  <c r="I431" i="9"/>
  <c r="K431" i="9"/>
  <c r="N431" i="9"/>
  <c r="O431" i="9"/>
  <c r="I432" i="9"/>
  <c r="K432" i="9"/>
  <c r="N432" i="9"/>
  <c r="O432" i="9"/>
  <c r="I433" i="9"/>
  <c r="J433" i="9"/>
  <c r="K433" i="9"/>
  <c r="N433" i="9"/>
  <c r="O433" i="9"/>
  <c r="I434" i="9"/>
  <c r="J434" i="9"/>
  <c r="K434" i="9"/>
  <c r="N434" i="9"/>
  <c r="O434" i="9"/>
  <c r="I435" i="9"/>
  <c r="J435" i="9"/>
  <c r="K435" i="9"/>
  <c r="N435" i="9"/>
  <c r="O435" i="9"/>
  <c r="J436" i="9"/>
  <c r="K436" i="9"/>
  <c r="N436" i="9"/>
  <c r="O436" i="9"/>
  <c r="J437" i="9"/>
  <c r="K437" i="9"/>
  <c r="N437" i="9"/>
  <c r="O437" i="9"/>
  <c r="J438" i="9"/>
  <c r="K438" i="9"/>
  <c r="N438" i="9"/>
  <c r="O438" i="9"/>
  <c r="J439" i="9"/>
  <c r="K439" i="9"/>
  <c r="N439" i="9"/>
  <c r="O439" i="9"/>
  <c r="I440" i="9"/>
  <c r="J440" i="9"/>
  <c r="K440" i="9"/>
  <c r="N440" i="9"/>
  <c r="O440" i="9"/>
  <c r="I441" i="9"/>
  <c r="J441" i="9"/>
  <c r="K441" i="9"/>
  <c r="N441" i="9"/>
  <c r="O441" i="9"/>
  <c r="N442" i="9"/>
  <c r="I442" i="9"/>
  <c r="J442" i="9"/>
  <c r="K442" i="9"/>
  <c r="O442" i="9"/>
  <c r="I443" i="9"/>
  <c r="J443" i="9"/>
  <c r="K443" i="9"/>
  <c r="N443" i="9"/>
  <c r="O443" i="9"/>
  <c r="I444" i="9"/>
  <c r="J444" i="9"/>
  <c r="K444" i="9"/>
  <c r="N444" i="9"/>
  <c r="O444" i="9"/>
  <c r="I445" i="9"/>
  <c r="J445" i="9"/>
  <c r="K445" i="9"/>
  <c r="N445" i="9"/>
  <c r="O445" i="9"/>
  <c r="I446" i="9"/>
  <c r="J446" i="9"/>
  <c r="K446" i="9"/>
  <c r="N446" i="9"/>
  <c r="O446" i="9"/>
  <c r="I447" i="9"/>
  <c r="J447" i="9"/>
  <c r="K447" i="9"/>
  <c r="N447" i="9"/>
  <c r="O447" i="9"/>
  <c r="N448" i="9"/>
  <c r="I448" i="9"/>
  <c r="K448" i="9"/>
  <c r="O448" i="9"/>
  <c r="J449" i="9"/>
  <c r="K449" i="9"/>
  <c r="N449" i="9"/>
  <c r="O449" i="9"/>
  <c r="N450" i="9"/>
  <c r="J450" i="9"/>
  <c r="K450" i="9"/>
  <c r="O450" i="9"/>
  <c r="I456" i="9"/>
  <c r="J456" i="9"/>
  <c r="K456" i="9"/>
  <c r="N456" i="9"/>
  <c r="O456" i="9"/>
  <c r="J464" i="9"/>
  <c r="K464" i="9"/>
  <c r="N464" i="9"/>
  <c r="O464" i="9"/>
  <c r="I465" i="9"/>
  <c r="J465" i="9"/>
  <c r="K465" i="9"/>
  <c r="N465" i="9"/>
  <c r="O465" i="9"/>
  <c r="I466" i="9"/>
  <c r="J466" i="9"/>
  <c r="K466" i="9"/>
  <c r="N466" i="9"/>
  <c r="O466" i="9"/>
  <c r="N467" i="9"/>
  <c r="I467" i="9"/>
  <c r="J467" i="9"/>
  <c r="K467" i="9"/>
  <c r="O467" i="9"/>
  <c r="I468" i="9"/>
  <c r="J468" i="9"/>
  <c r="K468" i="9"/>
  <c r="N468" i="9"/>
  <c r="O468" i="9"/>
  <c r="I469" i="9"/>
  <c r="K469" i="9"/>
  <c r="N469" i="9"/>
  <c r="O469" i="9"/>
  <c r="N470" i="9"/>
  <c r="K470" i="9"/>
  <c r="O470" i="9"/>
  <c r="I471" i="9"/>
  <c r="J471" i="9"/>
  <c r="K471" i="9"/>
  <c r="N471" i="9"/>
  <c r="O471" i="9"/>
  <c r="I472" i="9"/>
  <c r="J472" i="9"/>
  <c r="K472" i="9"/>
  <c r="N472" i="9"/>
  <c r="O472" i="9"/>
  <c r="N473" i="9"/>
  <c r="J473" i="9"/>
  <c r="K473" i="9"/>
  <c r="O473" i="9"/>
  <c r="N474" i="9"/>
  <c r="J474" i="9"/>
  <c r="K474" i="9"/>
  <c r="O474" i="9"/>
  <c r="N475" i="9"/>
  <c r="O475" i="9"/>
  <c r="K476" i="9"/>
  <c r="N409" i="9"/>
  <c r="N451" i="9"/>
  <c r="N452" i="9"/>
  <c r="N453" i="9"/>
  <c r="N454" i="9"/>
  <c r="N455" i="9"/>
  <c r="K451" i="9"/>
  <c r="K206" i="9"/>
  <c r="N206" i="9"/>
  <c r="O206" i="9"/>
  <c r="N207" i="9"/>
  <c r="O207" i="9"/>
  <c r="N208" i="9"/>
  <c r="O208" i="9"/>
  <c r="N209" i="9"/>
  <c r="O209" i="9"/>
  <c r="N205" i="9"/>
  <c r="J409" i="9"/>
  <c r="K409" i="9"/>
  <c r="N375" i="9"/>
  <c r="N376" i="9"/>
  <c r="N378" i="9"/>
  <c r="J378" i="9"/>
  <c r="K378" i="9"/>
  <c r="O378" i="9"/>
  <c r="I379" i="9"/>
  <c r="J379" i="9"/>
  <c r="K379" i="9"/>
  <c r="N379" i="9"/>
  <c r="O379" i="9"/>
  <c r="I380" i="9"/>
  <c r="J380" i="9"/>
  <c r="K380" i="9"/>
  <c r="N380" i="9"/>
  <c r="O380" i="9"/>
  <c r="I381" i="9"/>
  <c r="J381" i="9"/>
  <c r="K381" i="9"/>
  <c r="N381" i="9"/>
  <c r="O381" i="9"/>
  <c r="I382" i="9"/>
  <c r="J382" i="9"/>
  <c r="K382" i="9"/>
  <c r="N382" i="9"/>
  <c r="O382" i="9"/>
  <c r="I383" i="9"/>
  <c r="J383" i="9"/>
  <c r="K383" i="9"/>
  <c r="N383" i="9"/>
  <c r="O383" i="9"/>
  <c r="I384" i="9"/>
  <c r="K384" i="9"/>
  <c r="N384" i="9"/>
  <c r="O384" i="9"/>
  <c r="J360" i="9"/>
  <c r="K360" i="9"/>
  <c r="N360" i="9"/>
  <c r="O360" i="9"/>
  <c r="I361" i="9"/>
  <c r="J361" i="9"/>
  <c r="K361" i="9"/>
  <c r="N361" i="9"/>
  <c r="O361" i="9"/>
  <c r="I362" i="9"/>
  <c r="J362" i="9"/>
  <c r="K362" i="9"/>
  <c r="N362" i="9"/>
  <c r="O362" i="9"/>
  <c r="N363" i="9"/>
  <c r="I363" i="9"/>
  <c r="J363" i="9"/>
  <c r="K363" i="9"/>
  <c r="O363" i="9"/>
  <c r="N364" i="9"/>
  <c r="I364" i="9"/>
  <c r="J364" i="9"/>
  <c r="K364" i="9"/>
  <c r="O364" i="9"/>
  <c r="I365" i="9"/>
  <c r="K365" i="9"/>
  <c r="N365" i="9"/>
  <c r="O365" i="9"/>
  <c r="N366" i="9"/>
  <c r="I366" i="9"/>
  <c r="J366" i="9"/>
  <c r="K366" i="9"/>
  <c r="O366" i="9"/>
  <c r="J367" i="9"/>
  <c r="K367" i="9"/>
  <c r="N367" i="9"/>
  <c r="O367" i="9"/>
  <c r="N368" i="9"/>
  <c r="J368" i="9"/>
  <c r="K368" i="9"/>
  <c r="O368" i="9"/>
  <c r="N369" i="9"/>
  <c r="O369" i="9"/>
  <c r="N370" i="9"/>
  <c r="O370" i="9"/>
  <c r="N371" i="9"/>
  <c r="O371" i="9"/>
  <c r="N372" i="9"/>
  <c r="J372" i="9"/>
  <c r="K372" i="9"/>
  <c r="O372" i="9"/>
  <c r="J373" i="9"/>
  <c r="K373" i="9"/>
  <c r="N373" i="9"/>
  <c r="O373" i="9"/>
  <c r="J374" i="9"/>
  <c r="K374" i="9"/>
  <c r="N374" i="9"/>
  <c r="O374" i="9"/>
  <c r="J377" i="9"/>
  <c r="K377" i="9"/>
  <c r="N377" i="9"/>
  <c r="O377" i="9"/>
  <c r="J375" i="9"/>
  <c r="K375" i="9"/>
  <c r="N329" i="9"/>
  <c r="J329" i="9"/>
  <c r="K329" i="9"/>
  <c r="O329" i="9"/>
  <c r="N330" i="9"/>
  <c r="J330" i="9"/>
  <c r="K330" i="9"/>
  <c r="O330" i="9"/>
  <c r="N331" i="9"/>
  <c r="K331" i="9"/>
  <c r="O331" i="9"/>
  <c r="N332" i="9"/>
  <c r="O332" i="9"/>
  <c r="N333" i="9"/>
  <c r="O333" i="9"/>
  <c r="N334" i="9"/>
  <c r="O334" i="9"/>
  <c r="N335" i="9"/>
  <c r="I335" i="9"/>
  <c r="J335" i="9"/>
  <c r="K335" i="9"/>
  <c r="O335" i="9"/>
  <c r="N336" i="9"/>
  <c r="I336" i="9"/>
  <c r="J336" i="9"/>
  <c r="K336" i="9"/>
  <c r="O336" i="9"/>
  <c r="N337" i="9"/>
  <c r="I337" i="9"/>
  <c r="J337" i="9"/>
  <c r="K337" i="9"/>
  <c r="O337" i="9"/>
  <c r="N338" i="9"/>
  <c r="I338" i="9"/>
  <c r="J338" i="9"/>
  <c r="K338" i="9"/>
  <c r="O338" i="9"/>
  <c r="N339" i="9"/>
  <c r="I339" i="9"/>
  <c r="J339" i="9"/>
  <c r="K339" i="9"/>
  <c r="O339" i="9"/>
  <c r="N340" i="9"/>
  <c r="I340" i="9"/>
  <c r="K340" i="9"/>
  <c r="O340" i="9"/>
  <c r="N341" i="9"/>
  <c r="I341" i="9"/>
  <c r="K341" i="9"/>
  <c r="O341" i="9"/>
  <c r="N342" i="9"/>
  <c r="I342" i="9"/>
  <c r="K342" i="9"/>
  <c r="O342" i="9"/>
  <c r="N343" i="9"/>
  <c r="I343" i="9"/>
  <c r="J343" i="9"/>
  <c r="K343" i="9"/>
  <c r="O343" i="9"/>
  <c r="N344" i="9"/>
  <c r="J344" i="9"/>
  <c r="K344" i="9"/>
  <c r="O344" i="9"/>
  <c r="N345" i="9"/>
  <c r="J345" i="9"/>
  <c r="K345" i="9"/>
  <c r="O345" i="9"/>
  <c r="N346" i="9"/>
  <c r="J346" i="9"/>
  <c r="K346" i="9"/>
  <c r="O346" i="9"/>
  <c r="N347" i="9"/>
  <c r="O347" i="9"/>
  <c r="N348" i="9"/>
  <c r="J348" i="9"/>
  <c r="K348" i="9"/>
  <c r="O348" i="9"/>
  <c r="N349" i="9"/>
  <c r="J349" i="9"/>
  <c r="K349" i="9"/>
  <c r="O349" i="9"/>
  <c r="N350" i="9"/>
  <c r="O350" i="9"/>
  <c r="N351" i="9"/>
  <c r="O351" i="9"/>
  <c r="N352" i="9"/>
  <c r="J352" i="9"/>
  <c r="K352" i="9"/>
  <c r="O352" i="9"/>
  <c r="N353" i="9"/>
  <c r="J353" i="9"/>
  <c r="K353" i="9"/>
  <c r="O353" i="9"/>
  <c r="N354" i="9"/>
  <c r="I354" i="9"/>
  <c r="J354" i="9"/>
  <c r="K354" i="9"/>
  <c r="O354" i="9"/>
  <c r="N355" i="9"/>
  <c r="I355" i="9"/>
  <c r="J355" i="9"/>
  <c r="K355" i="9"/>
  <c r="O355" i="9"/>
  <c r="N356" i="9"/>
  <c r="J356" i="9"/>
  <c r="K356" i="9"/>
  <c r="O356" i="9"/>
  <c r="N357" i="9"/>
  <c r="J357" i="9"/>
  <c r="K357" i="9"/>
  <c r="O357" i="9"/>
  <c r="N358" i="9"/>
  <c r="J358" i="9"/>
  <c r="K358" i="9"/>
  <c r="O358" i="9"/>
  <c r="N359" i="9"/>
  <c r="O359" i="9"/>
  <c r="K232" i="9"/>
  <c r="N232" i="9"/>
  <c r="N233" i="9"/>
  <c r="N234" i="9"/>
  <c r="N235" i="9"/>
  <c r="N236" i="9"/>
  <c r="N237" i="9"/>
  <c r="N238" i="9"/>
  <c r="N239" i="9"/>
  <c r="N240" i="9"/>
  <c r="N241" i="9"/>
  <c r="N242" i="9"/>
  <c r="N243" i="9"/>
  <c r="N244" i="9"/>
  <c r="J245" i="9"/>
  <c r="K245" i="9"/>
  <c r="N245" i="9"/>
  <c r="O245" i="9"/>
  <c r="J246" i="9"/>
  <c r="K246" i="9"/>
  <c r="N246" i="9"/>
  <c r="O246" i="9"/>
  <c r="J247" i="9"/>
  <c r="K247" i="9"/>
  <c r="N247" i="9"/>
  <c r="O247" i="9"/>
  <c r="J248" i="9"/>
  <c r="K248" i="9"/>
  <c r="N248" i="9"/>
  <c r="O248" i="9"/>
  <c r="J249" i="9"/>
  <c r="K249" i="9"/>
  <c r="N249" i="9"/>
  <c r="O249" i="9"/>
  <c r="N250" i="9"/>
  <c r="O250" i="9"/>
  <c r="J251" i="9"/>
  <c r="K251" i="9"/>
  <c r="N251" i="9"/>
  <c r="O251" i="9"/>
  <c r="I252" i="9"/>
  <c r="J252" i="9"/>
  <c r="K252" i="9"/>
  <c r="N252" i="9"/>
  <c r="O252" i="9"/>
  <c r="J253" i="9"/>
  <c r="K253" i="9"/>
  <c r="N253" i="9"/>
  <c r="O253" i="9"/>
  <c r="J254" i="9"/>
  <c r="K254" i="9"/>
  <c r="N254" i="9"/>
  <c r="O254" i="9"/>
  <c r="K255" i="9"/>
  <c r="N255" i="9"/>
  <c r="O255" i="9"/>
  <c r="N256" i="9"/>
  <c r="O256" i="9"/>
  <c r="N257" i="9"/>
  <c r="O257" i="9"/>
  <c r="N258" i="9"/>
  <c r="O258" i="9"/>
  <c r="N259" i="9"/>
  <c r="O259" i="9"/>
  <c r="N260" i="9"/>
  <c r="J260" i="9"/>
  <c r="K260" i="9"/>
  <c r="O260" i="9"/>
  <c r="N261" i="9"/>
  <c r="J261" i="9"/>
  <c r="K261" i="9"/>
  <c r="O261" i="9"/>
  <c r="J262" i="9"/>
  <c r="K262" i="9"/>
  <c r="N262" i="9"/>
  <c r="O262" i="9"/>
  <c r="I263" i="9"/>
  <c r="J263" i="9"/>
  <c r="K263" i="9"/>
  <c r="N263" i="9"/>
  <c r="O263" i="9"/>
  <c r="I264" i="9"/>
  <c r="J264" i="9"/>
  <c r="K264" i="9"/>
  <c r="N264" i="9"/>
  <c r="O264" i="9"/>
  <c r="I265" i="9"/>
  <c r="J265" i="9"/>
  <c r="K265" i="9"/>
  <c r="N265" i="9"/>
  <c r="O265" i="9"/>
  <c r="I266" i="9"/>
  <c r="K266" i="9"/>
  <c r="N266" i="9"/>
  <c r="O266" i="9"/>
  <c r="I267" i="9"/>
  <c r="K267" i="9"/>
  <c r="N267" i="9"/>
  <c r="O267" i="9"/>
  <c r="I268" i="9"/>
  <c r="K268" i="9"/>
  <c r="N268" i="9"/>
  <c r="O268" i="9"/>
  <c r="I269" i="9"/>
  <c r="K269" i="9"/>
  <c r="N269" i="9"/>
  <c r="O269" i="9"/>
  <c r="I270" i="9"/>
  <c r="K270" i="9"/>
  <c r="N270" i="9"/>
  <c r="O270" i="9"/>
  <c r="I271" i="9"/>
  <c r="J271" i="9"/>
  <c r="K271" i="9"/>
  <c r="N271" i="9"/>
  <c r="O271" i="9"/>
  <c r="J272" i="9"/>
  <c r="K272" i="9"/>
  <c r="N272" i="9"/>
  <c r="O272" i="9"/>
  <c r="J275" i="9"/>
  <c r="K275" i="9"/>
  <c r="N275" i="9"/>
  <c r="O275" i="9"/>
  <c r="J276" i="9"/>
  <c r="K276" i="9"/>
  <c r="N276" i="9"/>
  <c r="O276" i="9"/>
  <c r="J277" i="9"/>
  <c r="K277" i="9"/>
  <c r="N277" i="9"/>
  <c r="O277" i="9"/>
  <c r="J278" i="9"/>
  <c r="K278" i="9"/>
  <c r="N278" i="9"/>
  <c r="O278" i="9"/>
  <c r="J279" i="9"/>
  <c r="K279" i="9"/>
  <c r="N279" i="9"/>
  <c r="O279" i="9"/>
  <c r="K280" i="9"/>
  <c r="N280" i="9"/>
  <c r="N281" i="9"/>
  <c r="K281" i="9"/>
  <c r="N282" i="9"/>
  <c r="N283" i="9"/>
  <c r="N284" i="9"/>
  <c r="N285" i="9"/>
  <c r="N286" i="9"/>
  <c r="N287" i="9"/>
  <c r="N288" i="9"/>
  <c r="N289" i="9"/>
  <c r="N290" i="9"/>
  <c r="J291" i="9"/>
  <c r="K291" i="9"/>
  <c r="N291" i="9"/>
  <c r="O291" i="9"/>
  <c r="I292" i="9"/>
  <c r="K292" i="9"/>
  <c r="N292" i="9"/>
  <c r="O292" i="9"/>
  <c r="I293" i="9"/>
  <c r="K293" i="9"/>
  <c r="N293" i="9"/>
  <c r="O293" i="9"/>
  <c r="I294" i="9"/>
  <c r="K294" i="9"/>
  <c r="N294" i="9"/>
  <c r="O294" i="9"/>
  <c r="I295" i="9"/>
  <c r="K295" i="9"/>
  <c r="N295" i="9"/>
  <c r="O295" i="9"/>
  <c r="I296" i="9"/>
  <c r="K296" i="9"/>
  <c r="N296" i="9"/>
  <c r="O296" i="9"/>
  <c r="N297" i="9"/>
  <c r="I297" i="9"/>
  <c r="J297" i="9"/>
  <c r="K297" i="9"/>
  <c r="O297" i="9"/>
  <c r="I298" i="9"/>
  <c r="J298" i="9"/>
  <c r="K298" i="9"/>
  <c r="N298" i="9"/>
  <c r="O298" i="9"/>
  <c r="I299" i="9"/>
  <c r="J299" i="9"/>
  <c r="K299" i="9"/>
  <c r="N299" i="9"/>
  <c r="O299" i="9"/>
  <c r="I300" i="9"/>
  <c r="J300" i="9"/>
  <c r="K300" i="9"/>
  <c r="N300" i="9"/>
  <c r="O300" i="9"/>
  <c r="I301" i="9"/>
  <c r="J301" i="9"/>
  <c r="K301" i="9"/>
  <c r="N301" i="9"/>
  <c r="O301" i="9"/>
  <c r="I302" i="9"/>
  <c r="J302" i="9"/>
  <c r="K302" i="9"/>
  <c r="N302" i="9"/>
  <c r="O302" i="9"/>
  <c r="I303" i="9"/>
  <c r="J303" i="9"/>
  <c r="K303" i="9"/>
  <c r="N303" i="9"/>
  <c r="O303" i="9"/>
  <c r="I304" i="9"/>
  <c r="J304" i="9"/>
  <c r="K304" i="9"/>
  <c r="N304" i="9"/>
  <c r="I305" i="9"/>
  <c r="J305" i="9"/>
  <c r="K305" i="9"/>
  <c r="N305" i="9"/>
  <c r="O305" i="9"/>
  <c r="I306" i="9"/>
  <c r="J306" i="9"/>
  <c r="K306" i="9"/>
  <c r="N306" i="9"/>
  <c r="O306" i="9"/>
  <c r="I307" i="9"/>
  <c r="J307" i="9"/>
  <c r="K307" i="9"/>
  <c r="N307" i="9"/>
  <c r="O307" i="9"/>
  <c r="I308" i="9"/>
  <c r="J308" i="9"/>
  <c r="K308" i="9"/>
  <c r="N308" i="9"/>
  <c r="O308" i="9"/>
  <c r="I309" i="9"/>
  <c r="J309" i="9"/>
  <c r="K309" i="9"/>
  <c r="N309" i="9"/>
  <c r="O309" i="9"/>
  <c r="I310" i="9"/>
  <c r="J310" i="9"/>
  <c r="K310" i="9"/>
  <c r="N310" i="9"/>
  <c r="O310" i="9"/>
  <c r="I311" i="9"/>
  <c r="J311" i="9"/>
  <c r="K311" i="9"/>
  <c r="N311" i="9"/>
  <c r="O311" i="9"/>
  <c r="J312" i="9"/>
  <c r="K312" i="9"/>
  <c r="N312" i="9"/>
  <c r="O312" i="9"/>
  <c r="N313" i="9"/>
  <c r="J313" i="9"/>
  <c r="K313" i="9"/>
  <c r="O313" i="9"/>
  <c r="J314" i="9"/>
  <c r="K314" i="9"/>
  <c r="N314" i="9"/>
  <c r="O314" i="9"/>
  <c r="J315" i="9"/>
  <c r="K315" i="9"/>
  <c r="N315" i="9"/>
  <c r="O315" i="9"/>
  <c r="J316" i="9"/>
  <c r="K316" i="9"/>
  <c r="N316" i="9"/>
  <c r="O316" i="9"/>
  <c r="J317" i="9"/>
  <c r="K317" i="9"/>
  <c r="N317" i="9"/>
  <c r="O317" i="9"/>
  <c r="N318" i="9"/>
  <c r="J318" i="9"/>
  <c r="K318" i="9"/>
  <c r="O318" i="9"/>
  <c r="N319" i="9"/>
  <c r="J319" i="9"/>
  <c r="K319" i="9"/>
  <c r="O319" i="9"/>
  <c r="N320" i="9"/>
  <c r="O320" i="9"/>
  <c r="N321" i="9"/>
  <c r="O321" i="9"/>
  <c r="I322" i="9"/>
  <c r="J322" i="9"/>
  <c r="K322" i="9"/>
  <c r="N322" i="9"/>
  <c r="O322" i="9"/>
  <c r="N323" i="9"/>
  <c r="I323" i="9"/>
  <c r="J323" i="9"/>
  <c r="K323" i="9"/>
  <c r="O323" i="9"/>
  <c r="I324" i="9"/>
  <c r="J324" i="9"/>
  <c r="K324" i="9"/>
  <c r="N324" i="9"/>
  <c r="O324" i="9"/>
  <c r="N325" i="9"/>
  <c r="O325" i="9"/>
  <c r="J326" i="9"/>
  <c r="K326" i="9"/>
  <c r="N326" i="9"/>
  <c r="O326" i="9"/>
  <c r="N327" i="9"/>
  <c r="J327" i="9"/>
  <c r="K327" i="9"/>
  <c r="O327" i="9"/>
  <c r="J328" i="9"/>
  <c r="K328" i="9"/>
  <c r="N328" i="9"/>
  <c r="O328" i="9"/>
  <c r="H167" i="9"/>
  <c r="N231" i="9"/>
  <c r="I229" i="9"/>
  <c r="I228" i="9"/>
  <c r="J93" i="9"/>
  <c r="K93" i="9"/>
  <c r="N93" i="9"/>
  <c r="O93" i="9"/>
  <c r="I181" i="9"/>
  <c r="J181" i="9"/>
  <c r="K181" i="9"/>
  <c r="N181" i="9"/>
  <c r="O181" i="9"/>
  <c r="J182" i="9"/>
  <c r="K182" i="9"/>
  <c r="N182" i="9"/>
  <c r="O182" i="9"/>
  <c r="J183" i="9"/>
  <c r="K183" i="9"/>
  <c r="N183" i="9"/>
  <c r="O183" i="9"/>
  <c r="J184" i="9"/>
  <c r="K184" i="9"/>
  <c r="N184" i="9"/>
  <c r="O184" i="9"/>
  <c r="J185" i="9"/>
  <c r="K185" i="9"/>
  <c r="N185" i="9"/>
  <c r="O185" i="9"/>
  <c r="N186" i="9"/>
  <c r="J186" i="9"/>
  <c r="K186" i="9"/>
  <c r="O186" i="9"/>
  <c r="J187" i="9"/>
  <c r="K187" i="9"/>
  <c r="N187" i="9"/>
  <c r="O187" i="9"/>
  <c r="J188" i="9"/>
  <c r="K188" i="9"/>
  <c r="N188" i="9"/>
  <c r="O188" i="9"/>
  <c r="J189" i="9"/>
  <c r="K189" i="9"/>
  <c r="N189" i="9"/>
  <c r="O189" i="9"/>
  <c r="N190" i="9"/>
  <c r="J190" i="9"/>
  <c r="K190" i="9"/>
  <c r="O190" i="9"/>
  <c r="I191" i="9"/>
  <c r="J191" i="9"/>
  <c r="K191" i="9"/>
  <c r="N191" i="9"/>
  <c r="O191" i="9"/>
  <c r="I192" i="9"/>
  <c r="J192" i="9"/>
  <c r="K192" i="9"/>
  <c r="N192" i="9"/>
  <c r="O192" i="9"/>
  <c r="I193" i="9"/>
  <c r="J193" i="9"/>
  <c r="K193" i="9"/>
  <c r="N193" i="9"/>
  <c r="O193" i="9"/>
  <c r="I194" i="9"/>
  <c r="J194" i="9"/>
  <c r="K194" i="9"/>
  <c r="N194" i="9"/>
  <c r="O194" i="9"/>
  <c r="K198" i="9"/>
  <c r="N198" i="9"/>
  <c r="O198" i="9"/>
  <c r="N199" i="9"/>
  <c r="O199" i="9"/>
  <c r="N200" i="9"/>
  <c r="O200" i="9"/>
  <c r="N201" i="9"/>
  <c r="O201" i="9"/>
  <c r="N202" i="9"/>
  <c r="O202" i="9"/>
  <c r="N203" i="9"/>
  <c r="I203" i="9"/>
  <c r="J203" i="9"/>
  <c r="K203" i="9"/>
  <c r="O203" i="9"/>
  <c r="I204" i="9"/>
  <c r="J204" i="9"/>
  <c r="K204" i="9"/>
  <c r="N204" i="9"/>
  <c r="O204" i="9"/>
  <c r="J205" i="9"/>
  <c r="K205" i="9"/>
  <c r="O205" i="9"/>
  <c r="J210" i="9"/>
  <c r="K210" i="9"/>
  <c r="N210" i="9"/>
  <c r="O210" i="9"/>
  <c r="N211" i="9"/>
  <c r="O211" i="9"/>
  <c r="N212" i="9"/>
  <c r="O212" i="9"/>
  <c r="J213" i="9"/>
  <c r="K213" i="9"/>
  <c r="N213" i="9"/>
  <c r="O213" i="9"/>
  <c r="N214" i="9"/>
  <c r="O214" i="9"/>
  <c r="N215" i="9"/>
  <c r="O215" i="9"/>
  <c r="N216" i="9"/>
  <c r="O216" i="9"/>
  <c r="J217" i="9"/>
  <c r="K217" i="9"/>
  <c r="N217" i="9"/>
  <c r="O217" i="9"/>
  <c r="N218" i="9"/>
  <c r="I218" i="9"/>
  <c r="J218" i="9"/>
  <c r="K218" i="9"/>
  <c r="O218" i="9"/>
  <c r="I219" i="9"/>
  <c r="J219" i="9"/>
  <c r="K219" i="9"/>
  <c r="N219" i="9"/>
  <c r="O219" i="9"/>
  <c r="N220" i="9"/>
  <c r="O220" i="9"/>
  <c r="I221" i="9"/>
  <c r="J221" i="9"/>
  <c r="K221" i="9"/>
  <c r="N221" i="9"/>
  <c r="O221" i="9"/>
  <c r="N222" i="9"/>
  <c r="I222" i="9"/>
  <c r="J222" i="9"/>
  <c r="K222" i="9"/>
  <c r="O222" i="9"/>
  <c r="N223" i="9"/>
  <c r="I223" i="9"/>
  <c r="J223" i="9"/>
  <c r="K223" i="9"/>
  <c r="O223" i="9"/>
  <c r="N224" i="9"/>
  <c r="I224" i="9"/>
  <c r="J224" i="9"/>
  <c r="K224" i="9"/>
  <c r="O224" i="9"/>
  <c r="N225" i="9"/>
  <c r="I225" i="9"/>
  <c r="J225" i="9"/>
  <c r="K225" i="9"/>
  <c r="O225" i="9"/>
  <c r="I226" i="9"/>
  <c r="J226" i="9"/>
  <c r="K226" i="9"/>
  <c r="N226" i="9"/>
  <c r="O226" i="9"/>
  <c r="N227" i="9"/>
  <c r="J227" i="9"/>
  <c r="K227" i="9"/>
  <c r="O227" i="9"/>
  <c r="N228" i="9"/>
  <c r="K228" i="9"/>
  <c r="O228" i="9"/>
  <c r="K229" i="9"/>
  <c r="N229" i="9"/>
  <c r="O229" i="9"/>
  <c r="N230" i="9"/>
  <c r="I230" i="9"/>
  <c r="J230" i="9"/>
  <c r="K230" i="9"/>
  <c r="O230" i="9"/>
  <c r="I231" i="9"/>
  <c r="J231" i="9"/>
  <c r="K231" i="9"/>
  <c r="O231" i="9"/>
  <c r="N195" i="9"/>
  <c r="N196" i="9"/>
  <c r="N197" i="9"/>
  <c r="K195" i="9"/>
  <c r="I7" i="9"/>
  <c r="J7" i="9"/>
  <c r="K7" i="9"/>
  <c r="N7" i="9"/>
  <c r="O7" i="9"/>
  <c r="K8" i="9"/>
  <c r="N8" i="9"/>
  <c r="O8" i="9"/>
  <c r="N137" i="9"/>
  <c r="J137" i="9"/>
  <c r="K137" i="9"/>
  <c r="O137" i="9"/>
  <c r="J138" i="9"/>
  <c r="K138" i="9"/>
  <c r="N138" i="9"/>
  <c r="O138" i="9"/>
  <c r="N139" i="9"/>
  <c r="J139" i="9"/>
  <c r="K139" i="9"/>
  <c r="O139" i="9"/>
  <c r="N140" i="9"/>
  <c r="I140" i="9"/>
  <c r="J140" i="9"/>
  <c r="K140" i="9"/>
  <c r="O140" i="9"/>
  <c r="I141" i="9"/>
  <c r="J141" i="9"/>
  <c r="K141" i="9"/>
  <c r="N141" i="9"/>
  <c r="O141" i="9"/>
  <c r="I142" i="9"/>
  <c r="J142" i="9"/>
  <c r="K142" i="9"/>
  <c r="N142" i="9"/>
  <c r="O142" i="9"/>
  <c r="I143" i="9"/>
  <c r="J143" i="9"/>
  <c r="K143" i="9"/>
  <c r="N143" i="9"/>
  <c r="O143" i="9"/>
  <c r="J144" i="9"/>
  <c r="K144" i="9"/>
  <c r="N144" i="9"/>
  <c r="O144" i="9"/>
  <c r="N145" i="9"/>
  <c r="O145" i="9"/>
  <c r="J146" i="9"/>
  <c r="K146" i="9"/>
  <c r="N146" i="9"/>
  <c r="O146" i="9"/>
  <c r="I147" i="9"/>
  <c r="K147" i="9"/>
  <c r="N147" i="9"/>
  <c r="O147" i="9"/>
  <c r="I148" i="9"/>
  <c r="K148" i="9"/>
  <c r="N148" i="9"/>
  <c r="O148" i="9"/>
  <c r="I149" i="9"/>
  <c r="K149" i="9"/>
  <c r="N149" i="9"/>
  <c r="O149" i="9"/>
  <c r="I150" i="9"/>
  <c r="K150" i="9"/>
  <c r="N150" i="9"/>
  <c r="O150" i="9"/>
  <c r="N151" i="9"/>
  <c r="J151" i="9"/>
  <c r="K151" i="9"/>
  <c r="O151" i="9"/>
  <c r="N152" i="9"/>
  <c r="J152" i="9"/>
  <c r="K152" i="9"/>
  <c r="O152" i="9"/>
  <c r="N153" i="9"/>
  <c r="O153" i="9"/>
  <c r="N154" i="9"/>
  <c r="J154" i="9"/>
  <c r="K154" i="9"/>
  <c r="O154" i="9"/>
  <c r="I155" i="9"/>
  <c r="J155" i="9"/>
  <c r="K155" i="9"/>
  <c r="N155" i="9"/>
  <c r="O155" i="9"/>
  <c r="I156" i="9"/>
  <c r="J156" i="9"/>
  <c r="K156" i="9"/>
  <c r="N156" i="9"/>
  <c r="O156" i="9"/>
  <c r="N157" i="9"/>
  <c r="I157" i="9"/>
  <c r="J157" i="9"/>
  <c r="K157" i="9"/>
  <c r="O157" i="9"/>
  <c r="I158" i="9"/>
  <c r="J158" i="9"/>
  <c r="K158" i="9"/>
  <c r="N158" i="9"/>
  <c r="O158" i="9"/>
  <c r="I159" i="9"/>
  <c r="J159" i="9"/>
  <c r="K159" i="9"/>
  <c r="N159" i="9"/>
  <c r="O159" i="9"/>
  <c r="N160" i="9"/>
  <c r="I160" i="9"/>
  <c r="J160" i="9"/>
  <c r="K160" i="9"/>
  <c r="O160" i="9"/>
  <c r="N161" i="9"/>
  <c r="I161" i="9"/>
  <c r="J161" i="9"/>
  <c r="K161" i="9"/>
  <c r="O161" i="9"/>
  <c r="I162" i="9"/>
  <c r="J162" i="9"/>
  <c r="K162" i="9"/>
  <c r="N162" i="9"/>
  <c r="O162" i="9"/>
  <c r="N163" i="9"/>
  <c r="I163" i="9"/>
  <c r="J163" i="9"/>
  <c r="K163" i="9"/>
  <c r="O163" i="9"/>
  <c r="N164" i="9"/>
  <c r="I164" i="9"/>
  <c r="J164" i="9"/>
  <c r="K164" i="9"/>
  <c r="O164" i="9"/>
  <c r="N165" i="9"/>
  <c r="I165" i="9"/>
  <c r="J165" i="9"/>
  <c r="K165" i="9"/>
  <c r="O165" i="9"/>
  <c r="N166" i="9"/>
  <c r="I166" i="9"/>
  <c r="J166" i="9"/>
  <c r="K166" i="9"/>
  <c r="O166" i="9"/>
  <c r="N167" i="9"/>
  <c r="I167" i="9"/>
  <c r="J167" i="9"/>
  <c r="K167" i="9"/>
  <c r="O167" i="9"/>
  <c r="N168" i="9"/>
  <c r="I168" i="9"/>
  <c r="J168" i="9"/>
  <c r="K168" i="9"/>
  <c r="O168" i="9"/>
  <c r="N169" i="9"/>
  <c r="I169" i="9"/>
  <c r="J169" i="9"/>
  <c r="K169" i="9"/>
  <c r="O169" i="9"/>
  <c r="N170" i="9"/>
  <c r="I170" i="9"/>
  <c r="J170" i="9"/>
  <c r="K170" i="9"/>
  <c r="O170" i="9"/>
  <c r="N171" i="9"/>
  <c r="I171" i="9"/>
  <c r="J171" i="9"/>
  <c r="K171" i="9"/>
  <c r="O171" i="9"/>
  <c r="N172" i="9"/>
  <c r="I172" i="9"/>
  <c r="K172" i="9"/>
  <c r="O172" i="9"/>
  <c r="N173" i="9"/>
  <c r="J173" i="9"/>
  <c r="K173" i="9"/>
  <c r="O173" i="9"/>
  <c r="J174" i="9"/>
  <c r="K174" i="9"/>
  <c r="N174" i="9"/>
  <c r="O174" i="9"/>
  <c r="N175" i="9"/>
  <c r="J175" i="9"/>
  <c r="K175" i="9"/>
  <c r="O175" i="9"/>
  <c r="N176" i="9"/>
  <c r="O176" i="9"/>
  <c r="N177" i="9"/>
  <c r="J177" i="9"/>
  <c r="K177" i="9"/>
  <c r="O177" i="9"/>
  <c r="J178" i="9"/>
  <c r="K178" i="9"/>
  <c r="N178" i="9"/>
  <c r="O178" i="9"/>
  <c r="N179" i="9"/>
  <c r="J179" i="9"/>
  <c r="K179" i="9"/>
  <c r="O179" i="9"/>
  <c r="N180" i="9"/>
  <c r="O180" i="9"/>
  <c r="J113" i="9"/>
  <c r="K113" i="9"/>
  <c r="N113" i="9"/>
  <c r="O113" i="9"/>
  <c r="N59" i="9"/>
  <c r="J59" i="9"/>
  <c r="K59" i="9"/>
  <c r="O59" i="9"/>
  <c r="N61" i="9"/>
  <c r="J61" i="9"/>
  <c r="K61" i="9"/>
  <c r="O61" i="9"/>
  <c r="N106" i="9"/>
  <c r="I106" i="9"/>
  <c r="J106" i="9"/>
  <c r="K106" i="9"/>
  <c r="O106" i="9"/>
  <c r="N107" i="9"/>
  <c r="I107" i="9"/>
  <c r="J107" i="9"/>
  <c r="K107" i="9"/>
  <c r="O107" i="9"/>
  <c r="J108" i="9"/>
  <c r="K108" i="9"/>
  <c r="N108" i="9"/>
  <c r="O108" i="9"/>
  <c r="N109" i="9"/>
  <c r="I109" i="9"/>
  <c r="K109" i="9"/>
  <c r="O109" i="9"/>
  <c r="N110" i="9"/>
  <c r="I110" i="9"/>
  <c r="K110" i="9"/>
  <c r="O110" i="9"/>
  <c r="N111" i="9"/>
  <c r="I111" i="9"/>
  <c r="J111" i="9"/>
  <c r="K111" i="9"/>
  <c r="O111" i="9"/>
  <c r="J112" i="9"/>
  <c r="K112" i="9"/>
  <c r="N112" i="9"/>
  <c r="O112" i="9"/>
  <c r="N115" i="9"/>
  <c r="J115" i="9"/>
  <c r="K115" i="9"/>
  <c r="O115" i="9"/>
  <c r="N116" i="9"/>
  <c r="O116" i="9"/>
  <c r="N117" i="9"/>
  <c r="J117" i="9"/>
  <c r="K117" i="9"/>
  <c r="O117" i="9"/>
  <c r="J118" i="9"/>
  <c r="K118" i="9"/>
  <c r="N118" i="9"/>
  <c r="O118" i="9"/>
  <c r="N119" i="9"/>
  <c r="I119" i="9"/>
  <c r="J119" i="9"/>
  <c r="K119" i="9"/>
  <c r="O119" i="9"/>
  <c r="N120" i="9"/>
  <c r="I120" i="9"/>
  <c r="J120" i="9"/>
  <c r="K120" i="9"/>
  <c r="O120" i="9"/>
  <c r="N121" i="9"/>
  <c r="I121" i="9"/>
  <c r="J121" i="9"/>
  <c r="K121" i="9"/>
  <c r="O121" i="9"/>
  <c r="N122" i="9"/>
  <c r="J122" i="9"/>
  <c r="K122" i="9"/>
  <c r="O122" i="9"/>
  <c r="N134" i="9"/>
  <c r="N135" i="9"/>
  <c r="N136" i="9"/>
  <c r="N123" i="9"/>
  <c r="N124" i="9"/>
  <c r="N125" i="9"/>
  <c r="N126" i="9"/>
  <c r="N127" i="9"/>
  <c r="N128" i="9"/>
  <c r="N129" i="9"/>
  <c r="N130" i="9"/>
  <c r="N131" i="9"/>
  <c r="N132" i="9"/>
  <c r="N133" i="9"/>
  <c r="K135" i="9"/>
  <c r="I102" i="9"/>
  <c r="I101" i="9"/>
  <c r="I91" i="9"/>
  <c r="I90" i="9"/>
  <c r="I89" i="9"/>
  <c r="I88" i="9"/>
  <c r="I86" i="9"/>
  <c r="I87" i="9"/>
  <c r="K134" i="9"/>
  <c r="K123" i="9"/>
  <c r="N114" i="9"/>
  <c r="K17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J114" i="9"/>
  <c r="K114" i="9"/>
  <c r="N5" i="9"/>
  <c r="K5" i="9"/>
  <c r="O5" i="9"/>
  <c r="N6" i="9"/>
  <c r="O6" i="9"/>
  <c r="J57" i="9"/>
  <c r="K57" i="9"/>
  <c r="N57" i="9"/>
  <c r="O57" i="9"/>
  <c r="N60" i="9"/>
  <c r="O60" i="9"/>
  <c r="J62" i="9"/>
  <c r="K62" i="9"/>
  <c r="N62" i="9"/>
  <c r="O62" i="9"/>
  <c r="J63" i="9"/>
  <c r="K63" i="9"/>
  <c r="N63" i="9"/>
  <c r="O63" i="9"/>
  <c r="N64" i="9"/>
  <c r="J64" i="9"/>
  <c r="K64" i="9"/>
  <c r="O64" i="9"/>
  <c r="N65" i="9"/>
  <c r="O65" i="9"/>
  <c r="N66" i="9"/>
  <c r="O66" i="9"/>
  <c r="N67" i="9"/>
  <c r="J67" i="9"/>
  <c r="K67" i="9"/>
  <c r="O67" i="9"/>
  <c r="N68" i="9"/>
  <c r="J68" i="9"/>
  <c r="I68" i="9"/>
  <c r="K68" i="9"/>
  <c r="O68" i="9"/>
  <c r="N69" i="9"/>
  <c r="J69" i="9"/>
  <c r="I69" i="9"/>
  <c r="K69" i="9"/>
  <c r="O69" i="9"/>
  <c r="J70" i="9"/>
  <c r="I70" i="9"/>
  <c r="K70" i="9"/>
  <c r="N70" i="9"/>
  <c r="O70" i="9"/>
  <c r="J71" i="9"/>
  <c r="I71" i="9"/>
  <c r="K71" i="9"/>
  <c r="N71" i="9"/>
  <c r="O71" i="9"/>
  <c r="J72" i="9"/>
  <c r="I72" i="9"/>
  <c r="K72" i="9"/>
  <c r="N72" i="9"/>
  <c r="O72" i="9"/>
  <c r="J73" i="9"/>
  <c r="K73" i="9"/>
  <c r="N73" i="9"/>
  <c r="O73" i="9"/>
  <c r="N74" i="9"/>
  <c r="J74" i="9"/>
  <c r="I74" i="9"/>
  <c r="K74" i="9"/>
  <c r="O74" i="9"/>
  <c r="N75" i="9"/>
  <c r="J75" i="9"/>
  <c r="I75" i="9"/>
  <c r="K75" i="9"/>
  <c r="O75" i="9"/>
  <c r="J76" i="9"/>
  <c r="I76" i="9"/>
  <c r="K76" i="9"/>
  <c r="N76" i="9"/>
  <c r="O76" i="9"/>
  <c r="J77" i="9"/>
  <c r="I77" i="9"/>
  <c r="K77" i="9"/>
  <c r="N77" i="9"/>
  <c r="O77" i="9"/>
  <c r="J78" i="9"/>
  <c r="I78" i="9"/>
  <c r="K78" i="9"/>
  <c r="N78" i="9"/>
  <c r="O78" i="9"/>
  <c r="J79" i="9"/>
  <c r="I79" i="9"/>
  <c r="K79" i="9"/>
  <c r="N79" i="9"/>
  <c r="O79" i="9"/>
  <c r="J80" i="9"/>
  <c r="I80" i="9"/>
  <c r="K80" i="9"/>
  <c r="N80" i="9"/>
  <c r="O80" i="9"/>
  <c r="J81" i="9"/>
  <c r="I81" i="9"/>
  <c r="K81" i="9"/>
  <c r="N81" i="9"/>
  <c r="O81" i="9"/>
  <c r="J82" i="9"/>
  <c r="I82" i="9"/>
  <c r="K82" i="9"/>
  <c r="N82" i="9"/>
  <c r="O82" i="9"/>
  <c r="J83" i="9"/>
  <c r="I83" i="9"/>
  <c r="K83" i="9"/>
  <c r="N83" i="9"/>
  <c r="O83" i="9"/>
  <c r="J84" i="9"/>
  <c r="I84" i="9"/>
  <c r="K84" i="9"/>
  <c r="N84" i="9"/>
  <c r="O84" i="9"/>
  <c r="N85" i="9"/>
  <c r="J85" i="9"/>
  <c r="I85" i="9"/>
  <c r="K85" i="9"/>
  <c r="O85" i="9"/>
  <c r="N86" i="9"/>
  <c r="K86" i="9"/>
  <c r="O86" i="9"/>
  <c r="N87" i="9"/>
  <c r="K87" i="9"/>
  <c r="O87" i="9"/>
  <c r="N88" i="9"/>
  <c r="K88" i="9"/>
  <c r="O88" i="9"/>
  <c r="K89" i="9"/>
  <c r="N89" i="9"/>
  <c r="O89" i="9"/>
  <c r="K90" i="9"/>
  <c r="N90" i="9"/>
  <c r="O90" i="9"/>
  <c r="K91" i="9"/>
  <c r="N91" i="9"/>
  <c r="O91" i="9"/>
  <c r="J92" i="9"/>
  <c r="K92" i="9"/>
  <c r="N92" i="9"/>
  <c r="O92" i="9"/>
  <c r="N94" i="9"/>
  <c r="N95" i="9"/>
  <c r="N96" i="9"/>
  <c r="J96" i="9"/>
  <c r="K96" i="9"/>
  <c r="O96" i="9"/>
  <c r="N97" i="9"/>
  <c r="O97" i="9"/>
  <c r="J98" i="9"/>
  <c r="K98" i="9"/>
  <c r="N98" i="9"/>
  <c r="O98" i="9"/>
  <c r="N99" i="9"/>
  <c r="J99" i="9"/>
  <c r="K99" i="9"/>
  <c r="O99" i="9"/>
  <c r="N100" i="9"/>
  <c r="J100" i="9"/>
  <c r="K100" i="9"/>
  <c r="O100" i="9"/>
  <c r="K101" i="9"/>
  <c r="N101" i="9"/>
  <c r="O101" i="9"/>
  <c r="K102" i="9"/>
  <c r="N102" i="9"/>
  <c r="O102" i="9"/>
  <c r="N103" i="9"/>
  <c r="J103" i="9"/>
  <c r="I103" i="9"/>
  <c r="K103" i="9"/>
  <c r="O103" i="9"/>
  <c r="N104" i="9"/>
  <c r="O104" i="9"/>
  <c r="N105" i="9"/>
  <c r="K105" i="9"/>
  <c r="N58" i="9"/>
  <c r="K94" i="9"/>
  <c r="A59" i="9"/>
  <c r="A61" i="9"/>
  <c r="A62" i="9"/>
  <c r="A63" i="9"/>
  <c r="A64" i="9"/>
  <c r="N9" i="9"/>
  <c r="J9" i="9"/>
  <c r="K9" i="9"/>
  <c r="O9" i="9"/>
  <c r="J10" i="9"/>
  <c r="K10" i="9"/>
  <c r="N10" i="9"/>
  <c r="O10" i="9"/>
  <c r="N11" i="9"/>
  <c r="J11" i="9"/>
  <c r="K11" i="9"/>
  <c r="O11" i="9"/>
  <c r="J12" i="9"/>
  <c r="K12" i="9"/>
  <c r="N12" i="9"/>
  <c r="O12" i="9"/>
  <c r="N13" i="9"/>
  <c r="O13" i="9"/>
  <c r="N14" i="9"/>
  <c r="O14" i="9"/>
  <c r="N15" i="9"/>
  <c r="O15" i="9"/>
  <c r="N16" i="9"/>
  <c r="O16" i="9"/>
  <c r="K58" i="9"/>
  <c r="A7" i="9"/>
  <c r="A8" i="9"/>
  <c r="A9" i="9"/>
  <c r="A10" i="9"/>
  <c r="A11" i="9"/>
  <c r="A12" i="9"/>
  <c r="X25" i="2"/>
  <c r="X10" i="2"/>
  <c r="X7" i="2"/>
  <c r="X24" i="2"/>
  <c r="S11" i="2"/>
  <c r="S12" i="2"/>
  <c r="X17" i="2"/>
  <c r="D26" i="2"/>
  <c r="X9" i="2"/>
  <c r="I55" i="2"/>
  <c r="I54" i="2"/>
  <c r="I53" i="2"/>
  <c r="I52" i="2"/>
  <c r="I51" i="2"/>
  <c r="I49" i="2"/>
  <c r="I47" i="2"/>
  <c r="I46" i="2"/>
  <c r="I45" i="2"/>
  <c r="I43" i="2"/>
  <c r="I42" i="2"/>
  <c r="I41" i="2"/>
  <c r="I40" i="2"/>
  <c r="I39" i="2"/>
  <c r="I37" i="2"/>
  <c r="D37" i="2"/>
  <c r="I36" i="2"/>
  <c r="D36" i="2"/>
  <c r="X35" i="2"/>
  <c r="I35" i="2"/>
  <c r="D35" i="2"/>
  <c r="X34" i="2"/>
  <c r="I34" i="2"/>
  <c r="D34" i="2"/>
  <c r="X33" i="2"/>
  <c r="N33" i="2"/>
  <c r="I33" i="2"/>
  <c r="D33" i="2"/>
  <c r="D32" i="2"/>
  <c r="X31" i="2"/>
  <c r="I31" i="2"/>
  <c r="D31" i="2"/>
  <c r="X30" i="2"/>
  <c r="N30" i="2"/>
  <c r="I30" i="2"/>
  <c r="D30" i="2"/>
  <c r="X29" i="2"/>
  <c r="N28" i="2"/>
  <c r="I28" i="2"/>
  <c r="D28" i="2"/>
  <c r="X27" i="2"/>
  <c r="I27" i="2"/>
  <c r="D27" i="2"/>
  <c r="X26" i="2"/>
  <c r="S26" i="2"/>
  <c r="N26" i="2"/>
  <c r="I26" i="2"/>
  <c r="S25" i="2"/>
  <c r="D25" i="2"/>
  <c r="I24" i="2"/>
  <c r="X23" i="2"/>
  <c r="S23" i="2"/>
  <c r="N23" i="2"/>
  <c r="I23" i="2"/>
  <c r="D23" i="2"/>
  <c r="S22" i="2"/>
  <c r="N22" i="2"/>
  <c r="I22" i="2"/>
  <c r="D22" i="2"/>
  <c r="X21" i="2"/>
  <c r="S21" i="2"/>
  <c r="N21" i="2"/>
  <c r="D21" i="2"/>
  <c r="X20" i="2"/>
  <c r="S20" i="2"/>
  <c r="N20" i="2"/>
  <c r="I20" i="2"/>
  <c r="D20" i="2"/>
  <c r="X19" i="2"/>
  <c r="S19" i="2"/>
  <c r="N19" i="2"/>
  <c r="I19" i="2"/>
  <c r="D19" i="2"/>
  <c r="X18" i="2"/>
  <c r="S18" i="2"/>
  <c r="N18" i="2"/>
  <c r="I18" i="2"/>
  <c r="D18" i="2"/>
  <c r="S16" i="2"/>
  <c r="N16" i="2"/>
  <c r="I16" i="2"/>
  <c r="D16" i="2"/>
  <c r="X15" i="2"/>
  <c r="N15" i="2"/>
  <c r="I15" i="2"/>
  <c r="D15" i="2"/>
  <c r="X14" i="2"/>
  <c r="S14" i="2"/>
  <c r="N14" i="2"/>
  <c r="D14" i="2"/>
  <c r="X13" i="2"/>
  <c r="I13" i="2"/>
  <c r="N12" i="2"/>
  <c r="I12" i="2"/>
  <c r="D12" i="2"/>
  <c r="X11" i="2"/>
  <c r="N11" i="2"/>
  <c r="I11" i="2"/>
  <c r="D11" i="2"/>
  <c r="S10" i="2"/>
  <c r="N10" i="2"/>
  <c r="D10" i="2"/>
  <c r="I9" i="2"/>
  <c r="X8" i="2"/>
  <c r="S8" i="2"/>
  <c r="N8" i="2"/>
  <c r="I8" i="2"/>
  <c r="D8" i="2"/>
  <c r="S7" i="2"/>
  <c r="N7" i="2"/>
  <c r="I7" i="2"/>
  <c r="D7" i="2"/>
  <c r="N35" i="2"/>
  <c r="I57" i="2"/>
  <c r="D39" i="2"/>
  <c r="S28" i="2"/>
  <c r="X37" i="2"/>
</calcChain>
</file>

<file path=xl/sharedStrings.xml><?xml version="1.0" encoding="utf-8"?>
<sst xmlns="http://schemas.openxmlformats.org/spreadsheetml/2006/main" count="51193" uniqueCount="16259">
  <si>
    <t>PO #</t>
  </si>
  <si>
    <t>READY</t>
  </si>
  <si>
    <t>SHIPPED</t>
  </si>
  <si>
    <t>leelan</t>
  </si>
  <si>
    <t>Closed</t>
  </si>
  <si>
    <t>es</t>
  </si>
  <si>
    <t>PLACED: AWAITING PAYMENT </t>
  </si>
  <si>
    <t>INVOICE DONE MUST BILL</t>
  </si>
  <si>
    <t>SEND INVOICE</t>
  </si>
  <si>
    <t>OUR COSTS</t>
  </si>
  <si>
    <t>Profits</t>
  </si>
  <si>
    <t>Supplier</t>
  </si>
  <si>
    <t>P</t>
  </si>
  <si>
    <t>Tax</t>
  </si>
  <si>
    <t>County</t>
  </si>
  <si>
    <t>TRACKING</t>
  </si>
  <si>
    <t>Notes</t>
  </si>
  <si>
    <t>Email</t>
  </si>
  <si>
    <t>Freight Billed?</t>
  </si>
  <si>
    <t>Check #</t>
  </si>
  <si>
    <t>Date Paid</t>
  </si>
  <si>
    <t>AMAZON</t>
  </si>
  <si>
    <t>Nassau National Cable 2016</t>
  </si>
  <si>
    <t>The Books</t>
  </si>
  <si>
    <t>PO</t>
  </si>
  <si>
    <t>Date</t>
  </si>
  <si>
    <t>Type</t>
  </si>
  <si>
    <t>Contact</t>
  </si>
  <si>
    <t>QTY</t>
  </si>
  <si>
    <t>Product</t>
  </si>
  <si>
    <t> Status</t>
  </si>
  <si>
    <t>Gross </t>
  </si>
  <si>
    <t xml:space="preserve"> FVF</t>
  </si>
  <si>
    <t>PayPal Fee </t>
  </si>
  <si>
    <t xml:space="preserve">Net </t>
  </si>
  <si>
    <t>Cost/M</t>
  </si>
  <si>
    <t>Freight</t>
  </si>
  <si>
    <t>Extended</t>
  </si>
  <si>
    <t>%</t>
  </si>
  <si>
    <t>Carrier</t>
  </si>
  <si>
    <t>Tracing Number</t>
  </si>
  <si>
    <t>Yes</t>
  </si>
  <si>
    <t>Ebay</t>
  </si>
  <si>
    <t>Jospeh Glassett</t>
  </si>
  <si>
    <t>2/0-4 Type G</t>
  </si>
  <si>
    <t>Open</t>
  </si>
  <si>
    <t>General</t>
  </si>
  <si>
    <t>ROADRUNNER</t>
  </si>
  <si>
    <t>rockymountainauto@netzero.com</t>
  </si>
  <si>
    <t>4/0-4 Type G</t>
  </si>
  <si>
    <t>Pat Winters</t>
  </si>
  <si>
    <t>Sweetbriar</t>
  </si>
  <si>
    <t>Nassau</t>
  </si>
  <si>
    <t>UPS/DLS</t>
  </si>
  <si>
    <t>291348352</t>
  </si>
  <si>
    <t>we will pick up</t>
  </si>
  <si>
    <t>Check</t>
  </si>
  <si>
    <t>Matt Colker</t>
  </si>
  <si>
    <t>4/0-3 W/GRND Jacketed MC CABLE CU</t>
  </si>
  <si>
    <t>Service</t>
  </si>
  <si>
    <t>FEDEX FREIGHT PRIORITY</t>
  </si>
  <si>
    <t>3512624275</t>
  </si>
  <si>
    <t>paid 01.04.2016</t>
  </si>
  <si>
    <t>Visa</t>
  </si>
  <si>
    <t>Arthur Greenberg</t>
  </si>
  <si>
    <t>2/3 NM-B Romex W/GRND</t>
  </si>
  <si>
    <t>Southwire</t>
  </si>
  <si>
    <t>SEFL</t>
  </si>
  <si>
    <t>art@artg.tv</t>
  </si>
  <si>
    <t>Joseph Baldwin</t>
  </si>
  <si>
    <t>Wake Forest</t>
  </si>
  <si>
    <t>FEDEX FRT PRIORITY</t>
  </si>
  <si>
    <t>326696063</t>
  </si>
  <si>
    <t>jbaldwin1970@aol.com</t>
  </si>
  <si>
    <t>Daniel Echarri</t>
  </si>
  <si>
    <t>4/0 XLP USE CU 4x 2000</t>
  </si>
  <si>
    <t>Colonial</t>
  </si>
  <si>
    <t>daniel@rdelectricinc.com</t>
  </si>
  <si>
    <t>PayPal</t>
  </si>
  <si>
    <t>Alex Hruby</t>
  </si>
  <si>
    <t>12/2 NM-B Romex W/GRND</t>
  </si>
  <si>
    <t>alex@manucostarica.com</t>
  </si>
  <si>
    <t>14/2 NM-B Romex W/GRND</t>
  </si>
  <si>
    <t>6 THHN RED</t>
  </si>
  <si>
    <t>6 THHN BLACK</t>
  </si>
  <si>
    <t>Pratt</t>
  </si>
  <si>
    <t>Thea</t>
  </si>
  <si>
    <t>Tucker Electric</t>
  </si>
  <si>
    <t xml:space="preserve">Vassar 1x68 1x72 1x55 </t>
  </si>
  <si>
    <t>ESTES/DLS</t>
  </si>
  <si>
    <t>0272115381</t>
  </si>
  <si>
    <t>billed out 01.11.2016</t>
  </si>
  <si>
    <t>Vassar 2x1000</t>
  </si>
  <si>
    <t>paid  $1,638.94 06.06.2016</t>
  </si>
  <si>
    <t>Stephens 2x1000</t>
  </si>
  <si>
    <t>PAID 5000.00 1.22.2016</t>
  </si>
  <si>
    <t>Ramapo 1x1880 1x38 1x40</t>
  </si>
  <si>
    <t>FEDEX/DLS</t>
  </si>
  <si>
    <t>2709579283</t>
  </si>
  <si>
    <t>PAID 5000.00 1.25.2016</t>
  </si>
  <si>
    <t>Brenau 1x1575</t>
  </si>
  <si>
    <t>PAID 5000.00 02.16.2016</t>
  </si>
  <si>
    <t>Converse 1x2138</t>
  </si>
  <si>
    <t>PAID 10000.00 02.25.2016</t>
  </si>
  <si>
    <t xml:space="preserve">Sweetbriar 1x58 1x70 1x19 1x23 1x56 1x28 </t>
  </si>
  <si>
    <t>paid 5000.00 03.15.2016</t>
  </si>
  <si>
    <t>Sweetbriar 1x40 1x109 1x594 1x567 1x598 1x600 1x678</t>
  </si>
  <si>
    <t>paid $5,000 04.18.2016</t>
  </si>
  <si>
    <t>Monmouth 1x62 2x50 1x79 1x75 1x88 1x15 1x325 1x1032</t>
  </si>
  <si>
    <t>paid $5,000 05.12.2016</t>
  </si>
  <si>
    <t xml:space="preserve">Pratt 1x1000 </t>
  </si>
  <si>
    <t>Wesleyan 2x100 2x200 1x107 1x115 1x50 1x13</t>
  </si>
  <si>
    <t>Rider 1x370</t>
  </si>
  <si>
    <t>2-2-2-4 SER AL 2x1000</t>
  </si>
  <si>
    <t>4/0-4/0-4/0-2/0 SER AL</t>
  </si>
  <si>
    <t>2/0-2/0-2/0-1 SER AL 1x149 1x157 1x280 1x249 1x238 2x220 1x320 1x347</t>
  </si>
  <si>
    <t>Cerapus 3X1000</t>
  </si>
  <si>
    <t>Grullo</t>
  </si>
  <si>
    <t>Palomino 1x108 1x40</t>
  </si>
  <si>
    <t>Periwinkle</t>
  </si>
  <si>
    <t>1/0 XHHW AL 1X110 1X215</t>
  </si>
  <si>
    <t>1 XHHW AL 1x104 1x232 1x60</t>
  </si>
  <si>
    <t>4/0 XHHW AL 1x198 1x61 1x84 1x219</t>
  </si>
  <si>
    <t>3/0 XHHW AL 1x924 1x268</t>
  </si>
  <si>
    <t>250 XHHW AL 1x442 1x102 1x140</t>
  </si>
  <si>
    <t>750 XHHW AL 1x102 2x100 1x198 1x156</t>
  </si>
  <si>
    <t>400 XHHW AL 1x170 1x389</t>
  </si>
  <si>
    <t>350 XHHW AL 1X166 1X160</t>
  </si>
  <si>
    <t>6/4 SOOW 1x42 1x39 1x15 1x35 1x38 1x45 1x67 1x53 1x84 1x92 1x81 1x80 4X100</t>
  </si>
  <si>
    <t>6/3 SOOW 1x500 1x20</t>
  </si>
  <si>
    <t>10/4 SOOW 2x100</t>
  </si>
  <si>
    <t>12/4 SOOW 1x215</t>
  </si>
  <si>
    <t>12/3 SOW 1x150 1x120</t>
  </si>
  <si>
    <t>4/4 SOOW 1x10 1x19 1x88</t>
  </si>
  <si>
    <t>350 XHHW AL BLACK W/BLUE STRIPE 1x914</t>
  </si>
  <si>
    <t>1/0 XHHW AL GREEN 1x3838</t>
  </si>
  <si>
    <t>350 XHHW AL BLACK W/RED STRIPE 1x349 1x500 1x505</t>
  </si>
  <si>
    <t>350 XHHW AL BLACK W/WHITE STRIPE 1x506 1x507</t>
  </si>
  <si>
    <t>350 THHN AL BROWN</t>
  </si>
  <si>
    <t>350 THHN AL YELLOW</t>
  </si>
  <si>
    <t>350 THHN AL PURPLE</t>
  </si>
  <si>
    <t>Amex</t>
  </si>
  <si>
    <t>Carmen Rodriguez</t>
  </si>
  <si>
    <t>10/3 Flat Pump Cable W/GRND</t>
  </si>
  <si>
    <t>Crown</t>
  </si>
  <si>
    <t>FEDEX GROUND</t>
  </si>
  <si>
    <t>659225584780</t>
  </si>
  <si>
    <t>crodriguez@segue-mfg.com</t>
  </si>
  <si>
    <t>Angelica Zhang</t>
  </si>
  <si>
    <t>#10 IMSA 26-3 Line Cable 2X2000</t>
  </si>
  <si>
    <t>659225584655, 659225584644</t>
  </si>
  <si>
    <t>paid 01.22.2016</t>
  </si>
  <si>
    <t>NYGOV@stores.fastnal.com</t>
  </si>
  <si>
    <t>Gary A Hendrickson</t>
  </si>
  <si>
    <t>6 XHHW COPPER</t>
  </si>
  <si>
    <t>659225584840</t>
  </si>
  <si>
    <t>nghendrick1@yahoo.com</t>
  </si>
  <si>
    <t>Bergen</t>
  </si>
  <si>
    <t>659225584850'</t>
  </si>
  <si>
    <t>NES</t>
  </si>
  <si>
    <t>Ngoc Nguyen</t>
  </si>
  <si>
    <t>6/4 SOOW</t>
  </si>
  <si>
    <t>659225584703</t>
  </si>
  <si>
    <t>dynoproven@yahoo.com</t>
  </si>
  <si>
    <t>Howard McDaniel</t>
  </si>
  <si>
    <t>Stephens</t>
  </si>
  <si>
    <t>659225584677'</t>
  </si>
  <si>
    <t>kayajmcdaniel@yahoo.com</t>
  </si>
  <si>
    <t>Dale Mayle</t>
  </si>
  <si>
    <t>6/3 SOOW </t>
  </si>
  <si>
    <t>659225584688</t>
  </si>
  <si>
    <t>dale.mayle@sbcglobal.net</t>
  </si>
  <si>
    <t>John D Steven</t>
  </si>
  <si>
    <t>12/3 SOOW</t>
  </si>
  <si>
    <t>porkhock@mtcnet.net</t>
  </si>
  <si>
    <t>14/3 SOOW</t>
  </si>
  <si>
    <t>4/3 SOOW</t>
  </si>
  <si>
    <t>Kenneth Wiley</t>
  </si>
  <si>
    <t>Syracuse</t>
  </si>
  <si>
    <t>3653243053'</t>
  </si>
  <si>
    <t>kencarolw@msn.com</t>
  </si>
  <si>
    <t>Curt Simmons</t>
  </si>
  <si>
    <t>1/0-1/0-1/0-2 SER AL</t>
  </si>
  <si>
    <t>Priority</t>
  </si>
  <si>
    <t>644267282923</t>
  </si>
  <si>
    <t>Jeff Freemyer</t>
  </si>
  <si>
    <t>2-2-2-4 SER AL W/GRND</t>
  </si>
  <si>
    <t>659225584736'</t>
  </si>
  <si>
    <t>Jenny Serata</t>
  </si>
  <si>
    <t>6/4 SOOW </t>
  </si>
  <si>
    <t>Claiborne</t>
  </si>
  <si>
    <t>659225584769'</t>
  </si>
  <si>
    <t>Allen Graetz</t>
  </si>
  <si>
    <t>14/4 SOOW BLACK</t>
  </si>
  <si>
    <t>659225584699</t>
  </si>
  <si>
    <t>Bobby L DeMoss</t>
  </si>
  <si>
    <t>659225584770</t>
  </si>
  <si>
    <t>Gary Glenn</t>
  </si>
  <si>
    <t>Wesleyan</t>
  </si>
  <si>
    <t>FED FRT PRIORITY/DLS</t>
  </si>
  <si>
    <t>gglenn@groebner.com</t>
  </si>
  <si>
    <t>Daniel Wade</t>
  </si>
  <si>
    <t>Scott Schenk</t>
  </si>
  <si>
    <t>16/4 SJOOW Black</t>
  </si>
  <si>
    <t>UPS</t>
  </si>
  <si>
    <t>1Z0811790372525032</t>
  </si>
  <si>
    <t>Cesar Bardales</t>
  </si>
  <si>
    <t>10/3 SJOOW</t>
  </si>
  <si>
    <t>659225584666</t>
  </si>
  <si>
    <t>Neil Harmon</t>
  </si>
  <si>
    <t>2 THHN COPPER</t>
  </si>
  <si>
    <t>659225584714</t>
  </si>
  <si>
    <t>Stephen Cooper</t>
  </si>
  <si>
    <t>4/4 SOOW 2x50</t>
  </si>
  <si>
    <t xml:space="preserve">659225584817  </t>
  </si>
  <si>
    <t xml:space="preserve">659225584828  </t>
  </si>
  <si>
    <t>Jason Gilles</t>
  </si>
  <si>
    <t xml:space="preserve">6/4 SOOW </t>
  </si>
  <si>
    <t>659225584747</t>
  </si>
  <si>
    <t>Jeremy J Eyre</t>
  </si>
  <si>
    <t>659225584596</t>
  </si>
  <si>
    <t>Michael Manna</t>
  </si>
  <si>
    <t>Notre Dame</t>
  </si>
  <si>
    <t>Ontario</t>
  </si>
  <si>
    <t>1Z0811790369588829</t>
  </si>
  <si>
    <t>Evay</t>
  </si>
  <si>
    <t>Jamie Baker</t>
  </si>
  <si>
    <t>Vassar</t>
  </si>
  <si>
    <t>659225584622</t>
  </si>
  <si>
    <t>Adam Wallis</t>
  </si>
  <si>
    <t>659225584758</t>
  </si>
  <si>
    <t>Jesse L Miller</t>
  </si>
  <si>
    <t>659225584585</t>
  </si>
  <si>
    <t>Graylin Schultheis</t>
  </si>
  <si>
    <t>14/5 VNTC</t>
  </si>
  <si>
    <t>A-Z</t>
  </si>
  <si>
    <t>650256477939</t>
  </si>
  <si>
    <t>Amazon</t>
  </si>
  <si>
    <t>Gopher State Cleaning</t>
  </si>
  <si>
    <t>6/4 SOOW 3x200</t>
  </si>
  <si>
    <t>Daniel Langevin</t>
  </si>
  <si>
    <t>1Z0811790368609638</t>
  </si>
  <si>
    <t>James J Sullivan</t>
  </si>
  <si>
    <t>2-2-2-4 SER AL WG</t>
  </si>
  <si>
    <t>R&amp;L/DLS</t>
  </si>
  <si>
    <t>I311786811</t>
  </si>
  <si>
    <t>Sage Smith</t>
  </si>
  <si>
    <t>Dyke</t>
  </si>
  <si>
    <t>659225584611</t>
  </si>
  <si>
    <t>Charlie Huber</t>
  </si>
  <si>
    <t>659225584633</t>
  </si>
  <si>
    <t>Lynn S Rinehart</t>
  </si>
  <si>
    <t>1Z0811790367253041</t>
  </si>
  <si>
    <t>Daniel Ringdahl</t>
  </si>
  <si>
    <t>2/3 GGC</t>
  </si>
  <si>
    <t>356095208</t>
  </si>
  <si>
    <t xml:space="preserve">wire cute $25 in freight column </t>
  </si>
  <si>
    <t>dan@fldrilling.com</t>
  </si>
  <si>
    <t>Dave Secrist</t>
  </si>
  <si>
    <t>500MCM Welding Cable</t>
  </si>
  <si>
    <t>FEDEX FREIGHT</t>
  </si>
  <si>
    <t>deposit of $400 paid...paid balance of $1363 on 1-7-16</t>
  </si>
  <si>
    <t>agonzalez@ihtcorp.com</t>
  </si>
  <si>
    <t>Harisahmed Brown</t>
  </si>
  <si>
    <t>16/2 White Security Cable</t>
  </si>
  <si>
    <t>1ZA6253X0340300795</t>
  </si>
  <si>
    <t>NYNE3@stores.fastenal.com</t>
  </si>
  <si>
    <t>12/2 White Security Cable</t>
  </si>
  <si>
    <t>1ZV147610348055740, 1ZV147610348557958, 	1ZV147610346474765, 1ZV147610347002174</t>
  </si>
  <si>
    <t>Kevin Weaver</t>
  </si>
  <si>
    <t>ABF</t>
  </si>
  <si>
    <t>kweaver@brewmation.com</t>
  </si>
  <si>
    <t>18/4 SOOW 2x250</t>
  </si>
  <si>
    <t>Raul Palma</t>
  </si>
  <si>
    <t>659225584600</t>
  </si>
  <si>
    <t>pastor@mca.tv</t>
  </si>
  <si>
    <t>Howard Weiss</t>
  </si>
  <si>
    <t>2-2-2-4 SER COPPER</t>
  </si>
  <si>
    <t>616712868783</t>
  </si>
  <si>
    <t>woodie.weiss@icloud.cm</t>
  </si>
  <si>
    <t>Discover</t>
  </si>
  <si>
    <t>John Hance Jr.</t>
  </si>
  <si>
    <t>6/4 SOOW UL/CSA</t>
  </si>
  <si>
    <t xml:space="preserve">	3904839024</t>
  </si>
  <si>
    <t>eeweejr@gmail.com</t>
  </si>
  <si>
    <t>Matthew Rogers</t>
  </si>
  <si>
    <t>659225584725</t>
  </si>
  <si>
    <t>Gary Collins</t>
  </si>
  <si>
    <t>8/4 SOOW</t>
  </si>
  <si>
    <t>659225584806</t>
  </si>
  <si>
    <t>2/0 XHHW AL</t>
  </si>
  <si>
    <t>644267282934</t>
  </si>
  <si>
    <t>4/0 XHHW AL</t>
  </si>
  <si>
    <t xml:space="preserve">	644267282945</t>
  </si>
  <si>
    <t>Erin Tibke</t>
  </si>
  <si>
    <t>Cat 5E 24/2P Gray Wire</t>
  </si>
  <si>
    <t>Vertical</t>
  </si>
  <si>
    <t>1Z0EW8010300075065, 1Z0EW8010300075074, 1Z0EW8010300075083</t>
  </si>
  <si>
    <t>NYGOV@stores.fastenal.com</t>
  </si>
  <si>
    <t>Noe Cuevas</t>
  </si>
  <si>
    <t>4/4 SOOW</t>
  </si>
  <si>
    <t>Shelby</t>
  </si>
  <si>
    <t>659225584839</t>
  </si>
  <si>
    <t>Gregory Allen Cushing</t>
  </si>
  <si>
    <t xml:space="preserve">6/3 SOOW </t>
  </si>
  <si>
    <t>659225584791</t>
  </si>
  <si>
    <t>Jim Kramer</t>
  </si>
  <si>
    <t>10/4 SOOW</t>
  </si>
  <si>
    <t>jim@bgs.cc</t>
  </si>
  <si>
    <t>Tim Feldkamp</t>
  </si>
  <si>
    <t>659225584861</t>
  </si>
  <si>
    <t>Michael K Nudo</t>
  </si>
  <si>
    <t>Conch</t>
  </si>
  <si>
    <t>Houston</t>
  </si>
  <si>
    <t>FEDEX</t>
  </si>
  <si>
    <t>543369474147</t>
  </si>
  <si>
    <t>Joseph J Walden</t>
  </si>
  <si>
    <t>659225584872</t>
  </si>
  <si>
    <t>Luis Fortuna</t>
  </si>
  <si>
    <t>14/9 MC W/GRND</t>
  </si>
  <si>
    <t>New York</t>
  </si>
  <si>
    <t>fortuna.citiwide@gmail.com</t>
  </si>
  <si>
    <t>Kirk Epps</t>
  </si>
  <si>
    <t>14/4 SOOW</t>
  </si>
  <si>
    <t>UPS GROUND</t>
  </si>
  <si>
    <t>1Z9X760X0361735920</t>
  </si>
  <si>
    <t>kirk@kingformcap.com</t>
  </si>
  <si>
    <t>Mastercard</t>
  </si>
  <si>
    <t>Dan Hicks</t>
  </si>
  <si>
    <t>750MCM THHN CU 3X255</t>
  </si>
  <si>
    <t>Brazil</t>
  </si>
  <si>
    <t>DUIE PYLE</t>
  </si>
  <si>
    <t>paid $5532.50. paid 2600 2.9.16</t>
  </si>
  <si>
    <t>dan@sun101solar.com</t>
  </si>
  <si>
    <t>Marshall Shannon</t>
  </si>
  <si>
    <t>1/0-4 Type G</t>
  </si>
  <si>
    <t>marshall@imagetechnology.net</t>
  </si>
  <si>
    <t>10/5 SOOW 4x100 1x124 1x104 1x84</t>
  </si>
  <si>
    <t>I448772121</t>
  </si>
  <si>
    <t>3000060A</t>
  </si>
  <si>
    <t>Vince Magguilli Jr.</t>
  </si>
  <si>
    <t>8/3 SOOW</t>
  </si>
  <si>
    <t>659225584920</t>
  </si>
  <si>
    <t>vincetheautodoctor@yahoo.com</t>
  </si>
  <si>
    <t>Eric Krugman</t>
  </si>
  <si>
    <t>ekrugman@gmail.com</t>
  </si>
  <si>
    <t>Jon Staehling</t>
  </si>
  <si>
    <t>659225584883</t>
  </si>
  <si>
    <t>Robert Clerihew</t>
  </si>
  <si>
    <t>12/3 SOOW 2x1000</t>
  </si>
  <si>
    <t>Fernando Jaimes Garcia</t>
  </si>
  <si>
    <t>659225584909</t>
  </si>
  <si>
    <t>Nancy Dillon</t>
  </si>
  <si>
    <t>659225584931</t>
  </si>
  <si>
    <t>nanoo.nanoo@yahoo.com</t>
  </si>
  <si>
    <t>Jeremy Zimmer</t>
  </si>
  <si>
    <t>18/12 Shielded TC-ER</t>
  </si>
  <si>
    <t>ODFL</t>
  </si>
  <si>
    <t>paid 03.14.2016</t>
  </si>
  <si>
    <t>jzimmer@wwrequip.com</t>
  </si>
  <si>
    <t>18/12 TC-ER</t>
  </si>
  <si>
    <t>18/15 TC-ER</t>
  </si>
  <si>
    <t>12/3 MC W/GRND W/PVC Jacket</t>
  </si>
  <si>
    <t>10/3 MC W/GRND W/PVC JACKET</t>
  </si>
  <si>
    <t>ESTES</t>
  </si>
  <si>
    <t>0230810029</t>
  </si>
  <si>
    <t>8/3 MC W/GRND W/PVC JACKET</t>
  </si>
  <si>
    <t>6/3 MC W/GRND W/PVC JACKET</t>
  </si>
  <si>
    <t>2/3 MC W/GRND W/PVC JACKET</t>
  </si>
  <si>
    <t>1/2" MC Class 1 Div 2 Connector TMCX050A</t>
  </si>
  <si>
    <t>UPS </t>
  </si>
  <si>
    <t>1Z6096310341529571</t>
  </si>
  <si>
    <t>3/4" MC Class 1 Div 2 Connector TMCX075A</t>
  </si>
  <si>
    <t>1" MC class 1 Div 2 Connector TMCX100A</t>
  </si>
  <si>
    <t>Alan Herrett</t>
  </si>
  <si>
    <t>Cable Americable VFD 14/3 CABLE W/GRD</t>
  </si>
  <si>
    <t>1Z2661690360571226</t>
  </si>
  <si>
    <t>paid 02.15.2016</t>
  </si>
  <si>
    <t>alan.herrett@mlssystems.com</t>
  </si>
  <si>
    <t>paid 02.23.2016</t>
  </si>
  <si>
    <t>Chris Knout</t>
  </si>
  <si>
    <t>10/4 VNTC W/K1Color Code</t>
  </si>
  <si>
    <t>chris@lockingpowercord.com</t>
  </si>
  <si>
    <t>Donald Crozier</t>
  </si>
  <si>
    <t>18/9 VNTC 2x1500</t>
  </si>
  <si>
    <t>PYLE</t>
  </si>
  <si>
    <t>don@lakesiderefrigerated.com</t>
  </si>
  <si>
    <t>Jake Bunker</t>
  </si>
  <si>
    <t>2/4 Type W</t>
  </si>
  <si>
    <t>OLD DOMINION</t>
  </si>
  <si>
    <t>16202039497</t>
  </si>
  <si>
    <t>Marc Kirshman</t>
  </si>
  <si>
    <t>Lori Brower</t>
  </si>
  <si>
    <t xml:space="preserve">12/3 SOOW </t>
  </si>
  <si>
    <t>659225584964</t>
  </si>
  <si>
    <t>Chris Thorn</t>
  </si>
  <si>
    <t>659225584953'</t>
  </si>
  <si>
    <t>Morgan Ridell</t>
  </si>
  <si>
    <t>4/3 Metal Clad Cable W/GRND</t>
  </si>
  <si>
    <t>SAIA</t>
  </si>
  <si>
    <t>009545049904</t>
  </si>
  <si>
    <t>Dale Thompson</t>
  </si>
  <si>
    <t xml:space="preserve">1/3 VNTC W/GRND </t>
  </si>
  <si>
    <t>detdds@aol.com</t>
  </si>
  <si>
    <t xml:space="preserve">1 XLP USE CU </t>
  </si>
  <si>
    <t>Adam Merkley</t>
  </si>
  <si>
    <t>659225584986</t>
  </si>
  <si>
    <t>merkleyadam@yahoo.com</t>
  </si>
  <si>
    <t>Mohammed Jamal Misbeh</t>
  </si>
  <si>
    <t>14/9 VNTC</t>
  </si>
  <si>
    <t>647608626112</t>
  </si>
  <si>
    <t>David R LeMay</t>
  </si>
  <si>
    <t>659225585077</t>
  </si>
  <si>
    <t>Jeff Davis</t>
  </si>
  <si>
    <t>659225585055</t>
  </si>
  <si>
    <t>Sherry Smith</t>
  </si>
  <si>
    <t>659225585066</t>
  </si>
  <si>
    <t>Erin Gestl</t>
  </si>
  <si>
    <t>16/4 VNTC</t>
  </si>
  <si>
    <t>616712868897</t>
  </si>
  <si>
    <t>egestl@wcupa.edu</t>
  </si>
  <si>
    <t>Dennis Vosburg</t>
  </si>
  <si>
    <t>Converse</t>
  </si>
  <si>
    <t>3649818933</t>
  </si>
  <si>
    <t>dennis@raineyvalleyfarm.com</t>
  </si>
  <si>
    <t>Mercer</t>
  </si>
  <si>
    <t>Thomas Wysocki</t>
  </si>
  <si>
    <t>18/6 VNTC</t>
  </si>
  <si>
    <t>1ZA6253X0340588226</t>
  </si>
  <si>
    <t>tom@wysockielectric.com</t>
  </si>
  <si>
    <t>Kevin Buck</t>
  </si>
  <si>
    <t>6/3 SOOW</t>
  </si>
  <si>
    <t>659225585033</t>
  </si>
  <si>
    <t>659225585022'</t>
  </si>
  <si>
    <t>Dan Spilman</t>
  </si>
  <si>
    <t>Fulton</t>
  </si>
  <si>
    <t>2709567696</t>
  </si>
  <si>
    <t>Robert Baten</t>
  </si>
  <si>
    <t>Voluta</t>
  </si>
  <si>
    <t>659225585088</t>
  </si>
  <si>
    <t>Gary Hollen</t>
  </si>
  <si>
    <t>Ramapo 2x100</t>
  </si>
  <si>
    <t xml:space="preserve">659225585099  </t>
  </si>
  <si>
    <t>659225585103</t>
  </si>
  <si>
    <t>Jeremiah Oney Jr</t>
  </si>
  <si>
    <t>2/0 Welding Cable</t>
  </si>
  <si>
    <t>659225584997</t>
  </si>
  <si>
    <t>Thomas Schlaefer</t>
  </si>
  <si>
    <t>3-3-3-5 SER CU</t>
  </si>
  <si>
    <t>1ZA6253X0342798611</t>
  </si>
  <si>
    <t>Clay Stuckey</t>
  </si>
  <si>
    <t>12/3 SJOOW</t>
  </si>
  <si>
    <t>659225585011</t>
  </si>
  <si>
    <t>Jay Schumacher</t>
  </si>
  <si>
    <t>659225585000</t>
  </si>
  <si>
    <t>Gary Curavoo</t>
  </si>
  <si>
    <t>609851486117</t>
  </si>
  <si>
    <t>Tim Vigil</t>
  </si>
  <si>
    <t>2709567685</t>
  </si>
  <si>
    <t>Todd Kuvshunikov</t>
  </si>
  <si>
    <t>616712868875</t>
  </si>
  <si>
    <t>Steve Walczak</t>
  </si>
  <si>
    <t>14/4 SEOOW</t>
  </si>
  <si>
    <t>NEW PENN</t>
  </si>
  <si>
    <t>86788600</t>
  </si>
  <si>
    <t>Randy Waycaster</t>
  </si>
  <si>
    <t>16-4 Security Stranded Shielded PVC CL3R Copper Conductor Cable Wire</t>
  </si>
  <si>
    <t>543369474217</t>
  </si>
  <si>
    <t>William Clark III</t>
  </si>
  <si>
    <t>6-6-6-6 SER CU</t>
  </si>
  <si>
    <t>614697957500</t>
  </si>
  <si>
    <t>Tomer Tzur</t>
  </si>
  <si>
    <t>3/0 XHHW AL</t>
  </si>
  <si>
    <t>FEDEX PRIORITY</t>
  </si>
  <si>
    <t>3653243086</t>
  </si>
  <si>
    <t>Bjarne Bergheim</t>
  </si>
  <si>
    <t>614697957495</t>
  </si>
  <si>
    <t>Andrew Burkhart</t>
  </si>
  <si>
    <t>12/2 NM-B WG</t>
  </si>
  <si>
    <t>584446610897</t>
  </si>
  <si>
    <t>Danny Hanson</t>
  </si>
  <si>
    <t>16/9 SOOW</t>
  </si>
  <si>
    <t>624863823481</t>
  </si>
  <si>
    <t>danny.hanson@exel.com</t>
  </si>
  <si>
    <t>Darryl Veal</t>
  </si>
  <si>
    <t xml:space="preserve">Ramapo </t>
  </si>
  <si>
    <t>659225585114</t>
  </si>
  <si>
    <t>grannacindy@tds.net</t>
  </si>
  <si>
    <t>Cody Bailey</t>
  </si>
  <si>
    <t>Palomino</t>
  </si>
  <si>
    <t>648940079242</t>
  </si>
  <si>
    <t xml:space="preserve">
codysbailey@hotmail.com</t>
  </si>
  <si>
    <t>2-2-2-4 AL SER</t>
  </si>
  <si>
    <t>659225585158</t>
  </si>
  <si>
    <t>3000106A</t>
  </si>
  <si>
    <t>Thomas Siegrist</t>
  </si>
  <si>
    <t>14/10 SOOW</t>
  </si>
  <si>
    <t>648940079231</t>
  </si>
  <si>
    <t>siegrist970@hotmail.com</t>
  </si>
  <si>
    <t>Richard Gunnels</t>
  </si>
  <si>
    <t>659225585136</t>
  </si>
  <si>
    <t>John Gallagher</t>
  </si>
  <si>
    <t>Kings</t>
  </si>
  <si>
    <t>NEMF/DLS</t>
  </si>
  <si>
    <t>jgallagher@schimenti.com</t>
  </si>
  <si>
    <t>Michael Technologies</t>
  </si>
  <si>
    <t>1 THHN COPPER</t>
  </si>
  <si>
    <t>659225585169</t>
  </si>
  <si>
    <t>Huey Ho</t>
  </si>
  <si>
    <t>18/15 VNTC Tray Cable</t>
  </si>
  <si>
    <t>1Z8802920350556918</t>
  </si>
  <si>
    <t>aoldinc2015@gmail.com</t>
  </si>
  <si>
    <t>Daniel RIngdahl</t>
  </si>
  <si>
    <t>Troy Day</t>
  </si>
  <si>
    <t>659225585125</t>
  </si>
  <si>
    <t>tmday7@yahoo.com</t>
  </si>
  <si>
    <t>Robert Tsai</t>
  </si>
  <si>
    <t xml:space="preserve">1/0 DLO </t>
  </si>
  <si>
    <t>1Z19X16R0345502674</t>
  </si>
  <si>
    <t>domiela@biscoind.com</t>
  </si>
  <si>
    <t>Safe Air Technology</t>
  </si>
  <si>
    <t>12/18 CCW</t>
  </si>
  <si>
    <t>585575947604</t>
  </si>
  <si>
    <t>donna@explosionproof.net</t>
  </si>
  <si>
    <t>Joe Pellouchoud</t>
  </si>
  <si>
    <t>300MCM XLP USE CU</t>
  </si>
  <si>
    <t>llpeoj@gmail.com</t>
  </si>
  <si>
    <t>Orion Grimmer</t>
  </si>
  <si>
    <t>Monmouth</t>
  </si>
  <si>
    <t>2709579180</t>
  </si>
  <si>
    <t>we will pick up - 314-440-8681</t>
  </si>
  <si>
    <t>ogwesthaven@yahoo.com</t>
  </si>
  <si>
    <t>Tobey Butler</t>
  </si>
  <si>
    <t>1/0 Welding Cable 2x100</t>
  </si>
  <si>
    <t>659225585191</t>
  </si>
  <si>
    <t>tobey@longacreracing.com</t>
  </si>
  <si>
    <t>Anthony Arts</t>
  </si>
  <si>
    <t>Shepherd</t>
  </si>
  <si>
    <t xml:space="preserve">	648940079356</t>
  </si>
  <si>
    <t>acatarts@msn.com</t>
  </si>
  <si>
    <t>Edward Hass</t>
  </si>
  <si>
    <t>659225585170</t>
  </si>
  <si>
    <t>Loren Salsgiver</t>
  </si>
  <si>
    <t>12/4 NM-B W/GRND</t>
  </si>
  <si>
    <t>1ze297040364654572</t>
  </si>
  <si>
    <t>Mario Luarte</t>
  </si>
  <si>
    <t>2/0-2/0-2/0-1 SER AL</t>
  </si>
  <si>
    <t>659225585180</t>
  </si>
  <si>
    <t>Donald Grimm</t>
  </si>
  <si>
    <t>2-2-2-4 SER CU</t>
  </si>
  <si>
    <t>616712868967</t>
  </si>
  <si>
    <t>0272071068</t>
  </si>
  <si>
    <t>matt.colker@wvaelectric.com</t>
  </si>
  <si>
    <t>paid 02.05.2016</t>
  </si>
  <si>
    <t>4/0-4/0-4/0-2/0 SER AL 1x990 1x988 1x879</t>
  </si>
  <si>
    <t>Wire</t>
  </si>
  <si>
    <t>Paul Mullender</t>
  </si>
  <si>
    <t>14AWG 7 Core Interlocked Armor</t>
  </si>
  <si>
    <t>R &amp; L</t>
  </si>
  <si>
    <t>14AWG 3 Core Interlocked Armor</t>
  </si>
  <si>
    <t>I445338747</t>
  </si>
  <si>
    <t>14AWG 19 Core Interlocked Armor</t>
  </si>
  <si>
    <t>10AWG 4 Core Interlocked Armor</t>
  </si>
  <si>
    <t>12AWG 4 Core Interlocked Armor</t>
  </si>
  <si>
    <t>Jeff Register</t>
  </si>
  <si>
    <t>R&amp;L</t>
  </si>
  <si>
    <t>I448771671</t>
  </si>
  <si>
    <t>John C Kelly Sr</t>
  </si>
  <si>
    <t>659225585239</t>
  </si>
  <si>
    <t>Larry DePover</t>
  </si>
  <si>
    <t>2-2-2-4 Mobile Home</t>
  </si>
  <si>
    <t xml:space="preserve">	648940079378</t>
  </si>
  <si>
    <t>revoped@gmx.com</t>
  </si>
  <si>
    <t xml:space="preserve">Check </t>
  </si>
  <si>
    <t>Jon Gordon</t>
  </si>
  <si>
    <t>300MCM XHHW AL</t>
  </si>
  <si>
    <t>AAA COOPER</t>
  </si>
  <si>
    <t>jgordon@arthurgordonelectric.com</t>
  </si>
  <si>
    <t>502-899-9583 fax</t>
  </si>
  <si>
    <t>paid 01.19.2016</t>
  </si>
  <si>
    <t>2 XHHW AL</t>
  </si>
  <si>
    <t>Kenneth Bawalda</t>
  </si>
  <si>
    <t>8/2 UF-B W/GRND</t>
  </si>
  <si>
    <t>659225585250</t>
  </si>
  <si>
    <t>kbuwalda@coolray.com</t>
  </si>
  <si>
    <t>10/3 VNTC</t>
  </si>
  <si>
    <t xml:space="preserve">659225585261  </t>
  </si>
  <si>
    <t>12/3 VNTC</t>
  </si>
  <si>
    <t>659225585272</t>
  </si>
  <si>
    <t>Austin Ware</t>
  </si>
  <si>
    <t>10/3 SOOW</t>
  </si>
  <si>
    <t>659225585217</t>
  </si>
  <si>
    <t>aw@arch-mill.com</t>
  </si>
  <si>
    <t>10/4 SJOOW</t>
  </si>
  <si>
    <t>8/4 Type W</t>
  </si>
  <si>
    <t>1Z9X760X0363493545</t>
  </si>
  <si>
    <t>3000131A</t>
  </si>
  <si>
    <t>6/4 Type W</t>
  </si>
  <si>
    <t>1Z0811790368915057</t>
  </si>
  <si>
    <t>3000131B $5 Wire Cut</t>
  </si>
  <si>
    <t>Richard Williams</t>
  </si>
  <si>
    <t>Direct</t>
  </si>
  <si>
    <t>Central Transport</t>
  </si>
  <si>
    <t>wwgenerators@yahoo.com</t>
  </si>
  <si>
    <t>Del Dannels</t>
  </si>
  <si>
    <t>Brenau</t>
  </si>
  <si>
    <t>Putnam</t>
  </si>
  <si>
    <t>659225585309</t>
  </si>
  <si>
    <t>Mario Adame</t>
  </si>
  <si>
    <t>14/4 SJOOW</t>
  </si>
  <si>
    <t>9612417494124880447788</t>
  </si>
  <si>
    <t>643758103896</t>
  </si>
  <si>
    <t>3000134A</t>
  </si>
  <si>
    <t>Michael Pletcher</t>
  </si>
  <si>
    <t>10/4 SJOOW Yellow</t>
  </si>
  <si>
    <t>663629795727</t>
  </si>
  <si>
    <t>Bobby Owens</t>
  </si>
  <si>
    <t>2/0-2/0-2/0-1 SER CU</t>
  </si>
  <si>
    <t>609851486470</t>
  </si>
  <si>
    <t>Stephen Shedlock</t>
  </si>
  <si>
    <t>8/2 MC W/GRND</t>
  </si>
  <si>
    <t>AFC</t>
  </si>
  <si>
    <t>139648130390540</t>
  </si>
  <si>
    <t>Randy Ellis</t>
  </si>
  <si>
    <t>659225585206</t>
  </si>
  <si>
    <t>Stephen Theriault</t>
  </si>
  <si>
    <t>6/5 SOOW</t>
  </si>
  <si>
    <t>659225585228</t>
  </si>
  <si>
    <t>Harold Ray Worshom</t>
  </si>
  <si>
    <t>10/7 VNTC</t>
  </si>
  <si>
    <t>Giles</t>
  </si>
  <si>
    <t>659225585283</t>
  </si>
  <si>
    <t>Eldon Providence</t>
  </si>
  <si>
    <t>3/0 THHN COPPER</t>
  </si>
  <si>
    <t>I400959252</t>
  </si>
  <si>
    <t>oliverbuggs@viaccess.net</t>
  </si>
  <si>
    <t>Greg Riddell</t>
  </si>
  <si>
    <t>14/2 Metal Clad Cable 2x1000</t>
  </si>
  <si>
    <t>Nexans</t>
  </si>
  <si>
    <t>CONWAY</t>
  </si>
  <si>
    <t>594864244</t>
  </si>
  <si>
    <t>Therese Covell</t>
  </si>
  <si>
    <t>Belden 5302UE 18/4 Control Cable</t>
  </si>
  <si>
    <t>Omni</t>
  </si>
  <si>
    <t>635556954002</t>
  </si>
  <si>
    <t>Thomas Newsorn</t>
  </si>
  <si>
    <t>4/3 VNTC</t>
  </si>
  <si>
    <t>626645158739</t>
  </si>
  <si>
    <t>Lana Griffin</t>
  </si>
  <si>
    <t>647608626189</t>
  </si>
  <si>
    <t>Manor Electric</t>
  </si>
  <si>
    <t>paid 01.26.2016</t>
  </si>
  <si>
    <t>12/3 SJOOW 3x250</t>
  </si>
  <si>
    <t>14/3 SJOOW 1x 1000 1x 500</t>
  </si>
  <si>
    <t>14/4 SJOOW 4x250</t>
  </si>
  <si>
    <t>1Z9VA6380321223718
 1Z9VA6380321223727
 1Z9VA6380321223736
 1Z9VA6380321223745</t>
  </si>
  <si>
    <t>we will pick up 3000146B</t>
  </si>
  <si>
    <t>10/4 SJOOW 3x250</t>
  </si>
  <si>
    <t>18956144</t>
  </si>
  <si>
    <t>16/3 SJOOW 3x250</t>
  </si>
  <si>
    <t>16/4 SJOOW 3x250</t>
  </si>
  <si>
    <t>delivered 1.11.2016</t>
  </si>
  <si>
    <t>delivered 01.11.2016</t>
  </si>
  <si>
    <t>3000146A</t>
  </si>
  <si>
    <t>18/3 SJOOW 3x250</t>
  </si>
  <si>
    <t>18/4 SJOOW 2x250</t>
  </si>
  <si>
    <t xml:space="preserve">12/4 SJOOW </t>
  </si>
  <si>
    <t>1/0 THHN GREEN</t>
  </si>
  <si>
    <t>500MCM THHN CU</t>
  </si>
  <si>
    <t>Delivered 1/11/16</t>
  </si>
  <si>
    <t>DJ Stansfield</t>
  </si>
  <si>
    <t xml:space="preserve">16/4 SJOOW </t>
  </si>
  <si>
    <t>1Z0811790371000510</t>
  </si>
  <si>
    <t>dj.stansfield@elriusa.com</t>
  </si>
  <si>
    <t>Stephanie Giang</t>
  </si>
  <si>
    <t>16/2 SPOS 600V</t>
  </si>
  <si>
    <t xml:space="preserve">	574454189313</t>
  </si>
  <si>
    <t>stephanie.giang@smartwires.com</t>
  </si>
  <si>
    <t>William Gordon</t>
  </si>
  <si>
    <t>4/0 Type W</t>
  </si>
  <si>
    <t>CENTRAL TRANSPORT</t>
  </si>
  <si>
    <t>215-8991883-4</t>
  </si>
  <si>
    <t>wgordon@neatheat.com</t>
  </si>
  <si>
    <t>John Ben Ballard</t>
  </si>
  <si>
    <t>#8 DLO</t>
  </si>
  <si>
    <t>620670933660</t>
  </si>
  <si>
    <t>ben.ballard@dnr.ga.gov</t>
  </si>
  <si>
    <t>Jeff Howard</t>
  </si>
  <si>
    <t>10/5 SOOW</t>
  </si>
  <si>
    <t>2709579272</t>
  </si>
  <si>
    <t>echo5029@hotmail.com</t>
  </si>
  <si>
    <t>1/0 Type W 1x 528 1x 474</t>
  </si>
  <si>
    <t>3621879413</t>
  </si>
  <si>
    <t>3000151A we will pick up</t>
  </si>
  <si>
    <t>Paypal</t>
  </si>
  <si>
    <t>Jack Schmeiser</t>
  </si>
  <si>
    <t>1/0 THHN Green</t>
  </si>
  <si>
    <t>659225585310</t>
  </si>
  <si>
    <t>impactjac@gmail.com</t>
  </si>
  <si>
    <t>Nathan Dowling</t>
  </si>
  <si>
    <t>1 Welding Red</t>
  </si>
  <si>
    <t>1Z2561890346480771</t>
  </si>
  <si>
    <t>VIsa</t>
  </si>
  <si>
    <t>Robert Rhoads</t>
  </si>
  <si>
    <t>12/4 MC W/Grnd</t>
  </si>
  <si>
    <t>643758103900</t>
  </si>
  <si>
    <t>ROBERTR19722@GMAIL.COM</t>
  </si>
  <si>
    <t>Vinny</t>
  </si>
  <si>
    <t>Rider</t>
  </si>
  <si>
    <t>CROWN TRUCK</t>
  </si>
  <si>
    <t>Russ Helfer</t>
  </si>
  <si>
    <t>1/0-3 Type G-GC 1 x 1600</t>
  </si>
  <si>
    <t>Due Pyle</t>
  </si>
  <si>
    <t>350/3 Type G-GC</t>
  </si>
  <si>
    <t>YRC </t>
  </si>
  <si>
    <t xml:space="preserve">waiting to bill out balance for 1/0-3 ggc </t>
  </si>
  <si>
    <t>1 XLP USE CU</t>
  </si>
  <si>
    <t>NEMF</t>
  </si>
  <si>
    <t>paid $36756.00</t>
  </si>
  <si>
    <t>12/3 XLP PVC</t>
  </si>
  <si>
    <t>659225585412</t>
  </si>
  <si>
    <t>3000156B</t>
  </si>
  <si>
    <t>500MCM XLP USE CU</t>
  </si>
  <si>
    <t>Republic</t>
  </si>
  <si>
    <t>324-326494</t>
  </si>
  <si>
    <t>Laura Fain</t>
  </si>
  <si>
    <t>16326546</t>
  </si>
  <si>
    <t>THIS IS NOT COMPLETE ORDER</t>
  </si>
  <si>
    <t>brianfain13@aol.com</t>
  </si>
  <si>
    <t>Todd Erb</t>
  </si>
  <si>
    <t>659225585320</t>
  </si>
  <si>
    <t>testoneproducts@echoes.net</t>
  </si>
  <si>
    <t>Alex Pellerito</t>
  </si>
  <si>
    <t>2709579261</t>
  </si>
  <si>
    <t>alex@protank.net</t>
  </si>
  <si>
    <t>John LaQuiere</t>
  </si>
  <si>
    <t>659225585364</t>
  </si>
  <si>
    <t>Stewart Sayah</t>
  </si>
  <si>
    <t>659225585331</t>
  </si>
  <si>
    <t>Kurt Wagner</t>
  </si>
  <si>
    <t>659225585375</t>
  </si>
  <si>
    <t>Becky Stuettgen</t>
  </si>
  <si>
    <t>659225585397</t>
  </si>
  <si>
    <t>White Kinght</t>
  </si>
  <si>
    <t>659225585353</t>
  </si>
  <si>
    <t>Marvin Plotzka</t>
  </si>
  <si>
    <t>659225585342</t>
  </si>
  <si>
    <t>Ernest R Coryell</t>
  </si>
  <si>
    <t>659225585401</t>
  </si>
  <si>
    <t>Robert Smith</t>
  </si>
  <si>
    <t>659225585386</t>
  </si>
  <si>
    <t>Design Stein</t>
  </si>
  <si>
    <t>12/3 SJOOW Yellow</t>
  </si>
  <si>
    <t>1Z9X760X0363343813</t>
  </si>
  <si>
    <t>Samuel Sandoval</t>
  </si>
  <si>
    <t>Committed</t>
  </si>
  <si>
    <t>Customer Pick Up</t>
  </si>
  <si>
    <t>elec3phase@gmail.com</t>
  </si>
  <si>
    <t>Thomas Reres</t>
  </si>
  <si>
    <t>DLO 373 MCM BLK 4' WITH MALE ONLY</t>
  </si>
  <si>
    <t>VOLPE</t>
  </si>
  <si>
    <t>31443576</t>
  </si>
  <si>
    <t>billed out 12.22.2015 under # 1020709</t>
  </si>
  <si>
    <t>DLO 373 MCM BLK 50' W/2 CONNECTORS LEV 17 D22-E &amp; LEV 17 D24-E</t>
  </si>
  <si>
    <t>James Bartholomew</t>
  </si>
  <si>
    <t>1Z0811790372526282</t>
  </si>
  <si>
    <t>jbart0016@hotmail.com</t>
  </si>
  <si>
    <t>Jason Root</t>
  </si>
  <si>
    <t>jaroot@vt.edu</t>
  </si>
  <si>
    <t>Bryan Kiest</t>
  </si>
  <si>
    <t>659225585592</t>
  </si>
  <si>
    <t>warffme@netscape.net</t>
  </si>
  <si>
    <t>Marco Maya</t>
  </si>
  <si>
    <t>659225585467</t>
  </si>
  <si>
    <t>marco_maya@sbcglobal.net</t>
  </si>
  <si>
    <t>Recco Tool &amp; Supply</t>
  </si>
  <si>
    <t>47224350</t>
  </si>
  <si>
    <t>reccotoolandsupply@comcast.net</t>
  </si>
  <si>
    <t>Sumcab</t>
  </si>
  <si>
    <t>500MCM THHN CU 3x 492</t>
  </si>
  <si>
    <t>776580265</t>
  </si>
  <si>
    <t>paid 02.22.2016</t>
  </si>
  <si>
    <t>laia@sumcab.com</t>
  </si>
  <si>
    <t>Gallant and Wein</t>
  </si>
  <si>
    <t>2/5 SOOW</t>
  </si>
  <si>
    <t>FEDEX ECON/ECHO</t>
  </si>
  <si>
    <t>2709560722</t>
  </si>
  <si>
    <t>paid 03.22.2016</t>
  </si>
  <si>
    <t>600 THHN AL YELLOW</t>
  </si>
  <si>
    <t>600 XHHW AL GRAY</t>
  </si>
  <si>
    <t>600 XHHW AL BLACK</t>
  </si>
  <si>
    <t>600 XHHW AL YELLOW 2x199 1x765</t>
  </si>
  <si>
    <t>600 XHHW AL BROWN</t>
  </si>
  <si>
    <t>350 XHHW AL BLACK 1x175 1x195</t>
  </si>
  <si>
    <t>Jean Crawford</t>
  </si>
  <si>
    <t>6 XLP USE ORANGE</t>
  </si>
  <si>
    <t>659225585662</t>
  </si>
  <si>
    <t>jeancrawford53@yahoo.com</t>
  </si>
  <si>
    <t>Tom Garrison</t>
  </si>
  <si>
    <t>659225585695</t>
  </si>
  <si>
    <t>Shira Michael</t>
  </si>
  <si>
    <t>659225585560</t>
  </si>
  <si>
    <t>Shirley R Bohn</t>
  </si>
  <si>
    <t>1Z9X760X0362108712</t>
  </si>
  <si>
    <t>Chris Mello</t>
  </si>
  <si>
    <t>659225585630</t>
  </si>
  <si>
    <t>Rebecca Morgan</t>
  </si>
  <si>
    <t>12/3 VNTC Shielded</t>
  </si>
  <si>
    <t>614697957782</t>
  </si>
  <si>
    <t>Pat Robinson</t>
  </si>
  <si>
    <t>647608626318</t>
  </si>
  <si>
    <t>Joe Bongiovanni</t>
  </si>
  <si>
    <t>659225585629</t>
  </si>
  <si>
    <t>Marty Visto</t>
  </si>
  <si>
    <t>659225585559</t>
  </si>
  <si>
    <t>Patrick Butler</t>
  </si>
  <si>
    <t>1Z28X7X90367189615</t>
  </si>
  <si>
    <t>Daylin Risch</t>
  </si>
  <si>
    <t>659225585526</t>
  </si>
  <si>
    <t>Alan Kempers</t>
  </si>
  <si>
    <t>659225585618</t>
  </si>
  <si>
    <t>Susan Wade</t>
  </si>
  <si>
    <t>659225585515</t>
  </si>
  <si>
    <t>Simon Ittah</t>
  </si>
  <si>
    <t>18/3 SOOW</t>
  </si>
  <si>
    <t>659225585548</t>
  </si>
  <si>
    <t>Michael Hopewell</t>
  </si>
  <si>
    <t>659225585537</t>
  </si>
  <si>
    <t>Tim Shepherd</t>
  </si>
  <si>
    <t>Ramapo</t>
  </si>
  <si>
    <t>659225585640</t>
  </si>
  <si>
    <t>Kirk Fletcher</t>
  </si>
  <si>
    <t>3 THHN COPPER</t>
  </si>
  <si>
    <t>659225585700</t>
  </si>
  <si>
    <t>Vernon Schroeder</t>
  </si>
  <si>
    <t>4/0 THHN COPPER</t>
  </si>
  <si>
    <t>I400959261</t>
  </si>
  <si>
    <t>Scott Cribbs</t>
  </si>
  <si>
    <t>14/3 SJOOW 2x1000</t>
  </si>
  <si>
    <t xml:space="preserve"> 659225585570  </t>
  </si>
  <si>
    <t xml:space="preserve">659225585581  </t>
  </si>
  <si>
    <t>Michael Lancor</t>
  </si>
  <si>
    <t>659225585710</t>
  </si>
  <si>
    <t>Michael Hays</t>
  </si>
  <si>
    <t>16-2 Security Cable Shielded CL3P PVC Insulated Type UL Wire 2x500</t>
  </si>
  <si>
    <t>1ZA40Y730341419768</t>
  </si>
  <si>
    <t>George Wallace</t>
  </si>
  <si>
    <t xml:space="preserve">	609851487411</t>
  </si>
  <si>
    <t>geowal3@hotmail.com</t>
  </si>
  <si>
    <t>Royce Dennington</t>
  </si>
  <si>
    <t>18/12 SOOW</t>
  </si>
  <si>
    <t>LTL</t>
  </si>
  <si>
    <t>No Pro #</t>
  </si>
  <si>
    <t>royce918@gmail.com</t>
  </si>
  <si>
    <t>Sterling McCord</t>
  </si>
  <si>
    <t>Alpha 1180C</t>
  </si>
  <si>
    <t>Wirexpress</t>
  </si>
  <si>
    <t>1ZE77A140348719542</t>
  </si>
  <si>
    <t>info@bendelectricbikes.com</t>
  </si>
  <si>
    <t>Susan Fischer</t>
  </si>
  <si>
    <t>2/4 SOOW</t>
  </si>
  <si>
    <t>659225585732</t>
  </si>
  <si>
    <t>suzyfischer@live.com</t>
  </si>
  <si>
    <t>Robert Krzykawski</t>
  </si>
  <si>
    <t>08307743677</t>
  </si>
  <si>
    <t>krzykawski@gmail.com</t>
  </si>
  <si>
    <t>Michael Butler</t>
  </si>
  <si>
    <t>614697957841</t>
  </si>
  <si>
    <t>atom1smasher@optonline.net</t>
  </si>
  <si>
    <t>Thomas Rader</t>
  </si>
  <si>
    <t>1-1-1-3 SER CU</t>
  </si>
  <si>
    <t>1Z28X7X90367387713</t>
  </si>
  <si>
    <t>tgrader@gmail.com</t>
  </si>
  <si>
    <t>Chad Reutzel</t>
  </si>
  <si>
    <t>Rust</t>
  </si>
  <si>
    <t>PITT OHIO/DLS</t>
  </si>
  <si>
    <t>reutzelc@yahoo.com</t>
  </si>
  <si>
    <t>Erskine</t>
  </si>
  <si>
    <t>Rick Goodwin</t>
  </si>
  <si>
    <t>659225585651</t>
  </si>
  <si>
    <t>Larry Fairfax</t>
  </si>
  <si>
    <t>659225585721</t>
  </si>
  <si>
    <t>Perrin Dental Lab</t>
  </si>
  <si>
    <t>659225585607</t>
  </si>
  <si>
    <t>663629795407</t>
  </si>
  <si>
    <t>3000209A</t>
  </si>
  <si>
    <t>Vincent Governale</t>
  </si>
  <si>
    <t>6/3 MC W/GRND</t>
  </si>
  <si>
    <t>Gallant</t>
  </si>
  <si>
    <t>Delivered 1/13/16</t>
  </si>
  <si>
    <t>bastiat96@gmail.com</t>
  </si>
  <si>
    <t>Mitchell Logging</t>
  </si>
  <si>
    <t>4/3 SOOW 1x38 1x23</t>
  </si>
  <si>
    <t>659225585754</t>
  </si>
  <si>
    <t>659225585765</t>
  </si>
  <si>
    <t>jmlogging@yahoo.com</t>
  </si>
  <si>
    <t>James Aycock</t>
  </si>
  <si>
    <t>659225585857</t>
  </si>
  <si>
    <t>Greg Crampton</t>
  </si>
  <si>
    <t xml:space="preserve">4/0 DLO </t>
  </si>
  <si>
    <t>brucec@cramptonelectric.com</t>
  </si>
  <si>
    <t>Marcus Staley</t>
  </si>
  <si>
    <t>614697957874</t>
  </si>
  <si>
    <t>mstaley75@yahoo.com</t>
  </si>
  <si>
    <t>Thelma Industries</t>
  </si>
  <si>
    <t>16/3 SJEOOW Suprene Yellow 300V</t>
  </si>
  <si>
    <t>FEDEX PRIORITY/DLS</t>
  </si>
  <si>
    <t>2476118411</t>
  </si>
  <si>
    <t>southwire - 3000215A</t>
  </si>
  <si>
    <t>richard@thelma.com.sg</t>
  </si>
  <si>
    <t>14/3 SJEOOW Suprene Yellow 300V</t>
  </si>
  <si>
    <t>624863824970</t>
  </si>
  <si>
    <t>624863824992</t>
  </si>
  <si>
    <t>12/3 SJEOOW Suprene Yellow 300V</t>
  </si>
  <si>
    <t>Southwire/A-Z</t>
  </si>
  <si>
    <t>FEDEX GROUND (A-Z)</t>
  </si>
  <si>
    <t>624863824981</t>
  </si>
  <si>
    <t>1000ft - southwire</t>
  </si>
  <si>
    <t>8/4 SEOOW Suprene 600V</t>
  </si>
  <si>
    <t>southwire, we will pick up</t>
  </si>
  <si>
    <t>Jospeh J Pereira</t>
  </si>
  <si>
    <t>659225585813</t>
  </si>
  <si>
    <t>Don Laycock</t>
  </si>
  <si>
    <t>1ZE412720376198286</t>
  </si>
  <si>
    <t>Kathy Cole</t>
  </si>
  <si>
    <t>2 Welding Cable Orange Ultra-Flex</t>
  </si>
  <si>
    <t>Kalas</t>
  </si>
  <si>
    <t xml:space="preserve">775425521520  </t>
  </si>
  <si>
    <t>Tim Bowcamp</t>
  </si>
  <si>
    <t>659225585868</t>
  </si>
  <si>
    <t>Charles Smith</t>
  </si>
  <si>
    <t>659225585802</t>
  </si>
  <si>
    <t>Dan Aakre</t>
  </si>
  <si>
    <t>659225585916</t>
  </si>
  <si>
    <t>Alesia King</t>
  </si>
  <si>
    <t>659225585798</t>
  </si>
  <si>
    <t>Trey Bowling</t>
  </si>
  <si>
    <t>659225585880</t>
  </si>
  <si>
    <t>Lawrence Hillman</t>
  </si>
  <si>
    <t>4-4-4-6 SER AL</t>
  </si>
  <si>
    <t>647608626395</t>
  </si>
  <si>
    <t>Michael Sullivan</t>
  </si>
  <si>
    <t>WARD</t>
  </si>
  <si>
    <t>0053164447</t>
  </si>
  <si>
    <t>msullivan@metrowestpower.com</t>
  </si>
  <si>
    <t>659225585835</t>
  </si>
  <si>
    <t>James T Weeks</t>
  </si>
  <si>
    <t>PITT OHIO/ECHO</t>
  </si>
  <si>
    <t>5009917855</t>
  </si>
  <si>
    <t>jamesweeks118@hotmail.com</t>
  </si>
  <si>
    <t>10/3 SOOW Yellow</t>
  </si>
  <si>
    <t>785419373</t>
  </si>
  <si>
    <t>3000227A</t>
  </si>
  <si>
    <t>Innovation Cabinetry</t>
  </si>
  <si>
    <t>4 XLP USE AL</t>
  </si>
  <si>
    <t>659225585949</t>
  </si>
  <si>
    <t>Jeffrey Corey</t>
  </si>
  <si>
    <t>12/8 MC W/GRND</t>
  </si>
  <si>
    <t>609851487926</t>
  </si>
  <si>
    <t>DELIVERY NO LATER THAN 330</t>
  </si>
  <si>
    <t>jacorey@jacorey.com</t>
  </si>
  <si>
    <t>12/6 MC W/GRND</t>
  </si>
  <si>
    <t>609851487937</t>
  </si>
  <si>
    <t>12/4 MC W/GRND</t>
  </si>
  <si>
    <t>609851487948</t>
  </si>
  <si>
    <t>Ren Corporation</t>
  </si>
  <si>
    <t>307628078</t>
  </si>
  <si>
    <t>angela.hogue@rencorp.com</t>
  </si>
  <si>
    <t>David Ringuette</t>
  </si>
  <si>
    <t>659225585927</t>
  </si>
  <si>
    <t>david.ringuette@la.gov</t>
  </si>
  <si>
    <t>Robert Turner</t>
  </si>
  <si>
    <t>16/3 SOOW</t>
  </si>
  <si>
    <t>659225585879</t>
  </si>
  <si>
    <t>Lawrence Holden</t>
  </si>
  <si>
    <t>10/5 SEOOW</t>
  </si>
  <si>
    <t>659225585905</t>
  </si>
  <si>
    <t>Master</t>
  </si>
  <si>
    <t>Lisa Martin</t>
  </si>
  <si>
    <t>8/3 Flat Pump W/Grnd 2 X 650</t>
  </si>
  <si>
    <t>LMartin@cube.com</t>
  </si>
  <si>
    <t>Heath Long</t>
  </si>
  <si>
    <t>heath6748@gmail.com</t>
  </si>
  <si>
    <t xml:space="preserve">12/3 SJOOW </t>
  </si>
  <si>
    <t>A DUIE PYLE</t>
  </si>
  <si>
    <t>338188287</t>
  </si>
  <si>
    <t>Benjamin Hambrick</t>
  </si>
  <si>
    <t>659225585960</t>
  </si>
  <si>
    <t>bhambrick@nafiber.com</t>
  </si>
  <si>
    <t>Jim Davis</t>
  </si>
  <si>
    <t>659225585971</t>
  </si>
  <si>
    <t>Daniel Whitley</t>
  </si>
  <si>
    <t>659225585950</t>
  </si>
  <si>
    <t>Pat Kaboskey</t>
  </si>
  <si>
    <t>16-2 Security Stranded Shielded PVC CL3R Copper Conductor Cable Wire</t>
  </si>
  <si>
    <t>663629795554</t>
  </si>
  <si>
    <t>Clifford Heller</t>
  </si>
  <si>
    <t>18-8 PVC Thermostat CableWhite Jacket</t>
  </si>
  <si>
    <t>616712869161</t>
  </si>
  <si>
    <t>Cinnamon Cisney</t>
  </si>
  <si>
    <t>659225585982</t>
  </si>
  <si>
    <t>Douglas Watts</t>
  </si>
  <si>
    <t>18/9 VNTC</t>
  </si>
  <si>
    <t>647608626590</t>
  </si>
  <si>
    <t>Earl Raymond</t>
  </si>
  <si>
    <t>ray3el@aol.com</t>
  </si>
  <si>
    <t>Kevin Lefever</t>
  </si>
  <si>
    <t>1/0 THHN BLACK</t>
  </si>
  <si>
    <t>retiredarmy1@yahoo.com</t>
  </si>
  <si>
    <t>1/0 THHN RED</t>
  </si>
  <si>
    <t>1/0 THHN WHITE</t>
  </si>
  <si>
    <t>500MCM THHN 1x318 1x182</t>
  </si>
  <si>
    <t>I400959279</t>
  </si>
  <si>
    <t>Mark Alvey</t>
  </si>
  <si>
    <t>659225585993</t>
  </si>
  <si>
    <t>mark.alvey@aol.com</t>
  </si>
  <si>
    <t>Bradley Junes</t>
  </si>
  <si>
    <t>2709560125</t>
  </si>
  <si>
    <t>oregonbrad2015@gmail.com</t>
  </si>
  <si>
    <t>Richard Brzynski</t>
  </si>
  <si>
    <t>#2 AL Primary 10-#14 220 MIL 3x260 Paralleled on 1 reel</t>
  </si>
  <si>
    <t>32121294</t>
  </si>
  <si>
    <t>rmbelectric@yahoo.com</t>
  </si>
  <si>
    <t>750 MCM XHHW AL 5 Reels, 4 Cuts of 180' paralleled on each reel (2880-Priority / 720- Nassau)</t>
  </si>
  <si>
    <t>Nassau/Priority</t>
  </si>
  <si>
    <t>Matthew A Charles</t>
  </si>
  <si>
    <t>4/0-3 MC Cable</t>
  </si>
  <si>
    <t>YRC</t>
  </si>
  <si>
    <t>mcharles@molyworks.com</t>
  </si>
  <si>
    <t>Kris Kanack</t>
  </si>
  <si>
    <t>Canna</t>
  </si>
  <si>
    <t>2909818800</t>
  </si>
  <si>
    <t>kris.kanack@milwaukeetool.com</t>
  </si>
  <si>
    <t>Julie Admave-Hartle</t>
  </si>
  <si>
    <t>659225586029</t>
  </si>
  <si>
    <t>Alan Odom</t>
  </si>
  <si>
    <t>659225586051</t>
  </si>
  <si>
    <t>Deborah Stoveken</t>
  </si>
  <si>
    <t>659225586030</t>
  </si>
  <si>
    <t>Randy K Boyington</t>
  </si>
  <si>
    <t>659225586040</t>
  </si>
  <si>
    <t>Robert Fodor</t>
  </si>
  <si>
    <t>18/3 SJOOW</t>
  </si>
  <si>
    <t>659225586018</t>
  </si>
  <si>
    <t>Josh Troyer</t>
  </si>
  <si>
    <t>659225586007</t>
  </si>
  <si>
    <t>Jamaica Electrical</t>
  </si>
  <si>
    <t>14/3 SJOOW 5x250</t>
  </si>
  <si>
    <t>12/3 SJOOW 10x250</t>
  </si>
  <si>
    <t>12/2 SJOOW 3x250</t>
  </si>
  <si>
    <t xml:space="preserve">	1ZE412720376404516</t>
  </si>
  <si>
    <t>3000258A</t>
  </si>
  <si>
    <t>16/3 SJOOW 2x250</t>
  </si>
  <si>
    <t>10/3 SJOOW 4x250</t>
  </si>
  <si>
    <t>10/4 SJOOW 2x250</t>
  </si>
  <si>
    <t>2 Welding Cable 1x250</t>
  </si>
  <si>
    <t>775436306680</t>
  </si>
  <si>
    <t>3000258B</t>
  </si>
  <si>
    <t>Larry Reich</t>
  </si>
  <si>
    <t>659225586290</t>
  </si>
  <si>
    <t>spursthat@yahoo.com</t>
  </si>
  <si>
    <t>Jose Cuevas</t>
  </si>
  <si>
    <t xml:space="preserve">2-3C WITH #6 GROUND, COOPER TECK 90 CABLE BC XLPE INS 90 5KV ORANGE CUT SIDE COVER NON SHIELD C 22.2 part #17496.020200 </t>
  </si>
  <si>
    <t>Texcan</t>
  </si>
  <si>
    <t>Cornerstone</t>
  </si>
  <si>
    <t>R203945</t>
  </si>
  <si>
    <t>to deliver 1/25 or 1/26</t>
  </si>
  <si>
    <t>jose.cuevas@sicym.com</t>
  </si>
  <si>
    <t xml:space="preserve">250-3C WITH #6 GROUND, COOPER TECK 90 CABLE BC XLPE INS 90 5KV ORANGE CUT SIDE COVER NON SHIELD C 22.2 part#17496.056000 </t>
  </si>
  <si>
    <t xml:space="preserve">350-3C WITH #6 GROUND, COOPER TECK 90 CABLE BC XLPE INS 90 5KV ORANGE CUT SIDE COVER NON SHIELD C 22.2 part# 17496.026200 </t>
  </si>
  <si>
    <t xml:space="preserve">500-3C WITH #6 GROUND, COOPER TECK 90 CABLE BC XLPE INS 90 5KV ORANGE CUT SIDE COVER NON SHIELD C 22.2 part # 17496.046500 </t>
  </si>
  <si>
    <t>2/0-3C WITH GROUND, COOPER TECK 90 CABLE BC XLPE INS 90 1KV BLACK CUT SIDE COVER NON SHIELD C 22.2</t>
  </si>
  <si>
    <t>Troy Jones</t>
  </si>
  <si>
    <t>659225586062</t>
  </si>
  <si>
    <t>troybjones@msn.com</t>
  </si>
  <si>
    <t>Darren Wendland</t>
  </si>
  <si>
    <t xml:space="preserve">	616712869275</t>
  </si>
  <si>
    <t>darren.wendland@gmail.com</t>
  </si>
  <si>
    <t>Don Oman</t>
  </si>
  <si>
    <t xml:space="preserve">626645160886 </t>
  </si>
  <si>
    <t>omandon@gmail.com</t>
  </si>
  <si>
    <t>14/12 SOOW</t>
  </si>
  <si>
    <t>12/8 SOOW</t>
  </si>
  <si>
    <t>10/6 SOOW</t>
  </si>
  <si>
    <t>Brian Campbell</t>
  </si>
  <si>
    <t>1-1-1-3 SER COPPER</t>
  </si>
  <si>
    <t>609851488680</t>
  </si>
  <si>
    <t>campbell.brian@gmail.com</t>
  </si>
  <si>
    <t>IC2 Holdings Inc</t>
  </si>
  <si>
    <t>500MCM THHN COPPER</t>
  </si>
  <si>
    <t>Frontline Freight/DLS</t>
  </si>
  <si>
    <t>326963568</t>
  </si>
  <si>
    <t>jon@ic2net.net</t>
  </si>
  <si>
    <t>600MCM THHN COPPER</t>
  </si>
  <si>
    <t>14/9 MC W/GRND W/JACKET</t>
  </si>
  <si>
    <t>Joe Pawlak</t>
  </si>
  <si>
    <t>greatkoi@aol.com</t>
  </si>
  <si>
    <t>Jason Finley</t>
  </si>
  <si>
    <t>20 AWG 4 Pair Instrumentation Cable</t>
  </si>
  <si>
    <t>609851488819</t>
  </si>
  <si>
    <t>jfinley@pruitt.com</t>
  </si>
  <si>
    <t>Greggory Parker</t>
  </si>
  <si>
    <t>1Z0811790372887080</t>
  </si>
  <si>
    <t>gparker82@hotmail.com</t>
  </si>
  <si>
    <t>Jim Fredrickson</t>
  </si>
  <si>
    <t>663629795680</t>
  </si>
  <si>
    <t>Kelly Jackson</t>
  </si>
  <si>
    <t>659225586360</t>
  </si>
  <si>
    <t>Bryant Matthews</t>
  </si>
  <si>
    <t>659225586143</t>
  </si>
  <si>
    <t>Jospeh Walden</t>
  </si>
  <si>
    <t>659225586100</t>
  </si>
  <si>
    <t>Tyler Batian</t>
  </si>
  <si>
    <t>659225586316</t>
  </si>
  <si>
    <t>Carl Mai</t>
  </si>
  <si>
    <t>659225586176</t>
  </si>
  <si>
    <t>Mark W Krmenec</t>
  </si>
  <si>
    <t>Broome</t>
  </si>
  <si>
    <t>1Z9X760X0362895578</t>
  </si>
  <si>
    <t>Hug Grady</t>
  </si>
  <si>
    <t>659225586110</t>
  </si>
  <si>
    <t>Randy Becnel</t>
  </si>
  <si>
    <t>659225586198</t>
  </si>
  <si>
    <t>Chris Sheppard</t>
  </si>
  <si>
    <t>2-2-2-4 SER Copper</t>
  </si>
  <si>
    <t>616712869286</t>
  </si>
  <si>
    <t>Clayton Malone</t>
  </si>
  <si>
    <t>659225586095</t>
  </si>
  <si>
    <t>Jeffrey Taylor</t>
  </si>
  <si>
    <t>659225586132</t>
  </si>
  <si>
    <t>Jeff Lane</t>
  </si>
  <si>
    <t>659225586280</t>
  </si>
  <si>
    <t>Steve Sledz</t>
  </si>
  <si>
    <t>659225586154</t>
  </si>
  <si>
    <t>John McCaffety</t>
  </si>
  <si>
    <t>659225586165</t>
  </si>
  <si>
    <t>Tim Conner</t>
  </si>
  <si>
    <t>14/3 SJOOW</t>
  </si>
  <si>
    <t>659225586279</t>
  </si>
  <si>
    <t>Raymond Vasinko</t>
  </si>
  <si>
    <t>659225586187</t>
  </si>
  <si>
    <t>Brian Dworkin</t>
  </si>
  <si>
    <t>6 THHN 3x400</t>
  </si>
  <si>
    <t>624863825749, 624863825750, 624863825760</t>
  </si>
  <si>
    <t>bdworkin@castlecopackers.com</t>
  </si>
  <si>
    <t>Eric Stuckey</t>
  </si>
  <si>
    <t>10/3 VNTC Shielded</t>
  </si>
  <si>
    <t>663432516309</t>
  </si>
  <si>
    <t>Leo Perez</t>
  </si>
  <si>
    <t>659225586268</t>
  </si>
  <si>
    <t>Tom Nulman</t>
  </si>
  <si>
    <t>659225586246</t>
  </si>
  <si>
    <t>Charlie Hollister</t>
  </si>
  <si>
    <t>659225586257</t>
  </si>
  <si>
    <t>Steve Sauers</t>
  </si>
  <si>
    <t>659225586235</t>
  </si>
  <si>
    <t>Mark Condit</t>
  </si>
  <si>
    <t>659225586371</t>
  </si>
  <si>
    <t>Ken Williams</t>
  </si>
  <si>
    <t>659225586350</t>
  </si>
  <si>
    <t>kewilliams24@yahoo.com</t>
  </si>
  <si>
    <t>Jesse Szalc</t>
  </si>
  <si>
    <t>659225586224</t>
  </si>
  <si>
    <t>jszalc@yahoo.com</t>
  </si>
  <si>
    <t>Brian Roth</t>
  </si>
  <si>
    <t>659225586349</t>
  </si>
  <si>
    <t>bdroth@yahoo.com</t>
  </si>
  <si>
    <t>20495746</t>
  </si>
  <si>
    <t>Daniel Zajaczkowski</t>
  </si>
  <si>
    <t>Suffolk</t>
  </si>
  <si>
    <t>659225586327</t>
  </si>
  <si>
    <t>David Morito</t>
  </si>
  <si>
    <t>2 Welding Cable</t>
  </si>
  <si>
    <t>655702852541'</t>
  </si>
  <si>
    <t>Veronica Martinez</t>
  </si>
  <si>
    <t>1Z9X760X0366190072</t>
  </si>
  <si>
    <t>John Gilbert</t>
  </si>
  <si>
    <t>I506760957</t>
  </si>
  <si>
    <t>Karina Ortiz</t>
  </si>
  <si>
    <t>659225586213</t>
  </si>
  <si>
    <t>Scott Sheer</t>
  </si>
  <si>
    <t>659225586202</t>
  </si>
  <si>
    <t>Ben Naylor</t>
  </si>
  <si>
    <t>659225586338</t>
  </si>
  <si>
    <t>Jonathan Hegeman</t>
  </si>
  <si>
    <t>16/7 VNTC 2x250</t>
  </si>
  <si>
    <t>620670934313, 	620670934324</t>
  </si>
  <si>
    <t>Aaron Culbertson</t>
  </si>
  <si>
    <t>1Z9X760X0365340492</t>
  </si>
  <si>
    <t>Mark Doerning</t>
  </si>
  <si>
    <t>614697958079</t>
  </si>
  <si>
    <t>m.doerning4@aol.com</t>
  </si>
  <si>
    <t>Michael Young</t>
  </si>
  <si>
    <t>michaely@sunvalleyelectric.com</t>
  </si>
  <si>
    <t>12 THHN SOLID GREEN 2x2500</t>
  </si>
  <si>
    <t xml:space="preserve">	5009917878</t>
  </si>
  <si>
    <t>12 THHN SOLID WHITE 2x2500</t>
  </si>
  <si>
    <t>billed out on 01.21.2016</t>
  </si>
  <si>
    <t>12 THHN SOLID BLACK 2x2500</t>
  </si>
  <si>
    <t>PAID 3.3.2016</t>
  </si>
  <si>
    <t>12 THHN SOLID RED 1x2500</t>
  </si>
  <si>
    <t>12 THHN SOLID BLUE 1x2500</t>
  </si>
  <si>
    <t>Allen Devino</t>
  </si>
  <si>
    <t>I400959288</t>
  </si>
  <si>
    <t>Clare Peckham</t>
  </si>
  <si>
    <t>Sparrow</t>
  </si>
  <si>
    <t>2827467333</t>
  </si>
  <si>
    <t>3000312A</t>
  </si>
  <si>
    <t>purchasing@yc.edu</t>
  </si>
  <si>
    <t>ROADRUNNER/DLS</t>
  </si>
  <si>
    <t>paid 02.02.2016</t>
  </si>
  <si>
    <t>3/8in Galvanized Guy Wire</t>
  </si>
  <si>
    <t>1/0 Trxlp 175 UDR Primary Wire 6x14 1x103 1x200 1x206 1x350</t>
  </si>
  <si>
    <t>1/0 Trxlp 175 UDR Primary Wire 6x14</t>
  </si>
  <si>
    <t>Bryan Knowleton</t>
  </si>
  <si>
    <t>12/3 SJOOW Yellow</t>
  </si>
  <si>
    <t>1ZE412720376633420</t>
  </si>
  <si>
    <t>designsteinllc@gmail.com</t>
  </si>
  <si>
    <t>John Roth</t>
  </si>
  <si>
    <t>659225586393</t>
  </si>
  <si>
    <t>Greg Murphy</t>
  </si>
  <si>
    <t>659225586382</t>
  </si>
  <si>
    <t>2709579445</t>
  </si>
  <si>
    <t>Terri Gola</t>
  </si>
  <si>
    <t>659225586408</t>
  </si>
  <si>
    <t>Junior Burnette</t>
  </si>
  <si>
    <t>659225586463</t>
  </si>
  <si>
    <t>Cash</t>
  </si>
  <si>
    <t>500MCM XHHW AL 1x364 1x118</t>
  </si>
  <si>
    <t>N/A</t>
  </si>
  <si>
    <t>Larry Ramsey</t>
  </si>
  <si>
    <t xml:space="preserve">  659225586452 
</t>
  </si>
  <si>
    <t>Dean Meyer</t>
  </si>
  <si>
    <t>10/4 SOOW 2x250</t>
  </si>
  <si>
    <t> 659225586474 , 659225586485</t>
  </si>
  <si>
    <t>Rod Vance</t>
  </si>
  <si>
    <t>2 XLP USE AL</t>
  </si>
  <si>
    <t>659225586430</t>
  </si>
  <si>
    <t>rvcaptain@msn.com</t>
  </si>
  <si>
    <t>Mike Mahoski</t>
  </si>
  <si>
    <t>10/3 STOW GREY 5x 250</t>
  </si>
  <si>
    <t>mike@goldcoastflooring.com</t>
  </si>
  <si>
    <t>10/4 STOW GREY</t>
  </si>
  <si>
    <t>Kevin King</t>
  </si>
  <si>
    <t>646 DLO Cable</t>
  </si>
  <si>
    <t>19807457</t>
  </si>
  <si>
    <t>PAID 03.04.2016</t>
  </si>
  <si>
    <t>kevin.king@nypa.gov</t>
  </si>
  <si>
    <t>Alex Dykes</t>
  </si>
  <si>
    <t>659225586441</t>
  </si>
  <si>
    <t>alex@dykesfamily.net</t>
  </si>
  <si>
    <t>Trident Industries</t>
  </si>
  <si>
    <t>#2 XLP USE CU 3x 5000 1x 2500</t>
  </si>
  <si>
    <t>ADcable</t>
  </si>
  <si>
    <t>AVERITT EXPRESS</t>
  </si>
  <si>
    <t>005 1096573</t>
  </si>
  <si>
    <t>#2 XLP USE CU 1x 5000</t>
  </si>
  <si>
    <t>Kristeck</t>
  </si>
  <si>
    <t>UPS FRIEGHT</t>
  </si>
  <si>
    <t>503129410</t>
  </si>
  <si>
    <t>Damin Ma</t>
  </si>
  <si>
    <t>616712869389</t>
  </si>
  <si>
    <t>Derrick Carty</t>
  </si>
  <si>
    <t>659225586496</t>
  </si>
  <si>
    <t>Kent Englund</t>
  </si>
  <si>
    <t>12/4 VNTC Shielded</t>
  </si>
  <si>
    <t>663629795944</t>
  </si>
  <si>
    <t>Rick Mason</t>
  </si>
  <si>
    <t>1Z0811790370771467</t>
  </si>
  <si>
    <t>Clive Goodwin</t>
  </si>
  <si>
    <t>8/5 SOOW</t>
  </si>
  <si>
    <t>616712869404</t>
  </si>
  <si>
    <t>Hoang Thai</t>
  </si>
  <si>
    <t>2-2-2-4 SER AL</t>
  </si>
  <si>
    <t>659225586500</t>
  </si>
  <si>
    <t>Russell Martin</t>
  </si>
  <si>
    <t>Okonite 264-60-5501</t>
  </si>
  <si>
    <t>Okonite</t>
  </si>
  <si>
    <t>AAA COOPER/DLS</t>
  </si>
  <si>
    <t>to ship by late February</t>
  </si>
  <si>
    <t>rbmartin@fujifilm.com</t>
  </si>
  <si>
    <t>Jose Leyva</t>
  </si>
  <si>
    <t>614697958182</t>
  </si>
  <si>
    <t>salimasmg@yahoo.com</t>
  </si>
  <si>
    <t>Jerett Granger</t>
  </si>
  <si>
    <t>659225586511</t>
  </si>
  <si>
    <t>JerettGranger@yahoo.com</t>
  </si>
  <si>
    <t>Charles Carter</t>
  </si>
  <si>
    <t>659225586522</t>
  </si>
  <si>
    <t>Matthew Charles</t>
  </si>
  <si>
    <t>20/2 SPOS 300V PLTC</t>
  </si>
  <si>
    <t>614697958285</t>
  </si>
  <si>
    <t>OHM Equipment</t>
  </si>
  <si>
    <t>12/4 SOOW</t>
  </si>
  <si>
    <t>44877199-5</t>
  </si>
  <si>
    <t>John Harry</t>
  </si>
  <si>
    <t>2/3 W/GRND Flat Pump Cable</t>
  </si>
  <si>
    <t>432161612</t>
  </si>
  <si>
    <t>john@keybell.com</t>
  </si>
  <si>
    <t>12/2 W/GRND Flat Pump Cable</t>
  </si>
  <si>
    <t>Damon Williams</t>
  </si>
  <si>
    <t xml:space="preserve">	19807465</t>
  </si>
  <si>
    <t>Damon.Williams@nypa.gov</t>
  </si>
  <si>
    <t>Richard Otwell</t>
  </si>
  <si>
    <t>12/3 SOOW Carol Wire Only </t>
  </si>
  <si>
    <t>356224170</t>
  </si>
  <si>
    <t>billed out on 01.27.2016</t>
  </si>
  <si>
    <t>4/4 SOOW Carol Wire Only 2X250</t>
  </si>
  <si>
    <t>paid 5350.00</t>
  </si>
  <si>
    <t>6/4 SOOW Carol Wire Only 6x250</t>
  </si>
  <si>
    <t>paid 2223.29</t>
  </si>
  <si>
    <t xml:space="preserve">10/4 VNTC Black, Red, White, Green </t>
  </si>
  <si>
    <t xml:space="preserve">	700479961</t>
  </si>
  <si>
    <t>3000341A</t>
  </si>
  <si>
    <t>14/2 VNTC Red/Black</t>
  </si>
  <si>
    <t>12/2 VNTC Red/Black</t>
  </si>
  <si>
    <t>10 THHN BLK 1x500</t>
  </si>
  <si>
    <t>626645161735</t>
  </si>
  <si>
    <t>3000341B</t>
  </si>
  <si>
    <t>12 THHN RED 3x500</t>
  </si>
  <si>
    <t>626645161746</t>
  </si>
  <si>
    <t>14 THHN BLUE 1x500</t>
  </si>
  <si>
    <t>626645161757</t>
  </si>
  <si>
    <t>14 THHN RED 3x500</t>
  </si>
  <si>
    <t>626645161768</t>
  </si>
  <si>
    <t>18 TFN YELLOW 2x500</t>
  </si>
  <si>
    <t>Fred Weiler</t>
  </si>
  <si>
    <t>WARD/ECHO</t>
  </si>
  <si>
    <t xml:space="preserve">	0153713061</t>
  </si>
  <si>
    <t>John Salva</t>
  </si>
  <si>
    <t>I697899546</t>
  </si>
  <si>
    <t>Taylor Cravens</t>
  </si>
  <si>
    <t>659225586614</t>
  </si>
  <si>
    <t>Jeffrey Mahley</t>
  </si>
  <si>
    <t>1Z0811790370014874</t>
  </si>
  <si>
    <t>Lisa Daddi</t>
  </si>
  <si>
    <t>659225586603</t>
  </si>
  <si>
    <t>Gwendolyn Heaghney</t>
  </si>
  <si>
    <t>659225586599</t>
  </si>
  <si>
    <t>Brian Odom</t>
  </si>
  <si>
    <t>659225586588</t>
  </si>
  <si>
    <t>Tony Chen</t>
  </si>
  <si>
    <t>14/4 NM-B Romex W/GRND</t>
  </si>
  <si>
    <t>638116468959</t>
  </si>
  <si>
    <t>tc88855@yahoo.com</t>
  </si>
  <si>
    <t>Terry Martin</t>
  </si>
  <si>
    <t>PITT OHIO</t>
  </si>
  <si>
    <t>tmartin@tntequip.com</t>
  </si>
  <si>
    <t>Brian Slevin</t>
  </si>
  <si>
    <t>659225586625</t>
  </si>
  <si>
    <t>pbjguy1@aol.com</t>
  </si>
  <si>
    <t>Herman Von Mayenberger</t>
  </si>
  <si>
    <t>4/0 DLO Cable</t>
  </si>
  <si>
    <t>hermanvm@prodin.cl</t>
  </si>
  <si>
    <t>Robert Witt</t>
  </si>
  <si>
    <t>659225586740</t>
  </si>
  <si>
    <t>karenjwitt@aol.com</t>
  </si>
  <si>
    <t>Bryon Reid</t>
  </si>
  <si>
    <t>4/0-4/0-2/0-4 Mobile Home</t>
  </si>
  <si>
    <t>659225586658</t>
  </si>
  <si>
    <t>bryonreid@gmail.com</t>
  </si>
  <si>
    <t>Jeff Finkle</t>
  </si>
  <si>
    <t>Appaloosa</t>
  </si>
  <si>
    <t>hmh461e5@hotmail.com</t>
  </si>
  <si>
    <t>Kevin Ahlborg</t>
  </si>
  <si>
    <t>616712869518</t>
  </si>
  <si>
    <t>kahlborg@aol.com</t>
  </si>
  <si>
    <t>James Hitt</t>
  </si>
  <si>
    <t>643758104436</t>
  </si>
  <si>
    <t>minesascreamin@aol.com</t>
  </si>
  <si>
    <t>George Ryan</t>
  </si>
  <si>
    <t>616712869507</t>
  </si>
  <si>
    <t>ncscrap@ec.rr.com</t>
  </si>
  <si>
    <t>Warren Large</t>
  </si>
  <si>
    <t>659225586691</t>
  </si>
  <si>
    <t>Gerry McComas</t>
  </si>
  <si>
    <t>659225586739</t>
  </si>
  <si>
    <t>Jeff Warren</t>
  </si>
  <si>
    <t>659225586670</t>
  </si>
  <si>
    <t>Max Rangel</t>
  </si>
  <si>
    <t>659225586706</t>
  </si>
  <si>
    <t>Donavin Willis</t>
  </si>
  <si>
    <t>659225586669</t>
  </si>
  <si>
    <t>Ryan Leday Williams</t>
  </si>
  <si>
    <t>659225586728</t>
  </si>
  <si>
    <t>Bob Fletcher</t>
  </si>
  <si>
    <t>16/8 VNTC</t>
  </si>
  <si>
    <t>647608626970</t>
  </si>
  <si>
    <t xml:space="preserve">Wire cut $25 added to frieght </t>
  </si>
  <si>
    <t>Ken Carlson</t>
  </si>
  <si>
    <t>659225586680</t>
  </si>
  <si>
    <t>Dustin Nelson</t>
  </si>
  <si>
    <t>614697958355</t>
  </si>
  <si>
    <t>Larry Bates</t>
  </si>
  <si>
    <t>659225586750</t>
  </si>
  <si>
    <t>Daniel Neveu</t>
  </si>
  <si>
    <t>Erie</t>
  </si>
  <si>
    <t>659225586647</t>
  </si>
  <si>
    <t>Daniel Davis</t>
  </si>
  <si>
    <t>18 AWG Solid Bare Copper Conductor Belden 1694A</t>
  </si>
  <si>
    <t>775502036303</t>
  </si>
  <si>
    <t>Michael Baker</t>
  </si>
  <si>
    <t>659225586636</t>
  </si>
  <si>
    <t>Daryl Eisner</t>
  </si>
  <si>
    <t>Belden 2413 Network Cat 6 Cable 2x1000</t>
  </si>
  <si>
    <t>1z0v059e0397538292, 1z0v059e0398545102</t>
  </si>
  <si>
    <t>Raul Vasquez</t>
  </si>
  <si>
    <t>643758104425</t>
  </si>
  <si>
    <t>Kenneth Schaefer</t>
  </si>
  <si>
    <t>10/5 Flat Festoon Black</t>
  </si>
  <si>
    <t>WirXpress</t>
  </si>
  <si>
    <t>SAIA/DLS</t>
  </si>
  <si>
    <t>00915696660</t>
  </si>
  <si>
    <t>paid 2.29.2016</t>
  </si>
  <si>
    <t>ken.schaefer@graybar.com</t>
  </si>
  <si>
    <t>Mark Sullivan</t>
  </si>
  <si>
    <t>659225586761</t>
  </si>
  <si>
    <t>marksull@gmail.com</t>
  </si>
  <si>
    <t>6 MTW Red</t>
  </si>
  <si>
    <t>8 THHN BLACK</t>
  </si>
  <si>
    <t>659225586772</t>
  </si>
  <si>
    <t>Dick Turbo</t>
  </si>
  <si>
    <t>4/0 DLO</t>
  </si>
  <si>
    <t>16202125346</t>
  </si>
  <si>
    <t>John Ripley</t>
  </si>
  <si>
    <t>389750217</t>
  </si>
  <si>
    <t>jasper47@netzero.net</t>
  </si>
  <si>
    <t>6 THHN</t>
  </si>
  <si>
    <t xml:space="preserve">Colonial </t>
  </si>
  <si>
    <t>643758104458</t>
  </si>
  <si>
    <t>3000377A</t>
  </si>
  <si>
    <t>Lars Ekendahl</t>
  </si>
  <si>
    <t>18/7 SOOW</t>
  </si>
  <si>
    <t>659225586783</t>
  </si>
  <si>
    <t>lars.ekendahl@gmail.com</t>
  </si>
  <si>
    <t>Dave Spence</t>
  </si>
  <si>
    <t xml:space="preserve">659225586794  </t>
  </si>
  <si>
    <t>papadave@cableone.net</t>
  </si>
  <si>
    <t>659225586809</t>
  </si>
  <si>
    <t>Lucie Roy</t>
  </si>
  <si>
    <t>18/2 SJOOW Yellow</t>
  </si>
  <si>
    <t>lroy@docom.ca</t>
  </si>
  <si>
    <t>Ruben Gonzalez</t>
  </si>
  <si>
    <t>659225586820</t>
  </si>
  <si>
    <t>rgflooring2002@gmail.com</t>
  </si>
  <si>
    <t>Manuel Araya</t>
  </si>
  <si>
    <t>PE-38-22-12 PR General Cable Only</t>
  </si>
  <si>
    <t>I220151709</t>
  </si>
  <si>
    <t>amegu@amegu.com</t>
  </si>
  <si>
    <t>Charles Badger</t>
  </si>
  <si>
    <t>659225586810</t>
  </si>
  <si>
    <t>packrolls@att.net</t>
  </si>
  <si>
    <t>Keith Ray</t>
  </si>
  <si>
    <t>2/0 THHN STRANDED</t>
  </si>
  <si>
    <t>paid on 03.15.2016</t>
  </si>
  <si>
    <t>#2 THHN GREEN</t>
  </si>
  <si>
    <t>1 THHN STRANDED</t>
  </si>
  <si>
    <t>3000384A we will pick up</t>
  </si>
  <si>
    <t>3000384A</t>
  </si>
  <si>
    <t>Jeff Smith</t>
  </si>
  <si>
    <t>659225586831</t>
  </si>
  <si>
    <t>jeffsmith1641@hotmail.com</t>
  </si>
  <si>
    <t>Darren Parchman</t>
  </si>
  <si>
    <t>1/0 XHHW AL</t>
  </si>
  <si>
    <t>Dickson</t>
  </si>
  <si>
    <t>643758104447</t>
  </si>
  <si>
    <t>Joseph Brennan</t>
  </si>
  <si>
    <t>NEW PENN/DLS</t>
  </si>
  <si>
    <t>87958929</t>
  </si>
  <si>
    <t>Fred Konchan</t>
  </si>
  <si>
    <t>616712869530</t>
  </si>
  <si>
    <t>Colorado Mushroom Farm</t>
  </si>
  <si>
    <t>16/4 SOOW</t>
  </si>
  <si>
    <t>659225586853</t>
  </si>
  <si>
    <t>James W Rhodes</t>
  </si>
  <si>
    <t>10/3 SEOOW</t>
  </si>
  <si>
    <t>659225586945</t>
  </si>
  <si>
    <t>659225586875</t>
  </si>
  <si>
    <t>3000390A</t>
  </si>
  <si>
    <t>Christy Bullseye</t>
  </si>
  <si>
    <t>659225586864</t>
  </si>
  <si>
    <t>Sharone Klinger</t>
  </si>
  <si>
    <t>659225586901</t>
  </si>
  <si>
    <t>Robert Fifield</t>
  </si>
  <si>
    <t>659225586956</t>
  </si>
  <si>
    <t>Larry Stanford</t>
  </si>
  <si>
    <t>659225586897</t>
  </si>
  <si>
    <t>Peter Bony</t>
  </si>
  <si>
    <t>Michael Thomas</t>
  </si>
  <si>
    <t>659225586842</t>
  </si>
  <si>
    <t>Matthew Fennell</t>
  </si>
  <si>
    <t>659225586886</t>
  </si>
  <si>
    <t>William Dundas</t>
  </si>
  <si>
    <t>8/3 Flat Pump</t>
  </si>
  <si>
    <t>Conway</t>
  </si>
  <si>
    <t>432170056</t>
  </si>
  <si>
    <t>billd@dialsomm.com</t>
  </si>
  <si>
    <t>644023887993</t>
  </si>
  <si>
    <t>rlramsey77@aol.com</t>
  </si>
  <si>
    <t>659225586934</t>
  </si>
  <si>
    <t>3000399A</t>
  </si>
  <si>
    <t>Jeffrey Wilson</t>
  </si>
  <si>
    <t>659225586967</t>
  </si>
  <si>
    <t>Jake Russell</t>
  </si>
  <si>
    <t>8 AWG Solar Photovoltaic Cable 600V UL 4703</t>
  </si>
  <si>
    <t>Titan</t>
  </si>
  <si>
    <t>653007359336</t>
  </si>
  <si>
    <t>4/0 Welding Cable Red</t>
  </si>
  <si>
    <t>775519270788'</t>
  </si>
  <si>
    <t>3000401A</t>
  </si>
  <si>
    <t>Ronnie Campbell</t>
  </si>
  <si>
    <t>4-4-4-6 SER CU</t>
  </si>
  <si>
    <t>Cheatham</t>
  </si>
  <si>
    <t>574454190236</t>
  </si>
  <si>
    <t>Steven Dennison</t>
  </si>
  <si>
    <t>643758104528</t>
  </si>
  <si>
    <t>sdennison55@hotmail.com</t>
  </si>
  <si>
    <t>Alan Walker</t>
  </si>
  <si>
    <t>Niagara</t>
  </si>
  <si>
    <t>643758104517</t>
  </si>
  <si>
    <t>ikkdrdog@gmail.com</t>
  </si>
  <si>
    <t>Balthasar Calabrese</t>
  </si>
  <si>
    <t>1-1-1-3 SER AL</t>
  </si>
  <si>
    <t>19807478</t>
  </si>
  <si>
    <t>calabreseelectric@verizon.net</t>
  </si>
  <si>
    <t>Constantine Megaris</t>
  </si>
  <si>
    <t>4x85 600MCM Black Red White Blue Paralleled on 1 Reel</t>
  </si>
  <si>
    <t>VIKINGS TRANS</t>
  </si>
  <si>
    <t>Crown Order # 10031834</t>
  </si>
  <si>
    <t>cm@megariselectrical.com</t>
  </si>
  <si>
    <t>4x85 600MCM Black Red (use black and tape ends red) White Blue Paralleled on 1 Reel</t>
  </si>
  <si>
    <t>1 Welding Cable Green</t>
  </si>
  <si>
    <t>775532800237</t>
  </si>
  <si>
    <t>Sam Hoye</t>
  </si>
  <si>
    <t>665645040970</t>
  </si>
  <si>
    <t>dunhuntinmachineshop@embarqmail.com</t>
  </si>
  <si>
    <t>Lisa McNitt</t>
  </si>
  <si>
    <t>665645040960</t>
  </si>
  <si>
    <t>Burt Hirons</t>
  </si>
  <si>
    <t>16/3 SJEOOW 2x250</t>
  </si>
  <si>
    <t>665645041061</t>
  </si>
  <si>
    <t>Nicea DAnnunzio</t>
  </si>
  <si>
    <t>14 AWG TGGT Wire</t>
  </si>
  <si>
    <t>635556954458</t>
  </si>
  <si>
    <t>David Dawson</t>
  </si>
  <si>
    <t>665645040981</t>
  </si>
  <si>
    <t>Lawrence Ashton</t>
  </si>
  <si>
    <t>Tulsa</t>
  </si>
  <si>
    <t>659225586990</t>
  </si>
  <si>
    <t>James L Overstreet</t>
  </si>
  <si>
    <t>8/3 UF-B W/GRND</t>
  </si>
  <si>
    <t>665645041017</t>
  </si>
  <si>
    <t>Tanner Sheffield</t>
  </si>
  <si>
    <t>659225587003</t>
  </si>
  <si>
    <t>Paula Barron</t>
  </si>
  <si>
    <t>16/10 VNTC</t>
  </si>
  <si>
    <t>663629796675</t>
  </si>
  <si>
    <t>John Bell</t>
  </si>
  <si>
    <t>659225587014</t>
  </si>
  <si>
    <t>Kevin Levy</t>
  </si>
  <si>
    <t>643758104561</t>
  </si>
  <si>
    <t>Kevin Jones</t>
  </si>
  <si>
    <t>Seth Ulrich</t>
  </si>
  <si>
    <t>ROADRUNNER/ECHO</t>
  </si>
  <si>
    <t>247955958</t>
  </si>
  <si>
    <t>Andrew Lombardi</t>
  </si>
  <si>
    <t>665645040992</t>
  </si>
  <si>
    <t>Jay Thienel</t>
  </si>
  <si>
    <t>Belden 9486 18/2 VNTC Stranded</t>
  </si>
  <si>
    <t>118391272613691</t>
  </si>
  <si>
    <t>James Townsend</t>
  </si>
  <si>
    <t>574454190306</t>
  </si>
  <si>
    <t>Milton Williams</t>
  </si>
  <si>
    <t>616712869643</t>
  </si>
  <si>
    <t>Dylan Summer</t>
  </si>
  <si>
    <t>Falcon</t>
  </si>
  <si>
    <t xml:space="preserve">	301547521</t>
  </si>
  <si>
    <t>dylan.summer@neetrac.gatech.edu</t>
  </si>
  <si>
    <t>Fabio A Panzani Duke Energy</t>
  </si>
  <si>
    <t>General Cable Part # 14711.717000</t>
  </si>
  <si>
    <t>USS HOLLAND/ECHO</t>
  </si>
  <si>
    <t>paid 03.23.2016</t>
  </si>
  <si>
    <t>Fabio.Panzani@duke-energy.com</t>
  </si>
  <si>
    <t>Earl Mathiesen</t>
  </si>
  <si>
    <t>665645041028</t>
  </si>
  <si>
    <t>Mark Billenstein</t>
  </si>
  <si>
    <t>10/4 SJEOOW</t>
  </si>
  <si>
    <t>1Z0253560361828291</t>
  </si>
  <si>
    <t>Michael Ledet</t>
  </si>
  <si>
    <t>4/3 Bus Drop Cable</t>
  </si>
  <si>
    <t>624863828288</t>
  </si>
  <si>
    <t>Ken Stafford</t>
  </si>
  <si>
    <t>18-4 PVC Thermostat Cable</t>
  </si>
  <si>
    <t xml:space="preserve">	616712869584</t>
  </si>
  <si>
    <t>Mike Jackson</t>
  </si>
  <si>
    <t>665645041039</t>
  </si>
  <si>
    <t>Mark Howell</t>
  </si>
  <si>
    <t>Neritina</t>
  </si>
  <si>
    <t>Bedford</t>
  </si>
  <si>
    <t>324443196</t>
  </si>
  <si>
    <t>Justin Pate</t>
  </si>
  <si>
    <t>665645041040</t>
  </si>
  <si>
    <t>Allen Janes</t>
  </si>
  <si>
    <t>3653243252</t>
  </si>
  <si>
    <t>Doug Bibby</t>
  </si>
  <si>
    <t>665645041072</t>
  </si>
  <si>
    <t>Murray Johnson</t>
  </si>
  <si>
    <t>389768680</t>
  </si>
  <si>
    <t>verjo@sasktel.net</t>
  </si>
  <si>
    <t>Rodney Stettner</t>
  </si>
  <si>
    <t>643758104572</t>
  </si>
  <si>
    <t>rodstett@msn.com</t>
  </si>
  <si>
    <t>Salvador Camara</t>
  </si>
  <si>
    <t>600MCM XLPE/2kV Type RHH/RHW-2 Part Number RWU600BK 1x956 1x780</t>
  </si>
  <si>
    <t>scamara@altasolar.es</t>
  </si>
  <si>
    <t>Jx2 Productions LLC</t>
  </si>
  <si>
    <t>M+F Camlock 2 Stage Lighting Cable- Green, Blue, White, Black,  Red15X100</t>
  </si>
  <si>
    <t>info@jx2productions.com</t>
  </si>
  <si>
    <t>12/5 SOOW 6x100 1x900</t>
  </si>
  <si>
    <t>CENTRAL TRANS/DLS</t>
  </si>
  <si>
    <t>21590881161</t>
  </si>
  <si>
    <t>10/4 SOOW  1x1000 1x101</t>
  </si>
  <si>
    <t>18/3 SOOW 4x250</t>
  </si>
  <si>
    <t>Thomas Schmidtlein</t>
  </si>
  <si>
    <t>3151077775</t>
  </si>
  <si>
    <t>smitty@electric.kscoxmail.com</t>
  </si>
  <si>
    <t>Cat 6 White Riser</t>
  </si>
  <si>
    <t>Donald Flynn</t>
  </si>
  <si>
    <t>665645041050</t>
  </si>
  <si>
    <t>Aldan Electric</t>
  </si>
  <si>
    <t>2/0-2/0-2/0-1 SER AL 3X1000 1X759 1X875 1X901 1X930 1X931 1X460</t>
  </si>
  <si>
    <t>4/0-4/0-4/0-2/0 SER AL 2X1000 3X390 1X348 1X440 1X766 1X795 1X727 1X692</t>
  </si>
  <si>
    <t>paid 04.18.2016</t>
  </si>
  <si>
    <t>Jim Wedman</t>
  </si>
  <si>
    <t>535 DLO</t>
  </si>
  <si>
    <t>21590881179</t>
  </si>
  <si>
    <t>ymireles@247technology.com</t>
  </si>
  <si>
    <t xml:space="preserve">4/0 Type W </t>
  </si>
  <si>
    <t>580-626104</t>
  </si>
  <si>
    <t>Craig Seefeldt</t>
  </si>
  <si>
    <t>6-6-6 SEU AL</t>
  </si>
  <si>
    <t>663629796734</t>
  </si>
  <si>
    <t>cseefeldt3@wi.rr.com</t>
  </si>
  <si>
    <t>665645041197</t>
  </si>
  <si>
    <t>Terry Thomas</t>
  </si>
  <si>
    <t>659225587091</t>
  </si>
  <si>
    <t>tthomas@pmhwv.org</t>
  </si>
  <si>
    <t>Bradley Dale</t>
  </si>
  <si>
    <t>609851490885</t>
  </si>
  <si>
    <t>cougrrrman@aol.com</t>
  </si>
  <si>
    <t>Kaleb Hagan-Kerr</t>
  </si>
  <si>
    <t>I697899852</t>
  </si>
  <si>
    <t>kalebkerr@gmail.com</t>
  </si>
  <si>
    <t>Steven Schilling</t>
  </si>
  <si>
    <t>643758104697</t>
  </si>
  <si>
    <t>Steve Lekas</t>
  </si>
  <si>
    <t>665645041110</t>
  </si>
  <si>
    <t>Brian Longacre</t>
  </si>
  <si>
    <t>I448772184</t>
  </si>
  <si>
    <t>Michael Hill</t>
  </si>
  <si>
    <t>665645041083</t>
  </si>
  <si>
    <t>Ken Beckman</t>
  </si>
  <si>
    <t>659225587069</t>
  </si>
  <si>
    <t>Marilyn Griffin</t>
  </si>
  <si>
    <t>643758104594</t>
  </si>
  <si>
    <t>Bob Lesy</t>
  </si>
  <si>
    <t>659225587058</t>
  </si>
  <si>
    <t>Mike Garner</t>
  </si>
  <si>
    <t>659225587047</t>
  </si>
  <si>
    <t>Derrick Brown</t>
  </si>
  <si>
    <t>12/3 SOOW Yellow</t>
  </si>
  <si>
    <t>1ZE412720377866132</t>
  </si>
  <si>
    <t>Ryan Carr</t>
  </si>
  <si>
    <t>389750308</t>
  </si>
  <si>
    <t>Leon Peckoo</t>
  </si>
  <si>
    <t>666158381916</t>
  </si>
  <si>
    <t>Greg Burke</t>
  </si>
  <si>
    <t>665645041109</t>
  </si>
  <si>
    <t>Dail Forster</t>
  </si>
  <si>
    <t>665645041429</t>
  </si>
  <si>
    <t>Daniel Hostetler</t>
  </si>
  <si>
    <t>Troy Gibson</t>
  </si>
  <si>
    <t>659225587080</t>
  </si>
  <si>
    <t>Sidney Dang</t>
  </si>
  <si>
    <t>665645041094</t>
  </si>
  <si>
    <t>Tim Fulton</t>
  </si>
  <si>
    <t>659225587070</t>
  </si>
  <si>
    <t>Rick Davis</t>
  </si>
  <si>
    <t>665645041142</t>
  </si>
  <si>
    <t>Dale Curtis</t>
  </si>
  <si>
    <t>665645041131</t>
  </si>
  <si>
    <t>Cris Stallings</t>
  </si>
  <si>
    <t>16/6 SOOW</t>
  </si>
  <si>
    <t>660170915719</t>
  </si>
  <si>
    <t>Joseph Hebert</t>
  </si>
  <si>
    <t>665645041164</t>
  </si>
  <si>
    <t>Brian Perez</t>
  </si>
  <si>
    <t>Ulster</t>
  </si>
  <si>
    <t>665645041175</t>
  </si>
  <si>
    <t>Zeke Carlson</t>
  </si>
  <si>
    <t>665645041153</t>
  </si>
  <si>
    <t>Scott Moore</t>
  </si>
  <si>
    <t>Belden 2413 Network Cat6 Cable</t>
  </si>
  <si>
    <t>1Z0V059E0395953319</t>
  </si>
  <si>
    <t>John Morris</t>
  </si>
  <si>
    <t>1Z0V059E0397078922</t>
  </si>
  <si>
    <t>Donna Stallard</t>
  </si>
  <si>
    <t>12/4 SJOOW</t>
  </si>
  <si>
    <t>665645041120</t>
  </si>
  <si>
    <t>Paul Noll Jr.</t>
  </si>
  <si>
    <t>643758104686</t>
  </si>
  <si>
    <t>Jerry Chael</t>
  </si>
  <si>
    <t>8723 22 AWG 2P Stranded Individually Shielded Communications and Control Cable</t>
  </si>
  <si>
    <t>775584138607</t>
  </si>
  <si>
    <t>John A Naegele</t>
  </si>
  <si>
    <t>1Z9X760X0363491663</t>
  </si>
  <si>
    <t>Craig Wanakena</t>
  </si>
  <si>
    <t>665645041186</t>
  </si>
  <si>
    <t>Winkle Industries</t>
  </si>
  <si>
    <t>6/3 Type W W/Rubber Filled</t>
  </si>
  <si>
    <t>60317474-4</t>
  </si>
  <si>
    <t>4/3 Type W W/Rubber Filled</t>
  </si>
  <si>
    <t>10417083069</t>
  </si>
  <si>
    <t>3000483A</t>
  </si>
  <si>
    <t>Rebel Converting</t>
  </si>
  <si>
    <t>659225587106</t>
  </si>
  <si>
    <t>Richard Rinfrette</t>
  </si>
  <si>
    <t>659225587117</t>
  </si>
  <si>
    <t>Richard Roy</t>
  </si>
  <si>
    <t>643758104583</t>
  </si>
  <si>
    <t>Carl Ross</t>
  </si>
  <si>
    <t>10 AWG Hook Up Wire AWM MTW TEW UL 1015/1230 Green</t>
  </si>
  <si>
    <t>Allied</t>
  </si>
  <si>
    <t>653897738340</t>
  </si>
  <si>
    <t>10 AWG Hook Up Wire AWM MTW TEW UL 1015/1230 Red</t>
  </si>
  <si>
    <t>653897738350</t>
  </si>
  <si>
    <t>10 AWG Hook Up Wire AWM MTW TEW UL 1015/1230 Black</t>
  </si>
  <si>
    <t>653897738361</t>
  </si>
  <si>
    <t>Thomas David Flannery</t>
  </si>
  <si>
    <t>12/2 NM-B Romex Southwire only</t>
  </si>
  <si>
    <t>Ace</t>
  </si>
  <si>
    <t>775572551494</t>
  </si>
  <si>
    <t>Glen Cox</t>
  </si>
  <si>
    <t>CONWAY/DLS</t>
  </si>
  <si>
    <t>580624354</t>
  </si>
  <si>
    <t>glen080@centurytel.net</t>
  </si>
  <si>
    <t>SYSEUFSA Corporation</t>
  </si>
  <si>
    <t>16/7 VNTC</t>
  </si>
  <si>
    <t>785419560</t>
  </si>
  <si>
    <t>jolivares@syseufsa.com</t>
  </si>
  <si>
    <t>Vincent Giocastro</t>
  </si>
  <si>
    <t>Male Connector for 373 Part # 17D22-E</t>
  </si>
  <si>
    <t>1Z2561890346363522</t>
  </si>
  <si>
    <t>paid 04.06.2016</t>
  </si>
  <si>
    <t>june.small-rolston@nycha.nyc.gov</t>
  </si>
  <si>
    <t>Female Connector for 373 Part # 17D24-E</t>
  </si>
  <si>
    <t>Don Hill</t>
  </si>
  <si>
    <t>616712869713</t>
  </si>
  <si>
    <t>dhill29@stny.rr.com</t>
  </si>
  <si>
    <t>Larry Bagzis</t>
  </si>
  <si>
    <t>616712869724</t>
  </si>
  <si>
    <t>lbagman@rcn.com</t>
  </si>
  <si>
    <t>John Fickel</t>
  </si>
  <si>
    <t>643758104675</t>
  </si>
  <si>
    <t>Discount Solar</t>
  </si>
  <si>
    <t>643758104701</t>
  </si>
  <si>
    <t>Garlon Maxwell</t>
  </si>
  <si>
    <t>775578675437</t>
  </si>
  <si>
    <t>Tuan Pham</t>
  </si>
  <si>
    <t>643758104664</t>
  </si>
  <si>
    <t>Mark Henley</t>
  </si>
  <si>
    <t>643758104653</t>
  </si>
  <si>
    <t>665645041234</t>
  </si>
  <si>
    <t>John Hance</t>
  </si>
  <si>
    <t>626645163521</t>
  </si>
  <si>
    <t>Robert Hesse</t>
  </si>
  <si>
    <t>665645041223</t>
  </si>
  <si>
    <t>Russell Helfer</t>
  </si>
  <si>
    <t>1/0-3 GGC Cable</t>
  </si>
  <si>
    <t>1840828414</t>
  </si>
  <si>
    <t>marinapowerman@aol.com</t>
  </si>
  <si>
    <t>Heather Whitfield</t>
  </si>
  <si>
    <t>400959315</t>
  </si>
  <si>
    <t>Michelle Smith</t>
  </si>
  <si>
    <t>643758104815</t>
  </si>
  <si>
    <t>michellesmith90210@yahoo.com</t>
  </si>
  <si>
    <t>Raul Patel</t>
  </si>
  <si>
    <t>12/2 SJEOOW</t>
  </si>
  <si>
    <t>620670934894</t>
  </si>
  <si>
    <t>Jayson Strand</t>
  </si>
  <si>
    <t>665645041245</t>
  </si>
  <si>
    <t>jaystrand@gctel.net</t>
  </si>
  <si>
    <t>16/12 VNTC 1x3500 1x922</t>
  </si>
  <si>
    <t>Essex</t>
  </si>
  <si>
    <t>0161738939</t>
  </si>
  <si>
    <t>paid 03.21.2016</t>
  </si>
  <si>
    <t>purchasing@harrisonhydragen.org</t>
  </si>
  <si>
    <t>David Damm</t>
  </si>
  <si>
    <t>16/3 SJOOW</t>
  </si>
  <si>
    <t>Loudon</t>
  </si>
  <si>
    <t>665645041267</t>
  </si>
  <si>
    <t>Anthony Adams</t>
  </si>
  <si>
    <t>643758104804</t>
  </si>
  <si>
    <t>Eddie Rosa</t>
  </si>
  <si>
    <t>665645041256</t>
  </si>
  <si>
    <t>Jorge Almira</t>
  </si>
  <si>
    <t xml:space="preserve">	647608627174</t>
  </si>
  <si>
    <t>Karin Denman</t>
  </si>
  <si>
    <t>665645041278</t>
  </si>
  <si>
    <t>Croman Converters</t>
  </si>
  <si>
    <t>16/4 SJEOOW</t>
  </si>
  <si>
    <t>614697958860</t>
  </si>
  <si>
    <t>Patrick Gorman</t>
  </si>
  <si>
    <t>665645041326</t>
  </si>
  <si>
    <t>Dennis Carpenter</t>
  </si>
  <si>
    <t>665645041304</t>
  </si>
  <si>
    <t>Steve Moore</t>
  </si>
  <si>
    <t>665645041315</t>
  </si>
  <si>
    <t>Steve Bragg</t>
  </si>
  <si>
    <t>3/0 Welding Cable Red</t>
  </si>
  <si>
    <t>655702852736</t>
  </si>
  <si>
    <t>David T Wilkerson</t>
  </si>
  <si>
    <t>Belden 1694A RG-6/U Coaxial Cable</t>
  </si>
  <si>
    <t>782318984100</t>
  </si>
  <si>
    <t>John Tesell</t>
  </si>
  <si>
    <t>Belden 8760 18 AWG 1 Twisted Pair Shielded</t>
  </si>
  <si>
    <t>USPS</t>
  </si>
  <si>
    <t>9405509699938183778631</t>
  </si>
  <si>
    <t>Richard Pentz</t>
  </si>
  <si>
    <t>Belden 9342 16/2 Overall Shielded VNTC</t>
  </si>
  <si>
    <t>790363353409</t>
  </si>
  <si>
    <t>Laura Bragg</t>
  </si>
  <si>
    <t>3/0 Welding Cable</t>
  </si>
  <si>
    <t>655702852747</t>
  </si>
  <si>
    <t>State Electric Co.</t>
  </si>
  <si>
    <t>250-250-250-3/0 SER AL</t>
  </si>
  <si>
    <t>3612528721</t>
  </si>
  <si>
    <t>Gill Farms Inc</t>
  </si>
  <si>
    <t>665645041337</t>
  </si>
  <si>
    <t>Rochester Concrete</t>
  </si>
  <si>
    <t>665645041289</t>
  </si>
  <si>
    <t>665645041290</t>
  </si>
  <si>
    <t>250-250-250-3/0 SER AL 2X200</t>
  </si>
  <si>
    <t>19294301</t>
  </si>
  <si>
    <t>Shawn Jones</t>
  </si>
  <si>
    <t>5009919533</t>
  </si>
  <si>
    <t>thelovelysparrows@hotmail.com</t>
  </si>
  <si>
    <t>Duane Lobbestael</t>
  </si>
  <si>
    <t>CENTRAL TRANSPORT/DLS</t>
  </si>
  <si>
    <t>21595859741</t>
  </si>
  <si>
    <t>service.electric.com@gmail.com</t>
  </si>
  <si>
    <t>16/3 SJOOW 4x250</t>
  </si>
  <si>
    <t>Averitt Express</t>
  </si>
  <si>
    <t>001835593</t>
  </si>
  <si>
    <t>3000538A</t>
  </si>
  <si>
    <t>Matt.Colker@wvaelectric.com</t>
  </si>
  <si>
    <t>14/3 SJOOW 4x250</t>
  </si>
  <si>
    <t>3912493266</t>
  </si>
  <si>
    <t>billed out on 02.17.2016</t>
  </si>
  <si>
    <t>18/8 Thermostat</t>
  </si>
  <si>
    <t>Priority/Southwire</t>
  </si>
  <si>
    <t>Eric Devincentis</t>
  </si>
  <si>
    <t>2-2-4-6 Aluminum Moble Home Feeder</t>
  </si>
  <si>
    <t>665645041392</t>
  </si>
  <si>
    <t>ericdevincentis@gmail.com</t>
  </si>
  <si>
    <t>Mike Hurkes</t>
  </si>
  <si>
    <t>1/0-3 VNTC W/GRND</t>
  </si>
  <si>
    <t>626645164149</t>
  </si>
  <si>
    <t>mhurkes@duralifedecking.com</t>
  </si>
  <si>
    <t>Svetlana Kozakov</t>
  </si>
  <si>
    <t xml:space="preserve">16/3 SJOOW </t>
  </si>
  <si>
    <t>616712869768</t>
  </si>
  <si>
    <t>Jeff Oldham</t>
  </si>
  <si>
    <t>665645041418</t>
  </si>
  <si>
    <t>659225587194</t>
  </si>
  <si>
    <t>Paul Jackson</t>
  </si>
  <si>
    <t>665645041407</t>
  </si>
  <si>
    <t>Chuck Gouthiere</t>
  </si>
  <si>
    <t>659225587220</t>
  </si>
  <si>
    <t>Mark Turner</t>
  </si>
  <si>
    <t>665645041370</t>
  </si>
  <si>
    <t>Danna Fraser</t>
  </si>
  <si>
    <t>665645041381</t>
  </si>
  <si>
    <t>Jake Hill</t>
  </si>
  <si>
    <t>659225587210</t>
  </si>
  <si>
    <t>Carol McDonald</t>
  </si>
  <si>
    <t>660170916130</t>
  </si>
  <si>
    <t>Mark Smith</t>
  </si>
  <si>
    <t>663629797318</t>
  </si>
  <si>
    <t>Terry</t>
  </si>
  <si>
    <t>574454190512</t>
  </si>
  <si>
    <t>Henry Vancil</t>
  </si>
  <si>
    <t>659225587209</t>
  </si>
  <si>
    <t>Paul Stanley</t>
  </si>
  <si>
    <t>665645041430</t>
  </si>
  <si>
    <t>631000970132</t>
  </si>
  <si>
    <t>Gary Davis</t>
  </si>
  <si>
    <t>643758105020</t>
  </si>
  <si>
    <t>James Schulte</t>
  </si>
  <si>
    <t>5009815041</t>
  </si>
  <si>
    <t>Tim Juzyk</t>
  </si>
  <si>
    <t>12/4 MC W/GRND 3x250</t>
  </si>
  <si>
    <t>434583945</t>
  </si>
  <si>
    <t>tjuzyk@hamilton.net</t>
  </si>
  <si>
    <t>12/6 MC W/GRND 3x250</t>
  </si>
  <si>
    <t>I012945195</t>
  </si>
  <si>
    <t>Charles Rose</t>
  </si>
  <si>
    <t>2709579784</t>
  </si>
  <si>
    <t>chr1030@netzero.com</t>
  </si>
  <si>
    <t xml:space="preserve">Danco Electrical </t>
  </si>
  <si>
    <t>2 DLO</t>
  </si>
  <si>
    <t>663432518507</t>
  </si>
  <si>
    <t>harold@dancoelectrical.com</t>
  </si>
  <si>
    <t>Jaime Ramirez</t>
  </si>
  <si>
    <t>16/4 SOOW 2x1000</t>
  </si>
  <si>
    <t>I506761398</t>
  </si>
  <si>
    <t>Quintin Stewart</t>
  </si>
  <si>
    <t>655702852791</t>
  </si>
  <si>
    <t>stewartenterprises1llc@gmail.com</t>
  </si>
  <si>
    <t>Willo Products</t>
  </si>
  <si>
    <t>1Z1E1R640341383340</t>
  </si>
  <si>
    <t>cjones@willoproducts.com</t>
  </si>
  <si>
    <t>Donald Lumbard</t>
  </si>
  <si>
    <t>21595859758</t>
  </si>
  <si>
    <t>donaldlumbard@sbcglobal.net</t>
  </si>
  <si>
    <t>Hal Brown</t>
  </si>
  <si>
    <t>I400959333</t>
  </si>
  <si>
    <t>we will pick up.. invoice done but not billed</t>
  </si>
  <si>
    <t>hal@brownelectricsupply.com</t>
  </si>
  <si>
    <t>324443889</t>
  </si>
  <si>
    <t>3000564A.. we will pick up</t>
  </si>
  <si>
    <t>14/4 Fire Alarm Cable Plenum</t>
  </si>
  <si>
    <t>Shane Scanlon</t>
  </si>
  <si>
    <t>4/4 Type G 2KV</t>
  </si>
  <si>
    <t>paid 04.14.2016</t>
  </si>
  <si>
    <t>shane@evoics.com</t>
  </si>
  <si>
    <t>Adam Sheer</t>
  </si>
  <si>
    <t xml:space="preserve">	616712870176</t>
  </si>
  <si>
    <t>ajsheer@gmail.com</t>
  </si>
  <si>
    <t>Charles Campbell</t>
  </si>
  <si>
    <t>665645041440</t>
  </si>
  <si>
    <t>mike@totalseedproduction.com</t>
  </si>
  <si>
    <t>Mavis Benton</t>
  </si>
  <si>
    <t>14/2 MC W/GRND</t>
  </si>
  <si>
    <t>Not Provided</t>
  </si>
  <si>
    <t>John Hlasny</t>
  </si>
  <si>
    <t>Schoharie</t>
  </si>
  <si>
    <t>RIST/ECHO</t>
  </si>
  <si>
    <t>7187668-569</t>
  </si>
  <si>
    <t>Jay McCandles</t>
  </si>
  <si>
    <t>389841743</t>
  </si>
  <si>
    <t>jay.mccandles@unn.pp.gov</t>
  </si>
  <si>
    <t>Joseph Harris</t>
  </si>
  <si>
    <t>643758105086</t>
  </si>
  <si>
    <t>Heath Westenskow</t>
  </si>
  <si>
    <t>18/3 SJOOW YELLOW</t>
  </si>
  <si>
    <t>665645041473</t>
  </si>
  <si>
    <t>Kyle Childers</t>
  </si>
  <si>
    <t>643758105031</t>
  </si>
  <si>
    <t>Erick Kiener</t>
  </si>
  <si>
    <t>665645041495</t>
  </si>
  <si>
    <t>Arnold Bowen</t>
  </si>
  <si>
    <t>272805017</t>
  </si>
  <si>
    <t>Nathan Wagley</t>
  </si>
  <si>
    <t>665645041484</t>
  </si>
  <si>
    <t>Michael Phy</t>
  </si>
  <si>
    <t>643758105042</t>
  </si>
  <si>
    <t>Terry Peters</t>
  </si>
  <si>
    <t>665645041451</t>
  </si>
  <si>
    <t>kewlerone@msn.com</t>
  </si>
  <si>
    <t>Chrissy Stratton</t>
  </si>
  <si>
    <t>665645041462</t>
  </si>
  <si>
    <t>James Jordan</t>
  </si>
  <si>
    <t>643758105053</t>
  </si>
  <si>
    <t>Connor McCain</t>
  </si>
  <si>
    <t>Belden 5300FE 18/2 Shielded Control Cable</t>
  </si>
  <si>
    <t>782318557517</t>
  </si>
  <si>
    <t>Joe Ritota</t>
  </si>
  <si>
    <t>4 THHN CU</t>
  </si>
  <si>
    <t>1Z0811790370886245</t>
  </si>
  <si>
    <t>joe.ritota@anniesbread.com</t>
  </si>
  <si>
    <t>John Chernoch</t>
  </si>
  <si>
    <t>643758105064</t>
  </si>
  <si>
    <t>jchernoch@gmail.com</t>
  </si>
  <si>
    <t>Micah Rainwater</t>
  </si>
  <si>
    <t>643758105075</t>
  </si>
  <si>
    <t>Stephen Childres</t>
  </si>
  <si>
    <t>CENTRAL/DLS</t>
  </si>
  <si>
    <t>21590977621</t>
  </si>
  <si>
    <t>stephend750308@gmail.com</t>
  </si>
  <si>
    <t>Ingemar Carlsson</t>
  </si>
  <si>
    <t>3-3-3-5 SER COPPER</t>
  </si>
  <si>
    <t>614697958892</t>
  </si>
  <si>
    <t>carlssoningemar@hotmail.com</t>
  </si>
  <si>
    <t>Lynn Gruesbeck</t>
  </si>
  <si>
    <t>77737629848</t>
  </si>
  <si>
    <t>gruesly1@aol.com</t>
  </si>
  <si>
    <t>James Varney</t>
  </si>
  <si>
    <t>Blount</t>
  </si>
  <si>
    <t>665645041500</t>
  </si>
  <si>
    <t>Neil Daigle</t>
  </si>
  <si>
    <t>643758105145</t>
  </si>
  <si>
    <t>659225587264</t>
  </si>
  <si>
    <t>3000589A</t>
  </si>
  <si>
    <t>Ray Deluca</t>
  </si>
  <si>
    <t>643758105189</t>
  </si>
  <si>
    <t>Richard Dove</t>
  </si>
  <si>
    <t>1/0 XHHW Copper</t>
  </si>
  <si>
    <t>643758105190</t>
  </si>
  <si>
    <t>665645041543</t>
  </si>
  <si>
    <t>David G</t>
  </si>
  <si>
    <t>1Z9X760X0363724518</t>
  </si>
  <si>
    <t>8/4 SEOOW</t>
  </si>
  <si>
    <t>1Z380R8A0334548594</t>
  </si>
  <si>
    <t>12/4 SJEOOW</t>
  </si>
  <si>
    <t>1ZE412720378187767</t>
  </si>
  <si>
    <t xml:space="preserve">	1Z0253560359940084	</t>
  </si>
  <si>
    <t>Adam Naeger</t>
  </si>
  <si>
    <t>ROADRNNER/DLS</t>
  </si>
  <si>
    <t>356225532</t>
  </si>
  <si>
    <t xml:space="preserve">we will pick up </t>
  </si>
  <si>
    <t>Mark Golab</t>
  </si>
  <si>
    <t>643758105097</t>
  </si>
  <si>
    <t>James Powell</t>
  </si>
  <si>
    <t>Sullivan</t>
  </si>
  <si>
    <t>643758105167</t>
  </si>
  <si>
    <t>Mike Knepp</t>
  </si>
  <si>
    <t>665645041534</t>
  </si>
  <si>
    <t>Bruce Dunn</t>
  </si>
  <si>
    <t>10/3 SJOOW 2x250</t>
  </si>
  <si>
    <t>659225587242 and 659225587253  </t>
  </si>
  <si>
    <t>William Kreiner</t>
  </si>
  <si>
    <t>665645041554</t>
  </si>
  <si>
    <t>Michael Daniels</t>
  </si>
  <si>
    <t>643758105101</t>
  </si>
  <si>
    <t>Julian Starr</t>
  </si>
  <si>
    <t>659225587286</t>
  </si>
  <si>
    <t>Rafael Echarri</t>
  </si>
  <si>
    <t>Cat5E Direct Burial 5x1000</t>
  </si>
  <si>
    <t xml:space="preserve">782340615386 </t>
  </si>
  <si>
    <t>rafael@rdelectricinc.com</t>
  </si>
  <si>
    <t>Kyle Loseke</t>
  </si>
  <si>
    <t>1Z0811790371714857</t>
  </si>
  <si>
    <t>Paul Kalenian</t>
  </si>
  <si>
    <t>1Z0811790372641915</t>
  </si>
  <si>
    <t>Mac Villaruel</t>
  </si>
  <si>
    <t>1/0 THHN GREEN 2x100</t>
  </si>
  <si>
    <t>665645041510</t>
  </si>
  <si>
    <t xml:space="preserve">Alex Williams </t>
  </si>
  <si>
    <t>659225587275</t>
  </si>
  <si>
    <t>James Kleiss</t>
  </si>
  <si>
    <t>659225587297</t>
  </si>
  <si>
    <t>Wesley Swartz</t>
  </si>
  <si>
    <t>14/4 Romex NM-B W/GRND</t>
  </si>
  <si>
    <t>Brazill</t>
  </si>
  <si>
    <t>63811671418</t>
  </si>
  <si>
    <t>wes.swartz@cornell.edu</t>
  </si>
  <si>
    <t>Ed Gleason</t>
  </si>
  <si>
    <t>665645041521</t>
  </si>
  <si>
    <t>Danny Ray</t>
  </si>
  <si>
    <t>3/0 Welding Cable 2x500</t>
  </si>
  <si>
    <t>danny@trmsinc.com</t>
  </si>
  <si>
    <t>Cynthia Doan</t>
  </si>
  <si>
    <t>4/0 Welding Cable</t>
  </si>
  <si>
    <t>775625580487</t>
  </si>
  <si>
    <t>cdoan@molyworks.com</t>
  </si>
  <si>
    <t>Josh Christie</t>
  </si>
  <si>
    <t>7190567</t>
  </si>
  <si>
    <t>overtheedgeprods@gmail.com</t>
  </si>
  <si>
    <t>Mike Marchitto</t>
  </si>
  <si>
    <t>389769993</t>
  </si>
  <si>
    <t>mmarchitto@associatedpacific.com</t>
  </si>
  <si>
    <t>Richard Gilchrist</t>
  </si>
  <si>
    <t>250MCM Welding Cable</t>
  </si>
  <si>
    <t>655702852817</t>
  </si>
  <si>
    <t>richard.gilchrist@faa.gov</t>
  </si>
  <si>
    <t>Craig Sprowles</t>
  </si>
  <si>
    <t>665645041565</t>
  </si>
  <si>
    <t>Dee Conger</t>
  </si>
  <si>
    <t>665645041587</t>
  </si>
  <si>
    <t>Joseph Walden</t>
  </si>
  <si>
    <t>665645041576</t>
  </si>
  <si>
    <t>Deepak Datwani</t>
  </si>
  <si>
    <t>643758105112</t>
  </si>
  <si>
    <t>William Aiken</t>
  </si>
  <si>
    <t>643758105156</t>
  </si>
  <si>
    <t>Jonathan Greenawalt</t>
  </si>
  <si>
    <t>6/3 SOOW 2x100</t>
  </si>
  <si>
    <t>643758105123</t>
  </si>
  <si>
    <t>00896200690</t>
  </si>
  <si>
    <t>michaely@sunvalleyelectricinc.com</t>
  </si>
  <si>
    <t>Philip Urbanski</t>
  </si>
  <si>
    <t>8/4 SOOW 2x1000</t>
  </si>
  <si>
    <t>WARD TRUCKING/ECHO</t>
  </si>
  <si>
    <t>0183074851</t>
  </si>
  <si>
    <t>allaboutservice@ameritech.net</t>
  </si>
  <si>
    <t>Maximillian Leo</t>
  </si>
  <si>
    <t>880827159</t>
  </si>
  <si>
    <t>mleo@lioncss.com</t>
  </si>
  <si>
    <t>Dobbs Corporation</t>
  </si>
  <si>
    <t>4/5 SEOOW 2x1000</t>
  </si>
  <si>
    <t>not shipping until around 4/10/16</t>
  </si>
  <si>
    <t>tiffany@dobbspump.com</t>
  </si>
  <si>
    <t>Feldman Brothers</t>
  </si>
  <si>
    <t>4/0-3 GGC 2x160</t>
  </si>
  <si>
    <t xml:space="preserve">LTL </t>
  </si>
  <si>
    <t>I697898538</t>
  </si>
  <si>
    <t>Harold Nelson</t>
  </si>
  <si>
    <t>665645041598</t>
  </si>
  <si>
    <t>Chris Reichert</t>
  </si>
  <si>
    <t>665645041602</t>
  </si>
  <si>
    <t>Felicia Zabin-Fessler</t>
  </si>
  <si>
    <t xml:space="preserve">	389769985</t>
  </si>
  <si>
    <t>lvstang@msn.com</t>
  </si>
  <si>
    <t>Jerzy Krupinski</t>
  </si>
  <si>
    <t>12/2 MC W/GRND 40 X 250</t>
  </si>
  <si>
    <t>318390853</t>
  </si>
  <si>
    <t>jerzy@mmbcontractors.com</t>
  </si>
  <si>
    <t>Paulette Voss</t>
  </si>
  <si>
    <t>PITT/OHIO/DLS</t>
  </si>
  <si>
    <t>5011811317</t>
  </si>
  <si>
    <t>d-voss@outlook.com</t>
  </si>
  <si>
    <t>Jay Elrod</t>
  </si>
  <si>
    <t>659225587301</t>
  </si>
  <si>
    <t>Paul Johnson</t>
  </si>
  <si>
    <t>643758105248</t>
  </si>
  <si>
    <t>Wayne Woolaver</t>
  </si>
  <si>
    <t>775626552678</t>
  </si>
  <si>
    <t>William Whitcher</t>
  </si>
  <si>
    <t>2/0 Welding Cable Yellow</t>
  </si>
  <si>
    <t>Montgomery</t>
  </si>
  <si>
    <t>566038129</t>
  </si>
  <si>
    <t>663910426843</t>
  </si>
  <si>
    <t>Brandon Katon</t>
  </si>
  <si>
    <t>643758105237</t>
  </si>
  <si>
    <t>Edward Haertel</t>
  </si>
  <si>
    <t>643758105215</t>
  </si>
  <si>
    <t>Miller Creek Services</t>
  </si>
  <si>
    <t>659225587312 and 659225587323</t>
  </si>
  <si>
    <t xml:space="preserve">Jamaica Electrical </t>
  </si>
  <si>
    <t>AWM 10/4 1000V (62972)</t>
  </si>
  <si>
    <t>CORNERSTONE</t>
  </si>
  <si>
    <t>PAID 2.29.2016</t>
  </si>
  <si>
    <t>Theodore Felde</t>
  </si>
  <si>
    <t>659225587345</t>
  </si>
  <si>
    <t>Mandi Thomasson</t>
  </si>
  <si>
    <t>643758105226</t>
  </si>
  <si>
    <t>Romik Bazik</t>
  </si>
  <si>
    <t>659225587334</t>
  </si>
  <si>
    <t>Daryl Huggins</t>
  </si>
  <si>
    <t>643758105259</t>
  </si>
  <si>
    <t>darylhuggins@bellsouth.net</t>
  </si>
  <si>
    <t>Jerry Pettit</t>
  </si>
  <si>
    <t>643758105204</t>
  </si>
  <si>
    <t>David Miller</t>
  </si>
  <si>
    <t xml:space="preserve">	616712869974</t>
  </si>
  <si>
    <t>vernster95@yahoo.com</t>
  </si>
  <si>
    <t>16/3 SOOW 2x250</t>
  </si>
  <si>
    <t>665645041624</t>
  </si>
  <si>
    <t>Christopher Swann</t>
  </si>
  <si>
    <t>659225587356</t>
  </si>
  <si>
    <t>Larry Unruh</t>
  </si>
  <si>
    <t>12/3 SJOOW 2x500</t>
  </si>
  <si>
    <t>1Z9X760X0362783377</t>
  </si>
  <si>
    <t>Kyle Hartmann</t>
  </si>
  <si>
    <t>663910426887</t>
  </si>
  <si>
    <t>Ana Berrellez</t>
  </si>
  <si>
    <t>10 AWG XLP USE-2 COPPER BLACK</t>
  </si>
  <si>
    <t>ADCable</t>
  </si>
  <si>
    <t>360560525-3</t>
  </si>
  <si>
    <t>a.berrellez@winchesterelectronics.com</t>
  </si>
  <si>
    <t>10 AWG XLP USE-2 COPPER BROWN</t>
  </si>
  <si>
    <t>Gary Jones</t>
  </si>
  <si>
    <t>Belden 3083A</t>
  </si>
  <si>
    <t>665645041635</t>
  </si>
  <si>
    <t>agreenwalt@coreelectric.us</t>
  </si>
  <si>
    <t>Dan Haderlie</t>
  </si>
  <si>
    <t>16-4 Solid Plenum Rated Fire Alarm Cable</t>
  </si>
  <si>
    <t>775657024526</t>
  </si>
  <si>
    <t>Michael St. Pierre</t>
  </si>
  <si>
    <t xml:space="preserve">8/4 SOOW </t>
  </si>
  <si>
    <t>643758105281</t>
  </si>
  <si>
    <t>Junior Ruiz</t>
  </si>
  <si>
    <t>1/0 Clear Insulation Ground</t>
  </si>
  <si>
    <t xml:space="preserve">	609851492763</t>
  </si>
  <si>
    <t>Junior.Ruiz@nypa.gov</t>
  </si>
  <si>
    <t>Totes Pump</t>
  </si>
  <si>
    <t>Slippery Rock 1x1000 1x350 splice together</t>
  </si>
  <si>
    <t>389768714</t>
  </si>
  <si>
    <t>we will pick up </t>
  </si>
  <si>
    <t>wrtoevs@gmail.com</t>
  </si>
  <si>
    <t>Steven Knapp</t>
  </si>
  <si>
    <t>665645041657</t>
  </si>
  <si>
    <t>ktidyman@knappelectric.net</t>
  </si>
  <si>
    <t>643758105421</t>
  </si>
  <si>
    <t>3000657B</t>
  </si>
  <si>
    <t>4 Welding Cable</t>
  </si>
  <si>
    <t>1Z2561890347008119</t>
  </si>
  <si>
    <t>3000657A</t>
  </si>
  <si>
    <t>1/0 Welding Cable</t>
  </si>
  <si>
    <t>18/6 SOOW</t>
  </si>
  <si>
    <t xml:space="preserve">	663629797947</t>
  </si>
  <si>
    <t>3000657C</t>
  </si>
  <si>
    <t>Dylan Summers</t>
  </si>
  <si>
    <t xml:space="preserve">	620670935217</t>
  </si>
  <si>
    <t>Patty Simmons</t>
  </si>
  <si>
    <t>665645041646</t>
  </si>
  <si>
    <t>Michael Gress</t>
  </si>
  <si>
    <t>178675030146204</t>
  </si>
  <si>
    <t>Troy Brunet</t>
  </si>
  <si>
    <t>6 XHHW AL</t>
  </si>
  <si>
    <t>665645041668</t>
  </si>
  <si>
    <t>Richard Fischler</t>
  </si>
  <si>
    <t>18/10 SOOW</t>
  </si>
  <si>
    <t>cooltruck@aol.com</t>
  </si>
  <si>
    <t>47224685</t>
  </si>
  <si>
    <t>Neldon Jackson</t>
  </si>
  <si>
    <t>620670935206</t>
  </si>
  <si>
    <t>neldon.jackson@ge.com</t>
  </si>
  <si>
    <t>Josh Toman</t>
  </si>
  <si>
    <t>14/4 VNTC</t>
  </si>
  <si>
    <t xml:space="preserve">	614697959053</t>
  </si>
  <si>
    <t>Daniel Magnusson</t>
  </si>
  <si>
    <t>665645041679</t>
  </si>
  <si>
    <t>Douglas Stuart</t>
  </si>
  <si>
    <t>643758105330</t>
  </si>
  <si>
    <t>Tom Thompson</t>
  </si>
  <si>
    <t>665645041716</t>
  </si>
  <si>
    <t>Sid Elis</t>
  </si>
  <si>
    <t>643758105476</t>
  </si>
  <si>
    <t>Nicholas Sozo</t>
  </si>
  <si>
    <t>665645041727</t>
  </si>
  <si>
    <t>Larry Tschirhart</t>
  </si>
  <si>
    <t>665645041690</t>
  </si>
  <si>
    <t>tschirhartlarry@yahoo.com</t>
  </si>
  <si>
    <t>John Rogers</t>
  </si>
  <si>
    <t>665645041705</t>
  </si>
  <si>
    <t>James Collins</t>
  </si>
  <si>
    <t>16/4 SJOOW</t>
  </si>
  <si>
    <t>665645041680</t>
  </si>
  <si>
    <t>Abel Palacio</t>
  </si>
  <si>
    <t>1Z4064140354555175</t>
  </si>
  <si>
    <t>Michael McMillen</t>
  </si>
  <si>
    <t>643758105340</t>
  </si>
  <si>
    <t>Amber Matlock</t>
  </si>
  <si>
    <t>665645041738</t>
  </si>
  <si>
    <t>Loyd King</t>
  </si>
  <si>
    <t>659225587404</t>
  </si>
  <si>
    <t>loydginaking@usana.com</t>
  </si>
  <si>
    <t>4 THHN CU 1x31 1x100</t>
  </si>
  <si>
    <t>659225587415</t>
  </si>
  <si>
    <t>Charles Caldwell</t>
  </si>
  <si>
    <t>574454190887</t>
  </si>
  <si>
    <t>dhcbeaver@gmail.com</t>
  </si>
  <si>
    <t>1Z9X760X0364147604</t>
  </si>
  <si>
    <t>3000677A</t>
  </si>
  <si>
    <t>Jim Annixter</t>
  </si>
  <si>
    <t>Monmouth 9x1000</t>
  </si>
  <si>
    <t>2709580075</t>
  </si>
  <si>
    <t>paid 03.30.2016</t>
  </si>
  <si>
    <t>12 XLP USE-2 BLACK 8x2500</t>
  </si>
  <si>
    <t>5009138454</t>
  </si>
  <si>
    <t>Monmouth 8x1000</t>
  </si>
  <si>
    <t>2709580064</t>
  </si>
  <si>
    <t>William Tate</t>
  </si>
  <si>
    <t>659225587426</t>
  </si>
  <si>
    <t>Justin Hart</t>
  </si>
  <si>
    <t>1/0 Welding Cable Orange Ultra-Flex</t>
  </si>
  <si>
    <t>775664183493</t>
  </si>
  <si>
    <t>David Rutledge</t>
  </si>
  <si>
    <t>659225587448</t>
  </si>
  <si>
    <t>James Abart</t>
  </si>
  <si>
    <t>Vitaly Lysenko</t>
  </si>
  <si>
    <t>665645041771</t>
  </si>
  <si>
    <t>Sandra Reed</t>
  </si>
  <si>
    <t>659225587437</t>
  </si>
  <si>
    <t>Donny Mcgowan</t>
  </si>
  <si>
    <t>James Willis</t>
  </si>
  <si>
    <t>665645041749</t>
  </si>
  <si>
    <t>Monte Lewis</t>
  </si>
  <si>
    <t>659225587459</t>
  </si>
  <si>
    <t>Island Soundworx</t>
  </si>
  <si>
    <t xml:space="preserve">	1Z9X760X0362103780</t>
  </si>
  <si>
    <t>Jim Mastrangelo</t>
  </si>
  <si>
    <t>665645041793</t>
  </si>
  <si>
    <t>Matthew Cook</t>
  </si>
  <si>
    <t>643758105400</t>
  </si>
  <si>
    <t>Bill PIerce</t>
  </si>
  <si>
    <t>665645041782</t>
  </si>
  <si>
    <t>Lawrence Anderson</t>
  </si>
  <si>
    <t>665645041750</t>
  </si>
  <si>
    <t>Edward Kazmerski</t>
  </si>
  <si>
    <t>643758105432</t>
  </si>
  <si>
    <t>Custom Components</t>
  </si>
  <si>
    <t>8/3 Bus Drop Cable</t>
  </si>
  <si>
    <t xml:space="preserve">655044309328
</t>
  </si>
  <si>
    <t>Pablo Velasco</t>
  </si>
  <si>
    <t>8/3 AL Interlocked Armor Cable W/GRND</t>
  </si>
  <si>
    <t>663432519823</t>
  </si>
  <si>
    <t>Wayne Wingard</t>
  </si>
  <si>
    <t>659225587460</t>
  </si>
  <si>
    <t>Bill Mangum</t>
  </si>
  <si>
    <t>Brenau 1x175 1x375</t>
  </si>
  <si>
    <t>I697898646</t>
  </si>
  <si>
    <t>billmangum@yahoo.com</t>
  </si>
  <si>
    <t>David Ellison</t>
  </si>
  <si>
    <t>665645041760</t>
  </si>
  <si>
    <t>de122057@gmail.com</t>
  </si>
  <si>
    <t>Sorin Doru Badea</t>
  </si>
  <si>
    <t>1694A RG6/U</t>
  </si>
  <si>
    <t>629934428870</t>
  </si>
  <si>
    <t>I697898637</t>
  </si>
  <si>
    <t>jayelrod@msn.com</t>
  </si>
  <si>
    <t>G Wallen</t>
  </si>
  <si>
    <t>6 THHN Black</t>
  </si>
  <si>
    <t>DATS TRUCKING</t>
  </si>
  <si>
    <t>754161798</t>
  </si>
  <si>
    <t>accutrack@mchsi.com</t>
  </si>
  <si>
    <t>6 THHN YELLOW</t>
  </si>
  <si>
    <t>10 THHN GREEN</t>
  </si>
  <si>
    <t>8/4 SOOW 4x250</t>
  </si>
  <si>
    <t>billed out on 02.18.2016</t>
  </si>
  <si>
    <t>6/3 SOOW 2x250</t>
  </si>
  <si>
    <t>14/4 SJOOW 6x250</t>
  </si>
  <si>
    <t>21596012480</t>
  </si>
  <si>
    <t>3000703A</t>
  </si>
  <si>
    <t>6/4 SOOW 2x250</t>
  </si>
  <si>
    <t>Joe Preteska</t>
  </si>
  <si>
    <t>4/3 GGC</t>
  </si>
  <si>
    <t>1ZE412720378530279</t>
  </si>
  <si>
    <t>preteskaj@bellsouth.net</t>
  </si>
  <si>
    <t>Chris Panetta</t>
  </si>
  <si>
    <t>643758105454</t>
  </si>
  <si>
    <t>cpanetta@summitfinishing.com</t>
  </si>
  <si>
    <t>Daniel Underwood</t>
  </si>
  <si>
    <t>16/50 VNTC</t>
  </si>
  <si>
    <t>SEFL/DLS</t>
  </si>
  <si>
    <t>302797262</t>
  </si>
  <si>
    <t>daniel.underwood@unlimitedcontrolllc.com</t>
  </si>
  <si>
    <t>Shragg Electric</t>
  </si>
  <si>
    <t>MC 4/4 BLACK, RED, BLUE, WHITE W/#8 GREEN GRND</t>
  </si>
  <si>
    <t>310999496</t>
  </si>
  <si>
    <t>paid 04.15.2016</t>
  </si>
  <si>
    <t>shragelectric1@yahoo.com</t>
  </si>
  <si>
    <t>21587593167</t>
  </si>
  <si>
    <t>3000707A .. we will pick up</t>
  </si>
  <si>
    <t>2709580112</t>
  </si>
  <si>
    <t>10 THHN BROWN</t>
  </si>
  <si>
    <t>Elvis Ferreira</t>
  </si>
  <si>
    <t>665645041841</t>
  </si>
  <si>
    <t>torchesetc@gmail.com</t>
  </si>
  <si>
    <t>Brett Morley</t>
  </si>
  <si>
    <t>3 THHN CU</t>
  </si>
  <si>
    <t>643758105362</t>
  </si>
  <si>
    <t>brett.morley@performance-eng.net</t>
  </si>
  <si>
    <t>Jospeh Light</t>
  </si>
  <si>
    <t>665645041808</t>
  </si>
  <si>
    <t>rsaaudio@gmail.com</t>
  </si>
  <si>
    <t>665645041819</t>
  </si>
  <si>
    <t>Arnulf Hsu</t>
  </si>
  <si>
    <t>643758105410</t>
  </si>
  <si>
    <t>6/2 UF-B W/GRND</t>
  </si>
  <si>
    <t>665645041830</t>
  </si>
  <si>
    <t>3000712A</t>
  </si>
  <si>
    <t>Terrance Harkness</t>
  </si>
  <si>
    <t>643758105373</t>
  </si>
  <si>
    <t>Patricia Morrow</t>
  </si>
  <si>
    <t>I697898691</t>
  </si>
  <si>
    <t>Paul Lachowsky</t>
  </si>
  <si>
    <t>630997804563</t>
  </si>
  <si>
    <t>Philip Washburn</t>
  </si>
  <si>
    <t xml:space="preserve">3/0 Welding Cable </t>
  </si>
  <si>
    <t>775677229400</t>
  </si>
  <si>
    <t>3653243322</t>
  </si>
  <si>
    <t>3000717A... we will pick up with 3000717</t>
  </si>
  <si>
    <t>665645041820</t>
  </si>
  <si>
    <t>Jerome Thebault</t>
  </si>
  <si>
    <t>665645041852</t>
  </si>
  <si>
    <t>Andrew Carollo</t>
  </si>
  <si>
    <t>643758105465</t>
  </si>
  <si>
    <t>Andrew Case</t>
  </si>
  <si>
    <t>8 AWG Solar Photovoltaic Cable</t>
  </si>
  <si>
    <t>653008469370</t>
  </si>
  <si>
    <t>Uri Yulzari</t>
  </si>
  <si>
    <t>297-0578889</t>
  </si>
  <si>
    <t>2709580101</t>
  </si>
  <si>
    <t>jsandoval1114@gmail.com</t>
  </si>
  <si>
    <t>Steve Schaper</t>
  </si>
  <si>
    <t>Belden 8760 18 AWG 2 Conductor Shielded</t>
  </si>
  <si>
    <t xml:space="preserve">UPS </t>
  </si>
  <si>
    <t>1ZY9R3910395897208</t>
  </si>
  <si>
    <t>Damon Boudreau</t>
  </si>
  <si>
    <t>775675482621</t>
  </si>
  <si>
    <t>Matt Petrone</t>
  </si>
  <si>
    <t>643758105535</t>
  </si>
  <si>
    <t>Dale Acker</t>
  </si>
  <si>
    <t>643758105557</t>
  </si>
  <si>
    <t>Yoshi</t>
  </si>
  <si>
    <t>665645041874</t>
  </si>
  <si>
    <t>Jonathan Philpott</t>
  </si>
  <si>
    <t>665645041911</t>
  </si>
  <si>
    <t>Wendell Pipkin</t>
  </si>
  <si>
    <t>643758105568</t>
  </si>
  <si>
    <t>Tommy Bordewyk</t>
  </si>
  <si>
    <t>659225587492</t>
  </si>
  <si>
    <t>Armando Araujo</t>
  </si>
  <si>
    <t>665645041885</t>
  </si>
  <si>
    <t>Mike Sarver</t>
  </si>
  <si>
    <t>2/0 Welding Cable Green</t>
  </si>
  <si>
    <t>775687892400</t>
  </si>
  <si>
    <t>Ryan Chard</t>
  </si>
  <si>
    <t>1ZE412720378629146</t>
  </si>
  <si>
    <t>Ray Wessels</t>
  </si>
  <si>
    <t>665645041900</t>
  </si>
  <si>
    <t>643758105443</t>
  </si>
  <si>
    <t>John Howe</t>
  </si>
  <si>
    <t xml:space="preserve">Brenau </t>
  </si>
  <si>
    <t>659225587507</t>
  </si>
  <si>
    <t>Donnie Mullins</t>
  </si>
  <si>
    <t>665645041896</t>
  </si>
  <si>
    <t>Paul Eubanks</t>
  </si>
  <si>
    <t>5011811347</t>
  </si>
  <si>
    <t>terryeubanks@gmail.com</t>
  </si>
  <si>
    <t>Dave Threlkeld</t>
  </si>
  <si>
    <t>643758105487</t>
  </si>
  <si>
    <t>dave@ipstanks.com</t>
  </si>
  <si>
    <t>Nick O'Connor</t>
  </si>
  <si>
    <t>250MCM XLP USE-2 AL</t>
  </si>
  <si>
    <t xml:space="preserve">	615219426</t>
  </si>
  <si>
    <t>3000741A</t>
  </si>
  <si>
    <t>nicholas.t.oconnor@gmail.com</t>
  </si>
  <si>
    <t>2 XLP USE-2 AL</t>
  </si>
  <si>
    <t>659225587518</t>
  </si>
  <si>
    <t>1 XLP USE-2 AL</t>
  </si>
  <si>
    <t>6 XLP USE-2 AL</t>
  </si>
  <si>
    <t>2/0 THHN COPPER</t>
  </si>
  <si>
    <t>3000741B</t>
  </si>
  <si>
    <t>Bill Coleman</t>
  </si>
  <si>
    <t>665645041922</t>
  </si>
  <si>
    <t>paid on 03.24.2016</t>
  </si>
  <si>
    <t>bcoleman@winkleindustries.com</t>
  </si>
  <si>
    <t>Oscar Landgrave</t>
  </si>
  <si>
    <t xml:space="preserve">659225587470  </t>
  </si>
  <si>
    <t>oklandgrave@yahoo.com</t>
  </si>
  <si>
    <t>659225587481</t>
  </si>
  <si>
    <t>Melvin Hall</t>
  </si>
  <si>
    <t>643758105546</t>
  </si>
  <si>
    <t>Duval Cruz</t>
  </si>
  <si>
    <t>3/0-3 MC W/GRND Teck90</t>
  </si>
  <si>
    <t>802493087005</t>
  </si>
  <si>
    <t>cruz@ge.com</t>
  </si>
  <si>
    <t>Connectors</t>
  </si>
  <si>
    <t>16326366</t>
  </si>
  <si>
    <t>LUA3081204</t>
  </si>
  <si>
    <t>00577327320</t>
  </si>
  <si>
    <t>659225587551</t>
  </si>
  <si>
    <t>659225587562</t>
  </si>
  <si>
    <t>Dennis Beardsley</t>
  </si>
  <si>
    <t xml:space="preserve">1Z9X760X0363208362	</t>
  </si>
  <si>
    <t>paid 03.31.2016</t>
  </si>
  <si>
    <t>dennis.beardsley@robotunits.com</t>
  </si>
  <si>
    <t>James Marinelli</t>
  </si>
  <si>
    <t>659225587540</t>
  </si>
  <si>
    <t>John Raner</t>
  </si>
  <si>
    <t>643758105579</t>
  </si>
  <si>
    <t>Jeremy Starwalt</t>
  </si>
  <si>
    <t>659225587529</t>
  </si>
  <si>
    <t>Mike Podgornik</t>
  </si>
  <si>
    <t>18/3 VNTC</t>
  </si>
  <si>
    <t>624863832340</t>
  </si>
  <si>
    <t>Ben Hartwick</t>
  </si>
  <si>
    <t>12/3 SJOOW 1x1000 1x250</t>
  </si>
  <si>
    <t>0153775982</t>
  </si>
  <si>
    <t>J Mayo</t>
  </si>
  <si>
    <t>659225587573</t>
  </si>
  <si>
    <t>Elizabeth Dietz</t>
  </si>
  <si>
    <t>659225587530</t>
  </si>
  <si>
    <t>Sean Russell Kruckenberg</t>
  </si>
  <si>
    <t>14/3 SJOOW 2x500</t>
  </si>
  <si>
    <t>1ZE412720378736422</t>
  </si>
  <si>
    <t>Carl Beaver</t>
  </si>
  <si>
    <t>659225587610</t>
  </si>
  <si>
    <t>Randall Ritchie</t>
  </si>
  <si>
    <t>2/0 Welding Cable Black</t>
  </si>
  <si>
    <t>775696764044</t>
  </si>
  <si>
    <t xml:space="preserve">2/0 Welding Cable Orange </t>
  </si>
  <si>
    <t>2709580134</t>
  </si>
  <si>
    <t>Rhea Cramer</t>
  </si>
  <si>
    <t>659225587584</t>
  </si>
  <si>
    <t>643758105708</t>
  </si>
  <si>
    <t>Randy Walker</t>
  </si>
  <si>
    <t>10/4 VNTC</t>
  </si>
  <si>
    <t>667087265387</t>
  </si>
  <si>
    <t>Benjamin Saint Louis</t>
  </si>
  <si>
    <t>659225587600</t>
  </si>
  <si>
    <t>Kadir Dombayci</t>
  </si>
  <si>
    <t>643758105682</t>
  </si>
  <si>
    <t>Ted Lazakis</t>
  </si>
  <si>
    <t>4 THHN COPPER 4x500</t>
  </si>
  <si>
    <t>4176431022</t>
  </si>
  <si>
    <t>alphabedding@comcast.net</t>
  </si>
  <si>
    <t>2/0 THHN COPPER 4x250</t>
  </si>
  <si>
    <t>659225587621</t>
  </si>
  <si>
    <t>Jason Merillat</t>
  </si>
  <si>
    <t>655702852997</t>
  </si>
  <si>
    <t>1Z9X760X0363842300</t>
  </si>
  <si>
    <t>659225587654</t>
  </si>
  <si>
    <t>3000769A</t>
  </si>
  <si>
    <t>Wolfgang Rosenau</t>
  </si>
  <si>
    <t>659225587643</t>
  </si>
  <si>
    <t>worosenau@att.net</t>
  </si>
  <si>
    <t>Hawk Ece</t>
  </si>
  <si>
    <t>1/0 THHN COPPER Southwire Only</t>
  </si>
  <si>
    <t>0243887028</t>
  </si>
  <si>
    <t>Tim Espy</t>
  </si>
  <si>
    <t>665651730996</t>
  </si>
  <si>
    <t>Donald Miller</t>
  </si>
  <si>
    <t>4-4-4-6 SER COPPER</t>
  </si>
  <si>
    <t>574454191118</t>
  </si>
  <si>
    <t>Ronald Overby</t>
  </si>
  <si>
    <t>665651730985</t>
  </si>
  <si>
    <t>Franklin Koehn</t>
  </si>
  <si>
    <t>643758105693</t>
  </si>
  <si>
    <t>John McCafferty</t>
  </si>
  <si>
    <t>6 THHN COPPER</t>
  </si>
  <si>
    <t>1Z9X760X0365174967</t>
  </si>
  <si>
    <t>Jennifer Childress</t>
  </si>
  <si>
    <t>8/5 Type W</t>
  </si>
  <si>
    <t>1ZE412720378763134</t>
  </si>
  <si>
    <t>amcneely@shelbyelectric.net</t>
  </si>
  <si>
    <t>Pete Jacobsen</t>
  </si>
  <si>
    <t>643758105719</t>
  </si>
  <si>
    <t>pjbottoms@hotmail.com</t>
  </si>
  <si>
    <t>Michael Halsey</t>
  </si>
  <si>
    <t>16326371</t>
  </si>
  <si>
    <t>mshalseyconst@gmail.com</t>
  </si>
  <si>
    <t>665645041944</t>
  </si>
  <si>
    <t>21587593159</t>
  </si>
  <si>
    <t>Feldman Brothers Electrical</t>
  </si>
  <si>
    <t>1/0-3 GGC</t>
  </si>
  <si>
    <t>Jocelyn Aguero</t>
  </si>
  <si>
    <t>336MCM ACSR 5x3</t>
  </si>
  <si>
    <t>UPS WORLDWIDE</t>
  </si>
  <si>
    <t>1Z7238E06758977861</t>
  </si>
  <si>
    <t>jaguero@kleintools.com</t>
  </si>
  <si>
    <t>1/2" EHS Guy Strand 5x3</t>
  </si>
  <si>
    <t>636 MCM ACSR</t>
  </si>
  <si>
    <t>1Z7238E00359677857</t>
  </si>
  <si>
    <t xml:space="preserve">1/2" EHS Guy Strand </t>
  </si>
  <si>
    <t>3/8" EHS Guy Strand</t>
  </si>
  <si>
    <t>500MCM Stranded Copper</t>
  </si>
  <si>
    <t>3000784A $942.40-Vanguard Freight</t>
  </si>
  <si>
    <t>600MCM Stranded Copper</t>
  </si>
  <si>
    <t>VANGUARD</t>
  </si>
  <si>
    <t>3000784A</t>
  </si>
  <si>
    <t>1000MCM Stranded Copper</t>
  </si>
  <si>
    <t>663432521400</t>
  </si>
  <si>
    <t>3000784C</t>
  </si>
  <si>
    <t>750MCM AAC</t>
  </si>
  <si>
    <t>1Z7238E00359841679</t>
  </si>
  <si>
    <t>Hiram Knight</t>
  </si>
  <si>
    <t>teamknight@gmail.com</t>
  </si>
  <si>
    <t>Dennis Lauterbach</t>
  </si>
  <si>
    <t>Cable A</t>
  </si>
  <si>
    <t>paid 05.03.2016</t>
  </si>
  <si>
    <t>dennis.lauterbach@coherent.com</t>
  </si>
  <si>
    <t>Mark Johnson</t>
  </si>
  <si>
    <t>12/3 SJOOW 6x 1000 4x 500</t>
  </si>
  <si>
    <t>5011811867</t>
  </si>
  <si>
    <t>rental@ulsnyc.com or markj@ulsnyc.com</t>
  </si>
  <si>
    <t>Michael Grimes</t>
  </si>
  <si>
    <t>665651731065</t>
  </si>
  <si>
    <t>Vittorio Vuocolo</t>
  </si>
  <si>
    <t>643758105811</t>
  </si>
  <si>
    <t>Robert Phelan</t>
  </si>
  <si>
    <t>775718938073</t>
  </si>
  <si>
    <t>Douglas Drapp</t>
  </si>
  <si>
    <t>665645041955</t>
  </si>
  <si>
    <t>Brittney Boudreau</t>
  </si>
  <si>
    <t>665645041988</t>
  </si>
  <si>
    <t>Floyd Williams</t>
  </si>
  <si>
    <t>643758105866</t>
  </si>
  <si>
    <t>Louis Francis</t>
  </si>
  <si>
    <t>643758105844</t>
  </si>
  <si>
    <t>Steve Snyder</t>
  </si>
  <si>
    <t>665645042068</t>
  </si>
  <si>
    <t>Jon Johansen</t>
  </si>
  <si>
    <t>659225587665</t>
  </si>
  <si>
    <t>Murray Jones</t>
  </si>
  <si>
    <t>665645042002</t>
  </si>
  <si>
    <t>Maze Audio</t>
  </si>
  <si>
    <t>665645042080</t>
  </si>
  <si>
    <t>Darrel Shamah</t>
  </si>
  <si>
    <t>665651731010</t>
  </si>
  <si>
    <t>665645042079</t>
  </si>
  <si>
    <t>Kyle Richardson</t>
  </si>
  <si>
    <t>665645042116</t>
  </si>
  <si>
    <t>Jet Technology</t>
  </si>
  <si>
    <t>665645042090</t>
  </si>
  <si>
    <t>Paul A Russow</t>
  </si>
  <si>
    <t>665645042046</t>
  </si>
  <si>
    <t>Ranjith Kumara</t>
  </si>
  <si>
    <t>665645042105</t>
  </si>
  <si>
    <t>Derek LaBar</t>
  </si>
  <si>
    <t>665645042127</t>
  </si>
  <si>
    <t>DeAnn S Hanlon</t>
  </si>
  <si>
    <t>643758105822</t>
  </si>
  <si>
    <t>Kevin Malone</t>
  </si>
  <si>
    <t>665645042024</t>
  </si>
  <si>
    <t>Ezequiel Flores</t>
  </si>
  <si>
    <t>6-6-6-8 SER AL</t>
  </si>
  <si>
    <t xml:space="preserve">	614697959281</t>
  </si>
  <si>
    <t>Dave Carlson</t>
  </si>
  <si>
    <t>775719796240</t>
  </si>
  <si>
    <t>Amy Mincer</t>
  </si>
  <si>
    <t>665645042057</t>
  </si>
  <si>
    <t>Logan Tarmon</t>
  </si>
  <si>
    <t>665645041999</t>
  </si>
  <si>
    <t>Robert Zielinksi</t>
  </si>
  <si>
    <t>665645042035</t>
  </si>
  <si>
    <t>Chris Bach</t>
  </si>
  <si>
    <t>665645042138</t>
  </si>
  <si>
    <t>Daniel Zamora</t>
  </si>
  <si>
    <t>8/4 SOOW Carol Wire Only</t>
  </si>
  <si>
    <t>643758105855</t>
  </si>
  <si>
    <t>Steve Searcy</t>
  </si>
  <si>
    <t>643758105877</t>
  </si>
  <si>
    <t>Melissa Rylee</t>
  </si>
  <si>
    <t>643758105903</t>
  </si>
  <si>
    <t>Michael Anderson</t>
  </si>
  <si>
    <t>643758105833</t>
  </si>
  <si>
    <t>12/3 SOOW Carol Wire Only</t>
  </si>
  <si>
    <t>3909349850</t>
  </si>
  <si>
    <t>paid 04.05.2016</t>
  </si>
  <si>
    <t>6/4 SOOW Carol Wire Only 3x250</t>
  </si>
  <si>
    <t>10/4 VNTC Black, Red, White, Green 1x1000</t>
  </si>
  <si>
    <t>VICTORY</t>
  </si>
  <si>
    <t xml:space="preserve">	822329</t>
  </si>
  <si>
    <t>3000819A</t>
  </si>
  <si>
    <t>8 THHN Black 1x500</t>
  </si>
  <si>
    <t>666158383507</t>
  </si>
  <si>
    <t>3000819B</t>
  </si>
  <si>
    <t>8 THHN GREEN 1x500</t>
  </si>
  <si>
    <t>18 TFFN White 1x500 </t>
  </si>
  <si>
    <t>775704448247</t>
  </si>
  <si>
    <t>3000819C</t>
  </si>
  <si>
    <t>Douglas Miller</t>
  </si>
  <si>
    <t>SEE ORDER MARCH 16TH 2016</t>
  </si>
  <si>
    <t>paid $100 deposit</t>
  </si>
  <si>
    <t>douglas@mpcwood.net</t>
  </si>
  <si>
    <t>Servicios de Equipos</t>
  </si>
  <si>
    <t>313MCM DLO CABLE</t>
  </si>
  <si>
    <t>XPO LOGISTICS</t>
  </si>
  <si>
    <t>274763086</t>
  </si>
  <si>
    <t>373MCM DLO CABLE</t>
  </si>
  <si>
    <t>Larry Roetter</t>
  </si>
  <si>
    <t>2/0 Welding Cable Green 2x100</t>
  </si>
  <si>
    <t>655702853055</t>
  </si>
  <si>
    <t>665651731043</t>
  </si>
  <si>
    <t>3000823A</t>
  </si>
  <si>
    <t>Ken Boscia</t>
  </si>
  <si>
    <t>643758105899</t>
  </si>
  <si>
    <t>Alan Metcalf</t>
  </si>
  <si>
    <t>665645042150</t>
  </si>
  <si>
    <t>Joel Smith</t>
  </si>
  <si>
    <t>643758105888</t>
  </si>
  <si>
    <t>Cris Moore</t>
  </si>
  <si>
    <t>16/2 SJOOW</t>
  </si>
  <si>
    <t xml:space="preserve">	647608627667</t>
  </si>
  <si>
    <t>Travis Kolendowicz</t>
  </si>
  <si>
    <t>659225587676</t>
  </si>
  <si>
    <t>Harvey Adams</t>
  </si>
  <si>
    <t>665651731087</t>
  </si>
  <si>
    <t>665645042149</t>
  </si>
  <si>
    <t>Kevin Luyster</t>
  </si>
  <si>
    <t>14/8 SOOW</t>
  </si>
  <si>
    <t>663629798818</t>
  </si>
  <si>
    <t>580634994</t>
  </si>
  <si>
    <t>reichc45@hotmail.com</t>
  </si>
  <si>
    <t>George Hargraves</t>
  </si>
  <si>
    <t>665651731032</t>
  </si>
  <si>
    <t>Justin Egeland</t>
  </si>
  <si>
    <t xml:space="preserve">	614697959410</t>
  </si>
  <si>
    <t>Chad Wiley</t>
  </si>
  <si>
    <t>10-2 Landscape Lighting Cable 1x 2000</t>
  </si>
  <si>
    <t>871986105</t>
  </si>
  <si>
    <t>8/3 MC W/GRND</t>
  </si>
  <si>
    <t>3499346546</t>
  </si>
  <si>
    <t>Paul La Point</t>
  </si>
  <si>
    <t>665651731000</t>
  </si>
  <si>
    <t>paullapoint@yahoo.com</t>
  </si>
  <si>
    <t>Gary Bordewyk</t>
  </si>
  <si>
    <t>665645042208</t>
  </si>
  <si>
    <t>bordewyk62@gmail.com</t>
  </si>
  <si>
    <t>Timothy Sheaffer</t>
  </si>
  <si>
    <t>665651731076</t>
  </si>
  <si>
    <t>Charles Schwier</t>
  </si>
  <si>
    <t>624863833460</t>
  </si>
  <si>
    <t>Claude Flom</t>
  </si>
  <si>
    <t>665645042182</t>
  </si>
  <si>
    <t>Robert Woodburn</t>
  </si>
  <si>
    <t>665645042193</t>
  </si>
  <si>
    <t>Stacey Nakasone</t>
  </si>
  <si>
    <t>775731683097</t>
  </si>
  <si>
    <t>Tim Smith</t>
  </si>
  <si>
    <t>250MCM XHHW AL 1x600 1x400</t>
  </si>
  <si>
    <t>3653243344</t>
  </si>
  <si>
    <t>Lee Hoffman</t>
  </si>
  <si>
    <t>665651731021</t>
  </si>
  <si>
    <t>Margaret Karl</t>
  </si>
  <si>
    <t>1Z9X760X0362082688</t>
  </si>
  <si>
    <t>waiting for customer</t>
  </si>
  <si>
    <t>N GA Fire</t>
  </si>
  <si>
    <t>16-2 Solid Plenum Rated Fire Alarm Cable 4x1000</t>
  </si>
  <si>
    <t>629934429123</t>
  </si>
  <si>
    <t>David French</t>
  </si>
  <si>
    <t>665645042219</t>
  </si>
  <si>
    <t>Stanley Szymusiak</t>
  </si>
  <si>
    <t>665651731054</t>
  </si>
  <si>
    <t>Bite Size TV</t>
  </si>
  <si>
    <t>1Z380R8A0334939984</t>
  </si>
  <si>
    <t>Pan Terra</t>
  </si>
  <si>
    <t>2/3 Submersible Flat Pump Cable W/GRND</t>
  </si>
  <si>
    <t>12/2 Submersible Flat Pump Cable W/GRND</t>
  </si>
  <si>
    <t>Milhert Construction</t>
  </si>
  <si>
    <t>16/16 Pair Shielded</t>
  </si>
  <si>
    <t>647608627737</t>
  </si>
  <si>
    <t>jeanne@milherst.com</t>
  </si>
  <si>
    <t>Taylor Smith</t>
  </si>
  <si>
    <t>389855321</t>
  </si>
  <si>
    <t>taylor@nicealfafa.com</t>
  </si>
  <si>
    <t>Troy Young</t>
  </si>
  <si>
    <t>665645042274</t>
  </si>
  <si>
    <t>tyoung07517@roadrunner.com</t>
  </si>
  <si>
    <t>16GA 1 Pair TC-ER OS Instrumentation Cable 600V</t>
  </si>
  <si>
    <t>614697959498</t>
  </si>
  <si>
    <t>paid 03.28.2016</t>
  </si>
  <si>
    <t>Howard Pinedo</t>
  </si>
  <si>
    <t>350MCM XHHW CU</t>
  </si>
  <si>
    <t>356225656</t>
  </si>
  <si>
    <t>manager@southcoastbar.com</t>
  </si>
  <si>
    <t>Kambiz Zarrabi</t>
  </si>
  <si>
    <t>750MCM XLP ALUMINUM 3x260</t>
  </si>
  <si>
    <t>Nassau/Thea</t>
  </si>
  <si>
    <t>400959342</t>
  </si>
  <si>
    <t>260' from Thea 3000857A</t>
  </si>
  <si>
    <t>1/0 XHHW ALUMINUM GREEN</t>
  </si>
  <si>
    <t>5011811886</t>
  </si>
  <si>
    <t>4/0 XHHW ALUMINUM</t>
  </si>
  <si>
    <t>665645042403/ 665645042399</t>
  </si>
  <si>
    <t xml:space="preserve">665645042414  </t>
  </si>
  <si>
    <t>Sherrie Vincent</t>
  </si>
  <si>
    <t>14/3 XLP PVC</t>
  </si>
  <si>
    <t>3605505444</t>
  </si>
  <si>
    <t>youssef_adeeb@hotmail.com</t>
  </si>
  <si>
    <t>14/4 XLP PVC</t>
  </si>
  <si>
    <t>10/3 XLP PVC</t>
  </si>
  <si>
    <t>10/4 XLP PVC</t>
  </si>
  <si>
    <t>2/3 XLP PVC W/GRND</t>
  </si>
  <si>
    <t>12/9 XLP PVC</t>
  </si>
  <si>
    <t>36997225744</t>
  </si>
  <si>
    <t>12/4 XLP PVC</t>
  </si>
  <si>
    <t>14/7 XLP PVC</t>
  </si>
  <si>
    <t>6/3 XLP PVC W/GRND</t>
  </si>
  <si>
    <t>Butch Gammill</t>
  </si>
  <si>
    <t>5011811871</t>
  </si>
  <si>
    <t>bgammill@yoeconcreteindustrial.com</t>
  </si>
  <si>
    <t>Ryal Meyer</t>
  </si>
  <si>
    <t>14/25 VNTC Shielded</t>
  </si>
  <si>
    <t>einstein1@chase3000.com</t>
  </si>
  <si>
    <t>500MCM XHHW AL</t>
  </si>
  <si>
    <t>NTC</t>
  </si>
  <si>
    <t xml:space="preserve">	35249200</t>
  </si>
  <si>
    <t>3000861A</t>
  </si>
  <si>
    <t>Jane Slone</t>
  </si>
  <si>
    <t>665645042285</t>
  </si>
  <si>
    <t>jslone75@yahoo.com</t>
  </si>
  <si>
    <t>Victor Hargrove</t>
  </si>
  <si>
    <t>643758106211</t>
  </si>
  <si>
    <t>Philip Shehane</t>
  </si>
  <si>
    <t>665645042300</t>
  </si>
  <si>
    <t>Nick Smith</t>
  </si>
  <si>
    <t>665645042296</t>
  </si>
  <si>
    <t>Jason Moe</t>
  </si>
  <si>
    <t>775753115326</t>
  </si>
  <si>
    <t>Greg Moore</t>
  </si>
  <si>
    <t>665651731102</t>
  </si>
  <si>
    <t>Shanna Schultz</t>
  </si>
  <si>
    <t>3/0-3/0-3/0-1/0 SER CU</t>
  </si>
  <si>
    <t>616712870382</t>
  </si>
  <si>
    <t>616712870393</t>
  </si>
  <si>
    <t>Kelly Archambeau</t>
  </si>
  <si>
    <t>665651731098</t>
  </si>
  <si>
    <t>John Lampert</t>
  </si>
  <si>
    <t>665651731113</t>
  </si>
  <si>
    <t>Andrew Clarke</t>
  </si>
  <si>
    <t>14/4 VNTC Shielded</t>
  </si>
  <si>
    <t>644267284076</t>
  </si>
  <si>
    <t>Mark Andrews</t>
  </si>
  <si>
    <t>3/0 THHN COPPER Yellow</t>
  </si>
  <si>
    <t>665645042344</t>
  </si>
  <si>
    <t>Anthony Cedeno</t>
  </si>
  <si>
    <t>66564542322</t>
  </si>
  <si>
    <t>Brian Langlinais</t>
  </si>
  <si>
    <t>14/3 SJOOW Yellow</t>
  </si>
  <si>
    <t xml:space="preserve">	647608627760</t>
  </si>
  <si>
    <t>Anh Man Tran</t>
  </si>
  <si>
    <t>665645042333</t>
  </si>
  <si>
    <t>Gary Levesque</t>
  </si>
  <si>
    <t>665645042311</t>
  </si>
  <si>
    <t>John Gast</t>
  </si>
  <si>
    <t>665645042388</t>
  </si>
  <si>
    <t>Nick Jones</t>
  </si>
  <si>
    <t>665645042366</t>
  </si>
  <si>
    <t>Elizabeth Sasser</t>
  </si>
  <si>
    <t>#8 XHHW, 3 COND, BLACK, RED, WHITE W/#10 XHHW GREEN GRND. FILLES &amp; MYLAR TAPE, AL INTERLOCKED ARMOR W/OVERALL BLACK PVC JACKET</t>
  </si>
  <si>
    <t>Basic</t>
  </si>
  <si>
    <t>CONWAY XPO</t>
  </si>
  <si>
    <t>320-296535</t>
  </si>
  <si>
    <t>2070FT was shipped</t>
  </si>
  <si>
    <t>elizabeths@griderlhillmarina.com</t>
  </si>
  <si>
    <t>#3 XHHW, 3 COND, BLACK, RED, WHITE W/#6 XHHW GREEN GRND. FILLES &amp; MYLAR TAPE, AL INTERLOCKED ARMOR W/OVERALL BLACK PVC JACKET</t>
  </si>
  <si>
    <t>due to ship 3-18-16</t>
  </si>
  <si>
    <t>3000879A</t>
  </si>
  <si>
    <t>6/4 Type P Cable 1000V</t>
  </si>
  <si>
    <t xml:space="preserve">R &amp; L Carriers </t>
  </si>
  <si>
    <t>588745962</t>
  </si>
  <si>
    <t>stephanie.giang@smartwire.com</t>
  </si>
  <si>
    <t>8/4 Type P Cable 1000V</t>
  </si>
  <si>
    <t>Christopher Carter</t>
  </si>
  <si>
    <t>665645042355</t>
  </si>
  <si>
    <t>wraith546@hotmail.com</t>
  </si>
  <si>
    <t>Benjamin Coulter</t>
  </si>
  <si>
    <t>775764576598</t>
  </si>
  <si>
    <t>Alfred Vitollo</t>
  </si>
  <si>
    <t>14/3 SJOOW </t>
  </si>
  <si>
    <t>665645042377</t>
  </si>
  <si>
    <t>SME Submersible Motors</t>
  </si>
  <si>
    <t>25MCM Flat Jacket Pump Cable W/GRND</t>
  </si>
  <si>
    <t>009592149303</t>
  </si>
  <si>
    <t>BILLED 03.04.2016 PIAD 1000.00... paid 16220 03.28.2016</t>
  </si>
  <si>
    <t>2 XLP USE COPPER GREEN 2x 5000</t>
  </si>
  <si>
    <t>Kris-Tech / Service</t>
  </si>
  <si>
    <t>279457089</t>
  </si>
  <si>
    <t>3000885a</t>
  </si>
  <si>
    <t>4 XLP USE COPPER WHITE 2x 5000</t>
  </si>
  <si>
    <t>Kris-Tech</t>
  </si>
  <si>
    <t>6 XLP USE COPPER WHITE</t>
  </si>
  <si>
    <t>6 XLP USE COPPER RED</t>
  </si>
  <si>
    <t>Jeff Serrini</t>
  </si>
  <si>
    <t>#10 IMSA 26-3 Line C</t>
  </si>
  <si>
    <t>paid 04.09.2016</t>
  </si>
  <si>
    <t>Robert Higgs</t>
  </si>
  <si>
    <t>3065624796</t>
  </si>
  <si>
    <t>bobchiggs@gmail.com</t>
  </si>
  <si>
    <t>Mark Atkins</t>
  </si>
  <si>
    <t>665645042506</t>
  </si>
  <si>
    <t>Chris Lythcke</t>
  </si>
  <si>
    <t>665645042528</t>
  </si>
  <si>
    <t>chrisl@carpetcushions.com</t>
  </si>
  <si>
    <t>Jeffery Moyer</t>
  </si>
  <si>
    <t>6/3 SOOW UL CSA</t>
  </si>
  <si>
    <t>PITT OHIO EXPRESS</t>
  </si>
  <si>
    <t>5009815232</t>
  </si>
  <si>
    <t>ajmoyer3@aol.com</t>
  </si>
  <si>
    <t>6/4 SOOW UL CSA</t>
  </si>
  <si>
    <t>Jason Williams</t>
  </si>
  <si>
    <t>665645042469</t>
  </si>
  <si>
    <t>badboy_jaws@yahoo.com</t>
  </si>
  <si>
    <t>William Belew</t>
  </si>
  <si>
    <t>10/2 MC PVC Jacketed</t>
  </si>
  <si>
    <t>4906670519</t>
  </si>
  <si>
    <t>michelle@belewrentals.com</t>
  </si>
  <si>
    <t>12/2 MC PVC Jacketed</t>
  </si>
  <si>
    <t>Stewart Peterson</t>
  </si>
  <si>
    <t>665645042436</t>
  </si>
  <si>
    <t>Brad Brown</t>
  </si>
  <si>
    <t>12 Gauge SRML Motor Lead Wire</t>
  </si>
  <si>
    <t>614697959513</t>
  </si>
  <si>
    <t>bradfordlybrown@gmail.com</t>
  </si>
  <si>
    <t>Trillium Wire &amp; Cable</t>
  </si>
  <si>
    <t>14/8 FESTOON YELLOW</t>
  </si>
  <si>
    <t>1Z7597580300762388</t>
  </si>
  <si>
    <t>12/4 FESTOON YELLOW</t>
  </si>
  <si>
    <t>Cody Philips</t>
  </si>
  <si>
    <t>665645042447</t>
  </si>
  <si>
    <t>Disco</t>
  </si>
  <si>
    <t>Michael Betts Euqipment Inc</t>
  </si>
  <si>
    <t>5009815233</t>
  </si>
  <si>
    <t>mail@bettseq.com</t>
  </si>
  <si>
    <t>David Hornsby</t>
  </si>
  <si>
    <t xml:space="preserve">10/4 SOOW </t>
  </si>
  <si>
    <t>1Z2XF3870343753669</t>
  </si>
  <si>
    <t>Louisiana Pacific Building Products</t>
  </si>
  <si>
    <t>500/3 XLP PVC W/GRND 2 X 600</t>
  </si>
  <si>
    <t>ERCO</t>
  </si>
  <si>
    <t>3541508316</t>
  </si>
  <si>
    <t>paid 04.07.2016</t>
  </si>
  <si>
    <t>Brad.Finch@lpcorp.com</t>
  </si>
  <si>
    <t>Allen Scherrer</t>
  </si>
  <si>
    <t>665651731180</t>
  </si>
  <si>
    <t>Paul Kocel</t>
  </si>
  <si>
    <t>10/5 SOOW 2 x 50 UL/CSA</t>
  </si>
  <si>
    <t>665651731260, 665651731271</t>
  </si>
  <si>
    <t xml:space="preserve">665651731282  </t>
  </si>
  <si>
    <t>Thomas Taylor</t>
  </si>
  <si>
    <t>665645042550</t>
  </si>
  <si>
    <t>665645042517</t>
  </si>
  <si>
    <t>Evan Singer</t>
  </si>
  <si>
    <t>665651731216</t>
  </si>
  <si>
    <t>Lee Schlagel</t>
  </si>
  <si>
    <t>665645042425</t>
  </si>
  <si>
    <t>William Clarke</t>
  </si>
  <si>
    <t>665651731249</t>
  </si>
  <si>
    <t>John Duncan</t>
  </si>
  <si>
    <t>Daniel Krauch</t>
  </si>
  <si>
    <t>665645042470</t>
  </si>
  <si>
    <t>Darrell Grandjean</t>
  </si>
  <si>
    <t>665651731250</t>
  </si>
  <si>
    <t>James Todorovic</t>
  </si>
  <si>
    <t>665651731320</t>
  </si>
  <si>
    <t>Harry Thompson</t>
  </si>
  <si>
    <t>2/0 AWG Welding 1 x 25 Black 1 x 25 Red</t>
  </si>
  <si>
    <t>775775998237</t>
  </si>
  <si>
    <t>Danny Vo</t>
  </si>
  <si>
    <t>665651731190</t>
  </si>
  <si>
    <t>J Johns</t>
  </si>
  <si>
    <t>665645042539</t>
  </si>
  <si>
    <t>Brien Gallagher</t>
  </si>
  <si>
    <t xml:space="preserve">6-2 UF-B </t>
  </si>
  <si>
    <t>5011811887</t>
  </si>
  <si>
    <t>Fred Miller</t>
  </si>
  <si>
    <t>665645042572</t>
  </si>
  <si>
    <t>Elmira Yevdokimov</t>
  </si>
  <si>
    <t>665645042540</t>
  </si>
  <si>
    <t>4-4-4-6 Copper SER</t>
  </si>
  <si>
    <t>609851495052</t>
  </si>
  <si>
    <t>Brian King</t>
  </si>
  <si>
    <t>665645042458.</t>
  </si>
  <si>
    <t>Thomas Philips</t>
  </si>
  <si>
    <t>665645042480</t>
  </si>
  <si>
    <t>Carlos Parrella</t>
  </si>
  <si>
    <t>665651731205</t>
  </si>
  <si>
    <t>David Apicella</t>
  </si>
  <si>
    <t>665645042491</t>
  </si>
  <si>
    <t>Todd Hobbs</t>
  </si>
  <si>
    <t>2 AWG Welding 2 x 100</t>
  </si>
  <si>
    <t>775761703280</t>
  </si>
  <si>
    <t>Lloyde Swayne</t>
  </si>
  <si>
    <t>6/3 UF-B W/GRND</t>
  </si>
  <si>
    <t>665651731227</t>
  </si>
  <si>
    <t>Seth Hawkins</t>
  </si>
  <si>
    <t>665651731238</t>
  </si>
  <si>
    <t>Brenda Starks</t>
  </si>
  <si>
    <t>8/3 UF-B W/GRND DIRECT BURIAL</t>
  </si>
  <si>
    <t>665651731293</t>
  </si>
  <si>
    <t>reesestarks@hotmail.com</t>
  </si>
  <si>
    <t>Derek Duncan</t>
  </si>
  <si>
    <t>4/0-4/0-4/0-2/0 SER Aluminum </t>
  </si>
  <si>
    <t>665645042561</t>
  </si>
  <si>
    <t>teranfirbt@hotmail.com</t>
  </si>
  <si>
    <t>Longacre Racing Products Inc.</t>
  </si>
  <si>
    <t>1/0 Welding 2x 100</t>
  </si>
  <si>
    <t>775761966154</t>
  </si>
  <si>
    <t>josemartinezbra@gmail.com</t>
  </si>
  <si>
    <t>Jose De La Cruz Martinez</t>
  </si>
  <si>
    <t xml:space="preserve">2/5 SOOW </t>
  </si>
  <si>
    <t>3065624844</t>
  </si>
  <si>
    <t>We Will Pick up</t>
  </si>
  <si>
    <t>kyates@transformauto.com</t>
  </si>
  <si>
    <t>Transform Automotive</t>
  </si>
  <si>
    <t>665651731341</t>
  </si>
  <si>
    <t>smithmarlonj@yahoo.com</t>
  </si>
  <si>
    <t>Marlon Smith</t>
  </si>
  <si>
    <t>665645042583</t>
  </si>
  <si>
    <t>Marquise Zinc Plus LLC</t>
  </si>
  <si>
    <t>31847981</t>
  </si>
  <si>
    <t>marquisezplus@aol.com</t>
  </si>
  <si>
    <t>Brendal Electric &amp; Beyond</t>
  </si>
  <si>
    <t>3/0 THHN CU 4X 135</t>
  </si>
  <si>
    <t>20127070</t>
  </si>
  <si>
    <t>2/0 THHN CU</t>
  </si>
  <si>
    <t>2/3 ROMEX W/GRND 2x 125</t>
  </si>
  <si>
    <t>1 THHN CU</t>
  </si>
  <si>
    <t>4 THHN GREEN</t>
  </si>
  <si>
    <t>Alexander Geiler</t>
  </si>
  <si>
    <t xml:space="preserve">	3703855083</t>
  </si>
  <si>
    <t>Scott Somers</t>
  </si>
  <si>
    <t>8/3 UF-B W/GRND Copper</t>
  </si>
  <si>
    <t>665645042609</t>
  </si>
  <si>
    <t>Linda Reed</t>
  </si>
  <si>
    <t>665651731363</t>
  </si>
  <si>
    <t>Kevin Chester</t>
  </si>
  <si>
    <t>665645042653</t>
  </si>
  <si>
    <t>Ralph Perry</t>
  </si>
  <si>
    <t>665645042734</t>
  </si>
  <si>
    <t>Ryan Walters</t>
  </si>
  <si>
    <t>665645042610</t>
  </si>
  <si>
    <t>Oscar Ozuna Jr</t>
  </si>
  <si>
    <t>1 AWG Welding Blue</t>
  </si>
  <si>
    <t xml:space="preserve">
775788030008 </t>
  </si>
  <si>
    <t>Dakota Gramer</t>
  </si>
  <si>
    <t>640165385</t>
  </si>
  <si>
    <t>Heather Gustin-Westerfer</t>
  </si>
  <si>
    <t>4-4-4-6 SER WG Aluminum 2 x 250</t>
  </si>
  <si>
    <t>665645042631/ 665645042642  </t>
  </si>
  <si>
    <t>Tyson Leeper</t>
  </si>
  <si>
    <t>665645042620</t>
  </si>
  <si>
    <t>RoseAnna Prater</t>
  </si>
  <si>
    <t>21587593357</t>
  </si>
  <si>
    <t>Megan Henry</t>
  </si>
  <si>
    <t>665645042594</t>
  </si>
  <si>
    <t>Andy Vaughan</t>
  </si>
  <si>
    <t>1 AWG Welding</t>
  </si>
  <si>
    <t xml:space="preserve">775787972664 </t>
  </si>
  <si>
    <t>Ross Stern</t>
  </si>
  <si>
    <t>665651731352</t>
  </si>
  <si>
    <t>Dave Gundersen</t>
  </si>
  <si>
    <t>640165374</t>
  </si>
  <si>
    <t>gundersentreeservice@hotmail.com</t>
  </si>
  <si>
    <t>Christopher Winters</t>
  </si>
  <si>
    <t>12/3 SJEOOW</t>
  </si>
  <si>
    <t>663629799262</t>
  </si>
  <si>
    <t>crisoh@sbcglobal.net</t>
  </si>
  <si>
    <t>3707182010</t>
  </si>
  <si>
    <t>Timothy Mercer</t>
  </si>
  <si>
    <t>4/0 XLP USE RHH RHW-2 AL</t>
  </si>
  <si>
    <t>614697959638</t>
  </si>
  <si>
    <t>tntmercer@att.net</t>
  </si>
  <si>
    <t>Bill Waltman</t>
  </si>
  <si>
    <t>12/3 SJOOW 4x 250FT</t>
  </si>
  <si>
    <t>580638774</t>
  </si>
  <si>
    <t>hro99@aol.com</t>
  </si>
  <si>
    <t xml:space="preserve">Adam Corbin </t>
  </si>
  <si>
    <t>2-2-2-4 SER AL 1 X 1000 1 X 500</t>
  </si>
  <si>
    <t>5011811891</t>
  </si>
  <si>
    <t>MPSHEINER@CORBINELECTRIC.COM</t>
  </si>
  <si>
    <t>1-1-1-3 SER AL 1 X 1000  1 X 500</t>
  </si>
  <si>
    <t>4-4-4-6 SER AL 1 X 1000</t>
  </si>
  <si>
    <t>Thomas Walker</t>
  </si>
  <si>
    <t>16/8 VNTC </t>
  </si>
  <si>
    <t>3000954A</t>
  </si>
  <si>
    <t>cecombsc@yahoo.com</t>
  </si>
  <si>
    <t>Steve Pontikos</t>
  </si>
  <si>
    <t>10/2 Solid MC AL 1x 1000 2x 250</t>
  </si>
  <si>
    <t>RMX</t>
  </si>
  <si>
    <t>COL-281085</t>
  </si>
  <si>
    <t>Deliver by Friday 3-4-2016</t>
  </si>
  <si>
    <t>STEVE@ATLASREM.COM</t>
  </si>
  <si>
    <t>5011811892</t>
  </si>
  <si>
    <t>Shayne atterton</t>
  </si>
  <si>
    <t xml:space="preserve">2/0 Welding </t>
  </si>
  <si>
    <t>775781932765</t>
  </si>
  <si>
    <t>Edward Mays</t>
  </si>
  <si>
    <t>665645042848</t>
  </si>
  <si>
    <t>James Feehan</t>
  </si>
  <si>
    <t>2 AWG Stage Lighting Cable UL/CSA 2x 50</t>
  </si>
  <si>
    <t>624863835290</t>
  </si>
  <si>
    <t>Ron E Stout</t>
  </si>
  <si>
    <t>665651731374</t>
  </si>
  <si>
    <t>Brenda Riveria</t>
  </si>
  <si>
    <t>31071736</t>
  </si>
  <si>
    <t>Thase 2 Electric</t>
  </si>
  <si>
    <t>12-3 SOOW</t>
  </si>
  <si>
    <t>665651731385</t>
  </si>
  <si>
    <t>lithtwatchman@wesworth.com</t>
  </si>
  <si>
    <t>Christopher Brown</t>
  </si>
  <si>
    <t>5302FE Belden</t>
  </si>
  <si>
    <t>775779419812</t>
  </si>
  <si>
    <t>Eric Terry</t>
  </si>
  <si>
    <t xml:space="preserve">4/0 Jumper Cable 5kV </t>
  </si>
  <si>
    <t>4906752937</t>
  </si>
  <si>
    <t>ERIC.TERRY@INDUSTRIALSERVICESCOMPANY.COM</t>
  </si>
  <si>
    <t xml:space="preserve">Ed Wilison South Buffalo </t>
  </si>
  <si>
    <t>571-23-3224</t>
  </si>
  <si>
    <t>Erco</t>
  </si>
  <si>
    <t>Chuck Feldman</t>
  </si>
  <si>
    <t xml:space="preserve">1/0-3 GG-C </t>
  </si>
  <si>
    <t>3924055063</t>
  </si>
  <si>
    <t>Avalon Shutters</t>
  </si>
  <si>
    <t xml:space="preserve">4/0 THHN CU </t>
  </si>
  <si>
    <t>ROAD RUNNER/DLS</t>
  </si>
  <si>
    <t>356225680</t>
  </si>
  <si>
    <t>Cameron Saunders</t>
  </si>
  <si>
    <t>87861413</t>
  </si>
  <si>
    <t>saunder1010@yahoo.com</t>
  </si>
  <si>
    <t>Derek Walton</t>
  </si>
  <si>
    <t>3/0 THHN Brown CU</t>
  </si>
  <si>
    <t>665645042826</t>
  </si>
  <si>
    <t>3000967A</t>
  </si>
  <si>
    <t>dereknwalton@gmail.com</t>
  </si>
  <si>
    <t xml:space="preserve">1-1-1-3 SER AL </t>
  </si>
  <si>
    <t>Oscar Zelezniak</t>
  </si>
  <si>
    <t>1/0-3 Flat W/Grnd Subermisble Cable</t>
  </si>
  <si>
    <t>3499341403</t>
  </si>
  <si>
    <t>carlos@ac-industrial.com</t>
  </si>
  <si>
    <t>Bertha Ayala</t>
  </si>
  <si>
    <t>10/3 W/GRND Flat Pump</t>
  </si>
  <si>
    <t>3357146800</t>
  </si>
  <si>
    <t>indepenrn@gmail.com</t>
  </si>
  <si>
    <t>4 Bare Copper Solid</t>
  </si>
  <si>
    <t>2/0 XHHW-2 STR Copper</t>
  </si>
  <si>
    <t xml:space="preserve">Billy Nichols </t>
  </si>
  <si>
    <t>665645042837</t>
  </si>
  <si>
    <t>nomanslandoutfitters@yahoo.com</t>
  </si>
  <si>
    <t>6/3 UF-B W/GRND Copper</t>
  </si>
  <si>
    <t>665645042860</t>
  </si>
  <si>
    <t>3000971A</t>
  </si>
  <si>
    <t>8-2 Landscape Light Low Voltage PVC</t>
  </si>
  <si>
    <t xml:space="preserve">	614697959796</t>
  </si>
  <si>
    <t>Gene Benfield</t>
  </si>
  <si>
    <t xml:space="preserve">4/0 AWG XHHW Aluminum </t>
  </si>
  <si>
    <t>665645042675</t>
  </si>
  <si>
    <t>775808972585</t>
  </si>
  <si>
    <t>Electro Prime Group LLC</t>
  </si>
  <si>
    <t>665645042701</t>
  </si>
  <si>
    <t>Steven Yanez</t>
  </si>
  <si>
    <t>665651731433</t>
  </si>
  <si>
    <t>Julio Sánchez-Romero</t>
  </si>
  <si>
    <t>665645042804</t>
  </si>
  <si>
    <t>Mau VanDuren</t>
  </si>
  <si>
    <t>Shephard</t>
  </si>
  <si>
    <t>616712870658</t>
  </si>
  <si>
    <t>Belinda Davidson</t>
  </si>
  <si>
    <t>665651731444</t>
  </si>
  <si>
    <t>Bandit Machine Inc</t>
  </si>
  <si>
    <t>665645042686</t>
  </si>
  <si>
    <t>665645042697</t>
  </si>
  <si>
    <t>Tom Robb</t>
  </si>
  <si>
    <t>665651731396</t>
  </si>
  <si>
    <t>Doug Parker</t>
  </si>
  <si>
    <t>665645042790</t>
  </si>
  <si>
    <t>Thomas Shorrock</t>
  </si>
  <si>
    <t>665645042723</t>
  </si>
  <si>
    <t>Benjamin Turner</t>
  </si>
  <si>
    <t>665645042712</t>
  </si>
  <si>
    <t>Manfred Foxx</t>
  </si>
  <si>
    <t>665645042789</t>
  </si>
  <si>
    <t>John West</t>
  </si>
  <si>
    <t>665645042745</t>
  </si>
  <si>
    <t>Randall Teal</t>
  </si>
  <si>
    <t>14/4 VNTC Tray Cable</t>
  </si>
  <si>
    <t>663432522613</t>
  </si>
  <si>
    <t>Lisa Newbold</t>
  </si>
  <si>
    <t>16/8 VNTC Tray Cable</t>
  </si>
  <si>
    <t>663629799516</t>
  </si>
  <si>
    <t>James Virden</t>
  </si>
  <si>
    <t>665645042756</t>
  </si>
  <si>
    <t>GGCTR, Inc</t>
  </si>
  <si>
    <t>665645042859</t>
  </si>
  <si>
    <t>Northern Plasma</t>
  </si>
  <si>
    <t>18/4 Shielded Control Cable Belden 5302FE</t>
  </si>
  <si>
    <t>543369475062</t>
  </si>
  <si>
    <t>Joe DeMoss</t>
  </si>
  <si>
    <t>150ft 18/2 Shielded Plenum - Red</t>
  </si>
  <si>
    <t>644594312829</t>
  </si>
  <si>
    <t>Steven Sims</t>
  </si>
  <si>
    <t>3065609304</t>
  </si>
  <si>
    <t>Allen Yoo</t>
  </si>
  <si>
    <t>665645042815</t>
  </si>
  <si>
    <t>Ryan Davis</t>
  </si>
  <si>
    <t>4/0 Welding cable</t>
  </si>
  <si>
    <t>775808997019</t>
  </si>
  <si>
    <t>Keith</t>
  </si>
  <si>
    <t>665645042767</t>
  </si>
  <si>
    <t>Steve Wooten</t>
  </si>
  <si>
    <t>20/4 PVC Jacket Belden 5402UE 008U1000</t>
  </si>
  <si>
    <t>644640012536</t>
  </si>
  <si>
    <t>87991084</t>
  </si>
  <si>
    <t>WE WILL PICK UP</t>
  </si>
  <si>
    <t>wclarke6@rochester.rr.com</t>
  </si>
  <si>
    <t>Mike S</t>
  </si>
  <si>
    <t>3065624914</t>
  </si>
  <si>
    <t xml:space="preserve">Winchester Electronics </t>
  </si>
  <si>
    <t>10 AWG UL TYPE USE-2 RHH Black</t>
  </si>
  <si>
    <t>AdCable</t>
  </si>
  <si>
    <t>1Z5316EX0344633516</t>
  </si>
  <si>
    <t>10 AWG UL TYPE USE-2 RHH Brown</t>
  </si>
  <si>
    <t>William Korbel</t>
  </si>
  <si>
    <t>Yaun Company</t>
  </si>
  <si>
    <t>3065624925</t>
  </si>
  <si>
    <t>paid 05.12.2016</t>
  </si>
  <si>
    <t>HMV Ingenieros</t>
  </si>
  <si>
    <t>Coreopsis</t>
  </si>
  <si>
    <t>AWG</t>
  </si>
  <si>
    <t>ABF FREIGHT</t>
  </si>
  <si>
    <t>231590929</t>
  </si>
  <si>
    <t>Logistico LLC</t>
  </si>
  <si>
    <t>Belden 8760 18/1 Twisted Pair Shielded</t>
  </si>
  <si>
    <t>9405509699939749101856</t>
  </si>
  <si>
    <t>Robert Harrison</t>
  </si>
  <si>
    <t>Belden 8760 0601000 </t>
  </si>
  <si>
    <t>1ZY9R3910398988060</t>
  </si>
  <si>
    <t>Mark Barbuti</t>
  </si>
  <si>
    <t>665645042778</t>
  </si>
  <si>
    <t>Scott Crager</t>
  </si>
  <si>
    <t>16/5 VNTC Shielded</t>
  </si>
  <si>
    <t>FEDEX SAT</t>
  </si>
  <si>
    <t xml:space="preserve">	807610461680</t>
  </si>
  <si>
    <t>scott@doormachinery.com</t>
  </si>
  <si>
    <t>12/3 SOOW Carol Wire Only 2x 250</t>
  </si>
  <si>
    <t>1ZE412720379735010</t>
  </si>
  <si>
    <t>billed out on 03.09.2016</t>
  </si>
  <si>
    <t>PURCHASING@HARRISONHYDRAGEN.ORG</t>
  </si>
  <si>
    <t>JET</t>
  </si>
  <si>
    <t xml:space="preserve">	2466</t>
  </si>
  <si>
    <t>3001007a paid 04.29.2016</t>
  </si>
  <si>
    <t>18 TFN Yellow 1x500 (11 in. spool diameter)</t>
  </si>
  <si>
    <t>667087268651</t>
  </si>
  <si>
    <t>3001007b</t>
  </si>
  <si>
    <t>12 THHN Red 2x500 (11in. spool diameter)</t>
  </si>
  <si>
    <t>Laia Sabate</t>
  </si>
  <si>
    <t>Type MV-105 4/0 AL 15kV Power Cable 175 MLS UL 1072 2x3000FT 1X 1628</t>
  </si>
  <si>
    <t xml:space="preserve">	009069757200</t>
  </si>
  <si>
    <t>paid 04.26.2016</t>
  </si>
  <si>
    <t>Sumflex HW00150001 UL 1063 Negro 1x500MCM THHN 2x 1500 2x 1000 </t>
  </si>
  <si>
    <t>3653241001</t>
  </si>
  <si>
    <t>3001008A</t>
  </si>
  <si>
    <t>Sumflex HW00150001 UL 1063 Negro 1x500MCM THHN 1x 1000 1x 1382</t>
  </si>
  <si>
    <t>3001008B cut $50</t>
  </si>
  <si>
    <t>Brent Bowden</t>
  </si>
  <si>
    <t>3065609293</t>
  </si>
  <si>
    <t>Orren Whiddon</t>
  </si>
  <si>
    <t>5011826309</t>
  </si>
  <si>
    <t>owhiddon@4qf.org</t>
  </si>
  <si>
    <t>5009138482</t>
  </si>
  <si>
    <t>3001010A .. we will pick up</t>
  </si>
  <si>
    <t>Craig Alexander</t>
  </si>
  <si>
    <t>10/3 MC W/GRND W/PVC JACKET GREEN GRND</t>
  </si>
  <si>
    <t>3417811294</t>
  </si>
  <si>
    <t>wwwaterdogg@aol.com</t>
  </si>
  <si>
    <t>8/3 MC W/GRND W/PVC JACKET GREEN GRND</t>
  </si>
  <si>
    <t>Due to Ship 3/25/16</t>
  </si>
  <si>
    <t>3001011A</t>
  </si>
  <si>
    <t>6/3 MC W/GRND W/PVC JACKET GREEN GRND</t>
  </si>
  <si>
    <t>Chris Carelli</t>
  </si>
  <si>
    <t>295062180</t>
  </si>
  <si>
    <t>we will pick up $40 AMAZON GIFT CARD</t>
  </si>
  <si>
    <t>ccarelli@gmail.com</t>
  </si>
  <si>
    <t>Dustin Schneller</t>
  </si>
  <si>
    <t>Notre Dame 1x 4387 1x1000 1x2000</t>
  </si>
  <si>
    <t>356225698</t>
  </si>
  <si>
    <t>schnellerfarms@gmail.com</t>
  </si>
  <si>
    <t>12/2 VNTC 1x 4731 1x 2616</t>
  </si>
  <si>
    <t>153 - A/Z paid/ Nassau $126.97</t>
  </si>
  <si>
    <t>Nassau / A-Z</t>
  </si>
  <si>
    <t>A/Z - Averitt Nassau - FEDEX/DLS</t>
  </si>
  <si>
    <t>A/Z - 0304929197 Nassau - 3065625032</t>
  </si>
  <si>
    <t>3001013A/3001013b we will pick up</t>
  </si>
  <si>
    <t>KRB Motor LLC</t>
  </si>
  <si>
    <t>665645042870</t>
  </si>
  <si>
    <t>Patrick Penrose</t>
  </si>
  <si>
    <t>665645042881</t>
  </si>
  <si>
    <t>William Simpson</t>
  </si>
  <si>
    <t>665645042973</t>
  </si>
  <si>
    <t>PDS Mech</t>
  </si>
  <si>
    <t>643758106461</t>
  </si>
  <si>
    <t>Steve Pelletier</t>
  </si>
  <si>
    <t>Nassau </t>
  </si>
  <si>
    <t>665645042907</t>
  </si>
  <si>
    <t>Gary Langworthy</t>
  </si>
  <si>
    <t>405724631</t>
  </si>
  <si>
    <t>Michael Shaw</t>
  </si>
  <si>
    <t>665645042984</t>
  </si>
  <si>
    <t>Patrick Baldwin</t>
  </si>
  <si>
    <t>665645042995</t>
  </si>
  <si>
    <t>Donald Kasbohm</t>
  </si>
  <si>
    <t>665645042951</t>
  </si>
  <si>
    <t>Richard Furrer</t>
  </si>
  <si>
    <t>665645042918</t>
  </si>
  <si>
    <t>6/4 SOOW 2x100</t>
  </si>
  <si>
    <t> 665645042929 , 665645042930</t>
  </si>
  <si>
    <t>Matt Partain</t>
  </si>
  <si>
    <t>665645042940</t>
  </si>
  <si>
    <t>Richard Dekker</t>
  </si>
  <si>
    <t>1/0-3 Submersible Flat Pump Double Jacketed Cable W/GRND</t>
  </si>
  <si>
    <t>1651304074</t>
  </si>
  <si>
    <t>rdekker@altmanplants.com</t>
  </si>
  <si>
    <t>Peter Kim</t>
  </si>
  <si>
    <t>750 MCM AAC</t>
  </si>
  <si>
    <t xml:space="preserve">	609851495464</t>
  </si>
  <si>
    <t>pkim@kleintools.com and jaguero@kleintools.com</t>
  </si>
  <si>
    <t>600 MCM Copper</t>
  </si>
  <si>
    <t>636 MCM ACSR - Grosbeak</t>
  </si>
  <si>
    <t>refund 78.00</t>
  </si>
  <si>
    <t>1/2" EHS Guy Strand</t>
  </si>
  <si>
    <t>569657063669</t>
  </si>
  <si>
    <t>Kelly Bruun</t>
  </si>
  <si>
    <t>336924006</t>
  </si>
  <si>
    <t>kelly@lbruun.com</t>
  </si>
  <si>
    <t>Eric Goll</t>
  </si>
  <si>
    <t>609851495361</t>
  </si>
  <si>
    <t>es_goll@yahoo.com</t>
  </si>
  <si>
    <t>1Z28X7X90367168843</t>
  </si>
  <si>
    <t>Beckie Godby</t>
  </si>
  <si>
    <t>665645042962</t>
  </si>
  <si>
    <t>Debbie Pro</t>
  </si>
  <si>
    <t>665645042892</t>
  </si>
  <si>
    <t>Ryan Filld</t>
  </si>
  <si>
    <t>2 Welding Cable Red</t>
  </si>
  <si>
    <t>775830866730</t>
  </si>
  <si>
    <t>2 Welding Cable Black</t>
  </si>
  <si>
    <t>Patricia Burr</t>
  </si>
  <si>
    <t>665645043101</t>
  </si>
  <si>
    <t xml:space="preserve">Tanner </t>
  </si>
  <si>
    <t>775830918844</t>
  </si>
  <si>
    <t>Lisa Chase</t>
  </si>
  <si>
    <t>1/0 Welding Cable Red</t>
  </si>
  <si>
    <t xml:space="preserve">775813030620 </t>
  </si>
  <si>
    <t>Charlie Lam</t>
  </si>
  <si>
    <t>18/3 SOOW change to 4x 250</t>
  </si>
  <si>
    <t>665651731709, 665651731710, 665651731720, 665651731731</t>
  </si>
  <si>
    <t>Matthew Hillegass</t>
  </si>
  <si>
    <t>665645043009</t>
  </si>
  <si>
    <t>Kurt Kassal</t>
  </si>
  <si>
    <t>665651731786</t>
  </si>
  <si>
    <t>S McR</t>
  </si>
  <si>
    <t>775830890127</t>
  </si>
  <si>
    <t>Robert Grodi</t>
  </si>
  <si>
    <t>665645043020</t>
  </si>
  <si>
    <t>Kent Hylton</t>
  </si>
  <si>
    <t>665651731640</t>
  </si>
  <si>
    <t>Linda Edwards</t>
  </si>
  <si>
    <t>665651731536</t>
  </si>
  <si>
    <t>David Mosig</t>
  </si>
  <si>
    <t>665651731801</t>
  </si>
  <si>
    <t>JJ Corbett</t>
  </si>
  <si>
    <t>12/2 SJOOW</t>
  </si>
  <si>
    <t>624863836390</t>
  </si>
  <si>
    <t>Tom Pherson</t>
  </si>
  <si>
    <t>18/3 SJEOOW UL/CSA</t>
  </si>
  <si>
    <t xml:space="preserve">	609851495670</t>
  </si>
  <si>
    <t>Troy Mayberry</t>
  </si>
  <si>
    <t>643758106483</t>
  </si>
  <si>
    <t>Paul Albin</t>
  </si>
  <si>
    <t>666158384672</t>
  </si>
  <si>
    <t>Jon Rogers</t>
  </si>
  <si>
    <t>665651731547</t>
  </si>
  <si>
    <t>Zachary Ziemba</t>
  </si>
  <si>
    <t>665645043053</t>
  </si>
  <si>
    <t>Wayne Wilkerson</t>
  </si>
  <si>
    <t>665651731606</t>
  </si>
  <si>
    <t>Jerry Worrall</t>
  </si>
  <si>
    <t>616712870761</t>
  </si>
  <si>
    <t>Jacob Hedrich</t>
  </si>
  <si>
    <t>2/0 Welding Cable Red</t>
  </si>
  <si>
    <t>775831124660</t>
  </si>
  <si>
    <t>665645043031</t>
  </si>
  <si>
    <t>Greg Battas</t>
  </si>
  <si>
    <t>665645043042</t>
  </si>
  <si>
    <t>Jospeh Bober</t>
  </si>
  <si>
    <t>665651731580</t>
  </si>
  <si>
    <t>Eagle Tech Manufacturing</t>
  </si>
  <si>
    <t>665645043010</t>
  </si>
  <si>
    <t>665651731514</t>
  </si>
  <si>
    <t>Dustin West</t>
  </si>
  <si>
    <t>665651731525</t>
  </si>
  <si>
    <t>Richard Chrysler</t>
  </si>
  <si>
    <t>Wofford 4x1400 4x1500 8x1000</t>
  </si>
  <si>
    <t>King</t>
  </si>
  <si>
    <t>dickchrysler@comcast.net</t>
  </si>
  <si>
    <t>665651731628</t>
  </si>
  <si>
    <t>Chola</t>
  </si>
  <si>
    <t>665651731639</t>
  </si>
  <si>
    <t>Mark Fenstermaker</t>
  </si>
  <si>
    <t>I568885122</t>
  </si>
  <si>
    <t>markf@fenstermaker.com</t>
  </si>
  <si>
    <t>Rick Harmon</t>
  </si>
  <si>
    <t>I568885113</t>
  </si>
  <si>
    <t>ricoharm@aol.com</t>
  </si>
  <si>
    <t>665651731650</t>
  </si>
  <si>
    <t>Chandler Gentry</t>
  </si>
  <si>
    <t>2/0 Stage Lighting Cable 1x1000</t>
  </si>
  <si>
    <t>5011126086</t>
  </si>
  <si>
    <t>chandlergentry@northstate.net</t>
  </si>
  <si>
    <t>Joshua Osborne</t>
  </si>
  <si>
    <t>4/0-4/0-4/0-2/0 Mobile Home Feeder</t>
  </si>
  <si>
    <t xml:space="preserve">	644267284330</t>
  </si>
  <si>
    <t>joshuagosborne@lycos.com</t>
  </si>
  <si>
    <t>Megan Deily</t>
  </si>
  <si>
    <t>444MCM DLO 1x250 1x500</t>
  </si>
  <si>
    <t>32072972</t>
  </si>
  <si>
    <t>Broadway Electrical Supply</t>
  </si>
  <si>
    <t>4/0-4/0-4/0 AL SEU</t>
  </si>
  <si>
    <t>295062261</t>
  </si>
  <si>
    <t>keith@broadway-electric.com</t>
  </si>
  <si>
    <t>250 THHN COPPER</t>
  </si>
  <si>
    <t>3001068A</t>
  </si>
  <si>
    <t>350 THHN COPPER</t>
  </si>
  <si>
    <t>Barry Mullen</t>
  </si>
  <si>
    <t>Monmouth 2x450 1x350</t>
  </si>
  <si>
    <t>295083471</t>
  </si>
  <si>
    <t>wb9liy@aol.com</t>
  </si>
  <si>
    <t>Tim LaVan</t>
  </si>
  <si>
    <t>3653240953</t>
  </si>
  <si>
    <t>tlavan@mail.ocasd.org</t>
  </si>
  <si>
    <t>12/3 SJOOW 4x250</t>
  </si>
  <si>
    <t>3065617111</t>
  </si>
  <si>
    <t>HRO99@aol.com</t>
  </si>
  <si>
    <t>Tim Schneider</t>
  </si>
  <si>
    <t>2-2-2-4 SER AL 3x500 2x510 4x540</t>
  </si>
  <si>
    <t>Electrocables</t>
  </si>
  <si>
    <t>I950999301</t>
  </si>
  <si>
    <t>alexhaleyschneider@yahoo.com</t>
  </si>
  <si>
    <t>Mustafa Kilic</t>
  </si>
  <si>
    <t>12/3 Type P</t>
  </si>
  <si>
    <t xml:space="preserve">	3500713834</t>
  </si>
  <si>
    <t>hkilic@aol.com</t>
  </si>
  <si>
    <t>3/0 THHN Copper</t>
  </si>
  <si>
    <t>DAYTON</t>
  </si>
  <si>
    <t>00361378039</t>
  </si>
  <si>
    <t>Robert Wheeler</t>
  </si>
  <si>
    <t>65651731503</t>
  </si>
  <si>
    <t>Craig Stasny</t>
  </si>
  <si>
    <t>665651731672</t>
  </si>
  <si>
    <t>Frank Mertz</t>
  </si>
  <si>
    <t>665651731570</t>
  </si>
  <si>
    <t>Joseph Adkins</t>
  </si>
  <si>
    <t>665651731558</t>
  </si>
  <si>
    <t>Floyd Eckard</t>
  </si>
  <si>
    <t>665651731617</t>
  </si>
  <si>
    <t>Robert Durham</t>
  </si>
  <si>
    <t>643758106472</t>
  </si>
  <si>
    <t>David McCain</t>
  </si>
  <si>
    <t>620670936246</t>
  </si>
  <si>
    <t>James Wasson</t>
  </si>
  <si>
    <t>665651731661</t>
  </si>
  <si>
    <t>Ian Basler</t>
  </si>
  <si>
    <t>665651731499</t>
  </si>
  <si>
    <t>Bradley Addison</t>
  </si>
  <si>
    <t>665651731569</t>
  </si>
  <si>
    <t>Lance Baker</t>
  </si>
  <si>
    <t>643758106494</t>
  </si>
  <si>
    <t>Gary Kimball</t>
  </si>
  <si>
    <t>1/0 Stage Lighting Cable</t>
  </si>
  <si>
    <t>Onondaga</t>
  </si>
  <si>
    <t>669882134848</t>
  </si>
  <si>
    <t>Mike Johnson</t>
  </si>
  <si>
    <t>665651731591</t>
  </si>
  <si>
    <t>Paul Waters</t>
  </si>
  <si>
    <t>1 Welding Cable Black</t>
  </si>
  <si>
    <t>1Z16921X0396089118</t>
  </si>
  <si>
    <t>1 Welding Cable Red</t>
  </si>
  <si>
    <t>Lisa Libertone</t>
  </si>
  <si>
    <t>1Z16921X0397738094</t>
  </si>
  <si>
    <t>Thomas Gaines</t>
  </si>
  <si>
    <t>1/0-3 MC AL W/GRND</t>
  </si>
  <si>
    <t>3538058300</t>
  </si>
  <si>
    <t>ask how much to send for amazon</t>
  </si>
  <si>
    <t>gaineselec@aol.com</t>
  </si>
  <si>
    <t>2/0-3 MC AL W/GRND</t>
  </si>
  <si>
    <t>Ernestine Winn</t>
  </si>
  <si>
    <t>775836454685</t>
  </si>
  <si>
    <t>johndalyvalet@aol.com</t>
  </si>
  <si>
    <t>Jeff Durham</t>
  </si>
  <si>
    <t>665645043064</t>
  </si>
  <si>
    <t>Charles Rosenfield</t>
  </si>
  <si>
    <t>250 MCM XHHW-2 CU</t>
  </si>
  <si>
    <t>606867951</t>
  </si>
  <si>
    <t>putnamhydro@charter.net</t>
  </si>
  <si>
    <t>Scott Thomas</t>
  </si>
  <si>
    <t>624863837087</t>
  </si>
  <si>
    <t>mwmetal@loganet.net</t>
  </si>
  <si>
    <t>Colin Pilkington</t>
  </si>
  <si>
    <t xml:space="preserve">	663910427894</t>
  </si>
  <si>
    <t>colinpilkington@yahoo.com</t>
  </si>
  <si>
    <t>6 XLP USE CU BLACK 4x5000</t>
  </si>
  <si>
    <t>DELIVERED 03.15.2016</t>
  </si>
  <si>
    <t>6 XLP USE CU WHITE 2x5000</t>
  </si>
  <si>
    <t>6 XLP USE CU GREEN 2x5000</t>
  </si>
  <si>
    <t>300 MCM Copper</t>
  </si>
  <si>
    <t xml:space="preserve">	903436939</t>
  </si>
  <si>
    <t>pkim@kleintools.com</t>
  </si>
  <si>
    <t>500 MCM Copper</t>
  </si>
  <si>
    <t>400 MCM Aluminum</t>
  </si>
  <si>
    <t>Robin ACSR</t>
  </si>
  <si>
    <t>3001097A</t>
  </si>
  <si>
    <t>1/0 ACSR</t>
  </si>
  <si>
    <t>2/0 ACSR</t>
  </si>
  <si>
    <t>3/0 ACSR</t>
  </si>
  <si>
    <t>4/0 ACSR</t>
  </si>
  <si>
    <t>556.5 MCM Dove ACSR</t>
  </si>
  <si>
    <t>636 MCM Orchid Aluminum</t>
  </si>
  <si>
    <t>16326375</t>
  </si>
  <si>
    <t>665651731742- $13.43, 665651731753, 665651731764 $13.43, 665651731775-$13.43  </t>
  </si>
  <si>
    <t>3001098A</t>
  </si>
  <si>
    <t>J&amp;A Whittier</t>
  </si>
  <si>
    <t>750MCM XHHW AL 3x500</t>
  </si>
  <si>
    <t>OAK HARBOR</t>
  </si>
  <si>
    <t xml:space="preserve">	
23364291</t>
  </si>
  <si>
    <t>Arthur Marquardt</t>
  </si>
  <si>
    <t>665645043075</t>
  </si>
  <si>
    <t>mgarrett927@gmail.com</t>
  </si>
  <si>
    <t>Muhammad Khan</t>
  </si>
  <si>
    <t>4/0-4 VNTC W/GRD</t>
  </si>
  <si>
    <t>FEDEX TRUCK ECO</t>
  </si>
  <si>
    <t>3404005102</t>
  </si>
  <si>
    <t>it@modernpackaginginc.com</t>
  </si>
  <si>
    <t>Scott Sales</t>
  </si>
  <si>
    <t>665651731683</t>
  </si>
  <si>
    <t>Jesus Solis</t>
  </si>
  <si>
    <t>16-2 Security Cable Shielded CL3 PVC Insulated UL Type Wire</t>
  </si>
  <si>
    <t>647608628354</t>
  </si>
  <si>
    <t>Jerry LaVigne</t>
  </si>
  <si>
    <t>665645043086</t>
  </si>
  <si>
    <t>Anthony Lamparelli</t>
  </si>
  <si>
    <t>665651731797</t>
  </si>
  <si>
    <t>Dale Jones</t>
  </si>
  <si>
    <t>665651731694</t>
  </si>
  <si>
    <t>Darrin Larkin</t>
  </si>
  <si>
    <t>18-8 PVC Thermostat Cable Brown or White Jacket</t>
  </si>
  <si>
    <t>614697960182</t>
  </si>
  <si>
    <t>8 COPPER</t>
  </si>
  <si>
    <t>903436939</t>
  </si>
  <si>
    <t>6 COPPER</t>
  </si>
  <si>
    <t>3 COPPER</t>
  </si>
  <si>
    <t>2 COPPER</t>
  </si>
  <si>
    <t>1 COPPER</t>
  </si>
  <si>
    <t>1/0 COPPER</t>
  </si>
  <si>
    <t xml:space="preserve">must deliver </t>
  </si>
  <si>
    <t>2/0 COPPER</t>
  </si>
  <si>
    <t>3/0 COPPER</t>
  </si>
  <si>
    <t>4/0 COPPER</t>
  </si>
  <si>
    <t>250 MCM COPPER</t>
  </si>
  <si>
    <t>350 MCM COPPER</t>
  </si>
  <si>
    <t>400 MCM COPPER</t>
  </si>
  <si>
    <t>535 FLEX MCM COPPER</t>
  </si>
  <si>
    <t>600 MCM COPPER</t>
  </si>
  <si>
    <t>6 ALUMINUM</t>
  </si>
  <si>
    <t>3 ALUMINUM</t>
  </si>
  <si>
    <t>2 ALUMINUM</t>
  </si>
  <si>
    <t>1 ALUMINUM</t>
  </si>
  <si>
    <t>1/0 ALUMINUM</t>
  </si>
  <si>
    <t>2/0 ALUMINUM</t>
  </si>
  <si>
    <t>3/0 ALUMINUM</t>
  </si>
  <si>
    <t>4/0 ALUMINUM</t>
  </si>
  <si>
    <t>250 MCM ALUMINUM</t>
  </si>
  <si>
    <t>300 MCM ALUMINUM</t>
  </si>
  <si>
    <t>350 MCM ALUMINUM</t>
  </si>
  <si>
    <t>600 MCM  ALUMINUM</t>
  </si>
  <si>
    <t>Jon Bergmann</t>
  </si>
  <si>
    <t>775851540306</t>
  </si>
  <si>
    <t>Hector Dominguez</t>
  </si>
  <si>
    <t>665645043097</t>
  </si>
  <si>
    <t>Giorgio Roda</t>
  </si>
  <si>
    <t>#4 XLPE GREEN</t>
  </si>
  <si>
    <t>DHL/DLS</t>
  </si>
  <si>
    <t>8444706432</t>
  </si>
  <si>
    <t>giorgio.roda@libero.it</t>
  </si>
  <si>
    <t>#6 XLPE GREEN</t>
  </si>
  <si>
    <t>#10 XLPE GREEN</t>
  </si>
  <si>
    <t>James Lloyd</t>
  </si>
  <si>
    <t>667087269842</t>
  </si>
  <si>
    <t>james@christianmedianetwork.com</t>
  </si>
  <si>
    <t>Don Clair</t>
  </si>
  <si>
    <t>665651731812</t>
  </si>
  <si>
    <t>Joseph Garahan</t>
  </si>
  <si>
    <t>665651731834</t>
  </si>
  <si>
    <t>Robert Castro</t>
  </si>
  <si>
    <t>3065617170</t>
  </si>
  <si>
    <t>Dale Brees</t>
  </si>
  <si>
    <t>2 THHN COPPER 3x200</t>
  </si>
  <si>
    <t>624863837499, 624863837503, 624863837514</t>
  </si>
  <si>
    <t>Hanh Hoang</t>
  </si>
  <si>
    <t>665651731856</t>
  </si>
  <si>
    <t>Trevor Rockne</t>
  </si>
  <si>
    <t>665645043167</t>
  </si>
  <si>
    <t>Earl Zimmerman</t>
  </si>
  <si>
    <t>665651731890</t>
  </si>
  <si>
    <t>Greg Naber</t>
  </si>
  <si>
    <t>389690744</t>
  </si>
  <si>
    <t>nabersproduce@hotmail.com</t>
  </si>
  <si>
    <t>Stan Morgan</t>
  </si>
  <si>
    <t>665651731867</t>
  </si>
  <si>
    <t>John Blackwell</t>
  </si>
  <si>
    <t>665651731823</t>
  </si>
  <si>
    <t>Yolanda Lorenzana</t>
  </si>
  <si>
    <t>665651731845</t>
  </si>
  <si>
    <t>Scott England</t>
  </si>
  <si>
    <t>2 Welding Cable Black 2x100</t>
  </si>
  <si>
    <t>775863747582</t>
  </si>
  <si>
    <t>David A Zeglin</t>
  </si>
  <si>
    <t>665651731889</t>
  </si>
  <si>
    <t>Miles Patterson</t>
  </si>
  <si>
    <t>665651731878</t>
  </si>
  <si>
    <t>Bill Blank</t>
  </si>
  <si>
    <t>18/12PR PVC/SPOS/PVC BLK/WHT 600V 1x1000</t>
  </si>
  <si>
    <t>776580280</t>
  </si>
  <si>
    <t>PAID 04.07.2016</t>
  </si>
  <si>
    <t>8/3 VNTC 1x1000</t>
  </si>
  <si>
    <t>10/3 VNTC 1x1000</t>
  </si>
  <si>
    <t>6/3 VNTC 20x1640</t>
  </si>
  <si>
    <t>PacTech</t>
  </si>
  <si>
    <t>72743822152710</t>
  </si>
  <si>
    <t>3001127A</t>
  </si>
  <si>
    <t>Salvatore Leone</t>
  </si>
  <si>
    <t>Blue Cat 6 Plenum Rated Cable</t>
  </si>
  <si>
    <t>Commodity</t>
  </si>
  <si>
    <t>R&amp;L CARRIERS</t>
  </si>
  <si>
    <t>98865450-9</t>
  </si>
  <si>
    <t>paid 04.02.2016</t>
  </si>
  <si>
    <t>Cat5e 24/4 Plenum Gray Wire</t>
  </si>
  <si>
    <t>White Cat 6 Plenum Rated Cable</t>
  </si>
  <si>
    <t>Yellow Cat 6 Plenum Rated Cable</t>
  </si>
  <si>
    <t>Len Cuku</t>
  </si>
  <si>
    <t>665645043145</t>
  </si>
  <si>
    <t>B. Beyer</t>
  </si>
  <si>
    <t>Steve Michell</t>
  </si>
  <si>
    <t>775857186636</t>
  </si>
  <si>
    <t>James Bisceglia</t>
  </si>
  <si>
    <t>Dutchess</t>
  </si>
  <si>
    <t>665645043178</t>
  </si>
  <si>
    <t>Phil Luna</t>
  </si>
  <si>
    <t>643758106726</t>
  </si>
  <si>
    <t>James Corocan</t>
  </si>
  <si>
    <t>665645043134</t>
  </si>
  <si>
    <t>Michael Cross</t>
  </si>
  <si>
    <t>665645043156</t>
  </si>
  <si>
    <t>Uta Dierker</t>
  </si>
  <si>
    <t>665651731926</t>
  </si>
  <si>
    <t>Paul Hahn</t>
  </si>
  <si>
    <t>669882135524</t>
  </si>
  <si>
    <t>John Merriman</t>
  </si>
  <si>
    <t>665645043189</t>
  </si>
  <si>
    <t>Molly Farabee</t>
  </si>
  <si>
    <t>775865320658</t>
  </si>
  <si>
    <t>Gary Podunajec</t>
  </si>
  <si>
    <t>Wittenburg</t>
  </si>
  <si>
    <t>31339943</t>
  </si>
  <si>
    <t>350MCM XHHW-2 CU</t>
  </si>
  <si>
    <t>356225748</t>
  </si>
  <si>
    <t>500MCM XHHW-2 CU</t>
  </si>
  <si>
    <t>3001141A</t>
  </si>
  <si>
    <t>3/0 XHHW-2 CU</t>
  </si>
  <si>
    <t>500MCM XHHW-2 AL</t>
  </si>
  <si>
    <t>16202195190</t>
  </si>
  <si>
    <t>3001141B</t>
  </si>
  <si>
    <t>2/0 XHHW-2 AL</t>
  </si>
  <si>
    <t>2 Bare CU STR</t>
  </si>
  <si>
    <t>3001141A cut $75</t>
  </si>
  <si>
    <t>Cat 5 Shielded Direct Burial</t>
  </si>
  <si>
    <t>1ZA594550391774764</t>
  </si>
  <si>
    <t>Matthew Spinela</t>
  </si>
  <si>
    <t>Wofford</t>
  </si>
  <si>
    <t>UPS FREIGHT</t>
  </si>
  <si>
    <t>885954860NOA</t>
  </si>
  <si>
    <t>MSpinella1@hotmail.com</t>
  </si>
  <si>
    <t>William Russ</t>
  </si>
  <si>
    <t>665645043340</t>
  </si>
  <si>
    <t>Bruce Michalak</t>
  </si>
  <si>
    <t>665651731959</t>
  </si>
  <si>
    <t>Kevin Coontz</t>
  </si>
  <si>
    <t>665651731960</t>
  </si>
  <si>
    <t>Buddy Moffett</t>
  </si>
  <si>
    <t>4/0 Welding Cable Green</t>
  </si>
  <si>
    <t>775886985340</t>
  </si>
  <si>
    <t>643758106689</t>
  </si>
  <si>
    <t>Halls Edge</t>
  </si>
  <si>
    <t>643758106690</t>
  </si>
  <si>
    <t>16326376</t>
  </si>
  <si>
    <t>Joseph Wescott</t>
  </si>
  <si>
    <t>667087270880</t>
  </si>
  <si>
    <t>Kevin Allen</t>
  </si>
  <si>
    <t>2/0 Welding Cable Blue 2x100</t>
  </si>
  <si>
    <t>775887000160</t>
  </si>
  <si>
    <t>Noah Lipper</t>
  </si>
  <si>
    <t>665645043373</t>
  </si>
  <si>
    <t>Anthony Puglisi</t>
  </si>
  <si>
    <t>14/4 NM-B Romex W/GRND 2x250</t>
  </si>
  <si>
    <t>1ZE297040363640007</t>
  </si>
  <si>
    <t>Gill Farms Inc.</t>
  </si>
  <si>
    <t>0272067863</t>
  </si>
  <si>
    <t>Borron Owen</t>
  </si>
  <si>
    <t>665645043237</t>
  </si>
  <si>
    <t>Bob Payne</t>
  </si>
  <si>
    <t>665645043248</t>
  </si>
  <si>
    <t>Joseph Eddleman</t>
  </si>
  <si>
    <t>665645043259</t>
  </si>
  <si>
    <t>Gregg Lenart</t>
  </si>
  <si>
    <t>Bledsoe</t>
  </si>
  <si>
    <t>665645043281</t>
  </si>
  <si>
    <t>Dwight Respess</t>
  </si>
  <si>
    <t>6/3 VNTC</t>
  </si>
  <si>
    <t>654016281049</t>
  </si>
  <si>
    <t>Stanton Sage</t>
  </si>
  <si>
    <t>10/4 SOOW Yellow</t>
  </si>
  <si>
    <t>624863838407</t>
  </si>
  <si>
    <t>Joseph Pope</t>
  </si>
  <si>
    <t>665645043215</t>
  </si>
  <si>
    <t>Robert Gillespie</t>
  </si>
  <si>
    <t>643758106760</t>
  </si>
  <si>
    <t>Ron Faris</t>
  </si>
  <si>
    <t>665645043190</t>
  </si>
  <si>
    <t>William Zukatis</t>
  </si>
  <si>
    <t>665645043260</t>
  </si>
  <si>
    <t>Anthony Abadie</t>
  </si>
  <si>
    <t>665645043362</t>
  </si>
  <si>
    <t>Ray Kendall</t>
  </si>
  <si>
    <t>3065617284</t>
  </si>
  <si>
    <t>Voa Chin</t>
  </si>
  <si>
    <t>665645043226</t>
  </si>
  <si>
    <t>Stan Moore</t>
  </si>
  <si>
    <t>665645043292</t>
  </si>
  <si>
    <t>Whitney Goins</t>
  </si>
  <si>
    <t>18/10 VNTC</t>
  </si>
  <si>
    <t>620670936463</t>
  </si>
  <si>
    <t>Mary Milosevich</t>
  </si>
  <si>
    <t>665645043204</t>
  </si>
  <si>
    <t>Britt Schoonover</t>
  </si>
  <si>
    <t>665645043270</t>
  </si>
  <si>
    <t>Chad Lucas</t>
  </si>
  <si>
    <t>665645043351</t>
  </si>
  <si>
    <t>Lennox Foster</t>
  </si>
  <si>
    <t>12/3 SJOOW 2x1000</t>
  </si>
  <si>
    <t>I568885311</t>
  </si>
  <si>
    <t>James Duncan</t>
  </si>
  <si>
    <t>12 AWG Hook Up Wire FEP Type K MIL-W-16878/11-Tin Plated Copper - Extruded FEP 200C - 600V Black</t>
  </si>
  <si>
    <t>664439934398</t>
  </si>
  <si>
    <t>Keith K Nichols</t>
  </si>
  <si>
    <t>1/0 Welding Cable Black</t>
  </si>
  <si>
    <t>775874392228</t>
  </si>
  <si>
    <t>Alexander Ritchie</t>
  </si>
  <si>
    <t>665645043307</t>
  </si>
  <si>
    <t>Moosa Hamdani</t>
  </si>
  <si>
    <t>1/0 THHN CU</t>
  </si>
  <si>
    <t>668948109539</t>
  </si>
  <si>
    <t>William Cripps</t>
  </si>
  <si>
    <t>4/0 THHN COPPER 3x380</t>
  </si>
  <si>
    <t>776580291</t>
  </si>
  <si>
    <t>dougcripps@gmail.com</t>
  </si>
  <si>
    <t>4/0 XLP USE CU 2x1680 2x1510</t>
  </si>
  <si>
    <t>GOLDCOAST/ECHO</t>
  </si>
  <si>
    <t xml:space="preserve">	1474279</t>
  </si>
  <si>
    <t>Todd Anixter</t>
  </si>
  <si>
    <t>6/3 VNTC W/GRND 6x1640</t>
  </si>
  <si>
    <t>72799102271794</t>
  </si>
  <si>
    <t>4/3 VNTC W/GRND 8x984</t>
  </si>
  <si>
    <t>Cat 5E Direct Burial</t>
  </si>
  <si>
    <t>1Z6X442R0395879720</t>
  </si>
  <si>
    <t>Dan Coutermash</t>
  </si>
  <si>
    <t>665645043410</t>
  </si>
  <si>
    <t>Chuck Luedke</t>
  </si>
  <si>
    <t>574454192022</t>
  </si>
  <si>
    <t>Art Nagy</t>
  </si>
  <si>
    <t>16/3 SJEOOW 1x250 1x500</t>
  </si>
  <si>
    <t>I568385568</t>
  </si>
  <si>
    <t>Alejandro Hanssen</t>
  </si>
  <si>
    <t xml:space="preserve">10/5 Remote &amp; Drill Cord Cable MSHA 600V </t>
  </si>
  <si>
    <t>624863838186</t>
  </si>
  <si>
    <t>Reaan Van Rooyen</t>
  </si>
  <si>
    <t>665645043421</t>
  </si>
  <si>
    <t>Luann Ramsey</t>
  </si>
  <si>
    <t>665645043395</t>
  </si>
  <si>
    <t>Steve Elza</t>
  </si>
  <si>
    <t>665645043400</t>
  </si>
  <si>
    <t>Anthony Ruffo</t>
  </si>
  <si>
    <t>665645043443</t>
  </si>
  <si>
    <t>Joey Simeone</t>
  </si>
  <si>
    <t>665651732120</t>
  </si>
  <si>
    <t>Rick Loftis</t>
  </si>
  <si>
    <t>665645043432</t>
  </si>
  <si>
    <t>Christy Poe</t>
  </si>
  <si>
    <t>665651732094</t>
  </si>
  <si>
    <t>Joseph Waltzer</t>
  </si>
  <si>
    <t>775896707363</t>
  </si>
  <si>
    <t>Bill Buschke</t>
  </si>
  <si>
    <t>665651732110</t>
  </si>
  <si>
    <t>Jennifer Barna</t>
  </si>
  <si>
    <t>665651732109</t>
  </si>
  <si>
    <t>Gary Roeder</t>
  </si>
  <si>
    <t>665651732083</t>
  </si>
  <si>
    <t>Scott Smith</t>
  </si>
  <si>
    <t>665645043465</t>
  </si>
  <si>
    <t>Adam Kerrick</t>
  </si>
  <si>
    <t>665645043682</t>
  </si>
  <si>
    <t>Keila Adams</t>
  </si>
  <si>
    <t>;2248436120</t>
  </si>
  <si>
    <t>integrityeng7@hotmail.com</t>
  </si>
  <si>
    <t>Laurian Pederson</t>
  </si>
  <si>
    <t>Dyke 2x1000 1x900</t>
  </si>
  <si>
    <t>336719307</t>
  </si>
  <si>
    <t>pedersonelec@intergate.com</t>
  </si>
  <si>
    <t>Ronnie Bemont</t>
  </si>
  <si>
    <t>295083504</t>
  </si>
  <si>
    <t>repair@witchenterprises.com</t>
  </si>
  <si>
    <t>10/4 SOOW </t>
  </si>
  <si>
    <t>American Energy Products</t>
  </si>
  <si>
    <t>Lilac</t>
  </si>
  <si>
    <t>963-843285</t>
  </si>
  <si>
    <t>salesusa@aepgroup.net</t>
  </si>
  <si>
    <t>Gary Blankoph</t>
  </si>
  <si>
    <t>4/0-4/0-4/0-4/0-2/0 SER AL W/GRND</t>
  </si>
  <si>
    <t>Bronx</t>
  </si>
  <si>
    <t>TEALS</t>
  </si>
  <si>
    <t>799032196</t>
  </si>
  <si>
    <t>garyb@cogennyc.com</t>
  </si>
  <si>
    <t>Todd Koletsky</t>
  </si>
  <si>
    <t>665645043454</t>
  </si>
  <si>
    <t>56920538-7</t>
  </si>
  <si>
    <t>Stephanie Smith</t>
  </si>
  <si>
    <t>750MCM XHHW AL 3x111 10x38</t>
  </si>
  <si>
    <t>3065622781</t>
  </si>
  <si>
    <t>trentiniholdings@gmail.com</t>
  </si>
  <si>
    <t>750MCM XHHW AL 4x111 6x38</t>
  </si>
  <si>
    <t>356225755</t>
  </si>
  <si>
    <t>3001216A</t>
  </si>
  <si>
    <t>750MCM XHHW AL w/ brown stripe 1x 777 1x 666</t>
  </si>
  <si>
    <t>352831036</t>
  </si>
  <si>
    <t>3001216B</t>
  </si>
  <si>
    <t>1ZE2970403663519630</t>
  </si>
  <si>
    <t>Greenbrook Electronics</t>
  </si>
  <si>
    <t>16/3 SJTW Orange Flex 4x250</t>
  </si>
  <si>
    <t>665645043579, 665645043580, 665645043590 , 665645043605  </t>
  </si>
  <si>
    <t>paid 03.30.2016  each freight charge 13.22, 13.36, 13.25</t>
  </si>
  <si>
    <t>8/3 Flat Pump W/GRND</t>
  </si>
  <si>
    <t>432160761</t>
  </si>
  <si>
    <t>Brian Brown</t>
  </si>
  <si>
    <t>I568385577</t>
  </si>
  <si>
    <t>holly@brownindustrial.com</t>
  </si>
  <si>
    <t xml:space="preserve">Darrin Larkin </t>
  </si>
  <si>
    <t>18/8 Thermostat Cable 1x 1000</t>
  </si>
  <si>
    <t>614697960539</t>
  </si>
  <si>
    <t>darrin.llmech@infowest.com</t>
  </si>
  <si>
    <t>Shore Perfect</t>
  </si>
  <si>
    <t>Emory 3x600</t>
  </si>
  <si>
    <t>3534756956</t>
  </si>
  <si>
    <t>d22ball@aol.com</t>
  </si>
  <si>
    <t>Tania Castro</t>
  </si>
  <si>
    <t>10/4 SOOW Yellow 4X1000</t>
  </si>
  <si>
    <t xml:space="preserve">0959109220  </t>
  </si>
  <si>
    <t>gustavo.gonzalez@dieselshippng.com</t>
  </si>
  <si>
    <t>10/4 SOOW Yellow 3x1000</t>
  </si>
  <si>
    <t>3001223A</t>
  </si>
  <si>
    <t>373475298-0</t>
  </si>
  <si>
    <t>Jim O'Brian</t>
  </si>
  <si>
    <t>655702853490</t>
  </si>
  <si>
    <t>gatorpl@bellsouth.net</t>
  </si>
  <si>
    <t>Kyle Johnson</t>
  </si>
  <si>
    <t xml:space="preserve">Dyke </t>
  </si>
  <si>
    <t>665645043693</t>
  </si>
  <si>
    <t>Tom Imel</t>
  </si>
  <si>
    <t>1Z0811790371326104</t>
  </si>
  <si>
    <t>cut $5</t>
  </si>
  <si>
    <t>Sheila Y Eavenson</t>
  </si>
  <si>
    <t>665645043498</t>
  </si>
  <si>
    <t>Maynard Oesch</t>
  </si>
  <si>
    <t>8/4 SOOW UL/CSA</t>
  </si>
  <si>
    <t>LME</t>
  </si>
  <si>
    <t>3080052032</t>
  </si>
  <si>
    <t>Paul Hussey</t>
  </si>
  <si>
    <t>665645043719</t>
  </si>
  <si>
    <t>Michael Janssen</t>
  </si>
  <si>
    <t>665645043616, 665645043627</t>
  </si>
  <si>
    <t>Alain Comte</t>
  </si>
  <si>
    <t>665645043502</t>
  </si>
  <si>
    <t>Shane Reece</t>
  </si>
  <si>
    <t xml:space="preserve">Notre Dame </t>
  </si>
  <si>
    <t>665645043671</t>
  </si>
  <si>
    <t>Ray Chronister</t>
  </si>
  <si>
    <t>665645043487</t>
  </si>
  <si>
    <t>Champion Awards</t>
  </si>
  <si>
    <t>665645043557</t>
  </si>
  <si>
    <t>Richard Wood</t>
  </si>
  <si>
    <t>665645043535</t>
  </si>
  <si>
    <t>1/0-3 MC AL W/GRND 2x 1000</t>
  </si>
  <si>
    <t>PIT OHIO</t>
  </si>
  <si>
    <t>5011528793</t>
  </si>
  <si>
    <t>David Kazalbash</t>
  </si>
  <si>
    <t>Belden 8723 Pair 22 AWG Control Cable</t>
  </si>
  <si>
    <t>782614230949</t>
  </si>
  <si>
    <t>Don Bowling</t>
  </si>
  <si>
    <t>624863838602</t>
  </si>
  <si>
    <t>Ricardo Hernandez</t>
  </si>
  <si>
    <t>665645043649</t>
  </si>
  <si>
    <t>Randy Harris</t>
  </si>
  <si>
    <t>665645043568</t>
  </si>
  <si>
    <t>Christopher Ford</t>
  </si>
  <si>
    <t>665645043524</t>
  </si>
  <si>
    <t>Robert Cindric</t>
  </si>
  <si>
    <t>665645043546</t>
  </si>
  <si>
    <t>Guy Vouffo</t>
  </si>
  <si>
    <t>14 THHN Green 10x500</t>
  </si>
  <si>
    <t>775904257892, 775904257701,  775904257712</t>
  </si>
  <si>
    <t>8.99+11.36+11.36 freight charges</t>
  </si>
  <si>
    <t>Glenn Dicus</t>
  </si>
  <si>
    <t>665645043513</t>
  </si>
  <si>
    <t>Randy Rehlers</t>
  </si>
  <si>
    <t>665645043650</t>
  </si>
  <si>
    <t>rehlers87@yahoo.com</t>
  </si>
  <si>
    <t>George Wright</t>
  </si>
  <si>
    <t>3065624586</t>
  </si>
  <si>
    <t>35647726</t>
  </si>
  <si>
    <t>billed out on 03.24.2016</t>
  </si>
  <si>
    <t>4/4 SOOW Carol Wire Only</t>
  </si>
  <si>
    <t>596532285</t>
  </si>
  <si>
    <t>3001248a</t>
  </si>
  <si>
    <t>#8 THHN GREEN (11in spool diameter)</t>
  </si>
  <si>
    <t>#8 THHN White 4x500 (11 in spool diameter)</t>
  </si>
  <si>
    <t>#12 THHN Red (11 in spool diameter)</t>
  </si>
  <si>
    <t>#14 THHN White (11 in spool diameter)</t>
  </si>
  <si>
    <t>#18 TFFN Orange 2x500 (11 in spool diameter)</t>
  </si>
  <si>
    <t>669974326460</t>
  </si>
  <si>
    <t>3001248b</t>
  </si>
  <si>
    <t>Erskine 3x1000</t>
  </si>
  <si>
    <t>356225797</t>
  </si>
  <si>
    <t>billed out on 03.25.2016</t>
  </si>
  <si>
    <t>Vassar 2X1050</t>
  </si>
  <si>
    <t>paid 18361.06 on 06.06.2016</t>
  </si>
  <si>
    <t>Stephens 3x1000 1x1014</t>
  </si>
  <si>
    <t>paid 497.91 08.16.2016</t>
  </si>
  <si>
    <t>Ramapo 4x1000</t>
  </si>
  <si>
    <t>Brenau 1x1000</t>
  </si>
  <si>
    <t>Wesleyan 1x1050</t>
  </si>
  <si>
    <t>1/0 XHHW AL 1X122</t>
  </si>
  <si>
    <t>2/0 XHHW AL 1X97 1X122</t>
  </si>
  <si>
    <t>3/0 XHHW AL 1X134 1X726 1X348</t>
  </si>
  <si>
    <t>250 MCM XHHW AL 1X388 1X106 1X659 1X454 1X238</t>
  </si>
  <si>
    <t>300 MCM XHHW AL 1X510 1X460 1X713 1X410 1X223</t>
  </si>
  <si>
    <t>350MCM XHHW AL 1X797 1X591 1X687</t>
  </si>
  <si>
    <t>Tulsa 1x1000</t>
  </si>
  <si>
    <t>3065624660</t>
  </si>
  <si>
    <t>3001249A</t>
  </si>
  <si>
    <t>Sweetbriar 1x1000</t>
  </si>
  <si>
    <t>Wake Forest 1x1000</t>
  </si>
  <si>
    <t>4/0 XHHW AL 3X1000</t>
  </si>
  <si>
    <t>250 MCM XHHW AL 1x231 1x266</t>
  </si>
  <si>
    <t>6/4 SOOW 1x10 1x18 1x25 2x30 1x33 1x37 1x70 1x1000</t>
  </si>
  <si>
    <t>6/3 SOOW 1X26 2X29 1X30 1X28 1X39 1X175 1X1000</t>
  </si>
  <si>
    <t>8/4 SOOW 1x20 1x25 1x29 1x30 1x34 3x35 1x40 1x45 1x1000</t>
  </si>
  <si>
    <t>8/3 SOOW 1x40 1x110 2x215 3x220</t>
  </si>
  <si>
    <t>10/4 SOOW 2x76 1x126 1x500</t>
  </si>
  <si>
    <t>10/3 SOOW 1X25 1X57 2X100 1X250 1X500</t>
  </si>
  <si>
    <t>12/4 SOOW 1x200 1x216 1x87 1x40 1x16 8x100</t>
  </si>
  <si>
    <t>12/3 SOOW 1X30 1X68 1X192 1X200 1X1000</t>
  </si>
  <si>
    <t>14/3 SOOW 1X70 1X88 1X1000</t>
  </si>
  <si>
    <t>14/4 SJOOW YELLOW 1X40 1X250</t>
  </si>
  <si>
    <t>14/4 SOOW YELLOW 1X90 1X250</t>
  </si>
  <si>
    <t>14/4 SOOW 1X127 1X90 1X250 1X234 1X500</t>
  </si>
  <si>
    <t>16/3 SJEOOW 3X250</t>
  </si>
  <si>
    <t>16/4 SOOW 1x87 1x170</t>
  </si>
  <si>
    <t>18/3 SJOOW YELLOW 1X120 1X200 1X3001X400</t>
  </si>
  <si>
    <t>18/4 SJOOW 1X240 1X100 1X900</t>
  </si>
  <si>
    <t>1-1-1-3 SER AL 1X2000</t>
  </si>
  <si>
    <t>6 Welding Cable</t>
  </si>
  <si>
    <t>1/0 Welding Cable 1x20 1x90</t>
  </si>
  <si>
    <t>6/3 UF-B W/GRND 1X26 1X90 1X94</t>
  </si>
  <si>
    <t>6/3 VNTC W/GRND</t>
  </si>
  <si>
    <t>14/7 SOOW</t>
  </si>
  <si>
    <t>2396955002</t>
  </si>
  <si>
    <t>3001249B</t>
  </si>
  <si>
    <t>1 Welding Cable</t>
  </si>
  <si>
    <t>Terry Alme</t>
  </si>
  <si>
    <t xml:space="preserve">8/3 SOOW </t>
  </si>
  <si>
    <t>665645043660</t>
  </si>
  <si>
    <t>Susann Steward</t>
  </si>
  <si>
    <t>4 THHN COPPER</t>
  </si>
  <si>
    <t>669882136623</t>
  </si>
  <si>
    <t>3 THHN COPPER 3x250</t>
  </si>
  <si>
    <t>669882136634. 669882136645, 669882136656</t>
  </si>
  <si>
    <t>20.12+20.13+20.15</t>
  </si>
  <si>
    <t>Charles Meng</t>
  </si>
  <si>
    <t>568385649</t>
  </si>
  <si>
    <t>cmeng69@gmail.com</t>
  </si>
  <si>
    <t>Billy Burwell</t>
  </si>
  <si>
    <t>Slippery Rock (150' + 110' Spliced Together)</t>
  </si>
  <si>
    <t>I568385631</t>
  </si>
  <si>
    <t>mikeburwell@verizon.net</t>
  </si>
  <si>
    <t>Paul Richard</t>
  </si>
  <si>
    <t>665651732153</t>
  </si>
  <si>
    <t>Milo Call</t>
  </si>
  <si>
    <t>609851496953</t>
  </si>
  <si>
    <t>Frank Legan</t>
  </si>
  <si>
    <t>665645043708</t>
  </si>
  <si>
    <t>Reynaldo Lopez</t>
  </si>
  <si>
    <t>665651732164</t>
  </si>
  <si>
    <t>JB Stewart</t>
  </si>
  <si>
    <t>665645043720</t>
  </si>
  <si>
    <t>Paul Philipsen</t>
  </si>
  <si>
    <t>Drake</t>
  </si>
  <si>
    <t>903425429</t>
  </si>
  <si>
    <t>margo.starling@smartwires.com</t>
  </si>
  <si>
    <t>Dan Wisotzkey</t>
  </si>
  <si>
    <t>356225763</t>
  </si>
  <si>
    <t>keithv@defsup.com</t>
  </si>
  <si>
    <t>Michael Seasly</t>
  </si>
  <si>
    <t xml:space="preserve">	663629801060</t>
  </si>
  <si>
    <t>mseasly@comcast.net</t>
  </si>
  <si>
    <t>Ronald Robbins</t>
  </si>
  <si>
    <t>665651732212</t>
  </si>
  <si>
    <t>RROBBIN@TWCNY.RR.COM</t>
  </si>
  <si>
    <t>Bruce Gibbson</t>
  </si>
  <si>
    <t>Tulsa </t>
  </si>
  <si>
    <t>3065624590</t>
  </si>
  <si>
    <t>lhmewc@gmail.com and bruce@northridgedairy.com</t>
  </si>
  <si>
    <t>Madhuparna Ghosh</t>
  </si>
  <si>
    <t xml:space="preserve">Marigold </t>
  </si>
  <si>
    <t>3426380440</t>
  </si>
  <si>
    <t>RUPAG@PSAMS.CA</t>
  </si>
  <si>
    <t>Randy Day</t>
  </si>
  <si>
    <t>665651732223</t>
  </si>
  <si>
    <t>psutruck@comcast.net</t>
  </si>
  <si>
    <t>10 THHN STR CU GREEN</t>
  </si>
  <si>
    <t>655044310620</t>
  </si>
  <si>
    <t>10 THHN STR CU BROWN</t>
  </si>
  <si>
    <t>10 THHN STU CU ORANGE</t>
  </si>
  <si>
    <t>10 THHN STR CU YELLOW</t>
  </si>
  <si>
    <t>William Stucki</t>
  </si>
  <si>
    <t>3/0-3 MC W/GRND CU</t>
  </si>
  <si>
    <t>0230812128</t>
  </si>
  <si>
    <t>stucki14@sbcglobal.net</t>
  </si>
  <si>
    <t>Kirk Abbott</t>
  </si>
  <si>
    <t>1/0 XHHW AL GREEN</t>
  </si>
  <si>
    <t>665651732201</t>
  </si>
  <si>
    <t>kabbott@gt.rr.com</t>
  </si>
  <si>
    <t>John Forte</t>
  </si>
  <si>
    <t>10/4 NM-B Romex W/GRND</t>
  </si>
  <si>
    <t>1ZE297040365080136</t>
  </si>
  <si>
    <t>newenglandelectric@snet.net</t>
  </si>
  <si>
    <t>336954011</t>
  </si>
  <si>
    <t>verjoh@sasktel.net</t>
  </si>
  <si>
    <t>Matthew Peters</t>
  </si>
  <si>
    <t>1Z0811790370307674</t>
  </si>
  <si>
    <t>Michael Duncan</t>
  </si>
  <si>
    <t>Scott</t>
  </si>
  <si>
    <t>665651732245</t>
  </si>
  <si>
    <t>Paul Lamey</t>
  </si>
  <si>
    <t>665645043855</t>
  </si>
  <si>
    <t>643758106862</t>
  </si>
  <si>
    <t>Thomas Mcvay</t>
  </si>
  <si>
    <t>665645043888</t>
  </si>
  <si>
    <t>Jon Hoglen</t>
  </si>
  <si>
    <t>665645043866</t>
  </si>
  <si>
    <t>Paul Tews</t>
  </si>
  <si>
    <t>#8 AWG Solar Photovoltaic Cable 600V UL 4703</t>
  </si>
  <si>
    <t>6530 0736 1829</t>
  </si>
  <si>
    <t>Jeff Tremble</t>
  </si>
  <si>
    <t>665645043811</t>
  </si>
  <si>
    <t>David Cochran</t>
  </si>
  <si>
    <t>665645043774</t>
  </si>
  <si>
    <t>665645043844</t>
  </si>
  <si>
    <t>Bradlee Vess</t>
  </si>
  <si>
    <t>643758106830</t>
  </si>
  <si>
    <t>Eric Kretschman</t>
  </si>
  <si>
    <t>665645043833</t>
  </si>
  <si>
    <t>Justine Ambrocio</t>
  </si>
  <si>
    <t>665645043800</t>
  </si>
  <si>
    <t>David Spear</t>
  </si>
  <si>
    <t>667087272838</t>
  </si>
  <si>
    <t>47225161</t>
  </si>
  <si>
    <t>643758106873</t>
  </si>
  <si>
    <t>Robert Shull</t>
  </si>
  <si>
    <t>665645043796</t>
  </si>
  <si>
    <t>Ronald Varhol</t>
  </si>
  <si>
    <t>4/4 SOOW 2x100</t>
  </si>
  <si>
    <t>665645043741, 665645043752</t>
  </si>
  <si>
    <t>2 freight charges each 57.57</t>
  </si>
  <si>
    <t>Joseph Woods</t>
  </si>
  <si>
    <t>665651732234</t>
  </si>
  <si>
    <t>Brad Wyman</t>
  </si>
  <si>
    <t>665645043877</t>
  </si>
  <si>
    <t>Jennifer Henderson</t>
  </si>
  <si>
    <t>665645043822</t>
  </si>
  <si>
    <t>GordoN Tinkleberg</t>
  </si>
  <si>
    <t>2/0-2/0-2/0-1 SER AL</t>
  </si>
  <si>
    <t>665645044082</t>
  </si>
  <si>
    <t>gordontink@hotmail.com</t>
  </si>
  <si>
    <t>12/5 SOOW</t>
  </si>
  <si>
    <t>Chad Kraemer</t>
  </si>
  <si>
    <t>2709575562</t>
  </si>
  <si>
    <t>jeffk@kraemer-inc.com</t>
  </si>
  <si>
    <t>Christian Casarella</t>
  </si>
  <si>
    <t>775940903000</t>
  </si>
  <si>
    <t>Athina Truman</t>
  </si>
  <si>
    <t>665645043903</t>
  </si>
  <si>
    <t>Stephen Stone</t>
  </si>
  <si>
    <t>665645043958</t>
  </si>
  <si>
    <t>Karen Burgh</t>
  </si>
  <si>
    <t>665645044049</t>
  </si>
  <si>
    <t>Janice Dull</t>
  </si>
  <si>
    <t>665645043947</t>
  </si>
  <si>
    <t>Ddaniel Vennes</t>
  </si>
  <si>
    <t>665645043899</t>
  </si>
  <si>
    <t>Lora Jackson</t>
  </si>
  <si>
    <t>2 Welding Cable Red 2x100</t>
  </si>
  <si>
    <t>775940917830</t>
  </si>
  <si>
    <t>Brian Amaral</t>
  </si>
  <si>
    <t>665645043970</t>
  </si>
  <si>
    <t>Andrew Oldham</t>
  </si>
  <si>
    <t>10/3 NM-B Romex W/GRND</t>
  </si>
  <si>
    <t>Aldan</t>
  </si>
  <si>
    <t>782651803660</t>
  </si>
  <si>
    <t>Cherri Coles</t>
  </si>
  <si>
    <t>18/8 VNTC Shielded</t>
  </si>
  <si>
    <t>1ZA6253X0340091084</t>
  </si>
  <si>
    <t>Julie Beichler</t>
  </si>
  <si>
    <t>665645043785</t>
  </si>
  <si>
    <t>LUA 3081204</t>
  </si>
  <si>
    <t>370760866</t>
  </si>
  <si>
    <t>Greg McEllan</t>
  </si>
  <si>
    <t>338064959</t>
  </si>
  <si>
    <t>neweld@optonline.net</t>
  </si>
  <si>
    <t>Manhattan Electrical Supply Co</t>
  </si>
  <si>
    <t>Hackney</t>
  </si>
  <si>
    <t>775934818633</t>
  </si>
  <si>
    <t>paid 05.18.2016</t>
  </si>
  <si>
    <t>Matt Wilson</t>
  </si>
  <si>
    <t>I568386009</t>
  </si>
  <si>
    <t>daniel@soundworkspro.com</t>
  </si>
  <si>
    <t>665645043991</t>
  </si>
  <si>
    <t>Janice Lovell</t>
  </si>
  <si>
    <t>665645044016</t>
  </si>
  <si>
    <t>Carl Vollrath</t>
  </si>
  <si>
    <t>665645044050</t>
  </si>
  <si>
    <t>Connie Dailey</t>
  </si>
  <si>
    <t>643758107023</t>
  </si>
  <si>
    <t>John Jarvis</t>
  </si>
  <si>
    <t>643758107012</t>
  </si>
  <si>
    <t>B&amp;B Aircraft Equipment</t>
  </si>
  <si>
    <t>336954029</t>
  </si>
  <si>
    <t>Mike Riley</t>
  </si>
  <si>
    <t>665645043925</t>
  </si>
  <si>
    <t>665645043936</t>
  </si>
  <si>
    <t>Ken Singer</t>
  </si>
  <si>
    <t>I400959378</t>
  </si>
  <si>
    <t>ksinger788@gmail.com</t>
  </si>
  <si>
    <t>3001316A</t>
  </si>
  <si>
    <t>Walter McDearmid</t>
  </si>
  <si>
    <t>782651838138</t>
  </si>
  <si>
    <t>William T Casper</t>
  </si>
  <si>
    <t>665645043969</t>
  </si>
  <si>
    <t>Greg Corrado</t>
  </si>
  <si>
    <t>20AWG 10C Stranded Overall Shielded Communications and Control Cable Gray</t>
  </si>
  <si>
    <t>650024034680</t>
  </si>
  <si>
    <t>Mac Hayes</t>
  </si>
  <si>
    <t>665645044005</t>
  </si>
  <si>
    <t>Andrew Tancredi</t>
  </si>
  <si>
    <t>665651732278</t>
  </si>
  <si>
    <t>Jaron Turnbow</t>
  </si>
  <si>
    <t>336719356</t>
  </si>
  <si>
    <t>jaronturnbow@gmail.com</t>
  </si>
  <si>
    <t>Madison Country Wood Products</t>
  </si>
  <si>
    <t>1Z0811790371092681</t>
  </si>
  <si>
    <t>Jason Broadus</t>
  </si>
  <si>
    <t>655702853607</t>
  </si>
  <si>
    <t>South Buffalo Electric</t>
  </si>
  <si>
    <t xml:space="preserve">600MCM XLP USE CU 3X 390 </t>
  </si>
  <si>
    <t xml:space="preserve">300MCM XLP USE CU </t>
  </si>
  <si>
    <t>3/0 XLP USE CU</t>
  </si>
  <si>
    <t>Michael Schaefer</t>
  </si>
  <si>
    <t>665645043980</t>
  </si>
  <si>
    <t>Ernest Mcgregor</t>
  </si>
  <si>
    <t>Swanate</t>
  </si>
  <si>
    <t>144536121</t>
  </si>
  <si>
    <t>ernestmcgregor2013@outlook.com</t>
  </si>
  <si>
    <t>Henry Cooper</t>
  </si>
  <si>
    <t>665645044038</t>
  </si>
  <si>
    <t>johnny_da_rabel@yahoo.com</t>
  </si>
  <si>
    <t>3/0 THHN Black, Red, Blue, White 4x 275</t>
  </si>
  <si>
    <t>Delivered via truck 03.24.2016</t>
  </si>
  <si>
    <t>1 THHN CU GREEN</t>
  </si>
  <si>
    <t>Donald Gerhard</t>
  </si>
  <si>
    <t xml:space="preserve">313 DLO </t>
  </si>
  <si>
    <t>31074190</t>
  </si>
  <si>
    <t>dwg@pa.metrocast.net</t>
  </si>
  <si>
    <t>1 Welding Cable 3x250</t>
  </si>
  <si>
    <t>3623184806</t>
  </si>
  <si>
    <t>ktidyman@knappelectric.com</t>
  </si>
  <si>
    <t>10 AWG TYPE USE-2 RHH BROWN</t>
  </si>
  <si>
    <t>1Z5316EX0344704449</t>
  </si>
  <si>
    <t>16/2 SJOOW 4x250</t>
  </si>
  <si>
    <t>1Z9X760X0361534478</t>
  </si>
  <si>
    <t>Donovan McKenzie</t>
  </si>
  <si>
    <t>18 AWG 8C Stranded Overall Shielded Communications &amp; Control Cable</t>
  </si>
  <si>
    <t>1Z3293110372779973</t>
  </si>
  <si>
    <t>dmckenzie@klesing.net</t>
  </si>
  <si>
    <t>18 AWG 12C Stranded Overall Shielded Communications &amp; Control Cable</t>
  </si>
  <si>
    <t>Roy Rakobitsch</t>
  </si>
  <si>
    <t>1Z9X760X1264988608</t>
  </si>
  <si>
    <t>Yvonne Dennett</t>
  </si>
  <si>
    <t>665645043914</t>
  </si>
  <si>
    <t>Ron Harlan</t>
  </si>
  <si>
    <t>665645044120</t>
  </si>
  <si>
    <t>David Zhang</t>
  </si>
  <si>
    <t>18/14 SOOW</t>
  </si>
  <si>
    <t>624863840083</t>
  </si>
  <si>
    <t>Dave Coco</t>
  </si>
  <si>
    <t>665645044027</t>
  </si>
  <si>
    <t>Frank DiRienzo</t>
  </si>
  <si>
    <t>643758107001</t>
  </si>
  <si>
    <t>Akhil Gupta</t>
  </si>
  <si>
    <t>665651732289</t>
  </si>
  <si>
    <t>Juan Vadez</t>
  </si>
  <si>
    <t>775969079410</t>
  </si>
  <si>
    <t>2/4 SOOW 1x421</t>
  </si>
  <si>
    <t>I568385082</t>
  </si>
  <si>
    <t>paid 08.16.2016</t>
  </si>
  <si>
    <t>14/4 SOOW Yellow 2x250</t>
  </si>
  <si>
    <t>4/0-4 Type W</t>
  </si>
  <si>
    <t>3621876683</t>
  </si>
  <si>
    <t>3001343A</t>
  </si>
  <si>
    <t>Dwayne Mosley</t>
  </si>
  <si>
    <t>6/3 Flat Pump W/#8 GRND</t>
  </si>
  <si>
    <t>3357158265</t>
  </si>
  <si>
    <t>mosley_40@hotmail.com</t>
  </si>
  <si>
    <t>West Virginia Electric</t>
  </si>
  <si>
    <t>10/3 SOOW 2x1000</t>
  </si>
  <si>
    <t>10/4 SOOW 1x1000</t>
  </si>
  <si>
    <t>6/4 SOOW 2x1000</t>
  </si>
  <si>
    <t>12/3 SOOW 8x250</t>
  </si>
  <si>
    <t>4/0-4/0-4/0-2/0 AL SER 2x1000</t>
  </si>
  <si>
    <t>0272068636</t>
  </si>
  <si>
    <t>3001345A</t>
  </si>
  <si>
    <t>Stephens 3x1000</t>
  </si>
  <si>
    <t>3745067196</t>
  </si>
  <si>
    <t>3001345B we will pick up</t>
  </si>
  <si>
    <t>John Maciej</t>
  </si>
  <si>
    <t>3065624656</t>
  </si>
  <si>
    <t>hardrockscreening@hotmail.com</t>
  </si>
  <si>
    <t>Rich Pomrehn</t>
  </si>
  <si>
    <t>665651732304</t>
  </si>
  <si>
    <t>KTG Systems Inc,</t>
  </si>
  <si>
    <t>500MCM THHN</t>
  </si>
  <si>
    <t>Abcwire</t>
  </si>
  <si>
    <t>ROAR LOGISTICS</t>
  </si>
  <si>
    <t>No Pro#</t>
  </si>
  <si>
    <t>350MCM THHN</t>
  </si>
  <si>
    <t>4/0 THHN</t>
  </si>
  <si>
    <t>James Blair</t>
  </si>
  <si>
    <t>665645044119</t>
  </si>
  <si>
    <t>Andy Garrett</t>
  </si>
  <si>
    <t>643758107104</t>
  </si>
  <si>
    <t>Matthew Steenbergen</t>
  </si>
  <si>
    <t>665651732359</t>
  </si>
  <si>
    <t>Nick Diiorio</t>
  </si>
  <si>
    <t xml:space="preserve"> 665651732315 </t>
  </si>
  <si>
    <t>665651732326</t>
  </si>
  <si>
    <t>Melvin Bickling</t>
  </si>
  <si>
    <t>665651732337</t>
  </si>
  <si>
    <t>Chris Covey</t>
  </si>
  <si>
    <t>665645044108</t>
  </si>
  <si>
    <t>Thomas King</t>
  </si>
  <si>
    <t>643758107034</t>
  </si>
  <si>
    <t>Clint Ballard</t>
  </si>
  <si>
    <t>16/2 SJEOOW</t>
  </si>
  <si>
    <t xml:space="preserve">	663910428423</t>
  </si>
  <si>
    <t>16/3 SJEOOW</t>
  </si>
  <si>
    <t>614697960929</t>
  </si>
  <si>
    <t>Gary Fairchild</t>
  </si>
  <si>
    <t>665651732348</t>
  </si>
  <si>
    <t>Komron Hakakbachi</t>
  </si>
  <si>
    <t>336719349</t>
  </si>
  <si>
    <t>Hugh Spence</t>
  </si>
  <si>
    <t>665645044060</t>
  </si>
  <si>
    <t>Mountain Trade</t>
  </si>
  <si>
    <t>665645044093</t>
  </si>
  <si>
    <t>665645044071</t>
  </si>
  <si>
    <t>dana@manhat10.com</t>
  </si>
  <si>
    <t>3672344863</t>
  </si>
  <si>
    <t xml:space="preserve">3001361A </t>
  </si>
  <si>
    <t>Penn Union</t>
  </si>
  <si>
    <t>900 KCMIL Aluminum Compact Class B</t>
  </si>
  <si>
    <t>665645044200</t>
  </si>
  <si>
    <t>purchasing@penn-union.com</t>
  </si>
  <si>
    <t>10 THHN BLK 3x500 (11in spool diameter)</t>
  </si>
  <si>
    <t>668948111013, 668948111024</t>
  </si>
  <si>
    <t>8 THHN RED 2x500 (11 in spool diameter)</t>
  </si>
  <si>
    <t>668948111035</t>
  </si>
  <si>
    <t>Ellen Shamley</t>
  </si>
  <si>
    <t>Richmond</t>
  </si>
  <si>
    <t>643758107045</t>
  </si>
  <si>
    <t>gerardmoeller@gmail.com</t>
  </si>
  <si>
    <t>Dennis Gilmore</t>
  </si>
  <si>
    <t>8 XLP USE BLACK</t>
  </si>
  <si>
    <t>606863305</t>
  </si>
  <si>
    <t>dennan57@yahoo.com</t>
  </si>
  <si>
    <t>8 XLP USE RED</t>
  </si>
  <si>
    <t>6 XLP USE ORANGE 1X970 1X228</t>
  </si>
  <si>
    <t>665645044152, 665645044163</t>
  </si>
  <si>
    <t>3001365A</t>
  </si>
  <si>
    <t>Larrz Johnson</t>
  </si>
  <si>
    <t>16/3 SOOW 8x250</t>
  </si>
  <si>
    <t>3065624704</t>
  </si>
  <si>
    <t>larrz.johnson@ventura.org</t>
  </si>
  <si>
    <t>Jon Usher</t>
  </si>
  <si>
    <t>3065624693</t>
  </si>
  <si>
    <t>flashmania55@hotmail.com</t>
  </si>
  <si>
    <t>Balfour</t>
  </si>
  <si>
    <t>12 TEFZEL CABLE</t>
  </si>
  <si>
    <t>AWC</t>
  </si>
  <si>
    <t>653897744850</t>
  </si>
  <si>
    <t>paid 05.31.2016</t>
  </si>
  <si>
    <t>Paul Scott</t>
  </si>
  <si>
    <t>10 THHN CU WHITE</t>
  </si>
  <si>
    <t>668948111150</t>
  </si>
  <si>
    <t>pscott@medspark.ms</t>
  </si>
  <si>
    <t>10 THHN CU BLACK</t>
  </si>
  <si>
    <t>10 THHN CU GREEN</t>
  </si>
  <si>
    <t>8 THHN CU WHITE</t>
  </si>
  <si>
    <t>8 THHN CU BLACK</t>
  </si>
  <si>
    <t>668948111160</t>
  </si>
  <si>
    <t>8 THHN CU GREEN</t>
  </si>
  <si>
    <t>8 THHN CU RED</t>
  </si>
  <si>
    <t>8 THHN CU ORANGE</t>
  </si>
  <si>
    <t>6 THHN CU BLACK</t>
  </si>
  <si>
    <t>6 THHN CU GREEN</t>
  </si>
  <si>
    <t>668948111171</t>
  </si>
  <si>
    <t>6 THHN CU RED</t>
  </si>
  <si>
    <t>6 THHN ORANGE</t>
  </si>
  <si>
    <t>Gus Valdez</t>
  </si>
  <si>
    <t>Shipping 3/30/16</t>
  </si>
  <si>
    <t>terrazzoconcrete@gmail.com</t>
  </si>
  <si>
    <t>310470968</t>
  </si>
  <si>
    <t>3001370A we will pick up</t>
  </si>
  <si>
    <t>3001370A</t>
  </si>
  <si>
    <t>Clint Stanley</t>
  </si>
  <si>
    <t>1 Welding Cable Orange Ultra-Flex</t>
  </si>
  <si>
    <t>775985173639</t>
  </si>
  <si>
    <t>Liming Shi</t>
  </si>
  <si>
    <t>665645044222</t>
  </si>
  <si>
    <t>Jason Junker</t>
  </si>
  <si>
    <t>775992580060</t>
  </si>
  <si>
    <t>Sean Crawford</t>
  </si>
  <si>
    <t>665645044196</t>
  </si>
  <si>
    <t>Albert Wright</t>
  </si>
  <si>
    <t>3/0-3 VNTC W/GRND 2x190</t>
  </si>
  <si>
    <t>albertwright20@gmail.com</t>
  </si>
  <si>
    <t>2/3 VNTC W/GRND</t>
  </si>
  <si>
    <t>2/0-3 VNTC W/GNRD</t>
  </si>
  <si>
    <t>1/3 VNTC W/GRND</t>
  </si>
  <si>
    <t>6/3 VNTC W/GNRD</t>
  </si>
  <si>
    <t>16/12 VNTC SHIELDED</t>
  </si>
  <si>
    <t xml:space="preserve">	332697371</t>
  </si>
  <si>
    <t>3001375A</t>
  </si>
  <si>
    <t>16/19 VNTC SHIELDED</t>
  </si>
  <si>
    <t>16/37 VNTC</t>
  </si>
  <si>
    <t xml:space="preserve">596532528
</t>
  </si>
  <si>
    <t>Bryce Cartmill</t>
  </si>
  <si>
    <t>665645044185</t>
  </si>
  <si>
    <t>3065624682</t>
  </si>
  <si>
    <t>meagan.byerly@rulesteel.com</t>
  </si>
  <si>
    <t>Ronald Brandenburg</t>
  </si>
  <si>
    <t>2/0-2/0-2/0-1 SER COPPER</t>
  </si>
  <si>
    <t>3491455693</t>
  </si>
  <si>
    <t>jg6400wh@yahoo.com</t>
  </si>
  <si>
    <t>Kirk Augustine</t>
  </si>
  <si>
    <t>665645044211</t>
  </si>
  <si>
    <t>kirk.webemail@gmail.com</t>
  </si>
  <si>
    <t>Bradley Brunton</t>
  </si>
  <si>
    <t>I400959387</t>
  </si>
  <si>
    <t>billybones@lastmilenet.ca</t>
  </si>
  <si>
    <t>Daniel Schiel</t>
  </si>
  <si>
    <t>665645044233</t>
  </si>
  <si>
    <t>danielvschiel@yahoo.com</t>
  </si>
  <si>
    <t>Eugene Capone</t>
  </si>
  <si>
    <t>3065624785</t>
  </si>
  <si>
    <t>caponesix@gmail.com</t>
  </si>
  <si>
    <t>Justin Garr</t>
  </si>
  <si>
    <t>665645044325</t>
  </si>
  <si>
    <t>Master Chef Restaurant Equip</t>
  </si>
  <si>
    <t>665645044141</t>
  </si>
  <si>
    <t>4/0-4 MC W/GRND</t>
  </si>
  <si>
    <t>paid 05.09.2016</t>
  </si>
  <si>
    <t>665645044347</t>
  </si>
  <si>
    <t>3001385A</t>
  </si>
  <si>
    <t>Tyler Halford</t>
  </si>
  <si>
    <t>665645044417</t>
  </si>
  <si>
    <t>Brian De Witt</t>
  </si>
  <si>
    <t>665645044369</t>
  </si>
  <si>
    <t>Richard Joyce</t>
  </si>
  <si>
    <t>665645044314</t>
  </si>
  <si>
    <t>James Koons</t>
  </si>
  <si>
    <t>665645044303</t>
  </si>
  <si>
    <t>Rachael Davies</t>
  </si>
  <si>
    <t>624863840955</t>
  </si>
  <si>
    <t>Topper Machine</t>
  </si>
  <si>
    <t>665645044370</t>
  </si>
  <si>
    <t>Raymond Starvish Jr</t>
  </si>
  <si>
    <t>Matthew Konchan</t>
  </si>
  <si>
    <t>I568644408</t>
  </si>
  <si>
    <t>I400959396</t>
  </si>
  <si>
    <t>4/5 SOOW</t>
  </si>
  <si>
    <t>3001394A</t>
  </si>
  <si>
    <t>George Rolen</t>
  </si>
  <si>
    <t>665645044266</t>
  </si>
  <si>
    <t>Craig Pendleton</t>
  </si>
  <si>
    <t>665645044299</t>
  </si>
  <si>
    <t>Justin Egner</t>
  </si>
  <si>
    <t>624863840922</t>
  </si>
  <si>
    <t>Kyle Jansen</t>
  </si>
  <si>
    <t>665645044380</t>
  </si>
  <si>
    <t>Dan Barker</t>
  </si>
  <si>
    <t>665645044255</t>
  </si>
  <si>
    <t>Philip Syribeys</t>
  </si>
  <si>
    <t>665645044336</t>
  </si>
  <si>
    <t>Kimberly Pucillo</t>
  </si>
  <si>
    <t>647608628788</t>
  </si>
  <si>
    <t>mpucillo79@gmail.com</t>
  </si>
  <si>
    <t>Belal Muwahid</t>
  </si>
  <si>
    <t>I400959414</t>
  </si>
  <si>
    <t>bo@gopherstatecleaning.com</t>
  </si>
  <si>
    <t>Sarah Benedict</t>
  </si>
  <si>
    <t>14/19 FREP EPR CPE</t>
  </si>
  <si>
    <t>666158386528</t>
  </si>
  <si>
    <t>ateam@tridentreasearch.com</t>
  </si>
  <si>
    <t>Dave Salkin</t>
  </si>
  <si>
    <t>6 THHN STRANDED GREEN</t>
  </si>
  <si>
    <t>Cheyenne Hohensinn</t>
  </si>
  <si>
    <t>4/0 Welding Cable Black</t>
  </si>
  <si>
    <t>775985229348</t>
  </si>
  <si>
    <t>Dr. Myron Bouray</t>
  </si>
  <si>
    <t>665645044277</t>
  </si>
  <si>
    <t>Martin Barclay</t>
  </si>
  <si>
    <t>665645044288</t>
  </si>
  <si>
    <t>Hugo Soriano</t>
  </si>
  <si>
    <t>665645044358</t>
  </si>
  <si>
    <t>John Winkenwader</t>
  </si>
  <si>
    <t>775992599561</t>
  </si>
  <si>
    <t>Darren Larson</t>
  </si>
  <si>
    <t>775992563446</t>
  </si>
  <si>
    <t>Boss Laser</t>
  </si>
  <si>
    <t>647608628803</t>
  </si>
  <si>
    <t>Zachary Paul Guzman</t>
  </si>
  <si>
    <t xml:space="preserve">Belden 1120A 18/2 Overall Shielded Instrumenation Tray Cable </t>
  </si>
  <si>
    <t>665825691868</t>
  </si>
  <si>
    <t>Joe Jepsen</t>
  </si>
  <si>
    <t>775985295577</t>
  </si>
  <si>
    <t>Green Power Technologies</t>
  </si>
  <si>
    <t>UL Solar Cable 600MCM RHW-2 2kV</t>
  </si>
  <si>
    <t>will be ready to pick up no later than 4/20</t>
  </si>
  <si>
    <t>paid in full 06.15.2016</t>
  </si>
  <si>
    <t>3001415</t>
  </si>
  <si>
    <t>Ecast Productions</t>
  </si>
  <si>
    <t>665645044391</t>
  </si>
  <si>
    <t>leslie@ecastpro.com</t>
  </si>
  <si>
    <t>James Pheatt</t>
  </si>
  <si>
    <t>665645044406</t>
  </si>
  <si>
    <t>jpheatt@yahoo.com</t>
  </si>
  <si>
    <t>Cecile McCauley</t>
  </si>
  <si>
    <t>I568644417</t>
  </si>
  <si>
    <t>cez_girl23@yahoo.com</t>
  </si>
  <si>
    <t>10 AWG UL TYPE USE-2 RHH BLACK</t>
  </si>
  <si>
    <t>1Z5316EX0343788870</t>
  </si>
  <si>
    <t>James Kaufman</t>
  </si>
  <si>
    <t>665645044461</t>
  </si>
  <si>
    <t>Michelle Bays</t>
  </si>
  <si>
    <t>665645044510</t>
  </si>
  <si>
    <t>David Laxton</t>
  </si>
  <si>
    <t>I568644426</t>
  </si>
  <si>
    <t>Sam Brandt</t>
  </si>
  <si>
    <t>665645044509</t>
  </si>
  <si>
    <t>Jonathan Zitelman</t>
  </si>
  <si>
    <t>665645044439</t>
  </si>
  <si>
    <t>Brian R Slager</t>
  </si>
  <si>
    <t>665645044450</t>
  </si>
  <si>
    <t>Albert Roberts</t>
  </si>
  <si>
    <t>665645044542</t>
  </si>
  <si>
    <t>Lisa Pohlmeyer</t>
  </si>
  <si>
    <t>665645044472</t>
  </si>
  <si>
    <t>Sandy Johnson</t>
  </si>
  <si>
    <t>665645044483</t>
  </si>
  <si>
    <t>SealBoss Corp.</t>
  </si>
  <si>
    <t>665645044440</t>
  </si>
  <si>
    <t>Jason Palmer</t>
  </si>
  <si>
    <t>12/2 NM-B Romex W/GRND</t>
  </si>
  <si>
    <t>1Z154YF10391283328</t>
  </si>
  <si>
    <t>Mike Pound</t>
  </si>
  <si>
    <t>6 THHN GREEN STRANDED</t>
  </si>
  <si>
    <t>1Z0811790371965309</t>
  </si>
  <si>
    <t>Jannetty Racing</t>
  </si>
  <si>
    <t>776002537306</t>
  </si>
  <si>
    <t>Don Desandre</t>
  </si>
  <si>
    <t>665645044428</t>
  </si>
  <si>
    <t>Mary Vanderveer</t>
  </si>
  <si>
    <t>665645044531</t>
  </si>
  <si>
    <t>Alex Wachter</t>
  </si>
  <si>
    <t>665645044494</t>
  </si>
  <si>
    <t>G Roy Perron</t>
  </si>
  <si>
    <t>250MCM XHHW AL 3x326</t>
  </si>
  <si>
    <t>3065617332</t>
  </si>
  <si>
    <t>perron48@calwisp.net</t>
  </si>
  <si>
    <t>614697961053</t>
  </si>
  <si>
    <t>3001435A</t>
  </si>
  <si>
    <t>4 THHN CU GREEN</t>
  </si>
  <si>
    <t>668948111642</t>
  </si>
  <si>
    <t>3001435B</t>
  </si>
  <si>
    <t>Antonio Gonzalez</t>
  </si>
  <si>
    <t>10/4 CCW W/ #10 GRND</t>
  </si>
  <si>
    <t>663910428478</t>
  </si>
  <si>
    <t>ldevries@ottrans.com</t>
  </si>
  <si>
    <t>12/19 VNTC</t>
  </si>
  <si>
    <t>667087275024</t>
  </si>
  <si>
    <t>250MCM XHHW AL</t>
  </si>
  <si>
    <t>667087275035</t>
  </si>
  <si>
    <t>Einar Johannsen</t>
  </si>
  <si>
    <t>Westchester</t>
  </si>
  <si>
    <t>47225167</t>
  </si>
  <si>
    <t>Cut charge $25</t>
  </si>
  <si>
    <t>ejohan851@aol.com</t>
  </si>
  <si>
    <t>880827449</t>
  </si>
  <si>
    <t>Lisa White</t>
  </si>
  <si>
    <t>665645044575</t>
  </si>
  <si>
    <t>lisaw@sfps.net</t>
  </si>
  <si>
    <t>Doug Brown</t>
  </si>
  <si>
    <t>250MCM XLP USE AL 2x1000</t>
  </si>
  <si>
    <t>567928989</t>
  </si>
  <si>
    <t>dbrown@nickersonparkcampground.com</t>
  </si>
  <si>
    <t>Suzanne Sosothikul</t>
  </si>
  <si>
    <t>336933015</t>
  </si>
  <si>
    <t>ssosothikul@gmail.com and bill@centralcoastbuilder.com</t>
  </si>
  <si>
    <t>2 XLPE USE AL</t>
  </si>
  <si>
    <t>614697961112</t>
  </si>
  <si>
    <t>3001441A</t>
  </si>
  <si>
    <t>AOS LLC</t>
  </si>
  <si>
    <t>Cat 6E UTP Green 30x1000</t>
  </si>
  <si>
    <t>Wavenet</t>
  </si>
  <si>
    <t>THE CUSTOM COMPANIES</t>
  </si>
  <si>
    <t>31678559</t>
  </si>
  <si>
    <t>paid 04.07.2016... send $10 gift card to ewest@aosoutlet.com</t>
  </si>
  <si>
    <t>admin@aosoutlet.com</t>
  </si>
  <si>
    <t>Frank Fischer</t>
  </si>
  <si>
    <t>643758107300</t>
  </si>
  <si>
    <t>fischerbrothers@optimum.net</t>
  </si>
  <si>
    <t>Oklahoma State Regents</t>
  </si>
  <si>
    <t>2/5 Type W</t>
  </si>
  <si>
    <t xml:space="preserve">4005191374	</t>
  </si>
  <si>
    <t>paid 04.25.2016</t>
  </si>
  <si>
    <t>bcasteel@onenet.net</t>
  </si>
  <si>
    <t>Tom Woods</t>
  </si>
  <si>
    <t>Dyke 2x2500</t>
  </si>
  <si>
    <t>0272068556</t>
  </si>
  <si>
    <t>send $110 amazon gift card</t>
  </si>
  <si>
    <t>woodsandwaterrvpark@hotmail.com</t>
  </si>
  <si>
    <t>Dyke </t>
  </si>
  <si>
    <t>643758107192</t>
  </si>
  <si>
    <t>dmmiller13@mchsi.com</t>
  </si>
  <si>
    <t>14 THHN STR BLACK COPPER</t>
  </si>
  <si>
    <t>669882139048</t>
  </si>
  <si>
    <t>665645044601</t>
  </si>
  <si>
    <t>3001447A</t>
  </si>
  <si>
    <t>Richard Delk</t>
  </si>
  <si>
    <t>665645044612</t>
  </si>
  <si>
    <t>radelk@yahoo.com</t>
  </si>
  <si>
    <t>Michael Curry</t>
  </si>
  <si>
    <t>665645044623</t>
  </si>
  <si>
    <t>mcurry166@hotmail.com</t>
  </si>
  <si>
    <t>El Guibor Distributor</t>
  </si>
  <si>
    <t>665645044645</t>
  </si>
  <si>
    <t>Allied Welding</t>
  </si>
  <si>
    <t>643758107273</t>
  </si>
  <si>
    <t>Adam Gonzales</t>
  </si>
  <si>
    <t>665645044597</t>
  </si>
  <si>
    <t>Kacper Skowron</t>
  </si>
  <si>
    <t>665645044689</t>
  </si>
  <si>
    <t>Jon Jenna Rydarowicz</t>
  </si>
  <si>
    <t>4/0 Welding Cable Red 2x50</t>
  </si>
  <si>
    <t>655702853776</t>
  </si>
  <si>
    <t>Patrick Conlon</t>
  </si>
  <si>
    <t>665645044656</t>
  </si>
  <si>
    <t>Paul Dehlinger</t>
  </si>
  <si>
    <t>665645044715</t>
  </si>
  <si>
    <t>B Opiela</t>
  </si>
  <si>
    <t>643758107284</t>
  </si>
  <si>
    <t>665645044704</t>
  </si>
  <si>
    <t>Bruce Preheim</t>
  </si>
  <si>
    <t>665645044634</t>
  </si>
  <si>
    <t>Paul Hopkins</t>
  </si>
  <si>
    <t>665645044807</t>
  </si>
  <si>
    <t>Randy Scott</t>
  </si>
  <si>
    <t>Robertson</t>
  </si>
  <si>
    <t>643758107181</t>
  </si>
  <si>
    <t>Hubert Kaylor</t>
  </si>
  <si>
    <t>655702853798</t>
  </si>
  <si>
    <t>Theron Kilburn</t>
  </si>
  <si>
    <t>655702853787</t>
  </si>
  <si>
    <t>Brandon Obrien</t>
  </si>
  <si>
    <t>665645044667</t>
  </si>
  <si>
    <t>Paul H</t>
  </si>
  <si>
    <t>665645044678</t>
  </si>
  <si>
    <t>Jonathan Thompson</t>
  </si>
  <si>
    <t>88179320</t>
  </si>
  <si>
    <t>sawctr@rdtusa.com</t>
  </si>
  <si>
    <t>655702853938</t>
  </si>
  <si>
    <t>Michelle Lawson</t>
  </si>
  <si>
    <t>10/4 MC Cable W/GRND</t>
  </si>
  <si>
    <t>616712871562</t>
  </si>
  <si>
    <t>mlawson@coresix.com</t>
  </si>
  <si>
    <t>Joshua Ellison</t>
  </si>
  <si>
    <t>4/0-3 MC W/GRND PVC Jacket</t>
  </si>
  <si>
    <t>I901029402</t>
  </si>
  <si>
    <t>ellisonjl@state.gov</t>
  </si>
  <si>
    <t>16/12 VNTC</t>
  </si>
  <si>
    <t>0161738826</t>
  </si>
  <si>
    <t>paid balance of 6272.50 05.23.2016</t>
  </si>
  <si>
    <t>12/3 SOOW Carol Wire Only 4x250</t>
  </si>
  <si>
    <t>356226043</t>
  </si>
  <si>
    <t>3001470A</t>
  </si>
  <si>
    <t>14 THHN Yellow (11 in diameter spool)</t>
  </si>
  <si>
    <t>668948111984</t>
  </si>
  <si>
    <t>3001470B... paid $38.11</t>
  </si>
  <si>
    <t>Elizabeth Zehrung</t>
  </si>
  <si>
    <t>665645044690</t>
  </si>
  <si>
    <t>elizabethzehrung@gmail.com</t>
  </si>
  <si>
    <t>2/2 Type W</t>
  </si>
  <si>
    <t>1ZV147610347001157</t>
  </si>
  <si>
    <t>Robert Heagney</t>
  </si>
  <si>
    <t>665645044818</t>
  </si>
  <si>
    <t>harbourc@ymail.com</t>
  </si>
  <si>
    <t>Jaroslaw Pazdro</t>
  </si>
  <si>
    <t>Queens</t>
  </si>
  <si>
    <t>1ZA6253X0340889973</t>
  </si>
  <si>
    <t>Leon Degarmo</t>
  </si>
  <si>
    <t>665645044792</t>
  </si>
  <si>
    <t>Michiko Yoshida-Hunter</t>
  </si>
  <si>
    <t>665645044829</t>
  </si>
  <si>
    <t>Dana Smith</t>
  </si>
  <si>
    <t>665645044830</t>
  </si>
  <si>
    <t>Sherri Treadway</t>
  </si>
  <si>
    <t>665645044851</t>
  </si>
  <si>
    <t>665645044759</t>
  </si>
  <si>
    <t>David Levin</t>
  </si>
  <si>
    <t>I226108179</t>
  </si>
  <si>
    <t>Joseph Fariz</t>
  </si>
  <si>
    <t>4 AWG 1C Non-Shielded XLP FAA L824 Type C 5KV Black</t>
  </si>
  <si>
    <t>668693517576</t>
  </si>
  <si>
    <t>Hank Braxtan</t>
  </si>
  <si>
    <t>665645044729</t>
  </si>
  <si>
    <t>Sharon Flowers</t>
  </si>
  <si>
    <t>665645044770</t>
  </si>
  <si>
    <t>Lincoln County Dept of Education</t>
  </si>
  <si>
    <t>665645044748</t>
  </si>
  <si>
    <t>Vicki L Driemel</t>
  </si>
  <si>
    <t>665645044781</t>
  </si>
  <si>
    <t>Jim Allen</t>
  </si>
  <si>
    <t>655702853802</t>
  </si>
  <si>
    <t>Christopher Wilson</t>
  </si>
  <si>
    <t>655044310939</t>
  </si>
  <si>
    <t>Michael Powell</t>
  </si>
  <si>
    <t>665645044760</t>
  </si>
  <si>
    <t>Inna Bouknight</t>
  </si>
  <si>
    <t>14/4 VNTC 2x2000</t>
  </si>
  <si>
    <t>284295647</t>
  </si>
  <si>
    <t>info@ductlessaire.com</t>
  </si>
  <si>
    <t>William Decker</t>
  </si>
  <si>
    <t>20413628</t>
  </si>
  <si>
    <t>flmsinc@gmail.com</t>
  </si>
  <si>
    <t>4/0-4/0-4/0-2/0 SER AL 1x345 1x330</t>
  </si>
  <si>
    <t>Brian Harwell</t>
  </si>
  <si>
    <t>665651732429</t>
  </si>
  <si>
    <t>harwell@mooresvillelaw.com</t>
  </si>
  <si>
    <t>Val Garashchenko</t>
  </si>
  <si>
    <t>1/0 THHN CU 12x500</t>
  </si>
  <si>
    <t>ABCWire</t>
  </si>
  <si>
    <t>201637590</t>
  </si>
  <si>
    <t>valhko@gmail.com</t>
  </si>
  <si>
    <t>Ceasar Tipian</t>
  </si>
  <si>
    <t>4/0 THHN CU</t>
  </si>
  <si>
    <t>Manhattan</t>
  </si>
  <si>
    <t>321403241</t>
  </si>
  <si>
    <t>ctcelectrical1@yahoo.com</t>
  </si>
  <si>
    <t>665645044862</t>
  </si>
  <si>
    <t>Tammy Powell</t>
  </si>
  <si>
    <t>1XRG6 60% + Cat 5E Power Creston Cable 3x1000</t>
  </si>
  <si>
    <t>3668632741</t>
  </si>
  <si>
    <t>665651732430</t>
  </si>
  <si>
    <t>Tyler Bastian</t>
  </si>
  <si>
    <t>18/4 SOOW</t>
  </si>
  <si>
    <t>665645044873</t>
  </si>
  <si>
    <t>Tony Bellew</t>
  </si>
  <si>
    <t>12 AWG TGGT Wire</t>
  </si>
  <si>
    <t>776019670266</t>
  </si>
  <si>
    <t>Allen Bontrager</t>
  </si>
  <si>
    <t>667087276720</t>
  </si>
  <si>
    <t>Nick McNeal</t>
  </si>
  <si>
    <t>643758107295</t>
  </si>
  <si>
    <t>Damien Lopez</t>
  </si>
  <si>
    <t>I568381014</t>
  </si>
  <si>
    <t>lopezelectric@verizon.net</t>
  </si>
  <si>
    <t>Mitch Wallace</t>
  </si>
  <si>
    <t>665651732451</t>
  </si>
  <si>
    <t>Justin Mamrak</t>
  </si>
  <si>
    <t>643758107262</t>
  </si>
  <si>
    <t>Barry Worcester</t>
  </si>
  <si>
    <t>665651732381</t>
  </si>
  <si>
    <t>Michael Saari</t>
  </si>
  <si>
    <t>665651732462</t>
  </si>
  <si>
    <t>AFS Purchasing</t>
  </si>
  <si>
    <t>10 AWG Lead Wire Type SF-2 SEW-2 UL 3075 - Tin Plated Copper - Silicone Rubber Black</t>
  </si>
  <si>
    <t>668693517602</t>
  </si>
  <si>
    <t>12 AWG Lead Wire Type SF-2 SEW-2 UL 3074 Tin Plated Copper Silicone Rubber Black</t>
  </si>
  <si>
    <t>630997805434</t>
  </si>
  <si>
    <t>14 THHN RED 10x500</t>
  </si>
  <si>
    <t xml:space="preserve">665651732392, 665651732407  </t>
  </si>
  <si>
    <t>654016281900</t>
  </si>
  <si>
    <t>billed out on 05.02.2016</t>
  </si>
  <si>
    <t>4036595 A-1-4/0 Sumline EPR/CPE 600V UV 1x4/0AWG</t>
  </si>
  <si>
    <t>sw or gc</t>
  </si>
  <si>
    <t>5012579455</t>
  </si>
  <si>
    <t>paid on 05.27.2016</t>
  </si>
  <si>
    <t>4036597 A-1-500 Sumline EPR/CPE 600V UV 1x500MCM</t>
  </si>
  <si>
    <t>PITT OHIO.DLS</t>
  </si>
  <si>
    <t>5011927670</t>
  </si>
  <si>
    <t>this shipping info is also for 1x820 of the below line item</t>
  </si>
  <si>
    <t>4033683 M-1-500 SUMLINE EPR/CTS/CPE 1X500MCM  2x820</t>
  </si>
  <si>
    <t>1829236964</t>
  </si>
  <si>
    <t>4098615 CSC-3-14 SUMLINE SUB CONTROL CABLE 4XAWG14</t>
  </si>
  <si>
    <t xml:space="preserve">149320188
</t>
  </si>
  <si>
    <t>3001509C $75 lagging charge</t>
  </si>
  <si>
    <t>4098622 EG-2-12 Sumline XLPE/CPE 600V UV 2x12AWG W/GREEN GRND</t>
  </si>
  <si>
    <t>833192824</t>
  </si>
  <si>
    <t>$870.00 Heat Treated Reel/Lagging Freight $402.93</t>
  </si>
  <si>
    <t>B-2-12 XLPE/CPE 600V UV 2xAWG12 Conductors: Black - Red</t>
  </si>
  <si>
    <t>3001509A</t>
  </si>
  <si>
    <t>B-2-14 XLPE/CPE 600V UV 2xAWG14 Conductors: Black - Red</t>
  </si>
  <si>
    <t>Kevin Steiner</t>
  </si>
  <si>
    <t>655702853813</t>
  </si>
  <si>
    <t>Anthony Disantis</t>
  </si>
  <si>
    <t>665651732484</t>
  </si>
  <si>
    <t>Lawrence Lee</t>
  </si>
  <si>
    <t>643758107387</t>
  </si>
  <si>
    <t>Ray Slavens</t>
  </si>
  <si>
    <t>1Z2XF3870344890858</t>
  </si>
  <si>
    <t>rveggie@yahoo.com</t>
  </si>
  <si>
    <t>Thomas Martin</t>
  </si>
  <si>
    <t>665651732565</t>
  </si>
  <si>
    <t>cindiandco@gmail.com</t>
  </si>
  <si>
    <t>Robert Leider</t>
  </si>
  <si>
    <t>4/0 XLP USE AL</t>
  </si>
  <si>
    <t>1Z2XF3870345447068</t>
  </si>
  <si>
    <t>bobleider@gmail.com</t>
  </si>
  <si>
    <t>12/3 SJOOW 2x250</t>
  </si>
  <si>
    <t>665645044954</t>
  </si>
  <si>
    <t>Carl Cruz</t>
  </si>
  <si>
    <t>56843269-2</t>
  </si>
  <si>
    <t>mtapro2001@gmail.com</t>
  </si>
  <si>
    <t>643758107413</t>
  </si>
  <si>
    <t>3001517A</t>
  </si>
  <si>
    <t>Jon Becker</t>
  </si>
  <si>
    <t>665645044965</t>
  </si>
  <si>
    <t>Paul Martin</t>
  </si>
  <si>
    <t>569657065135</t>
  </si>
  <si>
    <t>David Mayo</t>
  </si>
  <si>
    <t>665651732598</t>
  </si>
  <si>
    <t>Steven Lee</t>
  </si>
  <si>
    <t>665645044976</t>
  </si>
  <si>
    <t>Becky Manor</t>
  </si>
  <si>
    <t>Clinton</t>
  </si>
  <si>
    <t>665645044900</t>
  </si>
  <si>
    <t>Lloyd Gilbert</t>
  </si>
  <si>
    <t>16-2 Solid Plenum Rated Wire Fire Alarm FPLP Cable</t>
  </si>
  <si>
    <t>1ZA6253X0341100599</t>
  </si>
  <si>
    <t>Jeff Stamand</t>
  </si>
  <si>
    <t>665645044932</t>
  </si>
  <si>
    <t>Erik Johnson</t>
  </si>
  <si>
    <t>St. Lawrence</t>
  </si>
  <si>
    <t>663629801910</t>
  </si>
  <si>
    <t>643758107398</t>
  </si>
  <si>
    <t>David West</t>
  </si>
  <si>
    <t>643758107424</t>
  </si>
  <si>
    <t>Jeff Holocker</t>
  </si>
  <si>
    <t>3605044660</t>
  </si>
  <si>
    <t>Joe Vincent</t>
  </si>
  <si>
    <t>1/0-4 Type W</t>
  </si>
  <si>
    <t>1Z9X760X0363015301</t>
  </si>
  <si>
    <t>665651732576</t>
  </si>
  <si>
    <t>Nick Diorio</t>
  </si>
  <si>
    <t>665651732587</t>
  </si>
  <si>
    <t>Tammy Holmes</t>
  </si>
  <si>
    <t>16/12 SOOW</t>
  </si>
  <si>
    <t>667087276936</t>
  </si>
  <si>
    <t>Mike Lutz</t>
  </si>
  <si>
    <t>643758107376</t>
  </si>
  <si>
    <t>Charles Kelly</t>
  </si>
  <si>
    <t>665651732532</t>
  </si>
  <si>
    <t>Jacob Hansen</t>
  </si>
  <si>
    <t>665645044921</t>
  </si>
  <si>
    <t>Orval Roller</t>
  </si>
  <si>
    <t>665651732521</t>
  </si>
  <si>
    <t>Santiago Tejeda</t>
  </si>
  <si>
    <t>665645044910</t>
  </si>
  <si>
    <t>Robert Shank</t>
  </si>
  <si>
    <t>665651732554</t>
  </si>
  <si>
    <t>Robert Trush</t>
  </si>
  <si>
    <t>665651732543</t>
  </si>
  <si>
    <t>Brian M Clubreth</t>
  </si>
  <si>
    <t>I568432701</t>
  </si>
  <si>
    <t>Abraham Guilford</t>
  </si>
  <si>
    <t>665645044943</t>
  </si>
  <si>
    <t>Bob King</t>
  </si>
  <si>
    <t>643758107402</t>
  </si>
  <si>
    <t>Mary Longbo</t>
  </si>
  <si>
    <t>3653241093</t>
  </si>
  <si>
    <t>Michael Shephard</t>
  </si>
  <si>
    <t>776059933918</t>
  </si>
  <si>
    <t>Federico Alvarez</t>
  </si>
  <si>
    <t>655702853879</t>
  </si>
  <si>
    <t>Jake Foltz</t>
  </si>
  <si>
    <t>643758107457</t>
  </si>
  <si>
    <t>Maria Alice De Oliveira</t>
  </si>
  <si>
    <t>647608629041</t>
  </si>
  <si>
    <t>3/0 THHN CU</t>
  </si>
  <si>
    <t>50370716-7</t>
  </si>
  <si>
    <t>8 THHN CU</t>
  </si>
  <si>
    <t>Rodney Erickson</t>
  </si>
  <si>
    <t>18/5 SOOW</t>
  </si>
  <si>
    <t>665645044895</t>
  </si>
  <si>
    <t>send $5 Amazon gift card</t>
  </si>
  <si>
    <t>r2inc@hotmail.com</t>
  </si>
  <si>
    <t xml:space="preserve">3080052317	</t>
  </si>
  <si>
    <t>18/16 SOOW</t>
  </si>
  <si>
    <t>18/24 SOOW</t>
  </si>
  <si>
    <t>Jonathan Sparks</t>
  </si>
  <si>
    <t>666158386540</t>
  </si>
  <si>
    <t>jsparks@trinitygroupintl.com</t>
  </si>
  <si>
    <t>Russell Miller</t>
  </si>
  <si>
    <t>665645045023</t>
  </si>
  <si>
    <t>transportcustoms@yahoo.com</t>
  </si>
  <si>
    <t>Robert Ledwick</t>
  </si>
  <si>
    <t>5011829221</t>
  </si>
  <si>
    <t>cboyfenc@bellsouth.net</t>
  </si>
  <si>
    <t>Gerald Gallimore</t>
  </si>
  <si>
    <t>665645045012</t>
  </si>
  <si>
    <t>geraldgallimore@hotmail.com</t>
  </si>
  <si>
    <t>Steven Schecter</t>
  </si>
  <si>
    <t>665645045001</t>
  </si>
  <si>
    <t>thesteve@aol.com</t>
  </si>
  <si>
    <t>Laverne Graham</t>
  </si>
  <si>
    <t>665645045067</t>
  </si>
  <si>
    <t>laverne@ebyssawmill.com</t>
  </si>
  <si>
    <t>Gary Xing</t>
  </si>
  <si>
    <t>665645045090</t>
  </si>
  <si>
    <t>gxing@msn.com</t>
  </si>
  <si>
    <t>Greg Mcellan</t>
  </si>
  <si>
    <t>2/4 SOOW 2x500</t>
  </si>
  <si>
    <t>32539010</t>
  </si>
  <si>
    <t>10/5 SOOW 5x1000</t>
  </si>
  <si>
    <t>FEDEX ECONOMY</t>
  </si>
  <si>
    <t>3924073215</t>
  </si>
  <si>
    <t>10/5 SOOW 2x1000</t>
  </si>
  <si>
    <t xml:space="preserve">	356226159 356226274</t>
  </si>
  <si>
    <t>14/5 SOOW 15x1000 1x350</t>
  </si>
  <si>
    <t>3909354466, 665645045273</t>
  </si>
  <si>
    <t>Nassau 350' 14/5 SOOW 3001558B</t>
  </si>
  <si>
    <t>665651733068</t>
  </si>
  <si>
    <t>3001558C</t>
  </si>
  <si>
    <t>665645045137</t>
  </si>
  <si>
    <t>Dwayne Stafford</t>
  </si>
  <si>
    <t>8/2 UF-B W/GNRD</t>
  </si>
  <si>
    <t>665645045056</t>
  </si>
  <si>
    <t>Elizabeth A Fiala</t>
  </si>
  <si>
    <t>665645045089</t>
  </si>
  <si>
    <t>Jennifer Stanley</t>
  </si>
  <si>
    <t>8-8-8-8 SER AL</t>
  </si>
  <si>
    <t>665645045078</t>
  </si>
  <si>
    <t>Jason Wirth</t>
  </si>
  <si>
    <t>643758107527</t>
  </si>
  <si>
    <t>Roger Kitts</t>
  </si>
  <si>
    <t>665645044987</t>
  </si>
  <si>
    <t>Justin Tomney</t>
  </si>
  <si>
    <t>20/8 Wire Beige CL2 PVC Thermostat Cable</t>
  </si>
  <si>
    <t xml:space="preserve">	616712871643</t>
  </si>
  <si>
    <t>Jonathan Abrams</t>
  </si>
  <si>
    <t>665645045045</t>
  </si>
  <si>
    <t>Nicholas Miller</t>
  </si>
  <si>
    <t>306561747-2</t>
  </si>
  <si>
    <t>William Green</t>
  </si>
  <si>
    <t>665645045034</t>
  </si>
  <si>
    <t>Doug Kintz</t>
  </si>
  <si>
    <t>665645044998</t>
  </si>
  <si>
    <t>Richard K Walsh</t>
  </si>
  <si>
    <t>18/12 Overall Shielded VNTC</t>
  </si>
  <si>
    <t>616712871632</t>
  </si>
  <si>
    <t>4 XLP USE CU BLACK 4x5000</t>
  </si>
  <si>
    <t>Jason Schnapp</t>
  </si>
  <si>
    <t>665645045160</t>
  </si>
  <si>
    <t>spdjnky_42@yahoo.com</t>
  </si>
  <si>
    <t>Dave Crawford</t>
  </si>
  <si>
    <t>665645045104</t>
  </si>
  <si>
    <t>deerrunfarms.dave@yahoo.com</t>
  </si>
  <si>
    <t>Anthony Garett</t>
  </si>
  <si>
    <t>665645045170</t>
  </si>
  <si>
    <t>anthony.garrett74@gmail.com</t>
  </si>
  <si>
    <t>4 Welding Cable Red</t>
  </si>
  <si>
    <t>655702853927</t>
  </si>
  <si>
    <t>3001574A</t>
  </si>
  <si>
    <t>4 Welding Cable Green</t>
  </si>
  <si>
    <t>Jeremiah Patrick</t>
  </si>
  <si>
    <t>643758107479</t>
  </si>
  <si>
    <t>jeremiah@patrickautogroup.net</t>
  </si>
  <si>
    <t>Allan Jackson</t>
  </si>
  <si>
    <t>20AWG 2 Pair SPOS 300V PLTC PVC</t>
  </si>
  <si>
    <t>1ZA6253X0341792539, 1ZA6253X0340599741</t>
  </si>
  <si>
    <t>2servants@optonline.net</t>
  </si>
  <si>
    <t>AF Romero &amp; Co Inc.</t>
  </si>
  <si>
    <t>14/5 SOOW 3x1000</t>
  </si>
  <si>
    <t>3909371885</t>
  </si>
  <si>
    <t>garaizacasillas@hotmail.com</t>
  </si>
  <si>
    <t>Eugean Ott</t>
  </si>
  <si>
    <t>10/10 SOOW</t>
  </si>
  <si>
    <t>LAKEVILLE MOTOR EXPRESS</t>
  </si>
  <si>
    <t>3080052316</t>
  </si>
  <si>
    <t>gott@mathesongas.com</t>
  </si>
  <si>
    <t>Anthony Tedesco</t>
  </si>
  <si>
    <t>643758107538</t>
  </si>
  <si>
    <t>atedesco14@gmail.com</t>
  </si>
  <si>
    <t>Stephen Lea</t>
  </si>
  <si>
    <t>10/2 Flat Pump W/GRND</t>
  </si>
  <si>
    <t>08308117426</t>
  </si>
  <si>
    <t>lea222@sbcglobal.net</t>
  </si>
  <si>
    <t>Dan Evans</t>
  </si>
  <si>
    <t>665645045148</t>
  </si>
  <si>
    <t>Mark Faul</t>
  </si>
  <si>
    <t>12/2 MC Cable W/GRND</t>
  </si>
  <si>
    <t>I400959423</t>
  </si>
  <si>
    <t>3001582A</t>
  </si>
  <si>
    <t>Thomas Dawson</t>
  </si>
  <si>
    <t>665645045115</t>
  </si>
  <si>
    <t>Tim Ditri</t>
  </si>
  <si>
    <t>3703879826</t>
  </si>
  <si>
    <t>classic1033@gmail.com</t>
  </si>
  <si>
    <t>Keith LeJeune</t>
  </si>
  <si>
    <t>665645045126</t>
  </si>
  <si>
    <t>1XRG6 60% + 1X Cat 5E Power Creston Cable 2x1000</t>
  </si>
  <si>
    <t>R&amp;L Carriers</t>
  </si>
  <si>
    <t>615215511</t>
  </si>
  <si>
    <t>Wayne Smith</t>
  </si>
  <si>
    <t>16/3 SOOW 4x250</t>
  </si>
  <si>
    <t>665645045192</t>
  </si>
  <si>
    <t>Receiving Department</t>
  </si>
  <si>
    <t>665645045159</t>
  </si>
  <si>
    <t>I173324097</t>
  </si>
  <si>
    <t>Clifford Miller</t>
  </si>
  <si>
    <t>605710360540</t>
  </si>
  <si>
    <t>Timothy Owens</t>
  </si>
  <si>
    <t>Franklin</t>
  </si>
  <si>
    <t>643758107516</t>
  </si>
  <si>
    <t>Cristie Allen</t>
  </si>
  <si>
    <t>665645045181</t>
  </si>
  <si>
    <t>Steve Gaskins</t>
  </si>
  <si>
    <t>665645045207</t>
  </si>
  <si>
    <t>Abrana Ortiz</t>
  </si>
  <si>
    <t>642286527530</t>
  </si>
  <si>
    <t>C Raymond Church</t>
  </si>
  <si>
    <t>4/0 Welding Cable Black 1x15 1x25</t>
  </si>
  <si>
    <t>655702853916</t>
  </si>
  <si>
    <t>4/0 Welding Cable Red 1x15 1x25</t>
  </si>
  <si>
    <t>Criterion Barrels Inc</t>
  </si>
  <si>
    <t>4 AWG Lead Wire Type TGGT UL 5256</t>
  </si>
  <si>
    <t>668693517690</t>
  </si>
  <si>
    <t>Myron Gradert</t>
  </si>
  <si>
    <t>643758107593</t>
  </si>
  <si>
    <t>Francis Geisler III</t>
  </si>
  <si>
    <t>I606182292</t>
  </si>
  <si>
    <t>P &amp; T Supply &amp; Services</t>
  </si>
  <si>
    <t>Jefferson</t>
  </si>
  <si>
    <t>665645045218</t>
  </si>
  <si>
    <t>ecollins.ptsupply@yahoo.com</t>
  </si>
  <si>
    <t>Christopher Phillips</t>
  </si>
  <si>
    <t>3/0-3/0-3/0-1 SER COPPER</t>
  </si>
  <si>
    <t>3357146214</t>
  </si>
  <si>
    <t>untamed69@comcast.net</t>
  </si>
  <si>
    <t>Lynn R Brodal</t>
  </si>
  <si>
    <t>389704206</t>
  </si>
  <si>
    <t>lbrodal@nccray.com</t>
  </si>
  <si>
    <t>Scott Glessing</t>
  </si>
  <si>
    <t xml:space="preserve">12/4 NM-B Romex </t>
  </si>
  <si>
    <t>1ZE297040364486316</t>
  </si>
  <si>
    <t>scott.glessing@gmail.com</t>
  </si>
  <si>
    <t>2/0 XLP USE AL</t>
  </si>
  <si>
    <t>324457456</t>
  </si>
  <si>
    <t>Robert Powell</t>
  </si>
  <si>
    <t>14-2 Security Stranded Shielded PVC CL3R Copper Conductor Cable Wire</t>
  </si>
  <si>
    <t>1ZA6253X0342660750</t>
  </si>
  <si>
    <t>Robert Westfall</t>
  </si>
  <si>
    <t>665645045230</t>
  </si>
  <si>
    <t>Carlos Pena</t>
  </si>
  <si>
    <t>3 THHN Copper</t>
  </si>
  <si>
    <t>643758107582</t>
  </si>
  <si>
    <t>Last Call Logistics</t>
  </si>
  <si>
    <t>655702853950</t>
  </si>
  <si>
    <t>Richard Burger</t>
  </si>
  <si>
    <t>665645045229</t>
  </si>
  <si>
    <t>Kenrick Hunte</t>
  </si>
  <si>
    <t>1 Welding Cable Blue</t>
  </si>
  <si>
    <t>400655702853971</t>
  </si>
  <si>
    <t>JonJenna Rydarowicz</t>
  </si>
  <si>
    <t xml:space="preserve">4/0 Welding Cable Red </t>
  </si>
  <si>
    <t>655702853960</t>
  </si>
  <si>
    <t>Cale Lawson</t>
  </si>
  <si>
    <t>643758107571</t>
  </si>
  <si>
    <t>William Bryant</t>
  </si>
  <si>
    <t>665645045262</t>
  </si>
  <si>
    <t>Ross Windhorst</t>
  </si>
  <si>
    <t>12/5 Non-Shielded VNTC</t>
  </si>
  <si>
    <t>668948112914</t>
  </si>
  <si>
    <t>4/3 Type G-GC</t>
  </si>
  <si>
    <t>47679453</t>
  </si>
  <si>
    <t>Cat 5 Direct Burial Outdoor W/Gel</t>
  </si>
  <si>
    <t>1ZF9116Y0398105507</t>
  </si>
  <si>
    <t>3001614A</t>
  </si>
  <si>
    <t>Rodney Dessberg</t>
  </si>
  <si>
    <t>1 XHHW AL</t>
  </si>
  <si>
    <t>I623109609</t>
  </si>
  <si>
    <t>rodney@t-bred.com</t>
  </si>
  <si>
    <t>3 XHHW AL</t>
  </si>
  <si>
    <t>665645045251</t>
  </si>
  <si>
    <t>3001615A</t>
  </si>
  <si>
    <t>Salomon Benzimra</t>
  </si>
  <si>
    <t>668948112980</t>
  </si>
  <si>
    <t>Matt Burgess</t>
  </si>
  <si>
    <t>665645045240</t>
  </si>
  <si>
    <t>Dick Tommer</t>
  </si>
  <si>
    <t>770563864303</t>
  </si>
  <si>
    <t>ntommer@hotmail.com</t>
  </si>
  <si>
    <t>William Fountain</t>
  </si>
  <si>
    <t>3065623805</t>
  </si>
  <si>
    <t>bcfountain@hughes.net</t>
  </si>
  <si>
    <t>4/0-4 Type G 2KV</t>
  </si>
  <si>
    <t>356224865</t>
  </si>
  <si>
    <t>billed out on 04.13.2016</t>
  </si>
  <si>
    <t>PAID 08.02.2016</t>
  </si>
  <si>
    <t>Curtis Williams</t>
  </si>
  <si>
    <t>E9JPT-A61B01CA00</t>
  </si>
  <si>
    <t>curtis.williams@azab.afcent.af.mil</t>
  </si>
  <si>
    <t>2-2-2-4 Mobile Home Feeder</t>
  </si>
  <si>
    <t>1Z7238E00360609703</t>
  </si>
  <si>
    <t>Ron Targa</t>
  </si>
  <si>
    <t>UPS RED</t>
  </si>
  <si>
    <t>1Z62X7750472919416</t>
  </si>
  <si>
    <t>rtarga@parkthermal.com</t>
  </si>
  <si>
    <t>20294870</t>
  </si>
  <si>
    <t>14/3 SJOOW 6X250</t>
  </si>
  <si>
    <t>10/4 SJOOW 1X200 1X250</t>
  </si>
  <si>
    <t>14/4 SJOOW 2X250</t>
  </si>
  <si>
    <t>Steven Matthews</t>
  </si>
  <si>
    <t>614697961785</t>
  </si>
  <si>
    <t>matthewshome5@msn.com</t>
  </si>
  <si>
    <t>878793017</t>
  </si>
  <si>
    <t>S Fred Gincel</t>
  </si>
  <si>
    <t>8/4 SOOW 2x100</t>
  </si>
  <si>
    <t>665645045354, 665645045365</t>
  </si>
  <si>
    <t>665645045343</t>
  </si>
  <si>
    <t>Darren Blohm</t>
  </si>
  <si>
    <t>665645045284</t>
  </si>
  <si>
    <t>Eric Donaldson</t>
  </si>
  <si>
    <t>665645045321</t>
  </si>
  <si>
    <t>William Viens</t>
  </si>
  <si>
    <t>665645045332</t>
  </si>
  <si>
    <t>Paul Bove</t>
  </si>
  <si>
    <t>3/0 Welding Cable Black</t>
  </si>
  <si>
    <t>5011159057</t>
  </si>
  <si>
    <t>Susan Devries</t>
  </si>
  <si>
    <t>665645045295</t>
  </si>
  <si>
    <t>Ruth A Ainsworth</t>
  </si>
  <si>
    <t>665645045376</t>
  </si>
  <si>
    <t>Ryan Hurey</t>
  </si>
  <si>
    <t>665645045300</t>
  </si>
  <si>
    <t>Dennis Anderson</t>
  </si>
  <si>
    <t>I568472274</t>
  </si>
  <si>
    <t>Randy Morrison</t>
  </si>
  <si>
    <t>20/12 Thermostat Cable Brown CL2 PVC</t>
  </si>
  <si>
    <t>647608629236</t>
  </si>
  <si>
    <t>14 THHN GREEN 8x500</t>
  </si>
  <si>
    <t>643758107788</t>
  </si>
  <si>
    <t>14 THHN GREEN 2x500</t>
  </si>
  <si>
    <t>776082452480</t>
  </si>
  <si>
    <t>Joshua Young</t>
  </si>
  <si>
    <t>1/0 Welding Cable Black 2x100</t>
  </si>
  <si>
    <t>655702854007</t>
  </si>
  <si>
    <t>Arnoud Van Nispen</t>
  </si>
  <si>
    <t>665645045310</t>
  </si>
  <si>
    <t>Samuel Tomiano</t>
  </si>
  <si>
    <t>655702854029</t>
  </si>
  <si>
    <t>18/2 Unshielded Pull Box</t>
  </si>
  <si>
    <t>647748559200</t>
  </si>
  <si>
    <t>William Hughes</t>
  </si>
  <si>
    <t>665645045402</t>
  </si>
  <si>
    <t>toolrental_1228@homedepot.com</t>
  </si>
  <si>
    <t>Michael Dost</t>
  </si>
  <si>
    <t>665645045387</t>
  </si>
  <si>
    <t>michaeld_1978@yahoo.com</t>
  </si>
  <si>
    <t>Kevin Green</t>
  </si>
  <si>
    <t>18/2 SJOOW General Cable Only</t>
  </si>
  <si>
    <t>1Z9X760X0361419076</t>
  </si>
  <si>
    <t>kevin.green@rocketmail.com</t>
  </si>
  <si>
    <t>Ryan Johnson</t>
  </si>
  <si>
    <t>18 MTW Blue</t>
  </si>
  <si>
    <t>672383910705</t>
  </si>
  <si>
    <t>info@pdqelectric.com</t>
  </si>
  <si>
    <t>18 MTW White W/Blue Stripe</t>
  </si>
  <si>
    <t>Nick Olandese</t>
  </si>
  <si>
    <t>665645045398</t>
  </si>
  <si>
    <t>inlays@rosefarminlays.com</t>
  </si>
  <si>
    <t>Michael Moen</t>
  </si>
  <si>
    <t>1ZF9116Y0396076338</t>
  </si>
  <si>
    <t>mlmoen@springgrove.coop</t>
  </si>
  <si>
    <t>John Harmon</t>
  </si>
  <si>
    <t>customer pick up</t>
  </si>
  <si>
    <t>john_l_harmon@yahoo.com</t>
  </si>
  <si>
    <t>Jason Stombaugh</t>
  </si>
  <si>
    <t>3065623886</t>
  </si>
  <si>
    <t>Evgeny Nikolaev</t>
  </si>
  <si>
    <t>18-4 Solid Plenum Rated Fire Alarm FPLP Cable</t>
  </si>
  <si>
    <t xml:space="preserve">	616712871908</t>
  </si>
  <si>
    <t>Geoffrey Vansickle</t>
  </si>
  <si>
    <t>665645045480</t>
  </si>
  <si>
    <t>Crystal Conley</t>
  </si>
  <si>
    <t>Rucina</t>
  </si>
  <si>
    <t>3615308126</t>
  </si>
  <si>
    <t>Gerald Rasmussen</t>
  </si>
  <si>
    <t>665645045468</t>
  </si>
  <si>
    <t>Leslie Mitchell</t>
  </si>
  <si>
    <t>665645045516</t>
  </si>
  <si>
    <t>Steve Martell</t>
  </si>
  <si>
    <t>665645045490</t>
  </si>
  <si>
    <t>Challenger Transport</t>
  </si>
  <si>
    <t>I568472283</t>
  </si>
  <si>
    <t>Brandon Stanley</t>
  </si>
  <si>
    <t>665645045446</t>
  </si>
  <si>
    <t>Jim Burnham</t>
  </si>
  <si>
    <t>Macon</t>
  </si>
  <si>
    <t>665645045505</t>
  </si>
  <si>
    <t>William Sumner</t>
  </si>
  <si>
    <t>665645045457</t>
  </si>
  <si>
    <t>Rena Jacobs</t>
  </si>
  <si>
    <t>3065623875</t>
  </si>
  <si>
    <t>David Faller</t>
  </si>
  <si>
    <t>RL/DLS</t>
  </si>
  <si>
    <t>I568383102</t>
  </si>
  <si>
    <t>Warren Briggs</t>
  </si>
  <si>
    <t>665645045435</t>
  </si>
  <si>
    <t>BG Williams</t>
  </si>
  <si>
    <t>3065623853</t>
  </si>
  <si>
    <t>Stephanie West</t>
  </si>
  <si>
    <t>665645045538</t>
  </si>
  <si>
    <t>Doug Core</t>
  </si>
  <si>
    <t>665645045549</t>
  </si>
  <si>
    <t>Jay Wiens</t>
  </si>
  <si>
    <t>665645045413</t>
  </si>
  <si>
    <t>Certified Welding of Palos LLC</t>
  </si>
  <si>
    <t>624863843597</t>
  </si>
  <si>
    <t>Dennis Berg</t>
  </si>
  <si>
    <t>6-6-6-8 SER AL</t>
  </si>
  <si>
    <t>665645045424</t>
  </si>
  <si>
    <t>Gail Nation</t>
  </si>
  <si>
    <t>665645045527</t>
  </si>
  <si>
    <t>UAS Inc</t>
  </si>
  <si>
    <t>16/7 SOOW</t>
  </si>
  <si>
    <t>665645045550</t>
  </si>
  <si>
    <t>Daniel Metcalf</t>
  </si>
  <si>
    <t>665645045479</t>
  </si>
  <si>
    <t>Will Moelter</t>
  </si>
  <si>
    <t>655702854051</t>
  </si>
  <si>
    <t>Jonathan Young</t>
  </si>
  <si>
    <t>22 AWG Hook Up Wire PTFE Type E MIL-W-16878/4 - Silver Plated Copper - Extruded PTFE 200C - 600V Blue 3x750</t>
  </si>
  <si>
    <t>653897746646</t>
  </si>
  <si>
    <t>Oleh Bahan</t>
  </si>
  <si>
    <t>14/3 SJOOW YELLOW</t>
  </si>
  <si>
    <t>616712871871</t>
  </si>
  <si>
    <t>email@oleh.ca</t>
  </si>
  <si>
    <t>Angelo Di Cesare</t>
  </si>
  <si>
    <t>665651732657</t>
  </si>
  <si>
    <t>643758107696</t>
  </si>
  <si>
    <t>10/2 XLP PVC</t>
  </si>
  <si>
    <t>3065623864</t>
  </si>
  <si>
    <t>aftequip@yahoo.com</t>
  </si>
  <si>
    <t>3001678A</t>
  </si>
  <si>
    <t>Gadsen Fabrication</t>
  </si>
  <si>
    <t>643758107685</t>
  </si>
  <si>
    <t>larry@gadfab.com</t>
  </si>
  <si>
    <t>Donald Ray</t>
  </si>
  <si>
    <t>6/3 Flat Pump W/GRND</t>
  </si>
  <si>
    <t>3491468260</t>
  </si>
  <si>
    <t>dray@vpsfl.org</t>
  </si>
  <si>
    <t>1Z1E1R640340068460</t>
  </si>
  <si>
    <t>I568383111</t>
  </si>
  <si>
    <t>dieselguy1133@gmail.com</t>
  </si>
  <si>
    <t>Scott Forman</t>
  </si>
  <si>
    <t>1/0-1/0-1/0-2 SER AL 1x1000</t>
  </si>
  <si>
    <t>799040984</t>
  </si>
  <si>
    <t>paid 06.20.2016</t>
  </si>
  <si>
    <t>scott@galwein.com</t>
  </si>
  <si>
    <t>2/4 SOOW 1x1000 1x 500</t>
  </si>
  <si>
    <t>send $200 gift card</t>
  </si>
  <si>
    <t>4/4 SOOW 1x500</t>
  </si>
  <si>
    <t>4/5 SOOW 1x500</t>
  </si>
  <si>
    <t>LTL TRUCK</t>
  </si>
  <si>
    <t>NO PRO #</t>
  </si>
  <si>
    <t>3001683A</t>
  </si>
  <si>
    <t>6/5 SOOW 1x1000</t>
  </si>
  <si>
    <t>we will pick up with 3001678</t>
  </si>
  <si>
    <t>3703870601</t>
  </si>
  <si>
    <t>3001684A</t>
  </si>
  <si>
    <t>Timothy Blevins</t>
  </si>
  <si>
    <t>665645045571</t>
  </si>
  <si>
    <t>timothy51@windstream.net</t>
  </si>
  <si>
    <t>Eric Crowley</t>
  </si>
  <si>
    <t>6/2 MC W/GRND</t>
  </si>
  <si>
    <t>738959561</t>
  </si>
  <si>
    <t>erock1996@hotmail.com</t>
  </si>
  <si>
    <t>4/3 MC W/GRND</t>
  </si>
  <si>
    <t>567062683</t>
  </si>
  <si>
    <t>3/3 MC W/GRND</t>
  </si>
  <si>
    <t>Matt Rigatti</t>
  </si>
  <si>
    <t>I568383129</t>
  </si>
  <si>
    <t>we will pick (shipping to thea)</t>
  </si>
  <si>
    <t>JDEVORE@SOLARCITY.COM</t>
  </si>
  <si>
    <t>Jeffery Kiel</t>
  </si>
  <si>
    <t>665645045620</t>
  </si>
  <si>
    <t>lightening007@gmail.com</t>
  </si>
  <si>
    <t>643758107766</t>
  </si>
  <si>
    <t>Jon Wilmot</t>
  </si>
  <si>
    <t>665645045608</t>
  </si>
  <si>
    <t>GW GW</t>
  </si>
  <si>
    <t>3065624030</t>
  </si>
  <si>
    <t>BMS</t>
  </si>
  <si>
    <t>665645045630</t>
  </si>
  <si>
    <t>Robert Hannan</t>
  </si>
  <si>
    <t>16/8 SOOW</t>
  </si>
  <si>
    <t>665645045593</t>
  </si>
  <si>
    <t>Eric Flores</t>
  </si>
  <si>
    <t>16/4 SJEOOW 2x250</t>
  </si>
  <si>
    <t>1ZA40Y730341259806, 1ZA40Y730342743012</t>
  </si>
  <si>
    <t>I568383138</t>
  </si>
  <si>
    <t>info@advancedshowsolutions.com</t>
  </si>
  <si>
    <t>16/3 SJEOOW 4x250</t>
  </si>
  <si>
    <t>Titan Wire</t>
  </si>
  <si>
    <t>12 PV Wire Black 23x2500</t>
  </si>
  <si>
    <t xml:space="preserve">Atlanta </t>
  </si>
  <si>
    <t>363517277</t>
  </si>
  <si>
    <t>paid 05.16.2016</t>
  </si>
  <si>
    <t>ap@titanwnc.com</t>
  </si>
  <si>
    <t>12 PV Wire Red 14x2500</t>
  </si>
  <si>
    <t>Master Development</t>
  </si>
  <si>
    <t>665645045939, 665645045928</t>
  </si>
  <si>
    <t>contractingmaster@yahoo.com</t>
  </si>
  <si>
    <t>Tayler McCrery</t>
  </si>
  <si>
    <t>665651732668</t>
  </si>
  <si>
    <t>John Catlin</t>
  </si>
  <si>
    <t>665645045619</t>
  </si>
  <si>
    <t>Mike Drefcinski</t>
  </si>
  <si>
    <t xml:space="preserve">2/4 SOOW </t>
  </si>
  <si>
    <t>665645045582</t>
  </si>
  <si>
    <t>Wheeler/Benitas LLC</t>
  </si>
  <si>
    <t>HW263 20101</t>
  </si>
  <si>
    <t>669974327662</t>
  </si>
  <si>
    <t>catherine@wbmarine.net</t>
  </si>
  <si>
    <t>HW263 20101 1x 600 1x 175</t>
  </si>
  <si>
    <t>Trinity</t>
  </si>
  <si>
    <t>2693140634</t>
  </si>
  <si>
    <t>send $100 gift card</t>
  </si>
  <si>
    <t>HW260 00201</t>
  </si>
  <si>
    <t>John Imbriale</t>
  </si>
  <si>
    <t>3491468481</t>
  </si>
  <si>
    <t>jimbriale1@verizon.net</t>
  </si>
  <si>
    <t>Yelena Vilder</t>
  </si>
  <si>
    <t>669882141780</t>
  </si>
  <si>
    <t>yvilder@yahoo.com</t>
  </si>
  <si>
    <t>Sam Norris</t>
  </si>
  <si>
    <t>I568383318</t>
  </si>
  <si>
    <t>Barrie Norwich</t>
  </si>
  <si>
    <t>643758107858</t>
  </si>
  <si>
    <t>Ghislain Thomas</t>
  </si>
  <si>
    <t>665645045641</t>
  </si>
  <si>
    <t>Vince Brewer</t>
  </si>
  <si>
    <t>1/0 XLP USE-2 COPPER</t>
  </si>
  <si>
    <t>665645045652</t>
  </si>
  <si>
    <t>Bill Smith</t>
  </si>
  <si>
    <t>20/2 Thermostat Cable Brown CL2 PVC</t>
  </si>
  <si>
    <t>663910428949</t>
  </si>
  <si>
    <t>Kelley Gavin</t>
  </si>
  <si>
    <t>665645045674</t>
  </si>
  <si>
    <t>John Condon</t>
  </si>
  <si>
    <t>665645045685</t>
  </si>
  <si>
    <t>Philip Wilson</t>
  </si>
  <si>
    <t>665645045663</t>
  </si>
  <si>
    <t>Adam Schendel</t>
  </si>
  <si>
    <t>665645045700</t>
  </si>
  <si>
    <t>schende@gmail.com</t>
  </si>
  <si>
    <t>Camilo Castillo</t>
  </si>
  <si>
    <t>500/4 Type G</t>
  </si>
  <si>
    <t>756282331</t>
  </si>
  <si>
    <t>ccastillo@miamibreaker.com</t>
  </si>
  <si>
    <t>643758107869</t>
  </si>
  <si>
    <t>Lee Williams</t>
  </si>
  <si>
    <t>665645045696</t>
  </si>
  <si>
    <t>I568383345</t>
  </si>
  <si>
    <t>migman@echoes.net</t>
  </si>
  <si>
    <t>18/2 SOOW</t>
  </si>
  <si>
    <t>250MCM XLP USE AL</t>
  </si>
  <si>
    <t xml:space="preserve">	441126891</t>
  </si>
  <si>
    <t>Gregory Holzer</t>
  </si>
  <si>
    <t>14/12 Flat Festoon Yellow Copper</t>
  </si>
  <si>
    <t>WireXpress</t>
  </si>
  <si>
    <t>1Z8R752W0301911276</t>
  </si>
  <si>
    <t>glh@acsalaska.net</t>
  </si>
  <si>
    <t>Takao Nakamura</t>
  </si>
  <si>
    <t>12/9 VNTC</t>
  </si>
  <si>
    <t>669882142125</t>
  </si>
  <si>
    <t>spencerm@nkcusa.com</t>
  </si>
  <si>
    <t>JCI Industries</t>
  </si>
  <si>
    <t xml:space="preserve">	3621879936</t>
  </si>
  <si>
    <t>$25 Wire Cut</t>
  </si>
  <si>
    <t>hbird@jciind.com</t>
  </si>
  <si>
    <t>624863846530</t>
  </si>
  <si>
    <t>Peter Terranova</t>
  </si>
  <si>
    <t>665645045711</t>
  </si>
  <si>
    <t>Gary Mann</t>
  </si>
  <si>
    <t>665645045722</t>
  </si>
  <si>
    <t>Esco Micro Pte Ltd</t>
  </si>
  <si>
    <t>12/4 Impervious Continuously Welded Armor Power &amp; Control Cable</t>
  </si>
  <si>
    <t>DHL</t>
  </si>
  <si>
    <t>HB 6WO1769</t>
  </si>
  <si>
    <t>aisa.cabrillos@escoglobal.com</t>
  </si>
  <si>
    <t>14/4 Impervious Continuously Welded Armor Power &amp; Control Cable</t>
  </si>
  <si>
    <t>16/12 Pair Impervious Continuously Welded Armor Power &amp; Control Cable</t>
  </si>
  <si>
    <t>Paige Parlor</t>
  </si>
  <si>
    <t xml:space="preserve">	1Z8802920350800822</t>
  </si>
  <si>
    <t>paige.parlor2015@gmail.com</t>
  </si>
  <si>
    <t>Arc-Heat</t>
  </si>
  <si>
    <t>665645045766</t>
  </si>
  <si>
    <t>Evan Whitehead</t>
  </si>
  <si>
    <t>665645045788</t>
  </si>
  <si>
    <t>Sandy White</t>
  </si>
  <si>
    <t>647608629340</t>
  </si>
  <si>
    <t>Kyle Stevens</t>
  </si>
  <si>
    <t>12/3 VNTC 1x250 1x500</t>
  </si>
  <si>
    <t>666158387318, 666158387329</t>
  </si>
  <si>
    <t>Frank Dickey</t>
  </si>
  <si>
    <t>665645045814</t>
  </si>
  <si>
    <t>Tommie Z Turner</t>
  </si>
  <si>
    <t>665645045755</t>
  </si>
  <si>
    <t>Dave Forrer</t>
  </si>
  <si>
    <t>665645045733</t>
  </si>
  <si>
    <t>David Klossner</t>
  </si>
  <si>
    <t>8 AWG Type MTW/UL 1283 Stranded Wire 133 Strand Copper</t>
  </si>
  <si>
    <t>672383913520</t>
  </si>
  <si>
    <t>2 AWG Type MTW/UL 1283 Stranded Wire 1x50 1x100 665 Strand Copper</t>
  </si>
  <si>
    <t>687804760462374, 687804760462367</t>
  </si>
  <si>
    <t>Kathryn James</t>
  </si>
  <si>
    <t>I568383363</t>
  </si>
  <si>
    <t>Lou Marks</t>
  </si>
  <si>
    <t>I568383291</t>
  </si>
  <si>
    <t>Leonard Signorile</t>
  </si>
  <si>
    <t>665645045777</t>
  </si>
  <si>
    <t>Ana Alonso</t>
  </si>
  <si>
    <t>I568383309</t>
  </si>
  <si>
    <t>James Figuerado</t>
  </si>
  <si>
    <t>4/0-3 GGC</t>
  </si>
  <si>
    <t>A1LOGISTICS</t>
  </si>
  <si>
    <t>hwismail@yahoo.com</t>
  </si>
  <si>
    <t>Cascade Champions Band Booster</t>
  </si>
  <si>
    <t>I568383354</t>
  </si>
  <si>
    <t>fmp64bonn@netscape.net</t>
  </si>
  <si>
    <t>6 THHN CU</t>
  </si>
  <si>
    <t>643758107870</t>
  </si>
  <si>
    <t>3001737A</t>
  </si>
  <si>
    <t>Frank Hasselberger</t>
  </si>
  <si>
    <t>No PRO #</t>
  </si>
  <si>
    <t xml:space="preserve">$25 cut charge </t>
  </si>
  <si>
    <t>dick-hertz@hotmail.com</t>
  </si>
  <si>
    <t>Robert Stepien</t>
  </si>
  <si>
    <t>665645045803</t>
  </si>
  <si>
    <t>cbstepien@embarqmail.com</t>
  </si>
  <si>
    <t>Robert Clark</t>
  </si>
  <si>
    <t>665645045799</t>
  </si>
  <si>
    <t>clarkbar072884@hotmail.com</t>
  </si>
  <si>
    <t>Josh Cole</t>
  </si>
  <si>
    <t>0243939466</t>
  </si>
  <si>
    <t>Timothy Egley</t>
  </si>
  <si>
    <t>665645045869</t>
  </si>
  <si>
    <t>egleytj@gmail.com</t>
  </si>
  <si>
    <t>Shawn Martin</t>
  </si>
  <si>
    <t>665651732727</t>
  </si>
  <si>
    <t>blondi4324@aol.com</t>
  </si>
  <si>
    <t>Brian Adams</t>
  </si>
  <si>
    <t>18/2 SVT Portable Cord</t>
  </si>
  <si>
    <t>624863844387</t>
  </si>
  <si>
    <t>Veronica Rosing</t>
  </si>
  <si>
    <t>665645045983</t>
  </si>
  <si>
    <t>Bruce Lammers</t>
  </si>
  <si>
    <t>665645045836</t>
  </si>
  <si>
    <t>Joseph Wilhauck</t>
  </si>
  <si>
    <t>665651732738</t>
  </si>
  <si>
    <t>Thomas Harold</t>
  </si>
  <si>
    <t>665645045961</t>
  </si>
  <si>
    <t>Gary Skinner</t>
  </si>
  <si>
    <t>665645045950</t>
  </si>
  <si>
    <t>665651732716</t>
  </si>
  <si>
    <t>FAT Production</t>
  </si>
  <si>
    <t>665645045880</t>
  </si>
  <si>
    <t>Jay Willoughby</t>
  </si>
  <si>
    <t>665645045906</t>
  </si>
  <si>
    <t>Anna Richey</t>
  </si>
  <si>
    <t>665645045858</t>
  </si>
  <si>
    <t>Rev Gerald Gallimore</t>
  </si>
  <si>
    <t>665645045870</t>
  </si>
  <si>
    <t>Bobby Recieving</t>
  </si>
  <si>
    <t>20/8 PVC Thermostat Cable Moisture Resistant PVC Jacket Wire 2x1000</t>
  </si>
  <si>
    <t>1ZV147610348913821, 1ZV147610347836836</t>
  </si>
  <si>
    <t>Bruce Sunderland</t>
  </si>
  <si>
    <t>665645045891</t>
  </si>
  <si>
    <t>Randy Hawkins</t>
  </si>
  <si>
    <t>665645045917</t>
  </si>
  <si>
    <t>Korey Kramradt</t>
  </si>
  <si>
    <t>3/0-3 VFD Cable W/GRND</t>
  </si>
  <si>
    <t>3605503705</t>
  </si>
  <si>
    <t>we will pick up RYAN@brazill.com</t>
  </si>
  <si>
    <t>sales@premierindinc.com</t>
  </si>
  <si>
    <t>6/3 VFD Cable W/GRND</t>
  </si>
  <si>
    <t>3669513945</t>
  </si>
  <si>
    <t>3001758A.. send $50 amazon gift card</t>
  </si>
  <si>
    <t>Donna Varnum</t>
  </si>
  <si>
    <t>665645045847</t>
  </si>
  <si>
    <t>Gerald O Gallimore</t>
  </si>
  <si>
    <t>665645045940</t>
  </si>
  <si>
    <t>Master/Check</t>
  </si>
  <si>
    <t xml:space="preserve">3924078115 </t>
  </si>
  <si>
    <t>12/4 Type P</t>
  </si>
  <si>
    <t>2611652050</t>
  </si>
  <si>
    <t>3001761A</t>
  </si>
  <si>
    <t>14/5 SOOW</t>
  </si>
  <si>
    <t>3909355494</t>
  </si>
  <si>
    <t>3001761B</t>
  </si>
  <si>
    <t>billed out 04.22.2016</t>
  </si>
  <si>
    <t>4 THHN STR BLACK</t>
  </si>
  <si>
    <t>EASTERN FREIGHTWAYS</t>
  </si>
  <si>
    <t>paid 07.18.2016</t>
  </si>
  <si>
    <t>1 THHN STR BLACK</t>
  </si>
  <si>
    <t>2/0 THHN STR BLACK 2x300</t>
  </si>
  <si>
    <t>3/0 THHN STR BLACK 1x480 1x615 1x740</t>
  </si>
  <si>
    <t>4/0 THHN STR BLACK 1x229 1x276 1x385 1x435</t>
  </si>
  <si>
    <t>250STR THHN BLACK 1x820 1x772 1x538</t>
  </si>
  <si>
    <t>350STR THHN BLACK 1x820 1x702</t>
  </si>
  <si>
    <t>500STR THHN BLACK 1x235 1x504 1x830</t>
  </si>
  <si>
    <t>600STR THHN BLACK 1x577 1x700 1x890 1x940</t>
  </si>
  <si>
    <t>2 XHHW-2 AL BLACK 1x762 1x750 1x250 1x240 1x211</t>
  </si>
  <si>
    <t>1 XHHW-2 AL BLACK 1x205 1x326 1x445 1x605 1x689 1x778 1x827</t>
  </si>
  <si>
    <t>1/0 XHHW-2 AL BLACK 1x172 1x260 1x385 1x911</t>
  </si>
  <si>
    <t>2/0 XHHW-2 AL BLACK </t>
  </si>
  <si>
    <t>3/0 XHHW-2 AL BLACK 1x453 1x720</t>
  </si>
  <si>
    <t>4/0 XHHW-2 AL BLACK</t>
  </si>
  <si>
    <t>250 XHHW-2 AL BLACK 1x690 1x269 1x216 1x127 1x104</t>
  </si>
  <si>
    <t>300 XHHW-2 AL BLACK</t>
  </si>
  <si>
    <t>350 XHHW-2 AL BLACK 1x200 1x425 1x775</t>
  </si>
  <si>
    <t>500 XHHW-2 AL BLACK 1x548 1x600 1x604 1x771 1x784 1x826, 1x833 1x853 1x863 1x892 1x906 1x919 1x945</t>
  </si>
  <si>
    <t>750 XHHW-2 AL BLACK 1x850 1x630 1x546 1x146</t>
  </si>
  <si>
    <t>Reigh Grosz</t>
  </si>
  <si>
    <t>I039919518</t>
  </si>
  <si>
    <t>rgrosz@oakhilltech.com</t>
  </si>
  <si>
    <t>Steve S.P. Odenborg</t>
  </si>
  <si>
    <t>14 AWG Hunter Jacketed Decoder Cables Direct Burial Blue</t>
  </si>
  <si>
    <t>Paige</t>
  </si>
  <si>
    <t>468774930094063</t>
  </si>
  <si>
    <t>shopstores@uidaho.edu</t>
  </si>
  <si>
    <t>Michael Bolduc</t>
  </si>
  <si>
    <t>665645046008</t>
  </si>
  <si>
    <t>mcbolduc@gmail.com</t>
  </si>
  <si>
    <t>Michael Dawson</t>
  </si>
  <si>
    <t>665645046019</t>
  </si>
  <si>
    <t>mdawson@entact.com</t>
  </si>
  <si>
    <t>Jason Moore</t>
  </si>
  <si>
    <t>665645046020</t>
  </si>
  <si>
    <t>Edward T Bosch</t>
  </si>
  <si>
    <t>Brian Jones</t>
  </si>
  <si>
    <t>665645045994</t>
  </si>
  <si>
    <t>Henry Aguirre</t>
  </si>
  <si>
    <t>2/0 Welding Cable Blue</t>
  </si>
  <si>
    <t>655702854224</t>
  </si>
  <si>
    <t>Steve Williams</t>
  </si>
  <si>
    <t>655702854213</t>
  </si>
  <si>
    <t>Donald Keith</t>
  </si>
  <si>
    <t>665645046100</t>
  </si>
  <si>
    <t>John Moncrief</t>
  </si>
  <si>
    <t>665645046030</t>
  </si>
  <si>
    <t>Gregory Kent</t>
  </si>
  <si>
    <t>665645046041</t>
  </si>
  <si>
    <t>Roger Sprankle</t>
  </si>
  <si>
    <t>665645046085</t>
  </si>
  <si>
    <t>Dimo Georgiev</t>
  </si>
  <si>
    <t>665645046074</t>
  </si>
  <si>
    <t>Joe Strazdus</t>
  </si>
  <si>
    <t>10/4 VNTC 2x250</t>
  </si>
  <si>
    <t>669882142526, 669882142537</t>
  </si>
  <si>
    <t>669882142548, 669882142559</t>
  </si>
  <si>
    <t>Masafumi Mitsunaga</t>
  </si>
  <si>
    <t>655702854235</t>
  </si>
  <si>
    <t>Jean Carlos Lausell</t>
  </si>
  <si>
    <t>1/0 Welding Cable Black 3x100</t>
  </si>
  <si>
    <t>2538609441</t>
  </si>
  <si>
    <t>1/0 Welding Cable Red 3x100</t>
  </si>
  <si>
    <t>Ed Graham</t>
  </si>
  <si>
    <t>665645046052</t>
  </si>
  <si>
    <t>Andrew Schlaline</t>
  </si>
  <si>
    <t>18 AWG 8 Pair Tray Cable PLTC W/Overall Shield Type PLTC/ITC-ER-Instrumentation Tray Cable</t>
  </si>
  <si>
    <t>616712872010</t>
  </si>
  <si>
    <t>andy.schlaline@amwater.com</t>
  </si>
  <si>
    <t>Jean Christian Brutus</t>
  </si>
  <si>
    <t>665645046063</t>
  </si>
  <si>
    <t>tichrist200@yahoo.com</t>
  </si>
  <si>
    <t>2/4 SOOW 1x1000</t>
  </si>
  <si>
    <t>0272044573</t>
  </si>
  <si>
    <t>4/4 SOOW 1x1000</t>
  </si>
  <si>
    <t>Jim Manolio</t>
  </si>
  <si>
    <t>18/7 VNTC</t>
  </si>
  <si>
    <t>666158387502</t>
  </si>
  <si>
    <t>jmanolio@automationservicesinc.com</t>
  </si>
  <si>
    <t>18/4 VNTC Shielded</t>
  </si>
  <si>
    <t>666158387513</t>
  </si>
  <si>
    <t>SERVICE BY AIR</t>
  </si>
  <si>
    <t>284295230</t>
  </si>
  <si>
    <t>eric.terry@industrialservicescompany.com</t>
  </si>
  <si>
    <t>Joe Terry</t>
  </si>
  <si>
    <t>665651732999</t>
  </si>
  <si>
    <t>Harold Wyrick</t>
  </si>
  <si>
    <t>665651733024</t>
  </si>
  <si>
    <t>World Music Supply</t>
  </si>
  <si>
    <t>624863846714</t>
  </si>
  <si>
    <t>Troy Riddell</t>
  </si>
  <si>
    <t>665651733013</t>
  </si>
  <si>
    <t>Timothy Lane Grey</t>
  </si>
  <si>
    <t>3065635823</t>
  </si>
  <si>
    <t>tgrey@uga.edu</t>
  </si>
  <si>
    <t>Gary Broadhead</t>
  </si>
  <si>
    <t>665651732977</t>
  </si>
  <si>
    <t>Cory Kurtz</t>
  </si>
  <si>
    <t>665651733002</t>
  </si>
  <si>
    <t>10/5 SOOW 1x1000 1x500</t>
  </si>
  <si>
    <t>4016437725</t>
  </si>
  <si>
    <t>paid 06.13.2016</t>
  </si>
  <si>
    <t>Alyson Sherwood</t>
  </si>
  <si>
    <t>22/4 Security Cable Gray</t>
  </si>
  <si>
    <t>644640012569</t>
  </si>
  <si>
    <t>James Ferry</t>
  </si>
  <si>
    <t>665645046122</t>
  </si>
  <si>
    <t>Jeremy Ramey</t>
  </si>
  <si>
    <t>665645046111</t>
  </si>
  <si>
    <t>Walter H Dickerson</t>
  </si>
  <si>
    <t>665645046133</t>
  </si>
  <si>
    <t>Gerd Lessmeister</t>
  </si>
  <si>
    <t>665645046188</t>
  </si>
  <si>
    <t>665645046199</t>
  </si>
  <si>
    <t>Lou Marks &amp; Sons Inc</t>
  </si>
  <si>
    <t>Erskine 2x1000</t>
  </si>
  <si>
    <t>I039919662</t>
  </si>
  <si>
    <t>Dale Tulloch</t>
  </si>
  <si>
    <t>665651732749</t>
  </si>
  <si>
    <t>John Goudeau</t>
  </si>
  <si>
    <t>605710361400</t>
  </si>
  <si>
    <t>Gil McCullough </t>
  </si>
  <si>
    <t>12/3 TRAY CABLE</t>
  </si>
  <si>
    <t>50370728-4</t>
  </si>
  <si>
    <t>leeza.sousa@gmail.com</t>
  </si>
  <si>
    <t>Alan King</t>
  </si>
  <si>
    <t>12/3 SJOOW 2 x 1000</t>
  </si>
  <si>
    <t>I039919671</t>
  </si>
  <si>
    <t>aking@heartlandscenic.com</t>
  </si>
  <si>
    <t>18/12 SPOS 300V</t>
  </si>
  <si>
    <t xml:space="preserve">	1Z19X16R0344666642</t>
  </si>
  <si>
    <t>Stan White</t>
  </si>
  <si>
    <t>444MCM 2kV Unarmored Gelox Insulation</t>
  </si>
  <si>
    <t>I531500742</t>
  </si>
  <si>
    <t>stan.white@kalmbachfeeds.com</t>
  </si>
  <si>
    <t>Agboola Tubi</t>
  </si>
  <si>
    <t>665645046177</t>
  </si>
  <si>
    <t>Patrick Duffy</t>
  </si>
  <si>
    <t>665651732830</t>
  </si>
  <si>
    <t>Jason Laxton</t>
  </si>
  <si>
    <t>665651732750</t>
  </si>
  <si>
    <t>William Trevouledes</t>
  </si>
  <si>
    <t>4 DLO</t>
  </si>
  <si>
    <t>654016283074</t>
  </si>
  <si>
    <t>Alvin Metcalf</t>
  </si>
  <si>
    <t>Monroe</t>
  </si>
  <si>
    <t>665651732911</t>
  </si>
  <si>
    <t>Rideguys Inc.</t>
  </si>
  <si>
    <t>1Z2XF3870344927452</t>
  </si>
  <si>
    <t>Lorren Leadmon</t>
  </si>
  <si>
    <t>665651732820</t>
  </si>
  <si>
    <t>Don Gebers</t>
  </si>
  <si>
    <t>665651732760</t>
  </si>
  <si>
    <t>Angel Padula</t>
  </si>
  <si>
    <t>871986337</t>
  </si>
  <si>
    <t>8 XHHW CU 4x500</t>
  </si>
  <si>
    <t>665651732819</t>
  </si>
  <si>
    <t>Rahul Gupta</t>
  </si>
  <si>
    <t>10 XHHW BLACK COPPER</t>
  </si>
  <si>
    <t>665651732793</t>
  </si>
  <si>
    <t>sheru24@hotmail.com</t>
  </si>
  <si>
    <t>10 XHHW GREEN COPPER</t>
  </si>
  <si>
    <t>674462216160</t>
  </si>
  <si>
    <t>3001817A</t>
  </si>
  <si>
    <t>10 XHHW RED COPPER</t>
  </si>
  <si>
    <t xml:space="preserve">665651732808  </t>
  </si>
  <si>
    <t>12/3 SJOOW 1x54 2x56 4x250</t>
  </si>
  <si>
    <t>3065624166</t>
  </si>
  <si>
    <t>David Fisher</t>
  </si>
  <si>
    <t>I039919797</t>
  </si>
  <si>
    <t>Nicky Turner</t>
  </si>
  <si>
    <t>2/0 XHHW AL 4x500 1X250</t>
  </si>
  <si>
    <t>I623124558</t>
  </si>
  <si>
    <t>Doug Watkins</t>
  </si>
  <si>
    <t>I039919806</t>
  </si>
  <si>
    <t>doug@blastcomm.com</t>
  </si>
  <si>
    <t>Richad Liu</t>
  </si>
  <si>
    <t>Marigold 2x3</t>
  </si>
  <si>
    <t xml:space="preserve">	1Z7238E00358684029</t>
  </si>
  <si>
    <t>richard@hittools.com</t>
  </si>
  <si>
    <t>1Z28X7X90367052431</t>
  </si>
  <si>
    <t>Cowslip 2x3</t>
  </si>
  <si>
    <t>Tamrul Hasan</t>
  </si>
  <si>
    <t>4/0 Copper RHH/Use XLPE Insulation 600V</t>
  </si>
  <si>
    <t>643758108247</t>
  </si>
  <si>
    <t xml:space="preserve">$5 cut charge </t>
  </si>
  <si>
    <t>bellal@dctllc.net</t>
  </si>
  <si>
    <t>Tom Griffing</t>
  </si>
  <si>
    <t>665651732782</t>
  </si>
  <si>
    <t>tomgriffing13@gmail.com</t>
  </si>
  <si>
    <t>Steven Zaffery</t>
  </si>
  <si>
    <t>3/0-3 MC W/GRND</t>
  </si>
  <si>
    <t>5008302952</t>
  </si>
  <si>
    <t>szaffary@gmail.com</t>
  </si>
  <si>
    <t>Warren Granger</t>
  </si>
  <si>
    <t>1/0 XLP USE RHH COPPER</t>
  </si>
  <si>
    <t>668948115225</t>
  </si>
  <si>
    <t>warren@ziaproducts.com</t>
  </si>
  <si>
    <t>356227181</t>
  </si>
  <si>
    <t>billed out on 04.25.2016</t>
  </si>
  <si>
    <t>6/4 SOOW Carol Wire Only 2x250</t>
  </si>
  <si>
    <t>paid 06.0132016</t>
  </si>
  <si>
    <t>10 THHN Black (11 in spool diameter) 2X500</t>
  </si>
  <si>
    <t>668948115270</t>
  </si>
  <si>
    <t>3001827A</t>
  </si>
  <si>
    <t>12 THHN RED (11in spool diameter)</t>
  </si>
  <si>
    <t>14 THHN BLUE (11in spool diameter)</t>
  </si>
  <si>
    <t>14 THHN YELLOW (11 in spool diameter)</t>
  </si>
  <si>
    <t xml:space="preserve">4/4 SOOW </t>
  </si>
  <si>
    <t>665651732885</t>
  </si>
  <si>
    <t>James Fisher</t>
  </si>
  <si>
    <t>665651732863</t>
  </si>
  <si>
    <t>Willow Photo Lab</t>
  </si>
  <si>
    <t>665651732896</t>
  </si>
  <si>
    <t>Richard Cordisco</t>
  </si>
  <si>
    <t>Orange</t>
  </si>
  <si>
    <t>665651732988</t>
  </si>
  <si>
    <t>665651733193</t>
  </si>
  <si>
    <t>Lino Solis</t>
  </si>
  <si>
    <t>665651732900</t>
  </si>
  <si>
    <t>Robert Barber</t>
  </si>
  <si>
    <t>6/2 Metal Clad MC Cable Alum Clad STR Wire</t>
  </si>
  <si>
    <t>6381164833981</t>
  </si>
  <si>
    <t>14/2 W/GRND Metal Clad Cable</t>
  </si>
  <si>
    <t>Stanley Salmons</t>
  </si>
  <si>
    <t>1ZF9116Y0343712212</t>
  </si>
  <si>
    <t>Hilary Gans</t>
  </si>
  <si>
    <t>665651733079</t>
  </si>
  <si>
    <t>Cole Morgan</t>
  </si>
  <si>
    <t>2 Welding Cable Orange Ultra Flex</t>
  </si>
  <si>
    <t>776181894407</t>
  </si>
  <si>
    <t>Alvin Lee</t>
  </si>
  <si>
    <t>665651732852</t>
  </si>
  <si>
    <t>David Thoman</t>
  </si>
  <si>
    <t>665651732874</t>
  </si>
  <si>
    <t>665651732922</t>
  </si>
  <si>
    <t>Greig Latham</t>
  </si>
  <si>
    <t>665651732841</t>
  </si>
  <si>
    <t>Impact Absorption</t>
  </si>
  <si>
    <t>665651733182</t>
  </si>
  <si>
    <t>Robert Cornwell</t>
  </si>
  <si>
    <t>356224980</t>
  </si>
  <si>
    <t>Amit Sodhi</t>
  </si>
  <si>
    <t>1/0 THHN COPPER</t>
  </si>
  <si>
    <t>643758108258</t>
  </si>
  <si>
    <t xml:space="preserve">$25 Wire Cut </t>
  </si>
  <si>
    <t>Marc Passereli</t>
  </si>
  <si>
    <t>008825178802</t>
  </si>
  <si>
    <t>ranchomerced@msn.com</t>
  </si>
  <si>
    <t>Glen Mort</t>
  </si>
  <si>
    <t>665651733220</t>
  </si>
  <si>
    <t>gmortelectric@yahoo.com</t>
  </si>
  <si>
    <t>Bob Middleton</t>
  </si>
  <si>
    <t>665645046214</t>
  </si>
  <si>
    <t>614697962196</t>
  </si>
  <si>
    <t xml:space="preserve">Ebay </t>
  </si>
  <si>
    <t>George Ricker</t>
  </si>
  <si>
    <t>8/3 UF-B With Ground</t>
  </si>
  <si>
    <t>665651733046</t>
  </si>
  <si>
    <t>Brian Hardie</t>
  </si>
  <si>
    <t>665651733127</t>
  </si>
  <si>
    <t>Galen Flinn</t>
  </si>
  <si>
    <t>665651733090</t>
  </si>
  <si>
    <t>799041158</t>
  </si>
  <si>
    <t>Jovani Rodriguez</t>
  </si>
  <si>
    <t>665651733138</t>
  </si>
  <si>
    <t>Brian Luong</t>
  </si>
  <si>
    <t>4/4 SOOW 2 x 125</t>
  </si>
  <si>
    <t>665651733149, 665651733150</t>
  </si>
  <si>
    <t>Robert Leach</t>
  </si>
  <si>
    <t>Oxlip</t>
  </si>
  <si>
    <t>776182461878</t>
  </si>
  <si>
    <t>408-712-2700</t>
  </si>
  <si>
    <t>bob_leach@wispwest.net</t>
  </si>
  <si>
    <t>Oleg Alecksandrovich</t>
  </si>
  <si>
    <t>665651733035</t>
  </si>
  <si>
    <t>Jose Torres</t>
  </si>
  <si>
    <t>655702854305</t>
  </si>
  <si>
    <t>John Bandstra</t>
  </si>
  <si>
    <t>665645046203</t>
  </si>
  <si>
    <t>Tyson Arnold</t>
  </si>
  <si>
    <t>665651733241</t>
  </si>
  <si>
    <t>I039919779</t>
  </si>
  <si>
    <t>Ronald Hemmer</t>
  </si>
  <si>
    <t>1ZF9116Y0344315926</t>
  </si>
  <si>
    <t>Nicolet Hardwoods Corp. c/o Fred</t>
  </si>
  <si>
    <t>665651733171</t>
  </si>
  <si>
    <t>Cory Baker</t>
  </si>
  <si>
    <t>665651733160</t>
  </si>
  <si>
    <t xml:space="preserve">Edward Shaw </t>
  </si>
  <si>
    <t>3-3-3-5 Copper SER </t>
  </si>
  <si>
    <t>665651733080</t>
  </si>
  <si>
    <t>George Roney</t>
  </si>
  <si>
    <t>665651733105</t>
  </si>
  <si>
    <t>Joe Pirok</t>
  </si>
  <si>
    <t>665651733116</t>
  </si>
  <si>
    <t>Charles Summers</t>
  </si>
  <si>
    <t>624863847309</t>
  </si>
  <si>
    <t>David Disharoon</t>
  </si>
  <si>
    <t>ddish53@yahoo.com</t>
  </si>
  <si>
    <t>4/0-4/0-2/0-4 Mobile Home Feeder</t>
  </si>
  <si>
    <t xml:space="preserve">	301005664</t>
  </si>
  <si>
    <t>16 MTW Orange</t>
  </si>
  <si>
    <t>667428245001</t>
  </si>
  <si>
    <t>16 MTW Purple</t>
  </si>
  <si>
    <t>667428245012</t>
  </si>
  <si>
    <t>Priority Wire &amp; Cable- Norcross</t>
  </si>
  <si>
    <t>4/3 VNTC W/GRND 2 X 2500</t>
  </si>
  <si>
    <t>Atlanta</t>
  </si>
  <si>
    <t>paid 05.23.2016</t>
  </si>
  <si>
    <t>16/12 MC-HL PR 600V SPOS 1 X 1000 </t>
  </si>
  <si>
    <t>18/5 VNTC 3 X 1000</t>
  </si>
  <si>
    <t>Brad Fisher</t>
  </si>
  <si>
    <t>665651733230</t>
  </si>
  <si>
    <t>Christian Adams</t>
  </si>
  <si>
    <t>665651733208</t>
  </si>
  <si>
    <t>WC Fisher</t>
  </si>
  <si>
    <t>178675030152953</t>
  </si>
  <si>
    <t>Jack Whiteside</t>
  </si>
  <si>
    <t>665651733219</t>
  </si>
  <si>
    <t>Wade Sheldon</t>
  </si>
  <si>
    <t>665651733322</t>
  </si>
  <si>
    <t>Bo Anderson</t>
  </si>
  <si>
    <t>665651733355</t>
  </si>
  <si>
    <t>178675030152854</t>
  </si>
  <si>
    <t>Fredy Martinez</t>
  </si>
  <si>
    <t>665645046236</t>
  </si>
  <si>
    <t>Albert Garcia</t>
  </si>
  <si>
    <t>665645046269</t>
  </si>
  <si>
    <t>Larry Wiebe</t>
  </si>
  <si>
    <t>665651733377</t>
  </si>
  <si>
    <t>Christopher Hannickel</t>
  </si>
  <si>
    <t>665645046247</t>
  </si>
  <si>
    <t>Jeff Hoelle</t>
  </si>
  <si>
    <t>665651733366</t>
  </si>
  <si>
    <t>Wade Chisenhall</t>
  </si>
  <si>
    <t>665651733333</t>
  </si>
  <si>
    <t>Ken Stewart</t>
  </si>
  <si>
    <t>665645046225</t>
  </si>
  <si>
    <t>Greg Lyons</t>
  </si>
  <si>
    <t>665645046258</t>
  </si>
  <si>
    <t>Matthew Boddy</t>
  </si>
  <si>
    <t>667087281729</t>
  </si>
  <si>
    <t>Dustin Unger</t>
  </si>
  <si>
    <t>665651733344</t>
  </si>
  <si>
    <t>Keith Lozon</t>
  </si>
  <si>
    <t>665651733263</t>
  </si>
  <si>
    <t>Leon Roitburg</t>
  </si>
  <si>
    <t>665651733296</t>
  </si>
  <si>
    <t>Craige Bandy</t>
  </si>
  <si>
    <t>665651733300</t>
  </si>
  <si>
    <t>Danny Padgett</t>
  </si>
  <si>
    <t>665645046270</t>
  </si>
  <si>
    <t>665651733274</t>
  </si>
  <si>
    <t>Bruce Styf</t>
  </si>
  <si>
    <t>00378005732</t>
  </si>
  <si>
    <t>Nathan Hise</t>
  </si>
  <si>
    <t>665645046280</t>
  </si>
  <si>
    <t>John Primeau</t>
  </si>
  <si>
    <t>Cockle 3x1000</t>
  </si>
  <si>
    <t xml:space="preserve">	337379440</t>
  </si>
  <si>
    <t>jprimeau@nacepf.net</t>
  </si>
  <si>
    <t>Randy Hardin</t>
  </si>
  <si>
    <t>18/9 TFN Gas &amp; Oil MC</t>
  </si>
  <si>
    <t>665651733311</t>
  </si>
  <si>
    <t>rhardin@mitchumchips.com</t>
  </si>
  <si>
    <t>Mike Worthy</t>
  </si>
  <si>
    <t>20/1 Pair Type K-X Thermocouple Non Shielded</t>
  </si>
  <si>
    <t>632001033239</t>
  </si>
  <si>
    <t>mworthy@trcsolutions.com</t>
  </si>
  <si>
    <t>306562426-2</t>
  </si>
  <si>
    <t>Direct Wire &amp; Cable</t>
  </si>
  <si>
    <t>336.4 Quad Bronco XLP Black 5x1000</t>
  </si>
  <si>
    <t>3065635834</t>
  </si>
  <si>
    <t>we will pick up... billed out on 05.04.2016</t>
  </si>
  <si>
    <t>Reels</t>
  </si>
  <si>
    <t>Walter McClain</t>
  </si>
  <si>
    <t>8/3 SOOW UL/CSA</t>
  </si>
  <si>
    <t>EXPEDITED FREIGHT</t>
  </si>
  <si>
    <t xml:space="preserve">2638873 </t>
  </si>
  <si>
    <t>sally@lagrangeelectrical.com</t>
  </si>
  <si>
    <t>Paul Gieseking</t>
  </si>
  <si>
    <t>3065624225</t>
  </si>
  <si>
    <t>paul@indianlakescampground.com</t>
  </si>
  <si>
    <t>665651733517</t>
  </si>
  <si>
    <t>fishbro@optonline.net</t>
  </si>
  <si>
    <t>675157524214</t>
  </si>
  <si>
    <t>Michael Schroeder</t>
  </si>
  <si>
    <t>665651733480</t>
  </si>
  <si>
    <t>federal300mike@yahoo.com</t>
  </si>
  <si>
    <t>John N</t>
  </si>
  <si>
    <t>665651733469</t>
  </si>
  <si>
    <t>Simon Papukyan</t>
  </si>
  <si>
    <t>6-6-6-8 SER ALUMINUM</t>
  </si>
  <si>
    <t>644267285142</t>
  </si>
  <si>
    <t>Andy Kufis</t>
  </si>
  <si>
    <t>665651733458</t>
  </si>
  <si>
    <t>Kristen A Herbst</t>
  </si>
  <si>
    <t>665651733701</t>
  </si>
  <si>
    <t>J Rudroff</t>
  </si>
  <si>
    <t>20/8 PVC Thermostat Cable 4x 250</t>
  </si>
  <si>
    <t>663629803589</t>
  </si>
  <si>
    <t>David  Levin</t>
  </si>
  <si>
    <t>665651733447</t>
  </si>
  <si>
    <t>Susan Hall</t>
  </si>
  <si>
    <t>665651733528</t>
  </si>
  <si>
    <t>James H Bleacher</t>
  </si>
  <si>
    <t>665651733491</t>
  </si>
  <si>
    <t>Robert Touchett</t>
  </si>
  <si>
    <t>665651733403</t>
  </si>
  <si>
    <t>Richard Przytarski</t>
  </si>
  <si>
    <t>665645046306</t>
  </si>
  <si>
    <t>Randy Glasgow</t>
  </si>
  <si>
    <t>665651733550</t>
  </si>
  <si>
    <t>Larry Lumpkins</t>
  </si>
  <si>
    <t>665651733414</t>
  </si>
  <si>
    <t>Robert Rasmussen</t>
  </si>
  <si>
    <t>665651733470</t>
  </si>
  <si>
    <t>bob@vectrafitness.com</t>
  </si>
  <si>
    <t>Nick Peterson</t>
  </si>
  <si>
    <t>665651733425</t>
  </si>
  <si>
    <t>12/2 Solid Alum Armor Grey Orange 36x250</t>
  </si>
  <si>
    <t>2522105740</t>
  </si>
  <si>
    <t>12/4 MC Steel White Black Red Blue Green 19x250</t>
  </si>
  <si>
    <t>12/3 MC Steel Brown Orange Green Grey 9x250</t>
  </si>
  <si>
    <t>Larry Moon</t>
  </si>
  <si>
    <t>362732062-0</t>
  </si>
  <si>
    <t>ray@gadfab.com</t>
  </si>
  <si>
    <t>665651733697</t>
  </si>
  <si>
    <t>FEDEX/GREG</t>
  </si>
  <si>
    <t>3653241244</t>
  </si>
  <si>
    <t>16/2 SOOW</t>
  </si>
  <si>
    <t>3001923A</t>
  </si>
  <si>
    <t>Mo English</t>
  </si>
  <si>
    <t>4 XLP USE GREEN COPPER 2x200</t>
  </si>
  <si>
    <t>675157524291</t>
  </si>
  <si>
    <t>$10 Cut Charge</t>
  </si>
  <si>
    <t>mo@4beyond.com</t>
  </si>
  <si>
    <t>350MCM XLP USE WHITE STRIPE 2x200</t>
  </si>
  <si>
    <t xml:space="preserve">	3706642251</t>
  </si>
  <si>
    <t>3001924A</t>
  </si>
  <si>
    <t>350MCM XLP USE RED STRIPE 2x200</t>
  </si>
  <si>
    <t>350MCM XLP USE BLACK 2x200</t>
  </si>
  <si>
    <t>Frank Pratt III</t>
  </si>
  <si>
    <t>665651733539</t>
  </si>
  <si>
    <t>Geoff Boyd</t>
  </si>
  <si>
    <t>USF HOLLAND</t>
  </si>
  <si>
    <t>10564588830</t>
  </si>
  <si>
    <t>3786471356</t>
  </si>
  <si>
    <t>3001926A... we will pick up</t>
  </si>
  <si>
    <t>Rolando Aguilar</t>
  </si>
  <si>
    <t>665651733540</t>
  </si>
  <si>
    <t>Wayne Shimanis</t>
  </si>
  <si>
    <t>16-2 Security Cable Shielded CL3P PVC Insulated Type UL Wire</t>
  </si>
  <si>
    <t xml:space="preserve">	663629803660</t>
  </si>
  <si>
    <t>Robert Sanderson</t>
  </si>
  <si>
    <t>665651733506</t>
  </si>
  <si>
    <t>Bill Nichols</t>
  </si>
  <si>
    <t>665651733561</t>
  </si>
  <si>
    <t>Kelton Cates</t>
  </si>
  <si>
    <t>665651733609</t>
  </si>
  <si>
    <t>Nelson Sire</t>
  </si>
  <si>
    <t>14/12 VNTC</t>
  </si>
  <si>
    <t>674462217318</t>
  </si>
  <si>
    <t>Jaime Ybarra</t>
  </si>
  <si>
    <t>4/0 Welding Cable Yellow</t>
  </si>
  <si>
    <t>2538616625</t>
  </si>
  <si>
    <t>KDA Realty</t>
  </si>
  <si>
    <t>350MCM THHN CU 1 X 440 1 X 220</t>
  </si>
  <si>
    <t>5009815610</t>
  </si>
  <si>
    <t>500MCM THHN CU 1 x 290  1 X 220</t>
  </si>
  <si>
    <t>davidklossner@gmail.com</t>
  </si>
  <si>
    <t>3001934A</t>
  </si>
  <si>
    <t>2 THHN CU</t>
  </si>
  <si>
    <t>10/4 SOOW YELLOW 1x5000 3x1000</t>
  </si>
  <si>
    <t>356227322</t>
  </si>
  <si>
    <t>tcastro@surtax.com.ec</t>
  </si>
  <si>
    <t>Jodi Hessong</t>
  </si>
  <si>
    <t>675157524317</t>
  </si>
  <si>
    <t>skipjody92@yahoo.com</t>
  </si>
  <si>
    <t>Noela Velasco</t>
  </si>
  <si>
    <t>665651733620</t>
  </si>
  <si>
    <t>augustvalentine23@gmail.com</t>
  </si>
  <si>
    <t>Chad Conner</t>
  </si>
  <si>
    <t>I567939474</t>
  </si>
  <si>
    <t>conner55@verizon.net</t>
  </si>
  <si>
    <t>I624842613</t>
  </si>
  <si>
    <t>6/3 Type W Rubber Filled</t>
  </si>
  <si>
    <t>770567905302</t>
  </si>
  <si>
    <t>paid 06.28.2016</t>
  </si>
  <si>
    <t>Robert Hendon</t>
  </si>
  <si>
    <t>665651733610</t>
  </si>
  <si>
    <t>Gary Evans</t>
  </si>
  <si>
    <t>1Z9X760X0361827518</t>
  </si>
  <si>
    <t>Shelley Gale</t>
  </si>
  <si>
    <t xml:space="preserve">6/3 VNTC W/GRND </t>
  </si>
  <si>
    <t>605710361969</t>
  </si>
  <si>
    <t>$5 Cut Charge</t>
  </si>
  <si>
    <t>John Reves</t>
  </si>
  <si>
    <t>665651733653</t>
  </si>
  <si>
    <t>Eric Leonard</t>
  </si>
  <si>
    <t>665651733631</t>
  </si>
  <si>
    <t>Kevin Herrick</t>
  </si>
  <si>
    <t>Genesee</t>
  </si>
  <si>
    <t>665651733664</t>
  </si>
  <si>
    <t>Thomas Yanney</t>
  </si>
  <si>
    <t>6/3 MC COPPER W/PVC JACKET 3x1000</t>
  </si>
  <si>
    <t>WILSON/DLS</t>
  </si>
  <si>
    <t>38669019</t>
  </si>
  <si>
    <t>tom@yanneyelectric.com</t>
  </si>
  <si>
    <t xml:space="preserve">TMC075A </t>
  </si>
  <si>
    <t>736341815404, 736341815415</t>
  </si>
  <si>
    <t>3001947A</t>
  </si>
  <si>
    <t>Rule Steel Tanks</t>
  </si>
  <si>
    <t>665645046317</t>
  </si>
  <si>
    <t>paid 05.27.2016</t>
  </si>
  <si>
    <t>371499479-1</t>
  </si>
  <si>
    <t>Michael Keller</t>
  </si>
  <si>
    <t>665651733723</t>
  </si>
  <si>
    <t>mikeke07@gmail.com</t>
  </si>
  <si>
    <t>Bernie Repka</t>
  </si>
  <si>
    <t>Zuzara</t>
  </si>
  <si>
    <t>I624842604</t>
  </si>
  <si>
    <t>Thomas Daoust</t>
  </si>
  <si>
    <t>665651733734</t>
  </si>
  <si>
    <t>Mike Gatewood</t>
  </si>
  <si>
    <t>655702854350</t>
  </si>
  <si>
    <t>Jason Alten</t>
  </si>
  <si>
    <t>Hunter</t>
  </si>
  <si>
    <t>616712872216</t>
  </si>
  <si>
    <t>Edinburg Marina and Powersports</t>
  </si>
  <si>
    <t>665651733756</t>
  </si>
  <si>
    <t>Greg Behnke</t>
  </si>
  <si>
    <t>665645046328</t>
  </si>
  <si>
    <t>mpbehnke@embarqmail.com</t>
  </si>
  <si>
    <t>Chris McBride</t>
  </si>
  <si>
    <t>Knox</t>
  </si>
  <si>
    <t>I624842595</t>
  </si>
  <si>
    <t>cemcbride@focusenv.com</t>
  </si>
  <si>
    <t>Lou Marks &amp; Sons Inc.</t>
  </si>
  <si>
    <t>I624842685</t>
  </si>
  <si>
    <t>3786513345</t>
  </si>
  <si>
    <t>500 THHN STR</t>
  </si>
  <si>
    <t>paid 2500 on 06.22.2016</t>
  </si>
  <si>
    <t>owes 523.10</t>
  </si>
  <si>
    <t>Scott Schurbons</t>
  </si>
  <si>
    <t>I568383525</t>
  </si>
  <si>
    <t>schurbons@yahoo.com</t>
  </si>
  <si>
    <t>Mike Park</t>
  </si>
  <si>
    <t>675440104497</t>
  </si>
  <si>
    <t>Stephanie Ogg</t>
  </si>
  <si>
    <t>665651733745</t>
  </si>
  <si>
    <t>Josh Mellon</t>
  </si>
  <si>
    <t>665645046291</t>
  </si>
  <si>
    <t>667087282894</t>
  </si>
  <si>
    <t>Brenda Rivera</t>
  </si>
  <si>
    <t>568405035</t>
  </si>
  <si>
    <t>brenda.rivera@tekniek.net</t>
  </si>
  <si>
    <t>Nicholas Hartner</t>
  </si>
  <si>
    <t>4/3 MC CU</t>
  </si>
  <si>
    <t xml:space="preserve">	616712872249</t>
  </si>
  <si>
    <t>nick@mancinibakery.com</t>
  </si>
  <si>
    <t>TMCA100A</t>
  </si>
  <si>
    <t>543369476985</t>
  </si>
  <si>
    <t>Donald Perry</t>
  </si>
  <si>
    <t>665645046339</t>
  </si>
  <si>
    <t>sailbyowner@gmail.com</t>
  </si>
  <si>
    <t>Vickie Cooke</t>
  </si>
  <si>
    <t>665651733859</t>
  </si>
  <si>
    <t>Matthew Militch</t>
  </si>
  <si>
    <t>4/0 THHN COPPER 3X340</t>
  </si>
  <si>
    <t>I624842676</t>
  </si>
  <si>
    <t>Justin Kowalski</t>
  </si>
  <si>
    <t>638116485642</t>
  </si>
  <si>
    <t>Keith Preuninger</t>
  </si>
  <si>
    <t>665645046340</t>
  </si>
  <si>
    <t>Matthew Lanclos</t>
  </si>
  <si>
    <t>918480773</t>
  </si>
  <si>
    <t>Tim Walker</t>
  </si>
  <si>
    <t>665651733892</t>
  </si>
  <si>
    <t>Guillermo Roggero</t>
  </si>
  <si>
    <t>3065635974</t>
  </si>
  <si>
    <t>Mark Millard</t>
  </si>
  <si>
    <t>665651733940</t>
  </si>
  <si>
    <t>James Szymczak</t>
  </si>
  <si>
    <t>665651733860</t>
  </si>
  <si>
    <t>Roberto Sosa</t>
  </si>
  <si>
    <t>665651733907</t>
  </si>
  <si>
    <t>Andrew Pickett</t>
  </si>
  <si>
    <t>I568383552</t>
  </si>
  <si>
    <t>Thomas Eddington</t>
  </si>
  <si>
    <t>665651734010</t>
  </si>
  <si>
    <t>Terry L Witter</t>
  </si>
  <si>
    <t>615215331</t>
  </si>
  <si>
    <t>Patrick Capps</t>
  </si>
  <si>
    <t>665651733984</t>
  </si>
  <si>
    <t>Ernest Gunstream</t>
  </si>
  <si>
    <t>I568383543</t>
  </si>
  <si>
    <t>Anthony Fiedler</t>
  </si>
  <si>
    <t>665651733951</t>
  </si>
  <si>
    <t>William Stephenson</t>
  </si>
  <si>
    <t>665651733870</t>
  </si>
  <si>
    <t>Andrew Perry</t>
  </si>
  <si>
    <t>655702854360</t>
  </si>
  <si>
    <t>666622256742</t>
  </si>
  <si>
    <t>Michael Phillips</t>
  </si>
  <si>
    <t>Jon Krouse</t>
  </si>
  <si>
    <t>665651733918</t>
  </si>
  <si>
    <t>Travis Macie</t>
  </si>
  <si>
    <t>665651733929</t>
  </si>
  <si>
    <t>Thomas J Dunn</t>
  </si>
  <si>
    <t>20/3 PVC Thermostat Cable W/Brown Jacket</t>
  </si>
  <si>
    <t>616712872293</t>
  </si>
  <si>
    <t>Galaxy Somsavath</t>
  </si>
  <si>
    <t>665651733930</t>
  </si>
  <si>
    <t>Michael Hughes</t>
  </si>
  <si>
    <t>I568383534</t>
  </si>
  <si>
    <t>Christy Cook</t>
  </si>
  <si>
    <t>665651733881</t>
  </si>
  <si>
    <t>Bonita Joe Jones</t>
  </si>
  <si>
    <t>3065635904</t>
  </si>
  <si>
    <t>jonesc00666@hotmail.com</t>
  </si>
  <si>
    <t>Jim Harris</t>
  </si>
  <si>
    <t>750MCM XHHW AL W/BROWN STRIPE</t>
  </si>
  <si>
    <t>307509086</t>
  </si>
  <si>
    <t>jharris@sareplastics.com</t>
  </si>
  <si>
    <t>Richard Byzeski</t>
  </si>
  <si>
    <t>12/4 SJOOW 2x 250</t>
  </si>
  <si>
    <t>665651733804</t>
  </si>
  <si>
    <t>Hassan Mortazavi</t>
  </si>
  <si>
    <t>3 XHHW AL 1x1300 1x430</t>
  </si>
  <si>
    <t>665651733995,  665651734009 </t>
  </si>
  <si>
    <t>paragon77@gmail.com</t>
  </si>
  <si>
    <t>Larry Feuerman</t>
  </si>
  <si>
    <t>654016283854</t>
  </si>
  <si>
    <t>lfeuerman@ccibenefits.com</t>
  </si>
  <si>
    <t>Freddy Medina</t>
  </si>
  <si>
    <t>600V Teck90 Cable 4x10AWG Belden 1x1641 Part # C5562</t>
  </si>
  <si>
    <t>NORTH ATLANTIC</t>
  </si>
  <si>
    <t>tecnisa97@gmail.com</t>
  </si>
  <si>
    <t>600V Teck90 Cable 4x12AWG General Cable 1x656 Part # 780320</t>
  </si>
  <si>
    <t>Cable Gland For Teck90 4x10 Thomas &amp; Betts Part # CI-TEK-50-092</t>
  </si>
  <si>
    <t>Cable Gland For Teck90 4x10 Thomas &amp; Betts Part # CI-TEK-50-079</t>
  </si>
  <si>
    <t>Richard Parenteau</t>
  </si>
  <si>
    <t>616712872282</t>
  </si>
  <si>
    <t>$10 cut charge</t>
  </si>
  <si>
    <t>mikerich@parenteau.com</t>
  </si>
  <si>
    <t>Wayne A Jones</t>
  </si>
  <si>
    <t>675157524453</t>
  </si>
  <si>
    <t>Jason Thomas</t>
  </si>
  <si>
    <t>675157524420</t>
  </si>
  <si>
    <t>1Z9X760X0363930527</t>
  </si>
  <si>
    <t>Gary Kuehner</t>
  </si>
  <si>
    <t>76139865</t>
  </si>
  <si>
    <t>Harold Ray Worsham</t>
  </si>
  <si>
    <t>665651734101</t>
  </si>
  <si>
    <t>Matthew Sodmont</t>
  </si>
  <si>
    <t>665651734167</t>
  </si>
  <si>
    <t>Scott Frazier</t>
  </si>
  <si>
    <t>665651734064</t>
  </si>
  <si>
    <t>Ralph Frum</t>
  </si>
  <si>
    <t>665651734053</t>
  </si>
  <si>
    <t>Tom Boisseau</t>
  </si>
  <si>
    <t>665651734112</t>
  </si>
  <si>
    <t>Justin Dooley</t>
  </si>
  <si>
    <t>665651734086</t>
  </si>
  <si>
    <t>Nelson Nunez</t>
  </si>
  <si>
    <t>675157524431</t>
  </si>
  <si>
    <t>665651734031</t>
  </si>
  <si>
    <t>665651734075</t>
  </si>
  <si>
    <t>Alan Gerecke</t>
  </si>
  <si>
    <t>665651734042</t>
  </si>
  <si>
    <t>Robert Campbell</t>
  </si>
  <si>
    <t>I568877013</t>
  </si>
  <si>
    <t>bcampbell@edinburgmarina.com</t>
  </si>
  <si>
    <t>George Horvath</t>
  </si>
  <si>
    <t>665651734097</t>
  </si>
  <si>
    <t>12/3 MC SOL WG 7x1000</t>
  </si>
  <si>
    <t>Jackson Ozier</t>
  </si>
  <si>
    <t>1ZV147610347981812</t>
  </si>
  <si>
    <t>Bayrl W. Henry</t>
  </si>
  <si>
    <t>2 THHN COPER STR</t>
  </si>
  <si>
    <t>665651734178</t>
  </si>
  <si>
    <t>henryd58@msn.com</t>
  </si>
  <si>
    <t>3065635915</t>
  </si>
  <si>
    <t>PART # E9JPM-1A3F01CA00</t>
  </si>
  <si>
    <t>514333242</t>
  </si>
  <si>
    <t>paid 07.01.2016</t>
  </si>
  <si>
    <t>Hunter Hanson</t>
  </si>
  <si>
    <t>336691118</t>
  </si>
  <si>
    <t>atrum.venator@gmail.com</t>
  </si>
  <si>
    <t>Michael Whitehead</t>
  </si>
  <si>
    <t>665651734190</t>
  </si>
  <si>
    <t>Paul Baran</t>
  </si>
  <si>
    <t>665651734248</t>
  </si>
  <si>
    <t>David Fry</t>
  </si>
  <si>
    <t>665651734226</t>
  </si>
  <si>
    <t>Albert Zupancic</t>
  </si>
  <si>
    <t>Tioga</t>
  </si>
  <si>
    <t>675157524590</t>
  </si>
  <si>
    <t>Ronald Stearns</t>
  </si>
  <si>
    <t>665651734134</t>
  </si>
  <si>
    <t>Paul McMaster</t>
  </si>
  <si>
    <t>665651734189</t>
  </si>
  <si>
    <t>616712872385</t>
  </si>
  <si>
    <t>Michael Pribnow</t>
  </si>
  <si>
    <t xml:space="preserve">008825179401 </t>
  </si>
  <si>
    <t>John Saunders</t>
  </si>
  <si>
    <t>10 XLP USE-2 RHH RHW-2 Copper</t>
  </si>
  <si>
    <t>624863849220</t>
  </si>
  <si>
    <t>Jeff Moorer</t>
  </si>
  <si>
    <t>665651734215</t>
  </si>
  <si>
    <t>Michael Higginbotham</t>
  </si>
  <si>
    <t>665651734204</t>
  </si>
  <si>
    <t>Donald Paczkowski</t>
  </si>
  <si>
    <t>665651734237</t>
  </si>
  <si>
    <t>Victor L Valdez</t>
  </si>
  <si>
    <t>665651734123</t>
  </si>
  <si>
    <t>John Bowen</t>
  </si>
  <si>
    <t>6 AL XLP USE-2 RHH RHW-2 XLPE Cable</t>
  </si>
  <si>
    <t>665651734145</t>
  </si>
  <si>
    <t>Madison Rogers</t>
  </si>
  <si>
    <t>I990163377</t>
  </si>
  <si>
    <t>Guy Gage</t>
  </si>
  <si>
    <t>16/10 SOOW</t>
  </si>
  <si>
    <t>666158388612</t>
  </si>
  <si>
    <t>600MCM XHHW AL</t>
  </si>
  <si>
    <t>665651734330</t>
  </si>
  <si>
    <t>665651734340</t>
  </si>
  <si>
    <t>Leonard Fairchild</t>
  </si>
  <si>
    <t>675157524567</t>
  </si>
  <si>
    <t>Glenn Leber</t>
  </si>
  <si>
    <t>14/4 SJOOW YELLOW</t>
  </si>
  <si>
    <t>665651734292</t>
  </si>
  <si>
    <t>Bill Hennesy</t>
  </si>
  <si>
    <t>665651734318</t>
  </si>
  <si>
    <t>bill@berkssolar.com</t>
  </si>
  <si>
    <t>250/3 GGC 2x575</t>
  </si>
  <si>
    <t>316689530</t>
  </si>
  <si>
    <t>300MCM XHHW AL 3x280</t>
  </si>
  <si>
    <t>$75 Cut Charge</t>
  </si>
  <si>
    <t>Gillespie and Son</t>
  </si>
  <si>
    <t>5011803001</t>
  </si>
  <si>
    <t>todd@gillespieandson.com</t>
  </si>
  <si>
    <t>10/3 CLX W/GRND</t>
  </si>
  <si>
    <t>3002044A</t>
  </si>
  <si>
    <t>Matthew Gajowniczek</t>
  </si>
  <si>
    <t>665651734281</t>
  </si>
  <si>
    <t>matt@spl-design.com</t>
  </si>
  <si>
    <t>306563593-0</t>
  </si>
  <si>
    <t>nygov@stores.fastenal.com</t>
  </si>
  <si>
    <t>Frank Haas</t>
  </si>
  <si>
    <t>12/2 Flat Pump</t>
  </si>
  <si>
    <t>665651734362</t>
  </si>
  <si>
    <t>haas4321@aol.com</t>
  </si>
  <si>
    <t>Charles Wooten</t>
  </si>
  <si>
    <t>14/7 VNTC 3x1000</t>
  </si>
  <si>
    <t>1945623374</t>
  </si>
  <si>
    <t>charliewooten@iheartmedia.com</t>
  </si>
  <si>
    <t>Shane Stran</t>
  </si>
  <si>
    <t>2 XHHW COPPER BLACK</t>
  </si>
  <si>
    <t>675440105129</t>
  </si>
  <si>
    <t>shane243@verizon.net</t>
  </si>
  <si>
    <t>3622371690</t>
  </si>
  <si>
    <t>10 AWG UL TYPE USE-2 RHH BROWN</t>
  </si>
  <si>
    <t>$25 Cut Charge</t>
  </si>
  <si>
    <t>Bill Arns</t>
  </si>
  <si>
    <t>665651734270</t>
  </si>
  <si>
    <t>Kelly Page</t>
  </si>
  <si>
    <t xml:space="preserve">	614697962737</t>
  </si>
  <si>
    <t>Jared Schroeder</t>
  </si>
  <si>
    <t>3/0 Welding Cable Blue</t>
  </si>
  <si>
    <t>Cancelled</t>
  </si>
  <si>
    <t>Rodney Gabbard</t>
  </si>
  <si>
    <t>665651734373</t>
  </si>
  <si>
    <t>Anna Hoft</t>
  </si>
  <si>
    <t>4 XLP USE-2 AL</t>
  </si>
  <si>
    <t>665651734329</t>
  </si>
  <si>
    <t>Troy Stram</t>
  </si>
  <si>
    <t>675157524578</t>
  </si>
  <si>
    <t>675157524615</t>
  </si>
  <si>
    <t>John Robinson</t>
  </si>
  <si>
    <t>675157524604</t>
  </si>
  <si>
    <t>John Stauffacher</t>
  </si>
  <si>
    <t>675157524637</t>
  </si>
  <si>
    <t>675157524589</t>
  </si>
  <si>
    <t>Jonathan Cooper</t>
  </si>
  <si>
    <t>10/4 Metal Clad Cable W/GRND</t>
  </si>
  <si>
    <t xml:space="preserve">	647608629876</t>
  </si>
  <si>
    <t>8/4 Metal Clad Cable W/GRND</t>
  </si>
  <si>
    <t>738957623</t>
  </si>
  <si>
    <t>3002061A</t>
  </si>
  <si>
    <t>Mike Sherman</t>
  </si>
  <si>
    <t>675157524626</t>
  </si>
  <si>
    <t>Mark Whitcomb</t>
  </si>
  <si>
    <t>4/0 XHHW AL 2X480</t>
  </si>
  <si>
    <t>665651734384, 665651734395</t>
  </si>
  <si>
    <t>jslaughter69@gmail.com</t>
  </si>
  <si>
    <t xml:space="preserve">1/0-3 Type P armored and Sheathed Coast Gaurd Approved </t>
  </si>
  <si>
    <t>352831051</t>
  </si>
  <si>
    <t>Jeffrey Mercurio</t>
  </si>
  <si>
    <t>14/4 NM-B</t>
  </si>
  <si>
    <t>638116486400</t>
  </si>
  <si>
    <t>jsmercurio@hotmail.com</t>
  </si>
  <si>
    <t>00985916390</t>
  </si>
  <si>
    <t>356222653</t>
  </si>
  <si>
    <t>3002066A.. paid 06.20.2016</t>
  </si>
  <si>
    <t>6/4 Carol Wire Only 6x250</t>
  </si>
  <si>
    <t>3002066A</t>
  </si>
  <si>
    <t xml:space="preserve">	837539</t>
  </si>
  <si>
    <t>3002066B... paid 1080.00</t>
  </si>
  <si>
    <t>10 THHN BLACK (11 in spool diameter)</t>
  </si>
  <si>
    <t>675440105482</t>
  </si>
  <si>
    <t>3002066C... paid 186</t>
  </si>
  <si>
    <t>12 THHN RED (11 in spool diameter)</t>
  </si>
  <si>
    <t>3002066C</t>
  </si>
  <si>
    <t>FEDEX FRREIGHT</t>
  </si>
  <si>
    <t>3909357513</t>
  </si>
  <si>
    <t>Rust 1x1100 1x500</t>
  </si>
  <si>
    <t>343516274</t>
  </si>
  <si>
    <t>aj.electric@att.net</t>
  </si>
  <si>
    <t>675157524692</t>
  </si>
  <si>
    <t>665651734421</t>
  </si>
  <si>
    <t>Bennett Fernandes</t>
  </si>
  <si>
    <t>8/3 Heavy Duty Flat Double Jacketed Submersible Pump Cable W/10 Ground Wire</t>
  </si>
  <si>
    <t>653283072</t>
  </si>
  <si>
    <t>Mutual Telephone</t>
  </si>
  <si>
    <t>I568383678</t>
  </si>
  <si>
    <t>665651734432</t>
  </si>
  <si>
    <t>Wisconsin Great Northern Rail</t>
  </si>
  <si>
    <t>665651734400</t>
  </si>
  <si>
    <t>Dustin Holt</t>
  </si>
  <si>
    <t>675157524740</t>
  </si>
  <si>
    <t>Craig Moore</t>
  </si>
  <si>
    <t>675157524681</t>
  </si>
  <si>
    <t>Lee King</t>
  </si>
  <si>
    <t>665651734410</t>
  </si>
  <si>
    <t>Jeffrey Sharts</t>
  </si>
  <si>
    <t>12-2 Landscape Lighting Cable</t>
  </si>
  <si>
    <t>Washington</t>
  </si>
  <si>
    <t>675692455683</t>
  </si>
  <si>
    <t>Lauren Carreno</t>
  </si>
  <si>
    <t>372215079</t>
  </si>
  <si>
    <t>Bill Kemper</t>
  </si>
  <si>
    <t>665651734443</t>
  </si>
  <si>
    <t>Aften Szymanski</t>
  </si>
  <si>
    <t>638116486590</t>
  </si>
  <si>
    <t>William King</t>
  </si>
  <si>
    <t>6 XLP USE AL 4X350</t>
  </si>
  <si>
    <t>665651734476,  665651734487 , 665651734498, 665651734502</t>
  </si>
  <si>
    <t>wlking@engineer.com</t>
  </si>
  <si>
    <t>4/4 Type G</t>
  </si>
  <si>
    <t>674462219284</t>
  </si>
  <si>
    <t>paid 08.22.2016</t>
  </si>
  <si>
    <t>1Z9X760X0361488000</t>
  </si>
  <si>
    <t>665651734513</t>
  </si>
  <si>
    <t>reneattias@gmail.com</t>
  </si>
  <si>
    <t>10 PV WIRE WHITE 2kv</t>
  </si>
  <si>
    <t>5008303038</t>
  </si>
  <si>
    <t>10 PV WIRE BLACK 2kv</t>
  </si>
  <si>
    <t>John Kelsey</t>
  </si>
  <si>
    <t>435601666</t>
  </si>
  <si>
    <t>northamptonkoa@aol.com</t>
  </si>
  <si>
    <t>356222729</t>
  </si>
  <si>
    <t>billing out as 2 separate invoices</t>
  </si>
  <si>
    <t>1/0-4 Type W 1x100</t>
  </si>
  <si>
    <t>356226662</t>
  </si>
  <si>
    <t>Lloyd Washington</t>
  </si>
  <si>
    <t>665651734546</t>
  </si>
  <si>
    <t>washlloyd591@verizon.net</t>
  </si>
  <si>
    <t>Brett Boffard</t>
  </si>
  <si>
    <t>665651734465</t>
  </si>
  <si>
    <t>brettboffard@gmail.com</t>
  </si>
  <si>
    <t>Steve Smith</t>
  </si>
  <si>
    <t>8/4 SOOW 3x1000</t>
  </si>
  <si>
    <t>0959109962</t>
  </si>
  <si>
    <t>snookkingofswfl@yahoo.com</t>
  </si>
  <si>
    <t>Sunil Kumblaparambil</t>
  </si>
  <si>
    <t>14 GAUGE SRML RED</t>
  </si>
  <si>
    <t>543369477488</t>
  </si>
  <si>
    <t>hikae@yahoo.com</t>
  </si>
  <si>
    <t>14 GAUGE SRML BLACK</t>
  </si>
  <si>
    <t>14 GAUGE SRML GREEN</t>
  </si>
  <si>
    <t>14 GAUGE SRML WHITE</t>
  </si>
  <si>
    <t>Dan Grannan</t>
  </si>
  <si>
    <t>332684725</t>
  </si>
  <si>
    <t>sq2qao@aol.com</t>
  </si>
  <si>
    <t>666158388884</t>
  </si>
  <si>
    <t>Vance Shaffer</t>
  </si>
  <si>
    <t>647608629887</t>
  </si>
  <si>
    <t>665651734535</t>
  </si>
  <si>
    <t>Mike Turpen</t>
  </si>
  <si>
    <t>665651734454</t>
  </si>
  <si>
    <t>Scott Dau</t>
  </si>
  <si>
    <t>665651734557</t>
  </si>
  <si>
    <t>Daniel Hineman</t>
  </si>
  <si>
    <t>675157524751</t>
  </si>
  <si>
    <t>Peter Schellack</t>
  </si>
  <si>
    <t>665651734524</t>
  </si>
  <si>
    <t>Bruce Palmer</t>
  </si>
  <si>
    <t>675157524707</t>
  </si>
  <si>
    <t>James Harms</t>
  </si>
  <si>
    <t>675157524718</t>
  </si>
  <si>
    <t>Tobie Fitch</t>
  </si>
  <si>
    <t>675157524729</t>
  </si>
  <si>
    <t>Devon Aaron</t>
  </si>
  <si>
    <t>675157524730</t>
  </si>
  <si>
    <t>Jeff Black</t>
  </si>
  <si>
    <t>16/4 VNTC Shielded</t>
  </si>
  <si>
    <t>674462219479</t>
  </si>
  <si>
    <t>Cutter Parsons</t>
  </si>
  <si>
    <t>2/0 Welding Cable Black 1x200 1x150</t>
  </si>
  <si>
    <t>2538616264</t>
  </si>
  <si>
    <t>Ross Swelt</t>
  </si>
  <si>
    <t>14-4 Security Stranded Shielded PVC Jacket CL3R Wire Cable</t>
  </si>
  <si>
    <t>543369477503</t>
  </si>
  <si>
    <t>Errol Navickas</t>
  </si>
  <si>
    <t>665651734590</t>
  </si>
  <si>
    <t>500/3 W/GRND AIA ALUMINUM CONDUCTORS 3x1000</t>
  </si>
  <si>
    <t>release date is 05.20.2016</t>
  </si>
  <si>
    <t>David Sparks</t>
  </si>
  <si>
    <t>10/2 UF-B W/GRND</t>
  </si>
  <si>
    <t>675157524784</t>
  </si>
  <si>
    <t>John Thomas Jr</t>
  </si>
  <si>
    <t>500MCM Type W Single Conductor</t>
  </si>
  <si>
    <t>356222760</t>
  </si>
  <si>
    <t>Corrie Alexander</t>
  </si>
  <si>
    <t>665651734671</t>
  </si>
  <si>
    <t>Cody Vineyard</t>
  </si>
  <si>
    <t>Rhea</t>
  </si>
  <si>
    <t>675157524865</t>
  </si>
  <si>
    <t>David Bahr</t>
  </si>
  <si>
    <t>675157524980</t>
  </si>
  <si>
    <t>Douglas Jones</t>
  </si>
  <si>
    <t>675157524902</t>
  </si>
  <si>
    <t>John Collings</t>
  </si>
  <si>
    <t>665651734616</t>
  </si>
  <si>
    <t>Matt Norris</t>
  </si>
  <si>
    <t>675157524979</t>
  </si>
  <si>
    <t>Jared Green</t>
  </si>
  <si>
    <t>665651734579</t>
  </si>
  <si>
    <t>Corey Draper</t>
  </si>
  <si>
    <t>665651734855</t>
  </si>
  <si>
    <t>Matt Polcyn</t>
  </si>
  <si>
    <t>56838382-2</t>
  </si>
  <si>
    <t>Rodney Plowe</t>
  </si>
  <si>
    <t>Wyoming</t>
  </si>
  <si>
    <t>675157524990</t>
  </si>
  <si>
    <t>David Benger</t>
  </si>
  <si>
    <t>665651734638</t>
  </si>
  <si>
    <t>Bill Glenn</t>
  </si>
  <si>
    <t>674462219641</t>
  </si>
  <si>
    <t>Phillip Faber</t>
  </si>
  <si>
    <t xml:space="preserve">	620670938352</t>
  </si>
  <si>
    <t>$10 Cut charge</t>
  </si>
  <si>
    <t>Mike Cruz</t>
  </si>
  <si>
    <t>fedex</t>
  </si>
  <si>
    <t>675157525026</t>
  </si>
  <si>
    <t>Dan Renzi</t>
  </si>
  <si>
    <t>16/3 SJOOW 2x 250</t>
  </si>
  <si>
    <t>675157524876</t>
  </si>
  <si>
    <t>Leonard Barron</t>
  </si>
  <si>
    <t>665651734580</t>
  </si>
  <si>
    <t>Stacy Yarshen</t>
  </si>
  <si>
    <t>Cockle</t>
  </si>
  <si>
    <t>3739963673</t>
  </si>
  <si>
    <t>Roger Douglass</t>
  </si>
  <si>
    <t>665651734866</t>
  </si>
  <si>
    <t>1ZF9116Y0397717376</t>
  </si>
  <si>
    <t>3002138A</t>
  </si>
  <si>
    <t>James Weiand</t>
  </si>
  <si>
    <t>665651734605</t>
  </si>
  <si>
    <t>Jon Ruff</t>
  </si>
  <si>
    <t>I990163395</t>
  </si>
  <si>
    <t>665651734720</t>
  </si>
  <si>
    <t>Edward Albright</t>
  </si>
  <si>
    <t>675440105920</t>
  </si>
  <si>
    <t>Archie Ireland</t>
  </si>
  <si>
    <t>675157524898</t>
  </si>
  <si>
    <t>Anthony Toti</t>
  </si>
  <si>
    <t>666158388998</t>
  </si>
  <si>
    <t>Tom Turner</t>
  </si>
  <si>
    <t>665651734752</t>
  </si>
  <si>
    <t xml:space="preserve">665651734763  </t>
  </si>
  <si>
    <t>Victor Kruger</t>
  </si>
  <si>
    <t>665651734627</t>
  </si>
  <si>
    <t>Jeff Stephenson</t>
  </si>
  <si>
    <t>665651734660</t>
  </si>
  <si>
    <t>David Clevenger</t>
  </si>
  <si>
    <t>665651734568</t>
  </si>
  <si>
    <t>dclevenger@parallaxdigital.com</t>
  </si>
  <si>
    <t>James Olson</t>
  </si>
  <si>
    <t>665651734682</t>
  </si>
  <si>
    <t>jonailbender@yahoo.com</t>
  </si>
  <si>
    <t>Michael Garofalo</t>
  </si>
  <si>
    <t>665651734650</t>
  </si>
  <si>
    <t>michaeljg78@yahoo.com</t>
  </si>
  <si>
    <t>665651734693</t>
  </si>
  <si>
    <t>kpeyton12@gmail.com</t>
  </si>
  <si>
    <t>Richard Chambers</t>
  </si>
  <si>
    <t xml:space="preserve">	
21385777</t>
  </si>
  <si>
    <t>665651734730</t>
  </si>
  <si>
    <t>Tony Coviello</t>
  </si>
  <si>
    <t>675157524968</t>
  </si>
  <si>
    <t>Gil Stone</t>
  </si>
  <si>
    <t>675157525015</t>
  </si>
  <si>
    <t>Charles Miller</t>
  </si>
  <si>
    <t>665651734649</t>
  </si>
  <si>
    <t>Dan Rice</t>
  </si>
  <si>
    <t>12/4 SOOW 2x250</t>
  </si>
  <si>
    <t>665651734708, 665651734719</t>
  </si>
  <si>
    <t>rice12918@ameritech.net</t>
  </si>
  <si>
    <t>4 XLP USE CU Green</t>
  </si>
  <si>
    <t>VANGUARD LOGISTICS</t>
  </si>
  <si>
    <t>billed out on 05.12.2016</t>
  </si>
  <si>
    <t>Dustin Allen</t>
  </si>
  <si>
    <t>614697962976</t>
  </si>
  <si>
    <t>dallen.acn@gmail.com</t>
  </si>
  <si>
    <t>Leslie Kuhl</t>
  </si>
  <si>
    <t>3065635300</t>
  </si>
  <si>
    <t>leskuhl@kea-inc.net</t>
  </si>
  <si>
    <t>Richard Knock</t>
  </si>
  <si>
    <t>665651734822</t>
  </si>
  <si>
    <t>Brent Smith</t>
  </si>
  <si>
    <t>665651734833</t>
  </si>
  <si>
    <t>Justin Frank</t>
  </si>
  <si>
    <t>665651734899</t>
  </si>
  <si>
    <t>Bart Choate</t>
  </si>
  <si>
    <t>675157524957</t>
  </si>
  <si>
    <t>Shaun Stevens</t>
  </si>
  <si>
    <t>665651734877</t>
  </si>
  <si>
    <t>Clay Bogle</t>
  </si>
  <si>
    <t>665651734888</t>
  </si>
  <si>
    <t>Misty Sines</t>
  </si>
  <si>
    <t>40095943-2</t>
  </si>
  <si>
    <t>Noble Supply &amp; Logistics</t>
  </si>
  <si>
    <t>3/0-4 VNTC W/GRND</t>
  </si>
  <si>
    <t>paid 07.07.2016</t>
  </si>
  <si>
    <t>4/0-4 VNTC W/GRND</t>
  </si>
  <si>
    <t>21588142766</t>
  </si>
  <si>
    <t>2/0-4 VNTC W/GRND</t>
  </si>
  <si>
    <t>1/4 VNTC W/GRND</t>
  </si>
  <si>
    <t>Export Crating - drums need to be lagged and palletized</t>
  </si>
  <si>
    <t>Cascade Electrical Supply</t>
  </si>
  <si>
    <t>25490515</t>
  </si>
  <si>
    <t>paid 07.11.2016</t>
  </si>
  <si>
    <t>Ricardo Dominguez</t>
  </si>
  <si>
    <t>14/6 SOOW</t>
  </si>
  <si>
    <t>667087286878</t>
  </si>
  <si>
    <t>Josh Lamb</t>
  </si>
  <si>
    <t>675157524946</t>
  </si>
  <si>
    <t>Robert Ghelerper</t>
  </si>
  <si>
    <t>665651734811</t>
  </si>
  <si>
    <t>robert@corecovers.com</t>
  </si>
  <si>
    <t>12/3 SJOOW 8X250</t>
  </si>
  <si>
    <t>Fedex</t>
  </si>
  <si>
    <t>10/4 SOOW 4x250</t>
  </si>
  <si>
    <t>14/3 SOOW 8x250</t>
  </si>
  <si>
    <t>6 STR Bare Copper</t>
  </si>
  <si>
    <t>5008302969</t>
  </si>
  <si>
    <t>1/0 STR Bare Copper 2x1000</t>
  </si>
  <si>
    <t>Mike Moss</t>
  </si>
  <si>
    <t>574454195032</t>
  </si>
  <si>
    <t>Ideal Power</t>
  </si>
  <si>
    <t xml:space="preserve">	30101291</t>
  </si>
  <si>
    <t>paid 06.17.2016</t>
  </si>
  <si>
    <t>Mario Auda</t>
  </si>
  <si>
    <t>665651734785</t>
  </si>
  <si>
    <t>Jason Croff</t>
  </si>
  <si>
    <t>665651734844</t>
  </si>
  <si>
    <t>Damon Garcia</t>
  </si>
  <si>
    <t>665651734903</t>
  </si>
  <si>
    <t>Shawn McClendon</t>
  </si>
  <si>
    <t>12/3 SJOOW </t>
  </si>
  <si>
    <t>665651734914</t>
  </si>
  <si>
    <t>Brandon Fettig</t>
  </si>
  <si>
    <t>I624821085</t>
  </si>
  <si>
    <t>Sam Chhim</t>
  </si>
  <si>
    <t>1ZF9116Y0398236803</t>
  </si>
  <si>
    <t>Dylan Hitner</t>
  </si>
  <si>
    <t>665651734936</t>
  </si>
  <si>
    <t>Amanda Gustafson</t>
  </si>
  <si>
    <t>605710362689</t>
  </si>
  <si>
    <t>David LeTourneau</t>
  </si>
  <si>
    <t>665651734925</t>
  </si>
  <si>
    <t>Thomas Gelthaus</t>
  </si>
  <si>
    <t>665651734796</t>
  </si>
  <si>
    <t>Mike Arrington</t>
  </si>
  <si>
    <t>676563227023</t>
  </si>
  <si>
    <t>Roger Resseau</t>
  </si>
  <si>
    <t>Cockle 2x1000</t>
  </si>
  <si>
    <t xml:space="preserve">	301006032</t>
  </si>
  <si>
    <t>rresseau@wildblue.net</t>
  </si>
  <si>
    <t>750MCM AL 4x12</t>
  </si>
  <si>
    <t>665651735120</t>
  </si>
  <si>
    <t>636 ASCR 4x12</t>
  </si>
  <si>
    <t>903427748</t>
  </si>
  <si>
    <t>3002190A</t>
  </si>
  <si>
    <t>750 MCM COPPER 2x12</t>
  </si>
  <si>
    <t>665651735130</t>
  </si>
  <si>
    <t>1590 MCM ACSR 2x12</t>
  </si>
  <si>
    <t>Greg Bilek</t>
  </si>
  <si>
    <t>3/0 THHN COPPER 3x75</t>
  </si>
  <si>
    <t>675157525129</t>
  </si>
  <si>
    <t>$15 Cut Charge</t>
  </si>
  <si>
    <t>starpointgreg@aol.com</t>
  </si>
  <si>
    <t>667087289237</t>
  </si>
  <si>
    <t>Robin Tuttle</t>
  </si>
  <si>
    <t>16 AWG SF-2 SEW-2 High Temperature Lead Wire UL 3231/3071</t>
  </si>
  <si>
    <t>650024035643</t>
  </si>
  <si>
    <t>Buford Sims</t>
  </si>
  <si>
    <t>665651734800</t>
  </si>
  <si>
    <t>Jason Farrow</t>
  </si>
  <si>
    <t>776336500349</t>
  </si>
  <si>
    <t>M&amp;M Electrical Supply</t>
  </si>
  <si>
    <t>14/3 SJOOW 1x1000</t>
  </si>
  <si>
    <t>I624821076</t>
  </si>
  <si>
    <t>12/3 SOOW 3x250</t>
  </si>
  <si>
    <t>10/4 SOOW 1x250</t>
  </si>
  <si>
    <t>437777451</t>
  </si>
  <si>
    <t>3 Conductor Shielded Twisted 300V Insulation 18/1 Triad SPOS 300V</t>
  </si>
  <si>
    <t>647608630090</t>
  </si>
  <si>
    <t>3002196A</t>
  </si>
  <si>
    <t>14/7 VNTC</t>
  </si>
  <si>
    <t>Timothy Bass</t>
  </si>
  <si>
    <t>87951385</t>
  </si>
  <si>
    <t>kbass97424@gmail.com</t>
  </si>
  <si>
    <t>Brandon Simpson</t>
  </si>
  <si>
    <t>665651735119</t>
  </si>
  <si>
    <t>Nina Okon</t>
  </si>
  <si>
    <t>6/3 UF-B</t>
  </si>
  <si>
    <t>I624821094</t>
  </si>
  <si>
    <t>Allen &amp; Kris Lindeman</t>
  </si>
  <si>
    <t>665651735108</t>
  </si>
  <si>
    <t>Gary Walker</t>
  </si>
  <si>
    <t>16/3 VNTC</t>
  </si>
  <si>
    <t>605710362690</t>
  </si>
  <si>
    <t>Matthew Hahn</t>
  </si>
  <si>
    <t xml:space="preserve">3-3-3-5 SER Copper </t>
  </si>
  <si>
    <t xml:space="preserve">	616712872650</t>
  </si>
  <si>
    <t>$10.00 Cut charge</t>
  </si>
  <si>
    <t>Lee Mclean</t>
  </si>
  <si>
    <t>665651734991</t>
  </si>
  <si>
    <t>Joshua D Johnson</t>
  </si>
  <si>
    <t>665651734958</t>
  </si>
  <si>
    <t>Michael Karter</t>
  </si>
  <si>
    <t>665651734969</t>
  </si>
  <si>
    <t>Jerry Rodriguez</t>
  </si>
  <si>
    <t>665651734947</t>
  </si>
  <si>
    <t>Tony Adkisson</t>
  </si>
  <si>
    <t>665651734970</t>
  </si>
  <si>
    <t>Josh Hutchins</t>
  </si>
  <si>
    <t>783075684231</t>
  </si>
  <si>
    <t>Tim Webb</t>
  </si>
  <si>
    <t>1ZF9116Y0396727858</t>
  </si>
  <si>
    <t>665651734980</t>
  </si>
  <si>
    <t>toolrental_1228@homedepo.com</t>
  </si>
  <si>
    <t>Steve Kolhoff</t>
  </si>
  <si>
    <t>2 Welding Lead &amp; Car Batter Black 4 X 75</t>
  </si>
  <si>
    <t>655702854566</t>
  </si>
  <si>
    <t>Mike Mckinney</t>
  </si>
  <si>
    <t>4/0-4 AL SER W/GRND </t>
  </si>
  <si>
    <t>PKLCC</t>
  </si>
  <si>
    <t>3708917170</t>
  </si>
  <si>
    <t>300MCM XHHW 1x 5000'</t>
  </si>
  <si>
    <t>paid on 07.08.2016</t>
  </si>
  <si>
    <t>600MCM XHHW 1 x 1300  1 x 200</t>
  </si>
  <si>
    <t>2/4 SOOW 1 X 26 1 X 74</t>
  </si>
  <si>
    <t>665651735071, 665651735082</t>
  </si>
  <si>
    <t>Janna Williams</t>
  </si>
  <si>
    <t>3/0 Welding Green</t>
  </si>
  <si>
    <t>2538609566</t>
  </si>
  <si>
    <t>connie.rodriguez@bauer-conroe.com</t>
  </si>
  <si>
    <t>Peachtree Electric</t>
  </si>
  <si>
    <t>12 AWG SRML Wire</t>
  </si>
  <si>
    <t>632001033353</t>
  </si>
  <si>
    <t>4 THHN Copper</t>
  </si>
  <si>
    <t>675157525107</t>
  </si>
  <si>
    <t>James Hoops</t>
  </si>
  <si>
    <t>675157525004</t>
  </si>
  <si>
    <t>David Duttlinger</t>
  </si>
  <si>
    <t>SAIA LTL</t>
  </si>
  <si>
    <t>008825179704</t>
  </si>
  <si>
    <t>djduttlinger@hotmail.com</t>
  </si>
  <si>
    <t>Koy Blocker</t>
  </si>
  <si>
    <t>343516308</t>
  </si>
  <si>
    <t>kblock@crcom.net</t>
  </si>
  <si>
    <t>Ladier George</t>
  </si>
  <si>
    <t xml:space="preserve">	614697963104</t>
  </si>
  <si>
    <t>lg300r@yahoo.com</t>
  </si>
  <si>
    <t>87951384-4</t>
  </si>
  <si>
    <t>Oleg Bourlako</t>
  </si>
  <si>
    <t>665651735050</t>
  </si>
  <si>
    <t>Eric Belding</t>
  </si>
  <si>
    <t>665651735060</t>
  </si>
  <si>
    <t>Jillian King</t>
  </si>
  <si>
    <t>Otsego</t>
  </si>
  <si>
    <t>665651735325</t>
  </si>
  <si>
    <t>647608630218</t>
  </si>
  <si>
    <t>Mark Dennis</t>
  </si>
  <si>
    <t>665651735277</t>
  </si>
  <si>
    <t>Jeffrey Davis Jr</t>
  </si>
  <si>
    <t>665651735038</t>
  </si>
  <si>
    <t>Joseph W Page</t>
  </si>
  <si>
    <t>665651735093</t>
  </si>
  <si>
    <t>Justin Blackman</t>
  </si>
  <si>
    <t>665651735303</t>
  </si>
  <si>
    <t>Juan Avila</t>
  </si>
  <si>
    <t>2/0 Welding Cable 2x50</t>
  </si>
  <si>
    <t>665651735196, 665651735200</t>
  </si>
  <si>
    <t>3065635366</t>
  </si>
  <si>
    <t>Ethan Wesley</t>
  </si>
  <si>
    <t>665651735185</t>
  </si>
  <si>
    <t>Nathan Gllitzer</t>
  </si>
  <si>
    <t>665651735163</t>
  </si>
  <si>
    <t>Arthur B Chmura</t>
  </si>
  <si>
    <t>6/3 Metal Clad Cable W/GRND</t>
  </si>
  <si>
    <t>606865862</t>
  </si>
  <si>
    <t>Ricardo Ramirez</t>
  </si>
  <si>
    <t>336691340</t>
  </si>
  <si>
    <t>Nate Hawkins</t>
  </si>
  <si>
    <t>665651735314</t>
  </si>
  <si>
    <t>David Aldrich</t>
  </si>
  <si>
    <t>665651735266</t>
  </si>
  <si>
    <t>Jeff Mori</t>
  </si>
  <si>
    <t>665651735288</t>
  </si>
  <si>
    <t>Barry Peterson</t>
  </si>
  <si>
    <t>665651735141</t>
  </si>
  <si>
    <t>Christian Jones</t>
  </si>
  <si>
    <t>665651735299</t>
  </si>
  <si>
    <t>Grant Bailey</t>
  </si>
  <si>
    <t>665651735244</t>
  </si>
  <si>
    <t>Randy Alt</t>
  </si>
  <si>
    <t>665651735049</t>
  </si>
  <si>
    <t>Ian Hendry</t>
  </si>
  <si>
    <t>665651735255</t>
  </si>
  <si>
    <t>Mark Guebert</t>
  </si>
  <si>
    <t>665651735211</t>
  </si>
  <si>
    <t>Jospeh Lombardi</t>
  </si>
  <si>
    <t xml:space="preserve">	665651735336</t>
  </si>
  <si>
    <t>Stephen Harris</t>
  </si>
  <si>
    <t>I624821274</t>
  </si>
  <si>
    <t>John Hunter</t>
  </si>
  <si>
    <t>Stephens 3x750</t>
  </si>
  <si>
    <t>343516290</t>
  </si>
  <si>
    <t>Becky Sharpe</t>
  </si>
  <si>
    <t>665651735222</t>
  </si>
  <si>
    <t>Wade Akamine</t>
  </si>
  <si>
    <t>665651735174</t>
  </si>
  <si>
    <t>Cecil Stack</t>
  </si>
  <si>
    <t>665651735233</t>
  </si>
  <si>
    <t>stackc18@gmail.com</t>
  </si>
  <si>
    <t>Jeffrey Newsome</t>
  </si>
  <si>
    <t>3065635381</t>
  </si>
  <si>
    <t>jnewso@yahoo.com</t>
  </si>
  <si>
    <t>Frank Eaton</t>
  </si>
  <si>
    <t>665651735461</t>
  </si>
  <si>
    <t>Stephens </t>
  </si>
  <si>
    <t xml:space="preserve">665651735472  </t>
  </si>
  <si>
    <t>665651735483</t>
  </si>
  <si>
    <t>6/2 NMB Romex W/GRND 2x 125</t>
  </si>
  <si>
    <t>675157525118</t>
  </si>
  <si>
    <t>3002252A</t>
  </si>
  <si>
    <t>6 XHHW STR</t>
  </si>
  <si>
    <t>665651735494</t>
  </si>
  <si>
    <t>Don Williams</t>
  </si>
  <si>
    <t>3065635392</t>
  </si>
  <si>
    <t>sherdon@centurytel.net</t>
  </si>
  <si>
    <t>6 THHN COPPER STR</t>
  </si>
  <si>
    <t>605710362840</t>
  </si>
  <si>
    <t>3002253A</t>
  </si>
  <si>
    <t>8 THHN COPPER STR</t>
  </si>
  <si>
    <t>605710362830</t>
  </si>
  <si>
    <t>4/4 SOOW Carol Wire Only 2x250</t>
  </si>
  <si>
    <t>356223016</t>
  </si>
  <si>
    <t>paid 06.30.2016</t>
  </si>
  <si>
    <t>839496</t>
  </si>
  <si>
    <t>3002254A</t>
  </si>
  <si>
    <t>8 THHN GREEN 1X500 (11 IN. SPOOL DIAMETER)</t>
  </si>
  <si>
    <t>675440106630</t>
  </si>
  <si>
    <t>3002254B</t>
  </si>
  <si>
    <t>billed out on 05.19.2016</t>
  </si>
  <si>
    <t>12 THHN RED 1X500 (11 IN. SPOOL DIAMETER)</t>
  </si>
  <si>
    <t>14 THHN BLUE 1X500 (11 IN. SPOOL DIAMETER)</t>
  </si>
  <si>
    <t>14 THHN RED 1X500 (11 IN. SPOOL DIAMETER)</t>
  </si>
  <si>
    <t>675440106640</t>
  </si>
  <si>
    <t>14 THHN YELLOW 1X500 (11 IN. SPOOL DIAMETER)</t>
  </si>
  <si>
    <t>Brian Davidson</t>
  </si>
  <si>
    <t>665651735152</t>
  </si>
  <si>
    <t>bdavid01@hotmail.com</t>
  </si>
  <si>
    <t>Brian Aversa</t>
  </si>
  <si>
    <t>2 THHN 3x 1000</t>
  </si>
  <si>
    <t>DOHRN</t>
  </si>
  <si>
    <t>brian.aversa@kaneland.org</t>
  </si>
  <si>
    <t>Frank Prpic</t>
  </si>
  <si>
    <t>665651735347</t>
  </si>
  <si>
    <t>Martin Behrent</t>
  </si>
  <si>
    <t xml:space="preserve">	614697963090</t>
  </si>
  <si>
    <t>Don Townsend</t>
  </si>
  <si>
    <t>665651735380</t>
  </si>
  <si>
    <t>Paul Brunkhorst</t>
  </si>
  <si>
    <t>665651735370</t>
  </si>
  <si>
    <t>Greg Widener</t>
  </si>
  <si>
    <t>665651735369</t>
  </si>
  <si>
    <t>Jeff Wexler</t>
  </si>
  <si>
    <t>665651735358</t>
  </si>
  <si>
    <t>Bruce Clements</t>
  </si>
  <si>
    <t>1ZF9116Y0394010321</t>
  </si>
  <si>
    <t>Agencia Express 1951 Inc</t>
  </si>
  <si>
    <t>535.3 DLO 5x 500 1x 780</t>
  </si>
  <si>
    <t>ae1951inc@gmail.com</t>
  </si>
  <si>
    <t>646.4 DLO 6x 500</t>
  </si>
  <si>
    <t>YE38P71X142FX</t>
  </si>
  <si>
    <t>WestVAE</t>
  </si>
  <si>
    <t>3002264A</t>
  </si>
  <si>
    <t>YE40P78X156FX</t>
  </si>
  <si>
    <t>YA34-2LN</t>
  </si>
  <si>
    <t>WES SHRINKMARK 1000-2-9</t>
  </si>
  <si>
    <t>Tim Staloch Jr</t>
  </si>
  <si>
    <t>640172691</t>
  </si>
  <si>
    <t>tim.staloch@doosan.com</t>
  </si>
  <si>
    <t xml:space="preserve">Stephens </t>
  </si>
  <si>
    <t>615227508</t>
  </si>
  <si>
    <t>3002265A</t>
  </si>
  <si>
    <t>Todd Thatcher</t>
  </si>
  <si>
    <t>2746179166</t>
  </si>
  <si>
    <t>tthatcher02@gmail.com</t>
  </si>
  <si>
    <t>674462221300</t>
  </si>
  <si>
    <t>mcurry166@outlook.com</t>
  </si>
  <si>
    <t>18/5 VNTC</t>
  </si>
  <si>
    <t>674462221310</t>
  </si>
  <si>
    <t>Douglas Chipley</t>
  </si>
  <si>
    <t>665651735509</t>
  </si>
  <si>
    <t>Burton Bucher</t>
  </si>
  <si>
    <t xml:space="preserve">	665651735586</t>
  </si>
  <si>
    <t>Michael Dubin</t>
  </si>
  <si>
    <t>665651735542</t>
  </si>
  <si>
    <t>Collin Eddy</t>
  </si>
  <si>
    <t>665651735450</t>
  </si>
  <si>
    <t>Clay Chandler</t>
  </si>
  <si>
    <t>665651735510</t>
  </si>
  <si>
    <t>Frank Smith</t>
  </si>
  <si>
    <t>4-4-4-6 SER AL 2x300</t>
  </si>
  <si>
    <t>665651735520, 665651735531</t>
  </si>
  <si>
    <t>500MCM XHHW COPPER CT Rated 12x 500</t>
  </si>
  <si>
    <t>paid 06.10.2016</t>
  </si>
  <si>
    <t>Clay Marques</t>
  </si>
  <si>
    <t>250MCM 2.4KV N/S EPR PVC CU 3x 400</t>
  </si>
  <si>
    <t>3541507804</t>
  </si>
  <si>
    <t>clay.marques@graybar.com</t>
  </si>
  <si>
    <t>Alan Davis</t>
  </si>
  <si>
    <t xml:space="preserve">16/3 SJEOOW </t>
  </si>
  <si>
    <t xml:space="preserve">	609851505778</t>
  </si>
  <si>
    <t>Travis Martino</t>
  </si>
  <si>
    <t>18-8 PVC Thermostat Cable White Jacket</t>
  </si>
  <si>
    <t>616712872775</t>
  </si>
  <si>
    <t>Kevin Summers</t>
  </si>
  <si>
    <t>3/0-3/0-3/0-1 SER AL</t>
  </si>
  <si>
    <t>665651735439</t>
  </si>
  <si>
    <t>Janie Johnston</t>
  </si>
  <si>
    <t>665651735564</t>
  </si>
  <si>
    <t>Warren Miller</t>
  </si>
  <si>
    <t xml:space="preserve">	665651735575</t>
  </si>
  <si>
    <t>Rick Kinnett</t>
  </si>
  <si>
    <t>665651735440</t>
  </si>
  <si>
    <t>Leonard Lemke</t>
  </si>
  <si>
    <t>10/3 UF-B W/GRND</t>
  </si>
  <si>
    <t>675157525276</t>
  </si>
  <si>
    <t>616712872823</t>
  </si>
  <si>
    <t>Henry Mauney</t>
  </si>
  <si>
    <t>665651735553</t>
  </si>
  <si>
    <t>14/3 SJEOOW 3x1000</t>
  </si>
  <si>
    <t>Harold Pancake</t>
  </si>
  <si>
    <t>675157525287</t>
  </si>
  <si>
    <t>William Rushton</t>
  </si>
  <si>
    <t>Sparate</t>
  </si>
  <si>
    <t>669974329036</t>
  </si>
  <si>
    <t>leerushton72@gmail.com</t>
  </si>
  <si>
    <t>669974329025</t>
  </si>
  <si>
    <t>Scott Three Lakes Tucking</t>
  </si>
  <si>
    <t>665651735597</t>
  </si>
  <si>
    <t>Louca Machine Shop</t>
  </si>
  <si>
    <t>18/3 SJTOW White</t>
  </si>
  <si>
    <t>667087288296</t>
  </si>
  <si>
    <t>MRO Global Procurement</t>
  </si>
  <si>
    <t>Marigold</t>
  </si>
  <si>
    <t>DELVI</t>
  </si>
  <si>
    <t>229238688B</t>
  </si>
  <si>
    <t>3713200702</t>
  </si>
  <si>
    <t>we will pick up 3002290A $25 Cut charge</t>
  </si>
  <si>
    <t>claudia@mro-global.com.mx</t>
  </si>
  <si>
    <t>Cowslip 1x 509</t>
  </si>
  <si>
    <t>12/3 SOOW PPC12-002 1X 328</t>
  </si>
  <si>
    <t>86013201-8</t>
  </si>
  <si>
    <t>paid  3002290B</t>
  </si>
  <si>
    <t>250MCM 15kV EPR PVC CU MV105 1x 1148</t>
  </si>
  <si>
    <t>3002290B</t>
  </si>
  <si>
    <t>CI-CUTHN-018 4x 1000 1x 921</t>
  </si>
  <si>
    <t>ABF TRACKING</t>
  </si>
  <si>
    <t>119 633 665</t>
  </si>
  <si>
    <t>3002290C</t>
  </si>
  <si>
    <t>4/0 Bare CU 7 STR 1x 820</t>
  </si>
  <si>
    <t>3002290E</t>
  </si>
  <si>
    <t>500MCM 15kV EPR PVC CU MV105 1x 1280</t>
  </si>
  <si>
    <t>1651049379</t>
  </si>
  <si>
    <t>we will pick up 3002290D</t>
  </si>
  <si>
    <t>Philip Herr</t>
  </si>
  <si>
    <t xml:space="preserve">	609851505631</t>
  </si>
  <si>
    <t>herr.philip@yahoo.com</t>
  </si>
  <si>
    <t>Bill Hennessy</t>
  </si>
  <si>
    <t>665645046372</t>
  </si>
  <si>
    <t>Brian Hsieh</t>
  </si>
  <si>
    <t>665645046410</t>
  </si>
  <si>
    <t>Jeffrey Sereni</t>
  </si>
  <si>
    <t>500MCM XHHW COPPER CT Rated 4x500</t>
  </si>
  <si>
    <t>879753291</t>
  </si>
  <si>
    <t>paid 06.25.2016</t>
  </si>
  <si>
    <t>Walter Zortman</t>
  </si>
  <si>
    <t>644267285565</t>
  </si>
  <si>
    <t>waltzortman@gmail.com</t>
  </si>
  <si>
    <t>Priority Wire and Cable</t>
  </si>
  <si>
    <t>Tulip 1x5055 1x 6232</t>
  </si>
  <si>
    <t>3065635521</t>
  </si>
  <si>
    <t>Swanate 15x 8955</t>
  </si>
  <si>
    <t>3762163650</t>
  </si>
  <si>
    <t>3002296A we will pick up</t>
  </si>
  <si>
    <t>Jason Hurd</t>
  </si>
  <si>
    <t>665645046350</t>
  </si>
  <si>
    <t>Carl D Fuller</t>
  </si>
  <si>
    <t>665645046420</t>
  </si>
  <si>
    <t>FLG Elkaim</t>
  </si>
  <si>
    <t xml:space="preserve">	665651735601</t>
  </si>
  <si>
    <t>Myriad Fabrication</t>
  </si>
  <si>
    <t>665645046394</t>
  </si>
  <si>
    <t>Jerry M Harman</t>
  </si>
  <si>
    <t>4/4 SOOW 1x 500</t>
  </si>
  <si>
    <t>I624821454</t>
  </si>
  <si>
    <t>2-2-2-4 SER AL 3x950</t>
  </si>
  <si>
    <t>Electrocable</t>
  </si>
  <si>
    <t>3645841371</t>
  </si>
  <si>
    <t>4/0-4/0-4/0-2/0 SER AL 1x960 1x950 1x930</t>
  </si>
  <si>
    <t>paid 06.07.2016</t>
  </si>
  <si>
    <t>Colin Elenbaas</t>
  </si>
  <si>
    <t>665645046383</t>
  </si>
  <si>
    <t>Robert Larsson</t>
  </si>
  <si>
    <t xml:space="preserve"> 	665645046409</t>
  </si>
  <si>
    <t>Robert Escobar</t>
  </si>
  <si>
    <t>3065635532</t>
  </si>
  <si>
    <t>Joseph St. Julien</t>
  </si>
  <si>
    <t xml:space="preserve">Wake Forest </t>
  </si>
  <si>
    <t>665651735634</t>
  </si>
  <si>
    <t>Joshua Thorpe</t>
  </si>
  <si>
    <t xml:space="preserve">	665651735612</t>
  </si>
  <si>
    <t>Eugene Mitchell</t>
  </si>
  <si>
    <t xml:space="preserve">	647608630413</t>
  </si>
  <si>
    <t>Virginia Heck</t>
  </si>
  <si>
    <t xml:space="preserve">	665651735704</t>
  </si>
  <si>
    <t>Thomas Marzka</t>
  </si>
  <si>
    <t>12/3 UF-B W/GRND</t>
  </si>
  <si>
    <t>665645046361</t>
  </si>
  <si>
    <t>Rob Caldwell</t>
  </si>
  <si>
    <t>655702854669</t>
  </si>
  <si>
    <t>Shawn Lubeno</t>
  </si>
  <si>
    <t>62482135-5</t>
  </si>
  <si>
    <t>Barbara Buckner</t>
  </si>
  <si>
    <t>647608630376</t>
  </si>
  <si>
    <t>Dan Bordner</t>
  </si>
  <si>
    <t>4/0 15kV EPR PVC MV-105 AL</t>
  </si>
  <si>
    <t>3668627550</t>
  </si>
  <si>
    <t>yan@projectsspokane.co</t>
  </si>
  <si>
    <t>Erick Perez</t>
  </si>
  <si>
    <t>1/0-1/0-1/0-2 SER AL 2x 1000 1x 500</t>
  </si>
  <si>
    <t>pselectricalcontractor@hotmail.com</t>
  </si>
  <si>
    <t>1ZA6253X0340309394</t>
  </si>
  <si>
    <t>Joe Sanghani</t>
  </si>
  <si>
    <t>370521075-1</t>
  </si>
  <si>
    <t>jagdish.sanghani@gmail.com</t>
  </si>
  <si>
    <t>John Walma</t>
  </si>
  <si>
    <t>665651735656</t>
  </si>
  <si>
    <t>purchasing.har@comcast.net</t>
  </si>
  <si>
    <t>Steve Seibert</t>
  </si>
  <si>
    <t>4 XHHW AL</t>
  </si>
  <si>
    <t xml:space="preserve">	665651735623</t>
  </si>
  <si>
    <t>Martin Oppl</t>
  </si>
  <si>
    <t>12/2 UF-B W/GRND</t>
  </si>
  <si>
    <t>675157525346</t>
  </si>
  <si>
    <t>Deborah Green</t>
  </si>
  <si>
    <t>6-6-6-6 SER AL</t>
  </si>
  <si>
    <t>620670938709</t>
  </si>
  <si>
    <t>ASH Productions</t>
  </si>
  <si>
    <t xml:space="preserve">	665651735690</t>
  </si>
  <si>
    <t>Bradley Thompson</t>
  </si>
  <si>
    <t>655702854670</t>
  </si>
  <si>
    <t>Paul Mitchell</t>
  </si>
  <si>
    <t xml:space="preserve"> 	665651735645</t>
  </si>
  <si>
    <t>wheelseal@hotmail.com</t>
  </si>
  <si>
    <t>Saul Aguilar</t>
  </si>
  <si>
    <t>665651735678</t>
  </si>
  <si>
    <t>Kevin LeBoeuf</t>
  </si>
  <si>
    <t xml:space="preserve">	665651735667</t>
  </si>
  <si>
    <t>Rickie Ginger</t>
  </si>
  <si>
    <t xml:space="preserve">665651735689
</t>
  </si>
  <si>
    <t>6 XLP USE RHH RHW CU BLACK 2x5000</t>
  </si>
  <si>
    <t>LEONARDS EXPRESS</t>
  </si>
  <si>
    <t>NO PRO</t>
  </si>
  <si>
    <t>6 XLP USE RHH RHW CU RED 2x5000</t>
  </si>
  <si>
    <t>6 XLP USE RHH RHW GREEN 3x5000</t>
  </si>
  <si>
    <t>Shane Robinson</t>
  </si>
  <si>
    <t>5011817218</t>
  </si>
  <si>
    <t>cshane35@gmail.com</t>
  </si>
  <si>
    <t>Scott Hudson</t>
  </si>
  <si>
    <t xml:space="preserve">	2611658221</t>
  </si>
  <si>
    <t>scotth@snowline.com</t>
  </si>
  <si>
    <t>Robert Choby</t>
  </si>
  <si>
    <t>10 THHN RED</t>
  </si>
  <si>
    <t>674462222486</t>
  </si>
  <si>
    <t>10 THHN BLACK</t>
  </si>
  <si>
    <t>10 THHN WHITE</t>
  </si>
  <si>
    <t>674462222497</t>
  </si>
  <si>
    <t>8 THHN RED</t>
  </si>
  <si>
    <t>8 THHN WHITE</t>
  </si>
  <si>
    <t>8 THHN GREEN</t>
  </si>
  <si>
    <t>Jim Graham</t>
  </si>
  <si>
    <t>574454195591</t>
  </si>
  <si>
    <t>Ronald Erickson</t>
  </si>
  <si>
    <t xml:space="preserve">	665651735726</t>
  </si>
  <si>
    <t>3065623142</t>
  </si>
  <si>
    <t>Salvator Candelora</t>
  </si>
  <si>
    <t>665651735715</t>
  </si>
  <si>
    <t>jcandelora@snet.net</t>
  </si>
  <si>
    <t>Bruce Whitford</t>
  </si>
  <si>
    <t xml:space="preserve">	665651735792</t>
  </si>
  <si>
    <t>Jaime Garza</t>
  </si>
  <si>
    <t>12/4 VNTC</t>
  </si>
  <si>
    <t>674462222534</t>
  </si>
  <si>
    <t>665651735770</t>
  </si>
  <si>
    <t>Garry Peabody</t>
  </si>
  <si>
    <t>665651735818</t>
  </si>
  <si>
    <t>Corey Davis</t>
  </si>
  <si>
    <t>1ZF9116Y0393359207</t>
  </si>
  <si>
    <t>Brent Bowman</t>
  </si>
  <si>
    <t xml:space="preserve">	665651735759</t>
  </si>
  <si>
    <t>David Arthur</t>
  </si>
  <si>
    <t>6656 5173 5760</t>
  </si>
  <si>
    <t>Rowland Mold</t>
  </si>
  <si>
    <t>ABCWIRE</t>
  </si>
  <si>
    <t>USF Holland</t>
  </si>
  <si>
    <t>104-67546393</t>
  </si>
  <si>
    <t>Rich Holt</t>
  </si>
  <si>
    <t>1Z9X760X0361549471</t>
  </si>
  <si>
    <t>Kent Yoest</t>
  </si>
  <si>
    <t>655702854750</t>
  </si>
  <si>
    <t>Steven Maharrey</t>
  </si>
  <si>
    <t>I624821472</t>
  </si>
  <si>
    <t>Joseph Oat Corporation</t>
  </si>
  <si>
    <t>665651735737, 665651735748</t>
  </si>
  <si>
    <t>Gary Blagg</t>
  </si>
  <si>
    <t>665651735781</t>
  </si>
  <si>
    <t>Lawrence Fitzkee</t>
  </si>
  <si>
    <t>87951425</t>
  </si>
  <si>
    <t>larry.fitzkee@gmx.com</t>
  </si>
  <si>
    <t>Donna Glatzer</t>
  </si>
  <si>
    <t xml:space="preserve">Priority </t>
  </si>
  <si>
    <t xml:space="preserve">	609851506167</t>
  </si>
  <si>
    <t>donna.glatzer@gmail.com</t>
  </si>
  <si>
    <t>Keith Dullin</t>
  </si>
  <si>
    <t>918480963</t>
  </si>
  <si>
    <t>keith@dashdrilling.com</t>
  </si>
  <si>
    <t>Dennis Gilstorff</t>
  </si>
  <si>
    <t>665651735829</t>
  </si>
  <si>
    <t>dgilstorff@yahoo.com</t>
  </si>
  <si>
    <t>J Lang</t>
  </si>
  <si>
    <t>12 AWG SF-2, SEW-2, High Temperature Lead Wire, UL 3231/3071</t>
  </si>
  <si>
    <t>630997806029</t>
  </si>
  <si>
    <t>Jonathan Uzarski</t>
  </si>
  <si>
    <t>665651735830</t>
  </si>
  <si>
    <t>Tim Johnson</t>
  </si>
  <si>
    <t>675157525416</t>
  </si>
  <si>
    <t>Arnold Curry</t>
  </si>
  <si>
    <t xml:space="preserve">	665651735807</t>
  </si>
  <si>
    <t>Monty Miller</t>
  </si>
  <si>
    <t>665651735851</t>
  </si>
  <si>
    <t>Kevin Caldwell</t>
  </si>
  <si>
    <t xml:space="preserve"> 	665651735840</t>
  </si>
  <si>
    <t>Chris Osgood</t>
  </si>
  <si>
    <t>655702854739</t>
  </si>
  <si>
    <t>John Pereda</t>
  </si>
  <si>
    <t xml:space="preserve"> 665651735873</t>
  </si>
  <si>
    <t>Richard Plauche</t>
  </si>
  <si>
    <t>665651735862</t>
  </si>
  <si>
    <t>Donald Cechowski</t>
  </si>
  <si>
    <t>500MCM THHN CU 1x188 1x50</t>
  </si>
  <si>
    <t>5011818415</t>
  </si>
  <si>
    <t>newcitygc@gmail.com</t>
  </si>
  <si>
    <t>Irvin Lucas</t>
  </si>
  <si>
    <t>Medium Voltage single conductor 2/0 AWG Copper Conductor Type MV-105 Cable 15KV-tape shield-220 mil insulation-PVC jacket-CT rated 2x500 ESSEX WIRE E8JLE-2A1B01CA00</t>
  </si>
  <si>
    <t>shipping 6.30.2016</t>
  </si>
  <si>
    <t>PAID 08.16.2016</t>
  </si>
  <si>
    <t>Medium Voltage three conductor 3/0 AWG Copper Conductor Type MV-105 Cable 15KV-tape shield-220 mil insulation-PVC jacket-CT rated 2x500 ESSEX WIRE E8JLR-3A1B03CB00</t>
  </si>
  <si>
    <t>5 weeks lead time</t>
  </si>
  <si>
    <t>Medium Voltage three conductor 250 AWG Copper Conductor Type MV-105 Cable 15KV-tape shield-220 mil insulation-PVC jacket-CT rated 2x500 ESSEX WIRE E8JLR-A11B03CB00</t>
  </si>
  <si>
    <t>Billed for only 500FT as of 6/27</t>
  </si>
  <si>
    <t>ARAM SOLAR</t>
  </si>
  <si>
    <t>675440107728</t>
  </si>
  <si>
    <t>aram@aramsolar.com</t>
  </si>
  <si>
    <t>LaGrange Electrical Assembly</t>
  </si>
  <si>
    <t>old dominion</t>
  </si>
  <si>
    <t>Augustin Carrillo</t>
  </si>
  <si>
    <t>4/3 SOOW UL/CSA</t>
  </si>
  <si>
    <t>674462223129</t>
  </si>
  <si>
    <t>tintanracing@yahoo.com</t>
  </si>
  <si>
    <t>Todd Vezzani</t>
  </si>
  <si>
    <t>665651735954</t>
  </si>
  <si>
    <t>Pete Gruendeman</t>
  </si>
  <si>
    <t>665651735943</t>
  </si>
  <si>
    <t>Charles Breier III</t>
  </si>
  <si>
    <t>3703864813</t>
  </si>
  <si>
    <t>Donald Sawyers</t>
  </si>
  <si>
    <t>665651735987</t>
  </si>
  <si>
    <t>I568877067</t>
  </si>
  <si>
    <t>LeRoy A Ogden</t>
  </si>
  <si>
    <t>3065635716</t>
  </si>
  <si>
    <t>Robert Lenz</t>
  </si>
  <si>
    <t xml:space="preserve">	665645046442</t>
  </si>
  <si>
    <t>Orbital Technologies Inc.</t>
  </si>
  <si>
    <t>10 AWG SF-2, SEW-2, High Temperature Lead Wire, UL 3231/3071</t>
  </si>
  <si>
    <t>776380580802</t>
  </si>
  <si>
    <t>John Hutchey</t>
  </si>
  <si>
    <t>4200630512243520</t>
  </si>
  <si>
    <t>IMSA 29-3 AWG C 12 2x5000</t>
  </si>
  <si>
    <t>PTSupply</t>
  </si>
  <si>
    <t>86212301</t>
  </si>
  <si>
    <t>Stephan Smith</t>
  </si>
  <si>
    <t>3491464395</t>
  </si>
  <si>
    <t>stephan.m.smithII@gmail.com</t>
  </si>
  <si>
    <t>2-2-2-4 SER AL 2x550 1x500 1x570 1x480</t>
  </si>
  <si>
    <t>00940050820</t>
  </si>
  <si>
    <t xml:space="preserve">	665645046431</t>
  </si>
  <si>
    <t>Advanced Poweders &amp; Coatings</t>
  </si>
  <si>
    <t>QYZ069A</t>
  </si>
  <si>
    <t>7763 9361 7251</t>
  </si>
  <si>
    <t>paid 06.08.2016</t>
  </si>
  <si>
    <t>aayotte@advancedpowders.com</t>
  </si>
  <si>
    <t xml:space="preserve">500 5KV NS EP-HYP HEAVYWALL
</t>
  </si>
  <si>
    <t>609851506888</t>
  </si>
  <si>
    <t>1ZF9116Y0398996966</t>
  </si>
  <si>
    <t>Gramon Cruz</t>
  </si>
  <si>
    <t>674462223265</t>
  </si>
  <si>
    <t>cruz159208@bellsouth.net</t>
  </si>
  <si>
    <t>Yiyang Lei</t>
  </si>
  <si>
    <t xml:space="preserve">	665651736034</t>
  </si>
  <si>
    <t>Fred Veser</t>
  </si>
  <si>
    <t>665651736001</t>
  </si>
  <si>
    <t>Amanda Bolainez</t>
  </si>
  <si>
    <t>665651736012</t>
  </si>
  <si>
    <t>Terrence Fitzpatrick</t>
  </si>
  <si>
    <t>665651735998</t>
  </si>
  <si>
    <t>Josh Fleming</t>
  </si>
  <si>
    <t xml:space="preserve">	661091350624</t>
  </si>
  <si>
    <t>Mark Lauck</t>
  </si>
  <si>
    <t>665651736045</t>
  </si>
  <si>
    <t>Duane Sells</t>
  </si>
  <si>
    <t>665651736023</t>
  </si>
  <si>
    <t>Daren Osburn</t>
  </si>
  <si>
    <t>5011150393</t>
  </si>
  <si>
    <t>Derrick Parker</t>
  </si>
  <si>
    <t>3357156482</t>
  </si>
  <si>
    <t>derricklparker@gmail.com</t>
  </si>
  <si>
    <t>Power Products Consulting Services</t>
  </si>
  <si>
    <t>4/0 35kV 133% EPR PVC CU MV-105 345MIL</t>
  </si>
  <si>
    <t>258287960</t>
  </si>
  <si>
    <t>powerproduct@att.net</t>
  </si>
  <si>
    <t>750MCM 35KV 133% EPR PVC COPPER</t>
  </si>
  <si>
    <t>CENTRAL</t>
  </si>
  <si>
    <t xml:space="preserve">	754514461</t>
  </si>
  <si>
    <t>10564592505</t>
  </si>
  <si>
    <t>1Z9X760X0361866682</t>
  </si>
  <si>
    <t>Arnold Ziffel</t>
  </si>
  <si>
    <t xml:space="preserve">	614697963387</t>
  </si>
  <si>
    <t>Sam Morreale</t>
  </si>
  <si>
    <t>14/4 Solid Plenum Rated Fire Alarm FPLP Cable</t>
  </si>
  <si>
    <t>616712873186</t>
  </si>
  <si>
    <t>GGB NA</t>
  </si>
  <si>
    <t>8/3 W/GRND Metal Clad Cable Aluminum Armor STR MC</t>
  </si>
  <si>
    <t>675157525769</t>
  </si>
  <si>
    <t>Clint E Morrison</t>
  </si>
  <si>
    <t>676563230615</t>
  </si>
  <si>
    <t>Justin Graves</t>
  </si>
  <si>
    <t>2538612392</t>
  </si>
  <si>
    <t>jgraves@icbsrepair.com</t>
  </si>
  <si>
    <t>Holly Bennett</t>
  </si>
  <si>
    <t>675692456944</t>
  </si>
  <si>
    <t>hollyvolmar@hotmail.com</t>
  </si>
  <si>
    <t>Gary Smith</t>
  </si>
  <si>
    <t>WILSON TRUCKING</t>
  </si>
  <si>
    <t>8196855</t>
  </si>
  <si>
    <t>gsmith@woodmark.com</t>
  </si>
  <si>
    <t>Joshua Spair</t>
  </si>
  <si>
    <t xml:space="preserve">	665645046486</t>
  </si>
  <si>
    <t>Brad Garris</t>
  </si>
  <si>
    <t>665651736067</t>
  </si>
  <si>
    <t>Pam Hyland</t>
  </si>
  <si>
    <t>665645046453</t>
  </si>
  <si>
    <t>Dan Barrett</t>
  </si>
  <si>
    <t xml:space="preserve">	665645046497</t>
  </si>
  <si>
    <t>Ryan Greene</t>
  </si>
  <si>
    <t>3717982225</t>
  </si>
  <si>
    <t>Brian Scheffler</t>
  </si>
  <si>
    <t>665651736056</t>
  </si>
  <si>
    <t>Steve Hasskamp</t>
  </si>
  <si>
    <t>669974329492</t>
  </si>
  <si>
    <t>Kevin Flohrs</t>
  </si>
  <si>
    <t>675157525770</t>
  </si>
  <si>
    <t>Michah Raber</t>
  </si>
  <si>
    <t>Terrier</t>
  </si>
  <si>
    <t>776408756773</t>
  </si>
  <si>
    <t>1Z9X760X0361925108</t>
  </si>
  <si>
    <t>Aluis Bohorquez</t>
  </si>
  <si>
    <t>4/3 Round Pump W/GRND</t>
  </si>
  <si>
    <t>5011820405</t>
  </si>
  <si>
    <t>purchasing@patagoniaglobalcorp.com</t>
  </si>
  <si>
    <t>4/0-3 GGC 2x450</t>
  </si>
  <si>
    <t>averitt</t>
  </si>
  <si>
    <t>elizabeths@griderhillmarina.com</t>
  </si>
  <si>
    <t>6/3 MC W/GRND Green GRND PVC JACKET 1x2500</t>
  </si>
  <si>
    <t>shipping 2-4 weeks</t>
  </si>
  <si>
    <t>3002412A</t>
  </si>
  <si>
    <t>George Barouds</t>
  </si>
  <si>
    <t>300MCM THHN GREEN</t>
  </si>
  <si>
    <t>3653246446</t>
  </si>
  <si>
    <t>georgeb@saranindustries.com</t>
  </si>
  <si>
    <t>Mike Antenucci</t>
  </si>
  <si>
    <t>4/0-4 MC AL W/GRND</t>
  </si>
  <si>
    <t>keystonepower24@gmail.com</t>
  </si>
  <si>
    <t>2/4 MC AL W/GRND</t>
  </si>
  <si>
    <t>Bronco</t>
  </si>
  <si>
    <t>799043326</t>
  </si>
  <si>
    <t>paid 06.24.2016</t>
  </si>
  <si>
    <t>343516332</t>
  </si>
  <si>
    <t>3002415A.. we will pick up</t>
  </si>
  <si>
    <t>Sineon Sergiadis</t>
  </si>
  <si>
    <t xml:space="preserve">	665651736160</t>
  </si>
  <si>
    <t>ssergiadis@hotmail.com</t>
  </si>
  <si>
    <t>Chris Hahn</t>
  </si>
  <si>
    <t>10/2 MC W/GRND W/PVC JACKET</t>
  </si>
  <si>
    <t>Estes</t>
  </si>
  <si>
    <t>chris@kanoklanetworks.com</t>
  </si>
  <si>
    <t>Frederick Seal</t>
  </si>
  <si>
    <t>I645206868</t>
  </si>
  <si>
    <t>fred.seal@ackrit.com</t>
  </si>
  <si>
    <t>356223263</t>
  </si>
  <si>
    <t>paid 07.25.2016</t>
  </si>
  <si>
    <t>12 THHN GREEN (11 in spool diameter)</t>
  </si>
  <si>
    <t>675440108312</t>
  </si>
  <si>
    <t>3002419A</t>
  </si>
  <si>
    <t>Virgina Dugger</t>
  </si>
  <si>
    <t>666158390369</t>
  </si>
  <si>
    <t>Ronald Cross Sr</t>
  </si>
  <si>
    <t>Albany</t>
  </si>
  <si>
    <t>I568877463</t>
  </si>
  <si>
    <t>Nicholas Lee</t>
  </si>
  <si>
    <t xml:space="preserve"> 	665651736159</t>
  </si>
  <si>
    <t>James Shrout</t>
  </si>
  <si>
    <t>665651736090</t>
  </si>
  <si>
    <t>Steve Pepper</t>
  </si>
  <si>
    <t>Customer Picked up 5/31/16</t>
  </si>
  <si>
    <t>12/3 SOOW 2x250</t>
  </si>
  <si>
    <t>Timothy J Ensch</t>
  </si>
  <si>
    <t>675157525747</t>
  </si>
  <si>
    <t>Michael Nguyen</t>
  </si>
  <si>
    <t xml:space="preserve">	665651736104</t>
  </si>
  <si>
    <t>Ben Rawalt</t>
  </si>
  <si>
    <t>665651736115</t>
  </si>
  <si>
    <t>Michael DeLuca</t>
  </si>
  <si>
    <t xml:space="preserve">	665651736137</t>
  </si>
  <si>
    <t>Dennis M Merrill</t>
  </si>
  <si>
    <t>3653241384</t>
  </si>
  <si>
    <t>Raymond Meeks</t>
  </si>
  <si>
    <t>846581164</t>
  </si>
  <si>
    <t>Dennis Ellis</t>
  </si>
  <si>
    <t>do not pay this from fedex</t>
  </si>
  <si>
    <t xml:space="preserve">	665651736181</t>
  </si>
  <si>
    <t>Neil Minnihan</t>
  </si>
  <si>
    <t>655702854809</t>
  </si>
  <si>
    <t>665651736089</t>
  </si>
  <si>
    <t>Rolla Kuhn</t>
  </si>
  <si>
    <t>665651736170</t>
  </si>
  <si>
    <t>Hector Olea</t>
  </si>
  <si>
    <t>8/4 VNTC W/GRND</t>
  </si>
  <si>
    <t>665651736402</t>
  </si>
  <si>
    <t>Robert Hill</t>
  </si>
  <si>
    <t xml:space="preserve">	665651736230</t>
  </si>
  <si>
    <t>Flavio Penafiel</t>
  </si>
  <si>
    <t>665651736387</t>
  </si>
  <si>
    <t>Dennis Waite</t>
  </si>
  <si>
    <t>665651736126</t>
  </si>
  <si>
    <t>Lee Gillentine</t>
  </si>
  <si>
    <t xml:space="preserve">	665651736192</t>
  </si>
  <si>
    <t>Shane Johnson</t>
  </si>
  <si>
    <t xml:space="preserve">	665651736218</t>
  </si>
  <si>
    <t>Allan Jenney</t>
  </si>
  <si>
    <t>Saratoga</t>
  </si>
  <si>
    <t xml:space="preserve">	665651736354</t>
  </si>
  <si>
    <t>Jason K Rendone</t>
  </si>
  <si>
    <t>665651736398</t>
  </si>
  <si>
    <t>Bertram Sears</t>
  </si>
  <si>
    <t>655702854831</t>
  </si>
  <si>
    <t>Jonathon Fleetwood</t>
  </si>
  <si>
    <t xml:space="preserve">	665651736343</t>
  </si>
  <si>
    <t>Jami Simac</t>
  </si>
  <si>
    <t>665651736207</t>
  </si>
  <si>
    <t>Brad Lewis</t>
  </si>
  <si>
    <t xml:space="preserve">	665651736229</t>
  </si>
  <si>
    <t>Bill Ko</t>
  </si>
  <si>
    <t>655702854842</t>
  </si>
  <si>
    <t>Judy Schrock</t>
  </si>
  <si>
    <t>665651736240</t>
  </si>
  <si>
    <t>Michael Peters</t>
  </si>
  <si>
    <t xml:space="preserve">	665651736295</t>
  </si>
  <si>
    <t>HGH Tom</t>
  </si>
  <si>
    <t xml:space="preserve">	665651736310</t>
  </si>
  <si>
    <t>665651736365</t>
  </si>
  <si>
    <t>Ryan Stevens</t>
  </si>
  <si>
    <t>3717982310</t>
  </si>
  <si>
    <t>ryan@nomercyhunting.com</t>
  </si>
  <si>
    <t>Luis Bohorquez</t>
  </si>
  <si>
    <t>4/3 VNTC W/GRND</t>
  </si>
  <si>
    <t>Cynthia Diane Graham</t>
  </si>
  <si>
    <t>990163422</t>
  </si>
  <si>
    <t>scladydider@yahoo.com</t>
  </si>
  <si>
    <t>Coresix Precision Glass Inc.</t>
  </si>
  <si>
    <t xml:space="preserve">	665651736284</t>
  </si>
  <si>
    <t>Boyd Reynolds</t>
  </si>
  <si>
    <t>R&amp;L/ECHO</t>
  </si>
  <si>
    <t>I568877472</t>
  </si>
  <si>
    <t>boyd1125@gmail.com</t>
  </si>
  <si>
    <t>Julius Fredericks</t>
  </si>
  <si>
    <t>12/3 MC W/GRND</t>
  </si>
  <si>
    <t xml:space="preserve">	665651736376</t>
  </si>
  <si>
    <t>Mike Maely</t>
  </si>
  <si>
    <t xml:space="preserve">	614697963582</t>
  </si>
  <si>
    <t>Chris McCullar</t>
  </si>
  <si>
    <t>667087291476</t>
  </si>
  <si>
    <t>Joseph S Shepherd</t>
  </si>
  <si>
    <t>1Z2XF3870345289524</t>
  </si>
  <si>
    <t>Dewayne Smith</t>
  </si>
  <si>
    <t>665651736446</t>
  </si>
  <si>
    <t>Tim Hanson</t>
  </si>
  <si>
    <t>665651736435</t>
  </si>
  <si>
    <t>Ernesto Rosales</t>
  </si>
  <si>
    <t xml:space="preserve">	665651736321</t>
  </si>
  <si>
    <t>Christopher Petays</t>
  </si>
  <si>
    <t>655702854853</t>
  </si>
  <si>
    <t>Pete Fowler</t>
  </si>
  <si>
    <t xml:space="preserve">	665651736332</t>
  </si>
  <si>
    <t>Paul Riccobono</t>
  </si>
  <si>
    <t>667976617340</t>
  </si>
  <si>
    <t>Nicolas Yashinsky</t>
  </si>
  <si>
    <t>665651736480</t>
  </si>
  <si>
    <t>Herb Turner</t>
  </si>
  <si>
    <t xml:space="preserve">	665651736273</t>
  </si>
  <si>
    <t xml:space="preserve">	665651736516</t>
  </si>
  <si>
    <t>Phillip Graham</t>
  </si>
  <si>
    <t>665651736300</t>
  </si>
  <si>
    <t>phillectric@yahoo.com</t>
  </si>
  <si>
    <t>Sean Fernandez</t>
  </si>
  <si>
    <t>6/4 SOOW 2x150</t>
  </si>
  <si>
    <t>665651736251, 665651736262	 </t>
  </si>
  <si>
    <t>Brian Briand</t>
  </si>
  <si>
    <t>3717982435</t>
  </si>
  <si>
    <t>bryankbriand@gmail.com</t>
  </si>
  <si>
    <t>Andrea Wallace</t>
  </si>
  <si>
    <t>wallygirls@yahoo.com</t>
  </si>
  <si>
    <t>Roger Ray</t>
  </si>
  <si>
    <t xml:space="preserve">	665651736582</t>
  </si>
  <si>
    <t>20/5 Thermostat Cable Brown</t>
  </si>
  <si>
    <t>776432244645</t>
  </si>
  <si>
    <t>Dan Conlon</t>
  </si>
  <si>
    <t xml:space="preserve">	665651736560</t>
  </si>
  <si>
    <t>Rebecca Morris</t>
  </si>
  <si>
    <t xml:space="preserve">	665651736424</t>
  </si>
  <si>
    <t>Grant Juneau</t>
  </si>
  <si>
    <t>665651736468</t>
  </si>
  <si>
    <t>Steve Yates</t>
  </si>
  <si>
    <t xml:space="preserve">	665651736527</t>
  </si>
  <si>
    <t>AJ Shufelt</t>
  </si>
  <si>
    <t xml:space="preserve">	665651736490</t>
  </si>
  <si>
    <t>Jerry Jones</t>
  </si>
  <si>
    <t xml:space="preserve">	665651736505</t>
  </si>
  <si>
    <t>Terry Madigan</t>
  </si>
  <si>
    <t>665651736479</t>
  </si>
  <si>
    <t>Chiara Jean Louis</t>
  </si>
  <si>
    <t>I568877481</t>
  </si>
  <si>
    <t>Robert Kohler</t>
  </si>
  <si>
    <t>2/0 Welding Cable Orange</t>
  </si>
  <si>
    <t>776444984295</t>
  </si>
  <si>
    <t>Jamaica Electrical Supply</t>
  </si>
  <si>
    <t>14/3 SJOOW White 3x250</t>
  </si>
  <si>
    <t>676563231828, 676563231839, 676563231840</t>
  </si>
  <si>
    <t>no Pro#</t>
  </si>
  <si>
    <t>3002485A</t>
  </si>
  <si>
    <t>Gary Lee</t>
  </si>
  <si>
    <t>665651736571</t>
  </si>
  <si>
    <t>250MCM XHHW AL 3x 200</t>
  </si>
  <si>
    <t>343691418</t>
  </si>
  <si>
    <t>3002486A</t>
  </si>
  <si>
    <t>Joseph Ofria</t>
  </si>
  <si>
    <t xml:space="preserve">	665651736550</t>
  </si>
  <si>
    <t>jo-van1@hotmail.com</t>
  </si>
  <si>
    <t>675157525758</t>
  </si>
  <si>
    <t>3002487A</t>
  </si>
  <si>
    <t>TY Lerwick</t>
  </si>
  <si>
    <t>6/3 Flat Submersible Pump W/GRND</t>
  </si>
  <si>
    <t>3357156681</t>
  </si>
  <si>
    <t>tywle@yahoo.com</t>
  </si>
  <si>
    <t>Jacqueline Martinez</t>
  </si>
  <si>
    <t>UPS NEXT DAY AIR</t>
  </si>
  <si>
    <t>1ZV147610146509847</t>
  </si>
  <si>
    <t>paid o 07.08.2016</t>
  </si>
  <si>
    <t>jacqueline.martinez@graybar.com</t>
  </si>
  <si>
    <t>Carl A</t>
  </si>
  <si>
    <t xml:space="preserve">	665645046501</t>
  </si>
  <si>
    <t>cdinvestigations@yahoo.com</t>
  </si>
  <si>
    <t>3717982413</t>
  </si>
  <si>
    <t>Advanced Powders &amp; Coatings</t>
  </si>
  <si>
    <t>22393792</t>
  </si>
  <si>
    <t>paid 06.08.2016 $30 Cut Charge</t>
  </si>
  <si>
    <t>#2 XLP USE-2 7-Stranded Copper Cable 4x 5000 1x 2500</t>
  </si>
  <si>
    <t>1045181566</t>
  </si>
  <si>
    <t>paid 08.08.2016</t>
  </si>
  <si>
    <t>pceko@tridentstrong.com</t>
  </si>
  <si>
    <t>#2 XLP 7-Stranded Copper Cable 1x 2500</t>
  </si>
  <si>
    <t>I951736572</t>
  </si>
  <si>
    <t>3002493A.. we will pick up</t>
  </si>
  <si>
    <t>Mark Fisher</t>
  </si>
  <si>
    <t xml:space="preserve">	665651736700</t>
  </si>
  <si>
    <t>mark@jlfisher.com</t>
  </si>
  <si>
    <t>Paula</t>
  </si>
  <si>
    <t>1/0-3 5kV epr PVC CU Shielded MV-105 E8FLR-1A1B03CB00</t>
  </si>
  <si>
    <t>Leon Shatak</t>
  </si>
  <si>
    <t>665651737096</t>
  </si>
  <si>
    <t>ishateck@gmail.com</t>
  </si>
  <si>
    <t>Larry Waller</t>
  </si>
  <si>
    <t>Wake Forest CIC</t>
  </si>
  <si>
    <t>818561063</t>
  </si>
  <si>
    <t>larrywaller@gmail.com</t>
  </si>
  <si>
    <t>Gene Pitchford</t>
  </si>
  <si>
    <t>3717982424</t>
  </si>
  <si>
    <t>Hitesh Patel</t>
  </si>
  <si>
    <t>665651736619</t>
  </si>
  <si>
    <t>Ethan Mazanti</t>
  </si>
  <si>
    <t>Alberto Lopez</t>
  </si>
  <si>
    <t xml:space="preserve">	665651736685</t>
  </si>
  <si>
    <t>Larry Dorschug</t>
  </si>
  <si>
    <t>665651736608</t>
  </si>
  <si>
    <t>Tad Humphrey</t>
  </si>
  <si>
    <t>665651736630</t>
  </si>
  <si>
    <t>Pablo Salazar</t>
  </si>
  <si>
    <t xml:space="preserve">	665651736652</t>
  </si>
  <si>
    <t>Chris Nordhof</t>
  </si>
  <si>
    <t>665651736722</t>
  </si>
  <si>
    <t>Rick Freeman</t>
  </si>
  <si>
    <t xml:space="preserve"> 	665651736711</t>
  </si>
  <si>
    <t>Gary Bartley</t>
  </si>
  <si>
    <t>665651736641</t>
  </si>
  <si>
    <t xml:space="preserve">	665651736799</t>
  </si>
  <si>
    <t>Brian Kettering</t>
  </si>
  <si>
    <t xml:space="preserve">	665651736696</t>
  </si>
  <si>
    <t>Chester Conboy</t>
  </si>
  <si>
    <t>665651736620</t>
  </si>
  <si>
    <t>Barbara Linder</t>
  </si>
  <si>
    <t>10/3 Flat Pump W/GRND</t>
  </si>
  <si>
    <t>665651736744</t>
  </si>
  <si>
    <t>alexis@rpeus.com</t>
  </si>
  <si>
    <t>Bob Depalma</t>
  </si>
  <si>
    <t>8 XHHW GREEN</t>
  </si>
  <si>
    <t>665651736674</t>
  </si>
  <si>
    <t>bob@complianceandresearch.com</t>
  </si>
  <si>
    <t>Sare Plastics Inc.</t>
  </si>
  <si>
    <t>350MCM XHHW AL</t>
  </si>
  <si>
    <t>I645207039</t>
  </si>
  <si>
    <t>750MCM XHHW AL 1x360</t>
  </si>
  <si>
    <t>14/4 VNTC 4x1000</t>
  </si>
  <si>
    <t>509751324</t>
  </si>
  <si>
    <t>Mark &amp; Brooke Lucas</t>
  </si>
  <si>
    <t xml:space="preserve">	665651736836</t>
  </si>
  <si>
    <t>Christopher Meinhardt</t>
  </si>
  <si>
    <t>665651736777</t>
  </si>
  <si>
    <t xml:space="preserve">	665651736788</t>
  </si>
  <si>
    <t>Richard March</t>
  </si>
  <si>
    <t>665651736906</t>
  </si>
  <si>
    <t>ABCwire</t>
  </si>
  <si>
    <t>324350849-4</t>
  </si>
  <si>
    <t>Joshua McNeil</t>
  </si>
  <si>
    <t>665651736880</t>
  </si>
  <si>
    <t>Mitchell Martin</t>
  </si>
  <si>
    <t xml:space="preserve"> 	665651736847</t>
  </si>
  <si>
    <t>Michael Horrall</t>
  </si>
  <si>
    <t xml:space="preserve">	665651736870</t>
  </si>
  <si>
    <t>Robert Farber</t>
  </si>
  <si>
    <t>665651736939</t>
  </si>
  <si>
    <t>Derek Beard</t>
  </si>
  <si>
    <t xml:space="preserve">	665651736814</t>
  </si>
  <si>
    <t>Jo Pinoch</t>
  </si>
  <si>
    <t>4/0 XHHW AL 2x500</t>
  </si>
  <si>
    <t xml:space="preserve">	3649821490</t>
  </si>
  <si>
    <t>Jon Kraak</t>
  </si>
  <si>
    <t xml:space="preserve">	665651736825</t>
  </si>
  <si>
    <t>Patricia Porter</t>
  </si>
  <si>
    <t xml:space="preserve">	665651736891</t>
  </si>
  <si>
    <t>Gary Owen</t>
  </si>
  <si>
    <t xml:space="preserve">	665651736803</t>
  </si>
  <si>
    <t>Gil Resto</t>
  </si>
  <si>
    <t>4/0-4/0-4/0-2/0 SER AL 1 x 950  1 x 90</t>
  </si>
  <si>
    <t>336050653</t>
  </si>
  <si>
    <t>gil.resto@grelectricllc.com</t>
  </si>
  <si>
    <t>Gary Banken</t>
  </si>
  <si>
    <t xml:space="preserve">	665651736928</t>
  </si>
  <si>
    <t>William Zinke</t>
  </si>
  <si>
    <t>665651737122</t>
  </si>
  <si>
    <t>Jesse Hoge</t>
  </si>
  <si>
    <t>665651736961</t>
  </si>
  <si>
    <t>Joshua Lindsay</t>
  </si>
  <si>
    <t>665651736950</t>
  </si>
  <si>
    <t>Osborne Milton</t>
  </si>
  <si>
    <t>119633670</t>
  </si>
  <si>
    <t>3717982461</t>
  </si>
  <si>
    <t>Johnny Pack</t>
  </si>
  <si>
    <t>371798251-6</t>
  </si>
  <si>
    <t>Bullseye Industrial Sales</t>
  </si>
  <si>
    <t xml:space="preserve">	665651736869</t>
  </si>
  <si>
    <t>George Feagle</t>
  </si>
  <si>
    <t>665651736917</t>
  </si>
  <si>
    <t>John Bunting</t>
  </si>
  <si>
    <t>665651736940</t>
  </si>
  <si>
    <t>Mark Lewis</t>
  </si>
  <si>
    <t>3/0 XLP USE AL</t>
  </si>
  <si>
    <t>665651737100</t>
  </si>
  <si>
    <t>Richard Hourizadeh</t>
  </si>
  <si>
    <t>665651736858</t>
  </si>
  <si>
    <t>Leed Fabrication Inc.</t>
  </si>
  <si>
    <t>665651737019</t>
  </si>
  <si>
    <t>Subaru Telescope</t>
  </si>
  <si>
    <t>614697963814</t>
  </si>
  <si>
    <t>Kathy Johnson</t>
  </si>
  <si>
    <t>56887926-3</t>
  </si>
  <si>
    <t>James D Cassidy</t>
  </si>
  <si>
    <t xml:space="preserve">	665651736994</t>
  </si>
  <si>
    <t>Brandon Case</t>
  </si>
  <si>
    <t>665651737111</t>
  </si>
  <si>
    <t xml:space="preserve">Advanced Powders &amp; Coatings </t>
  </si>
  <si>
    <t>750MCM Wire Non Shielded 8 KV 5x115</t>
  </si>
  <si>
    <t>25396451</t>
  </si>
  <si>
    <t>500 MCM Wire Non Shielded 5kv Sample</t>
  </si>
  <si>
    <t xml:space="preserve">Crown </t>
  </si>
  <si>
    <t>12/3 MC W/GRND Blue Jacket</t>
  </si>
  <si>
    <t>paid 06.23.2016</t>
  </si>
  <si>
    <t>Noah Ringdahl</t>
  </si>
  <si>
    <t>1/0 DLO CABLE 1x2500 1x5000 1x1500</t>
  </si>
  <si>
    <t xml:space="preserve">Open </t>
  </si>
  <si>
    <t>4016461934</t>
  </si>
  <si>
    <t>noahringdahl@gmail.com</t>
  </si>
  <si>
    <t>4/0 Welding Cable 2x500</t>
  </si>
  <si>
    <t>370521089-1</t>
  </si>
  <si>
    <t>James Pfuelb</t>
  </si>
  <si>
    <t xml:space="preserve">	665651737041</t>
  </si>
  <si>
    <t>Brett Ritchey</t>
  </si>
  <si>
    <t xml:space="preserve">	665651737155</t>
  </si>
  <si>
    <t>Troy Brownrigg</t>
  </si>
  <si>
    <t>6/3 Heavy Duty Flat Double Jacketed Submersible Pump Cable W/8 Ground Wire</t>
  </si>
  <si>
    <t>3238978842</t>
  </si>
  <si>
    <t>Jace Haley</t>
  </si>
  <si>
    <t>665651737008</t>
  </si>
  <si>
    <t>Jonathan Holloway</t>
  </si>
  <si>
    <t>665651737074</t>
  </si>
  <si>
    <t>Ronald Struska</t>
  </si>
  <si>
    <t>665651737063</t>
  </si>
  <si>
    <t>Mike Seeley</t>
  </si>
  <si>
    <t xml:space="preserve">	665651736983</t>
  </si>
  <si>
    <t>Chad Rolf</t>
  </si>
  <si>
    <t>665651737052</t>
  </si>
  <si>
    <t>Roger Miller</t>
  </si>
  <si>
    <t>665651737085</t>
  </si>
  <si>
    <t>6/3 W/GRND STR MC</t>
  </si>
  <si>
    <t>14203324802</t>
  </si>
  <si>
    <t>12/2 W/GRND STR MC</t>
  </si>
  <si>
    <t>663910431945, 	663910431956, 	663910431967</t>
  </si>
  <si>
    <t>3002562B</t>
  </si>
  <si>
    <t>3/0 THHN COPPER BROWN</t>
  </si>
  <si>
    <t xml:space="preserve">	665651737199</t>
  </si>
  <si>
    <t>3002562A</t>
  </si>
  <si>
    <t>#2 XLP USE-2 7-STRANDED COPPER</t>
  </si>
  <si>
    <t>437777559</t>
  </si>
  <si>
    <t>Charles Wessener</t>
  </si>
  <si>
    <t>85350003-1</t>
  </si>
  <si>
    <t>charlesw442@gmail.com</t>
  </si>
  <si>
    <t>Clemson</t>
  </si>
  <si>
    <t>21385344</t>
  </si>
  <si>
    <t>3002564A</t>
  </si>
  <si>
    <t>665651737030</t>
  </si>
  <si>
    <t xml:space="preserve">	665651737133</t>
  </si>
  <si>
    <t>3002565A</t>
  </si>
  <si>
    <t>10/2 MC PVC JACKET</t>
  </si>
  <si>
    <t>707507415</t>
  </si>
  <si>
    <t>12/2 MC PVC JACKET</t>
  </si>
  <si>
    <t>Michael Glunt</t>
  </si>
  <si>
    <t xml:space="preserve">	665651737328</t>
  </si>
  <si>
    <t>Hector Brailey</t>
  </si>
  <si>
    <t>4 XLP USE-2 RHH RHW-2 AL 3x5000</t>
  </si>
  <si>
    <t xml:space="preserve">	19294160</t>
  </si>
  <si>
    <t>braelecorp@gmail.com</t>
  </si>
  <si>
    <t>Dale Little</t>
  </si>
  <si>
    <t>6/4 SEOOW</t>
  </si>
  <si>
    <t>dlpower@bellsouth.net</t>
  </si>
  <si>
    <t>Empresa Electrica Guarachachi S.A.</t>
  </si>
  <si>
    <t>Ibis</t>
  </si>
  <si>
    <t>csoto@egsa.com.bo</t>
  </si>
  <si>
    <t>Rail</t>
  </si>
  <si>
    <t>Kenneth Hough</t>
  </si>
  <si>
    <t>665651737247</t>
  </si>
  <si>
    <t>Linh Nguyen</t>
  </si>
  <si>
    <t>665651737177</t>
  </si>
  <si>
    <t>Loc Phan</t>
  </si>
  <si>
    <t>2/0 DLO Cable 1x 300</t>
  </si>
  <si>
    <t>JACKSON TRUCKING</t>
  </si>
  <si>
    <t>248677</t>
  </si>
  <si>
    <t>Larry Coffee</t>
  </si>
  <si>
    <t xml:space="preserve">	665651737269</t>
  </si>
  <si>
    <t>Gunnard Nelson</t>
  </si>
  <si>
    <t>665651737258</t>
  </si>
  <si>
    <t>Richard Cann</t>
  </si>
  <si>
    <t>665651737270</t>
  </si>
  <si>
    <t>ABDepot LLC</t>
  </si>
  <si>
    <t>665651737214</t>
  </si>
  <si>
    <t>Adam Sexton</t>
  </si>
  <si>
    <t>665651737166</t>
  </si>
  <si>
    <t>Bill Quirk</t>
  </si>
  <si>
    <t>Randal Costello</t>
  </si>
  <si>
    <t xml:space="preserve">	665651737144</t>
  </si>
  <si>
    <t>Darrin Bode</t>
  </si>
  <si>
    <t>665651737188</t>
  </si>
  <si>
    <t>Butch Harry</t>
  </si>
  <si>
    <t>655702854956</t>
  </si>
  <si>
    <t>Lights N More Installations</t>
  </si>
  <si>
    <t>New Home</t>
  </si>
  <si>
    <t xml:space="preserve">	665651737225</t>
  </si>
  <si>
    <t xml:space="preserve">	616712873576</t>
  </si>
  <si>
    <t>EH DeWitt</t>
  </si>
  <si>
    <t>4/3 Flat Sumbersible Pump W/GRND #8</t>
  </si>
  <si>
    <t>08307744105</t>
  </si>
  <si>
    <t>ehdewitt@generalveneer.com</t>
  </si>
  <si>
    <t>Dave Edwards</t>
  </si>
  <si>
    <t>Wesleyan 1x300 1x1300 1x1350</t>
  </si>
  <si>
    <t>389704479</t>
  </si>
  <si>
    <t>boatnuttt@gmail.com</t>
  </si>
  <si>
    <t>John Neubauer</t>
  </si>
  <si>
    <t>88600406</t>
  </si>
  <si>
    <t>jneub@optonline.net</t>
  </si>
  <si>
    <t>David Ruiz</t>
  </si>
  <si>
    <t>18/8 SOOW</t>
  </si>
  <si>
    <t>675157526125</t>
  </si>
  <si>
    <t>Marty Leamoine</t>
  </si>
  <si>
    <t>655702854967</t>
  </si>
  <si>
    <t>John Roberts</t>
  </si>
  <si>
    <t xml:space="preserve"> 	665651737280</t>
  </si>
  <si>
    <t>12 XHHW STR BROWN</t>
  </si>
  <si>
    <t>Kristech</t>
  </si>
  <si>
    <t>659686927365</t>
  </si>
  <si>
    <t>paid 07.22.2016</t>
  </si>
  <si>
    <t>12 XHHW STR GREEN</t>
  </si>
  <si>
    <t>12 XHHW STR ORANGE</t>
  </si>
  <si>
    <t>3909360512</t>
  </si>
  <si>
    <t>John Kohler</t>
  </si>
  <si>
    <t>665651737291</t>
  </si>
  <si>
    <t>kohlers@pacbell.net</t>
  </si>
  <si>
    <t>665651737306</t>
  </si>
  <si>
    <t>Justin Pope</t>
  </si>
  <si>
    <t>336903133</t>
  </si>
  <si>
    <t>jtpope@doc.nv.gov</t>
  </si>
  <si>
    <t>2/0 THHN STRANDED BLUE</t>
  </si>
  <si>
    <t>23786789</t>
  </si>
  <si>
    <t>paid 08.18.2016</t>
  </si>
  <si>
    <t xml:space="preserve">12/3 MC Cable </t>
  </si>
  <si>
    <t>2 THHN GREEN</t>
  </si>
  <si>
    <t>Panterra Pte Ltd</t>
  </si>
  <si>
    <t>CROWN INDUSTRIAL THW/SUBMERSIBLE PUMP CABLE HEAVY DUTY FLAT JACKETED WITH GROUND 600 VOLT COPPER P/N: CI-FBP3-007 2/3; 3 CONDUCTOR WITH GREEN INSULATED SUIT TO SUBMERSIBLE PUMP FLAT PUMP WITH GROUND </t>
  </si>
  <si>
    <t>customer picking this up at Thea</t>
  </si>
  <si>
    <t>CROWN INDUSTRIAL THW/SUBMERSIBLE PUMP CABLE HEAVY DUTY FLAT JACKETED WITH GROUND 600 VOLT COPPER P/N: CI-FBP2-002 12/2; 2 CONDUCTOR WITH GREEN INSULATED SUIT TO SUBMERSIBLE PUMP FLAT PUMP WITH GROUND </t>
  </si>
  <si>
    <t>$75 Lagging Charge</t>
  </si>
  <si>
    <t>John French</t>
  </si>
  <si>
    <t>665651737383</t>
  </si>
  <si>
    <t>Peter Lindboe</t>
  </si>
  <si>
    <t xml:space="preserve">	647608631019</t>
  </si>
  <si>
    <t>Steve Wheless</t>
  </si>
  <si>
    <t>665651737317</t>
  </si>
  <si>
    <t>Khoi Lee</t>
  </si>
  <si>
    <t>665651737372</t>
  </si>
  <si>
    <t>Joshua Unold</t>
  </si>
  <si>
    <t xml:space="preserve">	665651737409</t>
  </si>
  <si>
    <t>Khoa Ly</t>
  </si>
  <si>
    <t>YRC/DLS</t>
  </si>
  <si>
    <t>4978033401</t>
  </si>
  <si>
    <t>Robert Rowley</t>
  </si>
  <si>
    <t>665651737361</t>
  </si>
  <si>
    <t>Paul Price</t>
  </si>
  <si>
    <t>776491853060</t>
  </si>
  <si>
    <t xml:space="preserve">	665651737350</t>
  </si>
  <si>
    <t>Tyler Ritchie</t>
  </si>
  <si>
    <t>665651737340</t>
  </si>
  <si>
    <t>Gaylen Jones</t>
  </si>
  <si>
    <t>I568879452</t>
  </si>
  <si>
    <t xml:space="preserve">	665651737394</t>
  </si>
  <si>
    <t>Terry Singh</t>
  </si>
  <si>
    <t>SAMPLES</t>
  </si>
  <si>
    <t>japarts_terry@hotmail.com</t>
  </si>
  <si>
    <t>Henri Du Pont</t>
  </si>
  <si>
    <t>18/2 Plenum</t>
  </si>
  <si>
    <t>12/3 SOOW Carol Wire Only 5x250</t>
  </si>
  <si>
    <t>356246595</t>
  </si>
  <si>
    <t>679093694269</t>
  </si>
  <si>
    <t>3002613A</t>
  </si>
  <si>
    <t>Chuck Stone</t>
  </si>
  <si>
    <t>24-4 Station Wire Telephone Cable Bare Copper Flexible Waire</t>
  </si>
  <si>
    <t>1Z2XF3870345854314</t>
  </si>
  <si>
    <t>Tim Klenk</t>
  </si>
  <si>
    <t>655702854978</t>
  </si>
  <si>
    <t>Manual Cantu</t>
  </si>
  <si>
    <t>3717982634</t>
  </si>
  <si>
    <t>14/5 CCW</t>
  </si>
  <si>
    <t>UPS 2ND DAY AIR</t>
  </si>
  <si>
    <t xml:space="preserve">	1Z28X7X90266122592</t>
  </si>
  <si>
    <t>manderson@mitcherson.com</t>
  </si>
  <si>
    <t>Brian Korten</t>
  </si>
  <si>
    <t>589503033</t>
  </si>
  <si>
    <t>Coresix Precision</t>
  </si>
  <si>
    <t>#10 THHN RED</t>
  </si>
  <si>
    <t xml:space="preserve">679093694534
</t>
  </si>
  <si>
    <t>#10 THHN BLACK</t>
  </si>
  <si>
    <t>#10 THHN BLUE</t>
  </si>
  <si>
    <t>#12 THHN RED</t>
  </si>
  <si>
    <t>679093694545</t>
  </si>
  <si>
    <t>#12 THHN BLACK</t>
  </si>
  <si>
    <t>#12 THHN BLUE</t>
  </si>
  <si>
    <t>679093694556</t>
  </si>
  <si>
    <t>#12 THHN WHITE 2x500</t>
  </si>
  <si>
    <t>#12 THHN GREEN 2x500</t>
  </si>
  <si>
    <t>679093694567</t>
  </si>
  <si>
    <t>Craig Davis</t>
  </si>
  <si>
    <t xml:space="preserve">	665651737410</t>
  </si>
  <si>
    <t>craig@craigdavis.com</t>
  </si>
  <si>
    <t>Mark Weissenrieder</t>
  </si>
  <si>
    <t xml:space="preserve">	665651737751</t>
  </si>
  <si>
    <t>Roger Caissie</t>
  </si>
  <si>
    <t>665651737453</t>
  </si>
  <si>
    <t>Joshua Altrogge</t>
  </si>
  <si>
    <t>665651737431</t>
  </si>
  <si>
    <t>Fastenal</t>
  </si>
  <si>
    <t xml:space="preserve">1/0 THHN Black </t>
  </si>
  <si>
    <t>665651737464</t>
  </si>
  <si>
    <t>paid 07.02.2016</t>
  </si>
  <si>
    <t>Walsh Electric Supply</t>
  </si>
  <si>
    <t>56887940-7</t>
  </si>
  <si>
    <t>paid 07.21.2016</t>
  </si>
  <si>
    <t>babcock@walshelectric.com</t>
  </si>
  <si>
    <t>Danny Sheldon</t>
  </si>
  <si>
    <t>12/3 Flat Submersible Pump W/GRND</t>
  </si>
  <si>
    <t>665651737442</t>
  </si>
  <si>
    <t xml:space="preserve">danny.sheldon@siemens.com </t>
  </si>
  <si>
    <t>KDA Realty/ David Klossner</t>
  </si>
  <si>
    <t xml:space="preserve">600MCM THHN CU </t>
  </si>
  <si>
    <t>0272047900</t>
  </si>
  <si>
    <t>Yellow 1 X 140 &amp; 1 x 210 </t>
  </si>
  <si>
    <t>White 1 x 35 &amp; 1 x 70 1 x 35 </t>
  </si>
  <si>
    <t>Blue 1 x 105 1 x 210 1 x 35</t>
  </si>
  <si>
    <t>Josef Morchik</t>
  </si>
  <si>
    <t>4/0-3C W/GRND MC AL </t>
  </si>
  <si>
    <t xml:space="preserve">	5011825170</t>
  </si>
  <si>
    <t>JOSEF@STONE-QUEST.COM</t>
  </si>
  <si>
    <t>350MCM THHN ORANGE</t>
  </si>
  <si>
    <t xml:space="preserve">350MCM THHN RED </t>
  </si>
  <si>
    <t>350MCM THHN CU 7X 75</t>
  </si>
  <si>
    <t>350MCM THHN RED</t>
  </si>
  <si>
    <t>350MCM THHN WHITE</t>
  </si>
  <si>
    <t>350MCM THHN GREY</t>
  </si>
  <si>
    <t>350MCM THHN BROWN</t>
  </si>
  <si>
    <t xml:space="preserve">350MCM THHN BROWN </t>
  </si>
  <si>
    <t>350MCM XHHW BLACK</t>
  </si>
  <si>
    <t>kmklossner@gmail.com</t>
  </si>
  <si>
    <t>500MCM THHN BLACK</t>
  </si>
  <si>
    <t xml:space="preserve">500MCM XLP USE CU </t>
  </si>
  <si>
    <t xml:space="preserve">500MCM THHN GREY </t>
  </si>
  <si>
    <t xml:space="preserve">500MCM THHN BROWN </t>
  </si>
  <si>
    <t>500MCM THHN 3 X 150</t>
  </si>
  <si>
    <t>3002629A</t>
  </si>
  <si>
    <t>3002629B</t>
  </si>
  <si>
    <t>680483355484</t>
  </si>
  <si>
    <t>Roberta Deloach</t>
  </si>
  <si>
    <t>665651737512</t>
  </si>
  <si>
    <t>Boone Kowalis</t>
  </si>
  <si>
    <t>665651737501</t>
  </si>
  <si>
    <t>Charles Cunningham</t>
  </si>
  <si>
    <t>655702855036</t>
  </si>
  <si>
    <t>Norman Dibble</t>
  </si>
  <si>
    <t>665651737534</t>
  </si>
  <si>
    <t>Dan Hawkins</t>
  </si>
  <si>
    <t>665651737523</t>
  </si>
  <si>
    <t>Brian L Korten</t>
  </si>
  <si>
    <t>776506061339</t>
  </si>
  <si>
    <t>Wes Hall</t>
  </si>
  <si>
    <t>671965414980</t>
  </si>
  <si>
    <t>Lowell Nelson</t>
  </si>
  <si>
    <t>665651737497</t>
  </si>
  <si>
    <t>Benny Baker</t>
  </si>
  <si>
    <t>675157526114</t>
  </si>
  <si>
    <t>Chester Crowell</t>
  </si>
  <si>
    <t>665651737718</t>
  </si>
  <si>
    <t>262 DLO</t>
  </si>
  <si>
    <t>3542055031</t>
  </si>
  <si>
    <t>Charles Prew</t>
  </si>
  <si>
    <t>Grainger</t>
  </si>
  <si>
    <t>665651737626</t>
  </si>
  <si>
    <t>Todd Brink</t>
  </si>
  <si>
    <t>3499343256</t>
  </si>
  <si>
    <t>Brian So</t>
  </si>
  <si>
    <t>665651737681</t>
  </si>
  <si>
    <t>Michael Taylor</t>
  </si>
  <si>
    <t>665651737567</t>
  </si>
  <si>
    <t>Len Schmid</t>
  </si>
  <si>
    <t>Henry</t>
  </si>
  <si>
    <t>665651737589</t>
  </si>
  <si>
    <t>Music Box</t>
  </si>
  <si>
    <t xml:space="preserve">	665651737648</t>
  </si>
  <si>
    <t>Dwight Brasseaux</t>
  </si>
  <si>
    <t>665651737615</t>
  </si>
  <si>
    <t>George Bowers</t>
  </si>
  <si>
    <t xml:space="preserve">	680483355267</t>
  </si>
  <si>
    <t>Garvin Hershey</t>
  </si>
  <si>
    <t>676563234140</t>
  </si>
  <si>
    <t>Yllka Prendi</t>
  </si>
  <si>
    <t>1ZA6253X0340230432</t>
  </si>
  <si>
    <t>Travis Thibodeaux</t>
  </si>
  <si>
    <t>665651737590</t>
  </si>
  <si>
    <t>Jospeh Beckford</t>
  </si>
  <si>
    <t>776506955290</t>
  </si>
  <si>
    <t>Matthew DeWitt</t>
  </si>
  <si>
    <t>665651737730</t>
  </si>
  <si>
    <t>665651737637</t>
  </si>
  <si>
    <t>665651737740</t>
  </si>
  <si>
    <t>Fred Stutsman</t>
  </si>
  <si>
    <t xml:space="preserve">	665651737604</t>
  </si>
  <si>
    <t>Steven Cobb</t>
  </si>
  <si>
    <t xml:space="preserve">	665651737707</t>
  </si>
  <si>
    <t>Scott T. Schmitz</t>
  </si>
  <si>
    <t>655702855014</t>
  </si>
  <si>
    <t>Rick Woods</t>
  </si>
  <si>
    <t>Joel Bourquin</t>
  </si>
  <si>
    <t>DLS/Conway</t>
  </si>
  <si>
    <t>521907750</t>
  </si>
  <si>
    <t>4 XLP USE BROWN</t>
  </si>
  <si>
    <t>William Banner</t>
  </si>
  <si>
    <t>DLS/ AAA Cooper</t>
  </si>
  <si>
    <t>91848972</t>
  </si>
  <si>
    <t>wmbanner@centurylink.net</t>
  </si>
  <si>
    <t>Ramon Olvera</t>
  </si>
  <si>
    <t>4/3 W/GRND FREP</t>
  </si>
  <si>
    <t>665651737729</t>
  </si>
  <si>
    <t>catalina@olveras.com</t>
  </si>
  <si>
    <t>I644655591</t>
  </si>
  <si>
    <t>10/4 VNTC W/GRND</t>
  </si>
  <si>
    <t>UPS BLUE</t>
  </si>
  <si>
    <t>1Z62X7750273904095</t>
  </si>
  <si>
    <t>William Whiteker</t>
  </si>
  <si>
    <t>6-6-6-6 SER COPPER</t>
  </si>
  <si>
    <t xml:space="preserve">	1Z7238E00360768210</t>
  </si>
  <si>
    <t>whit-ent@hotmail.com</t>
  </si>
  <si>
    <t>18/4 VNTC</t>
  </si>
  <si>
    <t xml:space="preserve">	616712873760</t>
  </si>
  <si>
    <t>jtr235@twcny.rr.com</t>
  </si>
  <si>
    <t>2 THHN STRANDED BLUE 4x500</t>
  </si>
  <si>
    <t>1Z0811790372194462</t>
  </si>
  <si>
    <t>paid 07.08.2016</t>
  </si>
  <si>
    <t>Marina White</t>
  </si>
  <si>
    <t xml:space="preserve">	680483355256</t>
  </si>
  <si>
    <t>scandal255@hotmail.com</t>
  </si>
  <si>
    <t>Linden Electrical Wholesalers Inc.</t>
  </si>
  <si>
    <t>10 THHN STRANDED BLACK 4x500</t>
  </si>
  <si>
    <t>TRUCK</t>
  </si>
  <si>
    <t>10 THHN STRANDED WHITE 4x500</t>
  </si>
  <si>
    <t>10 THHN STRANDED BLUE 4x500</t>
  </si>
  <si>
    <t>10 THHN STRANDED RED 4x500</t>
  </si>
  <si>
    <t>14 THHN STRANDED BLACK 4x500</t>
  </si>
  <si>
    <t>12 THHN STRANDED RED 4x500</t>
  </si>
  <si>
    <t>10 THHN SOLID GREEN 4x500</t>
  </si>
  <si>
    <t>Est. Delivery 6/20/16</t>
  </si>
  <si>
    <t>3002670A</t>
  </si>
  <si>
    <t>Colby Grayson</t>
  </si>
  <si>
    <t>680483355131</t>
  </si>
  <si>
    <t>Rebecca Winkle</t>
  </si>
  <si>
    <t>I644655618</t>
  </si>
  <si>
    <t>Frederick Henderson</t>
  </si>
  <si>
    <t xml:space="preserve">	680483355223</t>
  </si>
  <si>
    <t>Steve P</t>
  </si>
  <si>
    <t>4-4-4-6 SER AL 2x1000</t>
  </si>
  <si>
    <t>CROWN WIRE TRUCK</t>
  </si>
  <si>
    <t>Scott Harris</t>
  </si>
  <si>
    <t>665651737784</t>
  </si>
  <si>
    <t>Tim Lothamer</t>
  </si>
  <si>
    <t xml:space="preserve">	680483355072</t>
  </si>
  <si>
    <t>Rivka Putter</t>
  </si>
  <si>
    <t>16/4 SOOW 2x500</t>
  </si>
  <si>
    <t>609851509979, 680483355094</t>
  </si>
  <si>
    <t>John Gerving</t>
  </si>
  <si>
    <t>655702855058</t>
  </si>
  <si>
    <t>Ronald Pickens</t>
  </si>
  <si>
    <t xml:space="preserve">	665651737692</t>
  </si>
  <si>
    <t>776525210225</t>
  </si>
  <si>
    <t>Tom Gallery</t>
  </si>
  <si>
    <t>521907735</t>
  </si>
  <si>
    <t>TOM@NORTHWINDMEASUREMENT.COM</t>
  </si>
  <si>
    <t>1/0 XLP USE AL</t>
  </si>
  <si>
    <t xml:space="preserve">	675692457892</t>
  </si>
  <si>
    <t>3002681A</t>
  </si>
  <si>
    <t>Paul Heck</t>
  </si>
  <si>
    <t>Slippery Rock</t>
  </si>
  <si>
    <t>665651737762</t>
  </si>
  <si>
    <t>pdh415@gmail.com</t>
  </si>
  <si>
    <t>Constantine</t>
  </si>
  <si>
    <t>500MCM THHN BK RD BL WH 4x165 Paralleled W/Black Tape</t>
  </si>
  <si>
    <t>DELIVERED 06.15.2016</t>
  </si>
  <si>
    <t>3/0 THHN GREEN</t>
  </si>
  <si>
    <t>RandJ Technical Services</t>
  </si>
  <si>
    <t>2/0 Welding Cable Green 2x250 1x150</t>
  </si>
  <si>
    <t>2538612974</t>
  </si>
  <si>
    <t>4/0 Welding Cable Green 2x250 1x150</t>
  </si>
  <si>
    <t>Keith Goff</t>
  </si>
  <si>
    <t xml:space="preserve">6 XLP USE AL </t>
  </si>
  <si>
    <t>680483355186</t>
  </si>
  <si>
    <t>kgoff80@gmail.com</t>
  </si>
  <si>
    <t>6 XLP USE AL 2x1500</t>
  </si>
  <si>
    <t>609851509968, 	609851509979</t>
  </si>
  <si>
    <t>3002685A</t>
  </si>
  <si>
    <t>12 THHN SOLID GREEN</t>
  </si>
  <si>
    <t>680483355197</t>
  </si>
  <si>
    <t>Nocix LLC</t>
  </si>
  <si>
    <t>00388607164</t>
  </si>
  <si>
    <t>payments@datashack.net</t>
  </si>
  <si>
    <t>Carl Smits</t>
  </si>
  <si>
    <t>680483355153</t>
  </si>
  <si>
    <t>smitsfarms@gmail.com</t>
  </si>
  <si>
    <t>Brett Walat</t>
  </si>
  <si>
    <t>Narcissius</t>
  </si>
  <si>
    <t>3759111182</t>
  </si>
  <si>
    <t>bwalat@temsinc.net</t>
  </si>
  <si>
    <t>Rick C</t>
  </si>
  <si>
    <t>665651737773</t>
  </si>
  <si>
    <t>Jeff Verkley</t>
  </si>
  <si>
    <t>James Mantsch</t>
  </si>
  <si>
    <t xml:space="preserve">	680483355142</t>
  </si>
  <si>
    <t xml:space="preserve">20/5 Thermostat Cable Brown CL2 </t>
  </si>
  <si>
    <t>776530396520</t>
  </si>
  <si>
    <t>680483355164</t>
  </si>
  <si>
    <t>Alfred Bertulfo</t>
  </si>
  <si>
    <t xml:space="preserve">	680483355201</t>
  </si>
  <si>
    <t>David Howell</t>
  </si>
  <si>
    <t>680483355234</t>
  </si>
  <si>
    <t>John Hart</t>
  </si>
  <si>
    <t xml:space="preserve">	680483355120</t>
  </si>
  <si>
    <t>Dennis Lopez</t>
  </si>
  <si>
    <t>need shipping cost to PR</t>
  </si>
  <si>
    <t>Ronald Schmoll</t>
  </si>
  <si>
    <t xml:space="preserve">	680483355212</t>
  </si>
  <si>
    <t>Lisa Jones</t>
  </si>
  <si>
    <t xml:space="preserve"> 	680483355175</t>
  </si>
  <si>
    <t>Jon Seltzer</t>
  </si>
  <si>
    <t xml:space="preserve">	879784783</t>
  </si>
  <si>
    <t>Darwin Senska</t>
  </si>
  <si>
    <t>680483355110</t>
  </si>
  <si>
    <t>Richard Hayes</t>
  </si>
  <si>
    <t>675157526272</t>
  </si>
  <si>
    <t>Scott Sybert</t>
  </si>
  <si>
    <t xml:space="preserve">16/4 SOOW </t>
  </si>
  <si>
    <t xml:space="preserve">	680483355109</t>
  </si>
  <si>
    <t>Gary Swenson</t>
  </si>
  <si>
    <t>3065624310</t>
  </si>
  <si>
    <t>garyswenson@hotmail.com</t>
  </si>
  <si>
    <t>Silvey Electric</t>
  </si>
  <si>
    <t>I644655609</t>
  </si>
  <si>
    <t>silveyelectric@att.net</t>
  </si>
  <si>
    <t>444 DLO</t>
  </si>
  <si>
    <t>10/5 SOOW 11x 1000</t>
  </si>
  <si>
    <t>3720051613</t>
  </si>
  <si>
    <t>paid 07.12.2016</t>
  </si>
  <si>
    <t>12/3 SOOW 1x 1000</t>
  </si>
  <si>
    <t>PO # 80003-1</t>
  </si>
  <si>
    <t>14/5 SOOW 8x 1000 1x 500</t>
  </si>
  <si>
    <t>500' billed out on 06.29.2016</t>
  </si>
  <si>
    <t>02308189763</t>
  </si>
  <si>
    <t>500/3 MC AL W/GRND</t>
  </si>
  <si>
    <t xml:space="preserve">	3668626846</t>
  </si>
  <si>
    <t>Cut Charge $40</t>
  </si>
  <si>
    <t>Ed Acheson</t>
  </si>
  <si>
    <t>609851510137</t>
  </si>
  <si>
    <t>tiger1@fuse.net</t>
  </si>
  <si>
    <t>Gabriel Tesar</t>
  </si>
  <si>
    <t>680483355337</t>
  </si>
  <si>
    <t>gtesar@hotmail.com</t>
  </si>
  <si>
    <t>680483355348</t>
  </si>
  <si>
    <t>G4S Security Systems Inc.</t>
  </si>
  <si>
    <t>8 THHN COPPER 15x5000</t>
  </si>
  <si>
    <t>paid $3300</t>
  </si>
  <si>
    <t>Alan Paolerico</t>
  </si>
  <si>
    <t>4/0-4/0-4/0-2/0 SER COPPER</t>
  </si>
  <si>
    <t>FEDEX FREIGHT ECONOMY</t>
  </si>
  <si>
    <t>3491460711</t>
  </si>
  <si>
    <t>scemotorman@comcast.net</t>
  </si>
  <si>
    <t>Belden 3073F 1 Pair #18 Shielded Cable</t>
  </si>
  <si>
    <t>680123396105</t>
  </si>
  <si>
    <t>#14 THHN GRAY</t>
  </si>
  <si>
    <t>679093695346</t>
  </si>
  <si>
    <t>3002713A</t>
  </si>
  <si>
    <t>#12 THHN GRAY</t>
  </si>
  <si>
    <t>10/5 SOOW 3x5000</t>
  </si>
  <si>
    <t>3909378826, 4107949646</t>
  </si>
  <si>
    <t>PAID 07.22.2016</t>
  </si>
  <si>
    <t xml:space="preserve">10/5 SOOW </t>
  </si>
  <si>
    <t>3717983706</t>
  </si>
  <si>
    <t>3002714A .. WE WILL PICK UP</t>
  </si>
  <si>
    <t>William B LaFrance II</t>
  </si>
  <si>
    <t xml:space="preserve">	6804832355304</t>
  </si>
  <si>
    <t>Jorge Galvez</t>
  </si>
  <si>
    <t>680483355289</t>
  </si>
  <si>
    <t>Schultz Forming Products</t>
  </si>
  <si>
    <t>12 AWG TGGT Wir, High Temperature Wire, UL 5256/5196</t>
  </si>
  <si>
    <t>665825693286</t>
  </si>
  <si>
    <t>Andrew Marko</t>
  </si>
  <si>
    <t>680483355278</t>
  </si>
  <si>
    <t>Jamie Stokesberry</t>
  </si>
  <si>
    <t xml:space="preserve">	665645046512</t>
  </si>
  <si>
    <t>Billy Haendiges</t>
  </si>
  <si>
    <t>680483355290</t>
  </si>
  <si>
    <t>Kevin Findley</t>
  </si>
  <si>
    <t>12/9 SOOW</t>
  </si>
  <si>
    <t>675440100140</t>
  </si>
  <si>
    <t>Marie Loucks</t>
  </si>
  <si>
    <t xml:space="preserve">	680483355326</t>
  </si>
  <si>
    <t>David Riddle</t>
  </si>
  <si>
    <t>14-2 Security Cable Shielded CL3P PVC Insulated UL Type Wire</t>
  </si>
  <si>
    <t>666840323760</t>
  </si>
  <si>
    <t>Luken Electric</t>
  </si>
  <si>
    <t>12 Solid Bare Copper Wire</t>
  </si>
  <si>
    <t>GalWein</t>
  </si>
  <si>
    <t>Delivered 06.17.16</t>
  </si>
  <si>
    <t>Joel Globus</t>
  </si>
  <si>
    <t xml:space="preserve">	680483355360</t>
  </si>
  <si>
    <t>info@globuselectric.com</t>
  </si>
  <si>
    <t>Michael Grass</t>
  </si>
  <si>
    <t>18/3 VNTC PVC JACKET COPPER SHIELDED</t>
  </si>
  <si>
    <t xml:space="preserve">	616712873896</t>
  </si>
  <si>
    <t>mike@wrrs.com</t>
  </si>
  <si>
    <t>Richard Johnson</t>
  </si>
  <si>
    <t>12/3 W/GRND Flat Submersible Pump Cable</t>
  </si>
  <si>
    <t>680483355495</t>
  </si>
  <si>
    <t>$30 Product total</t>
  </si>
  <si>
    <t>rjohnson@rolfeindustries.com</t>
  </si>
  <si>
    <t>Splice Kit</t>
  </si>
  <si>
    <t>680483355500</t>
  </si>
  <si>
    <t>Mark Panganiban</t>
  </si>
  <si>
    <t>12/2 Security Cable White 8x 1000</t>
  </si>
  <si>
    <t>1ZV147610347655826, 1ZV147610348498834, 1ZV147610346564444, 1ZA6253X0341154513</t>
  </si>
  <si>
    <t>Dennis McMahon</t>
  </si>
  <si>
    <t>675157526423</t>
  </si>
  <si>
    <t>Steve Marquess</t>
  </si>
  <si>
    <t>16/6 VNTC</t>
  </si>
  <si>
    <t xml:space="preserve">	661091350933</t>
  </si>
  <si>
    <t>680483355359</t>
  </si>
  <si>
    <t>David Jay Keesaer</t>
  </si>
  <si>
    <t xml:space="preserve">	680483355381</t>
  </si>
  <si>
    <t>Iesa Crowe</t>
  </si>
  <si>
    <t xml:space="preserve">	680483355370</t>
  </si>
  <si>
    <t>John Greenfeld</t>
  </si>
  <si>
    <t>19/6 Direct Burial Rodent Resistant PE-39</t>
  </si>
  <si>
    <t>3701954826</t>
  </si>
  <si>
    <t>john@sailsantafe.com / john@psitechnm.com</t>
  </si>
  <si>
    <t>Pat Holiday</t>
  </si>
  <si>
    <t>680483355407</t>
  </si>
  <si>
    <t>patholiday250@gmail.com</t>
  </si>
  <si>
    <t>Wayne Stradford</t>
  </si>
  <si>
    <t>Pratt 1x2000</t>
  </si>
  <si>
    <t>409649191</t>
  </si>
  <si>
    <t>wayne@roguevalleyfirewood.com</t>
  </si>
  <si>
    <t>2 XLP USE AL 3x1000</t>
  </si>
  <si>
    <t xml:space="preserve">	
21384798</t>
  </si>
  <si>
    <t>3002736a</t>
  </si>
  <si>
    <t>Thomas McCarthy</t>
  </si>
  <si>
    <t>680483355392</t>
  </si>
  <si>
    <t>tetw@yahoo.com</t>
  </si>
  <si>
    <t>J3</t>
  </si>
  <si>
    <t>00975398</t>
  </si>
  <si>
    <t>18-2 Low Voltage Stranded Plenum Wire</t>
  </si>
  <si>
    <t>616712873977</t>
  </si>
  <si>
    <t>paid 07.15.2016</t>
  </si>
  <si>
    <t>Robert Warner</t>
  </si>
  <si>
    <t xml:space="preserve">	680483355440</t>
  </si>
  <si>
    <t>cleareye888@icloud.com</t>
  </si>
  <si>
    <t>Brandon Cerecke</t>
  </si>
  <si>
    <t>4/0 Welding Cable Black 4x500</t>
  </si>
  <si>
    <t>5007208943</t>
  </si>
  <si>
    <t>bcerecke@ultraseal-inc.com</t>
  </si>
  <si>
    <t xml:space="preserve">	680483355418</t>
  </si>
  <si>
    <t>Matthew DeGraw</t>
  </si>
  <si>
    <t>#10 AWG Solar Photovoltaic 600V UL 4703</t>
  </si>
  <si>
    <t>653008472608</t>
  </si>
  <si>
    <t>James Holzrichter</t>
  </si>
  <si>
    <t>680483355532</t>
  </si>
  <si>
    <t>Christopher Niessen</t>
  </si>
  <si>
    <t>680483355429</t>
  </si>
  <si>
    <t>Jeff Stovall</t>
  </si>
  <si>
    <t>McMinn</t>
  </si>
  <si>
    <t xml:space="preserve">	680483355430</t>
  </si>
  <si>
    <t>Tom Wisuri</t>
  </si>
  <si>
    <t xml:space="preserve">	680483355451</t>
  </si>
  <si>
    <t>Sixto Gonzales</t>
  </si>
  <si>
    <t>3721205600</t>
  </si>
  <si>
    <t>integrityeng@hotmail.com</t>
  </si>
  <si>
    <t>Rex Zourdos</t>
  </si>
  <si>
    <t xml:space="preserve">	680483355521</t>
  </si>
  <si>
    <t>Rob Taylor</t>
  </si>
  <si>
    <t>3065614672</t>
  </si>
  <si>
    <t>Gerardo Vasquez</t>
  </si>
  <si>
    <t xml:space="preserve">2/0 Welding Cable </t>
  </si>
  <si>
    <t xml:space="preserve">	680483355576</t>
  </si>
  <si>
    <t>R Craig Martin</t>
  </si>
  <si>
    <t xml:space="preserve">	306561465-0</t>
  </si>
  <si>
    <t>Daryl Bailey</t>
  </si>
  <si>
    <t xml:space="preserve">	680483355554</t>
  </si>
  <si>
    <t>John David White</t>
  </si>
  <si>
    <t>Tim McQueen</t>
  </si>
  <si>
    <t xml:space="preserve">	680483355510</t>
  </si>
  <si>
    <t>Kevin Hadley</t>
  </si>
  <si>
    <t xml:space="preserve">	680483355473</t>
  </si>
  <si>
    <t>Rocco Aufiero</t>
  </si>
  <si>
    <t>680483355565</t>
  </si>
  <si>
    <t>David Walker</t>
  </si>
  <si>
    <t xml:space="preserve">	680483355543</t>
  </si>
  <si>
    <t>Auke Verbree</t>
  </si>
  <si>
    <t>88600418</t>
  </si>
  <si>
    <t>Matthew Johnson</t>
  </si>
  <si>
    <t>776578623859</t>
  </si>
  <si>
    <t>Terry Neigel</t>
  </si>
  <si>
    <t>88600414-2</t>
  </si>
  <si>
    <t>Steven Cavazos</t>
  </si>
  <si>
    <t>1Z2XF3870343330544</t>
  </si>
  <si>
    <t>steven.cavazos@gmail.com</t>
  </si>
  <si>
    <t>Sherri Saunders</t>
  </si>
  <si>
    <t>675157526434</t>
  </si>
  <si>
    <t>rivahray@gmail.com</t>
  </si>
  <si>
    <t>#2 THHN BLK STR WIRE</t>
  </si>
  <si>
    <t>25110807</t>
  </si>
  <si>
    <t>250MCM THHN STR BLACK WIRE 4x500</t>
  </si>
  <si>
    <t>#8-19 THHN STR GREEN WIRE</t>
  </si>
  <si>
    <t>#2-19 THHN  MTW GRENN WIRE</t>
  </si>
  <si>
    <t>Steve Worley</t>
  </si>
  <si>
    <t xml:space="preserve">	680483355587</t>
  </si>
  <si>
    <t>Dale Weltch</t>
  </si>
  <si>
    <t>680483355602</t>
  </si>
  <si>
    <t xml:space="preserve">	680483355598</t>
  </si>
  <si>
    <t>David Harrell</t>
  </si>
  <si>
    <t>680483355635</t>
  </si>
  <si>
    <t>Chris Wickard</t>
  </si>
  <si>
    <t>2 DLO Cable</t>
  </si>
  <si>
    <t xml:space="preserve">	661091350966</t>
  </si>
  <si>
    <t>Kathy Glass</t>
  </si>
  <si>
    <t xml:space="preserve">	680483355624</t>
  </si>
  <si>
    <t>Erik Vangeloff</t>
  </si>
  <si>
    <t>16/4 SJOOW 20x1000</t>
  </si>
  <si>
    <t>10490715249</t>
  </si>
  <si>
    <t>14/4 SJOOW 1x1000 1x500</t>
  </si>
  <si>
    <t>18/6 VNTC Shielded</t>
  </si>
  <si>
    <t xml:space="preserve">	616712874013</t>
  </si>
  <si>
    <t>Daniel Hickey</t>
  </si>
  <si>
    <t>Hollins</t>
  </si>
  <si>
    <t xml:space="preserve">	615203208</t>
  </si>
  <si>
    <t>outnumbered1651@gmail.com</t>
  </si>
  <si>
    <t>#2 XLP 7-STRANDED COPPER</t>
  </si>
  <si>
    <t>437777946</t>
  </si>
  <si>
    <t>Jim Schutt</t>
  </si>
  <si>
    <t xml:space="preserve">	680483355668</t>
  </si>
  <si>
    <t>Kevin Harry</t>
  </si>
  <si>
    <t>675157526456</t>
  </si>
  <si>
    <t>doug@kcint.com</t>
  </si>
  <si>
    <t>Audie Patterson</t>
  </si>
  <si>
    <t>16/2 Fire Alarm Cable Solid PVC FPLR PVC Jacketed Wire</t>
  </si>
  <si>
    <t>McNairy</t>
  </si>
  <si>
    <t xml:space="preserve">	1Z19X16R0351880709</t>
  </si>
  <si>
    <t>Robert Grose</t>
  </si>
  <si>
    <t>10/3 UF-B W/GRND 2x 1000</t>
  </si>
  <si>
    <t>Sonya Colliver</t>
  </si>
  <si>
    <t>12/2 UF-B W/GRND 1x 1000</t>
  </si>
  <si>
    <t>776623559820</t>
  </si>
  <si>
    <t>Bill Kanakaris</t>
  </si>
  <si>
    <t>14-4 Security Stranded Shielded PVC Jacket CL3R Wire</t>
  </si>
  <si>
    <t>679301393905</t>
  </si>
  <si>
    <t>Jeff Johnson</t>
  </si>
  <si>
    <t>680483355646</t>
  </si>
  <si>
    <t>Joe Cowan</t>
  </si>
  <si>
    <t>680483355679</t>
  </si>
  <si>
    <t>James Dillman</t>
  </si>
  <si>
    <t>Rockland</t>
  </si>
  <si>
    <t xml:space="preserve">	680483355657</t>
  </si>
  <si>
    <t>Derek Johnson</t>
  </si>
  <si>
    <t xml:space="preserve">	680483355680</t>
  </si>
  <si>
    <t>356246827</t>
  </si>
  <si>
    <t>680483355690</t>
  </si>
  <si>
    <t>paid 08.01.2016</t>
  </si>
  <si>
    <t>Arthur Corona</t>
  </si>
  <si>
    <t>2/0 XLP USE CU</t>
  </si>
  <si>
    <t xml:space="preserve">	680483355705</t>
  </si>
  <si>
    <t>Brent Armstrong</t>
  </si>
  <si>
    <t>594864535</t>
  </si>
  <si>
    <t>Ralph Dill</t>
  </si>
  <si>
    <t>10 DLO 9x500</t>
  </si>
  <si>
    <t>5012567451</t>
  </si>
  <si>
    <t>bsilly1210@gmail.com</t>
  </si>
  <si>
    <t>Nathaniel Walter</t>
  </si>
  <si>
    <t>CI-OS-IC-008 TC-ER OS 16/24 PAIR 600V Overall Shield</t>
  </si>
  <si>
    <t>I596989881</t>
  </si>
  <si>
    <t>weimr@hotmail.com</t>
  </si>
  <si>
    <t>CIIC-SPOS-004 20/12 PAIR</t>
  </si>
  <si>
    <t>680483355716</t>
  </si>
  <si>
    <t>680483355727</t>
  </si>
  <si>
    <t>Nam Trinh</t>
  </si>
  <si>
    <t xml:space="preserve">2/0 THHN GREEN </t>
  </si>
  <si>
    <t>50370698-7</t>
  </si>
  <si>
    <t xml:space="preserve">3/0 THHN GREEN </t>
  </si>
  <si>
    <t>nam@allwestcompany.com</t>
  </si>
  <si>
    <t>8/4 SOOW 1x420 1x991 1x288</t>
  </si>
  <si>
    <t>336915137</t>
  </si>
  <si>
    <t>John Fritschen</t>
  </si>
  <si>
    <t>336915145</t>
  </si>
  <si>
    <t>fritschen57@gmail.com</t>
  </si>
  <si>
    <t>Chris Croce</t>
  </si>
  <si>
    <t>I644679801</t>
  </si>
  <si>
    <t>chris@croce.us</t>
  </si>
  <si>
    <t>Mark Dresslaer</t>
  </si>
  <si>
    <t>4/0 Welding Cable 1x300 1x500</t>
  </si>
  <si>
    <t>760614105</t>
  </si>
  <si>
    <t>mdresslaer@grnwav.com</t>
  </si>
  <si>
    <t>John DeCap</t>
  </si>
  <si>
    <t>680483355750</t>
  </si>
  <si>
    <t>Jean-Ann Lux</t>
  </si>
  <si>
    <t xml:space="preserve">	680483355760</t>
  </si>
  <si>
    <t>12/4 SEOOW</t>
  </si>
  <si>
    <t>680483355782</t>
  </si>
  <si>
    <t>Leona Haiden</t>
  </si>
  <si>
    <t>680483355749</t>
  </si>
  <si>
    <t>William Horner</t>
  </si>
  <si>
    <t>680483355738</t>
  </si>
  <si>
    <t>Dan Patton</t>
  </si>
  <si>
    <t>680483355771</t>
  </si>
  <si>
    <t>David Davis</t>
  </si>
  <si>
    <t xml:space="preserve">	665651737913</t>
  </si>
  <si>
    <t>Matthew Thompson</t>
  </si>
  <si>
    <t>680483355885</t>
  </si>
  <si>
    <t>665651737902</t>
  </si>
  <si>
    <t>Derek Sunnerberg</t>
  </si>
  <si>
    <t>Eric Beernink</t>
  </si>
  <si>
    <t>665651737898</t>
  </si>
  <si>
    <t>Corey Hultberg</t>
  </si>
  <si>
    <t>776595851824</t>
  </si>
  <si>
    <t>Robert Schmatjen</t>
  </si>
  <si>
    <t xml:space="preserve">16/6 SOOW </t>
  </si>
  <si>
    <t>robert.schmatjen@nesassociates.com</t>
  </si>
  <si>
    <t>CUSTOM CO</t>
  </si>
  <si>
    <t>CTBV14464830</t>
  </si>
  <si>
    <t>Nathan Keith Winchester</t>
  </si>
  <si>
    <t xml:space="preserve">776599759254 </t>
  </si>
  <si>
    <t>Kathleen Hamilton</t>
  </si>
  <si>
    <t xml:space="preserve">	665651737924</t>
  </si>
  <si>
    <t>Rocky Oliver</t>
  </si>
  <si>
    <t xml:space="preserve">	680483355793</t>
  </si>
  <si>
    <t>TSPS Corp</t>
  </si>
  <si>
    <t>665651737935</t>
  </si>
  <si>
    <t>A-Z Industries</t>
  </si>
  <si>
    <t>Stephens 1x5000</t>
  </si>
  <si>
    <t>3653246553</t>
  </si>
  <si>
    <t>Dyke 3x2500</t>
  </si>
  <si>
    <t>Notre Dame 2x2500</t>
  </si>
  <si>
    <t>Wofford 2x1000</t>
  </si>
  <si>
    <t>18/2 SJOOW YELLOW 24x250</t>
  </si>
  <si>
    <t>178675030157910
178675030158016
178675030158085</t>
  </si>
  <si>
    <t>Gabrielle Cataldi</t>
  </si>
  <si>
    <t>CUSTOMER PICK UP</t>
  </si>
  <si>
    <t>6/3 MC ALUM COND W/GRND 2x1100</t>
  </si>
  <si>
    <t>25230030</t>
  </si>
  <si>
    <t xml:space="preserve">$40 Cut Charge </t>
  </si>
  <si>
    <t>constantine@megariselectric.com</t>
  </si>
  <si>
    <t>Anthony Kudelycz</t>
  </si>
  <si>
    <t>10 THHN RED 2x500</t>
  </si>
  <si>
    <t>667087296272, 667087296283</t>
  </si>
  <si>
    <t>ak@jljiv.com</t>
  </si>
  <si>
    <t>John Harman</t>
  </si>
  <si>
    <t>CUSTOMER PICKUP</t>
  </si>
  <si>
    <t>john_l_harman@yahoo.com</t>
  </si>
  <si>
    <t>1/0 THHN BLACK STRANDED</t>
  </si>
  <si>
    <t>Delivered via Truck 6.27.16</t>
  </si>
  <si>
    <t>paid 07.19.2016</t>
  </si>
  <si>
    <t>665651737946</t>
  </si>
  <si>
    <t>665651737957</t>
  </si>
  <si>
    <t/>
  </si>
  <si>
    <t>CI-CU-THHN-020 500MCM THHN CU</t>
  </si>
  <si>
    <t>invoice done but not billed</t>
  </si>
  <si>
    <t xml:space="preserve">CI-CU-THHN-014 2/0 THHN CU </t>
  </si>
  <si>
    <t xml:space="preserve">CI-CU-THHN-016 4/0 THHN CU </t>
  </si>
  <si>
    <t>TC-600V-009 2/3 XHHW TC W/GRND</t>
  </si>
  <si>
    <t>TC-600V-010 2/4 XHHW TC W/GRND</t>
  </si>
  <si>
    <t>TC-600V-003 8/3 XHHW TC W/GRND</t>
  </si>
  <si>
    <t>TC-600V-004 8/4 XHHW TC W/GRND</t>
  </si>
  <si>
    <t>PVC1210-005 12/7 XHHW TC</t>
  </si>
  <si>
    <t xml:space="preserve">PVC1210-007 12/12 XHHW TC </t>
  </si>
  <si>
    <t>CI-VFDSDT-004 8/3 VFD W/GRNDS</t>
  </si>
  <si>
    <t>CI-FDC-005 8/4 VFD W/GRNDS</t>
  </si>
  <si>
    <t>CI-PVCTSC12-005 12/7 XHHW TC Shielded</t>
  </si>
  <si>
    <t>CI-PVCTSC12-007 12/12 XHHW TC Shielded</t>
  </si>
  <si>
    <t>CI-PVCTSC14-005 14/7 XHHW TC Shielded</t>
  </si>
  <si>
    <t>CI-PVCTSC14-007 14/12 XHHW TC Shielded</t>
  </si>
  <si>
    <t>PVC1210-014 10/4 XHHW TC</t>
  </si>
  <si>
    <t>CI-PVCTSC10-003 10/4 XHHW TC Shielded</t>
  </si>
  <si>
    <t>12/12 VNTC</t>
  </si>
  <si>
    <t>1Z0455780346990587</t>
  </si>
  <si>
    <t>Alberts Marine Sevice</t>
  </si>
  <si>
    <t>500MCM THHN CU 1x1000</t>
  </si>
  <si>
    <t>308978279</t>
  </si>
  <si>
    <t>albertsmarine@hotmail.com</t>
  </si>
  <si>
    <t>Brent Levinson</t>
  </si>
  <si>
    <t xml:space="preserve">	1Z7238E00360115362</t>
  </si>
  <si>
    <t>Ben Pearson</t>
  </si>
  <si>
    <t>680483355896</t>
  </si>
  <si>
    <t>Randall Willman</t>
  </si>
  <si>
    <t>213029390</t>
  </si>
  <si>
    <t>1/0 Weldig Cable Red</t>
  </si>
  <si>
    <t>Delton Cheramie</t>
  </si>
  <si>
    <t>680483355819</t>
  </si>
  <si>
    <t>18-2 Security STR Shielded Cable Plenum Copper Conductor Wire</t>
  </si>
  <si>
    <t>1Z93Y9A50358992156</t>
  </si>
  <si>
    <t>3002827A</t>
  </si>
  <si>
    <t>680483355808</t>
  </si>
  <si>
    <t>David Everhart</t>
  </si>
  <si>
    <t>665651737979</t>
  </si>
  <si>
    <t>Jennifer Bice</t>
  </si>
  <si>
    <t xml:space="preserve">	680483355874</t>
  </si>
  <si>
    <t>Tony Pernicello</t>
  </si>
  <si>
    <t>680483355863</t>
  </si>
  <si>
    <t>Steven Dawson</t>
  </si>
  <si>
    <t xml:space="preserve">	680483355830</t>
  </si>
  <si>
    <t>George Arispe</t>
  </si>
  <si>
    <t xml:space="preserve">2 THHN COPPER </t>
  </si>
  <si>
    <t>675157526548</t>
  </si>
  <si>
    <t>$25 FREIGHT CHARGE</t>
  </si>
  <si>
    <t xml:space="preserve">	680483355841</t>
  </si>
  <si>
    <t>William Mclaughlin</t>
  </si>
  <si>
    <t>336932124</t>
  </si>
  <si>
    <t>Steven Drovie</t>
  </si>
  <si>
    <t>1Z 256 189 03 4189 3754</t>
  </si>
  <si>
    <t>John Bernard</t>
  </si>
  <si>
    <t xml:space="preserve">	680483355852</t>
  </si>
  <si>
    <t>Derrick Lindsey</t>
  </si>
  <si>
    <t>630512243807</t>
  </si>
  <si>
    <t>David Clinger</t>
  </si>
  <si>
    <t>680483355820</t>
  </si>
  <si>
    <t>Jose Hernandez</t>
  </si>
  <si>
    <t>509751531</t>
  </si>
  <si>
    <t>Pat Hobbs</t>
  </si>
  <si>
    <t>I624844692</t>
  </si>
  <si>
    <t>675157526537</t>
  </si>
  <si>
    <t>Peter Mastracy</t>
  </si>
  <si>
    <t>Wayne</t>
  </si>
  <si>
    <t>665651737968</t>
  </si>
  <si>
    <t>Mack Warsaw</t>
  </si>
  <si>
    <t>Dyke 4x2500</t>
  </si>
  <si>
    <t>356248179</t>
  </si>
  <si>
    <t>Richard Rojas</t>
  </si>
  <si>
    <t>500MCM THHN CU 2x 2500 1x 1600</t>
  </si>
  <si>
    <t>594864546</t>
  </si>
  <si>
    <t>250MCM THHN CU 1x870</t>
  </si>
  <si>
    <t>2/0 THHN CU 1x493</t>
  </si>
  <si>
    <t>Hector Braily</t>
  </si>
  <si>
    <t>009859438703</t>
  </si>
  <si>
    <t>1Z0455780346888297</t>
  </si>
  <si>
    <t>Wayne Ray</t>
  </si>
  <si>
    <t>ORIELE ACSR</t>
  </si>
  <si>
    <t xml:space="preserve">	1Z7238E00360860342</t>
  </si>
  <si>
    <t>wayne.ray@sbdinc.com</t>
  </si>
  <si>
    <t>Stephen Hsieh</t>
  </si>
  <si>
    <t>4/0 THHN CU 1 X 1000 1 X 500</t>
  </si>
  <si>
    <t>308978261</t>
  </si>
  <si>
    <t>stephen_hsieh@hotmail.com</t>
  </si>
  <si>
    <t>1 THHN CU 1 X 500</t>
  </si>
  <si>
    <t>Kelly &amp; Hayes</t>
  </si>
  <si>
    <t>2 XHHW 4 CONDUCTOR TRAY CABLE WG UL TYPE PVC JACKET </t>
  </si>
  <si>
    <t>827142551</t>
  </si>
  <si>
    <t>KATHY@KELLYHAYES.COM</t>
  </si>
  <si>
    <t>Harrison Hydra-Gen</t>
  </si>
  <si>
    <t>8 THHN BLACK 500' SPOOL</t>
  </si>
  <si>
    <t>679093697202</t>
  </si>
  <si>
    <t>paid 08.04.2016</t>
  </si>
  <si>
    <t>12 THHN RED 500' SPOOL</t>
  </si>
  <si>
    <t>679093697213</t>
  </si>
  <si>
    <t>PURCHASING@HARRISONhYDRAGEN.ORG</t>
  </si>
  <si>
    <t>18 TFN BLACK 500' SPOOL</t>
  </si>
  <si>
    <t>669974330875</t>
  </si>
  <si>
    <t>3002851A</t>
  </si>
  <si>
    <t>18 TFN ORANGE 500' SPOOL </t>
  </si>
  <si>
    <t>14GA 2 WIRE CABLE </t>
  </si>
  <si>
    <t>679093697224</t>
  </si>
  <si>
    <t>Matt Bogut</t>
  </si>
  <si>
    <t>RPADRUNNER/DLS</t>
  </si>
  <si>
    <t>336932108</t>
  </si>
  <si>
    <t>George Burger</t>
  </si>
  <si>
    <t>680483356002</t>
  </si>
  <si>
    <t xml:space="preserve">	32539371</t>
  </si>
  <si>
    <t>SEANPAUL.WARNICK@SECA-TUNNEL.COM</t>
  </si>
  <si>
    <t>Gustavo Belgarno</t>
  </si>
  <si>
    <t>Zuzara 2 x 1000</t>
  </si>
  <si>
    <t xml:space="preserve">	0961007708</t>
  </si>
  <si>
    <t xml:space="preserve">Jim Barlow </t>
  </si>
  <si>
    <t>680483356024</t>
  </si>
  <si>
    <t>Jeffrey Lensing</t>
  </si>
  <si>
    <t>10/2 UF-B Copper With Ground</t>
  </si>
  <si>
    <t>675157526592</t>
  </si>
  <si>
    <t>Benny Afuta</t>
  </si>
  <si>
    <t>387471691</t>
  </si>
  <si>
    <t xml:space="preserve">Alan Metcalf </t>
  </si>
  <si>
    <t xml:space="preserve">	680483355977</t>
  </si>
  <si>
    <t>Brian Wauters</t>
  </si>
  <si>
    <t>776625574867</t>
  </si>
  <si>
    <t>Rodrigo Maldonado</t>
  </si>
  <si>
    <t>10/4 SJOOW 2 X 250</t>
  </si>
  <si>
    <t>680483355955, 680483355966</t>
  </si>
  <si>
    <t>Thomas Bowling Jr</t>
  </si>
  <si>
    <t>I624844053</t>
  </si>
  <si>
    <t>Derek Bain</t>
  </si>
  <si>
    <t xml:space="preserve">	680483355900</t>
  </si>
  <si>
    <t>Ralph E. Barga</t>
  </si>
  <si>
    <t>680483356013</t>
  </si>
  <si>
    <t>David Bencinic</t>
  </si>
  <si>
    <t>680483355999</t>
  </si>
  <si>
    <t>Robert Baker</t>
  </si>
  <si>
    <t xml:space="preserve">	680483355944</t>
  </si>
  <si>
    <t>Christopher Lake</t>
  </si>
  <si>
    <t>680483356035</t>
  </si>
  <si>
    <t>David Danes</t>
  </si>
  <si>
    <t>680483355911</t>
  </si>
  <si>
    <t>David A. Moore</t>
  </si>
  <si>
    <t xml:space="preserve">Neritina </t>
  </si>
  <si>
    <t>589503987</t>
  </si>
  <si>
    <t>David Kelly</t>
  </si>
  <si>
    <t xml:space="preserve">	1ZA6253X0340141225</t>
  </si>
  <si>
    <t>AKELLY1@ZOOMINTERNET.NET</t>
  </si>
  <si>
    <t>Kenneth Kerr</t>
  </si>
  <si>
    <t>2/0 Type W 6 X 125</t>
  </si>
  <si>
    <t>253861346-4</t>
  </si>
  <si>
    <t>1/0 Type W 2 X 125</t>
  </si>
  <si>
    <t>KERR_ELECTRIC@HOTMAIL.COM</t>
  </si>
  <si>
    <t>2 Type W 2 X 125</t>
  </si>
  <si>
    <t>665651738004</t>
  </si>
  <si>
    <t>3002871A</t>
  </si>
  <si>
    <t>Melody Lutz</t>
  </si>
  <si>
    <t>680483355988</t>
  </si>
  <si>
    <t>Greg Grebe</t>
  </si>
  <si>
    <t>6/2 Metal Clad W/GRND</t>
  </si>
  <si>
    <t>139648130402151</t>
  </si>
  <si>
    <t>Janet Poyser</t>
  </si>
  <si>
    <t>I400959441</t>
  </si>
  <si>
    <t>Christopher Panetta</t>
  </si>
  <si>
    <t>665651738015</t>
  </si>
  <si>
    <t>Jody Schulteis</t>
  </si>
  <si>
    <t>62484412-5</t>
  </si>
  <si>
    <t>jodyschulteis@gmail.com</t>
  </si>
  <si>
    <t xml:space="preserve">Wofford </t>
  </si>
  <si>
    <t>356248203</t>
  </si>
  <si>
    <t>aj.electric1@icloud.com</t>
  </si>
  <si>
    <t>OLD DOMINON</t>
  </si>
  <si>
    <t>08710683015</t>
  </si>
  <si>
    <t>3002877A</t>
  </si>
  <si>
    <t>Haber Electric Co</t>
  </si>
  <si>
    <t>1/0-3 MC W/GRND 1x 190 1x 175</t>
  </si>
  <si>
    <t>arthur@haberelectric.com</t>
  </si>
  <si>
    <t>Coot Ingram</t>
  </si>
  <si>
    <t>680483356057</t>
  </si>
  <si>
    <t>cootingram@yahoo.com</t>
  </si>
  <si>
    <t>Michael McKerrocher</t>
  </si>
  <si>
    <t>8/2 Twisted THW Pump Wire 1x500</t>
  </si>
  <si>
    <t>2538674504</t>
  </si>
  <si>
    <t>bigmacs@toast.net</t>
  </si>
  <si>
    <t>Tim Connor</t>
  </si>
  <si>
    <t xml:space="preserve">	680483356127</t>
  </si>
  <si>
    <t>Phil Corlett</t>
  </si>
  <si>
    <t xml:space="preserve">	680483356116</t>
  </si>
  <si>
    <t>Jack Rutledge</t>
  </si>
  <si>
    <t>680483356160</t>
  </si>
  <si>
    <t>Justin Pogue</t>
  </si>
  <si>
    <t xml:space="preserve">	680483356068</t>
  </si>
  <si>
    <t>Morris Gilmore</t>
  </si>
  <si>
    <t>I624844161</t>
  </si>
  <si>
    <t>Raymond Stewart</t>
  </si>
  <si>
    <t xml:space="preserve">	680483356090</t>
  </si>
  <si>
    <t>ANCO Equipment LLC</t>
  </si>
  <si>
    <t>680483356105</t>
  </si>
  <si>
    <t>Dung Le</t>
  </si>
  <si>
    <t>6/3 Heavy Duty Flat Double Jacketed Submersible Pump Cable W/GRND</t>
  </si>
  <si>
    <t>680483356150</t>
  </si>
  <si>
    <t>Joseph Shimchick</t>
  </si>
  <si>
    <t xml:space="preserve">	680483356171</t>
  </si>
  <si>
    <t>Jeff Suydam</t>
  </si>
  <si>
    <t>680483356080</t>
  </si>
  <si>
    <t>Jon Adams</t>
  </si>
  <si>
    <t>680483356149</t>
  </si>
  <si>
    <t>James Hanslovan</t>
  </si>
  <si>
    <t xml:space="preserve">	680483356079</t>
  </si>
  <si>
    <t>Jospeh Egan</t>
  </si>
  <si>
    <t>6/3 G-GC 1x2500</t>
  </si>
  <si>
    <t>3080054664</t>
  </si>
  <si>
    <t>jegan@northernconagg.com</t>
  </si>
  <si>
    <t>Erik Holmes</t>
  </si>
  <si>
    <t>10/2 Twisted PVC Submersible Pump Cable W/GRND</t>
  </si>
  <si>
    <t>776631854950</t>
  </si>
  <si>
    <t>18/2 SJOOW</t>
  </si>
  <si>
    <t xml:space="preserve">	680483356296</t>
  </si>
  <si>
    <t>markj@ulsnyc.com</t>
  </si>
  <si>
    <t>Robbie Kiest</t>
  </si>
  <si>
    <t>680483356300</t>
  </si>
  <si>
    <t>robbiek123@gmail.com</t>
  </si>
  <si>
    <t>Hard Chrome Plating Consultants</t>
  </si>
  <si>
    <t>1978654834</t>
  </si>
  <si>
    <t>Gary Larson</t>
  </si>
  <si>
    <t>680483356274</t>
  </si>
  <si>
    <t>Dan Jannette</t>
  </si>
  <si>
    <t xml:space="preserve">	680483356285</t>
  </si>
  <si>
    <t>680483356208</t>
  </si>
  <si>
    <t>680483356311</t>
  </si>
  <si>
    <t xml:space="preserve">	680483356220</t>
  </si>
  <si>
    <t>Paul Gold</t>
  </si>
  <si>
    <t xml:space="preserve">	680483356219</t>
  </si>
  <si>
    <t>Peyton Sheeler</t>
  </si>
  <si>
    <t>Vicki Adams</t>
  </si>
  <si>
    <t xml:space="preserve">	680483356241</t>
  </si>
  <si>
    <t>Oliver Allen</t>
  </si>
  <si>
    <t>12 XHHW STR BLACK</t>
  </si>
  <si>
    <t>679093697485</t>
  </si>
  <si>
    <t>12 XHHW STR RED</t>
  </si>
  <si>
    <t>679093697496</t>
  </si>
  <si>
    <t>William Hammond</t>
  </si>
  <si>
    <t>1Z2XF3870343239117</t>
  </si>
  <si>
    <t>Curt Johnson</t>
  </si>
  <si>
    <t>680483356230</t>
  </si>
  <si>
    <t>Ron Marx</t>
  </si>
  <si>
    <t xml:space="preserve">	680483356263</t>
  </si>
  <si>
    <t>Daniel Roberts</t>
  </si>
  <si>
    <t>680483356252</t>
  </si>
  <si>
    <t>Luis Breton</t>
  </si>
  <si>
    <t>4/0 35KV 100% EPR COPPER</t>
  </si>
  <si>
    <t>I281906703</t>
  </si>
  <si>
    <t>lbreton@powerproductscs.com</t>
  </si>
  <si>
    <t>Larry Ward</t>
  </si>
  <si>
    <t>680483356182</t>
  </si>
  <si>
    <t>Tarik Scarlata</t>
  </si>
  <si>
    <t>680483356414</t>
  </si>
  <si>
    <t>tscarla@excite.com</t>
  </si>
  <si>
    <t>Arend Van De Vosse</t>
  </si>
  <si>
    <t>500MCM 5KV EPR PVC NON SHIELDED</t>
  </si>
  <si>
    <t>1Z6072720447510401</t>
  </si>
  <si>
    <t>arend.vandevosse@exellpower.com</t>
  </si>
  <si>
    <t>Allen Redmond</t>
  </si>
  <si>
    <t>Male + Female 2 Welding Assembled Black White Green Red Blue 50'</t>
  </si>
  <si>
    <t>1Z2561890353661642</t>
  </si>
  <si>
    <t>aredmond@bolla.com</t>
  </si>
  <si>
    <t>Boris  Vardomskiy</t>
  </si>
  <si>
    <t xml:space="preserve">	680483356470</t>
  </si>
  <si>
    <t>boris@oenone.be</t>
  </si>
  <si>
    <t>Peter Gill</t>
  </si>
  <si>
    <t>3065624516</t>
  </si>
  <si>
    <t>peter@kwikspace.com</t>
  </si>
  <si>
    <t>Edson Armstrong</t>
  </si>
  <si>
    <t xml:space="preserve">	680483356333</t>
  </si>
  <si>
    <t>Trent Runyon</t>
  </si>
  <si>
    <t xml:space="preserve">	1ZA6253X0340300857</t>
  </si>
  <si>
    <t xml:space="preserve">	680483356480</t>
  </si>
  <si>
    <t>LED Integrations</t>
  </si>
  <si>
    <t>680483356425</t>
  </si>
  <si>
    <t>Bruce Keeley</t>
  </si>
  <si>
    <t>665651738107</t>
  </si>
  <si>
    <t>John Wood</t>
  </si>
  <si>
    <t>665651738070</t>
  </si>
  <si>
    <t>Mike Silva</t>
  </si>
  <si>
    <t>680483356458</t>
  </si>
  <si>
    <t>Jon Merritt</t>
  </si>
  <si>
    <t xml:space="preserve">	665651738081</t>
  </si>
  <si>
    <t>Whitaker Irvin</t>
  </si>
  <si>
    <t xml:space="preserve">	680483356322</t>
  </si>
  <si>
    <t>Arjen G Van Der Meulen</t>
  </si>
  <si>
    <t xml:space="preserve">	680483356469</t>
  </si>
  <si>
    <t>Armando Reyes</t>
  </si>
  <si>
    <t>680483356344</t>
  </si>
  <si>
    <t>Hannah Quintal</t>
  </si>
  <si>
    <t xml:space="preserve">	665651738140</t>
  </si>
  <si>
    <t>USA Contractors Inc.</t>
  </si>
  <si>
    <t>680483356355, 680483356366</t>
  </si>
  <si>
    <t>Matt Seney</t>
  </si>
  <si>
    <t xml:space="preserve">	665651738060</t>
  </si>
  <si>
    <t>Tony Goodman</t>
  </si>
  <si>
    <t>680483356403</t>
  </si>
  <si>
    <t>Jospeh C Miller</t>
  </si>
  <si>
    <t>Steve Harris</t>
  </si>
  <si>
    <t>680483356561</t>
  </si>
  <si>
    <t>Stephen Crowe</t>
  </si>
  <si>
    <t>639564015460</t>
  </si>
  <si>
    <t>Peter Zendzian</t>
  </si>
  <si>
    <t>1ZA6253X0340557661</t>
  </si>
  <si>
    <t>peter@zzservers.com</t>
  </si>
  <si>
    <t>Brice Graftsrom</t>
  </si>
  <si>
    <t>665651738092</t>
  </si>
  <si>
    <t>Wake Forest 1x13 1x15 1x20 1x25 1x32 1x50 2x70 1x73 1x75 1x83 1x90</t>
  </si>
  <si>
    <t>306565157-3</t>
  </si>
  <si>
    <t>paid 09.23.2016</t>
  </si>
  <si>
    <t xml:space="preserve">Stephens 1X25 1X40 1X2300 </t>
  </si>
  <si>
    <t>Dyke 1x23 2x25 1x30 1x31 2x35 1x39 1x45 1x48 2x50 1x58 1x66 2x2500</t>
  </si>
  <si>
    <t>Vassar 2x25 1x50 1x65 1x78 1x5000</t>
  </si>
  <si>
    <t>2-2-2-4 SER AL 1X20 1X41 1X43 5X1000</t>
  </si>
  <si>
    <t>Brenau 1x47 1x2005 1x2500</t>
  </si>
  <si>
    <t>Notre Dame 1x13 1x35 1x60 1x2500</t>
  </si>
  <si>
    <t xml:space="preserve">Converse 1x19 1x50 1x100 </t>
  </si>
  <si>
    <t>4-4-4-6 SER AL 3x1000</t>
  </si>
  <si>
    <t>Erskine 1x75 1x94 1x5000</t>
  </si>
  <si>
    <t>10/3 SOOW 1x20 1x50 7x250 2x1000</t>
  </si>
  <si>
    <t>Wake Forest 1x2500</t>
  </si>
  <si>
    <t>0841287909</t>
  </si>
  <si>
    <t>3002938A</t>
  </si>
  <si>
    <t>Stephens 2x5000</t>
  </si>
  <si>
    <t>589504221</t>
  </si>
  <si>
    <t>Runcina</t>
  </si>
  <si>
    <t>DOHRN TRANSFER/DLS</t>
  </si>
  <si>
    <t>1218970272</t>
  </si>
  <si>
    <t>3002939A .. we will pick up</t>
  </si>
  <si>
    <t>Don Harmeier</t>
  </si>
  <si>
    <t>donh@aiminet.com</t>
  </si>
  <si>
    <t>Armond Swift</t>
  </si>
  <si>
    <t>680483356377</t>
  </si>
  <si>
    <t>Nicole Saldivar</t>
  </si>
  <si>
    <t>680483356436</t>
  </si>
  <si>
    <t>Gary A Volkert</t>
  </si>
  <si>
    <t xml:space="preserve">10/3 SOOW </t>
  </si>
  <si>
    <t xml:space="preserve">	680483356388</t>
  </si>
  <si>
    <t>David Alton</t>
  </si>
  <si>
    <t>680483356399</t>
  </si>
  <si>
    <t>Eric Perez</t>
  </si>
  <si>
    <t>1/0-1/0-1/0-2 SER AL 1 X 1000 1 X 500</t>
  </si>
  <si>
    <t>IMSA 19-1 20 Cond 14 AWG STR</t>
  </si>
  <si>
    <t>I604367901</t>
  </si>
  <si>
    <t>SME Submersible Motors Inc.</t>
  </si>
  <si>
    <t>250MCM Flat Jacket Pump Cable, 250MCM 3 Wires W/GRND 600V, 75C 2x700</t>
  </si>
  <si>
    <t>14203326666</t>
  </si>
  <si>
    <t>paid 09.30.2016</t>
  </si>
  <si>
    <t>gloria@smeusainc.com</t>
  </si>
  <si>
    <t>Jim Thomas</t>
  </si>
  <si>
    <t>665651738195</t>
  </si>
  <si>
    <t>Benjamin Do</t>
  </si>
  <si>
    <t>639564015508</t>
  </si>
  <si>
    <t>Vladimir Vikluda</t>
  </si>
  <si>
    <t xml:space="preserve">	665651738118</t>
  </si>
  <si>
    <t>Weston Appelfeller</t>
  </si>
  <si>
    <t xml:space="preserve">	665651738151</t>
  </si>
  <si>
    <t>Thomas Carey</t>
  </si>
  <si>
    <t>665651738200</t>
  </si>
  <si>
    <t>Greg Miller</t>
  </si>
  <si>
    <t xml:space="preserve">	665651738129</t>
  </si>
  <si>
    <t>Elizabeth Luong</t>
  </si>
  <si>
    <t>16 AWG Hook Up Wire PTFE Type E MIL-W-16878/4 Silver Plated Copper Extruded PTFE 200C 600V Blue</t>
  </si>
  <si>
    <t>677827024540</t>
  </si>
  <si>
    <t>Tom Stephen</t>
  </si>
  <si>
    <t xml:space="preserve">	665651738130</t>
  </si>
  <si>
    <t>Kelly Jordan</t>
  </si>
  <si>
    <t>3065624505</t>
  </si>
  <si>
    <t>Michael Williams</t>
  </si>
  <si>
    <t>639564015427</t>
  </si>
  <si>
    <t>Gloria Reid</t>
  </si>
  <si>
    <t>6305 1224 3895</t>
  </si>
  <si>
    <t>Jarrett William Johnson</t>
  </si>
  <si>
    <t xml:space="preserve">	665651738173</t>
  </si>
  <si>
    <t>Sean VanDyke</t>
  </si>
  <si>
    <t xml:space="preserve">	665651738184</t>
  </si>
  <si>
    <t>Todd Abblett</t>
  </si>
  <si>
    <t>665651738210</t>
  </si>
  <si>
    <t>Mark Blevins</t>
  </si>
  <si>
    <t>665651738162</t>
  </si>
  <si>
    <t>David Meixner</t>
  </si>
  <si>
    <t>675157526710</t>
  </si>
  <si>
    <t>Gary C Lee</t>
  </si>
  <si>
    <t>675157526721</t>
  </si>
  <si>
    <t>pocoproducts@yahoo.com</t>
  </si>
  <si>
    <t>GOLD COAST</t>
  </si>
  <si>
    <t>DELIVERING 7/12/16</t>
  </si>
  <si>
    <t>William Roth</t>
  </si>
  <si>
    <t>680483356550</t>
  </si>
  <si>
    <t>680483356540</t>
  </si>
  <si>
    <t>AZ Welding Equipment</t>
  </si>
  <si>
    <t xml:space="preserve">	680483356528</t>
  </si>
  <si>
    <t>Michael Hein</t>
  </si>
  <si>
    <t>680483356539</t>
  </si>
  <si>
    <t>we will pick up. $80 CUT CHARGE</t>
  </si>
  <si>
    <t>cm@megariselectric.com</t>
  </si>
  <si>
    <t>John Stallings</t>
  </si>
  <si>
    <t>12/2 W/GRND AL Health Care Facilites Cable</t>
  </si>
  <si>
    <t>YRC FREIGHT</t>
  </si>
  <si>
    <t>4978668808</t>
  </si>
  <si>
    <t>Brian Warwick</t>
  </si>
  <si>
    <t>4978053697</t>
  </si>
  <si>
    <t>Larry Horton</t>
  </si>
  <si>
    <t>2 THHN BLACK</t>
  </si>
  <si>
    <t>676563239060</t>
  </si>
  <si>
    <t>l.horton@icloud.com</t>
  </si>
  <si>
    <t>676563239071</t>
  </si>
  <si>
    <t>Rainbo Supplies &amp; Services</t>
  </si>
  <si>
    <t>THW/Submersible Pump Cable Heavy Duty Flat Jacketed W/GRND 600V Copper Part# 6/3 Flat Pump W/Grnd</t>
  </si>
  <si>
    <t>g.olive@rainbosupplies.com</t>
  </si>
  <si>
    <t>Rajan Govin</t>
  </si>
  <si>
    <t>1ZA6253X0341448714</t>
  </si>
  <si>
    <t>govin@comcast.net</t>
  </si>
  <si>
    <t>William Teppenpaw</t>
  </si>
  <si>
    <t>1Z19X16R0350993161</t>
  </si>
  <si>
    <t>william@fosterelectric.net</t>
  </si>
  <si>
    <t>Peter</t>
  </si>
  <si>
    <t>18/20 SOOW</t>
  </si>
  <si>
    <t>N/A Customer Pick Up</t>
  </si>
  <si>
    <t>Hollis Doucette</t>
  </si>
  <si>
    <t>12/3 NM-B Romex W/GRND</t>
  </si>
  <si>
    <t>675157526776</t>
  </si>
  <si>
    <t>Wayne LaBelle</t>
  </si>
  <si>
    <t>665651738243</t>
  </si>
  <si>
    <t xml:space="preserve">	680483356594</t>
  </si>
  <si>
    <t>Danny Robles</t>
  </si>
  <si>
    <t>6/4 SOOW 1x100 1x200</t>
  </si>
  <si>
    <t>665651738380, 665651738390</t>
  </si>
  <si>
    <t>Patrick Otthofer</t>
  </si>
  <si>
    <t xml:space="preserve">	665651738254</t>
  </si>
  <si>
    <t>Sergio Contreras</t>
  </si>
  <si>
    <t>665651738302</t>
  </si>
  <si>
    <t>Kevin Conlon</t>
  </si>
  <si>
    <t>Marshall</t>
  </si>
  <si>
    <t>665651738346</t>
  </si>
  <si>
    <t>Bill Johnson</t>
  </si>
  <si>
    <t>776678201617</t>
  </si>
  <si>
    <t>Bob Winchester</t>
  </si>
  <si>
    <t>665651738313</t>
  </si>
  <si>
    <t>Howard Kim</t>
  </si>
  <si>
    <t>16-4 Security Stranded Shielded PVC CL3R Copper Conductor Cable</t>
  </si>
  <si>
    <t>976020237195</t>
  </si>
  <si>
    <t>Tammy Ginder</t>
  </si>
  <si>
    <t>665651738368</t>
  </si>
  <si>
    <t>Jim Gatz</t>
  </si>
  <si>
    <t>I686062584</t>
  </si>
  <si>
    <t>Mark McWhorter</t>
  </si>
  <si>
    <t xml:space="preserve">	665651738287</t>
  </si>
  <si>
    <t>Scott Wilck</t>
  </si>
  <si>
    <t xml:space="preserve"> 	665651738335</t>
  </si>
  <si>
    <t>William Fagan</t>
  </si>
  <si>
    <t xml:space="preserve">	665651738379</t>
  </si>
  <si>
    <t>Cynthia Haley</t>
  </si>
  <si>
    <t>665651738276</t>
  </si>
  <si>
    <t>Lizandro Martinez</t>
  </si>
  <si>
    <t>776678313429</t>
  </si>
  <si>
    <t>Kenneth Cangelosi</t>
  </si>
  <si>
    <t>680483356572</t>
  </si>
  <si>
    <t>680483356583</t>
  </si>
  <si>
    <t>Daniel Verhoef</t>
  </si>
  <si>
    <t>3065624531</t>
  </si>
  <si>
    <t>Chris Vinson</t>
  </si>
  <si>
    <t>665651738298</t>
  </si>
  <si>
    <t>1/0-1/0-1/0-2 SER COPPER</t>
  </si>
  <si>
    <t xml:space="preserve">	1Z7238E00359295680</t>
  </si>
  <si>
    <t>Eric Helvie</t>
  </si>
  <si>
    <t>665651738265</t>
  </si>
  <si>
    <t>Wayne McMurtry</t>
  </si>
  <si>
    <t xml:space="preserve">	665651738405</t>
  </si>
  <si>
    <t>Steve Breene</t>
  </si>
  <si>
    <t>2/0 Welding Cable Orange Ultra-Flex</t>
  </si>
  <si>
    <t>776700243170</t>
  </si>
  <si>
    <t>Donnie Smith</t>
  </si>
  <si>
    <t>306564779-3</t>
  </si>
  <si>
    <t>smithdonnie1@msn.com</t>
  </si>
  <si>
    <t>Orestes Hernandez</t>
  </si>
  <si>
    <t>2/3 SOOW</t>
  </si>
  <si>
    <t>665651738357</t>
  </si>
  <si>
    <t>mhernandez6020@yahoo.com</t>
  </si>
  <si>
    <t>Skip Lathem</t>
  </si>
  <si>
    <t>665651738324</t>
  </si>
  <si>
    <t>Ken Drake</t>
  </si>
  <si>
    <t>639564015530</t>
  </si>
  <si>
    <t>Gary Michael Fugitt Jr</t>
  </si>
  <si>
    <t xml:space="preserve">	665651738450</t>
  </si>
  <si>
    <t>John A Rank</t>
  </si>
  <si>
    <t>665651738449</t>
  </si>
  <si>
    <t>Brian Smith</t>
  </si>
  <si>
    <t>665651738460</t>
  </si>
  <si>
    <t>Thomas C Hampton</t>
  </si>
  <si>
    <t>680483356620</t>
  </si>
  <si>
    <t>Ronald Remund</t>
  </si>
  <si>
    <t>1/0 THHN STR COPPER</t>
  </si>
  <si>
    <t>675440111823</t>
  </si>
  <si>
    <t>Charles H Morrow</t>
  </si>
  <si>
    <t xml:space="preserve">	665651738471</t>
  </si>
  <si>
    <t>Joshua White</t>
  </si>
  <si>
    <t xml:space="preserve">	680483356664</t>
  </si>
  <si>
    <t>Gail W Lowder</t>
  </si>
  <si>
    <t>680483356609</t>
  </si>
  <si>
    <t>John Winningham</t>
  </si>
  <si>
    <t xml:space="preserve">	665651738438</t>
  </si>
  <si>
    <t>Claire L McDermott</t>
  </si>
  <si>
    <t xml:space="preserve">	680483356712</t>
  </si>
  <si>
    <t>Dustin Parris</t>
  </si>
  <si>
    <t>680483356686</t>
  </si>
  <si>
    <t>Mary Molnar</t>
  </si>
  <si>
    <t xml:space="preserve">1/0 Welding Cable </t>
  </si>
  <si>
    <t xml:space="preserve">	680483356701</t>
  </si>
  <si>
    <t>Kevin Clark</t>
  </si>
  <si>
    <t>16/3 SJOOW 2x500</t>
  </si>
  <si>
    <t xml:space="preserve">	614697964383, 	614697964394</t>
  </si>
  <si>
    <t>Daniel C Brokhoff</t>
  </si>
  <si>
    <t>680483356790</t>
  </si>
  <si>
    <t>Don Klein</t>
  </si>
  <si>
    <t>521933591</t>
  </si>
  <si>
    <t>Diana Ellis</t>
  </si>
  <si>
    <t>680483356734</t>
  </si>
  <si>
    <t>Denise Thompson</t>
  </si>
  <si>
    <t xml:space="preserve">	680483356610</t>
  </si>
  <si>
    <t>Carolyn Dixon</t>
  </si>
  <si>
    <t xml:space="preserve">	680483356631</t>
  </si>
  <si>
    <t>Tucker Thurman</t>
  </si>
  <si>
    <t>680483356642</t>
  </si>
  <si>
    <t>Lara Lopez</t>
  </si>
  <si>
    <t>16 AWG TFFN/TFN Stranded White 8x500</t>
  </si>
  <si>
    <t>675157526798, 675157526802, 675157526787</t>
  </si>
  <si>
    <t>8 THHN STR GREEN</t>
  </si>
  <si>
    <t>12 THHN STR COPPER</t>
  </si>
  <si>
    <t>676563239884 665651738611</t>
  </si>
  <si>
    <t>10 THHN STR COPPER</t>
  </si>
  <si>
    <t>Adam Zygmunt</t>
  </si>
  <si>
    <t>8/3 Submersible Pump Cable</t>
  </si>
  <si>
    <t>3491445731</t>
  </si>
  <si>
    <t>adamzygmunt82@gmail.com</t>
  </si>
  <si>
    <t>Efren Vasquez</t>
  </si>
  <si>
    <t>3/0-4 Type W</t>
  </si>
  <si>
    <t>371885787</t>
  </si>
  <si>
    <t>eps@equiparser.com</t>
  </si>
  <si>
    <t>I567953379</t>
  </si>
  <si>
    <t>3003027A .. we will pick up</t>
  </si>
  <si>
    <t>3003027A</t>
  </si>
  <si>
    <t>Brian Keel</t>
  </si>
  <si>
    <t>776682673080</t>
  </si>
  <si>
    <t>Dan Links</t>
  </si>
  <si>
    <t xml:space="preserve">	680483356653</t>
  </si>
  <si>
    <t>Damon Moseley</t>
  </si>
  <si>
    <t>616712874403</t>
  </si>
  <si>
    <t xml:space="preserve">$10 Cut charge </t>
  </si>
  <si>
    <t>Michael Noles</t>
  </si>
  <si>
    <t>16-2 Fire Alarm Solid Shielded Plenum Rated FPLP Cable</t>
  </si>
  <si>
    <t xml:space="preserve">	1Z1E1R640342469014</t>
  </si>
  <si>
    <t>Ed Oedzes</t>
  </si>
  <si>
    <t>8/4 SOOW 2X100</t>
  </si>
  <si>
    <t>680483356697</t>
  </si>
  <si>
    <t>Ramon Hashem</t>
  </si>
  <si>
    <t>680483356675</t>
  </si>
  <si>
    <t>Walter Elliman</t>
  </si>
  <si>
    <t>3/3 MC CU</t>
  </si>
  <si>
    <t xml:space="preserve">	1ZA6253X0342384764</t>
  </si>
  <si>
    <t>welliman1@gmail.com</t>
  </si>
  <si>
    <t>Brian Good</t>
  </si>
  <si>
    <t>14/2 Metal Clad Cable Aluminum Armor MC Wire 3x250</t>
  </si>
  <si>
    <t>1Z2XF3870345079957, 1Z2XF3870345468161, 1Z2XF3870343775574</t>
  </si>
  <si>
    <t>bdgintl@gmail.com</t>
  </si>
  <si>
    <t>John M Kord</t>
  </si>
  <si>
    <t>14/4 VNTC k1 color code</t>
  </si>
  <si>
    <t>776736067519</t>
  </si>
  <si>
    <t>679590215570</t>
  </si>
  <si>
    <t>Jennifer Foreman</t>
  </si>
  <si>
    <t>680483356723</t>
  </si>
  <si>
    <t>Brian Kirmse</t>
  </si>
  <si>
    <t>614697964372</t>
  </si>
  <si>
    <t>briankirmse@tsocorp.com</t>
  </si>
  <si>
    <t>Lou Marks &amp; Sons</t>
  </si>
  <si>
    <t>5011953325</t>
  </si>
  <si>
    <t>billed out on 07.08.2016</t>
  </si>
  <si>
    <t>2/3 MC AL W/GRND</t>
  </si>
  <si>
    <t>Dean Stansbury</t>
  </si>
  <si>
    <t xml:space="preserve">4/0 XLP USE-2 RHH RHW-2 CU 1x398 1x412 1x448 </t>
  </si>
  <si>
    <t>hnuenergy@hotmail.com</t>
  </si>
  <si>
    <t>10 AWG UL TYPE USE-2 RHH BLACK 3x 1000</t>
  </si>
  <si>
    <t>1Z5316EX0343391995</t>
  </si>
  <si>
    <t>PAID 08.29.2016</t>
  </si>
  <si>
    <t>10 AWG UL TYPE USE-2 RHH BROWN 3x 1000</t>
  </si>
  <si>
    <t>Joseph Pryor</t>
  </si>
  <si>
    <t>1ZA6253X0341643780</t>
  </si>
  <si>
    <t>joe.pryor@verizon.net</t>
  </si>
  <si>
    <t>Bob Holman</t>
  </si>
  <si>
    <t>675440112072</t>
  </si>
  <si>
    <t>George Behary</t>
  </si>
  <si>
    <t>679093698713</t>
  </si>
  <si>
    <t>Corey Guy</t>
  </si>
  <si>
    <t>679301394338</t>
  </si>
  <si>
    <t>Tom Nelson</t>
  </si>
  <si>
    <t>680483356778</t>
  </si>
  <si>
    <t>Michael Stier</t>
  </si>
  <si>
    <t xml:space="preserve">	680483356756</t>
  </si>
  <si>
    <t>Douglas Schul</t>
  </si>
  <si>
    <t>680483356789</t>
  </si>
  <si>
    <t>Richard Hughes</t>
  </si>
  <si>
    <t>680483356767</t>
  </si>
  <si>
    <t>Ronald Schaefer</t>
  </si>
  <si>
    <t xml:space="preserve">	680483356745</t>
  </si>
  <si>
    <t>Douglas Devidal</t>
  </si>
  <si>
    <t>3065647830</t>
  </si>
  <si>
    <t>devidal@utexas.edu</t>
  </si>
  <si>
    <t>Terry Fortenberry</t>
  </si>
  <si>
    <t>Williamson</t>
  </si>
  <si>
    <t>I567953361</t>
  </si>
  <si>
    <t>Kathy Gregory</t>
  </si>
  <si>
    <t>680483356804</t>
  </si>
  <si>
    <t>David R Zabel</t>
  </si>
  <si>
    <t xml:space="preserve">	680483356815</t>
  </si>
  <si>
    <t>John Perkins</t>
  </si>
  <si>
    <t>639564015585</t>
  </si>
  <si>
    <t>Harry Beck</t>
  </si>
  <si>
    <t>2-2-2-6 MC CABLE AL</t>
  </si>
  <si>
    <t>N/A CUSTOMER PICK UP</t>
  </si>
  <si>
    <t>beckvon@netzero.net</t>
  </si>
  <si>
    <t>4/0-4/0-4/0-2 MC CABLE AL</t>
  </si>
  <si>
    <t>Christine Hall</t>
  </si>
  <si>
    <t>8/2 Twisted Pump W/GRND</t>
  </si>
  <si>
    <t>3491445775</t>
  </si>
  <si>
    <t>toplessmini@sbcglobal.net</t>
  </si>
  <si>
    <t>RL Oneal</t>
  </si>
  <si>
    <t xml:space="preserve">	680483356837</t>
  </si>
  <si>
    <t>Glenn A Clever</t>
  </si>
  <si>
    <t>665651738508</t>
  </si>
  <si>
    <t>4/0-3 SER AL 1x740 1x460</t>
  </si>
  <si>
    <t>799041901</t>
  </si>
  <si>
    <t>4/0-4 SER AL W/GRND</t>
  </si>
  <si>
    <t>John Dickson</t>
  </si>
  <si>
    <t>680483356860</t>
  </si>
  <si>
    <t>Fred Forsythe</t>
  </si>
  <si>
    <t>680483356892</t>
  </si>
  <si>
    <t>Bert Wacaser</t>
  </si>
  <si>
    <t>680483356826</t>
  </si>
  <si>
    <t>Mark Rains</t>
  </si>
  <si>
    <t xml:space="preserve">	680483356881</t>
  </si>
  <si>
    <t>David Smith</t>
  </si>
  <si>
    <t>680483356870</t>
  </si>
  <si>
    <t>Ritchard Baker</t>
  </si>
  <si>
    <t>675157526993</t>
  </si>
  <si>
    <t>Justin Peck</t>
  </si>
  <si>
    <t>Maury</t>
  </si>
  <si>
    <t>680483356918</t>
  </si>
  <si>
    <t>John Fisk</t>
  </si>
  <si>
    <t xml:space="preserve">	680483356848</t>
  </si>
  <si>
    <t>Timothy Hillard</t>
  </si>
  <si>
    <t>680483356859</t>
  </si>
  <si>
    <t>Joanne Eppers</t>
  </si>
  <si>
    <t>680483356907</t>
  </si>
  <si>
    <t>Leonard Gabbard</t>
  </si>
  <si>
    <t>679590215754</t>
  </si>
  <si>
    <t>leonard@jlsnwa.com</t>
  </si>
  <si>
    <t>Michael Smith</t>
  </si>
  <si>
    <t>5011115836</t>
  </si>
  <si>
    <t>smithshipyard@verizon.net</t>
  </si>
  <si>
    <t>Averitt</t>
  </si>
  <si>
    <t>ELIZABETHS@GRIDEHILLMARINA.COM</t>
  </si>
  <si>
    <t>Frank Gillitzer</t>
  </si>
  <si>
    <t>665651738519</t>
  </si>
  <si>
    <t>12/3 MC STR W/GRND 3x1000 2x960 1x962 1x918</t>
  </si>
  <si>
    <t>352831069</t>
  </si>
  <si>
    <t>12/3 MC STEEL W/GRND 1x250 1x500</t>
  </si>
  <si>
    <t>CI-CU-THHN-020 500MCM THHN CU 1x 150</t>
  </si>
  <si>
    <t xml:space="preserve">Republic </t>
  </si>
  <si>
    <t>shipping 7.15.2016</t>
  </si>
  <si>
    <t>456-585124
 </t>
  </si>
  <si>
    <t>invoice done but not billed. $60 cutting charge</t>
  </si>
  <si>
    <t>CI-CU-THHN-014 2/0 THHN CU 1x 1100</t>
  </si>
  <si>
    <t>456-585124</t>
  </si>
  <si>
    <t>paid 07.14.2016</t>
  </si>
  <si>
    <t>CI-CU-THHN-016 4/0 THHN CU 9x 1000 1x 600</t>
  </si>
  <si>
    <t xml:space="preserve">456-585124
 </t>
  </si>
  <si>
    <t>TC-600V-009 2/3 XHHW TC W/GRND 1x 180</t>
  </si>
  <si>
    <t>shipping 7.20..2016</t>
  </si>
  <si>
    <t>OLD Dominion</t>
  </si>
  <si>
    <t>3003078A</t>
  </si>
  <si>
    <t>TC-600V-010 2/4 XHHW TC W/GRND 1x 250</t>
  </si>
  <si>
    <t>TC-600V-003 8/3 XHHW TC W/GRND 8x 1000 1x 500</t>
  </si>
  <si>
    <t>TC-600V-004 8/4 XHHW TC W/GRND 23x 1000</t>
  </si>
  <si>
    <t>8000' shipping 7.21 balance shipping 7.28</t>
  </si>
  <si>
    <t>PVC1210-005 12/7 XHHW TC 20x 1000</t>
  </si>
  <si>
    <t>14000' shipping 7.21 balance shipping 7.25</t>
  </si>
  <si>
    <t>10418355243 ( shipment 2)</t>
  </si>
  <si>
    <t>PVC1210-007 12/12 XHHW TC 4x 1000 1x 500</t>
  </si>
  <si>
    <t>CI-VFDSDT-004 8/3 VFD W/GRNDS 5x 1000</t>
  </si>
  <si>
    <t>CI-FDC-005 8/4 VFD W/GRNDS 7x 1000 1x 500</t>
  </si>
  <si>
    <t>Shipping 7.14.2016</t>
  </si>
  <si>
    <t>CENTRAL/OLD DOMINION</t>
  </si>
  <si>
    <t>767403959/16202341240 &amp; 	08710683270</t>
  </si>
  <si>
    <t>3003078D</t>
  </si>
  <si>
    <t>CI-PVCTSC12-005 12/7 XHHW TC 6-2507-SH Shielded 1x 5300</t>
  </si>
  <si>
    <t>Need Test Reports, COC, And any other quality certificates pertaining to cable   3003078C</t>
  </si>
  <si>
    <t>CI-PVCTSC12-007 12/12 XHHW TC Shielded 6-2512-SH 1x 3500</t>
  </si>
  <si>
    <t>shipped 7.22.2016</t>
  </si>
  <si>
    <t>320-034083  </t>
  </si>
  <si>
    <t>3003078C</t>
  </si>
  <si>
    <t>CI-PVCTSC14-005 14/7 XHHW TC Shielded 6-2457-SH 1x 4680 1x 4650</t>
  </si>
  <si>
    <t>CI-PVCTSC14-007 14/12 XHHW TC Shielded 6-2462-SH 4x 2500 1x 2000</t>
  </si>
  <si>
    <t xml:space="preserve"> 856948013
</t>
  </si>
  <si>
    <t>PVC1210-014 10/4 XHHW TC 1x 650</t>
  </si>
  <si>
    <t>CI-PVCTSC10-003 10/4 XHHW TC Shielded 1x 1300</t>
  </si>
  <si>
    <t>Scott Sargeant</t>
  </si>
  <si>
    <t>25182365</t>
  </si>
  <si>
    <t>ssargele@aol.com</t>
  </si>
  <si>
    <t>32539496</t>
  </si>
  <si>
    <t>3003079A</t>
  </si>
  <si>
    <t>373 DLO</t>
  </si>
  <si>
    <t xml:space="preserve">	616712874517</t>
  </si>
  <si>
    <t>313 DLO</t>
  </si>
  <si>
    <t>616712874528</t>
  </si>
  <si>
    <t>680483356929</t>
  </si>
  <si>
    <t>bill@therenogenerator.com</t>
  </si>
  <si>
    <t>Vern Jaeschke</t>
  </si>
  <si>
    <t>680483356995</t>
  </si>
  <si>
    <t>Ricky Daugherty</t>
  </si>
  <si>
    <t xml:space="preserve">	680483356930</t>
  </si>
  <si>
    <t>Cari Tasin</t>
  </si>
  <si>
    <t>680483356984</t>
  </si>
  <si>
    <t>Gregory Cox</t>
  </si>
  <si>
    <t>680483356940</t>
  </si>
  <si>
    <t>Rich Hudson</t>
  </si>
  <si>
    <t>679093699400</t>
  </si>
  <si>
    <t xml:space="preserve">	680483357031</t>
  </si>
  <si>
    <t>3003086A</t>
  </si>
  <si>
    <t>Roman Muzikant</t>
  </si>
  <si>
    <t>665651738541</t>
  </si>
  <si>
    <t>Paul Manchester</t>
  </si>
  <si>
    <t>680483357009</t>
  </si>
  <si>
    <t>James Zittrouer</t>
  </si>
  <si>
    <t xml:space="preserve">	680483357042</t>
  </si>
  <si>
    <t>Omega Construction Services</t>
  </si>
  <si>
    <t>680483357064</t>
  </si>
  <si>
    <t>680483357075</t>
  </si>
  <si>
    <t>Brian McCurrie</t>
  </si>
  <si>
    <t>680483356973</t>
  </si>
  <si>
    <t>Steve Kaylor</t>
  </si>
  <si>
    <t xml:space="preserve">	680483357020</t>
  </si>
  <si>
    <t>Tracy Specht</t>
  </si>
  <si>
    <t>642286528044</t>
  </si>
  <si>
    <t>James Cook</t>
  </si>
  <si>
    <t>665651738552</t>
  </si>
  <si>
    <t>Bryan Cairns</t>
  </si>
  <si>
    <t>675157527062</t>
  </si>
  <si>
    <t>Robert Brownlow</t>
  </si>
  <si>
    <t xml:space="preserve">	680483357086</t>
  </si>
  <si>
    <t>Charlie Gates</t>
  </si>
  <si>
    <t>639564015611</t>
  </si>
  <si>
    <t>Jorge Gonzalez</t>
  </si>
  <si>
    <t>4 AWG Hook Up Wire AWM MTW TEW UL 1283/1232/1015</t>
  </si>
  <si>
    <t>667087300577</t>
  </si>
  <si>
    <t>Craig Worobey</t>
  </si>
  <si>
    <t>Gary H King</t>
  </si>
  <si>
    <t>642286528055</t>
  </si>
  <si>
    <t>Luke Manning</t>
  </si>
  <si>
    <t>630512243998</t>
  </si>
  <si>
    <t>Darrell Burson</t>
  </si>
  <si>
    <t>680483357010</t>
  </si>
  <si>
    <t>Bonnie Suh</t>
  </si>
  <si>
    <t>665651738563</t>
  </si>
  <si>
    <t>Al Gore</t>
  </si>
  <si>
    <t xml:space="preserve">	680483356962</t>
  </si>
  <si>
    <t>639794968802</t>
  </si>
  <si>
    <t>3003104A</t>
  </si>
  <si>
    <t>Ricky W Holloway</t>
  </si>
  <si>
    <t>680483357053</t>
  </si>
  <si>
    <t>drrwholloway@yahoo.com</t>
  </si>
  <si>
    <t>Joshua Gamble</t>
  </si>
  <si>
    <t>405-615560</t>
  </si>
  <si>
    <t>nett2014.1609@gmail.com</t>
  </si>
  <si>
    <t>Caleb Hofseth</t>
  </si>
  <si>
    <t xml:space="preserve">	614697964512</t>
  </si>
  <si>
    <t>hofsethc@gmail.com</t>
  </si>
  <si>
    <t>342394738</t>
  </si>
  <si>
    <t>408082857</t>
  </si>
  <si>
    <t>3003108A</t>
  </si>
  <si>
    <t>14 THHN RED 2x500 (11 in spool diameter)</t>
  </si>
  <si>
    <t>690869915441</t>
  </si>
  <si>
    <t>3003108B</t>
  </si>
  <si>
    <t>18 TFFN YELLOW 1x500</t>
  </si>
  <si>
    <t>669974331518</t>
  </si>
  <si>
    <t>3003108C</t>
  </si>
  <si>
    <t>10/4 VNTC Black, Red, White, Green</t>
  </si>
  <si>
    <t>James Bocell</t>
  </si>
  <si>
    <t>I686062719</t>
  </si>
  <si>
    <t>bo@dealfirst.com</t>
  </si>
  <si>
    <t>John Dally</t>
  </si>
  <si>
    <t>665651738596</t>
  </si>
  <si>
    <t>202jdj@gmail.com</t>
  </si>
  <si>
    <t>Splice Kit Heat Shrink</t>
  </si>
  <si>
    <t>4/0-3 SER AL W/GRND 1x480 1x590</t>
  </si>
  <si>
    <t>5280281858</t>
  </si>
  <si>
    <t>Michael Wysolmerski</t>
  </si>
  <si>
    <t>10/26 SOOW</t>
  </si>
  <si>
    <t xml:space="preserve">	2611669233</t>
  </si>
  <si>
    <t>michael@artisticconceptsgroup.com</t>
  </si>
  <si>
    <t>Raymond Carlson</t>
  </si>
  <si>
    <t>680483357156</t>
  </si>
  <si>
    <t>Chelsea Stebbins</t>
  </si>
  <si>
    <t>630512244001</t>
  </si>
  <si>
    <t>Glenn Landry</t>
  </si>
  <si>
    <t>665651738600</t>
  </si>
  <si>
    <t>Tim Burkey</t>
  </si>
  <si>
    <t>4/3 Type G-GC Round Portable Power &amp; Mining Cable 2000V Wire 2X50</t>
  </si>
  <si>
    <t>1Z9X760X0361995560</t>
  </si>
  <si>
    <t>Ting Wang</t>
  </si>
  <si>
    <t>680483357123</t>
  </si>
  <si>
    <t>Paul Keys</t>
  </si>
  <si>
    <t>336933189</t>
  </si>
  <si>
    <t>Gene Wood</t>
  </si>
  <si>
    <t>Raven</t>
  </si>
  <si>
    <t xml:space="preserve">	887908903</t>
  </si>
  <si>
    <t>Kyle Matta</t>
  </si>
  <si>
    <t>14/5 VNTC 2x250</t>
  </si>
  <si>
    <t>info@elitesmarthome.com</t>
  </si>
  <si>
    <t>Will Keene</t>
  </si>
  <si>
    <t xml:space="preserve">	1ZA6253X0341682836</t>
  </si>
  <si>
    <t>steven@edsonintl.com</t>
  </si>
  <si>
    <t>Robert Gleich</t>
  </si>
  <si>
    <t>3065647955</t>
  </si>
  <si>
    <t>Mark Thompson</t>
  </si>
  <si>
    <t>8/4 SOOW 3x100</t>
  </si>
  <si>
    <t>680483357097, 680483357101, 680483357112</t>
  </si>
  <si>
    <t>JP Osnes</t>
  </si>
  <si>
    <t>665651738585</t>
  </si>
  <si>
    <t>George Pohl</t>
  </si>
  <si>
    <t>I686062692</t>
  </si>
  <si>
    <t>Robert Redman</t>
  </si>
  <si>
    <t>680483357167</t>
  </si>
  <si>
    <t>Malachi Duffy</t>
  </si>
  <si>
    <t>680483357134</t>
  </si>
  <si>
    <t>Renny Hollingsworth</t>
  </si>
  <si>
    <t>680483357145</t>
  </si>
  <si>
    <t>GE International Inc</t>
  </si>
  <si>
    <t>SIS 4 AWG BLACK WIRE</t>
  </si>
  <si>
    <t>ADP</t>
  </si>
  <si>
    <t>206564031</t>
  </si>
  <si>
    <t>paid 09.19.2016</t>
  </si>
  <si>
    <t>elisa.velasco@ge.com</t>
  </si>
  <si>
    <t>SIS 4 AWG RED WIRE</t>
  </si>
  <si>
    <t>shipping 7/22/16</t>
  </si>
  <si>
    <t>Tim McDonald</t>
  </si>
  <si>
    <t>5014094458</t>
  </si>
  <si>
    <t>Tim.McDonald@net-com.com</t>
  </si>
  <si>
    <t xml:space="preserve">	680993423361</t>
  </si>
  <si>
    <t>3003130A</t>
  </si>
  <si>
    <t>James Figuerdo</t>
  </si>
  <si>
    <t>6/3 MC W/GRND GREEN GRND PVC JACKET 2x2500</t>
  </si>
  <si>
    <t>due 7/31/2016</t>
  </si>
  <si>
    <t>8/3 MC W/GRND GREEN GRND PVC JACKET</t>
  </si>
  <si>
    <t>320-034013</t>
  </si>
  <si>
    <t>250/3 GG-C CABLE</t>
  </si>
  <si>
    <t xml:space="preserve">YRC </t>
  </si>
  <si>
    <t>449-311-961-x</t>
  </si>
  <si>
    <t>Ron Turner</t>
  </si>
  <si>
    <t>2 AWG Jumper Exciter Transformer</t>
  </si>
  <si>
    <t>569657069840</t>
  </si>
  <si>
    <t>ron.turner@flxgrp.com</t>
  </si>
  <si>
    <t>Eric Steinberg</t>
  </si>
  <si>
    <t>0153823886</t>
  </si>
  <si>
    <t>accounting@midwayps.com</t>
  </si>
  <si>
    <t>4/3 MC ALUM CONDS W/GRND</t>
  </si>
  <si>
    <t xml:space="preserve">	918632936</t>
  </si>
  <si>
    <t>680483357178</t>
  </si>
  <si>
    <t>Mark Ubil</t>
  </si>
  <si>
    <t>665651738633</t>
  </si>
  <si>
    <t>Mitchell Rugani</t>
  </si>
  <si>
    <t xml:space="preserve">
</t>
  </si>
  <si>
    <t>2538610340</t>
  </si>
  <si>
    <t>Dan Reed</t>
  </si>
  <si>
    <t>2/0 DLO Cable</t>
  </si>
  <si>
    <t xml:space="preserve">	663910433054</t>
  </si>
  <si>
    <t>Tom Cauthen</t>
  </si>
  <si>
    <t>YRC/ECHO</t>
  </si>
  <si>
    <t xml:space="preserve">	4970704707</t>
  </si>
  <si>
    <t>Csaba Farkas</t>
  </si>
  <si>
    <t>680483357190</t>
  </si>
  <si>
    <t>Warren P Miller</t>
  </si>
  <si>
    <t>680483357215, 680483357226</t>
  </si>
  <si>
    <t>Franckerson Myrtil</t>
  </si>
  <si>
    <t>665651738644</t>
  </si>
  <si>
    <t>Bobby Banks</t>
  </si>
  <si>
    <t>680483357237</t>
  </si>
  <si>
    <t>Iwona Paluszek</t>
  </si>
  <si>
    <t>14/3 VNTC Shielded</t>
  </si>
  <si>
    <t xml:space="preserve"> 679093699683</t>
  </si>
  <si>
    <t>Richard A Caley</t>
  </si>
  <si>
    <t>6/2 Metal Clad MC Cable Alum Clad STR</t>
  </si>
  <si>
    <t>139648130403363</t>
  </si>
  <si>
    <t>Trish Sheridan</t>
  </si>
  <si>
    <t>680483357204</t>
  </si>
  <si>
    <t>Aaron Clough</t>
  </si>
  <si>
    <t>680483357189</t>
  </si>
  <si>
    <t>Yuri Jelokov</t>
  </si>
  <si>
    <t>665651738655</t>
  </si>
  <si>
    <t>USCG Academy</t>
  </si>
  <si>
    <t>8/3 Type G-GC W/GRND</t>
  </si>
  <si>
    <t>47680626</t>
  </si>
  <si>
    <t>paid 08.09.2016</t>
  </si>
  <si>
    <t>cscall@fincen.uscg.mil</t>
  </si>
  <si>
    <t>8/4 Type G</t>
  </si>
  <si>
    <t>40095945-9</t>
  </si>
  <si>
    <t>paid 08.15.2016</t>
  </si>
  <si>
    <t>Elizabeth Groves</t>
  </si>
  <si>
    <t>675157527202</t>
  </si>
  <si>
    <t>grovee2007@aol.com</t>
  </si>
  <si>
    <t>Arturo Gomez</t>
  </si>
  <si>
    <t xml:space="preserve"> 	665651738677</t>
  </si>
  <si>
    <t>Leo Grate</t>
  </si>
  <si>
    <t>665651738688</t>
  </si>
  <si>
    <t>Wayne Beauregard</t>
  </si>
  <si>
    <t>297-0609367</t>
  </si>
  <si>
    <t>680483357281</t>
  </si>
  <si>
    <t>18/5 Thermostat Cable</t>
  </si>
  <si>
    <t>569657069987</t>
  </si>
  <si>
    <t>Trevor Brooks</t>
  </si>
  <si>
    <t>680483357270</t>
  </si>
  <si>
    <t xml:space="preserve">	616712874734</t>
  </si>
  <si>
    <t>Scott A Schallitz</t>
  </si>
  <si>
    <t xml:space="preserve">	680483357260</t>
  </si>
  <si>
    <t>Craig Capron</t>
  </si>
  <si>
    <t>3720047284</t>
  </si>
  <si>
    <t>Chad Picknell</t>
  </si>
  <si>
    <t>680483357248</t>
  </si>
  <si>
    <t>Ishtiaq Khan</t>
  </si>
  <si>
    <t>10/3 SOOW 2x250</t>
  </si>
  <si>
    <t>885282426</t>
  </si>
  <si>
    <t>Jason Skoglund</t>
  </si>
  <si>
    <t>680483357292, 680483357307</t>
  </si>
  <si>
    <t>The PC Place II Inc.</t>
  </si>
  <si>
    <t>6 AWG XLP USE-2 RHW-2 RHH STR GREEN</t>
  </si>
  <si>
    <t xml:space="preserve">Kris-tech </t>
  </si>
  <si>
    <t>690306363243</t>
  </si>
  <si>
    <t>Joseph Berwick</t>
  </si>
  <si>
    <t>639794968857</t>
  </si>
  <si>
    <t>Nick Labbe</t>
  </si>
  <si>
    <t>680483357259</t>
  </si>
  <si>
    <t>665651738703</t>
  </si>
  <si>
    <t>Stephen Reynolds</t>
  </si>
  <si>
    <t>679093699904</t>
  </si>
  <si>
    <t>Tim Russell</t>
  </si>
  <si>
    <t>Wilson</t>
  </si>
  <si>
    <t xml:space="preserve">	609851514246</t>
  </si>
  <si>
    <t>$10 CUT CHARGE</t>
  </si>
  <si>
    <t>Tommy Ivey</t>
  </si>
  <si>
    <t xml:space="preserve">	343698307</t>
  </si>
  <si>
    <t>CONWAY/ECHO</t>
  </si>
  <si>
    <t>405615604</t>
  </si>
  <si>
    <t>tom@northwindmeasurement.com</t>
  </si>
  <si>
    <t>Alma Olsen</t>
  </si>
  <si>
    <t>3065651680</t>
  </si>
  <si>
    <t>Kody Nance</t>
  </si>
  <si>
    <t>1/0 CLASS M WELDING CABLE</t>
  </si>
  <si>
    <t>760669571</t>
  </si>
  <si>
    <t>nancefab@gmail.com</t>
  </si>
  <si>
    <t>2 CLASS M WELDING CABLE</t>
  </si>
  <si>
    <t>6 CLASS K WELDING CABLE</t>
  </si>
  <si>
    <t>680483357373</t>
  </si>
  <si>
    <t xml:space="preserve">3003173A </t>
  </si>
  <si>
    <t>680483357384</t>
  </si>
  <si>
    <t>3003173A</t>
  </si>
  <si>
    <t>5007139000</t>
  </si>
  <si>
    <t>admin@ohm-racing.com</t>
  </si>
  <si>
    <t>Robert Hines</t>
  </si>
  <si>
    <t>680483357395</t>
  </si>
  <si>
    <t>Brian Burnside</t>
  </si>
  <si>
    <t>680483357400</t>
  </si>
  <si>
    <t>Gregory Wonch</t>
  </si>
  <si>
    <t>680483357318</t>
  </si>
  <si>
    <t>Teddy Moody</t>
  </si>
  <si>
    <t>680483357351</t>
  </si>
  <si>
    <t>Robert Downs</t>
  </si>
  <si>
    <t>680483357330, 680483357340</t>
  </si>
  <si>
    <t>680483357329</t>
  </si>
  <si>
    <t>William Morse</t>
  </si>
  <si>
    <t xml:space="preserve">	680483357362</t>
  </si>
  <si>
    <t>93pcom@gmail.com</t>
  </si>
  <si>
    <t>Mike Palmer</t>
  </si>
  <si>
    <t>4/0-4/0-4/0-2/0 SER AL 2x470 1x640 1x610 1x440 1x420</t>
  </si>
  <si>
    <t>0491938302</t>
  </si>
  <si>
    <t>mpalmer0218@gmail.com</t>
  </si>
  <si>
    <t>4/0-4/0-4/0-4/0-2/0 SER AL 1x400</t>
  </si>
  <si>
    <t>3065651643</t>
  </si>
  <si>
    <t>Fakuudheen</t>
  </si>
  <si>
    <t>CI-CU-EPCPE-002 12 XLP USE EPR CPE</t>
  </si>
  <si>
    <t>669974331665</t>
  </si>
  <si>
    <t>Bert Johnson</t>
  </si>
  <si>
    <t>665651738714</t>
  </si>
  <si>
    <t>Sanborn</t>
  </si>
  <si>
    <t>10/2 Heavy Duty Flat Double Submersible Pump Cable W/GRND</t>
  </si>
  <si>
    <t>354207050-1</t>
  </si>
  <si>
    <t>665651738725</t>
  </si>
  <si>
    <t>brownriggtroy@gmail.com</t>
  </si>
  <si>
    <t>Rene Attias</t>
  </si>
  <si>
    <t>88608116-5</t>
  </si>
  <si>
    <t>rene.attias@gmail.com</t>
  </si>
  <si>
    <t xml:space="preserve">Wrights Fabrication </t>
  </si>
  <si>
    <t>Open </t>
  </si>
  <si>
    <t>Ivan Hochstetler</t>
  </si>
  <si>
    <t>14/50 VNTC</t>
  </si>
  <si>
    <t>679590216235</t>
  </si>
  <si>
    <t>JOHN@SWOODPALLET.COM</t>
  </si>
  <si>
    <t>Robert Swartwood</t>
  </si>
  <si>
    <t>40095946-8</t>
  </si>
  <si>
    <t>John Kieffer</t>
  </si>
  <si>
    <t>665645046637</t>
  </si>
  <si>
    <t>johnkieffer36@gmail.com</t>
  </si>
  <si>
    <t>Jeff Davies</t>
  </si>
  <si>
    <t>6/4 VNTC W/GRND</t>
  </si>
  <si>
    <t>1Z0455780346463389</t>
  </si>
  <si>
    <t>jdroofinga1@msn.com</t>
  </si>
  <si>
    <t>Shenita Toczek</t>
  </si>
  <si>
    <t xml:space="preserve">	665645046567</t>
  </si>
  <si>
    <t>Merwin Stigge</t>
  </si>
  <si>
    <t>665645046578</t>
  </si>
  <si>
    <t>Nicholas Gebhardt</t>
  </si>
  <si>
    <t>665645046556</t>
  </si>
  <si>
    <t>Patriot Sawcutting Inc.</t>
  </si>
  <si>
    <t>6/4 SOOW 4x100</t>
  </si>
  <si>
    <t>I400959477</t>
  </si>
  <si>
    <t>Dave Noack</t>
  </si>
  <si>
    <t>665645046615</t>
  </si>
  <si>
    <t>Johanna Holman</t>
  </si>
  <si>
    <t>665645046589</t>
  </si>
  <si>
    <t>Dave Williams</t>
  </si>
  <si>
    <t xml:space="preserve">	665651738770</t>
  </si>
  <si>
    <t>Christi Wallace</t>
  </si>
  <si>
    <t xml:space="preserve"> 	665651738758</t>
  </si>
  <si>
    <t>665651738828</t>
  </si>
  <si>
    <t xml:space="preserve">	665651738769</t>
  </si>
  <si>
    <t>Randy Rohner</t>
  </si>
  <si>
    <t>Edward Conrad</t>
  </si>
  <si>
    <t>665651738747</t>
  </si>
  <si>
    <t xml:space="preserve">	665651738791</t>
  </si>
  <si>
    <t>Tim Ciesielski</t>
  </si>
  <si>
    <t>665651738780</t>
  </si>
  <si>
    <t>Steve Gosciminski</t>
  </si>
  <si>
    <t>665645046692</t>
  </si>
  <si>
    <t>Gerard Schoonmaker</t>
  </si>
  <si>
    <t xml:space="preserve">	665645046648</t>
  </si>
  <si>
    <t>Todd Mills</t>
  </si>
  <si>
    <t>665645046707, 665645046718</t>
  </si>
  <si>
    <t>Norvin Castillo</t>
  </si>
  <si>
    <t>665651738806</t>
  </si>
  <si>
    <t>Dalton Rodriguez</t>
  </si>
  <si>
    <t>665645046626, 665645046681</t>
  </si>
  <si>
    <t>BILLED TRACKING NUMBERS665645046670, 665645046681</t>
  </si>
  <si>
    <t>Kevin Sugiyama</t>
  </si>
  <si>
    <t>614697964795</t>
  </si>
  <si>
    <t>Duke Cooper</t>
  </si>
  <si>
    <t>665645046626</t>
  </si>
  <si>
    <t>Jon Seaman</t>
  </si>
  <si>
    <t>10/3 SOOW 2x100</t>
  </si>
  <si>
    <t>616712874815, 616712874826</t>
  </si>
  <si>
    <t>Marina Nasman</t>
  </si>
  <si>
    <t>665645046659</t>
  </si>
  <si>
    <t>Richard Folk</t>
  </si>
  <si>
    <t xml:space="preserve">	675692460362</t>
  </si>
  <si>
    <t>Michael Hamilton</t>
  </si>
  <si>
    <t>3065651676</t>
  </si>
  <si>
    <t>Mladen Kljaic</t>
  </si>
  <si>
    <t>665645046660</t>
  </si>
  <si>
    <t>DAVID.S.ALLISON@GMAIL.COM</t>
  </si>
  <si>
    <t xml:space="preserve">	408083012</t>
  </si>
  <si>
    <t>paid 08.29.2016</t>
  </si>
  <si>
    <t>David Allison</t>
  </si>
  <si>
    <t>8 GA THHN RED 2X250FT</t>
  </si>
  <si>
    <t>690869916150</t>
  </si>
  <si>
    <t>8 GA THHN BLK 2X250FT</t>
  </si>
  <si>
    <t>#6 GROUND THHN GREEN 1X250FT</t>
  </si>
  <si>
    <t>690869916161</t>
  </si>
  <si>
    <t>Jordan Carlson</t>
  </si>
  <si>
    <t xml:space="preserve"> 	680483357410</t>
  </si>
  <si>
    <t>Rocco DeLuca</t>
  </si>
  <si>
    <t xml:space="preserve">	680483357421</t>
  </si>
  <si>
    <t>1/0-4 MC AL W/GRND</t>
  </si>
  <si>
    <t>5010585451</t>
  </si>
  <si>
    <t>josef@stone-quest.com</t>
  </si>
  <si>
    <t>James Lipe</t>
  </si>
  <si>
    <t>609851514636</t>
  </si>
  <si>
    <t>jslipe@indy.rr.com</t>
  </si>
  <si>
    <t>Doug Sams</t>
  </si>
  <si>
    <t>3653246800</t>
  </si>
  <si>
    <t>admin@rockinghamholdings.com</t>
  </si>
  <si>
    <t>Wake Forest 3x2500</t>
  </si>
  <si>
    <t>ATS SPECIALIZED</t>
  </si>
  <si>
    <t>3824554</t>
  </si>
  <si>
    <t>johmur@sasktel.net</t>
  </si>
  <si>
    <t>680483357498</t>
  </si>
  <si>
    <t>roman2040@gmail.com</t>
  </si>
  <si>
    <t>680483357502</t>
  </si>
  <si>
    <t>Raymond Barriger</t>
  </si>
  <si>
    <t>Delaware</t>
  </si>
  <si>
    <t xml:space="preserve">	680483357443</t>
  </si>
  <si>
    <t>Aleksandr Itkin</t>
  </si>
  <si>
    <t>18/5 Thermostat Cable 2x250</t>
  </si>
  <si>
    <t>616712874837</t>
  </si>
  <si>
    <t>Jesus Luna</t>
  </si>
  <si>
    <t>680483357557</t>
  </si>
  <si>
    <t>Joy Ziegler</t>
  </si>
  <si>
    <t>680483357535</t>
  </si>
  <si>
    <t>Jim Jacques</t>
  </si>
  <si>
    <t xml:space="preserve">	680483357432</t>
  </si>
  <si>
    <t>Dave Hedding</t>
  </si>
  <si>
    <t>680483357454</t>
  </si>
  <si>
    <t>Joshua Butler</t>
  </si>
  <si>
    <t>680483357650</t>
  </si>
  <si>
    <t>Jarrod Simon</t>
  </si>
  <si>
    <t>680483357524</t>
  </si>
  <si>
    <t>Rocky Wilder</t>
  </si>
  <si>
    <t>642286528147</t>
  </si>
  <si>
    <t>Shirley Boyer</t>
  </si>
  <si>
    <t>675692460498</t>
  </si>
  <si>
    <t>William Stabnow</t>
  </si>
  <si>
    <t>84 SOOW</t>
  </si>
  <si>
    <t>680483357568</t>
  </si>
  <si>
    <t>Timothy Tobin</t>
  </si>
  <si>
    <t xml:space="preserve">	680483357579</t>
  </si>
  <si>
    <t>boss63777@hotmail.com</t>
  </si>
  <si>
    <t>Vincent Morrison</t>
  </si>
  <si>
    <t>1/0-5 Type W</t>
  </si>
  <si>
    <t>janice@vetfast.com</t>
  </si>
  <si>
    <t>Robert P Stewart</t>
  </si>
  <si>
    <t>680483357546</t>
  </si>
  <si>
    <t>680483357476, 680483357487</t>
  </si>
  <si>
    <t>2-2-2-6 ALU MC CABLE</t>
  </si>
  <si>
    <t>CUStomer Pick Up</t>
  </si>
  <si>
    <t>4/0-4/0-4/0-2 ALU MC CABLE</t>
  </si>
  <si>
    <t>4/0-3 VNTC W/GRND</t>
  </si>
  <si>
    <t>532013706</t>
  </si>
  <si>
    <t xml:space="preserve">FEDEX </t>
  </si>
  <si>
    <t>3003243A</t>
  </si>
  <si>
    <t>9612417494124880505587</t>
  </si>
  <si>
    <t>Dan Sikes</t>
  </si>
  <si>
    <t>I644649489</t>
  </si>
  <si>
    <t>John Hancock</t>
  </si>
  <si>
    <t>16/4 SEOOW</t>
  </si>
  <si>
    <t>609851514625</t>
  </si>
  <si>
    <t>jon@enviroteksystems.com</t>
  </si>
  <si>
    <t>Krishna Calliste</t>
  </si>
  <si>
    <t xml:space="preserve">	680483357513</t>
  </si>
  <si>
    <t>Edward Hack</t>
  </si>
  <si>
    <t xml:space="preserve"> 	680483357465</t>
  </si>
  <si>
    <t>Luis Quiroz</t>
  </si>
  <si>
    <t>680483357580</t>
  </si>
  <si>
    <t>Mike Otto</t>
  </si>
  <si>
    <t>675157527235</t>
  </si>
  <si>
    <t>kyriverbound77@yahoo.com</t>
  </si>
  <si>
    <t>Brandyn Pedersen</t>
  </si>
  <si>
    <t>bpedersen11@yahoo.com</t>
  </si>
  <si>
    <t>Randy Fowler</t>
  </si>
  <si>
    <t>randy@fowlerelectric.com</t>
  </si>
  <si>
    <t>Willo Products Company Inc.</t>
  </si>
  <si>
    <t>16/7 VNTC K2 Color Code</t>
  </si>
  <si>
    <t>654016285721</t>
  </si>
  <si>
    <t>3441867446</t>
  </si>
  <si>
    <t>Technics Inc.</t>
  </si>
  <si>
    <t>16/2 VNTC Shielded</t>
  </si>
  <si>
    <t>1ZV147610346483639</t>
  </si>
  <si>
    <t>16/3 VNTC Shielded</t>
  </si>
  <si>
    <t xml:space="preserve">	1ZV147610348797243</t>
  </si>
  <si>
    <t>Ryan Haidle</t>
  </si>
  <si>
    <t xml:space="preserve">	680483357616</t>
  </si>
  <si>
    <t>Scott Vander Dussen</t>
  </si>
  <si>
    <t>3441867435</t>
  </si>
  <si>
    <t>Brad Miller</t>
  </si>
  <si>
    <t>680483357605</t>
  </si>
  <si>
    <t>Harry Carter</t>
  </si>
  <si>
    <t>665651738840</t>
  </si>
  <si>
    <t>Richard Houle</t>
  </si>
  <si>
    <t>680483357627</t>
  </si>
  <si>
    <t>675157527474</t>
  </si>
  <si>
    <t>Steven Essert</t>
  </si>
  <si>
    <t>680483357638</t>
  </si>
  <si>
    <t>Keith Rupp</t>
  </si>
  <si>
    <t>680483357590</t>
  </si>
  <si>
    <t>Bobb Walters</t>
  </si>
  <si>
    <t xml:space="preserve">	680483357649</t>
  </si>
  <si>
    <t>Greg Rottman</t>
  </si>
  <si>
    <t>675157527246</t>
  </si>
  <si>
    <t>665651738850</t>
  </si>
  <si>
    <t>paid 09.06.2016</t>
  </si>
  <si>
    <t>665651738861</t>
  </si>
  <si>
    <t>776807677410</t>
  </si>
  <si>
    <t>3003266A</t>
  </si>
  <si>
    <t>Tyler Shaffer</t>
  </si>
  <si>
    <t>393369588-3</t>
  </si>
  <si>
    <t>tyler.schaffer@graybar.com</t>
  </si>
  <si>
    <t>4/0 Welding Cable 4x 500</t>
  </si>
  <si>
    <t>Eagle Technologies LLC</t>
  </si>
  <si>
    <t>680483357660</t>
  </si>
  <si>
    <t xml:space="preserve">Visa </t>
  </si>
  <si>
    <t>Paul Blank</t>
  </si>
  <si>
    <t>CUSTOMER IS PICKING UP</t>
  </si>
  <si>
    <t>40095948-6</t>
  </si>
  <si>
    <t>Robert A Kish</t>
  </si>
  <si>
    <t>18/8 Thermostat Wire White</t>
  </si>
  <si>
    <t>1ZV147610346196262</t>
  </si>
  <si>
    <t>Esther Satt</t>
  </si>
  <si>
    <t xml:space="preserve">	680483357693</t>
  </si>
  <si>
    <t>Ted Beckwith</t>
  </si>
  <si>
    <t xml:space="preserve">	614697964821</t>
  </si>
  <si>
    <t>tbeckwith79@gmail.com</t>
  </si>
  <si>
    <t>David Cleghorn</t>
  </si>
  <si>
    <t xml:space="preserve">	609851515003</t>
  </si>
  <si>
    <t>davidcleghorn@charter.net</t>
  </si>
  <si>
    <t>14 THHN ORANGE 2x 2500</t>
  </si>
  <si>
    <t>1/3 GGC</t>
  </si>
  <si>
    <t>5011209589</t>
  </si>
  <si>
    <t>Fox Trucking</t>
  </si>
  <si>
    <t>10/4 SOOW 2x500</t>
  </si>
  <si>
    <t>3065651761</t>
  </si>
  <si>
    <t>Keith Gehrman</t>
  </si>
  <si>
    <t xml:space="preserve">	680483357671</t>
  </si>
  <si>
    <t>Scott Neumann</t>
  </si>
  <si>
    <t xml:space="preserve">	680483357682</t>
  </si>
  <si>
    <t>675157527305</t>
  </si>
  <si>
    <t>Brian Giordano</t>
  </si>
  <si>
    <t>675157527257</t>
  </si>
  <si>
    <t>Jim Cox</t>
  </si>
  <si>
    <t>675157527316</t>
  </si>
  <si>
    <t>Intra Corp</t>
  </si>
  <si>
    <t>14 THHN</t>
  </si>
  <si>
    <t>00997779390</t>
  </si>
  <si>
    <t>intracorpsa@gmail.com</t>
  </si>
  <si>
    <t>12 THHN RED</t>
  </si>
  <si>
    <t>12 THHN BLACK</t>
  </si>
  <si>
    <t>927912451</t>
  </si>
  <si>
    <t>3003283A. $22 CUT CHARGE</t>
  </si>
  <si>
    <t>4 THHN BLACK</t>
  </si>
  <si>
    <t>Matt Hoglin</t>
  </si>
  <si>
    <t>609851515183</t>
  </si>
  <si>
    <t>Shawn Clark</t>
  </si>
  <si>
    <t>16/3 VNTC 2x1000</t>
  </si>
  <si>
    <t>679590216566, 679590216577.</t>
  </si>
  <si>
    <t>Richard Schumaker</t>
  </si>
  <si>
    <t>675157527327</t>
  </si>
  <si>
    <t xml:space="preserve">Taylor Smith </t>
  </si>
  <si>
    <t>976020237552</t>
  </si>
  <si>
    <t xml:space="preserve">NY Hoist </t>
  </si>
  <si>
    <t xml:space="preserve">	231560492</t>
  </si>
  <si>
    <t>paid 09.09.2016</t>
  </si>
  <si>
    <t>MMS Rentals &amp; Production</t>
  </si>
  <si>
    <t>680483357719</t>
  </si>
  <si>
    <t>PAULH@MIDWESTMOBILESTAGES.COM</t>
  </si>
  <si>
    <t>680483357720</t>
  </si>
  <si>
    <t>Noble Supply</t>
  </si>
  <si>
    <t>10/3 XHHW TC Lagged</t>
  </si>
  <si>
    <t>shipping 7.29.16</t>
  </si>
  <si>
    <t>paid 09.07.2016</t>
  </si>
  <si>
    <t>535/4 Type P</t>
  </si>
  <si>
    <t>1651028951</t>
  </si>
  <si>
    <t xml:space="preserve">	88730627-2</t>
  </si>
  <si>
    <t>18/3 SOOW 4x250 on reels</t>
  </si>
  <si>
    <t xml:space="preserve">	680483357763</t>
  </si>
  <si>
    <t>Gregory Pedersen</t>
  </si>
  <si>
    <t>1/0 Welding Cable 1x 250 1x 500</t>
  </si>
  <si>
    <t>253861464-3</t>
  </si>
  <si>
    <t>2/0 Welding Cable 1x 500</t>
  </si>
  <si>
    <t>Alvin Paul Barker</t>
  </si>
  <si>
    <t xml:space="preserve">	680483357708</t>
  </si>
  <si>
    <t>Kristi LaVerdure</t>
  </si>
  <si>
    <t>776834605024</t>
  </si>
  <si>
    <t>Tony Koester</t>
  </si>
  <si>
    <t>10 AWG Hook Up Wire AWM MTW TEW UL 1015/1230 - Tin Plated Copper - PVC 105C - 600V - Blue </t>
  </si>
  <si>
    <t>529420206374</t>
  </si>
  <si>
    <t>Tammy Paggen</t>
  </si>
  <si>
    <t>3653246822</t>
  </si>
  <si>
    <t>Jonathan Hines</t>
  </si>
  <si>
    <t>509751828</t>
  </si>
  <si>
    <t>Eugene Simmonds</t>
  </si>
  <si>
    <t>3/0 Type W</t>
  </si>
  <si>
    <t>4107976806</t>
  </si>
  <si>
    <t>$22 CUT CHARGE</t>
  </si>
  <si>
    <t>Steve Frank</t>
  </si>
  <si>
    <t>818725585</t>
  </si>
  <si>
    <t>Kristi Stone</t>
  </si>
  <si>
    <t xml:space="preserve">	680483357752</t>
  </si>
  <si>
    <t>Eric Nations</t>
  </si>
  <si>
    <t xml:space="preserve">	680483357741</t>
  </si>
  <si>
    <t>NATIONS100@SBCGLOBAL.NET</t>
  </si>
  <si>
    <t>Lacey Debuck</t>
  </si>
  <si>
    <t>680483357730</t>
  </si>
  <si>
    <t>Jamile Handal</t>
  </si>
  <si>
    <t>4/0 WELDING CABLE</t>
  </si>
  <si>
    <t>642286528170</t>
  </si>
  <si>
    <t>Quail</t>
  </si>
  <si>
    <t>3741553756</t>
  </si>
  <si>
    <t>David Glazer</t>
  </si>
  <si>
    <t xml:space="preserve">	665651738986</t>
  </si>
  <si>
    <t>David Bushnell</t>
  </si>
  <si>
    <t xml:space="preserve">2 XLP USE CU 1X1200 </t>
  </si>
  <si>
    <t>BENJAMIN BEST/DLS</t>
  </si>
  <si>
    <t>BUSHNELLSURVEY@GMAIL.COM</t>
  </si>
  <si>
    <t>6/4 SOOW Carol Wire Only 4x250</t>
  </si>
  <si>
    <t>9210621600</t>
  </si>
  <si>
    <t>12 THHN RED (11 in spool diameter) 1x500</t>
  </si>
  <si>
    <t>690869916805</t>
  </si>
  <si>
    <t>3003310A</t>
  </si>
  <si>
    <t>Joel Amundson</t>
  </si>
  <si>
    <t xml:space="preserve">	614697964935</t>
  </si>
  <si>
    <t>Vwjoel@gmail.com</t>
  </si>
  <si>
    <t>David Kulp</t>
  </si>
  <si>
    <t>665651738997</t>
  </si>
  <si>
    <t>Tracey Hollingsworth</t>
  </si>
  <si>
    <t xml:space="preserve">	680483357811</t>
  </si>
  <si>
    <t>David Price</t>
  </si>
  <si>
    <t xml:space="preserve">	680483357800</t>
  </si>
  <si>
    <t>Jeffrey Gordon</t>
  </si>
  <si>
    <t xml:space="preserve">	680483357785</t>
  </si>
  <si>
    <t>Matt Casey</t>
  </si>
  <si>
    <t xml:space="preserve">	64465514-1</t>
  </si>
  <si>
    <t>Michael Anthrop</t>
  </si>
  <si>
    <t xml:space="preserve">	680483357833</t>
  </si>
  <si>
    <t>Casey Swiney</t>
  </si>
  <si>
    <t>675157527603</t>
  </si>
  <si>
    <t>Daniel Fox</t>
  </si>
  <si>
    <t xml:space="preserve">	680483357822</t>
  </si>
  <si>
    <t>Thomas Beard</t>
  </si>
  <si>
    <t>5011826269</t>
  </si>
  <si>
    <t>John C Kolb</t>
  </si>
  <si>
    <t xml:space="preserve">	680483357774</t>
  </si>
  <si>
    <t>Mark Wagner</t>
  </si>
  <si>
    <t xml:space="preserve">	665651738953</t>
  </si>
  <si>
    <t>William Stewart</t>
  </si>
  <si>
    <t xml:space="preserve">	609851515460</t>
  </si>
  <si>
    <t>Keven Longton</t>
  </si>
  <si>
    <t xml:space="preserve"> 		665651738975</t>
  </si>
  <si>
    <t>Ashley Boggs</t>
  </si>
  <si>
    <t xml:space="preserve"> 	680483357844</t>
  </si>
  <si>
    <t>Charles Hawkins</t>
  </si>
  <si>
    <t>18-10 PVC Thermostat Cable</t>
  </si>
  <si>
    <t xml:space="preserve">	616712875020</t>
  </si>
  <si>
    <t>Domini Mariano</t>
  </si>
  <si>
    <t>908049083</t>
  </si>
  <si>
    <t>Anna Karakoussis</t>
  </si>
  <si>
    <t>400959495</t>
  </si>
  <si>
    <t>Ronald Shore</t>
  </si>
  <si>
    <t xml:space="preserve">	665651739011</t>
  </si>
  <si>
    <t>Lowell Kempfert</t>
  </si>
  <si>
    <t>14/2 VNTC Shielded 2x500</t>
  </si>
  <si>
    <t>675692460693, 675692460708</t>
  </si>
  <si>
    <t>Monty Johnson</t>
  </si>
  <si>
    <t xml:space="preserve">	665651739022</t>
  </si>
  <si>
    <t>Chris Nichols</t>
  </si>
  <si>
    <t>14/2 Solid Metal Clad MC Cable</t>
  </si>
  <si>
    <t>776842145158</t>
  </si>
  <si>
    <t>Jason Coates</t>
  </si>
  <si>
    <t xml:space="preserve">	665651739055</t>
  </si>
  <si>
    <t>Brandon Kent</t>
  </si>
  <si>
    <t xml:space="preserve">	665651739066</t>
  </si>
  <si>
    <t>Terry Bessinger</t>
  </si>
  <si>
    <t xml:space="preserve">	665651739044</t>
  </si>
  <si>
    <t>Robert Quick</t>
  </si>
  <si>
    <t xml:space="preserve">	665651739033</t>
  </si>
  <si>
    <t>AC Schroeder</t>
  </si>
  <si>
    <t xml:space="preserve">	665651739000</t>
  </si>
  <si>
    <t>Doris Castillo</t>
  </si>
  <si>
    <t>2 THHN COPPER 2x500</t>
  </si>
  <si>
    <t>3243508564</t>
  </si>
  <si>
    <t>James McKenzie</t>
  </si>
  <si>
    <t xml:space="preserve">	616712875010</t>
  </si>
  <si>
    <t>Zulkon Trading FZE</t>
  </si>
  <si>
    <t>2/0 5KV EPR PVC Superior Essex</t>
  </si>
  <si>
    <t>William Schmitt</t>
  </si>
  <si>
    <t>665651738942</t>
  </si>
  <si>
    <t>Neil England</t>
  </si>
  <si>
    <t xml:space="preserve">	680483357855</t>
  </si>
  <si>
    <t xml:space="preserve">	665651738964</t>
  </si>
  <si>
    <t>James Patterson</t>
  </si>
  <si>
    <t>8 XLP USE CU</t>
  </si>
  <si>
    <t>690306363688</t>
  </si>
  <si>
    <t>jimpatterson@elevator1.com</t>
  </si>
  <si>
    <t>Kenneth Werkheiser</t>
  </si>
  <si>
    <t xml:space="preserve">	665651739077</t>
  </si>
  <si>
    <t>m.werkheiser@gmail.com</t>
  </si>
  <si>
    <t>Stuart Hiers</t>
  </si>
  <si>
    <t xml:space="preserve">	665651739103</t>
  </si>
  <si>
    <t>Dave Koedam</t>
  </si>
  <si>
    <t xml:space="preserve">	665651739136</t>
  </si>
  <si>
    <t>koedamus@yahoo.com</t>
  </si>
  <si>
    <t>4/0-3 SER AL W/GRND 1x260 1x420 1x370</t>
  </si>
  <si>
    <t>215673454-3</t>
  </si>
  <si>
    <t>Martin Szczepanski</t>
  </si>
  <si>
    <t>Misprint Rucina 1x4410 1x1000</t>
  </si>
  <si>
    <t>101474721102</t>
  </si>
  <si>
    <t>mszczpnsk@hotmail.com</t>
  </si>
  <si>
    <t>Erik Barnshaw</t>
  </si>
  <si>
    <t>14-2 Solid Rated Fire Alarm FPLP Cable Wire Red Jacket</t>
  </si>
  <si>
    <t>616712875167</t>
  </si>
  <si>
    <t>erik@etbservices.com</t>
  </si>
  <si>
    <t>18-4 Solid Plenum Rated Fire Alarm FPLP Cable Wire Red Jacket 2x500</t>
  </si>
  <si>
    <t>Brady Hebert</t>
  </si>
  <si>
    <t>18/30 SOOW</t>
  </si>
  <si>
    <t>667087305796</t>
  </si>
  <si>
    <t>bhebert@mcclain1.com</t>
  </si>
  <si>
    <t>Charles Praniewicz</t>
  </si>
  <si>
    <t>88426158-7</t>
  </si>
  <si>
    <t>cpraniewicz@primeturbines.com</t>
  </si>
  <si>
    <t>Howard Kammerman</t>
  </si>
  <si>
    <t xml:space="preserve">	665651739114</t>
  </si>
  <si>
    <t>Travis Aycock</t>
  </si>
  <si>
    <t xml:space="preserve">	665651739147</t>
  </si>
  <si>
    <t>Terry Frerichs</t>
  </si>
  <si>
    <t>667087305660</t>
  </si>
  <si>
    <t>Sean Lucas</t>
  </si>
  <si>
    <t>665651739099</t>
  </si>
  <si>
    <t>Jesse Brody</t>
  </si>
  <si>
    <t xml:space="preserve">	665651739125</t>
  </si>
  <si>
    <t>John Emerson</t>
  </si>
  <si>
    <t xml:space="preserve">	1ZA6253X0340799301</t>
  </si>
  <si>
    <t>Robert Fritz</t>
  </si>
  <si>
    <t xml:space="preserve">	665651739088</t>
  </si>
  <si>
    <t>Randy Carraghan</t>
  </si>
  <si>
    <t>1Z0811790371179936</t>
  </si>
  <si>
    <t>Waggoner Fabrication</t>
  </si>
  <si>
    <t>1/0 Welding Cable Red 2x 500</t>
  </si>
  <si>
    <t>32849202</t>
  </si>
  <si>
    <t>Daniel Hernandez Bolano</t>
  </si>
  <si>
    <t>18 AWG TFFN Stranded Purple 10x500</t>
  </si>
  <si>
    <t>675157527636</t>
  </si>
  <si>
    <t>Lily Prieto</t>
  </si>
  <si>
    <t xml:space="preserve">	665651739169</t>
  </si>
  <si>
    <t>Chris Orcutt</t>
  </si>
  <si>
    <t xml:space="preserve">	665651739170</t>
  </si>
  <si>
    <t>300-300-300-4/0 SER AL</t>
  </si>
  <si>
    <t xml:space="preserve">	25182182</t>
  </si>
  <si>
    <t xml:space="preserve">	665651739191</t>
  </si>
  <si>
    <t>3003365A</t>
  </si>
  <si>
    <t>Texasta Inc.</t>
  </si>
  <si>
    <t>665651739158</t>
  </si>
  <si>
    <t>Simon Thirlaway</t>
  </si>
  <si>
    <t xml:space="preserve">	665651739180</t>
  </si>
  <si>
    <t>Bowne Electric</t>
  </si>
  <si>
    <t>8-2 Landscape Lighting Cable</t>
  </si>
  <si>
    <t>will have pro on 8/1</t>
  </si>
  <si>
    <t>David Fletcher</t>
  </si>
  <si>
    <t xml:space="preserve">	665651739206</t>
  </si>
  <si>
    <t>dacowboyss@yahoo.com</t>
  </si>
  <si>
    <t xml:space="preserve">	88362780-4</t>
  </si>
  <si>
    <t>Steve Howe</t>
  </si>
  <si>
    <t>paid $100 deposit + 2215 visa</t>
  </si>
  <si>
    <t>howecontracting16@gmail.com</t>
  </si>
  <si>
    <t>Jeffery Starlin</t>
  </si>
  <si>
    <t>10/4 Festoon Black</t>
  </si>
  <si>
    <t>052767285617011</t>
  </si>
  <si>
    <t>jstarlin@ouc.com</t>
  </si>
  <si>
    <t>Edward Wolven</t>
  </si>
  <si>
    <t>680483358005</t>
  </si>
  <si>
    <t>eewolven@hotmail.com</t>
  </si>
  <si>
    <t>680483357991</t>
  </si>
  <si>
    <t>2 THHN COPPER BLACK</t>
  </si>
  <si>
    <t>delivered 07.29.16</t>
  </si>
  <si>
    <t>no pro</t>
  </si>
  <si>
    <t>paid 08.25.2016</t>
  </si>
  <si>
    <t>Anthony Grebner</t>
  </si>
  <si>
    <t>680483358027</t>
  </si>
  <si>
    <t>616712875156</t>
  </si>
  <si>
    <t>3003375A</t>
  </si>
  <si>
    <t>675157527614</t>
  </si>
  <si>
    <t>robertr19722@gmail.com</t>
  </si>
  <si>
    <t>365324684-4</t>
  </si>
  <si>
    <t>paid 09.12.2016</t>
  </si>
  <si>
    <t>679590216864</t>
  </si>
  <si>
    <t>3003377A</t>
  </si>
  <si>
    <t>Misprint Rucina</t>
  </si>
  <si>
    <t>589504626</t>
  </si>
  <si>
    <t>Mary Ellen Read</t>
  </si>
  <si>
    <t xml:space="preserve">	680483357914, 680483357925</t>
  </si>
  <si>
    <t>Ross Andreassen</t>
  </si>
  <si>
    <t>680483357947</t>
  </si>
  <si>
    <t>Richard Ralston</t>
  </si>
  <si>
    <t xml:space="preserve"> 	665651739228</t>
  </si>
  <si>
    <t>Robert Thompson</t>
  </si>
  <si>
    <t>690869917102</t>
  </si>
  <si>
    <t>William McBurnett</t>
  </si>
  <si>
    <t xml:space="preserve">	680483357958</t>
  </si>
  <si>
    <t>Jeff Peterson</t>
  </si>
  <si>
    <t xml:space="preserve">	680483357903</t>
  </si>
  <si>
    <t>Ernest Dabbs</t>
  </si>
  <si>
    <t>663910433499</t>
  </si>
  <si>
    <t>Eduardo Bacerra</t>
  </si>
  <si>
    <t xml:space="preserve">	680483357936</t>
  </si>
  <si>
    <t>Willem Hartsuiker</t>
  </si>
  <si>
    <t>'	680483358016</t>
  </si>
  <si>
    <t xml:space="preserve">	680483357980</t>
  </si>
  <si>
    <t>Kevin Hayes</t>
  </si>
  <si>
    <t xml:space="preserve">	680483357969</t>
  </si>
  <si>
    <t>Julie Quiller Electric</t>
  </si>
  <si>
    <t>18/7 VNTC Shielded</t>
  </si>
  <si>
    <t>666426174727</t>
  </si>
  <si>
    <t>Willis Vance</t>
  </si>
  <si>
    <t>10 AWG Lead Wire Type TGGT UL 5256 - Nickel Coated Copper - TFE Tape Wrap 250C 600V Natural</t>
  </si>
  <si>
    <t>677827042907</t>
  </si>
  <si>
    <t>Mike Hayes</t>
  </si>
  <si>
    <t>Vassar 1x1100 1x1200</t>
  </si>
  <si>
    <t>0272131709</t>
  </si>
  <si>
    <t>rhayes19534u@yahoo.com</t>
  </si>
  <si>
    <t>Erskine 1x1100 1x1500 1x2300</t>
  </si>
  <si>
    <t>Jospeh Hui</t>
  </si>
  <si>
    <t>675157527669</t>
  </si>
  <si>
    <t>Rick Kennedy</t>
  </si>
  <si>
    <t xml:space="preserve">	680483357970</t>
  </si>
  <si>
    <t>Peter Wilson</t>
  </si>
  <si>
    <t xml:space="preserve">	680483358038</t>
  </si>
  <si>
    <t>peter.wilson@cottonhillsfarm.com</t>
  </si>
  <si>
    <t>1/0-1/0-1/0-2 SER AL 1x1000 1x500</t>
  </si>
  <si>
    <t>Melesio Sosa</t>
  </si>
  <si>
    <t>2 AWG Jumper Lead Wire Cable Red 5kV 15kV Power Single Conductor</t>
  </si>
  <si>
    <t>574454198454</t>
  </si>
  <si>
    <t>Dan Hove</t>
  </si>
  <si>
    <t>675157527772</t>
  </si>
  <si>
    <t>Jospeh Ambrosio</t>
  </si>
  <si>
    <t xml:space="preserve">	665651739250</t>
  </si>
  <si>
    <t>Brady Switzer</t>
  </si>
  <si>
    <t xml:space="preserve"> 	665651739261</t>
  </si>
  <si>
    <t>Randy Stokes</t>
  </si>
  <si>
    <t>680993424221</t>
  </si>
  <si>
    <t>Andrew Lee</t>
  </si>
  <si>
    <t xml:space="preserve">	665651739309</t>
  </si>
  <si>
    <t>Eric Manternach</t>
  </si>
  <si>
    <t>665651739272</t>
  </si>
  <si>
    <t>Jordan Walsh</t>
  </si>
  <si>
    <t xml:space="preserve">	665651739283</t>
  </si>
  <si>
    <t>Ronald Salois</t>
  </si>
  <si>
    <t xml:space="preserve">	665651739294</t>
  </si>
  <si>
    <t>Denise Potts</t>
  </si>
  <si>
    <t>675157527691</t>
  </si>
  <si>
    <t>12 XHHW-2 STRANDED WHITE</t>
  </si>
  <si>
    <t>667087307078</t>
  </si>
  <si>
    <t>Jon Dryden</t>
  </si>
  <si>
    <t>Belden 8723</t>
  </si>
  <si>
    <t>022356386162057</t>
  </si>
  <si>
    <t>Scott Olsen</t>
  </si>
  <si>
    <t>675157527680</t>
  </si>
  <si>
    <t>John Stringer</t>
  </si>
  <si>
    <t>639564015791</t>
  </si>
  <si>
    <t>Blake Evans</t>
  </si>
  <si>
    <t>639564015780</t>
  </si>
  <si>
    <t>billed out on 08.03.2016</t>
  </si>
  <si>
    <t>12/2 SJEOOW 4x250</t>
  </si>
  <si>
    <t>88359011-9</t>
  </si>
  <si>
    <t>12/4 SJOOW 3x250</t>
  </si>
  <si>
    <t>14/2 SJEOOW 1x250</t>
  </si>
  <si>
    <t>14/3 SJOOW 3x250</t>
  </si>
  <si>
    <t>1Z9X760X0363692857</t>
  </si>
  <si>
    <t>3003413A</t>
  </si>
  <si>
    <t>14/4 SJOOW 2x250</t>
  </si>
  <si>
    <t>6/4 SOOW 1x250</t>
  </si>
  <si>
    <t>10/3 SJOOW 3x250</t>
  </si>
  <si>
    <t>14/4 VNTC SHIELDED</t>
  </si>
  <si>
    <t>616712875215</t>
  </si>
  <si>
    <t>3003413B</t>
  </si>
  <si>
    <t>Jesse Wurtz</t>
  </si>
  <si>
    <t>8/2 Twisted Pump W/GRND 5x 1000</t>
  </si>
  <si>
    <t>3491457141</t>
  </si>
  <si>
    <t>jdwwurtz@gmail.com</t>
  </si>
  <si>
    <t>Balint Benko</t>
  </si>
  <si>
    <t>667087307479</t>
  </si>
  <si>
    <t>Dee Saunders</t>
  </si>
  <si>
    <t>88607825</t>
  </si>
  <si>
    <t>saunders1010@yahoo.com</t>
  </si>
  <si>
    <t>Ian Wankerl</t>
  </si>
  <si>
    <t>521927195</t>
  </si>
  <si>
    <t xml:space="preserve">	680483358049</t>
  </si>
  <si>
    <t>Celia Wright</t>
  </si>
  <si>
    <t>675157527740</t>
  </si>
  <si>
    <t>Terry McGinn</t>
  </si>
  <si>
    <t xml:space="preserve"> 	680483358060</t>
  </si>
  <si>
    <t>temcmginn@yahoo.com</t>
  </si>
  <si>
    <t>Craig Smith</t>
  </si>
  <si>
    <t>680483358141</t>
  </si>
  <si>
    <t>craig@forkliftgarage.com</t>
  </si>
  <si>
    <t>Erik Emert</t>
  </si>
  <si>
    <t xml:space="preserve">	680483358082</t>
  </si>
  <si>
    <t>erikemert@hotmail.com</t>
  </si>
  <si>
    <t>Trevor Phillips</t>
  </si>
  <si>
    <t xml:space="preserve">	680483358119</t>
  </si>
  <si>
    <t>Keith Kinney</t>
  </si>
  <si>
    <t>680483358152</t>
  </si>
  <si>
    <t>Jeff Hess</t>
  </si>
  <si>
    <t>521927206</t>
  </si>
  <si>
    <t xml:space="preserve">	680483358050</t>
  </si>
  <si>
    <t>Steve Solipasso</t>
  </si>
  <si>
    <t>665651739353</t>
  </si>
  <si>
    <t>NGOC NGO</t>
  </si>
  <si>
    <t>521921260</t>
  </si>
  <si>
    <t>Alberto Pratts</t>
  </si>
  <si>
    <t xml:space="preserve">	680483358130</t>
  </si>
  <si>
    <t>Richard Ascani</t>
  </si>
  <si>
    <t>1/0 DLO Cable</t>
  </si>
  <si>
    <t>616712875237</t>
  </si>
  <si>
    <t>Clay Morgan</t>
  </si>
  <si>
    <t xml:space="preserve">	680483358093</t>
  </si>
  <si>
    <t>John Toalston</t>
  </si>
  <si>
    <t xml:space="preserve">	680483358071</t>
  </si>
  <si>
    <t>Douglas Wood</t>
  </si>
  <si>
    <t xml:space="preserve">	680483358120</t>
  </si>
  <si>
    <t>Joe Horne</t>
  </si>
  <si>
    <t xml:space="preserve">	680483358108</t>
  </si>
  <si>
    <t>4/0-4/0-4/0-3 AL SEU 1x390</t>
  </si>
  <si>
    <t>521927184</t>
  </si>
  <si>
    <t>14/3 SJOOW 12x250</t>
  </si>
  <si>
    <t>5011209451</t>
  </si>
  <si>
    <t>3003435A</t>
  </si>
  <si>
    <t>16/3 SJOOW 12x250</t>
  </si>
  <si>
    <t>16/3 SOOW 12x250</t>
  </si>
  <si>
    <t>2-2-4-6 Mobile Home Feeder 8x 500'</t>
  </si>
  <si>
    <t>Edward McKechnie</t>
  </si>
  <si>
    <t>2/0 Welding Cable Orange Ultra Flex 2x100</t>
  </si>
  <si>
    <t>776894994372</t>
  </si>
  <si>
    <t>edward.mckechnie@gmail.com</t>
  </si>
  <si>
    <t>2 XLP USE CU</t>
  </si>
  <si>
    <t>BENJAMIN BEST FREIGHT/DLS</t>
  </si>
  <si>
    <t>104102292</t>
  </si>
  <si>
    <t>bushnellsuvey@gmail.com</t>
  </si>
  <si>
    <t>Connie Fritz</t>
  </si>
  <si>
    <t>12/2 Flat Pump W/GRND</t>
  </si>
  <si>
    <t>665651739342</t>
  </si>
  <si>
    <t>cfritz@amadorwater.org</t>
  </si>
  <si>
    <t>665651739331</t>
  </si>
  <si>
    <t>James Cooper</t>
  </si>
  <si>
    <t>675157527794</t>
  </si>
  <si>
    <t>Lawrence Valenzano</t>
  </si>
  <si>
    <t>Dyke 3x240 1x180</t>
  </si>
  <si>
    <t>larryvalenzano@gmail.com</t>
  </si>
  <si>
    <t>Justin Dittman</t>
  </si>
  <si>
    <t>680483358200</t>
  </si>
  <si>
    <t>Douglas Shore</t>
  </si>
  <si>
    <t>680483358196</t>
  </si>
  <si>
    <t>Carol Klatt</t>
  </si>
  <si>
    <t>680483358174</t>
  </si>
  <si>
    <t>Ruth Perryman</t>
  </si>
  <si>
    <t>680483358185</t>
  </si>
  <si>
    <t>John Simpson</t>
  </si>
  <si>
    <t> 680483358211 , 680483358222</t>
  </si>
  <si>
    <t>Virgina Birkhofer</t>
  </si>
  <si>
    <t>8/3 SOOW 2x75</t>
  </si>
  <si>
    <t>680483358288, 680483358299</t>
  </si>
  <si>
    <t>David Berry</t>
  </si>
  <si>
    <t>642286528353</t>
  </si>
  <si>
    <t>Timothy Hargrove</t>
  </si>
  <si>
    <t xml:space="preserve">	680483358255</t>
  </si>
  <si>
    <t>Bill Schrader</t>
  </si>
  <si>
    <t xml:space="preserve">	680483358163</t>
  </si>
  <si>
    <t>Jonathan Seaman</t>
  </si>
  <si>
    <t xml:space="preserve">680483358233, 680483358244	</t>
  </si>
  <si>
    <t>Brian Kristiansen</t>
  </si>
  <si>
    <t>630512244376</t>
  </si>
  <si>
    <t>WCCO Belting</t>
  </si>
  <si>
    <t>12/3 SJOOW 1x1000 1x500</t>
  </si>
  <si>
    <t>I686061108</t>
  </si>
  <si>
    <t>Keith Belman</t>
  </si>
  <si>
    <t xml:space="preserve">16/3 SOOW </t>
  </si>
  <si>
    <t xml:space="preserve"> 	665651739478</t>
  </si>
  <si>
    <t>679590217106</t>
  </si>
  <si>
    <t>Wanda Lester</t>
  </si>
  <si>
    <t>675157527831</t>
  </si>
  <si>
    <t>Gary Olson</t>
  </si>
  <si>
    <t xml:space="preserve">	665651739434</t>
  </si>
  <si>
    <t>Mike Astell</t>
  </si>
  <si>
    <t>639794969073</t>
  </si>
  <si>
    <t>Robert Christen</t>
  </si>
  <si>
    <t xml:space="preserve">	680483358314</t>
  </si>
  <si>
    <t>Thomas Bowling Jr.</t>
  </si>
  <si>
    <t>I642894345</t>
  </si>
  <si>
    <t xml:space="preserve"> 	665651739445</t>
  </si>
  <si>
    <t>David Renegar</t>
  </si>
  <si>
    <t xml:space="preserve">	665651739386</t>
  </si>
  <si>
    <t>Doug Evans</t>
  </si>
  <si>
    <t xml:space="preserve">	665651739423</t>
  </si>
  <si>
    <t>Gerry Shore</t>
  </si>
  <si>
    <t>665651739375</t>
  </si>
  <si>
    <t>J Slaughter</t>
  </si>
  <si>
    <t>4/0 XHHW AL 2x300</t>
  </si>
  <si>
    <t>665651739456, 665651739467</t>
  </si>
  <si>
    <t>Jim Sadighian</t>
  </si>
  <si>
    <t xml:space="preserve">	680483358303</t>
  </si>
  <si>
    <t>Jerry Harris</t>
  </si>
  <si>
    <t xml:space="preserve">	665651739401</t>
  </si>
  <si>
    <t>Rowdy Yeatts</t>
  </si>
  <si>
    <t xml:space="preserve">	680483358347</t>
  </si>
  <si>
    <t>Billy Paul Cooper</t>
  </si>
  <si>
    <t>569657070785</t>
  </si>
  <si>
    <t>Brett Walters</t>
  </si>
  <si>
    <t>665651739489</t>
  </si>
  <si>
    <t>Robert Stepan</t>
  </si>
  <si>
    <t>776900385164</t>
  </si>
  <si>
    <t>James Weiss</t>
  </si>
  <si>
    <t xml:space="preserve">	680483358336</t>
  </si>
  <si>
    <t xml:space="preserve"> 	680483358325</t>
  </si>
  <si>
    <t>Chris Darienzo</t>
  </si>
  <si>
    <t xml:space="preserve">	665651739397</t>
  </si>
  <si>
    <t>Peter Sinkowski</t>
  </si>
  <si>
    <t xml:space="preserve">	665651739412</t>
  </si>
  <si>
    <t>Astro Companies LLC</t>
  </si>
  <si>
    <t>6/2 MC Cable W/GRND 2x 125</t>
  </si>
  <si>
    <t>139648130405138</t>
  </si>
  <si>
    <t xml:space="preserve">Power Products </t>
  </si>
  <si>
    <t>750 35kV 133% EPR CU</t>
  </si>
  <si>
    <t>009899796005</t>
  </si>
  <si>
    <t>1590 MCM ACSR LAPWING or FALCON</t>
  </si>
  <si>
    <t>1Z2661690358679955</t>
  </si>
  <si>
    <t>765 MCM ACSR DRAKE</t>
  </si>
  <si>
    <t>Klein Tools</t>
  </si>
  <si>
    <t>750MCM THHN COPPER</t>
  </si>
  <si>
    <t>DLS</t>
  </si>
  <si>
    <t>647775765</t>
  </si>
  <si>
    <t>3003479A</t>
  </si>
  <si>
    <t>Lapwing</t>
  </si>
  <si>
    <t>Hyacinth</t>
  </si>
  <si>
    <t>Hawk</t>
  </si>
  <si>
    <t>615211551</t>
  </si>
  <si>
    <t>Bluebell</t>
  </si>
  <si>
    <t>kathy@kellyhayes.com</t>
  </si>
  <si>
    <t>Tulsa 2x1000</t>
  </si>
  <si>
    <t>5011826296</t>
  </si>
  <si>
    <t>highchapparal@verizon.net</t>
  </si>
  <si>
    <t>Greg Hall</t>
  </si>
  <si>
    <t xml:space="preserve">	609851516797</t>
  </si>
  <si>
    <t>iamgbh@gmail.com</t>
  </si>
  <si>
    <t>750 MCM THHN COPPER</t>
  </si>
  <si>
    <t>909637514</t>
  </si>
  <si>
    <t>3003483A</t>
  </si>
  <si>
    <t>500 MCM THHN COPPER</t>
  </si>
  <si>
    <t>1/2" EHS</t>
  </si>
  <si>
    <t>3003483B we will pick up</t>
  </si>
  <si>
    <t>Matt Gajowniczek</t>
  </si>
  <si>
    <t>MATT@SPL-DESIGN.COM</t>
  </si>
  <si>
    <t>12 THHN STR WHITE</t>
  </si>
  <si>
    <t>667087308589</t>
  </si>
  <si>
    <t>3003484A</t>
  </si>
  <si>
    <t>12 THHN STR BLACK</t>
  </si>
  <si>
    <t>12 THHN STR RED</t>
  </si>
  <si>
    <t>667087308590</t>
  </si>
  <si>
    <t>12 THHN STR BLUE</t>
  </si>
  <si>
    <t>Mike Overton</t>
  </si>
  <si>
    <t>665651739581</t>
  </si>
  <si>
    <t>mikeoverton4@gmail.com</t>
  </si>
  <si>
    <t>Kelly Leon</t>
  </si>
  <si>
    <t>12/2 SOOW</t>
  </si>
  <si>
    <t>1Z62X7750371786948</t>
  </si>
  <si>
    <t>warehouse@exapta.com</t>
  </si>
  <si>
    <t>Shawn Kulla</t>
  </si>
  <si>
    <t xml:space="preserve">	665651739537</t>
  </si>
  <si>
    <t>shawn.k@hotmail.com</t>
  </si>
  <si>
    <t>6-6-6-6 ALU MC CABLE</t>
  </si>
  <si>
    <t>beckvon@netero.net</t>
  </si>
  <si>
    <t>Brian Holthaus</t>
  </si>
  <si>
    <t>12/2 SJOOW 2X250</t>
  </si>
  <si>
    <t xml:space="preserve">	680483358369</t>
  </si>
  <si>
    <t>Kevin Wood</t>
  </si>
  <si>
    <t xml:space="preserve">	680483358370</t>
  </si>
  <si>
    <t>Elsie Penner</t>
  </si>
  <si>
    <t xml:space="preserve">	665651739515</t>
  </si>
  <si>
    <t>Ezequiel Lopez</t>
  </si>
  <si>
    <t>639794969062</t>
  </si>
  <si>
    <t>Charles Moran</t>
  </si>
  <si>
    <t>783730675127</t>
  </si>
  <si>
    <t>Jeffrey Wollman</t>
  </si>
  <si>
    <t xml:space="preserve">	680483358358</t>
  </si>
  <si>
    <t>Jeff Taylor</t>
  </si>
  <si>
    <t>665651739548</t>
  </si>
  <si>
    <t>Jeff Van Donselaar</t>
  </si>
  <si>
    <t>665651739559</t>
  </si>
  <si>
    <t>Brandi Bohn</t>
  </si>
  <si>
    <t>675157527820</t>
  </si>
  <si>
    <t>William Gasperich</t>
  </si>
  <si>
    <t>665651739560</t>
  </si>
  <si>
    <t>Tiffin 1933 1/2 Inch</t>
  </si>
  <si>
    <t>Elliot</t>
  </si>
  <si>
    <t xml:space="preserve">1Z7X60080391774232
1Z81V3070396727619
1ZYE93690399000779
1Z520R720392101743
</t>
  </si>
  <si>
    <t>Edward Closuit</t>
  </si>
  <si>
    <t>4/3 Submersible Flat Pump W/GRND</t>
  </si>
  <si>
    <t>3491446840</t>
  </si>
  <si>
    <t>haliant.closuite@gmail.com</t>
  </si>
  <si>
    <t>Jon Langeler</t>
  </si>
  <si>
    <t>10/3 Flat W/GRND Heavy Duty Submersible Pump Cable</t>
  </si>
  <si>
    <t>jonl@michwave.com</t>
  </si>
  <si>
    <t>10 XHHW GRAY 1x2500 1x665</t>
  </si>
  <si>
    <t>5011826297</t>
  </si>
  <si>
    <t>10 XHHW BROWN 1x500 1x758 1x260 1x673 1x832</t>
  </si>
  <si>
    <t>10 XHHW BLACK 2x2500</t>
  </si>
  <si>
    <t>10 XHHW RED 1x1151 1x369 1x910 1x2117</t>
  </si>
  <si>
    <t>Wally Caufield</t>
  </si>
  <si>
    <t>1651304081</t>
  </si>
  <si>
    <t>lilbkc@msn.com</t>
  </si>
  <si>
    <t>Steve Gabrielson</t>
  </si>
  <si>
    <t>6/3 Heavy Duty Flat Pump W/GRND</t>
  </si>
  <si>
    <t>3491457325</t>
  </si>
  <si>
    <t>sunshinelawnandgarden@yahoo.com</t>
  </si>
  <si>
    <t>Dean White</t>
  </si>
  <si>
    <t>665651739570</t>
  </si>
  <si>
    <t>Robert Kurtz</t>
  </si>
  <si>
    <t xml:space="preserve">	665651739526</t>
  </si>
  <si>
    <t>Keith Porter</t>
  </si>
  <si>
    <t>16/6 VNTC Shielded</t>
  </si>
  <si>
    <t xml:space="preserve">	616712875318</t>
  </si>
  <si>
    <t>Daniel Katen</t>
  </si>
  <si>
    <t xml:space="preserve">	663910433812</t>
  </si>
  <si>
    <t>Richard Casper</t>
  </si>
  <si>
    <t>639794969095</t>
  </si>
  <si>
    <t>Ashley Stocchi</t>
  </si>
  <si>
    <t>665651739592</t>
  </si>
  <si>
    <t xml:space="preserve">	25182012</t>
  </si>
  <si>
    <t>680483358406</t>
  </si>
  <si>
    <t>DNB@DNBDESIGN.NET</t>
  </si>
  <si>
    <t>12/5 SOOW TF ONLY</t>
  </si>
  <si>
    <t>3003512A</t>
  </si>
  <si>
    <t>Joshua McDonald</t>
  </si>
  <si>
    <t>2-2-2-4 SER WG ALUM</t>
  </si>
  <si>
    <t>680483358391</t>
  </si>
  <si>
    <t>RNO SSC SETH DEXTRAZE</t>
  </si>
  <si>
    <t>680483358380</t>
  </si>
  <si>
    <t>Chuck D. Padula</t>
  </si>
  <si>
    <t>18-4 FIRE ALARM CABLE SOLID PVC FPLR PVC JACKETED WIRE</t>
  </si>
  <si>
    <t>OSWEGO</t>
  </si>
  <si>
    <t>616712875373</t>
  </si>
  <si>
    <t>Lou Marks and Sons</t>
  </si>
  <si>
    <t>4/5 SOOW BLACK 3X1000'</t>
  </si>
  <si>
    <t>927916172</t>
  </si>
  <si>
    <t>8/5 SOOW BLACK 3X1000'</t>
  </si>
  <si>
    <t>Sherry Polit</t>
  </si>
  <si>
    <t>665651739629, 665651739630  </t>
  </si>
  <si>
    <t>Oriana Chavez</t>
  </si>
  <si>
    <t>675157527875</t>
  </si>
  <si>
    <t>Connie Bushore</t>
  </si>
  <si>
    <t>I990163458</t>
  </si>
  <si>
    <t>John Ditty</t>
  </si>
  <si>
    <t>675157527912</t>
  </si>
  <si>
    <t>Leon Olszewski</t>
  </si>
  <si>
    <t>665651739662</t>
  </si>
  <si>
    <t>Steve Scott</t>
  </si>
  <si>
    <t>I644192037</t>
  </si>
  <si>
    <t>Barry K Russell</t>
  </si>
  <si>
    <t>665651739673</t>
  </si>
  <si>
    <t>Levi Heinold</t>
  </si>
  <si>
    <t>2/0 DLO CABLE</t>
  </si>
  <si>
    <t>4/0 DLO CABLE</t>
  </si>
  <si>
    <t>Jeremy Farlow</t>
  </si>
  <si>
    <t>665651739651</t>
  </si>
  <si>
    <t>Weld Tech Service</t>
  </si>
  <si>
    <t>675157527901</t>
  </si>
  <si>
    <t>Edward Giovannetti</t>
  </si>
  <si>
    <t>665651739640</t>
  </si>
  <si>
    <t>8/3 GGC</t>
  </si>
  <si>
    <t>Ozinga Bros</t>
  </si>
  <si>
    <t>I712853523</t>
  </si>
  <si>
    <t>hans.kuhn@qncorp.com</t>
  </si>
  <si>
    <t>Robert Book</t>
  </si>
  <si>
    <t>bookrobert@yahoo.com</t>
  </si>
  <si>
    <t>Jamie Gaston</t>
  </si>
  <si>
    <t>jhgaston@aol.com</t>
  </si>
  <si>
    <t>Keith Slankard</t>
  </si>
  <si>
    <t>3653245923</t>
  </si>
  <si>
    <t xml:space="preserve">KEITH.SLANKARD@YAHOO.COM </t>
  </si>
  <si>
    <t>Vahe Papazyan</t>
  </si>
  <si>
    <t>Cleveland Cascades</t>
  </si>
  <si>
    <t>14/3 Teck W/GRND</t>
  </si>
  <si>
    <t>Customer Setting Pick Up</t>
  </si>
  <si>
    <t xml:space="preserve">Martin.Skidmore@clevelandcascades.co.uk </t>
  </si>
  <si>
    <t>14/6 Teck W/GRND</t>
  </si>
  <si>
    <t>Shirley Criss</t>
  </si>
  <si>
    <t>Converse 2x500</t>
  </si>
  <si>
    <t xml:space="preserve">	68606121-6</t>
  </si>
  <si>
    <t>charlescriss@hotmail.com</t>
  </si>
  <si>
    <t>3003535A</t>
  </si>
  <si>
    <t>285367846</t>
  </si>
  <si>
    <t>306564824-6</t>
  </si>
  <si>
    <t>John Scilleri</t>
  </si>
  <si>
    <t>customer pick up at thea</t>
  </si>
  <si>
    <t>oakmanx@aol.com</t>
  </si>
  <si>
    <t>3003538A</t>
  </si>
  <si>
    <t>John Scillieri</t>
  </si>
  <si>
    <t>Steven J Gendusa</t>
  </si>
  <si>
    <t>675157527923</t>
  </si>
  <si>
    <t>West Biofuels Brandon Bruning</t>
  </si>
  <si>
    <t xml:space="preserve">	521-933926</t>
  </si>
  <si>
    <t>521-933926</t>
  </si>
  <si>
    <t>Mayo Rusten</t>
  </si>
  <si>
    <t>680483358450</t>
  </si>
  <si>
    <t>Alex Rathe</t>
  </si>
  <si>
    <t xml:space="preserve">	614697965298</t>
  </si>
  <si>
    <t>Lisa Bornemann</t>
  </si>
  <si>
    <t>680483358494</t>
  </si>
  <si>
    <t>Tim Ormiston</t>
  </si>
  <si>
    <t xml:space="preserve">	680483358509</t>
  </si>
  <si>
    <t>Craig Mussman</t>
  </si>
  <si>
    <t xml:space="preserve"> 	665651739695</t>
  </si>
  <si>
    <t>Dewey Carr</t>
  </si>
  <si>
    <t>675157528117</t>
  </si>
  <si>
    <t>680483358439</t>
  </si>
  <si>
    <t>Cherish Couch</t>
  </si>
  <si>
    <t>680483358461</t>
  </si>
  <si>
    <t>Mark E Riley</t>
  </si>
  <si>
    <t>Cattaraugus</t>
  </si>
  <si>
    <t>Erik Mart</t>
  </si>
  <si>
    <t>6804833258417</t>
  </si>
  <si>
    <t>3/0 DLO 2x100</t>
  </si>
  <si>
    <t>Jackson Trucking</t>
  </si>
  <si>
    <t>Amber Bordak</t>
  </si>
  <si>
    <t>680483358440</t>
  </si>
  <si>
    <t>Michael Lines</t>
  </si>
  <si>
    <t>680483358428</t>
  </si>
  <si>
    <t>Gary N Scneider</t>
  </si>
  <si>
    <t xml:space="preserve">	680483358472</t>
  </si>
  <si>
    <t>Julia Deming</t>
  </si>
  <si>
    <t>4/0 THHN STR BLACK 2x500</t>
  </si>
  <si>
    <t xml:space="preserve"> 	775944304</t>
  </si>
  <si>
    <t>paid 08.27.2016</t>
  </si>
  <si>
    <t>Karen Holland</t>
  </si>
  <si>
    <t>2538615030</t>
  </si>
  <si>
    <t>karencil@comcast.net</t>
  </si>
  <si>
    <t>Oscar Rosales Rodriguez</t>
  </si>
  <si>
    <t xml:space="preserve">	665651739721</t>
  </si>
  <si>
    <t>Proterra</t>
  </si>
  <si>
    <t>PHL-015-3823970</t>
  </si>
  <si>
    <t>Expedited Freight</t>
  </si>
  <si>
    <t>Kevin Becton</t>
  </si>
  <si>
    <t> 	665651739743</t>
  </si>
  <si>
    <t>J Edward Goff</t>
  </si>
  <si>
    <t>6 Welding Cable Red</t>
  </si>
  <si>
    <t>Dorothy Priess</t>
  </si>
  <si>
    <t> 	665651739787</t>
  </si>
  <si>
    <t>Trishton Bishop</t>
  </si>
  <si>
    <t>405-615792</t>
  </si>
  <si>
    <t>Keith L Kinney</t>
  </si>
  <si>
    <t>665651739732</t>
  </si>
  <si>
    <t>Kevin Knowels</t>
  </si>
  <si>
    <t>14-4- Security Stranded Shielded PVC Jacket</t>
  </si>
  <si>
    <t xml:space="preserve">543369480109
</t>
  </si>
  <si>
    <t>David Shuman</t>
  </si>
  <si>
    <t xml:space="preserve"> 	680483358531</t>
  </si>
  <si>
    <t>Stephens 2-2-4 Aluminum Triplex URD XLP</t>
  </si>
  <si>
    <t xml:space="preserve">	680483358542</t>
  </si>
  <si>
    <t>Hector Guzman</t>
  </si>
  <si>
    <t>Robert Hollingsworth</t>
  </si>
  <si>
    <t>10/4 SJEOOW portable cord</t>
  </si>
  <si>
    <t>1Z0253560360655158</t>
  </si>
  <si>
    <t>Ugi Altan</t>
  </si>
  <si>
    <t xml:space="preserve">	680483358510</t>
  </si>
  <si>
    <t>ugi@ufauto.com</t>
  </si>
  <si>
    <t>24 AWG Hook Up Wire PTFE Type E MIL-W-16878/4 - Silver Plated Copper - Extruded PTFE 200C 600V Blue 4x500</t>
  </si>
  <si>
    <t>700323687213</t>
  </si>
  <si>
    <t>Veneer Tek Industries</t>
  </si>
  <si>
    <t xml:space="preserve">	680483358520</t>
  </si>
  <si>
    <t>William Sukow</t>
  </si>
  <si>
    <t xml:space="preserve">	665651739710</t>
  </si>
  <si>
    <t>Joshua Milligan</t>
  </si>
  <si>
    <t>1/0 Welding Cable 2x75</t>
  </si>
  <si>
    <t>James Johnson</t>
  </si>
  <si>
    <t>Kayla Fillip</t>
  </si>
  <si>
    <t>675157528047</t>
  </si>
  <si>
    <t>Matt Caldwell</t>
  </si>
  <si>
    <t>675157528069
675157528058</t>
  </si>
  <si>
    <t xml:space="preserve">Manor Electric Supply </t>
  </si>
  <si>
    <t>8/4 SOOW 1x500</t>
  </si>
  <si>
    <t>paid 09.28.2016</t>
  </si>
  <si>
    <t>12/4 SJOOW 6x250</t>
  </si>
  <si>
    <t>12/3 SJOOW 8x250</t>
  </si>
  <si>
    <t>14/3 SJOOW 8x250</t>
  </si>
  <si>
    <t xml:space="preserve">	24103522</t>
  </si>
  <si>
    <t>3003580A</t>
  </si>
  <si>
    <t>59654833652</t>
  </si>
  <si>
    <t>18/3 SJOOW 2x250</t>
  </si>
  <si>
    <t>12/3 SOOW 4x250</t>
  </si>
  <si>
    <t>14/3 SOOW 2x250</t>
  </si>
  <si>
    <t>Benjamin Stoddart</t>
  </si>
  <si>
    <t>500MCM Welding</t>
  </si>
  <si>
    <t>ben@focusinter.net</t>
  </si>
  <si>
    <t>Dave Biorn</t>
  </si>
  <si>
    <t> 	665651739754</t>
  </si>
  <si>
    <t>#2 15KV URD- FULL NEUTRAL 133% EPR INSULATION</t>
  </si>
  <si>
    <t>PPD &amp; CHARGE</t>
  </si>
  <si>
    <t>paid 09.15.2016</t>
  </si>
  <si>
    <t>68606130-6</t>
  </si>
  <si>
    <t>3003584A we will pick up</t>
  </si>
  <si>
    <t>3003584A</t>
  </si>
  <si>
    <t>Scott Carr</t>
  </si>
  <si>
    <t xml:space="preserve">Tulsa </t>
  </si>
  <si>
    <t>scooter68710@yahoo.com</t>
  </si>
  <si>
    <t>Dan Cucura</t>
  </si>
  <si>
    <t>3-3-3-5 SER</t>
  </si>
  <si>
    <t>$10 CUT CHARGES</t>
  </si>
  <si>
    <t>dcucura@gmail.com</t>
  </si>
  <si>
    <t>Robert Jeff Willard</t>
  </si>
  <si>
    <t xml:space="preserve">	680483358597</t>
  </si>
  <si>
    <t>Smokin' D's</t>
  </si>
  <si>
    <t>Andrew Iovelace</t>
  </si>
  <si>
    <t>Trent TeSelle</t>
  </si>
  <si>
    <t xml:space="preserve">	680483358634	</t>
  </si>
  <si>
    <t xml:space="preserve">	680483358623</t>
  </si>
  <si>
    <t>Ali Fratesi</t>
  </si>
  <si>
    <t xml:space="preserve">	665651739846</t>
  </si>
  <si>
    <t>Matt Sharpe</t>
  </si>
  <si>
    <t xml:space="preserve">	680483358575</t>
  </si>
  <si>
    <t>Michelle Hemmingsen</t>
  </si>
  <si>
    <t xml:space="preserve">	680483358601</t>
  </si>
  <si>
    <t>James S Turlington</t>
  </si>
  <si>
    <t>John Boarman</t>
  </si>
  <si>
    <t>John Martin</t>
  </si>
  <si>
    <t>6 Welding 125' black 125' red</t>
  </si>
  <si>
    <t>639794969121</t>
  </si>
  <si>
    <t>Gokula Avella</t>
  </si>
  <si>
    <t>2 THHN AL</t>
  </si>
  <si>
    <t>billed out on 08.17.2016</t>
  </si>
  <si>
    <t>Harrison Hydragen</t>
  </si>
  <si>
    <t>6/4 SOOW Carol Only</t>
  </si>
  <si>
    <t>XPO</t>
  </si>
  <si>
    <t>3003600A</t>
  </si>
  <si>
    <t>#8 THHN STR Green 500' SPOOL</t>
  </si>
  <si>
    <t>#14 THHN STR Yellow 500' SPOOL</t>
  </si>
  <si>
    <t>12/2 VNTC Red Black</t>
  </si>
  <si>
    <t>700329328270, 700329328280</t>
  </si>
  <si>
    <t>#18 TFFN Yellow 500' SPOOL</t>
  </si>
  <si>
    <t>3003600B</t>
  </si>
  <si>
    <t>Jason Torrez</t>
  </si>
  <si>
    <t xml:space="preserve">	680483358689</t>
  </si>
  <si>
    <t>Nestor Mena Rodriguez</t>
  </si>
  <si>
    <t>8/2 UF-B W/GRND COPPER UNDERGROUND FEEDER CABLE WIRE </t>
  </si>
  <si>
    <t>Shawn Strabley</t>
  </si>
  <si>
    <t>99016347-6</t>
  </si>
  <si>
    <t>Broke Parker</t>
  </si>
  <si>
    <t>10 XHHW CU</t>
  </si>
  <si>
    <t> 	680483358792</t>
  </si>
  <si>
    <t>Ben Devlin</t>
  </si>
  <si>
    <t>6/4 SOOW 2X200'</t>
  </si>
  <si>
    <t>665651739927
	665651739938</t>
  </si>
  <si>
    <t>Brian Kaiser</t>
  </si>
  <si>
    <t>James Howell</t>
  </si>
  <si>
    <t xml:space="preserve">	665651739868</t>
  </si>
  <si>
    <t>James Gargiulo</t>
  </si>
  <si>
    <t>12/4 SJEOOW PORTABLE CORD </t>
  </si>
  <si>
    <t>Tony Anderson</t>
  </si>
  <si>
    <t xml:space="preserve">Sweetbriar </t>
  </si>
  <si>
    <t>Michael Pettengill</t>
  </si>
  <si>
    <t xml:space="preserve">3-3-3-5 SER CU						
</t>
  </si>
  <si>
    <t>Roger Melling</t>
  </si>
  <si>
    <t>Jeffrey Davis</t>
  </si>
  <si>
    <t xml:space="preserve">	680483358704</t>
  </si>
  <si>
    <t>Tu Dang</t>
  </si>
  <si>
    <t>16/3 SJOOW YELLOW</t>
  </si>
  <si>
    <t>Nick Stewart</t>
  </si>
  <si>
    <t xml:space="preserve">2 XHHW AL </t>
  </si>
  <si>
    <t>Lee May</t>
  </si>
  <si>
    <t> 	680483358690</t>
  </si>
  <si>
    <t>Paul Morone</t>
  </si>
  <si>
    <t>Edward B. Dawson</t>
  </si>
  <si>
    <t>Fred Bate Pine Eddy Farms</t>
  </si>
  <si>
    <t>UF UF-B 6/2 WG Cable</t>
  </si>
  <si>
    <t>387401943</t>
  </si>
  <si>
    <t xml:space="preserve"> 	68606131-5</t>
  </si>
  <si>
    <t>paid 09.14.2016</t>
  </si>
  <si>
    <t>Greg Dudiak</t>
  </si>
  <si>
    <t>5011808366</t>
  </si>
  <si>
    <t>saskatoon@percydavis.com</t>
  </si>
  <si>
    <t>Paul Pilcher</t>
  </si>
  <si>
    <t>$10 cut charges</t>
  </si>
  <si>
    <t>500MCM 15kV Jumper Cable</t>
  </si>
  <si>
    <t>663910434360</t>
  </si>
  <si>
    <t>ERIC.TERRY@INDUTRIALSERVICESCOMPANY.COM</t>
  </si>
  <si>
    <t>David Wright</t>
  </si>
  <si>
    <t>: 	665651739949</t>
  </si>
  <si>
    <t>bigdavss@aol.com</t>
  </si>
  <si>
    <t>Fastenal Company</t>
  </si>
  <si>
    <t xml:space="preserve">#10 IMSA 26-3 LINE C - 2000' SPOOL					
</t>
  </si>
  <si>
    <t>10104955769</t>
  </si>
  <si>
    <t>3003625A</t>
  </si>
  <si>
    <t xml:space="preserve">IMSA 29-3 AWG C 12 - 5000FT REELS						
</t>
  </si>
  <si>
    <t>3003625B</t>
  </si>
  <si>
    <t>12/4 MC CABLE W/GRD 2x 250</t>
  </si>
  <si>
    <t>paid 09.29.2016</t>
  </si>
  <si>
    <t xml:space="preserve">	665651739950</t>
  </si>
  <si>
    <t>Jody Bowers</t>
  </si>
  <si>
    <t xml:space="preserve">Sean Kennedy </t>
  </si>
  <si>
    <t>12/3 SOOW 2X250</t>
  </si>
  <si>
    <t>Jake Stern</t>
  </si>
  <si>
    <t> 	680483358748</t>
  </si>
  <si>
    <t>Katie Downin</t>
  </si>
  <si>
    <t>California Organic Fertilizers</t>
  </si>
  <si>
    <t> 	665651739916</t>
  </si>
  <si>
    <t>1/2" EHS Cable</t>
  </si>
  <si>
    <t>Shipping to Taiwan</t>
  </si>
  <si>
    <t>Smart Wires</t>
  </si>
  <si>
    <t xml:space="preserve">115-22-3777					
</t>
  </si>
  <si>
    <t>James Gilliam</t>
  </si>
  <si>
    <t xml:space="preserve">	680483358807</t>
  </si>
  <si>
    <t>Clarence Goeglein</t>
  </si>
  <si>
    <t> 	680483358818</t>
  </si>
  <si>
    <t>Robert Witherington</t>
  </si>
  <si>
    <t xml:space="preserve">8/2 UF-B W/GRND </t>
  </si>
  <si>
    <t>675157528643</t>
  </si>
  <si>
    <t>3003637A</t>
  </si>
  <si>
    <t>665651739982</t>
  </si>
  <si>
    <t>F. Lamar Welchel</t>
  </si>
  <si>
    <t>Tracey Fredricks</t>
  </si>
  <si>
    <t>88426171-0</t>
  </si>
  <si>
    <t>Ebay </t>
  </si>
  <si>
    <t>Darrin Piatt</t>
  </si>
  <si>
    <t>Erika Smith</t>
  </si>
  <si>
    <t xml:space="preserve">	680483358759</t>
  </si>
  <si>
    <t>Mark Wint</t>
  </si>
  <si>
    <t>521907002</t>
  </si>
  <si>
    <t>MARKPAMELECTRIC@yahoo.com</t>
  </si>
  <si>
    <t>336932041</t>
  </si>
  <si>
    <t>ALMAFINANCE336@GMAIL.COM</t>
  </si>
  <si>
    <t>THHN 1 Gauge Red Insul</t>
  </si>
  <si>
    <t>THHN 1 Gauge Black Insul</t>
  </si>
  <si>
    <t>THHN 1 Gauge White Insul</t>
  </si>
  <si>
    <t>THHN 3 Gauge Green Insul</t>
  </si>
  <si>
    <t>Larry Wright</t>
  </si>
  <si>
    <t>14/3 W/GRND Flat Pump</t>
  </si>
  <si>
    <t xml:space="preserve">	680483358829</t>
  </si>
  <si>
    <t>WRIGHTME55@JUNO.COM</t>
  </si>
  <si>
    <t>Tom Brewer</t>
  </si>
  <si>
    <t>3065648493</t>
  </si>
  <si>
    <t>BREWER@RANGEWEB.NET</t>
  </si>
  <si>
    <t>18/2 SJOOW 2X1000</t>
  </si>
  <si>
    <t>DO NOT PAY THIS BILL</t>
  </si>
  <si>
    <t>KEVIN.GREEN@ROCKETMAIL.COM</t>
  </si>
  <si>
    <t>Jim Hulbert</t>
  </si>
  <si>
    <t>2 Aluminum Tie Wire</t>
  </si>
  <si>
    <t>JHULBERT@WYNALDA.COM</t>
  </si>
  <si>
    <t>3621871212</t>
  </si>
  <si>
    <t>we will pick up. $25 cut charge</t>
  </si>
  <si>
    <t>WESTFAB5@GMAIL.COM</t>
  </si>
  <si>
    <t>Paul Fleming</t>
  </si>
  <si>
    <t>Customer Pick up</t>
  </si>
  <si>
    <t>4/3 5kv EPR PVC </t>
  </si>
  <si>
    <t xml:space="preserve">Converse </t>
  </si>
  <si>
    <t>293035954</t>
  </si>
  <si>
    <t>Chippers</t>
  </si>
  <si>
    <t>BROWNCOWSMOO@ICLOUD.COM</t>
  </si>
  <si>
    <t>Renee Himmelspach</t>
  </si>
  <si>
    <t>Brandon Struzyk</t>
  </si>
  <si>
    <t>18-4 Fire Alarm Solid Shielded PLenum FPLP</t>
  </si>
  <si>
    <t>Seneca</t>
  </si>
  <si>
    <t>2/0 Welding Cable Blue Flexible</t>
  </si>
  <si>
    <t>642286528537</t>
  </si>
  <si>
    <t>Michael Owen</t>
  </si>
  <si>
    <t xml:space="preserve">	665651740048</t>
  </si>
  <si>
    <t>Sig Iowa - Troy</t>
  </si>
  <si>
    <t>Beth Miller</t>
  </si>
  <si>
    <t>Tufflift</t>
  </si>
  <si>
    <t xml:space="preserve">	614697965622</t>
  </si>
  <si>
    <t>Kim Stanley</t>
  </si>
  <si>
    <t>3/0 THHN THWN</t>
  </si>
  <si>
    <t>New England Motor Freight</t>
  </si>
  <si>
    <t>6 AWG THHN THWN</t>
  </si>
  <si>
    <t>Norman Simon</t>
  </si>
  <si>
    <t xml:space="preserve">	665651739993</t>
  </si>
  <si>
    <t>Steven Freshcorn</t>
  </si>
  <si>
    <t>David Adams</t>
  </si>
  <si>
    <t>3/0-4 Type G </t>
  </si>
  <si>
    <t>TFCable</t>
  </si>
  <si>
    <t>369-3123572-9</t>
  </si>
  <si>
    <t>KATE.AERIAL@COX.NET</t>
  </si>
  <si>
    <t>Lori Pistorio</t>
  </si>
  <si>
    <t> 	665651740107</t>
  </si>
  <si>
    <t>LPISTORIO@GMAIL.COM</t>
  </si>
  <si>
    <t>Jack Henderson</t>
  </si>
  <si>
    <t>Robert Chilcote</t>
  </si>
  <si>
    <t>6/3 SOOW 2X100'</t>
  </si>
  <si>
    <t xml:space="preserve">	702723285739
	702723285740</t>
  </si>
  <si>
    <t>Stefanie Olson</t>
  </si>
  <si>
    <t>702723285717</t>
  </si>
  <si>
    <t>Jesse Cisneros</t>
  </si>
  <si>
    <t>1/0 Gauge AWG Welding Lead &amp; Car Battery</t>
  </si>
  <si>
    <t>642286528526</t>
  </si>
  <si>
    <t>Eric Wamsley</t>
  </si>
  <si>
    <t>Michael Vargas</t>
  </si>
  <si>
    <t xml:space="preserve"> 	702723285728</t>
  </si>
  <si>
    <t>Van Nguyen</t>
  </si>
  <si>
    <t>6/3 UF W/G</t>
  </si>
  <si>
    <t>385256892</t>
  </si>
  <si>
    <t>Wayne Murer</t>
  </si>
  <si>
    <t>I712853595</t>
  </si>
  <si>
    <t>Donald Lee</t>
  </si>
  <si>
    <t>4/0-4/0-4/0-4/0-2/0 SER AL</t>
  </si>
  <si>
    <t xml:space="preserve">	665651740092</t>
  </si>
  <si>
    <t>BUDLEEELECTRIC@ROADRUNNER.COM</t>
  </si>
  <si>
    <t>Brian Lheureux</t>
  </si>
  <si>
    <t xml:space="preserve">Hornbeam </t>
  </si>
  <si>
    <t>5-6 week lead time</t>
  </si>
  <si>
    <t>ADMIN@LINESTAR.CA</t>
  </si>
  <si>
    <t>Harry Richardson</t>
  </si>
  <si>
    <t>RICHARDSONSS@AOL.COM</t>
  </si>
  <si>
    <t>500 MCM THHN CU</t>
  </si>
  <si>
    <t xml:space="preserve">
1ZE144410395334711</t>
  </si>
  <si>
    <t>paid 09.02.2016</t>
  </si>
  <si>
    <t>Ted Scott</t>
  </si>
  <si>
    <t>2 Gauge AWG Welding Lead &amp; Car Battery WC 0181 2x50' (50" Blk, 50' Red)</t>
  </si>
  <si>
    <t>642286528559</t>
  </si>
  <si>
    <t>Eduardo Becerra</t>
  </si>
  <si>
    <t xml:space="preserve">	702723285761</t>
  </si>
  <si>
    <t>675157528323</t>
  </si>
  <si>
    <t>Kent Tambling</t>
  </si>
  <si>
    <t xml:space="preserve">	680483358840</t>
  </si>
  <si>
    <t>Sandra West</t>
  </si>
  <si>
    <t xml:space="preserve"> 	680483358830</t>
  </si>
  <si>
    <t>Thanh Tran</t>
  </si>
  <si>
    <t>2/0-2/0-2/0-1 Copper SER Type SE</t>
  </si>
  <si>
    <t>616712875616</t>
  </si>
  <si>
    <t>$5 cut charges</t>
  </si>
  <si>
    <t>Anthony Nelson</t>
  </si>
  <si>
    <t>Zack Doty</t>
  </si>
  <si>
    <t>BBFG/DLS</t>
  </si>
  <si>
    <t>104102908</t>
  </si>
  <si>
    <t>ZACHDOTY@gmail.com</t>
  </si>
  <si>
    <t>6 XLP USE AL</t>
  </si>
  <si>
    <t xml:space="preserve">	614697965655</t>
  </si>
  <si>
    <t>I712853604</t>
  </si>
  <si>
    <t>23635032</t>
  </si>
  <si>
    <t>3003688A we will pick up</t>
  </si>
  <si>
    <t>Elgin Chalayan</t>
  </si>
  <si>
    <t xml:space="preserve">	702723285772</t>
  </si>
  <si>
    <t>Brian Eudaly</t>
  </si>
  <si>
    <t>Belden 21600</t>
  </si>
  <si>
    <t>3751646684</t>
  </si>
  <si>
    <t>brianeudaly@ctiengineering.com</t>
  </si>
  <si>
    <t>Timothy Backus</t>
  </si>
  <si>
    <t>SCHERRY@HAR-CONN.COM</t>
  </si>
  <si>
    <t>GARYB@COGENNYC.COM</t>
  </si>
  <si>
    <t xml:space="preserve">	680483359089</t>
  </si>
  <si>
    <t>Kevin Bierschenk</t>
  </si>
  <si>
    <t>16/4 VNTC TRAY CABLE TC-ER Shielded</t>
  </si>
  <si>
    <t>574454199108</t>
  </si>
  <si>
    <t>Carl Hardt</t>
  </si>
  <si>
    <t>18-4 Security Stranded PVC Wire CL Non Shielded</t>
  </si>
  <si>
    <t>675692461987</t>
  </si>
  <si>
    <t>Zibby Bujno</t>
  </si>
  <si>
    <t>3/3 MC WGRND</t>
  </si>
  <si>
    <t>I434266398</t>
  </si>
  <si>
    <t>SALES@ZMSLLC.US</t>
  </si>
  <si>
    <t>12/2 mc copper 40 x 250</t>
  </si>
  <si>
    <t>23922012</t>
  </si>
  <si>
    <t>JERZYSZYM@GMAIL.COM</t>
  </si>
  <si>
    <t>Carolyn Flyte</t>
  </si>
  <si>
    <t>TEMCo SOOW SO Cord SOO168 - 8/3 HD USA Portable Outdoor Indoor 600V Flexible Wire Cable 2X75'</t>
  </si>
  <si>
    <t xml:space="preserve">	702723285810</t>
  </si>
  <si>
    <t>Maurice Deck Miller III</t>
  </si>
  <si>
    <t xml:space="preserve"> 	680483358884</t>
  </si>
  <si>
    <t>Shawn Johnson</t>
  </si>
  <si>
    <t>TEMCo WC0425 2 Gauge AWG Welding Lead &amp; Car Battery Cable Copper Wire RED | MADE IN USA 2 x 85</t>
  </si>
  <si>
    <t>630512244457</t>
  </si>
  <si>
    <t>Keith Vincent - DSEC</t>
  </si>
  <si>
    <t>64289450-7</t>
  </si>
  <si>
    <t>KEITHV@DEFSUP.COM</t>
  </si>
  <si>
    <t>David Harvath</t>
  </si>
  <si>
    <t>I730560222</t>
  </si>
  <si>
    <t>DAVE_HARVATH@HOTMAIL.COM</t>
  </si>
  <si>
    <t>Chad Clanton</t>
  </si>
  <si>
    <t xml:space="preserve">	702723285820</t>
  </si>
  <si>
    <t>Scott Norville</t>
  </si>
  <si>
    <t xml:space="preserve">	702723285842</t>
  </si>
  <si>
    <t>Mauricio Larrea</t>
  </si>
  <si>
    <t>702723285831</t>
  </si>
  <si>
    <t>UAS INC</t>
  </si>
  <si>
    <t xml:space="preserve">18/3 SJOOW </t>
  </si>
  <si>
    <t xml:space="preserve">	680483358851</t>
  </si>
  <si>
    <t>Shan Lamb</t>
  </si>
  <si>
    <t>675157528356</t>
  </si>
  <si>
    <t>E Reeve Fritchman</t>
  </si>
  <si>
    <t>6/4 SOOW  </t>
  </si>
  <si>
    <t xml:space="preserve">	680483358862</t>
  </si>
  <si>
    <t>Wendell Smothers</t>
  </si>
  <si>
    <t>4415034</t>
  </si>
  <si>
    <t>SMOTHERS89@MINDSPRING.COM</t>
  </si>
  <si>
    <t>Michael Grady</t>
  </si>
  <si>
    <t xml:space="preserve"> 	680483358873</t>
  </si>
  <si>
    <t>mkpgrady@comcast.net</t>
  </si>
  <si>
    <t>Teresa Davis</t>
  </si>
  <si>
    <t>xpo</t>
  </si>
  <si>
    <t>RICK@PREMIERAC.COM</t>
  </si>
  <si>
    <t>James Harris</t>
  </si>
  <si>
    <t xml:space="preserve">	680483358895</t>
  </si>
  <si>
    <t>skydoc11@hotmail.com</t>
  </si>
  <si>
    <t>John Jenkins</t>
  </si>
  <si>
    <t xml:space="preserve">	680483358910</t>
  </si>
  <si>
    <t>johnd.jenkins@yahoo.com</t>
  </si>
  <si>
    <t>MRO GLOBAL</t>
  </si>
  <si>
    <t>Shipping</t>
  </si>
  <si>
    <t>3065642403</t>
  </si>
  <si>
    <t>RAC</t>
  </si>
  <si>
    <t xml:space="preserve">	51953711</t>
  </si>
  <si>
    <t>simsail5@comcast.net</t>
  </si>
  <si>
    <t>I990163485</t>
  </si>
  <si>
    <t>Robert L Graham</t>
  </si>
  <si>
    <t xml:space="preserve">	702723286025</t>
  </si>
  <si>
    <t>Dave Haendle</t>
  </si>
  <si>
    <t>6 XLP USE-2 RHH RHW-2 COPPER 3x500</t>
  </si>
  <si>
    <t>39125348-3</t>
  </si>
  <si>
    <t>Harrison Kamrath</t>
  </si>
  <si>
    <t xml:space="preserve">	680483358900</t>
  </si>
  <si>
    <t>Stephen Wester</t>
  </si>
  <si>
    <t xml:space="preserve">	680483358921</t>
  </si>
  <si>
    <t>2 Copper Wire Tinned Bare</t>
  </si>
  <si>
    <t>679301395389</t>
  </si>
  <si>
    <t>675157528415</t>
  </si>
  <si>
    <t>Faron Edens</t>
  </si>
  <si>
    <t>51953709</t>
  </si>
  <si>
    <t>Keith Martin</t>
  </si>
  <si>
    <t>702723285978</t>
  </si>
  <si>
    <t>Edward Colley</t>
  </si>
  <si>
    <t xml:space="preserve">	702723286139</t>
  </si>
  <si>
    <t xml:space="preserve">	680483358954</t>
  </si>
  <si>
    <t>Doug Kaufman</t>
  </si>
  <si>
    <t>702723285967</t>
  </si>
  <si>
    <t>BranDee N Savell</t>
  </si>
  <si>
    <t xml:space="preserve">	680483359001</t>
  </si>
  <si>
    <t>R2 Inc</t>
  </si>
  <si>
    <t>676563246018</t>
  </si>
  <si>
    <t>Bradley Quick</t>
  </si>
  <si>
    <t xml:space="preserve">	702723285956</t>
  </si>
  <si>
    <t>Robert Wickham</t>
  </si>
  <si>
    <t xml:space="preserve">	680483358932</t>
  </si>
  <si>
    <t>Graham Snider</t>
  </si>
  <si>
    <t xml:space="preserve">	680483358987</t>
  </si>
  <si>
    <t>Thom Babbes</t>
  </si>
  <si>
    <t xml:space="preserve">	702723285989</t>
  </si>
  <si>
    <t>William Rollins</t>
  </si>
  <si>
    <t>Hickman</t>
  </si>
  <si>
    <t xml:space="preserve">	702723285934</t>
  </si>
  <si>
    <t>675157528460</t>
  </si>
  <si>
    <t>Jonathan Smith</t>
  </si>
  <si>
    <t xml:space="preserve">	616712875671</t>
  </si>
  <si>
    <t>702723285945</t>
  </si>
  <si>
    <t>Eric Frilling</t>
  </si>
  <si>
    <t>Obion</t>
  </si>
  <si>
    <t>609851518480</t>
  </si>
  <si>
    <t>390326924</t>
  </si>
  <si>
    <t>Jacob Hershberger</t>
  </si>
  <si>
    <t>675157528448</t>
  </si>
  <si>
    <t>Scott Howell</t>
  </si>
  <si>
    <t xml:space="preserve">	702723285923</t>
  </si>
  <si>
    <t>John Glover</t>
  </si>
  <si>
    <t>675157528437</t>
  </si>
  <si>
    <t>Jerauld Smith</t>
  </si>
  <si>
    <t xml:space="preserve">	702723285901</t>
  </si>
  <si>
    <t>Allen Jackson</t>
  </si>
  <si>
    <t>675157528426</t>
  </si>
  <si>
    <t>David Ivan Joyce</t>
  </si>
  <si>
    <t xml:space="preserve">	680483359012</t>
  </si>
  <si>
    <t>Marc Cozza</t>
  </si>
  <si>
    <t>702723286003</t>
  </si>
  <si>
    <t>Christy Moore</t>
  </si>
  <si>
    <t xml:space="preserve">	702723285886</t>
  </si>
  <si>
    <t>Scott Osterling</t>
  </si>
  <si>
    <t>702723285897</t>
  </si>
  <si>
    <t>Sean Morneau</t>
  </si>
  <si>
    <t xml:space="preserve">	680483358976</t>
  </si>
  <si>
    <t>Ernie Hill</t>
  </si>
  <si>
    <t>680483358965</t>
  </si>
  <si>
    <t>Best Car Care II Inc.</t>
  </si>
  <si>
    <t xml:space="preserve">	680483358943</t>
  </si>
  <si>
    <t>John L Bengfort</t>
  </si>
  <si>
    <t>639564015850</t>
  </si>
  <si>
    <t>Carlos M Rodriguez</t>
  </si>
  <si>
    <t>616712875708</t>
  </si>
  <si>
    <t>Jennifer Stedman</t>
  </si>
  <si>
    <t>639794969187</t>
  </si>
  <si>
    <t>Dana W Ward</t>
  </si>
  <si>
    <t>642286528581</t>
  </si>
  <si>
    <t>Craig Rokke</t>
  </si>
  <si>
    <t>675157528470</t>
  </si>
  <si>
    <t>Michael Neerings</t>
  </si>
  <si>
    <t>675157528459</t>
  </si>
  <si>
    <t>Luis Ramos</t>
  </si>
  <si>
    <t>675157528481</t>
  </si>
  <si>
    <t>Mark Brady</t>
  </si>
  <si>
    <t>642286528560</t>
  </si>
  <si>
    <t>Tyler McLaughlin</t>
  </si>
  <si>
    <t xml:space="preserve">	665645046729</t>
  </si>
  <si>
    <t>tylr54@hotmail.com</t>
  </si>
  <si>
    <t>Aryeh Satt</t>
  </si>
  <si>
    <t>702723286047, 702723286058, 702723286069, 702723286070</t>
  </si>
  <si>
    <t>expressappliance@gmail.com</t>
  </si>
  <si>
    <t>M Casey Clark</t>
  </si>
  <si>
    <t>3653245956</t>
  </si>
  <si>
    <t>casey@apmutah.com</t>
  </si>
  <si>
    <t>K Scott Jones</t>
  </si>
  <si>
    <t xml:space="preserve">	680483358998</t>
  </si>
  <si>
    <t>jones.kscott@gmail.com</t>
  </si>
  <si>
    <t>James Rohrer</t>
  </si>
  <si>
    <t xml:space="preserve">	702723286036</t>
  </si>
  <si>
    <t>candjrohrer@aol.com</t>
  </si>
  <si>
    <t>Daniel McCue</t>
  </si>
  <si>
    <t>675692462159</t>
  </si>
  <si>
    <t>eli@albeyers.com</t>
  </si>
  <si>
    <t>Darin Addis</t>
  </si>
  <si>
    <t>16 Tinned XLPE</t>
  </si>
  <si>
    <t xml:space="preserve">	574454199255</t>
  </si>
  <si>
    <t>darin.addis@simpat.co</t>
  </si>
  <si>
    <t>506964213</t>
  </si>
  <si>
    <t>jhulbert@wynalda.com</t>
  </si>
  <si>
    <t>702723286014</t>
  </si>
  <si>
    <t>Jeremie Branscum</t>
  </si>
  <si>
    <t>3065642414</t>
  </si>
  <si>
    <t>seanpaul.warwick@seca-tunnel.com</t>
  </si>
  <si>
    <t>James Fawks</t>
  </si>
  <si>
    <t xml:space="preserve">	702723286080</t>
  </si>
  <si>
    <t>Kenneth Vanden Berg</t>
  </si>
  <si>
    <t xml:space="preserve">	702723286117</t>
  </si>
  <si>
    <t>Julie Eiland</t>
  </si>
  <si>
    <t>18/37 VNTC Shielded</t>
  </si>
  <si>
    <t>650024037782</t>
  </si>
  <si>
    <t>Jaime Homan</t>
  </si>
  <si>
    <t>675157528600</t>
  </si>
  <si>
    <t>Alan Haddy</t>
  </si>
  <si>
    <t>6 THHN STR GREEN</t>
  </si>
  <si>
    <t>675157528584</t>
  </si>
  <si>
    <t>Hidden Valley Colony</t>
  </si>
  <si>
    <t>500MCM 4C W/GRND ALUM COND ARMORED JKT part # 801239 Northern cables</t>
  </si>
  <si>
    <t xml:space="preserve">freightline </t>
  </si>
  <si>
    <t>jeff wilson 877-498-9997/905-315-8788 robertson order to montana</t>
  </si>
  <si>
    <t>Terryann Williams</t>
  </si>
  <si>
    <t xml:space="preserve">	702723286128</t>
  </si>
  <si>
    <t>Jeffrey Coldon</t>
  </si>
  <si>
    <t xml:space="preserve">	702723286140</t>
  </si>
  <si>
    <t>Paul Blake</t>
  </si>
  <si>
    <t>777013507410</t>
  </si>
  <si>
    <t>Barry Koch</t>
  </si>
  <si>
    <t xml:space="preserve">	702723286106</t>
  </si>
  <si>
    <t>Wesley Sinor</t>
  </si>
  <si>
    <t>675157528595</t>
  </si>
  <si>
    <t>John Williams</t>
  </si>
  <si>
    <t xml:space="preserve">	5011502905</t>
  </si>
  <si>
    <t>John Hutson</t>
  </si>
  <si>
    <t xml:space="preserve">	663910434532</t>
  </si>
  <si>
    <t>Darlene Pilling</t>
  </si>
  <si>
    <t xml:space="preserve">	702723286150</t>
  </si>
  <si>
    <t>Glenn Elliott</t>
  </si>
  <si>
    <t xml:space="preserve">	702723286091</t>
  </si>
  <si>
    <t>Mike Yakemik</t>
  </si>
  <si>
    <t>5014094321</t>
  </si>
  <si>
    <t>Mark Flanary</t>
  </si>
  <si>
    <t xml:space="preserve">	700044010904</t>
  </si>
  <si>
    <t>executivesouth@yahoo.com</t>
  </si>
  <si>
    <t>Spiro Vangelatos</t>
  </si>
  <si>
    <t xml:space="preserve">6-6-6-8 SER AL
</t>
  </si>
  <si>
    <t>888040821</t>
  </si>
  <si>
    <t>spiro@mj-ny.com</t>
  </si>
  <si>
    <t xml:space="preserve">Galvanized EHS 1/4 cable </t>
  </si>
  <si>
    <t>668693520046</t>
  </si>
  <si>
    <t>3003788A</t>
  </si>
  <si>
    <t>Aurelie Vozak</t>
  </si>
  <si>
    <t>1010081831</t>
  </si>
  <si>
    <t>avozk@cavalia.net / logisticsc2@cavalia.net</t>
  </si>
  <si>
    <t>Jack Petty</t>
  </si>
  <si>
    <t>2/0 Welding Cable Orange Ultra Flex</t>
  </si>
  <si>
    <t>6422 8652 8570</t>
  </si>
  <si>
    <t>Galen Gillett</t>
  </si>
  <si>
    <t>639564015861</t>
  </si>
  <si>
    <t>awoods@roimachinery.com</t>
  </si>
  <si>
    <t>4 Welding Cable Black</t>
  </si>
  <si>
    <t>6 Welding Cable Black</t>
  </si>
  <si>
    <t xml:space="preserve">	700044010981</t>
  </si>
  <si>
    <t>3003791A</t>
  </si>
  <si>
    <t>Yaun Company Inc.</t>
  </si>
  <si>
    <t>paid 10.24.2016</t>
  </si>
  <si>
    <t>Rule Steel Tanks Inc.</t>
  </si>
  <si>
    <t>306564248-4</t>
  </si>
  <si>
    <t xml:space="preserve">	614697965920</t>
  </si>
  <si>
    <t>3003793A</t>
  </si>
  <si>
    <t>Aaron Mleynek</t>
  </si>
  <si>
    <t>DATS</t>
  </si>
  <si>
    <t>753728688</t>
  </si>
  <si>
    <t>amleynek@gmail.com</t>
  </si>
  <si>
    <t>16/5 SOOW</t>
  </si>
  <si>
    <t xml:space="preserve">	680483359078</t>
  </si>
  <si>
    <t>Leslie G Hoffman</t>
  </si>
  <si>
    <t>GALEN GILLETT</t>
  </si>
  <si>
    <t xml:space="preserve">	680483359056</t>
  </si>
  <si>
    <t>Randy Hicks</t>
  </si>
  <si>
    <t xml:space="preserve">	680483359067</t>
  </si>
  <si>
    <t>Craig Stephen</t>
  </si>
  <si>
    <t xml:space="preserve">	680483359034</t>
  </si>
  <si>
    <t>Michael Hashey</t>
  </si>
  <si>
    <t xml:space="preserve"> 	680483359045</t>
  </si>
  <si>
    <t>John Licter</t>
  </si>
  <si>
    <t xml:space="preserve">	702723286161</t>
  </si>
  <si>
    <t>Kenneth Vandewater</t>
  </si>
  <si>
    <t>639564015883</t>
  </si>
  <si>
    <t>Jonathan Wurster</t>
  </si>
  <si>
    <t>390327633</t>
  </si>
  <si>
    <t>Loren Knapp</t>
  </si>
  <si>
    <t>Oswego</t>
  </si>
  <si>
    <t>616712875774</t>
  </si>
  <si>
    <t>John Ferreby</t>
  </si>
  <si>
    <t xml:space="preserve">	661091351539</t>
  </si>
  <si>
    <t>Steven Diehl</t>
  </si>
  <si>
    <t xml:space="preserve">	680483359023</t>
  </si>
  <si>
    <t>sdiehl@kutztownboro.org</t>
  </si>
  <si>
    <t>Barry Atwood</t>
  </si>
  <si>
    <t>675157528735</t>
  </si>
  <si>
    <t>Andy Rodabaugh</t>
  </si>
  <si>
    <t>675157528698</t>
  </si>
  <si>
    <t>Jack West</t>
  </si>
  <si>
    <t xml:space="preserve">	702723286183</t>
  </si>
  <si>
    <t>Danny Garrett</t>
  </si>
  <si>
    <t xml:space="preserve">	702723286172</t>
  </si>
  <si>
    <t>Paul Key</t>
  </si>
  <si>
    <t>675157528713</t>
  </si>
  <si>
    <t>Carlos Eduardo Urbano</t>
  </si>
  <si>
    <t>12/3 W/GRND XHHW CPE FREP 279910 Part #</t>
  </si>
  <si>
    <t>$80 cut charges</t>
  </si>
  <si>
    <t>10/3 W/GRND XHHW CPE FREP 279930 Part #</t>
  </si>
  <si>
    <t>David Cole</t>
  </si>
  <si>
    <t>675157528724</t>
  </si>
  <si>
    <t>Amber Paul</t>
  </si>
  <si>
    <t xml:space="preserve">	702723286209</t>
  </si>
  <si>
    <t>Larry Miller</t>
  </si>
  <si>
    <t xml:space="preserve">	702723286194</t>
  </si>
  <si>
    <t>Jeff Cook</t>
  </si>
  <si>
    <t>6/3 VNTC W/GRND TC</t>
  </si>
  <si>
    <t xml:space="preserve"> 	680483359126</t>
  </si>
  <si>
    <t>jeffacook@earthlink.net</t>
  </si>
  <si>
    <t>Jack Hill</t>
  </si>
  <si>
    <t xml:space="preserve">	680483359115</t>
  </si>
  <si>
    <t>bear1701d@msn.com</t>
  </si>
  <si>
    <t>Rule Steel Tanks, Inc.</t>
  </si>
  <si>
    <t xml:space="preserve"> 	680483359137</t>
  </si>
  <si>
    <t>B And B Ag Products</t>
  </si>
  <si>
    <t>I686097306</t>
  </si>
  <si>
    <t>Oren Vaknin</t>
  </si>
  <si>
    <t>680483359090, 680483359104</t>
  </si>
  <si>
    <t>Jim Coate</t>
  </si>
  <si>
    <t xml:space="preserve">	702723286573</t>
  </si>
  <si>
    <t>Daniel Oh</t>
  </si>
  <si>
    <t xml:space="preserve">	702723286632</t>
  </si>
  <si>
    <t>Randy Glass</t>
  </si>
  <si>
    <t>87892643</t>
  </si>
  <si>
    <t>Curtis Wilson</t>
  </si>
  <si>
    <t>I444846024</t>
  </si>
  <si>
    <t>brendoncashman@gmail.com</t>
  </si>
  <si>
    <t>Diana Gibson</t>
  </si>
  <si>
    <t xml:space="preserve">	702723286242</t>
  </si>
  <si>
    <t>Dubee Matthew</t>
  </si>
  <si>
    <t xml:space="preserve"> 	702723286551</t>
  </si>
  <si>
    <t xml:space="preserve">	680483359148</t>
  </si>
  <si>
    <t>James Barnes</t>
  </si>
  <si>
    <t xml:space="preserve">	702723286231</t>
  </si>
  <si>
    <t>Dennis Hurley</t>
  </si>
  <si>
    <t xml:space="preserve">	702723286665</t>
  </si>
  <si>
    <t>Luis Denis Catasus</t>
  </si>
  <si>
    <t xml:space="preserve">	702723286600</t>
  </si>
  <si>
    <t>Tom Wysocki</t>
  </si>
  <si>
    <t>500MCM THHN CU 8 REELS 4X80 PARALLELED ON ONE REEL</t>
  </si>
  <si>
    <t>Michael Bremer</t>
  </si>
  <si>
    <t xml:space="preserve">	702723286220</t>
  </si>
  <si>
    <t>michael@mediateamgo.com</t>
  </si>
  <si>
    <t>Kurt Switzer</t>
  </si>
  <si>
    <t>40095950-4</t>
  </si>
  <si>
    <t>keswitzer@gmail.com</t>
  </si>
  <si>
    <t>David Jones</t>
  </si>
  <si>
    <t xml:space="preserve">	87892642-7</t>
  </si>
  <si>
    <t>d.jonesauctions@davidjonesauctions.com</t>
  </si>
  <si>
    <t>Diana Harari</t>
  </si>
  <si>
    <t>XPO LOGISTICS/DLS</t>
  </si>
  <si>
    <t>521907175</t>
  </si>
  <si>
    <t>dharari@redpointeroofing.com</t>
  </si>
  <si>
    <t>Joseph Marek</t>
  </si>
  <si>
    <t>2/3 MC Cable W/GRND</t>
  </si>
  <si>
    <t>700044011072</t>
  </si>
  <si>
    <t>jdm@gvec.net</t>
  </si>
  <si>
    <t>18/4 SOOW 4x250</t>
  </si>
  <si>
    <t>680483359170, 680483359181, 680483359192, 680483359207</t>
  </si>
  <si>
    <t>Yankee Specialty Foods</t>
  </si>
  <si>
    <t>702723286584</t>
  </si>
  <si>
    <t>Jeremy Lee</t>
  </si>
  <si>
    <t>2/3 VNTC TC W/GRND 2/4THHNG</t>
  </si>
  <si>
    <t xml:space="preserve">	702723286264</t>
  </si>
  <si>
    <t>jeremy.lee@trane.com</t>
  </si>
  <si>
    <t>Macy McNeill</t>
  </si>
  <si>
    <t xml:space="preserve">777036223876 </t>
  </si>
  <si>
    <t>Michale McDowell</t>
  </si>
  <si>
    <t xml:space="preserve">	702723286286</t>
  </si>
  <si>
    <t xml:space="preserve">	680483359218</t>
  </si>
  <si>
    <t>Somnuk Kongkran</t>
  </si>
  <si>
    <t>639794969235</t>
  </si>
  <si>
    <t>Peter Bergstrom</t>
  </si>
  <si>
    <t xml:space="preserve"> 	680483359230</t>
  </si>
  <si>
    <t>Kevin Emberton</t>
  </si>
  <si>
    <t xml:space="preserve">	702723286621</t>
  </si>
  <si>
    <t>D Nathan Markham</t>
  </si>
  <si>
    <t xml:space="preserve">	702723286595</t>
  </si>
  <si>
    <t>Dan McLucas</t>
  </si>
  <si>
    <t xml:space="preserve">	680483359229</t>
  </si>
  <si>
    <t>Customer Pick up in dallas</t>
  </si>
  <si>
    <t>Whitney Welding</t>
  </si>
  <si>
    <t>680483359159</t>
  </si>
  <si>
    <t>Washburn &amp; Doughty Assoc Inc</t>
  </si>
  <si>
    <t>1/0 3C VFD W/GND Part # 37-108-316 VFD</t>
  </si>
  <si>
    <t>6/4 SOOW Carol Wire Only 7x250</t>
  </si>
  <si>
    <t>942290285</t>
  </si>
  <si>
    <t>paid 09.26.2016</t>
  </si>
  <si>
    <t>2398</t>
  </si>
  <si>
    <t>3003851A</t>
  </si>
  <si>
    <t>12 THHN BLACK (11 in spool diamter)</t>
  </si>
  <si>
    <t>700329329997</t>
  </si>
  <si>
    <t>3003851B</t>
  </si>
  <si>
    <t>12 THHN WHITE (11 in spool diameter) 2x500</t>
  </si>
  <si>
    <t>700329330008, 700329330019</t>
  </si>
  <si>
    <t>14 THHN BLUE (11 in spool diameter)</t>
  </si>
  <si>
    <t>700329330020</t>
  </si>
  <si>
    <t>14 THHN RED (11 in spool diameter)</t>
  </si>
  <si>
    <t>700329330030</t>
  </si>
  <si>
    <t>Docom Technologies</t>
  </si>
  <si>
    <t xml:space="preserve">18/2 SJOOW YELLOW </t>
  </si>
  <si>
    <t>Anna Bate</t>
  </si>
  <si>
    <t>702723286643</t>
  </si>
  <si>
    <t>Kyle Rhodes</t>
  </si>
  <si>
    <t>616712875958</t>
  </si>
  <si>
    <t>Gary Peyton</t>
  </si>
  <si>
    <t>4/0-4/0-4/0-2/0 MC AL WITH JACKET 2x 500</t>
  </si>
  <si>
    <t xml:space="preserve">Customer Pick up </t>
  </si>
  <si>
    <t>5014186836</t>
  </si>
  <si>
    <t>rsm@loumarks.com</t>
  </si>
  <si>
    <t>Bay-Tech Industries Inc.</t>
  </si>
  <si>
    <t>2/0 Welding Cable 1x 2500</t>
  </si>
  <si>
    <t>2538610922</t>
  </si>
  <si>
    <t>paid 09.13.2016</t>
  </si>
  <si>
    <t>kmiller@baytechrentals.com</t>
  </si>
  <si>
    <t>22442332</t>
  </si>
  <si>
    <t>paid 09.16.2016</t>
  </si>
  <si>
    <t>Matthew Labosky</t>
  </si>
  <si>
    <t xml:space="preserve">	680483359273</t>
  </si>
  <si>
    <t>Keith Morehouse</t>
  </si>
  <si>
    <t>702723286610</t>
  </si>
  <si>
    <t>Everett Nixon</t>
  </si>
  <si>
    <t>675157528882</t>
  </si>
  <si>
    <t>Joe Bayes</t>
  </si>
  <si>
    <t xml:space="preserve"> 	702723286698</t>
  </si>
  <si>
    <t>Kayla Cain</t>
  </si>
  <si>
    <t xml:space="preserve">	680483359251</t>
  </si>
  <si>
    <t>Dolan Ellenburger</t>
  </si>
  <si>
    <t>409642345</t>
  </si>
  <si>
    <t xml:space="preserve">	680483359240</t>
  </si>
  <si>
    <t>16-4 Solid Plenum Rated Fire Alarm FPLP Cable Wire</t>
  </si>
  <si>
    <t xml:space="preserve">	616712875969</t>
  </si>
  <si>
    <t>Thomas Dostart</t>
  </si>
  <si>
    <t xml:space="preserve">	702723286654</t>
  </si>
  <si>
    <t>Sean Rivkin</t>
  </si>
  <si>
    <t xml:space="preserve">	680483359284</t>
  </si>
  <si>
    <t xml:space="preserve"> 	665645046821</t>
  </si>
  <si>
    <t>Sonny Hartfield</t>
  </si>
  <si>
    <t xml:space="preserve">	680483359262</t>
  </si>
  <si>
    <t>Cathy Whitehead</t>
  </si>
  <si>
    <t>6/3 Bus Drop Cable</t>
  </si>
  <si>
    <t>676563247584</t>
  </si>
  <si>
    <t>Gregory Torres</t>
  </si>
  <si>
    <t>702723286334</t>
  </si>
  <si>
    <t>Greg Hivley</t>
  </si>
  <si>
    <t>702723286389</t>
  </si>
  <si>
    <t xml:space="preserve">	702723286301</t>
  </si>
  <si>
    <t xml:space="preserve"> 	702723286562</t>
  </si>
  <si>
    <t>Thomas Dunaway</t>
  </si>
  <si>
    <t xml:space="preserve">	702723286378</t>
  </si>
  <si>
    <t>Hao Tran</t>
  </si>
  <si>
    <t>675157528930 '675157528941</t>
  </si>
  <si>
    <t>Lenny Duke</t>
  </si>
  <si>
    <t>675157528974</t>
  </si>
  <si>
    <t>Justin Slanec</t>
  </si>
  <si>
    <t>680483359310</t>
  </si>
  <si>
    <t>Lynda Fay</t>
  </si>
  <si>
    <t>675157528908</t>
  </si>
  <si>
    <t>Randy Bretz</t>
  </si>
  <si>
    <t>702723286390</t>
  </si>
  <si>
    <t>Charles Edward Feagain</t>
  </si>
  <si>
    <t>675157528920</t>
  </si>
  <si>
    <t>David Garbarsky</t>
  </si>
  <si>
    <t>14 AWG Lead Wire Type SF-2 SEW-2 UL 3071 Tin Plated Copper - Silicone Rubber 200C - 600V Black</t>
  </si>
  <si>
    <t>679301395871</t>
  </si>
  <si>
    <t>Jennifer Terzo</t>
  </si>
  <si>
    <t>630512244490</t>
  </si>
  <si>
    <t>Mr John Delacruz</t>
  </si>
  <si>
    <t xml:space="preserve">	702723286312</t>
  </si>
  <si>
    <t>Paul Panther</t>
  </si>
  <si>
    <t>654016287014</t>
  </si>
  <si>
    <t>Dennis Lynn Jacks</t>
  </si>
  <si>
    <t xml:space="preserve">	702723286356</t>
  </si>
  <si>
    <t>Tommy Hicks</t>
  </si>
  <si>
    <t xml:space="preserve">	702723286367</t>
  </si>
  <si>
    <t>John O'Donnell</t>
  </si>
  <si>
    <t>675157528952</t>
  </si>
  <si>
    <t>Bobby Lott</t>
  </si>
  <si>
    <t>675157528893</t>
  </si>
  <si>
    <t>Jim Manolino</t>
  </si>
  <si>
    <t>14/24 SOOW</t>
  </si>
  <si>
    <t>925384083</t>
  </si>
  <si>
    <t>jmanolino@automationservicesinc.com</t>
  </si>
  <si>
    <t>Claude Mitchelle</t>
  </si>
  <si>
    <t>3491448516</t>
  </si>
  <si>
    <t>mitch@fischerelectric.com</t>
  </si>
  <si>
    <t>SHIPPING TO TAIWAN</t>
  </si>
  <si>
    <t>Michael Jenson</t>
  </si>
  <si>
    <t xml:space="preserve">	702723286297</t>
  </si>
  <si>
    <t>Cecil Phelps</t>
  </si>
  <si>
    <t xml:space="preserve">	702723286345</t>
  </si>
  <si>
    <t>Gloria Ferrari</t>
  </si>
  <si>
    <t xml:space="preserve"> 	680483359300</t>
  </si>
  <si>
    <t xml:space="preserve">	680483359295</t>
  </si>
  <si>
    <t>markpamelectric@yahoo.com</t>
  </si>
  <si>
    <t>Shrag Electric</t>
  </si>
  <si>
    <t>4/4 MC W/GRND</t>
  </si>
  <si>
    <t>paid 10.17.2016</t>
  </si>
  <si>
    <t>12 THHN SOLID BLACK 4x2500</t>
  </si>
  <si>
    <t>delivering on 8/25/16</t>
  </si>
  <si>
    <t xml:space="preserve">3003899A </t>
  </si>
  <si>
    <t>12 THHN SOLID RED 4x2500</t>
  </si>
  <si>
    <t>3003899A</t>
  </si>
  <si>
    <t>12 THHN SOLID WHITE 4x2500</t>
  </si>
  <si>
    <t>4-4-6 SEU AL</t>
  </si>
  <si>
    <t>777056631465</t>
  </si>
  <si>
    <t>3003499B</t>
  </si>
  <si>
    <t>James Murray</t>
  </si>
  <si>
    <t>203115775</t>
  </si>
  <si>
    <t>jpmurray12@aol.com</t>
  </si>
  <si>
    <t>Jeremy Bowman</t>
  </si>
  <si>
    <t>2/0 AWG 2kV Single Conductor Power Cable Gexol Insulation Unarmored</t>
  </si>
  <si>
    <t xml:space="preserve">Trinity </t>
  </si>
  <si>
    <t>1ZX8741X0195167520</t>
  </si>
  <si>
    <t>jeremy.j.bowman@navy.mil</t>
  </si>
  <si>
    <t>Norm Boauman</t>
  </si>
  <si>
    <t>638116503851</t>
  </si>
  <si>
    <t>ncb3@customsecurecom.com</t>
  </si>
  <si>
    <t>Metal Building Specialist</t>
  </si>
  <si>
    <t>10417597522</t>
  </si>
  <si>
    <t>monster56@hotmail.com</t>
  </si>
  <si>
    <t>Willard Greenup</t>
  </si>
  <si>
    <t xml:space="preserve">	680483359365</t>
  </si>
  <si>
    <t>Roy Andes</t>
  </si>
  <si>
    <t xml:space="preserve">	702723286437</t>
  </si>
  <si>
    <t>Yaneth Zuniga</t>
  </si>
  <si>
    <t>675157528919</t>
  </si>
  <si>
    <t>Fred Blitzer</t>
  </si>
  <si>
    <t xml:space="preserve">	680483359321</t>
  </si>
  <si>
    <t xml:space="preserve">	680483359354</t>
  </si>
  <si>
    <t>Jeff Grigg</t>
  </si>
  <si>
    <t xml:space="preserve">	609851520208</t>
  </si>
  <si>
    <t>Rakesh Gujar</t>
  </si>
  <si>
    <t xml:space="preserve">	680483359332</t>
  </si>
  <si>
    <t>Tim Berkelman</t>
  </si>
  <si>
    <t xml:space="preserve">	680483359343</t>
  </si>
  <si>
    <t>Alfred M Morton</t>
  </si>
  <si>
    <t xml:space="preserve">	702723286426</t>
  </si>
  <si>
    <t>750 STRIPED YELLOW AL - PARALLELED ON A REEL - 250 FT EACH CUT - WIRES MUST BE TAPED BLUE, BLACK, RED, WHITE</t>
  </si>
  <si>
    <t>372347458-0</t>
  </si>
  <si>
    <t>750 STRIPED ORANGE AL PARALLELED ON A REEL - 4 CUTS ON EACH REEL - 170 FT OF EACH CUT - WIRES MUST BE TAPED BLUE, BLACK, RED, WHITE</t>
  </si>
  <si>
    <t>500 STRIPED GREEN AL PARALLELED ON A REEL-4 CUTS ON EACH REEL - 60FT OF EACH CUT - WIRES MUST BE TAPED BLUE, BLACK, RED, WHITE</t>
  </si>
  <si>
    <t>250MCM AL PARALLELED ON A REEL - 4 CUTS ON EACH REEL - 170FT OF EACH CUT - WIRES MUST BE TAPED BLUE, BLACK, RED, WHITE</t>
  </si>
  <si>
    <t>3003913A</t>
  </si>
  <si>
    <t>250MCM AL PARALLELED ON A REED - 4 CUTS ON EACH REEL - 60 FT OF EACH CUT - WIRES MUST BE TAPED BLUE, BLACK, RED, WHITE</t>
  </si>
  <si>
    <t>#2 PRIMARY CABLE-10-#14-PARALLELED ON A REEL-3 CUTS - 260FT</t>
  </si>
  <si>
    <t>750 XHHW AL STRIPED YELLOW 1x1500 1x2500</t>
  </si>
  <si>
    <t>ESTES/ECHO</t>
  </si>
  <si>
    <t>3003913B ... we will pick up</t>
  </si>
  <si>
    <t>750 XHHW AL STRIPED ORANGE 1x680</t>
  </si>
  <si>
    <t>3003913B</t>
  </si>
  <si>
    <t>500 XHHW AL STRIPED GREEN 1x480</t>
  </si>
  <si>
    <t>Crown Wire</t>
  </si>
  <si>
    <t xml:space="preserve">	5612651817</t>
  </si>
  <si>
    <t>6/3ALW/GSER</t>
  </si>
  <si>
    <t xml:space="preserve">	702723286460</t>
  </si>
  <si>
    <t>Tammy Purl</t>
  </si>
  <si>
    <t>12/16 SOOW</t>
  </si>
  <si>
    <t xml:space="preserve">	680993425191</t>
  </si>
  <si>
    <t>Devin Lunney</t>
  </si>
  <si>
    <t>750 200C Cable SRK Cable</t>
  </si>
  <si>
    <t xml:space="preserve">FEDEX FREIGHT </t>
  </si>
  <si>
    <t>393947064-0</t>
  </si>
  <si>
    <t>devin.lunney@psca.mhps.com</t>
  </si>
  <si>
    <t>Gregory Miller</t>
  </si>
  <si>
    <t>675157528963</t>
  </si>
  <si>
    <t>gregnjen@cheqnet.net</t>
  </si>
  <si>
    <t>Jayme Stonbraker</t>
  </si>
  <si>
    <t xml:space="preserve">	702723286448</t>
  </si>
  <si>
    <t>Chris Rameson</t>
  </si>
  <si>
    <t>6/4 SOOW 3x500</t>
  </si>
  <si>
    <t>390328300</t>
  </si>
  <si>
    <t>Shane Goman</t>
  </si>
  <si>
    <t xml:space="preserve">	702723286470</t>
  </si>
  <si>
    <t>Mark Beaver</t>
  </si>
  <si>
    <t xml:space="preserve">	680483359413</t>
  </si>
  <si>
    <t>Melodie Pinder</t>
  </si>
  <si>
    <t>630512244480</t>
  </si>
  <si>
    <t>F M Blalock</t>
  </si>
  <si>
    <t xml:space="preserve">	680483359376</t>
  </si>
  <si>
    <t>Kevin Hagel</t>
  </si>
  <si>
    <t>12/4 SOOW 2x500</t>
  </si>
  <si>
    <t>I730492713</t>
  </si>
  <si>
    <t>Selma Massey</t>
  </si>
  <si>
    <t xml:space="preserve"> 	680483359398</t>
  </si>
  <si>
    <t>Kelly Clark Morrisette</t>
  </si>
  <si>
    <t xml:space="preserve"> 	680483359424</t>
  </si>
  <si>
    <t>Kory Watson</t>
  </si>
  <si>
    <t xml:space="preserve">	680483359402</t>
  </si>
  <si>
    <t>Kenneth Blood</t>
  </si>
  <si>
    <t>702723286529</t>
  </si>
  <si>
    <t>David Chambers</t>
  </si>
  <si>
    <t>630512244516</t>
  </si>
  <si>
    <t>630512244527</t>
  </si>
  <si>
    <t>Kevin Evers</t>
  </si>
  <si>
    <t xml:space="preserve">	702723286530</t>
  </si>
  <si>
    <t>Dawn Kreuz</t>
  </si>
  <si>
    <t xml:space="preserve">	702723286507</t>
  </si>
  <si>
    <t>Lavern Stoll</t>
  </si>
  <si>
    <t xml:space="preserve">	702723286540</t>
  </si>
  <si>
    <t>18/2 SJOOW YELLOW 02601 </t>
  </si>
  <si>
    <t>000009074</t>
  </si>
  <si>
    <t>Colin Cherney</t>
  </si>
  <si>
    <t>Ibis 2x6944</t>
  </si>
  <si>
    <t>3746120895</t>
  </si>
  <si>
    <t>colin@dominohighvoltage.com</t>
  </si>
  <si>
    <t>Champion</t>
  </si>
  <si>
    <t>3003936A.. we will pick up</t>
  </si>
  <si>
    <t>Air Solutions</t>
  </si>
  <si>
    <t>10 THHN COPPER BLACK</t>
  </si>
  <si>
    <t>martha@air-solution.com</t>
  </si>
  <si>
    <t>10 THHN COPPER ORANGE</t>
  </si>
  <si>
    <t>10 THHN COPPER YELLOW</t>
  </si>
  <si>
    <t>Daniel Glass</t>
  </si>
  <si>
    <t xml:space="preserve">	680483359435</t>
  </si>
  <si>
    <t>Larry B Davis Jr</t>
  </si>
  <si>
    <t>702723286518</t>
  </si>
  <si>
    <t>Nazeemul Hakh</t>
  </si>
  <si>
    <t>589503141</t>
  </si>
  <si>
    <t>nazeemul@goldenfleecerice.com</t>
  </si>
  <si>
    <t>Eric Heckman</t>
  </si>
  <si>
    <t>802235232</t>
  </si>
  <si>
    <t>argostcoop1@verizon.net</t>
  </si>
  <si>
    <t>Jeff Newbern</t>
  </si>
  <si>
    <t>gald2121@gmail.com</t>
  </si>
  <si>
    <t>paid 11.17.2016</t>
  </si>
  <si>
    <t>Bill McDonell</t>
  </si>
  <si>
    <t xml:space="preserve">	665645046795</t>
  </si>
  <si>
    <t>James Scott</t>
  </si>
  <si>
    <t xml:space="preserve"> 	306561541-6</t>
  </si>
  <si>
    <t>newbeginningbuilders@gmail.com</t>
  </si>
  <si>
    <t>12/3 XHHW TC</t>
  </si>
  <si>
    <t>3757501742</t>
  </si>
  <si>
    <t>bill to apinvoices@nypa.gov</t>
  </si>
  <si>
    <t>14/19 CONDUCTOR XHHW</t>
  </si>
  <si>
    <t>8/3 XHHW TC W/GRND</t>
  </si>
  <si>
    <t>3740307922</t>
  </si>
  <si>
    <t>paid on 10.27.2016</t>
  </si>
  <si>
    <t>16/12 XHHW TWISTED SHIELDED PAIRS FR-EP INSULATION &amp; CPE JACKET SPOS </t>
  </si>
  <si>
    <t>3972081245</t>
  </si>
  <si>
    <t>Brian Pruitt</t>
  </si>
  <si>
    <t>4 THHN BLACK 2x200</t>
  </si>
  <si>
    <t xml:space="preserve">	665645046762</t>
  </si>
  <si>
    <t>pruitt76@hotmail.com</t>
  </si>
  <si>
    <t>4 THHN GREY 1x200</t>
  </si>
  <si>
    <t>654016287779</t>
  </si>
  <si>
    <t>3003947A</t>
  </si>
  <si>
    <t>Gregory Matatall</t>
  </si>
  <si>
    <t>XPO/DLS</t>
  </si>
  <si>
    <t>634370590</t>
  </si>
  <si>
    <t>gregorymatatall@gmail.com</t>
  </si>
  <si>
    <t>4 THHN STR COPPER 2x500</t>
  </si>
  <si>
    <t>DELIVERED VIA TRUCK</t>
  </si>
  <si>
    <t>Kevin Jenson</t>
  </si>
  <si>
    <t>kevin@jmwfabrication.com</t>
  </si>
  <si>
    <t>John Lilly</t>
  </si>
  <si>
    <t>8 THHN BLACK 2x330</t>
  </si>
  <si>
    <t>690869920392</t>
  </si>
  <si>
    <t>lilly.john@gmail.com</t>
  </si>
  <si>
    <t>8 THHN RED 2x330</t>
  </si>
  <si>
    <t>690869920407</t>
  </si>
  <si>
    <t>10 THHN GREEN 1x330</t>
  </si>
  <si>
    <t>690869920418</t>
  </si>
  <si>
    <t>Jakob Isosaari</t>
  </si>
  <si>
    <t>639794969280</t>
  </si>
  <si>
    <t>Ella L Anthony</t>
  </si>
  <si>
    <t xml:space="preserve">	3250116741</t>
  </si>
  <si>
    <t>Bill Rudy</t>
  </si>
  <si>
    <t xml:space="preserve"> 	702723286676</t>
  </si>
  <si>
    <t>Dean Mitchell</t>
  </si>
  <si>
    <t xml:space="preserve">	665645046730</t>
  </si>
  <si>
    <t>Danny Derry</t>
  </si>
  <si>
    <t xml:space="preserve">	702723286687</t>
  </si>
  <si>
    <t>2/4 SEOOW</t>
  </si>
  <si>
    <t>Mark Krautle</t>
  </si>
  <si>
    <t>20 AWG Type J-X 24 Pair</t>
  </si>
  <si>
    <t>609851520664</t>
  </si>
  <si>
    <t>cam2@zotefoams.com</t>
  </si>
  <si>
    <t>20 AWG Type J-X 12 Pair</t>
  </si>
  <si>
    <t>609851520675</t>
  </si>
  <si>
    <t>250/3 GGC</t>
  </si>
  <si>
    <t>376760915-6</t>
  </si>
  <si>
    <t>3965145041</t>
  </si>
  <si>
    <t>Dave Hornsby</t>
  </si>
  <si>
    <t xml:space="preserve">	3746121013</t>
  </si>
  <si>
    <t>dhornsby@empireminingco.com</t>
  </si>
  <si>
    <t>Pinterest Office - Kevin Sugiyama</t>
  </si>
  <si>
    <t xml:space="preserve">	665645046810</t>
  </si>
  <si>
    <t>Zachary Hunt</t>
  </si>
  <si>
    <t>665645046751</t>
  </si>
  <si>
    <t>Lisa Shinaberry</t>
  </si>
  <si>
    <t>16/4 Stranded Overall Shielded Security &amp; Alarm Cable CMR/CMG - Gray Belden 5202FE</t>
  </si>
  <si>
    <t>118391272708243</t>
  </si>
  <si>
    <t>Rengel Javier</t>
  </si>
  <si>
    <t xml:space="preserve">	665645046740</t>
  </si>
  <si>
    <t>Nicholas J Korfhagen</t>
  </si>
  <si>
    <t xml:space="preserve">	665645046773</t>
  </si>
  <si>
    <t>Daryl M Hoisager</t>
  </si>
  <si>
    <t xml:space="preserve">	665645046784</t>
  </si>
  <si>
    <t>Zach Williams</t>
  </si>
  <si>
    <t xml:space="preserve"> 	665645046854</t>
  </si>
  <si>
    <t>Randy Moore</t>
  </si>
  <si>
    <t>667087314481</t>
  </si>
  <si>
    <t>Jennifer Soltis</t>
  </si>
  <si>
    <t xml:space="preserve">	665645046843</t>
  </si>
  <si>
    <t>Archie L Henson</t>
  </si>
  <si>
    <t>10 AWG 3 Conductor W/Bare CU GND Non-Shielded Power Tray Cable UL Type TC-ER K2 Black</t>
  </si>
  <si>
    <t>669974333120</t>
  </si>
  <si>
    <t>Larry McGuire</t>
  </si>
  <si>
    <t xml:space="preserve">	665645046832</t>
  </si>
  <si>
    <t>Christina Tozzie</t>
  </si>
  <si>
    <t>8/2 Type W</t>
  </si>
  <si>
    <t>1ZA8W6990341793867</t>
  </si>
  <si>
    <t>ctozzie@lewisbolt.com</t>
  </si>
  <si>
    <t>Virgina Ramsland</t>
  </si>
  <si>
    <t xml:space="preserve">	665645046800</t>
  </si>
  <si>
    <t>12/4 SOOW (300.00 for wire + 400.00 freight + 320.00 freight)</t>
  </si>
  <si>
    <t>Donald Hillbish</t>
  </si>
  <si>
    <t xml:space="preserve"> 	702723286746</t>
  </si>
  <si>
    <t>David Stanton</t>
  </si>
  <si>
    <t>589503276</t>
  </si>
  <si>
    <t>Matt Tebo</t>
  </si>
  <si>
    <t xml:space="preserve">	665645046902</t>
  </si>
  <si>
    <t>Todd Froehlich</t>
  </si>
  <si>
    <t>205355088</t>
  </si>
  <si>
    <t>Morgan Riddell</t>
  </si>
  <si>
    <t xml:space="preserve">	665645046898</t>
  </si>
  <si>
    <t>Robert Kajfasz</t>
  </si>
  <si>
    <t>665645046913</t>
  </si>
  <si>
    <t>Sharon Pratt</t>
  </si>
  <si>
    <t xml:space="preserve">	665645046876</t>
  </si>
  <si>
    <t>1Z9X760X0361008242</t>
  </si>
  <si>
    <t>Burlington Moss</t>
  </si>
  <si>
    <t xml:space="preserve">	702723286713</t>
  </si>
  <si>
    <t>Dave Michelson</t>
  </si>
  <si>
    <t xml:space="preserve">	665645046887</t>
  </si>
  <si>
    <t>Jeremy Crawford</t>
  </si>
  <si>
    <t>639564015953</t>
  </si>
  <si>
    <t>Chester D Isom Jr</t>
  </si>
  <si>
    <t xml:space="preserve">	702723286735</t>
  </si>
  <si>
    <t>372176933</t>
  </si>
  <si>
    <t>675692462858</t>
  </si>
  <si>
    <t>Jean Balchan</t>
  </si>
  <si>
    <t>777106040987</t>
  </si>
  <si>
    <t>William Brauen</t>
  </si>
  <si>
    <t>25182241</t>
  </si>
  <si>
    <t>Anthony Sharp</t>
  </si>
  <si>
    <t>Davidson</t>
  </si>
  <si>
    <t>703688859680</t>
  </si>
  <si>
    <t>Business Office (Kelly Fields)</t>
  </si>
  <si>
    <t xml:space="preserve">	702723286768</t>
  </si>
  <si>
    <t xml:space="preserve">	614697966375</t>
  </si>
  <si>
    <t>Wayne Guazzo</t>
  </si>
  <si>
    <t>10/2 SEOOW</t>
  </si>
  <si>
    <t xml:space="preserve">	614697966515</t>
  </si>
  <si>
    <t>Danny McClinton</t>
  </si>
  <si>
    <t xml:space="preserve">	702723286757</t>
  </si>
  <si>
    <t xml:space="preserve">	616712876027</t>
  </si>
  <si>
    <t xml:space="preserve">	616712876038</t>
  </si>
  <si>
    <t>Dimitrios Giannou</t>
  </si>
  <si>
    <t xml:space="preserve">	680483359446</t>
  </si>
  <si>
    <t>General Glass Equipment Co</t>
  </si>
  <si>
    <t>18/4 SEOOW YELLOW</t>
  </si>
  <si>
    <t>609851521204</t>
  </si>
  <si>
    <t>genglass@generalglassequipment.com</t>
  </si>
  <si>
    <t>14/4 SEOOW YELLOW</t>
  </si>
  <si>
    <t>609851521215</t>
  </si>
  <si>
    <t xml:space="preserve"> 	680483359468</t>
  </si>
  <si>
    <t>Artistic Concepts Group</t>
  </si>
  <si>
    <t>10/20 SOOW</t>
  </si>
  <si>
    <t>25397124</t>
  </si>
  <si>
    <t>paid 10.14.2016</t>
  </si>
  <si>
    <t>10/12 SOOW</t>
  </si>
  <si>
    <t>5011108298</t>
  </si>
  <si>
    <t>Jeff S Mason</t>
  </si>
  <si>
    <t>777109195080</t>
  </si>
  <si>
    <t>Roberto Rodriguez</t>
  </si>
  <si>
    <t xml:space="preserve">	702723286780</t>
  </si>
  <si>
    <t>William Perrin</t>
  </si>
  <si>
    <t xml:space="preserve">	680483359480</t>
  </si>
  <si>
    <t>Raymond Hert</t>
  </si>
  <si>
    <t>675157529157</t>
  </si>
  <si>
    <t>250 MCM XHHW AL</t>
  </si>
  <si>
    <t>616712876050</t>
  </si>
  <si>
    <t>616712876060</t>
  </si>
  <si>
    <t>Roger A Frank</t>
  </si>
  <si>
    <t xml:space="preserve"> 		702723286920</t>
  </si>
  <si>
    <t>David Jackson</t>
  </si>
  <si>
    <t>86609733-3</t>
  </si>
  <si>
    <t>Ben Daniels</t>
  </si>
  <si>
    <t>686097324</t>
  </si>
  <si>
    <t>Ann Gabler</t>
  </si>
  <si>
    <t xml:space="preserve"> 	702723286790</t>
  </si>
  <si>
    <t>Shane Sparks</t>
  </si>
  <si>
    <t>777109127320</t>
  </si>
  <si>
    <t>Alina Paterson</t>
  </si>
  <si>
    <t xml:space="preserve">	680483359479</t>
  </si>
  <si>
    <t>Paul Bony</t>
  </si>
  <si>
    <t xml:space="preserve">	702723287043</t>
  </si>
  <si>
    <t>Roger Johnson</t>
  </si>
  <si>
    <t xml:space="preserve">	702723287021</t>
  </si>
  <si>
    <t>David Woodfine</t>
  </si>
  <si>
    <t xml:space="preserve">	702723286849</t>
  </si>
  <si>
    <t>Mike R Woisin</t>
  </si>
  <si>
    <t>702723287054 680483360244</t>
  </si>
  <si>
    <t>Andrew Kramer</t>
  </si>
  <si>
    <t xml:space="preserve"> 	702723287032</t>
  </si>
  <si>
    <t>Marie Zeiger</t>
  </si>
  <si>
    <t xml:space="preserve"> 	702723287010</t>
  </si>
  <si>
    <t>Bryan E Rustad</t>
  </si>
  <si>
    <t xml:space="preserve">	680483359490</t>
  </si>
  <si>
    <t>Stephen Cassel</t>
  </si>
  <si>
    <t xml:space="preserve">	702723286930</t>
  </si>
  <si>
    <t>Diane Graham</t>
  </si>
  <si>
    <t xml:space="preserve">	680483359505</t>
  </si>
  <si>
    <t>Kay Myers</t>
  </si>
  <si>
    <t>702723286871</t>
  </si>
  <si>
    <t>Cheryl Rankin</t>
  </si>
  <si>
    <t xml:space="preserve">	702723286893</t>
  </si>
  <si>
    <t>David Easter</t>
  </si>
  <si>
    <t>675157529260</t>
  </si>
  <si>
    <t>Michael Peery</t>
  </si>
  <si>
    <t>702723286974</t>
  </si>
  <si>
    <t>Ed Herringshaw</t>
  </si>
  <si>
    <t xml:space="preserve">	702723286952</t>
  </si>
  <si>
    <t>Tim J Mauws</t>
  </si>
  <si>
    <t xml:space="preserve">	702723286860</t>
  </si>
  <si>
    <t>Jane Nichols</t>
  </si>
  <si>
    <t>675157529250</t>
  </si>
  <si>
    <t>Wayne Hembach</t>
  </si>
  <si>
    <t>675157529124</t>
  </si>
  <si>
    <t>LT Levine</t>
  </si>
  <si>
    <t xml:space="preserve">	702723287000</t>
  </si>
  <si>
    <t>Mollie A Renko</t>
  </si>
  <si>
    <t xml:space="preserve">	702723286963</t>
  </si>
  <si>
    <t>Chris Jontz</t>
  </si>
  <si>
    <t xml:space="preserve">	702723286908</t>
  </si>
  <si>
    <t>Christopher W Cline</t>
  </si>
  <si>
    <t>675157529168</t>
  </si>
  <si>
    <t>Michael Breton</t>
  </si>
  <si>
    <t xml:space="preserve">	702723286941</t>
  </si>
  <si>
    <t>Walter Tinnin</t>
  </si>
  <si>
    <t xml:space="preserve">	702723287065</t>
  </si>
  <si>
    <t>Donald W Gerhard</t>
  </si>
  <si>
    <t xml:space="preserve">	568356993</t>
  </si>
  <si>
    <t>Mike Lee</t>
  </si>
  <si>
    <t>630512244500</t>
  </si>
  <si>
    <t>Daniyel Humphreys</t>
  </si>
  <si>
    <t>702723286985</t>
  </si>
  <si>
    <t>702723286996</t>
  </si>
  <si>
    <t>Brunelle</t>
  </si>
  <si>
    <t xml:space="preserve">	702723286882</t>
  </si>
  <si>
    <t>Juan Juarez</t>
  </si>
  <si>
    <t xml:space="preserve">	702723286919</t>
  </si>
  <si>
    <t>jjuarezmex2@yahoo.com</t>
  </si>
  <si>
    <t>Quantum First Automation</t>
  </si>
  <si>
    <t>543369480565</t>
  </si>
  <si>
    <t>purchasing@qfautomation.com</t>
  </si>
  <si>
    <t>12/3 MC W/GRND CU STRANDED 32x250</t>
  </si>
  <si>
    <t>ROAD RUNNER/ECHO</t>
  </si>
  <si>
    <t xml:space="preserve">	353091580</t>
  </si>
  <si>
    <t>12/4 MC W/GRND CU 6x 1000 4x 500</t>
  </si>
  <si>
    <t>I686097342</t>
  </si>
  <si>
    <t>Gerald Richardson</t>
  </si>
  <si>
    <t xml:space="preserve">	702723287087</t>
  </si>
  <si>
    <t>I686097387</t>
  </si>
  <si>
    <t>Tilman Seaton</t>
  </si>
  <si>
    <t xml:space="preserve">	702723287124</t>
  </si>
  <si>
    <t>Cindy Leonard</t>
  </si>
  <si>
    <t xml:space="preserve">1ZE412720396971554	</t>
  </si>
  <si>
    <t>Herb Fecker</t>
  </si>
  <si>
    <t>702723287168</t>
  </si>
  <si>
    <t>Scott McInnis</t>
  </si>
  <si>
    <t xml:space="preserve">18-10 PVC Thermostat Cable </t>
  </si>
  <si>
    <t>700044011278, 	700044011289</t>
  </si>
  <si>
    <t>Edward Fonseca</t>
  </si>
  <si>
    <t xml:space="preserve">	702723287146</t>
  </si>
  <si>
    <t>David Hackett</t>
  </si>
  <si>
    <t xml:space="preserve"> 	702723287190</t>
  </si>
  <si>
    <t>68609735-1</t>
  </si>
  <si>
    <t>Gregory P Snowden</t>
  </si>
  <si>
    <t>18/12 Non-Shielded Control Cable UL Type TC 600V E2 - Black</t>
  </si>
  <si>
    <t>654016288926</t>
  </si>
  <si>
    <t>Vernon J Babin</t>
  </si>
  <si>
    <t>675157529135</t>
  </si>
  <si>
    <t>Karen Barfield</t>
  </si>
  <si>
    <t>703688859810</t>
  </si>
  <si>
    <t>Kim Wencka</t>
  </si>
  <si>
    <t xml:space="preserve">	702723287135</t>
  </si>
  <si>
    <t>Eddy Martinez</t>
  </si>
  <si>
    <t>14/3 VNTC 4x500</t>
  </si>
  <si>
    <t>654016288948, 654016288959, 654016288960, 654016288937</t>
  </si>
  <si>
    <t>Seth Martin</t>
  </si>
  <si>
    <t>702723287098, 702723287102</t>
  </si>
  <si>
    <t>Connor Luethje</t>
  </si>
  <si>
    <t xml:space="preserve">	702723287157</t>
  </si>
  <si>
    <t>1Z0811790371239602</t>
  </si>
  <si>
    <t>Jerry Hoover</t>
  </si>
  <si>
    <t>10562967532</t>
  </si>
  <si>
    <t>onlyonehoov@gmail.com</t>
  </si>
  <si>
    <t xml:space="preserve">	616712876130</t>
  </si>
  <si>
    <t>Stephanie Anderson</t>
  </si>
  <si>
    <t>I686097369</t>
  </si>
  <si>
    <t>jac3032711@gmail.com</t>
  </si>
  <si>
    <t>David Hankel</t>
  </si>
  <si>
    <t>2 THHN CU 1x500</t>
  </si>
  <si>
    <t>675157529271</t>
  </si>
  <si>
    <t>davehankel@yahoo.com</t>
  </si>
  <si>
    <t>Drew Bomburger</t>
  </si>
  <si>
    <t>12/7 Type P Cable</t>
  </si>
  <si>
    <t>2611651593</t>
  </si>
  <si>
    <t>tfrick@clairsystems.com</t>
  </si>
  <si>
    <t>3491457745</t>
  </si>
  <si>
    <t>Jimmie Sharp</t>
  </si>
  <si>
    <t>680483359608</t>
  </si>
  <si>
    <t>Craig McHenry</t>
  </si>
  <si>
    <t xml:space="preserve">	702723287113</t>
  </si>
  <si>
    <t>William Bradley</t>
  </si>
  <si>
    <t>4/4 VNTC W/GRND</t>
  </si>
  <si>
    <t xml:space="preserve">	680483359560</t>
  </si>
  <si>
    <t>bradl99@att.biz</t>
  </si>
  <si>
    <t>Isabelle Berger</t>
  </si>
  <si>
    <t xml:space="preserve"> 	702723287179</t>
  </si>
  <si>
    <t>David McLindsay</t>
  </si>
  <si>
    <t xml:space="preserve">	702723287180</t>
  </si>
  <si>
    <t>david@mclindsay.com</t>
  </si>
  <si>
    <t>Robert Cevasco</t>
  </si>
  <si>
    <t xml:space="preserve">	3791417453</t>
  </si>
  <si>
    <t>22/8 Security Cable</t>
  </si>
  <si>
    <t>St Lawrence</t>
  </si>
  <si>
    <t xml:space="preserve">	616712876141</t>
  </si>
  <si>
    <t>Wayne Bryan</t>
  </si>
  <si>
    <t>Wayne BRYAN</t>
  </si>
  <si>
    <t>3954144574</t>
  </si>
  <si>
    <t>wayne@growlightspeed.com</t>
  </si>
  <si>
    <t>Benny Cuevas</t>
  </si>
  <si>
    <t>I686097405</t>
  </si>
  <si>
    <t>djrokasonido@hotmail.com</t>
  </si>
  <si>
    <t>Carson Corp</t>
  </si>
  <si>
    <t>2/0-4 Type W</t>
  </si>
  <si>
    <t>tkaphan@carsoncorporation.net</t>
  </si>
  <si>
    <t>680483359527</t>
  </si>
  <si>
    <t>rrobbin@twcny.rr.com</t>
  </si>
  <si>
    <t>Eitelberg Montarroyos</t>
  </si>
  <si>
    <t>I686097396</t>
  </si>
  <si>
    <t>Melodie Sahl</t>
  </si>
  <si>
    <t>680483359549</t>
  </si>
  <si>
    <t>Randolph LaCroix</t>
  </si>
  <si>
    <t>680483359516</t>
  </si>
  <si>
    <t>Kelly Swire</t>
  </si>
  <si>
    <t>Humphreys</t>
  </si>
  <si>
    <t>Matt Alexander</t>
  </si>
  <si>
    <t>I730529046</t>
  </si>
  <si>
    <t>Guy Ahlstrom</t>
  </si>
  <si>
    <t>680483359582</t>
  </si>
  <si>
    <t>Mark Lape</t>
  </si>
  <si>
    <t xml:space="preserve">Vassar </t>
  </si>
  <si>
    <t>675157529396</t>
  </si>
  <si>
    <t>Tamara Christensen</t>
  </si>
  <si>
    <t>675157529433</t>
  </si>
  <si>
    <t>Rod Dirks</t>
  </si>
  <si>
    <t>680483359593</t>
  </si>
  <si>
    <t>Thomas LaTour</t>
  </si>
  <si>
    <t>680483359550</t>
  </si>
  <si>
    <t>Heather Marshall</t>
  </si>
  <si>
    <t>680483359571</t>
  </si>
  <si>
    <t>Jared Fessler</t>
  </si>
  <si>
    <t>702723287216</t>
  </si>
  <si>
    <t>Dane Pierre</t>
  </si>
  <si>
    <t>680483359538</t>
  </si>
  <si>
    <t>Donald Duffek Wacker Corp</t>
  </si>
  <si>
    <t>1 AWG Lead Wire Type EPDM UL 3340/3374 - Tin Plated Copper- EPDM 125C Flex/150C Non-Flexing - 600V - Black</t>
  </si>
  <si>
    <t xml:space="preserve">052767285620967 </t>
  </si>
  <si>
    <t>Jeffrey Geromette</t>
  </si>
  <si>
    <t>675157529341</t>
  </si>
  <si>
    <t>Ron Browske</t>
  </si>
  <si>
    <t>675157529374</t>
  </si>
  <si>
    <t>3/0 THHN CU 1x50 1x47 1x52</t>
  </si>
  <si>
    <t xml:space="preserve">	68609737-8</t>
  </si>
  <si>
    <t>esteinberg@midwayps.com</t>
  </si>
  <si>
    <t>6 THHN GREEN</t>
  </si>
  <si>
    <t>654016289289</t>
  </si>
  <si>
    <t>3004095A</t>
  </si>
  <si>
    <t>Jacky Mangum</t>
  </si>
  <si>
    <t>639794969305</t>
  </si>
  <si>
    <t>Eugene Albright</t>
  </si>
  <si>
    <t>Greene</t>
  </si>
  <si>
    <t xml:space="preserve">	702723287227</t>
  </si>
  <si>
    <t>Mark Downing</t>
  </si>
  <si>
    <t>3959878661</t>
  </si>
  <si>
    <t>markdowning_90@hotmail.com</t>
  </si>
  <si>
    <t>Nathan Reeves</t>
  </si>
  <si>
    <t xml:space="preserve">	680483359652</t>
  </si>
  <si>
    <t>Jeffrey Lamb</t>
  </si>
  <si>
    <t>14 AWG SF-2 SEW-2 HIGH TEMPERATURE LEAD WIRE UL 3231/3071 200C</t>
  </si>
  <si>
    <t>118391272714244</t>
  </si>
  <si>
    <t>Mark Ebersbacher</t>
  </si>
  <si>
    <t>10 AWG SF-2 SEW-2 HIGH TEMPERATURE LEAD WIRE UL 3231/3071 200C</t>
  </si>
  <si>
    <t xml:space="preserve">440801774472444 </t>
  </si>
  <si>
    <t>500MCM XHHW AL 2x500</t>
  </si>
  <si>
    <t>750MCM XHHW AL 1x1000 1x500</t>
  </si>
  <si>
    <t>#2 THHN STR CU 1x500</t>
  </si>
  <si>
    <t>Bank of China</t>
  </si>
  <si>
    <t>Refunded Fees for Labor</t>
  </si>
  <si>
    <t>Will Hester</t>
  </si>
  <si>
    <t xml:space="preserve"> 	680483359620</t>
  </si>
  <si>
    <t>Jessica Peterson</t>
  </si>
  <si>
    <t xml:space="preserve">	680483359641</t>
  </si>
  <si>
    <t>Paul Fries</t>
  </si>
  <si>
    <t>675157529363</t>
  </si>
  <si>
    <t>Ken Heim</t>
  </si>
  <si>
    <t>675157529330</t>
  </si>
  <si>
    <t>Mark Rumer</t>
  </si>
  <si>
    <t>675157529352</t>
  </si>
  <si>
    <t>Patrick M Malek</t>
  </si>
  <si>
    <t>4 AWG Hook Up Wire AWM MTW TEW UL 1283/1232/1015 - Bare Copper - PVC 105C - 600V - Black</t>
  </si>
  <si>
    <t>Krsitech</t>
  </si>
  <si>
    <t>373550631</t>
  </si>
  <si>
    <t>Samir Patel</t>
  </si>
  <si>
    <t xml:space="preserve"> 	680483359630</t>
  </si>
  <si>
    <t>UPS COLLECT</t>
  </si>
  <si>
    <t>675157</t>
  </si>
  <si>
    <t>paid 10.27.2016</t>
  </si>
  <si>
    <t>Watson Farlie</t>
  </si>
  <si>
    <t xml:space="preserve"> 	680483359619</t>
  </si>
  <si>
    <t>Benjamin Matheny</t>
  </si>
  <si>
    <t>3963543791</t>
  </si>
  <si>
    <t>Charles Walden</t>
  </si>
  <si>
    <t xml:space="preserve">	702723287271</t>
  </si>
  <si>
    <t>Vincent Moye</t>
  </si>
  <si>
    <t xml:space="preserve">	702723287250</t>
  </si>
  <si>
    <t>Jon Mitchell</t>
  </si>
  <si>
    <t>Spencer Smith</t>
  </si>
  <si>
    <t>12/14 SOOW</t>
  </si>
  <si>
    <t>4107956355</t>
  </si>
  <si>
    <t>$22 CUT CHARGES</t>
  </si>
  <si>
    <t>techdirector@sunriseumc.com</t>
  </si>
  <si>
    <t>Winchester Electronics</t>
  </si>
  <si>
    <t>1Z5316EX0343752836</t>
  </si>
  <si>
    <t>1Z5316EX0343074846</t>
  </si>
  <si>
    <t>10 AWG UL TYPE USE-2 RHH GRN/YEL</t>
  </si>
  <si>
    <t>3004117A</t>
  </si>
  <si>
    <t>M.J. Vandermark</t>
  </si>
  <si>
    <t xml:space="preserve">	702723287260</t>
  </si>
  <si>
    <t>Rick Harrington</t>
  </si>
  <si>
    <t xml:space="preserve">ESTES/DLS </t>
  </si>
  <si>
    <t>0272132701</t>
  </si>
  <si>
    <t>harringtoninc@bellsouth.net</t>
  </si>
  <si>
    <t>George Kilsby</t>
  </si>
  <si>
    <t>'639794969316</t>
  </si>
  <si>
    <t>680993425342</t>
  </si>
  <si>
    <t>10/5 SOOW 2x 1000 1x 500</t>
  </si>
  <si>
    <t>927924443</t>
  </si>
  <si>
    <t>14/5 SOOW 3x 1000 1x 500</t>
  </si>
  <si>
    <t>Bob Davis</t>
  </si>
  <si>
    <t>14 AWG Switchboard Wire SIS VW-1 Tin Plated Copper XLPE 90C 600V Gray 4x500</t>
  </si>
  <si>
    <t>614697966721
614697966732</t>
  </si>
  <si>
    <t>James Pitts</t>
  </si>
  <si>
    <t xml:space="preserve">	680483359766</t>
  </si>
  <si>
    <t>David Robinson</t>
  </si>
  <si>
    <t xml:space="preserve">	665645046935</t>
  </si>
  <si>
    <t xml:space="preserve">	680483359700</t>
  </si>
  <si>
    <t>Clayton Crawford</t>
  </si>
  <si>
    <t xml:space="preserve"> 	680483359711</t>
  </si>
  <si>
    <t>David Owen</t>
  </si>
  <si>
    <t xml:space="preserve">	680483359663</t>
  </si>
  <si>
    <t>Ben Chisari</t>
  </si>
  <si>
    <t xml:space="preserve">	680483359744</t>
  </si>
  <si>
    <t>Nikhil Kumar</t>
  </si>
  <si>
    <t>630512244593</t>
  </si>
  <si>
    <t>Rob Gustafson</t>
  </si>
  <si>
    <t xml:space="preserve">	680483359722</t>
  </si>
  <si>
    <t>Les Williams</t>
  </si>
  <si>
    <t xml:space="preserve"> 	702723287330</t>
  </si>
  <si>
    <t>Jamie Morse</t>
  </si>
  <si>
    <t xml:space="preserve">	702723287319</t>
  </si>
  <si>
    <t>Timothy Kennedy</t>
  </si>
  <si>
    <t>675157529400</t>
  </si>
  <si>
    <t>tim_kennedy83@yahoo.com</t>
  </si>
  <si>
    <t>Robbie Kisg</t>
  </si>
  <si>
    <t xml:space="preserve">	702723287341</t>
  </si>
  <si>
    <t>lisa.kiest@yahoo.com</t>
  </si>
  <si>
    <t>Irwin Nolt</t>
  </si>
  <si>
    <t>CRH-5014094420</t>
  </si>
  <si>
    <t>Bette J Verkaik</t>
  </si>
  <si>
    <t>6/4 SOOW 2x50</t>
  </si>
  <si>
    <t xml:space="preserve">	680483359685 680483359696</t>
  </si>
  <si>
    <t>Ramon Aguilar</t>
  </si>
  <si>
    <t>639564016033</t>
  </si>
  <si>
    <t>Olstep Leonid Gudovich</t>
  </si>
  <si>
    <t>10/2 MC W/GRND</t>
  </si>
  <si>
    <t xml:space="preserve">	680483359674</t>
  </si>
  <si>
    <t>Brent Cyboron</t>
  </si>
  <si>
    <t xml:space="preserve">675157529411 </t>
  </si>
  <si>
    <t>Wayne Gilbert</t>
  </si>
  <si>
    <t>Armando Padron</t>
  </si>
  <si>
    <t xml:space="preserve">		680483359755</t>
  </si>
  <si>
    <t>Jeff Barnell</t>
  </si>
  <si>
    <t xml:space="preserve">	680483359733</t>
  </si>
  <si>
    <t>John Cashell</t>
  </si>
  <si>
    <t>639794969338</t>
  </si>
  <si>
    <t>8/3 GGC CABLE</t>
  </si>
  <si>
    <t>1z19x16r0350053257</t>
  </si>
  <si>
    <t>Lana Krukovets</t>
  </si>
  <si>
    <t> 	680483359788</t>
  </si>
  <si>
    <t>Jody Mcginis</t>
  </si>
  <si>
    <t>90403857-9</t>
  </si>
  <si>
    <t>lpm2006@aol.com</t>
  </si>
  <si>
    <t>Cavalia USA Inc.</t>
  </si>
  <si>
    <t>14/3 SOOW 1x5000 1x1000</t>
  </si>
  <si>
    <t>12-2 MC BX Cable</t>
  </si>
  <si>
    <t>1Z081179037026795</t>
  </si>
  <si>
    <t>Georgia Thermal Products</t>
  </si>
  <si>
    <t>Type JX 20/12 Pair</t>
  </si>
  <si>
    <t>jstarnes@gathermal.com</t>
  </si>
  <si>
    <t>Type JX 20/8 Pair</t>
  </si>
  <si>
    <t>Type JX 20/4 Pair</t>
  </si>
  <si>
    <t>14/12 TC Shielded</t>
  </si>
  <si>
    <t xml:space="preserve">	700044011392</t>
  </si>
  <si>
    <t>14/9 TC</t>
  </si>
  <si>
    <t>14/4 TC Shielded</t>
  </si>
  <si>
    <t xml:space="preserve">	680993425445</t>
  </si>
  <si>
    <t xml:space="preserve">18/6 TC </t>
  </si>
  <si>
    <t>18/4 TC</t>
  </si>
  <si>
    <t>18/25 TC</t>
  </si>
  <si>
    <t xml:space="preserve">	700044011429</t>
  </si>
  <si>
    <t>James Williams</t>
  </si>
  <si>
    <t>73048701-6</t>
  </si>
  <si>
    <t>Allan Brasel</t>
  </si>
  <si>
    <t>705687152098</t>
  </si>
  <si>
    <t>Willie Reed</t>
  </si>
  <si>
    <t>Cliff Eddie</t>
  </si>
  <si>
    <t xml:space="preserve">	702723287411</t>
  </si>
  <si>
    <t>Vrujesh Bhagalia</t>
  </si>
  <si>
    <t xml:space="preserve">	680483359799</t>
  </si>
  <si>
    <t>Chad R Eastman</t>
  </si>
  <si>
    <t>Cynthia Swain</t>
  </si>
  <si>
    <t>Mark Jordan</t>
  </si>
  <si>
    <t>Brad Bennett</t>
  </si>
  <si>
    <t xml:space="preserve">	702723287477</t>
  </si>
  <si>
    <t>Rickey Wasson</t>
  </si>
  <si>
    <t>Joshua Bennett</t>
  </si>
  <si>
    <t>Timothy Rizzo</t>
  </si>
  <si>
    <t xml:space="preserve">	700044011381</t>
  </si>
  <si>
    <t>Janet Boire</t>
  </si>
  <si>
    <t>18-4 Fire Alarm Cable Solid PVC FPLR PVC Jacketed Wire</t>
  </si>
  <si>
    <t>Richard Jordan</t>
  </si>
  <si>
    <t>Mark Neff</t>
  </si>
  <si>
    <t>Chris Korhummel</t>
  </si>
  <si>
    <t>Dayle L Ketterling</t>
  </si>
  <si>
    <t>Stuart Kessler</t>
  </si>
  <si>
    <t xml:space="preserve">	702723287374</t>
  </si>
  <si>
    <t>Deanna Walsh</t>
  </si>
  <si>
    <t xml:space="preserve">	702723287536</t>
  </si>
  <si>
    <t>Carol Arner</t>
  </si>
  <si>
    <t>Virgil Nogowski</t>
  </si>
  <si>
    <t>Hunter Carmichael</t>
  </si>
  <si>
    <t>Dale Deveau</t>
  </si>
  <si>
    <t>Sean Woolsey</t>
  </si>
  <si>
    <t>Arctic Adventures</t>
  </si>
  <si>
    <t>99016350-3</t>
  </si>
  <si>
    <t>Jode Siedschlag</t>
  </si>
  <si>
    <t>jode@nighthawkmfg.com</t>
  </si>
  <si>
    <t>1/0 RHH USE-2 XLPE AL 3x460</t>
  </si>
  <si>
    <t xml:space="preserve">	614697966802</t>
  </si>
  <si>
    <t>Stonekap</t>
  </si>
  <si>
    <t>David Shumate</t>
  </si>
  <si>
    <t xml:space="preserve">	702723287514</t>
  </si>
  <si>
    <t>Bruce Livengood</t>
  </si>
  <si>
    <t>John Price</t>
  </si>
  <si>
    <t xml:space="preserve">	702723287547</t>
  </si>
  <si>
    <t>Michael Howard</t>
  </si>
  <si>
    <t xml:space="preserve">	702723287570</t>
  </si>
  <si>
    <t>Edmund J Kemble</t>
  </si>
  <si>
    <t>Shawn Tayler</t>
  </si>
  <si>
    <t xml:space="preserve">	702723287569</t>
  </si>
  <si>
    <t>Kimberley Henson</t>
  </si>
  <si>
    <t>J Smith</t>
  </si>
  <si>
    <t>Bryce Masuk</t>
  </si>
  <si>
    <t>Eric Scherer</t>
  </si>
  <si>
    <t>Wayne Meierdirk</t>
  </si>
  <si>
    <t>Raymond J Finley</t>
  </si>
  <si>
    <t>Tom Jamison</t>
  </si>
  <si>
    <t>Vanessa Blom</t>
  </si>
  <si>
    <t xml:space="preserve">	680483359891</t>
  </si>
  <si>
    <t>Michael Lakes</t>
  </si>
  <si>
    <t>Ryan Dreffs</t>
  </si>
  <si>
    <t>Amanda Nisbet</t>
  </si>
  <si>
    <t>Jarred Bolognani</t>
  </si>
  <si>
    <t>Brian Lambert</t>
  </si>
  <si>
    <t>brianscottlambert@yahoo.com</t>
  </si>
  <si>
    <t>Harris Corporation</t>
  </si>
  <si>
    <t>16 AWG BLACK XLPO POWER CABLE</t>
  </si>
  <si>
    <t>APARKINS@HARRIS.COM</t>
  </si>
  <si>
    <t>10 AWG BLACK XLPO POWER CABLE</t>
  </si>
  <si>
    <t>3004199A</t>
  </si>
  <si>
    <t>Denise VanDrus</t>
  </si>
  <si>
    <t xml:space="preserve">	680483359906</t>
  </si>
  <si>
    <t>Jason Granger</t>
  </si>
  <si>
    <t>14 AWG lead wire type SF-2 SEW-2 UL 3071 - Tin Plated Copper - Silicone Rubberr - 200C - 600V - Blsck</t>
  </si>
  <si>
    <t>777168919550</t>
  </si>
  <si>
    <t>Nathan Danks</t>
  </si>
  <si>
    <t>14/8 Festoon Cable</t>
  </si>
  <si>
    <t>NATHAN.DANKS@INTERTEK.COM</t>
  </si>
  <si>
    <t>Dustin Gage</t>
  </si>
  <si>
    <t>1/0 Gauge AWG Welding Lead &amp; Car Battery Cable Copper Wire</t>
  </si>
  <si>
    <t>Kevin Tuten</t>
  </si>
  <si>
    <t>Keene Jackson</t>
  </si>
  <si>
    <t>2 Gauge AWG Welding Lead &amp; Car Battery Cable Copper Wire RED</t>
  </si>
  <si>
    <t>642286528846</t>
  </si>
  <si>
    <t>Mojo Musical Supply</t>
  </si>
  <si>
    <t>8-8-8-8 SER Service Entrance Aluminum Cable SE Style R Wire</t>
  </si>
  <si>
    <t xml:space="preserve"> 	702723287650</t>
  </si>
  <si>
    <t>6 Welding Cable Green Portable Flexible New Wire</t>
  </si>
  <si>
    <t>Chris Isaac</t>
  </si>
  <si>
    <t xml:space="preserve">1/0-1/0-1/0-2 SER Service Entrance Aluminum Cable SE Style R Wire </t>
  </si>
  <si>
    <t xml:space="preserve">	680483359870</t>
  </si>
  <si>
    <t>John Meister</t>
  </si>
  <si>
    <t> 	680483359928</t>
  </si>
  <si>
    <t>Matt Shubin</t>
  </si>
  <si>
    <t xml:space="preserve"> 	680483359869</t>
  </si>
  <si>
    <t>Wayne Harris-Grandview RV Park</t>
  </si>
  <si>
    <t>Mark Capozucco</t>
  </si>
  <si>
    <t>Harrison Hydra-gen</t>
  </si>
  <si>
    <t>#12 THHN RED SPOOL</t>
  </si>
  <si>
    <t>paid 10.11.2016</t>
  </si>
  <si>
    <t>16/3 VNTC Tray Cable TC-ER THHN PVC Jacket 600V Control Wire Copper 3x1000'</t>
  </si>
  <si>
    <t>679590219223, 679590219234, 679590219245</t>
  </si>
  <si>
    <t>David Kippenbrock</t>
  </si>
  <si>
    <t>Gordon Tinklerberg</t>
  </si>
  <si>
    <t>Gary Hymiller</t>
  </si>
  <si>
    <t>Arrow Mechanical Corp</t>
  </si>
  <si>
    <t xml:space="preserve">	702723287742</t>
  </si>
  <si>
    <t>Crown Wire &amp; Cable</t>
  </si>
  <si>
    <t>14 THHNBLS - 14/1 - SOLID THHN BLUE</t>
  </si>
  <si>
    <t>paid 10.05.2016</t>
  </si>
  <si>
    <t>Delta Manufacturing</t>
  </si>
  <si>
    <t>4/0 Welding 2x 500</t>
  </si>
  <si>
    <t>SIPSA Suministros Ingenieria Proyectos</t>
  </si>
  <si>
    <t>500 MCM Welding</t>
  </si>
  <si>
    <t>ADMIN@SIPSAPANAMA.COM</t>
  </si>
  <si>
    <t>4/0 Welding</t>
  </si>
  <si>
    <t>G4S SECURITY SYSTEMS</t>
  </si>
  <si>
    <t>8 THWN-2, AWG STRANDED COPPER  COND. 600V, BLK, 5000FL/RL</t>
  </si>
  <si>
    <t>Benjamin Breeze</t>
  </si>
  <si>
    <t>PFF772@GMAIL.COM</t>
  </si>
  <si>
    <t>Jerry Yuan</t>
  </si>
  <si>
    <t>12-3 SJOOW</t>
  </si>
  <si>
    <t>JERRYRAYYUAN@GMAIL.COM</t>
  </si>
  <si>
    <t>Randy Sleeper</t>
  </si>
  <si>
    <t>18/3 SEOOW PORTABLE CORD 600V</t>
  </si>
  <si>
    <t>Joe Souders</t>
  </si>
  <si>
    <t>JOHN'S EXPRESS</t>
  </si>
  <si>
    <t>joe.souders@husquvarnagroup.com</t>
  </si>
  <si>
    <t>Mark Dobbins</t>
  </si>
  <si>
    <t>Rene Villareal</t>
  </si>
  <si>
    <t xml:space="preserve">	702723287683</t>
  </si>
  <si>
    <t>LEVINE@LFCI.COM</t>
  </si>
  <si>
    <t>Washburn Doughty</t>
  </si>
  <si>
    <t>1/0 3C VFD W/GND 2X50'</t>
  </si>
  <si>
    <t>543369480841, 543369480852</t>
  </si>
  <si>
    <t>Patterson Cellars</t>
  </si>
  <si>
    <t>Dean Varner</t>
  </si>
  <si>
    <t>David Gill</t>
  </si>
  <si>
    <t>16/10 SOOW 16 AWG 10C</t>
  </si>
  <si>
    <t>CALABRESEELECTRIC@VERIZON.NET</t>
  </si>
  <si>
    <t xml:space="preserve">	702723287731</t>
  </si>
  <si>
    <t>MARK.CLM@HOTMAIL.COM</t>
  </si>
  <si>
    <t>Al Z Midland Truck</t>
  </si>
  <si>
    <t>Josh Raines - Tri-Imaging</t>
  </si>
  <si>
    <t>Whole Earth Soaps</t>
  </si>
  <si>
    <t>Monmouth 4/0-4/0-4/0</t>
  </si>
  <si>
    <t>521-958931</t>
  </si>
  <si>
    <t>Alan Sayre</t>
  </si>
  <si>
    <t>ALANSAYRE@HOTMAIL.COM</t>
  </si>
  <si>
    <t>Michael Weimer</t>
  </si>
  <si>
    <t>2/0 DLO Cable RhhRHW, 2kV</t>
  </si>
  <si>
    <t>Scott Tompkins</t>
  </si>
  <si>
    <t>The Tool House</t>
  </si>
  <si>
    <t>12 AWG 5C 12/5 SOOW, 3x125'</t>
  </si>
  <si>
    <t>702723287812 	702723287823 702723287834</t>
  </si>
  <si>
    <t>16/25 VNTC</t>
  </si>
  <si>
    <t>NA</t>
  </si>
  <si>
    <t>14/2 SHIELDED VNTC</t>
  </si>
  <si>
    <t>Reagan Grubbs</t>
  </si>
  <si>
    <t>James Hamilton</t>
  </si>
  <si>
    <t>51-3 Loop Detector Cable IMSA 14 Gauge</t>
  </si>
  <si>
    <t>1z1698230176818283</t>
  </si>
  <si>
    <t>Ron Huizinga</t>
  </si>
  <si>
    <t>RAHUIZINGA@YAHOO.COM</t>
  </si>
  <si>
    <t>Jill Skyles</t>
  </si>
  <si>
    <t xml:space="preserve">1/0 Gauge AWG Welding Lead &amp; Car Battery Cable Copper Wire						
</t>
  </si>
  <si>
    <t xml:space="preserve">6305 1224 4652 </t>
  </si>
  <si>
    <t>Errol Grecia</t>
  </si>
  <si>
    <t xml:space="preserve">6397 9496 9371 </t>
  </si>
  <si>
    <t>Donald McGinn</t>
  </si>
  <si>
    <t>4/3 VNTC Tray Cable TC-ER THHN PVC Jacket w/ground 600V PVC Wire</t>
  </si>
  <si>
    <t>TOPSURPLUS PTI</t>
  </si>
  <si>
    <t xml:space="preserve">4/0 Welding Cable Black Flexible Outdoor Wire </t>
  </si>
  <si>
    <t>6422 8652 8857</t>
  </si>
  <si>
    <t>Ryan Borel</t>
  </si>
  <si>
    <t>2/4 SOOW SO</t>
  </si>
  <si>
    <t>4-4-4-6 SER AL CABLE</t>
  </si>
  <si>
    <t>Mad Art</t>
  </si>
  <si>
    <t>6/4 SOOW 2x100'</t>
  </si>
  <si>
    <t xml:space="preserve">	702723287867 702723287878</t>
  </si>
  <si>
    <t>701849703213</t>
  </si>
  <si>
    <t>3/0-4 TYPE W</t>
  </si>
  <si>
    <t xml:space="preserve">	942291560</t>
  </si>
  <si>
    <t>1 WELDING</t>
  </si>
  <si>
    <t>1/0 WELDING</t>
  </si>
  <si>
    <t>Bill Vickery</t>
  </si>
  <si>
    <t xml:space="preserve">	702723287856</t>
  </si>
  <si>
    <t>Jason Schinapp</t>
  </si>
  <si>
    <t>spdinky_42@yahoo.com</t>
  </si>
  <si>
    <t>Douglas Crumpler</t>
  </si>
  <si>
    <t>Sam Mark</t>
  </si>
  <si>
    <t>Ann Durben</t>
  </si>
  <si>
    <t>Windham</t>
  </si>
  <si>
    <t>HOT SHOT</t>
  </si>
  <si>
    <t>steve.land@wec-usa.org</t>
  </si>
  <si>
    <t>Brandon Asbury</t>
  </si>
  <si>
    <t>Tom Fricke</t>
  </si>
  <si>
    <t>John Kanagy</t>
  </si>
  <si>
    <t>704137698</t>
  </si>
  <si>
    <t>Keith Goldman</t>
  </si>
  <si>
    <t xml:space="preserve">	702723287970</t>
  </si>
  <si>
    <t>JP Lacey</t>
  </si>
  <si>
    <t>365324607-4</t>
  </si>
  <si>
    <t>John Gierzak</t>
  </si>
  <si>
    <t xml:space="preserve">	1Z9X760X0363387106</t>
  </si>
  <si>
    <t>Krohn's Chromatography</t>
  </si>
  <si>
    <t>1 AWG THHN THWN COPPER</t>
  </si>
  <si>
    <t xml:space="preserve"> 	680483359939</t>
  </si>
  <si>
    <t>Steve Liebenow / TiVo Inc</t>
  </si>
  <si>
    <t>2 AWG THHN THWN COPPER 3X200'</t>
  </si>
  <si>
    <t>705687152878, 
705687152889, 
705687152890</t>
  </si>
  <si>
    <t>Heather Blake</t>
  </si>
  <si>
    <t>679301396374</t>
  </si>
  <si>
    <t>Stuart Stiles</t>
  </si>
  <si>
    <t>44484603-3</t>
  </si>
  <si>
    <t>Clayton Petryshyn</t>
  </si>
  <si>
    <t>4/0-4/0-4/0-2/0 SER Service Entrance Aluminun</t>
  </si>
  <si>
    <t>Hubert E Clanton</t>
  </si>
  <si>
    <t>6/2 UF-B W/GRND COPPER UNDERGROUND FEEDER CABLE WIRE</t>
  </si>
  <si>
    <t>675157529628</t>
  </si>
  <si>
    <t>Carlos Rivera</t>
  </si>
  <si>
    <t>14 AWG GAUGE XHHW COPPER</t>
  </si>
  <si>
    <t xml:space="preserve">1Z7763310372910264
</t>
  </si>
  <si>
    <t>ETRC Knoxville Locomotive Works</t>
  </si>
  <si>
    <t>444MCM DLO Cable RHH 2kV Diesel Locomotive Power Cable Wire</t>
  </si>
  <si>
    <t>Walter Kreuser</t>
  </si>
  <si>
    <t>TAX AIR FREIGHT/DLS</t>
  </si>
  <si>
    <t>06174502</t>
  </si>
  <si>
    <t>James Smith</t>
  </si>
  <si>
    <t>701849703246</t>
  </si>
  <si>
    <t>William Sauter</t>
  </si>
  <si>
    <t>2-2-2-4 SER WG Aluminum</t>
  </si>
  <si>
    <t xml:space="preserve">	702723288006</t>
  </si>
  <si>
    <t>Charles A Lindsay</t>
  </si>
  <si>
    <t>701849703257</t>
  </si>
  <si>
    <t>David Reinhardt</t>
  </si>
  <si>
    <t xml:space="preserve">1/0 Gauge AWG Welding Lead &amp; Car Battery Cable Copper Wire BLACK				
</t>
  </si>
  <si>
    <t>6395 6401 6066</t>
  </si>
  <si>
    <t xml:space="preserve">1/0 Gauge AWG Welding Lead &amp; Car Battery Cable Copper Wire RED					
</t>
  </si>
  <si>
    <t>Curtis Preece</t>
  </si>
  <si>
    <t>679301396363</t>
  </si>
  <si>
    <t>Brooke Belbot</t>
  </si>
  <si>
    <t>Luis M Banuelos</t>
  </si>
  <si>
    <t xml:space="preserve">1/0 Gauge AWG Welding Lead &amp; Car Battery Cable Copper Wire BLACK </t>
  </si>
  <si>
    <t>6305 1224 4674</t>
  </si>
  <si>
    <t>Scottolsen</t>
  </si>
  <si>
    <t>Mark Miller</t>
  </si>
  <si>
    <t>12/4 Non-Shielded Control Tray Cable UL Type TC-ER 600V E2</t>
  </si>
  <si>
    <t>1Z7763310370582257</t>
  </si>
  <si>
    <t>GLISTORFF@YAHOO.COM</t>
  </si>
  <si>
    <t>Prioroty Wire &amp; Cable</t>
  </si>
  <si>
    <t>10-03CCA600V-3G 10-3 3-#14GR 600V PART # 546-31-3163 3X1000'</t>
  </si>
  <si>
    <t>Gaffney</t>
  </si>
  <si>
    <t>paid 10.12.2016</t>
  </si>
  <si>
    <t>12-03CCA600V-3G 12-3 3-#16GR 600V PART # 546-31-3453 1X3800, 1X6000'</t>
  </si>
  <si>
    <t>16-12PRCCA-SPOS 16-12PR 600V SPOS PART # 561-60-3412 1X1000', 1X1020'</t>
  </si>
  <si>
    <t>12-01SIS GRAY 12AWG 65 STR TC SIS VW1 90C GY 3X500'</t>
  </si>
  <si>
    <t>18-01SIS-GRAY-UL3173 18AWG 16STR TC UL3173 125C GRY 1X500'</t>
  </si>
  <si>
    <t>12 THHN STRANDED GREEN 2X500'</t>
  </si>
  <si>
    <t>12 THHN STRANDED GREY 19X500'</t>
  </si>
  <si>
    <t>12 THHN STRANDED BROWN 1X500'</t>
  </si>
  <si>
    <t>12 THHN STRANDED PURPLE 3X500'</t>
  </si>
  <si>
    <t>14 THHN STRANDED BROWN 1X500'</t>
  </si>
  <si>
    <t>14 THHN STRANDED WHITE 4X500'</t>
  </si>
  <si>
    <t>Richard Wauters</t>
  </si>
  <si>
    <t>73049152-5</t>
  </si>
  <si>
    <t>WAUTERS@FCTC.COOP</t>
  </si>
  <si>
    <t>WESLEYAN</t>
  </si>
  <si>
    <t>Consolidated Electrical Distributors</t>
  </si>
  <si>
    <t>WIRE 350/4 XHHW TC W/GRND</t>
  </si>
  <si>
    <t>861253</t>
  </si>
  <si>
    <t>paid 10.21.2016</t>
  </si>
  <si>
    <t>3004290A</t>
  </si>
  <si>
    <t>John Thyran</t>
  </si>
  <si>
    <t>Niagara County</t>
  </si>
  <si>
    <t>543369480955</t>
  </si>
  <si>
    <t>Jeffery L Moyer</t>
  </si>
  <si>
    <t>16/6 SOOW UL/CSA 1X2500'</t>
  </si>
  <si>
    <t xml:space="preserve">5011218406	</t>
  </si>
  <si>
    <t>AJMOYER3@AOL.COM</t>
  </si>
  <si>
    <t>6/4 TYPE G 1X148</t>
  </si>
  <si>
    <t>12/3 SJOOW 2X250'</t>
  </si>
  <si>
    <t>680483359961 680483359972</t>
  </si>
  <si>
    <t>Richard Brown</t>
  </si>
  <si>
    <t>14/3 MC W/GRND   6X250'</t>
  </si>
  <si>
    <t>rbrown@sdbinc.com</t>
  </si>
  <si>
    <t xml:space="preserve">	680483359983</t>
  </si>
  <si>
    <t>Jeff Fogg</t>
  </si>
  <si>
    <t>Trent Hein</t>
  </si>
  <si>
    <t>8/3 WG UF-B</t>
  </si>
  <si>
    <t>I012606255</t>
  </si>
  <si>
    <t>Ken Caplan</t>
  </si>
  <si>
    <t>750MCM XHHW AL 6x 460</t>
  </si>
  <si>
    <t>ken@nyfoldingbox.com</t>
  </si>
  <si>
    <t>1/0 XHHW AL 2x 460</t>
  </si>
  <si>
    <t>6-6-6-6 MC AL</t>
  </si>
  <si>
    <t>BECKVON@NETZERO.NET</t>
  </si>
  <si>
    <t>2-2-2-2-4 SER AL (2/4alserg)</t>
  </si>
  <si>
    <t xml:space="preserve">	680483360016</t>
  </si>
  <si>
    <t>Kathy Arias</t>
  </si>
  <si>
    <t>8/3 Flat Pump w/grnd</t>
  </si>
  <si>
    <t>802237251</t>
  </si>
  <si>
    <t>KARIAS@NETHERE.COM</t>
  </si>
  <si>
    <t>Michael Tenery</t>
  </si>
  <si>
    <t xml:space="preserve">2/0 Welding Cable Orange Ultra Flex </t>
  </si>
  <si>
    <t>1Z16921X0394074280</t>
  </si>
  <si>
    <t xml:space="preserve">NEW PENN </t>
  </si>
  <si>
    <t xml:space="preserve">	884277831</t>
  </si>
  <si>
    <t>SMITHSHIPYARD@VERIZON.NET</t>
  </si>
  <si>
    <t>John Dieckman</t>
  </si>
  <si>
    <t>675157529856</t>
  </si>
  <si>
    <t>Max Boesiger</t>
  </si>
  <si>
    <t>680483360060</t>
  </si>
  <si>
    <t>Ann Docken</t>
  </si>
  <si>
    <t>521987060</t>
  </si>
  <si>
    <t>Melissa Gainey</t>
  </si>
  <si>
    <t>680483360050</t>
  </si>
  <si>
    <t>Maria E. Lohse</t>
  </si>
  <si>
    <t>6/4 SOOW SO</t>
  </si>
  <si>
    <t>Leo S Cavalier Inc</t>
  </si>
  <si>
    <t>680483360049</t>
  </si>
  <si>
    <t>Harry Volland</t>
  </si>
  <si>
    <t>6/3 SOOW  SO</t>
  </si>
  <si>
    <t>680483360071</t>
  </si>
  <si>
    <t>David Shearer</t>
  </si>
  <si>
    <t>594865014</t>
  </si>
  <si>
    <t>duie pyle</t>
  </si>
  <si>
    <t>5014094443</t>
  </si>
  <si>
    <t>3004312A WE WILL PICK UP</t>
  </si>
  <si>
    <t>David Robbins</t>
  </si>
  <si>
    <t>6 AWG TGGT</t>
  </si>
  <si>
    <t>440801774494293</t>
  </si>
  <si>
    <t>DAVE.ROBBINS@PRECISECOOLING.COM</t>
  </si>
  <si>
    <t>10 AWG TGGT</t>
  </si>
  <si>
    <t>521987071</t>
  </si>
  <si>
    <t>RHAYES19534U@YAHOO.COM</t>
  </si>
  <si>
    <t>Sandra Rourke</t>
  </si>
  <si>
    <t>#6 AWG THHN CU</t>
  </si>
  <si>
    <t xml:space="preserve">705687153164
</t>
  </si>
  <si>
    <t>MIKEFRANCIS5@JUNO.COM</t>
  </si>
  <si>
    <t>Robert Holvenstot</t>
  </si>
  <si>
    <t>44484604-2</t>
  </si>
  <si>
    <t>CDK Perforating</t>
  </si>
  <si>
    <t>8/4 SOOW   3X100'</t>
  </si>
  <si>
    <t>702723288094, 702723288109, 702723288110</t>
  </si>
  <si>
    <t>Mat Mather</t>
  </si>
  <si>
    <t>10/3 SOOW SO</t>
  </si>
  <si>
    <t>702723288017</t>
  </si>
  <si>
    <t>Gian</t>
  </si>
  <si>
    <t>Reel 18 AWG 8C Type CL2 UL Thermostat Wire Control -  105C - 150V - White</t>
  </si>
  <si>
    <t>616712876472</t>
  </si>
  <si>
    <t>Bill Roberts</t>
  </si>
  <si>
    <t>543369480999</t>
  </si>
  <si>
    <t>robertsb05@yahoo.com</t>
  </si>
  <si>
    <t>667087318535</t>
  </si>
  <si>
    <t>NEWCITYGC@GMAIL.COM</t>
  </si>
  <si>
    <t>Groupe R. Y. Beaudoin Inc</t>
  </si>
  <si>
    <t>4/2 SOOW</t>
  </si>
  <si>
    <t xml:space="preserve">	
21384906</t>
  </si>
  <si>
    <t>corgilink@aol.com</t>
  </si>
  <si>
    <t>Robert Breunig</t>
  </si>
  <si>
    <t>500MCM THHN CU BROWN</t>
  </si>
  <si>
    <t>mike@earthtech.biz</t>
  </si>
  <si>
    <t>500MCM THHN CU ORANGE</t>
  </si>
  <si>
    <t>500MCM THHN CU YELLOW</t>
  </si>
  <si>
    <t>500MCM THHN CU GREY</t>
  </si>
  <si>
    <t>2/0 THHN CU GREEN</t>
  </si>
  <si>
    <t>Andrew Gough</t>
  </si>
  <si>
    <t>Dyke 1x2900 1x2200</t>
  </si>
  <si>
    <t xml:space="preserve">SAIA </t>
  </si>
  <si>
    <t>101474725800</t>
  </si>
  <si>
    <t>agough17@gmail.com</t>
  </si>
  <si>
    <t>Notre Dame 1x2250+1x250 spliced</t>
  </si>
  <si>
    <t>5014094447</t>
  </si>
  <si>
    <t>3004326A .. we will pick up</t>
  </si>
  <si>
    <t>Notre Dame 1x2300</t>
  </si>
  <si>
    <t>5014178437</t>
  </si>
  <si>
    <t>3004326B .. we will pick up</t>
  </si>
  <si>
    <t>Jacques Lussier</t>
  </si>
  <si>
    <t>8/3 Flat Heavy Duty</t>
  </si>
  <si>
    <t>3491457944</t>
  </si>
  <si>
    <t>jacques_lussier@nps.gov</t>
  </si>
  <si>
    <t>Brandon Albright</t>
  </si>
  <si>
    <t>509752206</t>
  </si>
  <si>
    <t>ballbright@pwfrac.com</t>
  </si>
  <si>
    <t>Chris Blevins</t>
  </si>
  <si>
    <t>702723288072</t>
  </si>
  <si>
    <t>John Gibson</t>
  </si>
  <si>
    <t>702723288050</t>
  </si>
  <si>
    <t>David Clark</t>
  </si>
  <si>
    <t>702723288083</t>
  </si>
  <si>
    <t>Freddy Ledesma</t>
  </si>
  <si>
    <t>777240288724</t>
  </si>
  <si>
    <t>Michael Hillman</t>
  </si>
  <si>
    <t>702723288028</t>
  </si>
  <si>
    <t>702723288039</t>
  </si>
  <si>
    <t>Wayne Jacobs</t>
  </si>
  <si>
    <t>702723288040</t>
  </si>
  <si>
    <t>Dusty Small</t>
  </si>
  <si>
    <t>702723288061</t>
  </si>
  <si>
    <t>Jonathan Pierce</t>
  </si>
  <si>
    <t>679301396514</t>
  </si>
  <si>
    <t>JMF Contracting Inc.</t>
  </si>
  <si>
    <t>10/4 MC W/GRND</t>
  </si>
  <si>
    <t>John Richter</t>
  </si>
  <si>
    <t>2/0 XHHW COPPER (2/0xlpu)</t>
  </si>
  <si>
    <t>680483360082</t>
  </si>
  <si>
    <t>Bret Augustus</t>
  </si>
  <si>
    <t>679301396503</t>
  </si>
  <si>
    <t>Roland Olson</t>
  </si>
  <si>
    <t xml:space="preserve">	704137815</t>
  </si>
  <si>
    <t>Stephen Griffin</t>
  </si>
  <si>
    <t>675157529823</t>
  </si>
  <si>
    <t>Paul Brawley</t>
  </si>
  <si>
    <t>5014178463</t>
  </si>
  <si>
    <t>Miguel A Perez II</t>
  </si>
  <si>
    <t>22 AWG 4C Stranded Overall Shielded Communications &amp; Control Cable CL2 Gray</t>
  </si>
  <si>
    <t>614697967100</t>
  </si>
  <si>
    <t>Patricia Wilson</t>
  </si>
  <si>
    <t>704137842</t>
  </si>
  <si>
    <t>Sue Joyce</t>
  </si>
  <si>
    <t>702723288131</t>
  </si>
  <si>
    <t>3/3 MC Cable W/GRND</t>
  </si>
  <si>
    <t>1Z00051f0351851343</t>
  </si>
  <si>
    <t>paid 10.07.2016</t>
  </si>
  <si>
    <t>12/2 BX Cable</t>
  </si>
  <si>
    <t>777231318314</t>
  </si>
  <si>
    <t>14/4 VNTC 4x2000</t>
  </si>
  <si>
    <t xml:space="preserve">	376346655</t>
  </si>
  <si>
    <t>32798441</t>
  </si>
  <si>
    <t>Westing Supply Co.</t>
  </si>
  <si>
    <t>12/37 SOOW 1x197 1x69</t>
  </si>
  <si>
    <t>BAYLINK SHIPPING</t>
  </si>
  <si>
    <t>alvin.tang@westing.cn</t>
  </si>
  <si>
    <t>LANDSTAR RANGER</t>
  </si>
  <si>
    <t>$30 CUT CHARGE</t>
  </si>
  <si>
    <t xml:space="preserve">	3954144154</t>
  </si>
  <si>
    <t>3004352C</t>
  </si>
  <si>
    <t>Cat 6 UV Resistant Direct Outdoor</t>
  </si>
  <si>
    <t>1Z47E47W0341860869</t>
  </si>
  <si>
    <t>3004352B</t>
  </si>
  <si>
    <t>350/4 VNTC W/GRND</t>
  </si>
  <si>
    <t>336700711</t>
  </si>
  <si>
    <t>3004352A</t>
  </si>
  <si>
    <t>3723474672</t>
  </si>
  <si>
    <t>George Burns Jr.</t>
  </si>
  <si>
    <t>702723288186</t>
  </si>
  <si>
    <t>59654848262</t>
  </si>
  <si>
    <t>600MCM THHN CU 4x140</t>
  </si>
  <si>
    <t>I730491606</t>
  </si>
  <si>
    <t>James R Beach</t>
  </si>
  <si>
    <t>702723288153</t>
  </si>
  <si>
    <t>Luiz Da Silva</t>
  </si>
  <si>
    <t xml:space="preserve">	614697967110</t>
  </si>
  <si>
    <t>Candi Davis</t>
  </si>
  <si>
    <t xml:space="preserve">	777241395162</t>
  </si>
  <si>
    <t>Alex Lee</t>
  </si>
  <si>
    <t>702723288142</t>
  </si>
  <si>
    <t>Peter Dooney</t>
  </si>
  <si>
    <t>675157530275</t>
  </si>
  <si>
    <t>3004361A</t>
  </si>
  <si>
    <t>702723288782</t>
  </si>
  <si>
    <t>David Hanewinkel</t>
  </si>
  <si>
    <t>675157529845</t>
  </si>
  <si>
    <t>Bacilio Pacheco</t>
  </si>
  <si>
    <t>675157529801</t>
  </si>
  <si>
    <t>Lowell Pyror</t>
  </si>
  <si>
    <t>702723288164</t>
  </si>
  <si>
    <t>David G Lawrence</t>
  </si>
  <si>
    <t>18-4 Solid Plenum Rated Fire Alarm FPLP Cable Wire</t>
  </si>
  <si>
    <t>1Z096RR40341525989</t>
  </si>
  <si>
    <t>William D McDougal</t>
  </si>
  <si>
    <t>702723288175</t>
  </si>
  <si>
    <t>John Tork Motorsports</t>
  </si>
  <si>
    <t>642286528916</t>
  </si>
  <si>
    <t>William A Collins</t>
  </si>
  <si>
    <t>675157529797</t>
  </si>
  <si>
    <t>Mark J Hanson</t>
  </si>
  <si>
    <t>702723288201</t>
  </si>
  <si>
    <t>Joe Price</t>
  </si>
  <si>
    <t xml:space="preserve">	702723288223</t>
  </si>
  <si>
    <t>Jose M Argueta</t>
  </si>
  <si>
    <t>702723288234</t>
  </si>
  <si>
    <t>Matt Grabowski</t>
  </si>
  <si>
    <t>675157529786</t>
  </si>
  <si>
    <t>Richard Anderson</t>
  </si>
  <si>
    <t>675157529764</t>
  </si>
  <si>
    <t>Jarle Lillemoen</t>
  </si>
  <si>
    <t>PYLE TRANS/ECHO</t>
  </si>
  <si>
    <t>335786356</t>
  </si>
  <si>
    <t>elraj1@gmail.com</t>
  </si>
  <si>
    <t>Rex Ellsworth</t>
  </si>
  <si>
    <t xml:space="preserve">	702723288212</t>
  </si>
  <si>
    <t>swaps55@sbcglobal.net</t>
  </si>
  <si>
    <t>Thermionics NW</t>
  </si>
  <si>
    <t>702723288197</t>
  </si>
  <si>
    <t>John Durante</t>
  </si>
  <si>
    <t>47681396</t>
  </si>
  <si>
    <t>Charlie Radnetter</t>
  </si>
  <si>
    <t>350MCM THHN CU 4x 400</t>
  </si>
  <si>
    <t>paid 09.20.2016</t>
  </si>
  <si>
    <t>12 THHN WHITE</t>
  </si>
  <si>
    <t>12 THHN GREEN</t>
  </si>
  <si>
    <t>12/2 MC W/GRND</t>
  </si>
  <si>
    <t>3/0 THHN CU BLACK</t>
  </si>
  <si>
    <t>10/4 MC W/GRND Black White Red Blue Green</t>
  </si>
  <si>
    <t>537433584</t>
  </si>
  <si>
    <t>10/4 MC W/GRND 4x250 Grey Orange Brown Yellow Green</t>
  </si>
  <si>
    <t>Joshu Christie</t>
  </si>
  <si>
    <t>Customer Pick Up at Thea</t>
  </si>
  <si>
    <t>8/2 + GROUND XLP PVC 4x500</t>
  </si>
  <si>
    <t>DAYLIGHT TRANS/ECHO</t>
  </si>
  <si>
    <t>96023197</t>
  </si>
  <si>
    <t>6/2 + GROUND XLP PVC 4x500</t>
  </si>
  <si>
    <t>4/0-3 VNTC + GROUND</t>
  </si>
  <si>
    <t>paid 11.01.2016</t>
  </si>
  <si>
    <t>4/3 VNTC + GROUND</t>
  </si>
  <si>
    <t>Robert Stroud</t>
  </si>
  <si>
    <t>702723288337</t>
  </si>
  <si>
    <t>rselect@cox.net</t>
  </si>
  <si>
    <t>Cortney Drach</t>
  </si>
  <si>
    <t xml:space="preserve">SOUTHEASTERN/ECHO </t>
  </si>
  <si>
    <t>730568229</t>
  </si>
  <si>
    <t>rayedrach@gmail.com</t>
  </si>
  <si>
    <t>R Steven Snider</t>
  </si>
  <si>
    <t>680483360093</t>
  </si>
  <si>
    <t>Louis Andrychowski</t>
  </si>
  <si>
    <t>702723288289</t>
  </si>
  <si>
    <t>Timothy Walters</t>
  </si>
  <si>
    <t>675157529834</t>
  </si>
  <si>
    <t>Stephen M Shedlock II</t>
  </si>
  <si>
    <t>10/2 MC Cable W/GRND</t>
  </si>
  <si>
    <t>661091351918</t>
  </si>
  <si>
    <t>Jerome Trapp</t>
  </si>
  <si>
    <t>680483360108</t>
  </si>
  <si>
    <t>Stephan Arena</t>
  </si>
  <si>
    <t>702723288278</t>
  </si>
  <si>
    <t>Michael DiCosimo</t>
  </si>
  <si>
    <t xml:space="preserve"> 	702723288267</t>
  </si>
  <si>
    <t>Kevin Woodbrey</t>
  </si>
  <si>
    <t>22/20 AWG 2P Individual &amp; Overall Shielded Instrumentation/Communication Tray Cable UL PLTC/ITC - PVC/PVC -30C to 75C - 300V Black Belden 1075A</t>
  </si>
  <si>
    <t>642723908616</t>
  </si>
  <si>
    <t>Design &amp; Production Inc</t>
  </si>
  <si>
    <t>675157529775</t>
  </si>
  <si>
    <t>David Robin</t>
  </si>
  <si>
    <t>702723288705</t>
  </si>
  <si>
    <t>Jennifer Gorseth</t>
  </si>
  <si>
    <t xml:space="preserve">	702723288290</t>
  </si>
  <si>
    <t>Shane Carr</t>
  </si>
  <si>
    <t>702723288348</t>
  </si>
  <si>
    <t>702723288359</t>
  </si>
  <si>
    <t>John Poulter</t>
  </si>
  <si>
    <t>3726868191</t>
  </si>
  <si>
    <t>johnp15ac@gmail.com</t>
  </si>
  <si>
    <t>Michelle Heneisen</t>
  </si>
  <si>
    <t>675157529812</t>
  </si>
  <si>
    <t>Simon Shaw</t>
  </si>
  <si>
    <t>675157529867</t>
  </si>
  <si>
    <t>Frank Salazar</t>
  </si>
  <si>
    <t>639564016147</t>
  </si>
  <si>
    <t>Dean Flego</t>
  </si>
  <si>
    <t>702723288315</t>
  </si>
  <si>
    <t>hyd777@aol.com</t>
  </si>
  <si>
    <t>Adam White</t>
  </si>
  <si>
    <t>702723288326</t>
  </si>
  <si>
    <t>Sabra Ewing</t>
  </si>
  <si>
    <t>12 AWG XLP/USE-2/RHW-2/RHH Stranded - 7 STR - 90C - 600V - Red 1x500</t>
  </si>
  <si>
    <t>690306366301</t>
  </si>
  <si>
    <t>24103614</t>
  </si>
  <si>
    <t>paid 11.21.2016</t>
  </si>
  <si>
    <t>Durrell McIntosh</t>
  </si>
  <si>
    <t>630512244836</t>
  </si>
  <si>
    <t>Terry Kubiak</t>
  </si>
  <si>
    <t>4-4-4-6 SER CU 1x285 1x295</t>
  </si>
  <si>
    <t>3491458191</t>
  </si>
  <si>
    <t>terryk109@yahoo.com</t>
  </si>
  <si>
    <t>Mark Kohlwey</t>
  </si>
  <si>
    <t>9835144402</t>
  </si>
  <si>
    <t>nan.kohlwey@gmail.com</t>
  </si>
  <si>
    <t>10 THHN WHITE STR 4x500</t>
  </si>
  <si>
    <t>6 THHN BLACK STR</t>
  </si>
  <si>
    <t>654016290385</t>
  </si>
  <si>
    <t>3004409A</t>
  </si>
  <si>
    <t>10 THHN STR GREEN</t>
  </si>
  <si>
    <t>654016290396</t>
  </si>
  <si>
    <t>2/3 MC Cable</t>
  </si>
  <si>
    <t>675157529981</t>
  </si>
  <si>
    <t>3004409B</t>
  </si>
  <si>
    <t>Fred Scott Martin</t>
  </si>
  <si>
    <t>444MCM DLO</t>
  </si>
  <si>
    <t>51954319</t>
  </si>
  <si>
    <t>h2o2liv@msn.com</t>
  </si>
  <si>
    <t>1/0 DLO</t>
  </si>
  <si>
    <t>Spenser Gruis</t>
  </si>
  <si>
    <t>Earlham</t>
  </si>
  <si>
    <t>3963548890</t>
  </si>
  <si>
    <t>sgruis@omnitel.biz</t>
  </si>
  <si>
    <t>18/8 VNTC</t>
  </si>
  <si>
    <t xml:space="preserve">	616712876623</t>
  </si>
  <si>
    <t>Lori A Eyrich</t>
  </si>
  <si>
    <t>24-4 Cat 5E Direct Burial Telephone Cable Bare Copper ETL Verified Wire</t>
  </si>
  <si>
    <t>Joseph Pena</t>
  </si>
  <si>
    <t>639794969420</t>
  </si>
  <si>
    <t>James Eshbaugh</t>
  </si>
  <si>
    <t>777270828419</t>
  </si>
  <si>
    <t>Shannon Dillard</t>
  </si>
  <si>
    <t>665645047004</t>
  </si>
  <si>
    <t>George Lochert</t>
  </si>
  <si>
    <t>702723288370</t>
  </si>
  <si>
    <t>Donald Jones</t>
  </si>
  <si>
    <t>702723288495</t>
  </si>
  <si>
    <t>Brian Shimpa</t>
  </si>
  <si>
    <t>702723288418</t>
  </si>
  <si>
    <t>Ricardo Saldana</t>
  </si>
  <si>
    <t xml:space="preserve">	702723288381</t>
  </si>
  <si>
    <t>Joe Wotowiec</t>
  </si>
  <si>
    <t>702723288407</t>
  </si>
  <si>
    <t>Erwin L Stoltzfus</t>
  </si>
  <si>
    <t>702723288430</t>
  </si>
  <si>
    <t>Cyndi Stewart</t>
  </si>
  <si>
    <t xml:space="preserve">	665645047015</t>
  </si>
  <si>
    <t>Adam Fischer</t>
  </si>
  <si>
    <t>679301396710</t>
  </si>
  <si>
    <t>Michael McKenna</t>
  </si>
  <si>
    <t>679301396694</t>
  </si>
  <si>
    <t>Nathan T Lange</t>
  </si>
  <si>
    <t>702723288429</t>
  </si>
  <si>
    <t>Bradshaw Supply</t>
  </si>
  <si>
    <t xml:space="preserve">	702723288392</t>
  </si>
  <si>
    <t>Bill Droege</t>
  </si>
  <si>
    <t>665645046990</t>
  </si>
  <si>
    <t>Teresa Person</t>
  </si>
  <si>
    <t>665645047070</t>
  </si>
  <si>
    <t>#6 RHH RHW-2 CU 7 Strand Only 2X5000</t>
  </si>
  <si>
    <t>468101620</t>
  </si>
  <si>
    <t>paid 11.28.2016</t>
  </si>
  <si>
    <t>David Epoling</t>
  </si>
  <si>
    <t>AWN-018-1384339</t>
  </si>
  <si>
    <t>depoling@gmail.com</t>
  </si>
  <si>
    <t>Pratt (Spliced Together)</t>
  </si>
  <si>
    <t>3004432A we will pick up</t>
  </si>
  <si>
    <t>Brad Turner</t>
  </si>
  <si>
    <t>2/0 Welding Cable Blue 2x500</t>
  </si>
  <si>
    <t>253861587-0</t>
  </si>
  <si>
    <t>brad@valleyironworks.com</t>
  </si>
  <si>
    <t>5014092961</t>
  </si>
  <si>
    <t>m_szczpnsk@hotmail.com</t>
  </si>
  <si>
    <t>25182122</t>
  </si>
  <si>
    <t>Ashley Stowers</t>
  </si>
  <si>
    <t>639564016170</t>
  </si>
  <si>
    <t>Patricia Ontko</t>
  </si>
  <si>
    <t>665645047081</t>
  </si>
  <si>
    <t>Hendrick S Van Leeuwen</t>
  </si>
  <si>
    <t>665645047060</t>
  </si>
  <si>
    <t>Ara Armen</t>
  </si>
  <si>
    <t>665645047026</t>
  </si>
  <si>
    <t>665645047037</t>
  </si>
  <si>
    <t>Sean Hart</t>
  </si>
  <si>
    <t>665645047048, 665645047059</t>
  </si>
  <si>
    <t>Thomas Rozzi</t>
  </si>
  <si>
    <t xml:space="preserve">	665645046980</t>
  </si>
  <si>
    <t>Jeremy Hester</t>
  </si>
  <si>
    <t>642286528938</t>
  </si>
  <si>
    <t>DIrect</t>
  </si>
  <si>
    <t>Daniel S Levin</t>
  </si>
  <si>
    <t>3976150161</t>
  </si>
  <si>
    <t>Charles Y Boatman</t>
  </si>
  <si>
    <t>701849703360</t>
  </si>
  <si>
    <t>Lynn Breed</t>
  </si>
  <si>
    <t>679301396709</t>
  </si>
  <si>
    <t>Jon Grunefelder</t>
  </si>
  <si>
    <t>Scott Stropko</t>
  </si>
  <si>
    <t>Joe Payne</t>
  </si>
  <si>
    <t>20 AWG 4C Stranded Non-Shielded Communications &amp; Control Cable CMB FT4 Chrome Belden 9444</t>
  </si>
  <si>
    <t>WireExpress</t>
  </si>
  <si>
    <t xml:space="preserve">118391272726438 </t>
  </si>
  <si>
    <t>Mike Gary</t>
  </si>
  <si>
    <t>642286528971</t>
  </si>
  <si>
    <t>$25 cut charge</t>
  </si>
  <si>
    <t>Robert Moran</t>
  </si>
  <si>
    <t>675157529970</t>
  </si>
  <si>
    <t>Brian Vermillion</t>
  </si>
  <si>
    <t>680483360119</t>
  </si>
  <si>
    <t>Matthew W Ronald</t>
  </si>
  <si>
    <t>matt@mkbuilders.com</t>
  </si>
  <si>
    <t>8/5 SOOW UL/CSA</t>
  </si>
  <si>
    <t>47681451</t>
  </si>
  <si>
    <t>Cody McKay</t>
  </si>
  <si>
    <t>680483360152</t>
  </si>
  <si>
    <t>codymckay@outlook.com</t>
  </si>
  <si>
    <t xml:space="preserve">	702723288484</t>
  </si>
  <si>
    <t>paid 11.09.2016</t>
  </si>
  <si>
    <t>16 MTW White 8x500</t>
  </si>
  <si>
    <t>690306366459</t>
  </si>
  <si>
    <t>3004456A</t>
  </si>
  <si>
    <t>Gregory Mercurio</t>
  </si>
  <si>
    <t>680483360130</t>
  </si>
  <si>
    <t>Kari Erickson</t>
  </si>
  <si>
    <t>639564016240</t>
  </si>
  <si>
    <t>Jim Housh</t>
  </si>
  <si>
    <t>680483360141</t>
  </si>
  <si>
    <t>904038588</t>
  </si>
  <si>
    <t>Marlon Curtis</t>
  </si>
  <si>
    <t>680483360120</t>
  </si>
  <si>
    <t>David W Morris</t>
  </si>
  <si>
    <t>680483360174</t>
  </si>
  <si>
    <t>Michael Sova</t>
  </si>
  <si>
    <t xml:space="preserve">	702723288462</t>
  </si>
  <si>
    <t>Todd Lechner</t>
  </si>
  <si>
    <t>702723288451</t>
  </si>
  <si>
    <t>George Scandalis</t>
  </si>
  <si>
    <t>702723288440</t>
  </si>
  <si>
    <t>Mike Lemega</t>
  </si>
  <si>
    <t>639794969511</t>
  </si>
  <si>
    <t>Rob Connor</t>
  </si>
  <si>
    <t>Darrell Housand</t>
  </si>
  <si>
    <t>701849703382</t>
  </si>
  <si>
    <t>William A Van Beers Jr</t>
  </si>
  <si>
    <t>700044012090</t>
  </si>
  <si>
    <t>wvanbeers634@yahoo.com</t>
  </si>
  <si>
    <t>Ryan Frost</t>
  </si>
  <si>
    <t>350MCM 3C AL W/GRND MC JACKETD 4x1000</t>
  </si>
  <si>
    <t>MEYERS TRANSPORT</t>
  </si>
  <si>
    <t>1271882933</t>
  </si>
  <si>
    <t>rfrost@waterville.com</t>
  </si>
  <si>
    <t>Eric Eastment</t>
  </si>
  <si>
    <t>flyfishingtrail@gmail.com</t>
  </si>
  <si>
    <t>1651405033</t>
  </si>
  <si>
    <t>3004471A</t>
  </si>
  <si>
    <t>Gary Sundeen</t>
  </si>
  <si>
    <t>18/37 VNTC</t>
  </si>
  <si>
    <t>667087321196</t>
  </si>
  <si>
    <t>Victor Rivas</t>
  </si>
  <si>
    <t>702723288473</t>
  </si>
  <si>
    <t>Jim Hester</t>
  </si>
  <si>
    <t xml:space="preserve">	703688860490</t>
  </si>
  <si>
    <t>HC Powers</t>
  </si>
  <si>
    <t>777279729740</t>
  </si>
  <si>
    <t>Frank Tankalavage</t>
  </si>
  <si>
    <t>680483360163</t>
  </si>
  <si>
    <t>Leroy Martin</t>
  </si>
  <si>
    <t>680483360200</t>
  </si>
  <si>
    <t>Pete Figlow</t>
  </si>
  <si>
    <t>24 Gauge 50 Pairs 24/50 Pairs Telephone Cable PE89 Black Cable Wire</t>
  </si>
  <si>
    <t xml:space="preserve">	382408977</t>
  </si>
  <si>
    <t>Rodney Ernest</t>
  </si>
  <si>
    <t>702723288532</t>
  </si>
  <si>
    <t>680483360233</t>
  </si>
  <si>
    <t>Ashley Arney</t>
  </si>
  <si>
    <t>68043360211</t>
  </si>
  <si>
    <t>Derdley Fleuridor</t>
  </si>
  <si>
    <t>Part # 01-104-40 Essex</t>
  </si>
  <si>
    <t>Wirexpess</t>
  </si>
  <si>
    <t>R &amp; L carriers</t>
  </si>
  <si>
    <t>Part # 01-108-40 Essex</t>
  </si>
  <si>
    <t>Thomas Nissen</t>
  </si>
  <si>
    <t>24103623</t>
  </si>
  <si>
    <t>tom@nationwideicc.com</t>
  </si>
  <si>
    <t>John Fleming</t>
  </si>
  <si>
    <t>702723288521</t>
  </si>
  <si>
    <t>David Crumpler</t>
  </si>
  <si>
    <t>702723288543</t>
  </si>
  <si>
    <t>John Robert Slaughter</t>
  </si>
  <si>
    <t>77700134124</t>
  </si>
  <si>
    <t>Justin Donaldson</t>
  </si>
  <si>
    <t>donaldj82@comcast.net</t>
  </si>
  <si>
    <t>Gary Layman</t>
  </si>
  <si>
    <t>500MCM THHN ORANGE</t>
  </si>
  <si>
    <t>5014092970</t>
  </si>
  <si>
    <t>garysl1@netzero.com</t>
  </si>
  <si>
    <t>500MCM THHN GREEN</t>
  </si>
  <si>
    <t>Rob Deschamps</t>
  </si>
  <si>
    <t>665645047092</t>
  </si>
  <si>
    <t>Liz Jenkins</t>
  </si>
  <si>
    <t>680483360222</t>
  </si>
  <si>
    <t>Kyle M Kurt</t>
  </si>
  <si>
    <t xml:space="preserve">  680483360196 </t>
  </si>
  <si>
    <t>Leon Black</t>
  </si>
  <si>
    <t>665645047107</t>
  </si>
  <si>
    <t>10 THHN CU GREEN 4X2500</t>
  </si>
  <si>
    <t xml:space="preserve">	363669367</t>
  </si>
  <si>
    <t>10 THHN CU BLAC K 2X2500</t>
  </si>
  <si>
    <t>6 THHN CU BLACK 4X2500</t>
  </si>
  <si>
    <t xml:space="preserve">8 THHN CU BLACK </t>
  </si>
  <si>
    <t>12 THHN CU BLACK</t>
  </si>
  <si>
    <t xml:space="preserve">12 THHN CU GREEN </t>
  </si>
  <si>
    <t>Chris Bollinger</t>
  </si>
  <si>
    <t>12/4 Flat Festoon Black</t>
  </si>
  <si>
    <t>1Z6096310142966832</t>
  </si>
  <si>
    <t>mconstantino@buyersproducts.com</t>
  </si>
  <si>
    <t>Mike Meyer</t>
  </si>
  <si>
    <t>DAYLIGHT TRANS/ECHO </t>
  </si>
  <si>
    <t>26439315</t>
  </si>
  <si>
    <t>meyer176@yahoo.com</t>
  </si>
  <si>
    <t>Zachary Mabry</t>
  </si>
  <si>
    <t>nealmalone@earthlink.net</t>
  </si>
  <si>
    <t>Universal 1 Repair</t>
  </si>
  <si>
    <t>universal1repair@gmail.com</t>
  </si>
  <si>
    <t>Julia Smith</t>
  </si>
  <si>
    <t>Okonite Code # 113-24-2101 12AWG</t>
  </si>
  <si>
    <t>julia.smith@unnpp.gov</t>
  </si>
  <si>
    <t>Abel Mateo Bravo Ortiz</t>
  </si>
  <si>
    <t>16/14 SOOW</t>
  </si>
  <si>
    <t>idmanufacturing@yahoo.com</t>
  </si>
  <si>
    <t>16/8 SOOW 2X250</t>
  </si>
  <si>
    <t>250 5KV EPR PVC</t>
  </si>
  <si>
    <t xml:space="preserve">596989989
</t>
  </si>
  <si>
    <t>alexsandr.karmanskiy@nycha.nyc.gov</t>
  </si>
  <si>
    <t>NEMF/ECHO</t>
  </si>
  <si>
    <t>24114028</t>
  </si>
  <si>
    <t>we will pick up 3004501A</t>
  </si>
  <si>
    <t>88823142-0</t>
  </si>
  <si>
    <t>northhamptonkoa@aol.com</t>
  </si>
  <si>
    <t>Jim Dixon</t>
  </si>
  <si>
    <t>665645047129</t>
  </si>
  <si>
    <t>Chris B Gatlin</t>
  </si>
  <si>
    <t>083083356281</t>
  </si>
  <si>
    <t>Salvador Heredia</t>
  </si>
  <si>
    <t>642286529040</t>
  </si>
  <si>
    <t>John Turnage</t>
  </si>
  <si>
    <t>409455052</t>
  </si>
  <si>
    <t>14/3 SEOOW 1x 1000 1x 500</t>
  </si>
  <si>
    <t xml:space="preserve">271482739B </t>
  </si>
  <si>
    <t>Darlene Harris</t>
  </si>
  <si>
    <t>665645047118</t>
  </si>
  <si>
    <t>Jason von Eberstein</t>
  </si>
  <si>
    <t>1075A 22/20 AWG 2P Individual &amp; Overall Shielded Instrumentation/Communication Tray Cable UL PLTC/ITC - PVC/PVC -30C to 75C 300V Black Belden</t>
  </si>
  <si>
    <t xml:space="preserve">440801774514687 </t>
  </si>
  <si>
    <t>Robert J Rudd</t>
  </si>
  <si>
    <t xml:space="preserve">543369481403
</t>
  </si>
  <si>
    <t>Mackenzie Browning</t>
  </si>
  <si>
    <t>701849703452</t>
  </si>
  <si>
    <t>Harrison Hyda-Gen</t>
  </si>
  <si>
    <t xml:space="preserve">	866834906</t>
  </si>
  <si>
    <t>604210110</t>
  </si>
  <si>
    <t>3004512A</t>
  </si>
  <si>
    <t>707060222352</t>
  </si>
  <si>
    <t>3004512B</t>
  </si>
  <si>
    <t>14 THHN YELLOW 2x500 (11 in spool diameter)</t>
  </si>
  <si>
    <t>707060222363, 707060222374</t>
  </si>
  <si>
    <t>18 TFFN ORANGE (11 in spool diameter)</t>
  </si>
  <si>
    <t>669974334080</t>
  </si>
  <si>
    <t>3004512C</t>
  </si>
  <si>
    <t>Broadway Electric</t>
  </si>
  <si>
    <t>18/12 Thermostat Cable</t>
  </si>
  <si>
    <t>569657073096</t>
  </si>
  <si>
    <t>billed out on 09.27.2016</t>
  </si>
  <si>
    <t>Gary Kirby</t>
  </si>
  <si>
    <t>702723288602</t>
  </si>
  <si>
    <t>Michael Coicaue</t>
  </si>
  <si>
    <t>3239-14-25KV White</t>
  </si>
  <si>
    <t>FEDEX 2 DAY</t>
  </si>
  <si>
    <t>645512973293</t>
  </si>
  <si>
    <t>spares@rcg-usa.com</t>
  </si>
  <si>
    <t>David Brunelle</t>
  </si>
  <si>
    <t>702723288576</t>
  </si>
  <si>
    <t>Keith Funke</t>
  </si>
  <si>
    <t>18-10 PVC Thermostat Cable White Jacket</t>
  </si>
  <si>
    <t>616712876737</t>
  </si>
  <si>
    <t>funkeelectric@verizon.net</t>
  </si>
  <si>
    <t>Jospeh J Walden</t>
  </si>
  <si>
    <t>USF REDDAWAY</t>
  </si>
  <si>
    <t>32340923116</t>
  </si>
  <si>
    <t>Greg Martin</t>
  </si>
  <si>
    <t>702723288587</t>
  </si>
  <si>
    <t xml:space="preserve">	700044012219</t>
  </si>
  <si>
    <t>Steven Jospeh</t>
  </si>
  <si>
    <t>702723288922</t>
  </si>
  <si>
    <t>Mark Costello</t>
  </si>
  <si>
    <t>702723288598</t>
  </si>
  <si>
    <t>Wayne Shumpert</t>
  </si>
  <si>
    <t>707060222558</t>
  </si>
  <si>
    <t>16/6 VNTC 2X 1000</t>
  </si>
  <si>
    <t xml:space="preserve">	342387774</t>
  </si>
  <si>
    <t>6/4 SOOW 35x75</t>
  </si>
  <si>
    <t>5014119253</t>
  </si>
  <si>
    <t>6/4 SOOW 5x75</t>
  </si>
  <si>
    <t>5011219230</t>
  </si>
  <si>
    <t>we will pick up 3004525A</t>
  </si>
  <si>
    <t>Patrick Gregory</t>
  </si>
  <si>
    <t xml:space="preserve">	609851524523</t>
  </si>
  <si>
    <t>4 THHN GREEN 1x440 1x940</t>
  </si>
  <si>
    <t>billed out on 09.30.2016</t>
  </si>
  <si>
    <t xml:space="preserve">3 THHN GREEN </t>
  </si>
  <si>
    <t>2/0 THHN GREEN</t>
  </si>
  <si>
    <t>2/0 THHN ORANGE</t>
  </si>
  <si>
    <t>2/0 THHN YELLOW</t>
  </si>
  <si>
    <t>4/0 THHN WHITE</t>
  </si>
  <si>
    <t>300MCM THHN BLACK</t>
  </si>
  <si>
    <t>300MCM THHN RED</t>
  </si>
  <si>
    <t>350MCM THHN BLACK</t>
  </si>
  <si>
    <t>350 THHN BROWN</t>
  </si>
  <si>
    <t>400MCM THHN BLACK 1x224 1x338</t>
  </si>
  <si>
    <t>400MCM THHN ORANGE</t>
  </si>
  <si>
    <t>500MCM THHN BLACK 1x218 1x265 1x325 1x363 1x370 1x388 1x400 1x422</t>
  </si>
  <si>
    <t>500MCM THHN YELLOW</t>
  </si>
  <si>
    <t>600MCM THHN BLUE</t>
  </si>
  <si>
    <t>600MCM THHN ORANGE 1x275 1x474</t>
  </si>
  <si>
    <t>600MCM THHN YELLOW</t>
  </si>
  <si>
    <t>600MCM THHN WHITE</t>
  </si>
  <si>
    <t>4/0 Jumper Cable</t>
  </si>
  <si>
    <t>1Z7238E00358952757</t>
  </si>
  <si>
    <t>4 XLP USE RHH RHW</t>
  </si>
  <si>
    <t>Blake Quackenbush</t>
  </si>
  <si>
    <t>702723288668</t>
  </si>
  <si>
    <t>Gary Krueger</t>
  </si>
  <si>
    <t xml:space="preserve">702723288646 </t>
  </si>
  <si>
    <t>Nicholas Ikerd</t>
  </si>
  <si>
    <t>777333978138</t>
  </si>
  <si>
    <t>Brad Lumpkins</t>
  </si>
  <si>
    <t>702723288657</t>
  </si>
  <si>
    <t>Raymond Holmes</t>
  </si>
  <si>
    <t>702723288635</t>
  </si>
  <si>
    <t>Eugene Gaglia</t>
  </si>
  <si>
    <t>350MCM 3C EPR/CPE MP-GC 15kV 1 RHINO Power Cable</t>
  </si>
  <si>
    <t>3767607351</t>
  </si>
  <si>
    <t>$30 cut charges</t>
  </si>
  <si>
    <t>edgaglia@magtrolwest.com</t>
  </si>
  <si>
    <t>Stephen Deming</t>
  </si>
  <si>
    <t>702723288679</t>
  </si>
  <si>
    <t>William J Miller</t>
  </si>
  <si>
    <t>Chemung</t>
  </si>
  <si>
    <t>702723288690</t>
  </si>
  <si>
    <t>James Self</t>
  </si>
  <si>
    <t>14-4 Security Stranded PVC Wire CL Non shielded Cable</t>
  </si>
  <si>
    <t>707510672872</t>
  </si>
  <si>
    <t>John Scarcella</t>
  </si>
  <si>
    <t>702723288680</t>
  </si>
  <si>
    <t>Henry Wade</t>
  </si>
  <si>
    <t>736341816385</t>
  </si>
  <si>
    <t>Aaron Abbott</t>
  </si>
  <si>
    <t>777336822473</t>
  </si>
  <si>
    <t>Reann Rameson</t>
  </si>
  <si>
    <t>4226668434</t>
  </si>
  <si>
    <t>reactress@yahoo.com</t>
  </si>
  <si>
    <t>Terry Sopira</t>
  </si>
  <si>
    <t xml:space="preserve">	614697967474</t>
  </si>
  <si>
    <t>Beau Shultz</t>
  </si>
  <si>
    <t>642286529029</t>
  </si>
  <si>
    <t>Russell Gocht</t>
  </si>
  <si>
    <t>676563245191</t>
  </si>
  <si>
    <t>Mike Burnett</t>
  </si>
  <si>
    <t>3766720930</t>
  </si>
  <si>
    <t>Robert Waters</t>
  </si>
  <si>
    <t>702723288738</t>
  </si>
  <si>
    <t>Miranda Vearil</t>
  </si>
  <si>
    <t xml:space="preserve">1Z9VA6380322210846  </t>
  </si>
  <si>
    <t>Dog House Rocketry LLC</t>
  </si>
  <si>
    <t>22 AWG 1 Conductor PTFE Type E 600V 200C MIL-16878/4 Blue Cable Wire</t>
  </si>
  <si>
    <t>gra</t>
  </si>
  <si>
    <t>706034047416</t>
  </si>
  <si>
    <t>David M White</t>
  </si>
  <si>
    <t>675157530194</t>
  </si>
  <si>
    <t>R Wayne Anderson</t>
  </si>
  <si>
    <t>702723288841</t>
  </si>
  <si>
    <t>RV International LLC</t>
  </si>
  <si>
    <t>14/12 SHIELDED TC</t>
  </si>
  <si>
    <t>WILSON TRUCKING/DLS</t>
  </si>
  <si>
    <t>14/4 SHIELDED TC</t>
  </si>
  <si>
    <t>Dan Schwartz</t>
  </si>
  <si>
    <t>396432853</t>
  </si>
  <si>
    <t>eeiinc@aol.com</t>
  </si>
  <si>
    <t>Lester Fong</t>
  </si>
  <si>
    <t>675157530183</t>
  </si>
  <si>
    <t>Josh Dubie</t>
  </si>
  <si>
    <t>665645047140</t>
  </si>
  <si>
    <t>James Guy</t>
  </si>
  <si>
    <t>630512244961</t>
  </si>
  <si>
    <t>Andrew Y Kim</t>
  </si>
  <si>
    <t>680483360255</t>
  </si>
  <si>
    <t>Shannon Gatewood</t>
  </si>
  <si>
    <t>3766720915</t>
  </si>
  <si>
    <t>John Preston</t>
  </si>
  <si>
    <t>543369481414</t>
  </si>
  <si>
    <t>Jay Glasser</t>
  </si>
  <si>
    <t>707060223201</t>
  </si>
  <si>
    <t>Jason Stover</t>
  </si>
  <si>
    <t>639794969577</t>
  </si>
  <si>
    <t>665645047151</t>
  </si>
  <si>
    <t>Kirk Smith</t>
  </si>
  <si>
    <t>665645047130</t>
  </si>
  <si>
    <t>Mary Gildenpfenning</t>
  </si>
  <si>
    <t>679301396948</t>
  </si>
  <si>
    <t>Kade Covalt</t>
  </si>
  <si>
    <t>642286529062</t>
  </si>
  <si>
    <t> 24 GAUGE 50 PAIRS 24/50 PAIRS TELEPHONE CABLE PE89 BLACK CABLE WIRE</t>
  </si>
  <si>
    <t>609851524751</t>
  </si>
  <si>
    <t>pete@class3solutions.com</t>
  </si>
  <si>
    <t>Matt Hermin</t>
  </si>
  <si>
    <t>3963544351</t>
  </si>
  <si>
    <t>mbraun1@microcenter.com</t>
  </si>
  <si>
    <t>Victor Wilson</t>
  </si>
  <si>
    <t>630512244983</t>
  </si>
  <si>
    <t>Ralph Gonzalez</t>
  </si>
  <si>
    <t>707510672861</t>
  </si>
  <si>
    <t>Ricky Swindle</t>
  </si>
  <si>
    <t>609851524980</t>
  </si>
  <si>
    <t>rswindle1873@charter.net</t>
  </si>
  <si>
    <t>Tucker Electrical</t>
  </si>
  <si>
    <t>Wesleyan 2x1000</t>
  </si>
  <si>
    <t>0272133314</t>
  </si>
  <si>
    <t>paid in full on 11.10.2016</t>
  </si>
  <si>
    <t>Kevin Ramsa</t>
  </si>
  <si>
    <t>TF</t>
  </si>
  <si>
    <t>395524445-1</t>
  </si>
  <si>
    <t>10/8 SOOW</t>
  </si>
  <si>
    <t>American Wire Group</t>
  </si>
  <si>
    <t>julisa@buyawg.com</t>
  </si>
  <si>
    <t>Bruce Hayden</t>
  </si>
  <si>
    <t xml:space="preserve">	644267287980</t>
  </si>
  <si>
    <t>bhayden046@gmail.com</t>
  </si>
  <si>
    <t>543369481469</t>
  </si>
  <si>
    <t>Phillip Johnson</t>
  </si>
  <si>
    <t>8443 22 AWG 3C Stranded Non-Shielded Communications &amp; Control Cable CMG UL AWM Style 2576 - Chrome Belden</t>
  </si>
  <si>
    <t xml:space="preserve">092825685671694 </t>
  </si>
  <si>
    <t>8442 22 AWG 2C Stranded Non-Shielded Communications &amp; Control Cable CMG - Chrome Belden</t>
  </si>
  <si>
    <t>Adele Seely</t>
  </si>
  <si>
    <t>9402 20 AWG 2P Stranded Overall Shielded Communications &amp; Control Cable CMG FT4 UL AWM Style 2464 - Chrome Belden</t>
  </si>
  <si>
    <t>022356386200919</t>
  </si>
  <si>
    <t>12/4 MC W/GRND 8x250</t>
  </si>
  <si>
    <t>594865180</t>
  </si>
  <si>
    <t>Yadira Colomo</t>
  </si>
  <si>
    <t>702723288771</t>
  </si>
  <si>
    <t>William Glover</t>
  </si>
  <si>
    <t>702723288716</t>
  </si>
  <si>
    <t>Nathan D Laroux</t>
  </si>
  <si>
    <t>665645047200</t>
  </si>
  <si>
    <t>John Wolff</t>
  </si>
  <si>
    <t>702723288749</t>
  </si>
  <si>
    <t>William Kowalski</t>
  </si>
  <si>
    <t>444846051</t>
  </si>
  <si>
    <t>David R Buckwalter</t>
  </si>
  <si>
    <t>701849703522</t>
  </si>
  <si>
    <t>Andrew Roberts</t>
  </si>
  <si>
    <t>702723288727</t>
  </si>
  <si>
    <t>Dave Grittman</t>
  </si>
  <si>
    <t>707510672942</t>
  </si>
  <si>
    <t>Paul LaForge</t>
  </si>
  <si>
    <t>702723288885</t>
  </si>
  <si>
    <t>Aleksandr Borger</t>
  </si>
  <si>
    <t>665645047173</t>
  </si>
  <si>
    <t>Dean C Koppelman</t>
  </si>
  <si>
    <t>665645047184</t>
  </si>
  <si>
    <t>Richard Lynch</t>
  </si>
  <si>
    <t>500MCM 4C W/GRND ALUM ARMORED BLACK JACKET</t>
  </si>
  <si>
    <t>FREIGHT LINE CARRIERS</t>
  </si>
  <si>
    <t>138177</t>
  </si>
  <si>
    <t>jralynch@gmail.com</t>
  </si>
  <si>
    <t>Jason Meyers</t>
  </si>
  <si>
    <t>702723288793</t>
  </si>
  <si>
    <t>Michael Osten</t>
  </si>
  <si>
    <t>701849703496</t>
  </si>
  <si>
    <t>Micayes Cassamajor</t>
  </si>
  <si>
    <t>702723288760</t>
  </si>
  <si>
    <t>Alexius Deters</t>
  </si>
  <si>
    <t>Frank Burtnett</t>
  </si>
  <si>
    <t>702723288808</t>
  </si>
  <si>
    <t>fburnett@gmail.com</t>
  </si>
  <si>
    <t>675157530209</t>
  </si>
  <si>
    <t>Larry Davila</t>
  </si>
  <si>
    <t>3/0-4 MC W/GRND CU</t>
  </si>
  <si>
    <t>Ace Wire</t>
  </si>
  <si>
    <t>ACE TRUCK</t>
  </si>
  <si>
    <t>sherlockinc@optonline.net</t>
  </si>
  <si>
    <t>Donald Shrier</t>
  </si>
  <si>
    <t>702723288874</t>
  </si>
  <si>
    <t>dee.shrier@sbcglobal.net</t>
  </si>
  <si>
    <t>3/0-3/0-3/0-1/0 SER AL</t>
  </si>
  <si>
    <t>FEDEX/ECHO</t>
  </si>
  <si>
    <t>2696706585</t>
  </si>
  <si>
    <t>3 THHN STR WHITE</t>
  </si>
  <si>
    <t>DELIVERED VIA TRUCK 10/4/16</t>
  </si>
  <si>
    <t>2 THHN STR WHITE</t>
  </si>
  <si>
    <t>3 THHN STR RED</t>
  </si>
  <si>
    <t>3 THHN STR BLACK</t>
  </si>
  <si>
    <t>3 THHN STR BLUE</t>
  </si>
  <si>
    <t>2 THHN STR BLACK</t>
  </si>
  <si>
    <t>2 THHN STR BLUE</t>
  </si>
  <si>
    <t>12/2 MC Cable 8x250</t>
  </si>
  <si>
    <t>3004602A</t>
  </si>
  <si>
    <t>12/3 MC Cable 8x250</t>
  </si>
  <si>
    <t>Rebecca Mallicote</t>
  </si>
  <si>
    <t>300MCM THHN CU 4x50</t>
  </si>
  <si>
    <t>730491093</t>
  </si>
  <si>
    <t>rmallicote@gmail.com</t>
  </si>
  <si>
    <t>see 3004501</t>
  </si>
  <si>
    <t>aleksandr.karmanskiy@nycha.nyc.gov</t>
  </si>
  <si>
    <t>Scott Rizzo</t>
  </si>
  <si>
    <t>702723288911</t>
  </si>
  <si>
    <t>Todd Alens</t>
  </si>
  <si>
    <t>702723288933</t>
  </si>
  <si>
    <t>Brian Blaisdell</t>
  </si>
  <si>
    <t>702723288896</t>
  </si>
  <si>
    <t>Donald Smith</t>
  </si>
  <si>
    <t>702723288830</t>
  </si>
  <si>
    <t>Valley Generator Services</t>
  </si>
  <si>
    <t>702723288900</t>
  </si>
  <si>
    <t>Kathy Peters</t>
  </si>
  <si>
    <t>701849703500</t>
  </si>
  <si>
    <t>Terri M Rodgers</t>
  </si>
  <si>
    <t>6 THHN STR BLACK</t>
  </si>
  <si>
    <t>705687154712</t>
  </si>
  <si>
    <t>Shane Vottero</t>
  </si>
  <si>
    <t>630512245019</t>
  </si>
  <si>
    <t>Connie Gallagher</t>
  </si>
  <si>
    <t>642286529073</t>
  </si>
  <si>
    <t>410753792</t>
  </si>
  <si>
    <t>Mark Schaeffner</t>
  </si>
  <si>
    <t>#8320 IMSA 20-1 14/20C Stranded Black Jacket</t>
  </si>
  <si>
    <t>3400800410</t>
  </si>
  <si>
    <t>dro@gruber.com</t>
  </si>
  <si>
    <t>Huey Wealty</t>
  </si>
  <si>
    <t>702723288944</t>
  </si>
  <si>
    <t>Rod Kippes</t>
  </si>
  <si>
    <t>702723288852</t>
  </si>
  <si>
    <t>Belden 2413 Network Cat6 Cable 3x1000</t>
  </si>
  <si>
    <t>eBay</t>
  </si>
  <si>
    <t>784268883664
784268883675
784268883686</t>
  </si>
  <si>
    <t>Mike Dion</t>
  </si>
  <si>
    <t>20-7 PVC Thermostat Cable</t>
  </si>
  <si>
    <t xml:space="preserve">	609851525276</t>
  </si>
  <si>
    <t>Jeremy Tucker</t>
  </si>
  <si>
    <t xml:space="preserve">	706898122602</t>
  </si>
  <si>
    <t>sawstakes@yahoo.com</t>
  </si>
  <si>
    <t>Rene Sotomayor</t>
  </si>
  <si>
    <t>2696706666</t>
  </si>
  <si>
    <t>rsotomayorjr@comcast.net</t>
  </si>
  <si>
    <t>3065646614</t>
  </si>
  <si>
    <t>No Pro</t>
  </si>
  <si>
    <t>Chris Bates</t>
  </si>
  <si>
    <t>500MCM THHN CU BLACK 1x39 1x40 22x35</t>
  </si>
  <si>
    <t>0272137557</t>
  </si>
  <si>
    <t>cbates@cataloochee.com</t>
  </si>
  <si>
    <t xml:space="preserve">	363394001</t>
  </si>
  <si>
    <t>Karel Bublak</t>
  </si>
  <si>
    <t>908049323</t>
  </si>
  <si>
    <t>check@checkelectricllc.com</t>
  </si>
  <si>
    <t>702723289024</t>
  </si>
  <si>
    <t>Jorge Mejias</t>
  </si>
  <si>
    <t>18-4 Fire Alarm Cable Solid PVC FPLR PVC Jacketed Wire 2X1000</t>
  </si>
  <si>
    <t>440801774528905, 440801774528899</t>
  </si>
  <si>
    <t>Stephen Naspinski</t>
  </si>
  <si>
    <t xml:space="preserve">	616712876895</t>
  </si>
  <si>
    <t>Tan Bach</t>
  </si>
  <si>
    <t>665645047210</t>
  </si>
  <si>
    <t>Frank Czarnecki</t>
  </si>
  <si>
    <t>665645047195</t>
  </si>
  <si>
    <t>Sally Graves</t>
  </si>
  <si>
    <t>702723289013</t>
  </si>
  <si>
    <t>Steve Hylton</t>
  </si>
  <si>
    <t>675157530415</t>
  </si>
  <si>
    <t>Andrew Hodel</t>
  </si>
  <si>
    <t>702723288999</t>
  </si>
  <si>
    <t>702723289002</t>
  </si>
  <si>
    <t>Curtis Alsobrook</t>
  </si>
  <si>
    <t>777362082224</t>
  </si>
  <si>
    <t>Eden Plains Nursery</t>
  </si>
  <si>
    <t>777362150081</t>
  </si>
  <si>
    <t>Joseph H Buller</t>
  </si>
  <si>
    <t>1032A 18AWG 1P Overall Shielded Instrumentation Tray Cable UL PLTC/ITC - PVC/pVC -30C to 105C 300V Black Belden</t>
  </si>
  <si>
    <t xml:space="preserve">022356386202425 </t>
  </si>
  <si>
    <t>CSV IT</t>
  </si>
  <si>
    <t>6 AWG Hook Up Wire AWM MTW TEW UL 1283/1232/1015 Bare Copper PVC 105C 600V Green</t>
  </si>
  <si>
    <t xml:space="preserve">440801774529636 </t>
  </si>
  <si>
    <t>Paul M Larson</t>
  </si>
  <si>
    <t>630512245041</t>
  </si>
  <si>
    <t>Dan Bowles</t>
  </si>
  <si>
    <t>2 Welding Cable Class M UL/CSA Super Vu Tron 600V Orange</t>
  </si>
  <si>
    <t>642286529100</t>
  </si>
  <si>
    <t>Columbia</t>
  </si>
  <si>
    <t>VOLPE EXPRESS</t>
  </si>
  <si>
    <t xml:space="preserve">	33286982</t>
  </si>
  <si>
    <t>david.goodwater@gmail.com</t>
  </si>
  <si>
    <t>Jim Barnard</t>
  </si>
  <si>
    <t>665645047221</t>
  </si>
  <si>
    <t>1/0 STR 25kV AL 260 mils XLP FN JKT URD</t>
  </si>
  <si>
    <t>25182266</t>
  </si>
  <si>
    <t>David Johnson</t>
  </si>
  <si>
    <t>665645047368</t>
  </si>
  <si>
    <t>Mike Boyles</t>
  </si>
  <si>
    <t>680993425559</t>
  </si>
  <si>
    <t>Commercial Audio Systems</t>
  </si>
  <si>
    <t>665645047265</t>
  </si>
  <si>
    <t>16/4 SJOOW 10x1000</t>
  </si>
  <si>
    <t>5011219866</t>
  </si>
  <si>
    <t>erik@thermospace.com</t>
  </si>
  <si>
    <t>14/4 SJOOW 3x1000</t>
  </si>
  <si>
    <t>Marisela Ellwanger</t>
  </si>
  <si>
    <t>14/4 MC W/GRND</t>
  </si>
  <si>
    <t>FEDEX P1</t>
  </si>
  <si>
    <t>655044320230</t>
  </si>
  <si>
    <t>medwards@gsm-co.com</t>
  </si>
  <si>
    <t>Brian Dauerly</t>
  </si>
  <si>
    <t>777405720519</t>
  </si>
  <si>
    <t>bbauerly@yahoo.com</t>
  </si>
  <si>
    <t>665645047302</t>
  </si>
  <si>
    <t>3004651A</t>
  </si>
  <si>
    <t>John Haramis</t>
  </si>
  <si>
    <t>18/2 SPOS 600V</t>
  </si>
  <si>
    <t>616712876921</t>
  </si>
  <si>
    <t>Luis Garcia</t>
  </si>
  <si>
    <t>665645047313</t>
  </si>
  <si>
    <t>George Trott</t>
  </si>
  <si>
    <t>680483360266</t>
  </si>
  <si>
    <t>David W Miller</t>
  </si>
  <si>
    <t>665645047298</t>
  </si>
  <si>
    <t>Paul Beck</t>
  </si>
  <si>
    <t>665645047254</t>
  </si>
  <si>
    <t>Daryl Tewalt</t>
  </si>
  <si>
    <t>665645047232</t>
  </si>
  <si>
    <t>Marty Lybbert</t>
  </si>
  <si>
    <t>777406328537</t>
  </si>
  <si>
    <t>Dedrick Cooper</t>
  </si>
  <si>
    <t>777405578450</t>
  </si>
  <si>
    <t>Donald C Flowers</t>
  </si>
  <si>
    <t>665645047243</t>
  </si>
  <si>
    <t>Gene A Reynolds</t>
  </si>
  <si>
    <t>6656-4504-7335</t>
  </si>
  <si>
    <t>Robert Contello</t>
  </si>
  <si>
    <t>665645047357</t>
  </si>
  <si>
    <t>Mike Karman</t>
  </si>
  <si>
    <t>10/2 W/GRND Flat Pump Cable Yellow Jacketed</t>
  </si>
  <si>
    <t>777371902443</t>
  </si>
  <si>
    <t>mckarman@aol.com</t>
  </si>
  <si>
    <t>Mike Helmink</t>
  </si>
  <si>
    <t>644286529121</t>
  </si>
  <si>
    <t>Brandon Taipalus</t>
  </si>
  <si>
    <t>665645047346</t>
  </si>
  <si>
    <t>Gary L Atchison</t>
  </si>
  <si>
    <t>Jospeh Johnson</t>
  </si>
  <si>
    <t>665645047287</t>
  </si>
  <si>
    <t>444846069</t>
  </si>
  <si>
    <t>PAID 11.7.16</t>
  </si>
  <si>
    <t>1/0 Type P</t>
  </si>
  <si>
    <t xml:space="preserve">	574454201443</t>
  </si>
  <si>
    <t>Dennis Logan</t>
  </si>
  <si>
    <t>665645047416</t>
  </si>
  <si>
    <t>Brett Dickens</t>
  </si>
  <si>
    <t>399084732-4</t>
  </si>
  <si>
    <t>dickens111@gmail.com</t>
  </si>
  <si>
    <t>4/0-4/0-4/0-2/0 SER AL 2x500</t>
  </si>
  <si>
    <t>Stephens 1x3000</t>
  </si>
  <si>
    <t xml:space="preserve">	444846078</t>
  </si>
  <si>
    <t>3004672A...we will pick up</t>
  </si>
  <si>
    <t>10 MTW RED 3x500</t>
  </si>
  <si>
    <t>702723289344</t>
  </si>
  <si>
    <t>10 MTW RED 2x500</t>
  </si>
  <si>
    <t>690306367149</t>
  </si>
  <si>
    <t>3004672B</t>
  </si>
  <si>
    <t>609306367514</t>
  </si>
  <si>
    <t>3004672C</t>
  </si>
  <si>
    <t>Karn Gray</t>
  </si>
  <si>
    <t>4AAC-7STR Rose 1x10000</t>
  </si>
  <si>
    <t>08226925298</t>
  </si>
  <si>
    <t>kgray@twr.org</t>
  </si>
  <si>
    <t>SLD Bare CU 8 AWG 3x10000</t>
  </si>
  <si>
    <t>Nehring</t>
  </si>
  <si>
    <t>3954750424</t>
  </si>
  <si>
    <t>3004673A.. WE WILL PICK UP</t>
  </si>
  <si>
    <t>2 THHN GREEN CU 6x1000</t>
  </si>
  <si>
    <t>billed out on 10.20.2016</t>
  </si>
  <si>
    <t>2 THHN CU BLACK 3x1000</t>
  </si>
  <si>
    <t>8 THHN CU BLACK 2x500</t>
  </si>
  <si>
    <t>8 THHN CU RED 2x500</t>
  </si>
  <si>
    <t>8 THHN CU GREEN 2x500</t>
  </si>
  <si>
    <t>Norma J Wheeler</t>
  </si>
  <si>
    <t>705687155178</t>
  </si>
  <si>
    <t>Brian Van Dusen</t>
  </si>
  <si>
    <t>665645047380</t>
  </si>
  <si>
    <t>Eric Schultz</t>
  </si>
  <si>
    <t>7774057871297</t>
  </si>
  <si>
    <t>Bobby Wilson</t>
  </si>
  <si>
    <t>680483360325</t>
  </si>
  <si>
    <t>Joel Wiechmann</t>
  </si>
  <si>
    <t>680483360314</t>
  </si>
  <si>
    <t>James C Nicholson</t>
  </si>
  <si>
    <t>675157530345</t>
  </si>
  <si>
    <t>Chuck D Padula</t>
  </si>
  <si>
    <t>18-4 Fire Alarm Cable Solid PVC FPLR PVC Jacketed Wire Red</t>
  </si>
  <si>
    <t>616712876954</t>
  </si>
  <si>
    <t>Gary Masters</t>
  </si>
  <si>
    <t>680483360380</t>
  </si>
  <si>
    <t>Donald Moore</t>
  </si>
  <si>
    <t>680483360358</t>
  </si>
  <si>
    <t>John Shull</t>
  </si>
  <si>
    <t>680483360370</t>
  </si>
  <si>
    <t>Carlos Wong</t>
  </si>
  <si>
    <t>679590220889</t>
  </si>
  <si>
    <t>Bill Morgan</t>
  </si>
  <si>
    <t>680483360336</t>
  </si>
  <si>
    <t>Kyle Morrison</t>
  </si>
  <si>
    <t>777396020202</t>
  </si>
  <si>
    <t>Ronald Conway Jr</t>
  </si>
  <si>
    <t>680483360347</t>
  </si>
  <si>
    <t>Jason Headson</t>
  </si>
  <si>
    <t>730516923</t>
  </si>
  <si>
    <t>Kent Roberts</t>
  </si>
  <si>
    <t>665645047460</t>
  </si>
  <si>
    <t>Greer Elias</t>
  </si>
  <si>
    <t xml:space="preserve">	24114020</t>
  </si>
  <si>
    <t>Shannon Davis</t>
  </si>
  <si>
    <t>665645047449</t>
  </si>
  <si>
    <t>Vsa</t>
  </si>
  <si>
    <t>Kate Gogolen</t>
  </si>
  <si>
    <t>680483360369</t>
  </si>
  <si>
    <t>adelgado@jthor.com</t>
  </si>
  <si>
    <t>Keith Holcombe</t>
  </si>
  <si>
    <t>9626 18 AWG 25C Stranded Non-Shielded Communications &amp; Control Cable CMG UL AWM Style 2598 Chrome Belden</t>
  </si>
  <si>
    <t>118391272737434</t>
  </si>
  <si>
    <t>David Turner</t>
  </si>
  <si>
    <t>665645047405</t>
  </si>
  <si>
    <t>Gregory S Shirley</t>
  </si>
  <si>
    <t>680483360303</t>
  </si>
  <si>
    <t>Kevin McDowell</t>
  </si>
  <si>
    <t>665645047390</t>
  </si>
  <si>
    <t>Karen Snow</t>
  </si>
  <si>
    <t>665645047450</t>
  </si>
  <si>
    <t>Eileen Jeffries</t>
  </si>
  <si>
    <t>777405755362</t>
  </si>
  <si>
    <t>Edward Vince</t>
  </si>
  <si>
    <t>777405625070</t>
  </si>
  <si>
    <t>Lorenz Andre Nunez</t>
  </si>
  <si>
    <t>680483360299</t>
  </si>
  <si>
    <t>Chris Hovis</t>
  </si>
  <si>
    <t>2 THHN CU GREEN</t>
  </si>
  <si>
    <t>665645047427</t>
  </si>
  <si>
    <t>Travis Surrett</t>
  </si>
  <si>
    <t>707060224745</t>
  </si>
  <si>
    <t>Cathy J Wendorf</t>
  </si>
  <si>
    <t>630512245188</t>
  </si>
  <si>
    <t>Debbie Advocate</t>
  </si>
  <si>
    <t>12 AWG Switchboard Wire SIS VW-1 Tin Plated Copper XLPE 90C 600V Yellow 5x500</t>
  </si>
  <si>
    <t>705501218693
705501218708</t>
  </si>
  <si>
    <t>705501218719
705501218720</t>
  </si>
  <si>
    <t>12 AWG Switchboard Wire SIS VW-1 Tin Plated Copper XLPE 90C 600V Gray 5x500</t>
  </si>
  <si>
    <t>705501218730
705501218741</t>
  </si>
  <si>
    <t>Douglas S McAuslan</t>
  </si>
  <si>
    <t>777405684024</t>
  </si>
  <si>
    <t>Brian Emrich</t>
  </si>
  <si>
    <t>665645047438</t>
  </si>
  <si>
    <t>Jeremy L DeLong</t>
  </si>
  <si>
    <t>642286529176</t>
  </si>
  <si>
    <t>Peter Kapusta</t>
  </si>
  <si>
    <t>665645047379</t>
  </si>
  <si>
    <t>pkapusta24@gmail.com</t>
  </si>
  <si>
    <t>Todd Thoennes</t>
  </si>
  <si>
    <t>609851525931</t>
  </si>
  <si>
    <t>James Ramsey</t>
  </si>
  <si>
    <t>9770 22AWG 3C Stranded Overall Shielded Communications &amp; Control Cable CM Brown Belden</t>
  </si>
  <si>
    <t>440801774537730</t>
  </si>
  <si>
    <t>William R Kelley</t>
  </si>
  <si>
    <t>614697967783</t>
  </si>
  <si>
    <t>Joseph Reinholtz</t>
  </si>
  <si>
    <t>655044320540</t>
  </si>
  <si>
    <t>Helukabel  840-10062926 Part # 16/7 Tray Cable</t>
  </si>
  <si>
    <t>777388901545</t>
  </si>
  <si>
    <t>paid 11.07.2016</t>
  </si>
  <si>
    <t>Trent Gibson</t>
  </si>
  <si>
    <t>654016290970</t>
  </si>
  <si>
    <t>trent.gibson0302@gmail.com</t>
  </si>
  <si>
    <t>Dave Upchurch</t>
  </si>
  <si>
    <t xml:space="preserve">	644267288141</t>
  </si>
  <si>
    <t>no email</t>
  </si>
  <si>
    <t>Douglas Lytle</t>
  </si>
  <si>
    <t>675157530540</t>
  </si>
  <si>
    <t>Doug Belcher</t>
  </si>
  <si>
    <t>665645047508</t>
  </si>
  <si>
    <t>Jared Koch</t>
  </si>
  <si>
    <t>665645047493</t>
  </si>
  <si>
    <t>Kathy Henninger</t>
  </si>
  <si>
    <t>777426830462</t>
  </si>
  <si>
    <t>Brian D Lashbrook</t>
  </si>
  <si>
    <t>706898123127 706898123138</t>
  </si>
  <si>
    <t>10/4 SEOOW</t>
  </si>
  <si>
    <t>702723289090 702723289080</t>
  </si>
  <si>
    <t>Kyle Burgmaier</t>
  </si>
  <si>
    <t>665645047519</t>
  </si>
  <si>
    <t>Bennett Verbeck</t>
  </si>
  <si>
    <t>24114036</t>
  </si>
  <si>
    <t>Justin Bishop</t>
  </si>
  <si>
    <t>12/3 SOOW 2x500</t>
  </si>
  <si>
    <t>665645047520, 665645047530  </t>
  </si>
  <si>
    <t>Salvatore Cicatiello</t>
  </si>
  <si>
    <t>616712877034</t>
  </si>
  <si>
    <t>Randall Wormmeester</t>
  </si>
  <si>
    <t>665645047541</t>
  </si>
  <si>
    <t>James Krivitsky</t>
  </si>
  <si>
    <t>642286529198</t>
  </si>
  <si>
    <t>642286529202</t>
  </si>
  <si>
    <t>June Small-Rolston</t>
  </si>
  <si>
    <t>MALE CONNECTOR FOR 373 17D22-E</t>
  </si>
  <si>
    <t>VOLUNTEER EXPRESS</t>
  </si>
  <si>
    <t>0011076228</t>
  </si>
  <si>
    <t>billed out on 11.03.2016</t>
  </si>
  <si>
    <t>FEMALE CONNECTOR FOR 373 17D24-E</t>
  </si>
  <si>
    <t>David McArthur</t>
  </si>
  <si>
    <t xml:space="preserve">2/0-4 Type W </t>
  </si>
  <si>
    <t>5011218433</t>
  </si>
  <si>
    <t>702723289079</t>
  </si>
  <si>
    <t>Trisha Johnson</t>
  </si>
  <si>
    <t>702723289057</t>
  </si>
  <si>
    <t>Mark Wilcoxen</t>
  </si>
  <si>
    <t>702723289068</t>
  </si>
  <si>
    <t>14/3 SOOW WHITE 3x250</t>
  </si>
  <si>
    <t>614697967901, 	614697967912, 614697967923</t>
  </si>
  <si>
    <t>3004733A</t>
  </si>
  <si>
    <t>16/4 SJOOW 2x250</t>
  </si>
  <si>
    <t>NEMF/TQL</t>
  </si>
  <si>
    <t>14/3 SJOOW 2x250</t>
  </si>
  <si>
    <t>1Z9X760X0363501884</t>
  </si>
  <si>
    <t>3004733B</t>
  </si>
  <si>
    <t>Debra Morgante</t>
  </si>
  <si>
    <t>675157530632</t>
  </si>
  <si>
    <t>Malcolm Tucker</t>
  </si>
  <si>
    <t>707510673240</t>
  </si>
  <si>
    <t>Gene Thomas</t>
  </si>
  <si>
    <t>702723289241</t>
  </si>
  <si>
    <t>gene@compressedairequip.com</t>
  </si>
  <si>
    <t>Holly Negaard</t>
  </si>
  <si>
    <t>679301397245</t>
  </si>
  <si>
    <t xml:space="preserve">4/0-3 VNTC W/GRND </t>
  </si>
  <si>
    <t>6510211788</t>
  </si>
  <si>
    <t>Nathan W Bourne</t>
  </si>
  <si>
    <t>702723289150</t>
  </si>
  <si>
    <t>Rene Miranda</t>
  </si>
  <si>
    <t>702723289193</t>
  </si>
  <si>
    <t>Good Guys Auto</t>
  </si>
  <si>
    <t xml:space="preserve">R&amp;L/ECHO </t>
  </si>
  <si>
    <t>730507761</t>
  </si>
  <si>
    <t>Rochester Concrete Products Al</t>
  </si>
  <si>
    <t>702723289230</t>
  </si>
  <si>
    <t>James Schauer</t>
  </si>
  <si>
    <t>701849703603</t>
  </si>
  <si>
    <t>Michael Dostaler</t>
  </si>
  <si>
    <t>702723289138</t>
  </si>
  <si>
    <t>Robert Poet</t>
  </si>
  <si>
    <t>679301397392</t>
  </si>
  <si>
    <t>Gordon E Groves</t>
  </si>
  <si>
    <t>702723289105</t>
  </si>
  <si>
    <t>Lyndon Ropp</t>
  </si>
  <si>
    <t>639564016364</t>
  </si>
  <si>
    <t>Ray Welch</t>
  </si>
  <si>
    <t>702723289116</t>
  </si>
  <si>
    <t>Kenneth Pendley</t>
  </si>
  <si>
    <t>702723289149</t>
  </si>
  <si>
    <t>Kaelynn Davis</t>
  </si>
  <si>
    <t>702723289127</t>
  </si>
  <si>
    <t>Scott Mulder</t>
  </si>
  <si>
    <t>702723289171</t>
  </si>
  <si>
    <t>Fellows Matthew Smith</t>
  </si>
  <si>
    <t>702723289208</t>
  </si>
  <si>
    <t>Richard Bonini</t>
  </si>
  <si>
    <t>702723289219</t>
  </si>
  <si>
    <t>Mary Latham</t>
  </si>
  <si>
    <t xml:space="preserve">	680993425560</t>
  </si>
  <si>
    <t>Steve Joseph</t>
  </si>
  <si>
    <t>702723289160</t>
  </si>
  <si>
    <t>smj23@netzero.net</t>
  </si>
  <si>
    <t>Steve Pitts</t>
  </si>
  <si>
    <t>702723289220</t>
  </si>
  <si>
    <t>fosterscase1@yahoo.com</t>
  </si>
  <si>
    <t>679590220775</t>
  </si>
  <si>
    <t>H Albrech</t>
  </si>
  <si>
    <t>661091352064</t>
  </si>
  <si>
    <t>Kiffer Industries</t>
  </si>
  <si>
    <t>16/8 Festoon 600V PVC Jacket Flat Yellow</t>
  </si>
  <si>
    <t xml:space="preserve">052767285624491 </t>
  </si>
  <si>
    <t>Chris Nolder</t>
  </si>
  <si>
    <t>702723289182</t>
  </si>
  <si>
    <t>4226678805</t>
  </si>
  <si>
    <t>4/0-3 MC AL</t>
  </si>
  <si>
    <t>500/3 MC AL</t>
  </si>
  <si>
    <t>Sandra Miller</t>
  </si>
  <si>
    <t>#10 SLD BARE COPPER WIRE 6x 10,000</t>
  </si>
  <si>
    <t xml:space="preserve">Service </t>
  </si>
  <si>
    <t>802370026</t>
  </si>
  <si>
    <t>bert@bgoldman.net</t>
  </si>
  <si>
    <t>W Patrick Bennett</t>
  </si>
  <si>
    <t>521-985940</t>
  </si>
  <si>
    <t>Jason Brady</t>
  </si>
  <si>
    <t>702723289300</t>
  </si>
  <si>
    <t>Kimberly Zander</t>
  </si>
  <si>
    <t>702723289274</t>
  </si>
  <si>
    <t>675157530507</t>
  </si>
  <si>
    <t>25707913361</t>
  </si>
  <si>
    <t>Abe Bradt</t>
  </si>
  <si>
    <t>702723289296</t>
  </si>
  <si>
    <t>Chad Bot</t>
  </si>
  <si>
    <t>702723289263</t>
  </si>
  <si>
    <t>543369481815</t>
  </si>
  <si>
    <t>Sheila Wooten</t>
  </si>
  <si>
    <t>639794969728</t>
  </si>
  <si>
    <t>Michael Quisenberry</t>
  </si>
  <si>
    <t>639794969739</t>
  </si>
  <si>
    <t>Dillen Snyder</t>
  </si>
  <si>
    <t>702723289252</t>
  </si>
  <si>
    <t>Steve Martel</t>
  </si>
  <si>
    <t>734763555</t>
  </si>
  <si>
    <t>cgreen@spmresorts.com</t>
  </si>
  <si>
    <t>Rex Simpson</t>
  </si>
  <si>
    <t>702723289285</t>
  </si>
  <si>
    <t>Dave Barlow</t>
  </si>
  <si>
    <t>655702855323</t>
  </si>
  <si>
    <t>Interra Energy</t>
  </si>
  <si>
    <t>702723289311</t>
  </si>
  <si>
    <t>Stephen M Benac</t>
  </si>
  <si>
    <t>777426865798</t>
  </si>
  <si>
    <t>David Bassett</t>
  </si>
  <si>
    <t>agoodelec@yahoo.com</t>
  </si>
  <si>
    <t>10 THHN STR BROWN 3x2500</t>
  </si>
  <si>
    <t>741298032</t>
  </si>
  <si>
    <t>10 THHN STR YELLOW 3x2500</t>
  </si>
  <si>
    <t>12 THHN STR GRAY 2x2500</t>
  </si>
  <si>
    <t>10 THHN STR GRAY 3x2500</t>
  </si>
  <si>
    <t>10 THHN STR GREEN 1x2500</t>
  </si>
  <si>
    <t>12 THHN STR ORANGE 3x2500</t>
  </si>
  <si>
    <t>10/2 ROMEX W/GRND 100x250</t>
  </si>
  <si>
    <t>5011804501</t>
  </si>
  <si>
    <t>3004781A .. we will pick up</t>
  </si>
  <si>
    <t>Daniel Nickleski</t>
  </si>
  <si>
    <t>702723289322</t>
  </si>
  <si>
    <t>1Z5316EX0345236515</t>
  </si>
  <si>
    <t>1Z5316EX0343089705</t>
  </si>
  <si>
    <t>609306367477</t>
  </si>
  <si>
    <t>Advantage Electric</t>
  </si>
  <si>
    <t>396434791</t>
  </si>
  <si>
    <t>eric@advantageelectric.com</t>
  </si>
  <si>
    <t xml:space="preserve">	616712877104</t>
  </si>
  <si>
    <t>billed out on 10.12.2016</t>
  </si>
  <si>
    <t>Elijah Buller</t>
  </si>
  <si>
    <t>675157530665</t>
  </si>
  <si>
    <t>702723289414</t>
  </si>
  <si>
    <t>59654859780</t>
  </si>
  <si>
    <t>NYNE@stores.fastenal.com</t>
  </si>
  <si>
    <t>14/3 SJOOW 4x250</t>
  </si>
  <si>
    <t>16/3 SJTW</t>
  </si>
  <si>
    <t>680483360391</t>
  </si>
  <si>
    <t>3004788A</t>
  </si>
  <si>
    <t>Kevin Davis</t>
  </si>
  <si>
    <t>543369481870</t>
  </si>
  <si>
    <t>Robert Wray</t>
  </si>
  <si>
    <t>543369481907</t>
  </si>
  <si>
    <t>702723289399</t>
  </si>
  <si>
    <t>680483360417</t>
  </si>
  <si>
    <t>James Doncsecz</t>
  </si>
  <si>
    <t>701849703669</t>
  </si>
  <si>
    <t>702723289333</t>
  </si>
  <si>
    <t>Kevin Moldenhauer</t>
  </si>
  <si>
    <t>702723289377</t>
  </si>
  <si>
    <t>Timmy Creasap</t>
  </si>
  <si>
    <t>680483360439</t>
  </si>
  <si>
    <t>Eric J Marcella</t>
  </si>
  <si>
    <t>702723289366</t>
  </si>
  <si>
    <t>Sig Iowa</t>
  </si>
  <si>
    <t>702723289388</t>
  </si>
  <si>
    <t>James F Dew</t>
  </si>
  <si>
    <t>12 AWG XHHW-2 Stranded 7 STR 90C 600V White</t>
  </si>
  <si>
    <t>690306367400</t>
  </si>
  <si>
    <t>12 AWG XHHW-2 Stranded 7 STR 90C 600V Green</t>
  </si>
  <si>
    <t>Robert Sargeant</t>
  </si>
  <si>
    <t xml:space="preserve">NEW PENN/DLS </t>
  </si>
  <si>
    <t>88653359-5</t>
  </si>
  <si>
    <t>Mat Roberts</t>
  </si>
  <si>
    <t>702723289403</t>
  </si>
  <si>
    <t>John F Erdoesy</t>
  </si>
  <si>
    <t>675157530654</t>
  </si>
  <si>
    <t>Doug White</t>
  </si>
  <si>
    <t>680483360428</t>
  </si>
  <si>
    <t>James Gideon</t>
  </si>
  <si>
    <t>707510673310</t>
  </si>
  <si>
    <t>Michael D Hancock</t>
  </si>
  <si>
    <t>14 AWG Switchboard Wire SIS VWW-1 Tin Plated Copper XLPE 90C 600V Gray 2x500</t>
  </si>
  <si>
    <t xml:space="preserve">706034053856 </t>
  </si>
  <si>
    <t>Karen West</t>
  </si>
  <si>
    <t>Belden 8302 Equal General Cable C0650A 2x1000</t>
  </si>
  <si>
    <t>672892758530 672892758540</t>
  </si>
  <si>
    <t>kspangler@kellyspace.com</t>
  </si>
  <si>
    <t>Andre Pinheiro</t>
  </si>
  <si>
    <t>2/0 PV Cable 1000VDC</t>
  </si>
  <si>
    <t>14203322103</t>
  </si>
  <si>
    <t>apinheiro@williamssolar.com</t>
  </si>
  <si>
    <t>500-500-500-500-2/0 MC AL</t>
  </si>
  <si>
    <t>4/0-4/0-4/0-4/0-2 MC AL</t>
  </si>
  <si>
    <t>$40 cut charge</t>
  </si>
  <si>
    <t>Anthony Porter </t>
  </si>
  <si>
    <t>Costena</t>
  </si>
  <si>
    <t>730507815</t>
  </si>
  <si>
    <t>anthonyjporter@yahoo.com</t>
  </si>
  <si>
    <t>Jose A Carlo Cortino</t>
  </si>
  <si>
    <t>5451115483</t>
  </si>
  <si>
    <t>carlojose65@gmail.com</t>
  </si>
  <si>
    <t>Lou Castellano</t>
  </si>
  <si>
    <t>6AWG, 2KV DDA1068A Exane</t>
  </si>
  <si>
    <t>Electrowire</t>
  </si>
  <si>
    <t>1z05r18f0356421532</t>
  </si>
  <si>
    <t>lou.castellano@nyct.com</t>
  </si>
  <si>
    <t>Loren Hubert</t>
  </si>
  <si>
    <t>284-722826</t>
  </si>
  <si>
    <t>lorenhubert1@gmail.com</t>
  </si>
  <si>
    <t>Lucas Lance</t>
  </si>
  <si>
    <t>777436014546</t>
  </si>
  <si>
    <t>OLD DOMINION/ECHO</t>
  </si>
  <si>
    <t>06013280729</t>
  </si>
  <si>
    <t>Thomas Biehl</t>
  </si>
  <si>
    <t>702723289458</t>
  </si>
  <si>
    <t>tbiehl@frontier.com</t>
  </si>
  <si>
    <t>John Waterman</t>
  </si>
  <si>
    <t>614697968172</t>
  </si>
  <si>
    <t>Marco Flores</t>
  </si>
  <si>
    <t>PLTC Cable 4 Triads #16AWG Individual and Overall Shielded 300V 105C</t>
  </si>
  <si>
    <t>680993425618</t>
  </si>
  <si>
    <t>Rick O'Brien</t>
  </si>
  <si>
    <t>667087326912</t>
  </si>
  <si>
    <t>Charles Middleton</t>
  </si>
  <si>
    <t>680993425629</t>
  </si>
  <si>
    <t>Ishri Sankar</t>
  </si>
  <si>
    <t>702723289436</t>
  </si>
  <si>
    <t>Larry Jones</t>
  </si>
  <si>
    <t>702723289491</t>
  </si>
  <si>
    <t>Dan Maslach</t>
  </si>
  <si>
    <t>6 AL XLP USE-2</t>
  </si>
  <si>
    <t>702723289425</t>
  </si>
  <si>
    <t>Ron Lane</t>
  </si>
  <si>
    <t>702723289506</t>
  </si>
  <si>
    <t>Joe Boudreaux</t>
  </si>
  <si>
    <t>6/2 MC Cable W/GRND 2x250</t>
  </si>
  <si>
    <t>10419072573</t>
  </si>
  <si>
    <t>Coleen Kennedy</t>
  </si>
  <si>
    <t>706898123105</t>
  </si>
  <si>
    <t>Karen Leatherman</t>
  </si>
  <si>
    <t>702723289470</t>
  </si>
  <si>
    <t>Jerry Thomson</t>
  </si>
  <si>
    <t>702723289469</t>
  </si>
  <si>
    <t>John Wooten</t>
  </si>
  <si>
    <t>701849703772</t>
  </si>
  <si>
    <t xml:space="preserve">Leeward Islands Huuricane </t>
  </si>
  <si>
    <t xml:space="preserve">  702723289447 </t>
  </si>
  <si>
    <t>Dale Simpson</t>
  </si>
  <si>
    <t>701849703783</t>
  </si>
  <si>
    <t>Kevin D Murray</t>
  </si>
  <si>
    <t>675157530746</t>
  </si>
  <si>
    <t>Ray Hubbell</t>
  </si>
  <si>
    <t>Tompkins</t>
  </si>
  <si>
    <t>88756264-3</t>
  </si>
  <si>
    <t>John Young</t>
  </si>
  <si>
    <t>702723289480</t>
  </si>
  <si>
    <t>675157530643</t>
  </si>
  <si>
    <t>14 XHHW COPPER</t>
  </si>
  <si>
    <t>736341816525</t>
  </si>
  <si>
    <t>Garry Fowler</t>
  </si>
  <si>
    <t>702723289540</t>
  </si>
  <si>
    <t>4226681480</t>
  </si>
  <si>
    <t>702723289528</t>
  </si>
  <si>
    <t>Belden 2413 Network Cat6 Cable BLUE</t>
  </si>
  <si>
    <t>EBAY</t>
  </si>
  <si>
    <t>1z3113054255867571</t>
  </si>
  <si>
    <t>Patrick Sewell</t>
  </si>
  <si>
    <t>20 AWG 4C Stranded Overall Shielded Communications &amp; Control Cable CL2 Gray</t>
  </si>
  <si>
    <t>FEDX GROUND</t>
  </si>
  <si>
    <t>707510673353</t>
  </si>
  <si>
    <t>Beejoni</t>
  </si>
  <si>
    <t>702723289550</t>
  </si>
  <si>
    <t>Bruce V Mathews</t>
  </si>
  <si>
    <t>702723289572</t>
  </si>
  <si>
    <t>Web Orders</t>
  </si>
  <si>
    <t>1z3113054257118582</t>
  </si>
  <si>
    <t>Shawn Hamelin</t>
  </si>
  <si>
    <t>543369481929</t>
  </si>
  <si>
    <t>Sonia Brock</t>
  </si>
  <si>
    <t>707510673364</t>
  </si>
  <si>
    <t>Gordon Phillips</t>
  </si>
  <si>
    <t>702723289583</t>
  </si>
  <si>
    <t>Nathan Moore</t>
  </si>
  <si>
    <t>701849703670</t>
  </si>
  <si>
    <t>Douglas Dinger</t>
  </si>
  <si>
    <t>702723289697</t>
  </si>
  <si>
    <t>William R Ostrowski</t>
  </si>
  <si>
    <t>702723289539</t>
  </si>
  <si>
    <t>Crystal Boehm</t>
  </si>
  <si>
    <t>18 AWG 25 Conductor 18/25 Overall Shielded Control Tray Cable UL Type TC-ER 600V E2 Black</t>
  </si>
  <si>
    <t>706898123116</t>
  </si>
  <si>
    <t>Piotr Chlebowski</t>
  </si>
  <si>
    <t>10/4 SOOW 2x150</t>
  </si>
  <si>
    <t>702723289631, 702723289642</t>
  </si>
  <si>
    <t>Colin Anderson</t>
  </si>
  <si>
    <t>702723289664</t>
  </si>
  <si>
    <t>Gary Wilkins</t>
  </si>
  <si>
    <t>702723289561</t>
  </si>
  <si>
    <t>Wade Stine</t>
  </si>
  <si>
    <t>702723289517</t>
  </si>
  <si>
    <t>8/3 Heavy Duty Flat Jacketed W/GRND 600V Submersible Pump Cable</t>
  </si>
  <si>
    <t>3491450012</t>
  </si>
  <si>
    <t>Aram Kazazian</t>
  </si>
  <si>
    <t xml:space="preserve">	614697968323</t>
  </si>
  <si>
    <t>18/2 Speaker Cable White 8x250</t>
  </si>
  <si>
    <t>614697968220, 614697968231</t>
  </si>
  <si>
    <t>18/2 Speaker Cable Black 8x250</t>
  </si>
  <si>
    <t>614697968242, 614697968253</t>
  </si>
  <si>
    <t>Benjamin Warren</t>
  </si>
  <si>
    <t>702723289610</t>
  </si>
  <si>
    <t>Bellemont Truck Repair</t>
  </si>
  <si>
    <t>1Z16921X0399679163</t>
  </si>
  <si>
    <t>David Burdett</t>
  </si>
  <si>
    <t>702723289653</t>
  </si>
  <si>
    <t>Jon Smith</t>
  </si>
  <si>
    <t>702723289609</t>
  </si>
  <si>
    <t>Rafal Klos</t>
  </si>
  <si>
    <t>1/0 Welding Cable Blue</t>
  </si>
  <si>
    <t>639794969783</t>
  </si>
  <si>
    <t>Gordon Waldeck</t>
  </si>
  <si>
    <t>702723289675</t>
  </si>
  <si>
    <t>Darcy Garhart</t>
  </si>
  <si>
    <t>702723289594</t>
  </si>
  <si>
    <t>Pat Roney</t>
  </si>
  <si>
    <t>702723289620</t>
  </si>
  <si>
    <t>Lee Pittman</t>
  </si>
  <si>
    <t>543369481962</t>
  </si>
  <si>
    <t>Crystal Watson</t>
  </si>
  <si>
    <t>284-722830</t>
  </si>
  <si>
    <t>B Flowers</t>
  </si>
  <si>
    <t>639794969809</t>
  </si>
  <si>
    <t>Joe Dupre</t>
  </si>
  <si>
    <t>642286529224</t>
  </si>
  <si>
    <t>Charles J Moreton</t>
  </si>
  <si>
    <t>702723289701</t>
  </si>
  <si>
    <t>Chris Carpellotti</t>
  </si>
  <si>
    <t xml:space="preserve">4/0-4 Type W </t>
  </si>
  <si>
    <t>4958217990</t>
  </si>
  <si>
    <t>christel.m.carpellotti.civ@mail.mil</t>
  </si>
  <si>
    <t>Robert E Derector Inc</t>
  </si>
  <si>
    <t>Bruce Koehler</t>
  </si>
  <si>
    <t>5010658861</t>
  </si>
  <si>
    <t>bruce@televisionadgroup.com</t>
  </si>
  <si>
    <t>Andrew Ellingson</t>
  </si>
  <si>
    <t>665645047552</t>
  </si>
  <si>
    <t>smartsell@vastbb.net</t>
  </si>
  <si>
    <t>Todd Wheeler</t>
  </si>
  <si>
    <t>750MCM 35kV URD 1/3 Neutral 100% Alum Conds</t>
  </si>
  <si>
    <t xml:space="preserve">	3793896621</t>
  </si>
  <si>
    <t>nnewman@blackandmcdonald.com</t>
  </si>
  <si>
    <t>Mike Kill</t>
  </si>
  <si>
    <t>6/3 MC W/GRND CU</t>
  </si>
  <si>
    <t>02308433751</t>
  </si>
  <si>
    <t>ryan@allserviceselectric.net</t>
  </si>
  <si>
    <t>8/3 MC W/GRND CU</t>
  </si>
  <si>
    <t>3/0-3 MC ALUM CONDS W/GRND</t>
  </si>
  <si>
    <t>704113092</t>
  </si>
  <si>
    <t>3004876A</t>
  </si>
  <si>
    <t>250MCM MC ALUM CONDS W/GRND</t>
  </si>
  <si>
    <t>3004876A $120 cut charges</t>
  </si>
  <si>
    <t>2/0-3 MC ALUM CONDS W/GRND</t>
  </si>
  <si>
    <t>Dan Christensen</t>
  </si>
  <si>
    <t>702723289756</t>
  </si>
  <si>
    <t>dancoad@hotmail.com</t>
  </si>
  <si>
    <t>Golden Fleece</t>
  </si>
  <si>
    <t>18/4 THHN-2 THWN-2 CU</t>
  </si>
  <si>
    <t>309082774</t>
  </si>
  <si>
    <t>10/4 THHN-2 THWN-2 CU</t>
  </si>
  <si>
    <t>6 XHHW-2 CU</t>
  </si>
  <si>
    <t>0542435648</t>
  </si>
  <si>
    <t xml:space="preserve">3004878A </t>
  </si>
  <si>
    <t>10 XHHW-2 CU</t>
  </si>
  <si>
    <t>8/3 XHHW-2 CU W/GRND</t>
  </si>
  <si>
    <t>SOUTH EASTERN/DLS</t>
  </si>
  <si>
    <t>776468553</t>
  </si>
  <si>
    <t>3004878B we will pick up</t>
  </si>
  <si>
    <t>2 XHHW-2 CU</t>
  </si>
  <si>
    <t>Westing Supply Co Ltd.</t>
  </si>
  <si>
    <t>14/20 SOOW</t>
  </si>
  <si>
    <t>$25 cut charges</t>
  </si>
  <si>
    <t>Robert Walsh</t>
  </si>
  <si>
    <t>702723289723</t>
  </si>
  <si>
    <t>John Kuhn</t>
  </si>
  <si>
    <t>616712877284</t>
  </si>
  <si>
    <t>665645047574</t>
  </si>
  <si>
    <t>Jason Gillespie</t>
  </si>
  <si>
    <t>701849703809</t>
  </si>
  <si>
    <t>Enrique Gonzalez Rete</t>
  </si>
  <si>
    <t>680483360440</t>
  </si>
  <si>
    <t>Nathaniel Bergman</t>
  </si>
  <si>
    <t>665645047563</t>
  </si>
  <si>
    <t>Mike Gyuro</t>
  </si>
  <si>
    <t>702723289712</t>
  </si>
  <si>
    <t>Douglas Felker</t>
  </si>
  <si>
    <t>639794969750</t>
  </si>
  <si>
    <t>665645047585</t>
  </si>
  <si>
    <t>Stanley Staszewski</t>
  </si>
  <si>
    <t>680483360450</t>
  </si>
  <si>
    <t>David Bopp</t>
  </si>
  <si>
    <t>755015195</t>
  </si>
  <si>
    <t>P&amp;S Construction Services</t>
  </si>
  <si>
    <t>734763744</t>
  </si>
  <si>
    <t>Giovanni Varsi</t>
  </si>
  <si>
    <t>702723289745</t>
  </si>
  <si>
    <t>Scott and Julie Combs</t>
  </si>
  <si>
    <t>680483360461</t>
  </si>
  <si>
    <t>Doyle Light</t>
  </si>
  <si>
    <t>702723289734</t>
  </si>
  <si>
    <t>Alfonso Sanchez</t>
  </si>
  <si>
    <t>639794969761</t>
  </si>
  <si>
    <t>342365153-4</t>
  </si>
  <si>
    <t>2-2-2-4 SER AL 3x1000</t>
  </si>
  <si>
    <t>owes 36,950.85</t>
  </si>
  <si>
    <t>2/4 SOOW 1x13 1x18 1x11 1x32</t>
  </si>
  <si>
    <t>6/4 SOOW 3x40 1x25 1x29 1x37 1x45 1x28 1x42 1x36 1x15 1x12 1x500</t>
  </si>
  <si>
    <t>6/3 SOOW 1x33 1x25 1x27 1x23 1x10 1x44 1x40 1x500</t>
  </si>
  <si>
    <t xml:space="preserve">8/3 SOOW 1x15 2x30 1x10 1x36 1x22 1x25 1x38 1x19 </t>
  </si>
  <si>
    <t xml:space="preserve">8/4 SOOW 1x37 1x40 2x35 3x45 1x25 1x42 1x18 </t>
  </si>
  <si>
    <t xml:space="preserve">10/4 SOOW 1x71 1x100 1x79 </t>
  </si>
  <si>
    <t>14/4 SOOW 2x1000</t>
  </si>
  <si>
    <t>16/3 SOOW 1x230 4x250</t>
  </si>
  <si>
    <t>12/3 SJOOW 3x1000</t>
  </si>
  <si>
    <t>59654861786</t>
  </si>
  <si>
    <t>3004896A</t>
  </si>
  <si>
    <t>12/3 SOOW 3x1000</t>
  </si>
  <si>
    <t>3004896D</t>
  </si>
  <si>
    <t>12/4 SOOW 2x1000</t>
  </si>
  <si>
    <t>10/2 NM-B ROMEX W/GRND 63x250</t>
  </si>
  <si>
    <t>10 THHN STR BLUE 87x500</t>
  </si>
  <si>
    <t>4 THHN BLACK 1x31 1x55 1x230 1x250 7x500 1x744</t>
  </si>
  <si>
    <t>10/3 SOOW 2x1000</t>
  </si>
  <si>
    <t>3004896B</t>
  </si>
  <si>
    <t>2-2-4-6 MHF</t>
  </si>
  <si>
    <t>3004896C</t>
  </si>
  <si>
    <t>2/0-2/0-2/0-1 SER AL (include shorts)</t>
  </si>
  <si>
    <t>10/4 SOOW 1x500 1x250</t>
  </si>
  <si>
    <t>Robert Serrone</t>
  </si>
  <si>
    <t xml:space="preserve">702723289767  </t>
  </si>
  <si>
    <t>rserrone@ajmcnulty.com</t>
  </si>
  <si>
    <t xml:space="preserve">702723289778  </t>
  </si>
  <si>
    <t>paid 11.04.2016</t>
  </si>
  <si>
    <t>Kurt Weinberger</t>
  </si>
  <si>
    <t>702723289790</t>
  </si>
  <si>
    <t>Jesse Fedorek</t>
  </si>
  <si>
    <t>702723289815</t>
  </si>
  <si>
    <t>Custom Cut Lumber</t>
  </si>
  <si>
    <t>702723289804</t>
  </si>
  <si>
    <t>Wayne Steel</t>
  </si>
  <si>
    <t>543369482053</t>
  </si>
  <si>
    <t>tripodsteelerod@hotmail.com</t>
  </si>
  <si>
    <t>10 THHN BROWN 3x2500 1x2200</t>
  </si>
  <si>
    <t>3423651405</t>
  </si>
  <si>
    <t>10 THHN GRAY 7x2500</t>
  </si>
  <si>
    <t>paid 12.01.2016</t>
  </si>
  <si>
    <t>10 THHN ORANGE 8x2500</t>
  </si>
  <si>
    <t>10 THHN BLUE 80x500</t>
  </si>
  <si>
    <t>12 THHN SOLID BLACK 10x2500</t>
  </si>
  <si>
    <t>12 THHN SOLID RED 10x2500</t>
  </si>
  <si>
    <t>12 THHN SOLID GREEN 10x2500</t>
  </si>
  <si>
    <t>12 THHN SOLID BLUE 10x2500</t>
  </si>
  <si>
    <t>Jamaica Electric</t>
  </si>
  <si>
    <t>14/4 VNTC Shielded 4X500</t>
  </si>
  <si>
    <t>707060226509, 707060226510, 707060226520, 707060226531, 707060226542</t>
  </si>
  <si>
    <t>Taji Jones</t>
  </si>
  <si>
    <t>10/3 BX CABLE W/GRND</t>
  </si>
  <si>
    <t>DELIVERED TODAY</t>
  </si>
  <si>
    <t>VIA BRAZIL TRUCK</t>
  </si>
  <si>
    <t>12/3 BX CABLE W/GRND</t>
  </si>
  <si>
    <t>1z00051f0351866604</t>
  </si>
  <si>
    <t>2/0-4 MC W/GRND CU</t>
  </si>
  <si>
    <t>$30 CUT CHARGES</t>
  </si>
  <si>
    <t>Eworks Pro</t>
  </si>
  <si>
    <t>18/3 SJOOW Yellow</t>
  </si>
  <si>
    <t>1ZE412720301758534</t>
  </si>
  <si>
    <t>Carlos Villanueva</t>
  </si>
  <si>
    <t>702723289860</t>
  </si>
  <si>
    <t>Pablo Lozano</t>
  </si>
  <si>
    <t>702723289907</t>
  </si>
  <si>
    <t>702723289870</t>
  </si>
  <si>
    <t>Connor Fasano</t>
  </si>
  <si>
    <t>87956905</t>
  </si>
  <si>
    <t>Jesse Schramm</t>
  </si>
  <si>
    <t xml:space="preserve">702723289859, '702723289848  </t>
  </si>
  <si>
    <t>Kristopher M Ahrens</t>
  </si>
  <si>
    <t>702723289837</t>
  </si>
  <si>
    <t>Michael Cronley</t>
  </si>
  <si>
    <t>679301397587</t>
  </si>
  <si>
    <t>Juan</t>
  </si>
  <si>
    <t>10/3 VFD Tray Cable XHHW-2/PVC Shielded 600V Copper</t>
  </si>
  <si>
    <t>Tucker</t>
  </si>
  <si>
    <t xml:space="preserve">	342282167</t>
  </si>
  <si>
    <t xml:space="preserve">	942292212</t>
  </si>
  <si>
    <t>3004914A</t>
  </si>
  <si>
    <t>Eric Mammoser</t>
  </si>
  <si>
    <t>702723289940</t>
  </si>
  <si>
    <t>mammoser1988@gmail.com</t>
  </si>
  <si>
    <t>1ZA6253X0340292438</t>
  </si>
  <si>
    <t>Mat Turner</t>
  </si>
  <si>
    <t>777481031162</t>
  </si>
  <si>
    <t>mattur88@hotmail.com</t>
  </si>
  <si>
    <t>Greg Andes</t>
  </si>
  <si>
    <t>702723289930</t>
  </si>
  <si>
    <t>gandes@comcast.net</t>
  </si>
  <si>
    <t>Craig Johnson</t>
  </si>
  <si>
    <t>702723289918</t>
  </si>
  <si>
    <t>Bryan Rustad</t>
  </si>
  <si>
    <t>284-715756</t>
  </si>
  <si>
    <t>Aaron Ralston</t>
  </si>
  <si>
    <t>371700278-5</t>
  </si>
  <si>
    <t>Jamie Hessling</t>
  </si>
  <si>
    <t>630512245340</t>
  </si>
  <si>
    <t>Robert A Borgeson</t>
  </si>
  <si>
    <t>702723290164</t>
  </si>
  <si>
    <t>robborgeson@gmail.com</t>
  </si>
  <si>
    <t>Codale Electric Supply</t>
  </si>
  <si>
    <t>929 DLO CABLE</t>
  </si>
  <si>
    <t>57817817202</t>
  </si>
  <si>
    <t>allend@codale.com</t>
  </si>
  <si>
    <t>Guy Payne</t>
  </si>
  <si>
    <t>702723290039</t>
  </si>
  <si>
    <t>Harold Golden</t>
  </si>
  <si>
    <t>702723289951</t>
  </si>
  <si>
    <t>leftygolden@gmail.com</t>
  </si>
  <si>
    <t>Jeffrey Webb</t>
  </si>
  <si>
    <t>88737635</t>
  </si>
  <si>
    <t>jeffrey.a.webb@nav.mil</t>
  </si>
  <si>
    <t>702723289984</t>
  </si>
  <si>
    <t>Steve Brown</t>
  </si>
  <si>
    <t>6/2 MC Cable W/GRND</t>
  </si>
  <si>
    <t xml:space="preserve">	614697968530</t>
  </si>
  <si>
    <t>Chris Bernhardt</t>
  </si>
  <si>
    <t>702723289973</t>
  </si>
  <si>
    <t>680483360472</t>
  </si>
  <si>
    <t>Tracey McAnnally</t>
  </si>
  <si>
    <t>680483360483</t>
  </si>
  <si>
    <t>Ric Burks</t>
  </si>
  <si>
    <t>702723289962</t>
  </si>
  <si>
    <t>Bob Pakan</t>
  </si>
  <si>
    <t>702723280006</t>
  </si>
  <si>
    <t>bob.pakan@saabsensis.com</t>
  </si>
  <si>
    <t>Daniel Johnson</t>
  </si>
  <si>
    <t>88737634</t>
  </si>
  <si>
    <t>phat911@msn.com</t>
  </si>
  <si>
    <t>Nick Denis</t>
  </si>
  <si>
    <t>702723290175</t>
  </si>
  <si>
    <t>James Ring</t>
  </si>
  <si>
    <t>10 THHN CU WHITE STR</t>
  </si>
  <si>
    <t>707060226807</t>
  </si>
  <si>
    <t>Tracy Jordan</t>
  </si>
  <si>
    <t>IRVIN</t>
  </si>
  <si>
    <t>Pam Culbertson</t>
  </si>
  <si>
    <t>702723290028</t>
  </si>
  <si>
    <t>Ronald Bacon</t>
  </si>
  <si>
    <t>29523C 10AWG 3C VFD Cable Flexible Motor Supply Tinned Copper Overall Dual Tape UL Type TC-ER 600V Black Belden</t>
  </si>
  <si>
    <t>I739538424</t>
  </si>
  <si>
    <t>Brian Barry</t>
  </si>
  <si>
    <t>680483360494</t>
  </si>
  <si>
    <t>ATSA</t>
  </si>
  <si>
    <t>10/3 SOOW 1x500 1x615</t>
  </si>
  <si>
    <t>5014093028</t>
  </si>
  <si>
    <t>craignojo32@yahoo.com</t>
  </si>
  <si>
    <t>Davidson Stringed Instruments</t>
  </si>
  <si>
    <t>702723290040</t>
  </si>
  <si>
    <t>Brian Martin</t>
  </si>
  <si>
    <t>707060227160</t>
  </si>
  <si>
    <t>Walter Green</t>
  </si>
  <si>
    <t>702723290061</t>
  </si>
  <si>
    <t>Mollie Shawver</t>
  </si>
  <si>
    <t>702723290072</t>
  </si>
  <si>
    <t>Kevin Weavver</t>
  </si>
  <si>
    <t>88737633-3</t>
  </si>
  <si>
    <t>Travis Lawson</t>
  </si>
  <si>
    <t>702723290109</t>
  </si>
  <si>
    <t>Roy Perron</t>
  </si>
  <si>
    <t>4/0 XHHW AL 3x 275</t>
  </si>
  <si>
    <t xml:space="preserve">	3932804971</t>
  </si>
  <si>
    <t>2/0 XHHW AL 3x 210</t>
  </si>
  <si>
    <t>Jim Burns</t>
  </si>
  <si>
    <t>702723290186</t>
  </si>
  <si>
    <t>David Bolling</t>
  </si>
  <si>
    <t>702723290083</t>
  </si>
  <si>
    <t>Barry Tidwell</t>
  </si>
  <si>
    <t>371700280-0</t>
  </si>
  <si>
    <t>David B Borkowski</t>
  </si>
  <si>
    <t>702723290094</t>
  </si>
  <si>
    <t>James Sullivan</t>
  </si>
  <si>
    <t>68564875-5</t>
  </si>
  <si>
    <t>Kevin Grimm</t>
  </si>
  <si>
    <t>706898123540</t>
  </si>
  <si>
    <t>Chad Gile</t>
  </si>
  <si>
    <t>675157530893</t>
  </si>
  <si>
    <t>Larry Baugess</t>
  </si>
  <si>
    <t>680483360542</t>
  </si>
  <si>
    <t>680483360553</t>
  </si>
  <si>
    <t>Jennifer Reider</t>
  </si>
  <si>
    <t>702723290153</t>
  </si>
  <si>
    <t>Kevin Mundelius</t>
  </si>
  <si>
    <t>680483360520</t>
  </si>
  <si>
    <t>Celeste Rodrigue</t>
  </si>
  <si>
    <t>680483360509</t>
  </si>
  <si>
    <t>Sonnie Morgan</t>
  </si>
  <si>
    <t>680483360531</t>
  </si>
  <si>
    <t>Tim Minerd</t>
  </si>
  <si>
    <t>702723290050</t>
  </si>
  <si>
    <t>Clari Nicholson</t>
  </si>
  <si>
    <t>675157530882</t>
  </si>
  <si>
    <t>Rick Hamma</t>
  </si>
  <si>
    <t>675157531065</t>
  </si>
  <si>
    <t>Ralph Digges</t>
  </si>
  <si>
    <t>702723290110</t>
  </si>
  <si>
    <t>Stephanie Bean</t>
  </si>
  <si>
    <t>68564874-6</t>
  </si>
  <si>
    <t>William Kershaw</t>
  </si>
  <si>
    <t>22 AWG 2C Stranded Overall Shielded Communicatins &amp; Control Cable CL2P/CMP Article 725/800 Plenum Red 2x250</t>
  </si>
  <si>
    <t>664439934788</t>
  </si>
  <si>
    <t>Christopher W Messer</t>
  </si>
  <si>
    <t>702723290245</t>
  </si>
  <si>
    <t>David J Miller</t>
  </si>
  <si>
    <t>702723290120</t>
  </si>
  <si>
    <t>Michael Bruhl</t>
  </si>
  <si>
    <t>702723290131</t>
  </si>
  <si>
    <t>Terry Blackburn</t>
  </si>
  <si>
    <t>702723290201</t>
  </si>
  <si>
    <t>Kathy Warner</t>
  </si>
  <si>
    <t>702723290197</t>
  </si>
  <si>
    <t>642286529257</t>
  </si>
  <si>
    <t>Arthur Helwig</t>
  </si>
  <si>
    <t>702723290212</t>
  </si>
  <si>
    <t>Bob Goodwin</t>
  </si>
  <si>
    <t xml:space="preserve">	23941031</t>
  </si>
  <si>
    <t>23.44+23.44</t>
  </si>
  <si>
    <t>675157530838
675157530849</t>
  </si>
  <si>
    <t>paid 11.14.2016</t>
  </si>
  <si>
    <t>12 THHN RED (11 in spool diameter) 2x500</t>
  </si>
  <si>
    <t>705687156406</t>
  </si>
  <si>
    <t>3003976A</t>
  </si>
  <si>
    <t>14 THHN YELLOW (11 in spool diameter 6x500</t>
  </si>
  <si>
    <t>705687156417</t>
  </si>
  <si>
    <t>250-250-250-250 PLUS GRND AL MC</t>
  </si>
  <si>
    <t xml:space="preserve">	33282222</t>
  </si>
  <si>
    <t>6/2 NM-B Romex 2x125</t>
  </si>
  <si>
    <t>675157530871</t>
  </si>
  <si>
    <t>6/3 NM-B Romex 2x125</t>
  </si>
  <si>
    <t>675157530860</t>
  </si>
  <si>
    <t>10/2 NM-B Romex</t>
  </si>
  <si>
    <t>675157530850</t>
  </si>
  <si>
    <t>5014093029</t>
  </si>
  <si>
    <t>3004978A we will pick up</t>
  </si>
  <si>
    <t>8 XHHW CU GREEN</t>
  </si>
  <si>
    <t>3004978A</t>
  </si>
  <si>
    <t>Johnnie Pegram</t>
  </si>
  <si>
    <t>702723290142</t>
  </si>
  <si>
    <t>jlpeg50@aol.com</t>
  </si>
  <si>
    <t>Jennifer Gamache</t>
  </si>
  <si>
    <t>Marlon Edwards</t>
  </si>
  <si>
    <t>10/4 SJOOW 2X100</t>
  </si>
  <si>
    <t>675157530941, 675157530952</t>
  </si>
  <si>
    <t>12/2 Black Low Voltage Landscape Wire</t>
  </si>
  <si>
    <t xml:space="preserve">	614697968610</t>
  </si>
  <si>
    <t>bigf00t@duranddigital.com</t>
  </si>
  <si>
    <t>24114092</t>
  </si>
  <si>
    <t>702723290289</t>
  </si>
  <si>
    <t>Doug Porter</t>
  </si>
  <si>
    <t>I694093977</t>
  </si>
  <si>
    <t>bikingforged@gmail.com</t>
  </si>
  <si>
    <t>Roger Beaumier</t>
  </si>
  <si>
    <t>88951935-1</t>
  </si>
  <si>
    <t>dge74@hotmail.com</t>
  </si>
  <si>
    <t>Clifford Wareham</t>
  </si>
  <si>
    <t>20/6 Thermostat Cable Brown</t>
  </si>
  <si>
    <t xml:space="preserve">	703688861290</t>
  </si>
  <si>
    <t>702723290304</t>
  </si>
  <si>
    <t>Ricardo Oliveira</t>
  </si>
  <si>
    <t>702723290278</t>
  </si>
  <si>
    <t>Ciriaco Dasilva</t>
  </si>
  <si>
    <t>702723290315</t>
  </si>
  <si>
    <t>David Brantingham</t>
  </si>
  <si>
    <t>702723290290</t>
  </si>
  <si>
    <t>Ellis Fortenberry</t>
  </si>
  <si>
    <t>702723290326</t>
  </si>
  <si>
    <t>Lando Siregar</t>
  </si>
  <si>
    <t>702723290267</t>
  </si>
  <si>
    <t>Michael S Sica</t>
  </si>
  <si>
    <t>16-2 Solid Plenum Rated Wire Fire Alarm FPLP Cable Red</t>
  </si>
  <si>
    <t xml:space="preserve">	616712877387</t>
  </si>
  <si>
    <t>Paul Smit</t>
  </si>
  <si>
    <t>284-722944</t>
  </si>
  <si>
    <t>Philip Heffernan</t>
  </si>
  <si>
    <t>8/3 W/GRND Metal Clad Cable Aluminum Armor Solid MC Wire</t>
  </si>
  <si>
    <t>5008302486</t>
  </si>
  <si>
    <t>Donald Weidow</t>
  </si>
  <si>
    <t>702723290337</t>
  </si>
  <si>
    <t>Thomas Baldridge</t>
  </si>
  <si>
    <t>639564016515</t>
  </si>
  <si>
    <t>Calvin D Nelson</t>
  </si>
  <si>
    <t>702723290348</t>
  </si>
  <si>
    <t>639794969934</t>
  </si>
  <si>
    <t xml:space="preserve">	869267</t>
  </si>
  <si>
    <t>Maria Cardoso</t>
  </si>
  <si>
    <t>4/0 Type W Single Conductor</t>
  </si>
  <si>
    <t>3720047435</t>
  </si>
  <si>
    <t xml:space="preserve"> </t>
  </si>
  <si>
    <t>Live Wire and Cable Company</t>
  </si>
  <si>
    <t>Cat Plenum 6 White 6x1000 BOXES</t>
  </si>
  <si>
    <t xml:space="preserve">343711990 </t>
  </si>
  <si>
    <t>paid 11.16.2016</t>
  </si>
  <si>
    <t>livewirecs@aol.com</t>
  </si>
  <si>
    <t>Cat Plenum 6 Blue 25x1000 BOXES</t>
  </si>
  <si>
    <t>Cat Plenum 6 Blue 54x1000 REELS</t>
  </si>
  <si>
    <t>Cat Plenum 6 White 34x1000 BOXES</t>
  </si>
  <si>
    <t>Cat Plenum 6A Blue 22x1000 REELS</t>
  </si>
  <si>
    <t>Cat Plenum 6A White 13x1000 REELS</t>
  </si>
  <si>
    <t>Sumflex HW00150001 THHN UL 1063 1x500MCM Black COLONIAL</t>
  </si>
  <si>
    <t>675157530996</t>
  </si>
  <si>
    <t>billed out on 11.02.2016. $5 cut charge</t>
  </si>
  <si>
    <t>Sumflex HW00150001 THHN UL 1063 1x500MCM Black REPUBLIC</t>
  </si>
  <si>
    <t>655044322954</t>
  </si>
  <si>
    <t>3005004A</t>
  </si>
  <si>
    <t>Frank Dreher</t>
  </si>
  <si>
    <t>18 White UL 1015</t>
  </si>
  <si>
    <t>705501230801</t>
  </si>
  <si>
    <t>fdreher@aaction-services.com</t>
  </si>
  <si>
    <t>6 THHN STR WHITE 3x500</t>
  </si>
  <si>
    <t>1Z0811790370604487</t>
  </si>
  <si>
    <t>paid 11.10.2016</t>
  </si>
  <si>
    <t>8 THHN STR GREEN 2x500</t>
  </si>
  <si>
    <t>1Z0811790370964437</t>
  </si>
  <si>
    <t>6 THHN STR GREEN 3x500</t>
  </si>
  <si>
    <t>10/3 SOOW YELLOW 20x250</t>
  </si>
  <si>
    <t>47681812</t>
  </si>
  <si>
    <t>3005006A</t>
  </si>
  <si>
    <t>12 THHN STR WHITE 60x500</t>
  </si>
  <si>
    <t>1Z0811790372629537</t>
  </si>
  <si>
    <t>16 TFFN RED STR 20x500</t>
  </si>
  <si>
    <t>1Z0811790371947169</t>
  </si>
  <si>
    <t>16 TFFN PINK STR 20x500</t>
  </si>
  <si>
    <t>1Z0811790372871113</t>
  </si>
  <si>
    <t>16 TFFN BROWN STR 20x500</t>
  </si>
  <si>
    <t>1Z0811790372667004</t>
  </si>
  <si>
    <t>16 TFFN STR GRAY 20x500</t>
  </si>
  <si>
    <t>1Z0811790372880069</t>
  </si>
  <si>
    <t>16 TFFN STR PURPLE 20x500</t>
  </si>
  <si>
    <t>1Z0811790371106371</t>
  </si>
  <si>
    <t>16 TFFN ORANGE STR 20x500</t>
  </si>
  <si>
    <t>Chris Unger</t>
  </si>
  <si>
    <t>K2479851355</t>
  </si>
  <si>
    <t>18445mountainman@gmail.com</t>
  </si>
  <si>
    <t>Ciriaco Da Silva</t>
  </si>
  <si>
    <t>3423651560</t>
  </si>
  <si>
    <t>cid@bellavado.com</t>
  </si>
  <si>
    <t>Sandra Brown</t>
  </si>
  <si>
    <t>4/4 SOOW 1x60 1x50</t>
  </si>
  <si>
    <t>702723290418, 702723290429</t>
  </si>
  <si>
    <t>krb60@hotmail.com</t>
  </si>
  <si>
    <t>702723290360</t>
  </si>
  <si>
    <t>Rickey Maxedon</t>
  </si>
  <si>
    <t>702723290430</t>
  </si>
  <si>
    <t>David Szalach</t>
  </si>
  <si>
    <t>Lewis</t>
  </si>
  <si>
    <t>702723290381</t>
  </si>
  <si>
    <t>Jerzy Miniewicz</t>
  </si>
  <si>
    <t>2/0 Welding Cable Orange Ultra-Flex 2x100</t>
  </si>
  <si>
    <t>777525574275</t>
  </si>
  <si>
    <t>Phillip E Varner</t>
  </si>
  <si>
    <t>630512245410</t>
  </si>
  <si>
    <t>Steven Selz</t>
  </si>
  <si>
    <t>702723290370</t>
  </si>
  <si>
    <t>Brian M Kelley</t>
  </si>
  <si>
    <t>630512245453</t>
  </si>
  <si>
    <t>Shaun Best</t>
  </si>
  <si>
    <t>702723290392</t>
  </si>
  <si>
    <t>James P Forbes</t>
  </si>
  <si>
    <t>642286529268</t>
  </si>
  <si>
    <t>FP Seales</t>
  </si>
  <si>
    <t>16/16 VNTC</t>
  </si>
  <si>
    <t xml:space="preserve">	703688861338</t>
  </si>
  <si>
    <t>paulseales@aol.com</t>
  </si>
  <si>
    <t>350/4 MC CU XHHW PLUS GROUND</t>
  </si>
  <si>
    <t>5008302749</t>
  </si>
  <si>
    <t>Ace Plumbing</t>
  </si>
  <si>
    <t>4 XLP USE ALUMINUM 4x1000</t>
  </si>
  <si>
    <t>Carol S Kallenberger</t>
  </si>
  <si>
    <t>675157531087</t>
  </si>
  <si>
    <t>kallencs@aol.com</t>
  </si>
  <si>
    <t>Craig Brown</t>
  </si>
  <si>
    <t>702723290440</t>
  </si>
  <si>
    <t>brian@brownindustrial.com</t>
  </si>
  <si>
    <t>Aaron Godwin</t>
  </si>
  <si>
    <t>3992887006</t>
  </si>
  <si>
    <t>Aaron McEvoy</t>
  </si>
  <si>
    <t>702723290407</t>
  </si>
  <si>
    <t>Howard Etkind</t>
  </si>
  <si>
    <t>630512245420</t>
  </si>
  <si>
    <t>Alan Lyon</t>
  </si>
  <si>
    <t>675157531054</t>
  </si>
  <si>
    <t>Douglas A Miller</t>
  </si>
  <si>
    <t>3423651674</t>
  </si>
  <si>
    <t>RR DONNELLEY $191.54 
DELIVERY PEOPLE - $370.67</t>
  </si>
  <si>
    <t>noproblemelectric@yahoo.com</t>
  </si>
  <si>
    <t>Charles Peters</t>
  </si>
  <si>
    <t>702723290500</t>
  </si>
  <si>
    <t>dpyle16@msn.com</t>
  </si>
  <si>
    <t>Reinis Ciruls</t>
  </si>
  <si>
    <t>Monmouth 6x300</t>
  </si>
  <si>
    <t>YRC FREIGHT/ECHO</t>
  </si>
  <si>
    <t xml:space="preserve">	5618659669</t>
  </si>
  <si>
    <t>crs27@mail.com</t>
  </si>
  <si>
    <t>Moms World Inc.</t>
  </si>
  <si>
    <t>18/4 SJOOW</t>
  </si>
  <si>
    <t>702723290679</t>
  </si>
  <si>
    <t>momsworldinc@gmail.com</t>
  </si>
  <si>
    <t>Jon Cardello</t>
  </si>
  <si>
    <t>702723290473</t>
  </si>
  <si>
    <t>Tech Machine Shop</t>
  </si>
  <si>
    <t>702723290716</t>
  </si>
  <si>
    <t>Hugo Huariz</t>
  </si>
  <si>
    <t>702723290635</t>
  </si>
  <si>
    <t>Mike Bergen</t>
  </si>
  <si>
    <t>702723290705</t>
  </si>
  <si>
    <t>Kevin Svrcek</t>
  </si>
  <si>
    <t>702723290587</t>
  </si>
  <si>
    <t>Anthony Cosmutto</t>
  </si>
  <si>
    <t>702723290657</t>
  </si>
  <si>
    <t>Frederick Thompson</t>
  </si>
  <si>
    <t>702723290646</t>
  </si>
  <si>
    <t>Steve Rakas</t>
  </si>
  <si>
    <t>702723290613</t>
  </si>
  <si>
    <t>Mike Reece</t>
  </si>
  <si>
    <t>702723290565</t>
  </si>
  <si>
    <t>Timothy Tenney</t>
  </si>
  <si>
    <t>702723290668</t>
  </si>
  <si>
    <t>Jerry Lambert</t>
  </si>
  <si>
    <t>702723290624</t>
  </si>
  <si>
    <t>Greg Boomhower</t>
  </si>
  <si>
    <t>702723290576</t>
  </si>
  <si>
    <t>James Moye</t>
  </si>
  <si>
    <t>702723290554</t>
  </si>
  <si>
    <t>Jennifer K Martinek</t>
  </si>
  <si>
    <t>630512245431</t>
  </si>
  <si>
    <t>Pamela K Glaub</t>
  </si>
  <si>
    <t>702723290462</t>
  </si>
  <si>
    <t>Allysha Klein</t>
  </si>
  <si>
    <t>702723290484</t>
  </si>
  <si>
    <t>702723290495</t>
  </si>
  <si>
    <t>Edwin Hillyer</t>
  </si>
  <si>
    <t>639564016526</t>
  </si>
  <si>
    <t>Patrick Keller</t>
  </si>
  <si>
    <t>702723290532</t>
  </si>
  <si>
    <t>702723290602</t>
  </si>
  <si>
    <t>Dimitri C Franks</t>
  </si>
  <si>
    <t>702723290521</t>
  </si>
  <si>
    <t>702723290543</t>
  </si>
  <si>
    <t>wmgreen3@yahoo.com</t>
  </si>
  <si>
    <t>6/4 Type G 2KV</t>
  </si>
  <si>
    <t>5011219338</t>
  </si>
  <si>
    <t>Raymond Gould</t>
  </si>
  <si>
    <t>639794969967</t>
  </si>
  <si>
    <t>Greg Stewart</t>
  </si>
  <si>
    <t>3970024306</t>
  </si>
  <si>
    <t>Britta Hayes</t>
  </si>
  <si>
    <t>73008789-3</t>
  </si>
  <si>
    <t>Monte Dawson</t>
  </si>
  <si>
    <t>702723290598</t>
  </si>
  <si>
    <t>Kevin Henisey</t>
  </si>
  <si>
    <t>12/5 SOOW 2x250</t>
  </si>
  <si>
    <t>702723290680, 702723290690</t>
  </si>
  <si>
    <t>675157531076</t>
  </si>
  <si>
    <t>F Mansourian</t>
  </si>
  <si>
    <t>8/2 Low Voltage Landscape Lighting Cable</t>
  </si>
  <si>
    <t>676252189641</t>
  </si>
  <si>
    <t>f.mansourian@gmail.com</t>
  </si>
  <si>
    <t>Daniel Miller</t>
  </si>
  <si>
    <t>14/4 Festoon Yellow</t>
  </si>
  <si>
    <t xml:space="preserve">744934370381988 </t>
  </si>
  <si>
    <t>Dauber Company</t>
  </si>
  <si>
    <t>18/3 VNTC Shielded</t>
  </si>
  <si>
    <t xml:space="preserve">	706898123790</t>
  </si>
  <si>
    <t>675157531043</t>
  </si>
  <si>
    <t>Charles Blair</t>
  </si>
  <si>
    <t>702723290820</t>
  </si>
  <si>
    <t>chuckblair23@yahoo.com</t>
  </si>
  <si>
    <t>Nick Benner</t>
  </si>
  <si>
    <t>I730506546</t>
  </si>
  <si>
    <t>nick.benner@millerpipeline.com</t>
  </si>
  <si>
    <t>702723290793</t>
  </si>
  <si>
    <t>6 SOLID BARE COPPER</t>
  </si>
  <si>
    <t>1Z0455780346371988</t>
  </si>
  <si>
    <t>paid 11.15.2016</t>
  </si>
  <si>
    <t>3/0 THHN BLACK</t>
  </si>
  <si>
    <t>1Z0455780347205996</t>
  </si>
  <si>
    <t>1Z0455780347119615</t>
  </si>
  <si>
    <t>12 THHN STR GREEN</t>
  </si>
  <si>
    <t>Daniel J Ferguson</t>
  </si>
  <si>
    <t>253859401-5</t>
  </si>
  <si>
    <t>fergies8@aol.com</t>
  </si>
  <si>
    <t>543369482340</t>
  </si>
  <si>
    <t>Steve Gregory</t>
  </si>
  <si>
    <t>702723290782</t>
  </si>
  <si>
    <t>Jorge A Perez</t>
  </si>
  <si>
    <t>702723290749</t>
  </si>
  <si>
    <t>Marcellous A Byrd</t>
  </si>
  <si>
    <t>702723290750</t>
  </si>
  <si>
    <t>Procurement Coordinator</t>
  </si>
  <si>
    <t>20/4 Triads PLTC 106866 PVC 300V Shielded Cable Wire</t>
  </si>
  <si>
    <t xml:space="preserve">	574454202645</t>
  </si>
  <si>
    <t>David Lade</t>
  </si>
  <si>
    <t>702723290830</t>
  </si>
  <si>
    <t>Sam McKeen</t>
  </si>
  <si>
    <t>18-2 Solid Plenum Rated Wire Fire Alarm FPLP Cable Red</t>
  </si>
  <si>
    <t xml:space="preserve">	1Z8802920350148494</t>
  </si>
  <si>
    <t xml:space="preserve">Howard </t>
  </si>
  <si>
    <t>702723290852</t>
  </si>
  <si>
    <t>Grant Erickson</t>
  </si>
  <si>
    <t>702723290760</t>
  </si>
  <si>
    <t>Kevin Monihen</t>
  </si>
  <si>
    <t>18/4 Pairs PLTC 106814 PVC Black 300V Shielded Cable Wire</t>
  </si>
  <si>
    <t>1Z7763310371589481</t>
  </si>
  <si>
    <t>Alan F. Smith</t>
  </si>
  <si>
    <t>702723290819</t>
  </si>
  <si>
    <t>Andre B Graves</t>
  </si>
  <si>
    <t>702723290808</t>
  </si>
  <si>
    <t>Landon S Greer</t>
  </si>
  <si>
    <t>702723290771</t>
  </si>
  <si>
    <t>Alan Vigue</t>
  </si>
  <si>
    <t>680483360564</t>
  </si>
  <si>
    <t>Cody Erickson</t>
  </si>
  <si>
    <t>630512245442</t>
  </si>
  <si>
    <t>PR Lawrie</t>
  </si>
  <si>
    <t>702723290841</t>
  </si>
  <si>
    <t>Martin Garcia</t>
  </si>
  <si>
    <t>642286529290</t>
  </si>
  <si>
    <t>Kelli T Benden</t>
  </si>
  <si>
    <t>702723290863</t>
  </si>
  <si>
    <t>Tom Hamelin</t>
  </si>
  <si>
    <t xml:space="preserve">	1ZA6253X0340985467</t>
  </si>
  <si>
    <t>Richard Adler</t>
  </si>
  <si>
    <t>20 AWG 4 Conductor 110727 PVD2 CL3R TC Shielded 300V ChromeGray Cable Wire</t>
  </si>
  <si>
    <t xml:space="preserve">	1Z8802920351620300</t>
  </si>
  <si>
    <t>Jacob Burke</t>
  </si>
  <si>
    <t>680483360623</t>
  </si>
  <si>
    <t>Michael Madatic</t>
  </si>
  <si>
    <t>702723290955</t>
  </si>
  <si>
    <t>Wayne Keim</t>
  </si>
  <si>
    <t>4/0 Welding Cable 2x100</t>
  </si>
  <si>
    <t>1Z2561890341988296</t>
  </si>
  <si>
    <t>Michael Luellen</t>
  </si>
  <si>
    <t>Costena 3x100</t>
  </si>
  <si>
    <t>1Z2XF3870244213920, 	1Z2XF3870243116537,  1Z2XF3870244426343</t>
  </si>
  <si>
    <t>dobrien325@gmail.com / LLUELLEN808@AOL.COM</t>
  </si>
  <si>
    <t>Mark Libratore</t>
  </si>
  <si>
    <t>4/0 THHN RED</t>
  </si>
  <si>
    <t>854017220</t>
  </si>
  <si>
    <t>mark@casalibratore.com</t>
  </si>
  <si>
    <t>4/0 THHN BLACK</t>
  </si>
  <si>
    <t>3/0 THHN WHITE</t>
  </si>
  <si>
    <t>Katie Johnson</t>
  </si>
  <si>
    <t>5202FE 16/4 Stranded Overall Shielded Security &amp; Alarm Cable CMR/CMG Gray Belden</t>
  </si>
  <si>
    <t xml:space="preserve">118391272752802 </t>
  </si>
  <si>
    <t>Stephen Abc</t>
  </si>
  <si>
    <t>Orleans</t>
  </si>
  <si>
    <t>702723290885</t>
  </si>
  <si>
    <t>johnkagie@aol.com</t>
  </si>
  <si>
    <t>Donald Olinski</t>
  </si>
  <si>
    <t>702723290874</t>
  </si>
  <si>
    <t>dolinski@bellsouth.net</t>
  </si>
  <si>
    <t>Thomas Cross</t>
  </si>
  <si>
    <t>Cortland</t>
  </si>
  <si>
    <t>680483360586</t>
  </si>
  <si>
    <t>702723290944</t>
  </si>
  <si>
    <t>Richard Mares</t>
  </si>
  <si>
    <t>680483360601</t>
  </si>
  <si>
    <t>Jared Meixelsperger</t>
  </si>
  <si>
    <t>702723291024</t>
  </si>
  <si>
    <t>Laurie Kent</t>
  </si>
  <si>
    <t>702723290999</t>
  </si>
  <si>
    <t>Doug Breault</t>
  </si>
  <si>
    <t>642286529419</t>
  </si>
  <si>
    <t>Roy Edward Long</t>
  </si>
  <si>
    <t>702723290900</t>
  </si>
  <si>
    <t>Len Stage</t>
  </si>
  <si>
    <t xml:space="preserve">	614697968827</t>
  </si>
  <si>
    <t>Jerzy Gorski</t>
  </si>
  <si>
    <t>702723290911</t>
  </si>
  <si>
    <t>David Nguyen</t>
  </si>
  <si>
    <t>680483360645</t>
  </si>
  <si>
    <t>Josh Love</t>
  </si>
  <si>
    <t xml:space="preserve">	706898123930</t>
  </si>
  <si>
    <t>Omniflux</t>
  </si>
  <si>
    <t>680483360634</t>
  </si>
  <si>
    <t xml:space="preserve">Order ID: # 112-4731763-8843422 </t>
  </si>
  <si>
    <t>Ricky E Thomas</t>
  </si>
  <si>
    <t>680483360597</t>
  </si>
  <si>
    <t xml:space="preserve">Order ID: # 102-8682464-2085814 </t>
  </si>
  <si>
    <t>Kristoffer J Meloy</t>
  </si>
  <si>
    <t>702723290933</t>
  </si>
  <si>
    <t xml:space="preserve">Order ID: # 114-8577094-1028206 </t>
  </si>
  <si>
    <t>680483360612</t>
  </si>
  <si>
    <t xml:space="preserve">Order ID: # 106-5206193-5699439 </t>
  </si>
  <si>
    <t>Marty Potter</t>
  </si>
  <si>
    <t>680483360575</t>
  </si>
  <si>
    <t xml:space="preserve">Order ID: # 107-8724873-5547463 </t>
  </si>
  <si>
    <t>C S Patterson</t>
  </si>
  <si>
    <t>630512245486</t>
  </si>
  <si>
    <t xml:space="preserve">Order ID: # 111-1706062-3681845 </t>
  </si>
  <si>
    <t>Steve Halvorson - SLP</t>
  </si>
  <si>
    <t>702723290977</t>
  </si>
  <si>
    <t xml:space="preserve">Order ID: # 107-1897311-5976257 </t>
  </si>
  <si>
    <t>Eduardo Avalos</t>
  </si>
  <si>
    <t>639794970066</t>
  </si>
  <si>
    <t xml:space="preserve">Order ID: # 110-3759823-1721020 </t>
  </si>
  <si>
    <t>Todd Yoder</t>
  </si>
  <si>
    <t xml:space="preserve">Order ID: # 107-3669023-2862604 </t>
  </si>
  <si>
    <t>Richard L Dadds Jr</t>
  </si>
  <si>
    <t>702723290896</t>
  </si>
  <si>
    <t xml:space="preserve">Order ID: # 111-1992067-2047448 </t>
  </si>
  <si>
    <t>Rena Spence</t>
  </si>
  <si>
    <t>702723290988</t>
  </si>
  <si>
    <t>Madeline</t>
  </si>
  <si>
    <t>675157531124</t>
  </si>
  <si>
    <t xml:space="preserve">Order ID: # 104-6285194-6120215 </t>
  </si>
  <si>
    <t>Ruth Perez</t>
  </si>
  <si>
    <t>642286529338</t>
  </si>
  <si>
    <t xml:space="preserve">Order ID: # 112-2751948-3745851 </t>
  </si>
  <si>
    <t>Carla Scocchi</t>
  </si>
  <si>
    <t>730506627</t>
  </si>
  <si>
    <t xml:space="preserve">we will pick up   Order ID: # 104-7548380-5844234 </t>
  </si>
  <si>
    <t>Saeed Alghamdi</t>
  </si>
  <si>
    <t>630512245464</t>
  </si>
  <si>
    <t xml:space="preserve">Order ID: # 114-7967363-2417800 </t>
  </si>
  <si>
    <t>Catherine Skoog</t>
  </si>
  <si>
    <t>639794970055</t>
  </si>
  <si>
    <t xml:space="preserve">Order ID: # 110-0508880-9597839 </t>
  </si>
  <si>
    <t>Rusty Berry</t>
  </si>
  <si>
    <t>702723291127</t>
  </si>
  <si>
    <t>Joshua Higgs</t>
  </si>
  <si>
    <t>Bergen 1x50 1x70</t>
  </si>
  <si>
    <t>702723290966</t>
  </si>
  <si>
    <t>Robert Capie</t>
  </si>
  <si>
    <t>3/0 XHHW CU STR</t>
  </si>
  <si>
    <t>14203323259</t>
  </si>
  <si>
    <t>robertcapie@aol.com</t>
  </si>
  <si>
    <t>4 XHHW CU STR</t>
  </si>
  <si>
    <t>John Staszak</t>
  </si>
  <si>
    <t>Rust 2x85</t>
  </si>
  <si>
    <t>702723291002  , 702723291013  </t>
  </si>
  <si>
    <t>john@stazworks.com</t>
  </si>
  <si>
    <t>Mathew Snyder</t>
  </si>
  <si>
    <t>Wake Forest 2x1000</t>
  </si>
  <si>
    <t>24103653</t>
  </si>
  <si>
    <t>snyder207@gmail.com</t>
  </si>
  <si>
    <t>John Sandusky</t>
  </si>
  <si>
    <t>3423651663</t>
  </si>
  <si>
    <t>cardiacjohn@hotmail.com</t>
  </si>
  <si>
    <t>Arthur Garcia</t>
  </si>
  <si>
    <t>614697968816</t>
  </si>
  <si>
    <t>raiderfan69ag@yahoo.com</t>
  </si>
  <si>
    <t>Matt Lam</t>
  </si>
  <si>
    <t>DILIGENT</t>
  </si>
  <si>
    <t>332355</t>
  </si>
  <si>
    <t>mattta@sbcglobal.net</t>
  </si>
  <si>
    <t>Hiram Tirado</t>
  </si>
  <si>
    <t>334946480</t>
  </si>
  <si>
    <t>ampelectricht@aol.com</t>
  </si>
  <si>
    <t>Tulsa 3x5000</t>
  </si>
  <si>
    <t>342365171-1</t>
  </si>
  <si>
    <t>we will pick up..billed out on 10.26.2016</t>
  </si>
  <si>
    <t>702723290922</t>
  </si>
  <si>
    <t>Mikel Loghry</t>
  </si>
  <si>
    <t>630512245501</t>
  </si>
  <si>
    <t xml:space="preserve">Order ID: # 103-3192822-2898608 </t>
  </si>
  <si>
    <t>Harry Marcado</t>
  </si>
  <si>
    <t xml:space="preserve">	690927327</t>
  </si>
  <si>
    <t>merharry@gmail.com</t>
  </si>
  <si>
    <t>harrymarcado@bbspr.org</t>
  </si>
  <si>
    <t>Bruce Terry</t>
  </si>
  <si>
    <t>495-821747-8</t>
  </si>
  <si>
    <t>bterryelectric@yahoo.com</t>
  </si>
  <si>
    <t>Dave Janisch</t>
  </si>
  <si>
    <t xml:space="preserve">8/2 Twisted Pump W/GRND </t>
  </si>
  <si>
    <t>253859112-3</t>
  </si>
  <si>
    <t>davidcjanisch@gmail.com</t>
  </si>
  <si>
    <t>Curtis Daniel</t>
  </si>
  <si>
    <t>630512245523</t>
  </si>
  <si>
    <t>Terry Ludick</t>
  </si>
  <si>
    <t>702723291105</t>
  </si>
  <si>
    <t>Adam Zelinski</t>
  </si>
  <si>
    <t>702723291116</t>
  </si>
  <si>
    <t>Jack Rookhuyzen</t>
  </si>
  <si>
    <t>702723291090</t>
  </si>
  <si>
    <t>Serenity Estates</t>
  </si>
  <si>
    <t>702723291035</t>
  </si>
  <si>
    <t>Chad M Mason</t>
  </si>
  <si>
    <t>642286529420</t>
  </si>
  <si>
    <t xml:space="preserve">Order ID: # 108-9744006-0300214 </t>
  </si>
  <si>
    <t>Lorrie Wallace</t>
  </si>
  <si>
    <t>702723291080</t>
  </si>
  <si>
    <t xml:space="preserve">Order ID: # 109-6053785-3693820 </t>
  </si>
  <si>
    <t>Tyler Daniels</t>
  </si>
  <si>
    <t>702723291057</t>
  </si>
  <si>
    <t xml:space="preserve">Order ID: # 107-3572996-8391447 </t>
  </si>
  <si>
    <t>G&amp;K</t>
  </si>
  <si>
    <t>702723291046</t>
  </si>
  <si>
    <t xml:space="preserve">Order ID: # 110-0371434-9585065 </t>
  </si>
  <si>
    <t>Erik Giersten</t>
  </si>
  <si>
    <t>702723291068</t>
  </si>
  <si>
    <t xml:space="preserve">Order ID: # 109-4085480-8813824 </t>
  </si>
  <si>
    <t>Scott Ray</t>
  </si>
  <si>
    <t>639794970044</t>
  </si>
  <si>
    <t xml:space="preserve">Order ID: # 105-4558266-6329855 </t>
  </si>
  <si>
    <t>702723291079</t>
  </si>
  <si>
    <t xml:space="preserve">Order ID: # 109-6444153-3176235 </t>
  </si>
  <si>
    <t>Jennifer Cook</t>
  </si>
  <si>
    <t>639794970022</t>
  </si>
  <si>
    <t xml:space="preserve">Order ID: # 105-5373920-1300258 </t>
  </si>
  <si>
    <t>HD Industrial Services</t>
  </si>
  <si>
    <t>Bluebird</t>
  </si>
  <si>
    <t>462215655</t>
  </si>
  <si>
    <t>stevenj@hdindservices.com</t>
  </si>
  <si>
    <t>777 DLO</t>
  </si>
  <si>
    <t>Parallel</t>
  </si>
  <si>
    <t xml:space="preserve">371700283-3
</t>
  </si>
  <si>
    <t>davidcturner@eaton.com</t>
  </si>
  <si>
    <t>2/0-2/0-2/0-1 SER AL W/GRND 1x419 1x429 1x420 1x385 1x380 1x370 1x368 1x395</t>
  </si>
  <si>
    <t>5014106361</t>
  </si>
  <si>
    <t>1/0-1/0-1/0-2 SER AL 3x1000</t>
  </si>
  <si>
    <t>Cameron</t>
  </si>
  <si>
    <t>396672937-3</t>
  </si>
  <si>
    <t>3005155A</t>
  </si>
  <si>
    <t>Barbara Boulton</t>
  </si>
  <si>
    <t>702723291138</t>
  </si>
  <si>
    <t>Gordon Hanka</t>
  </si>
  <si>
    <t>702723291149</t>
  </si>
  <si>
    <t>Travis Dagman</t>
  </si>
  <si>
    <t>702723291160</t>
  </si>
  <si>
    <t>Joseph DiBenedetto</t>
  </si>
  <si>
    <t>680483360656</t>
  </si>
  <si>
    <t xml:space="preserve">Order ID: # 111-5540264-5429823 </t>
  </si>
  <si>
    <t>Melissa Torres</t>
  </si>
  <si>
    <t>535 DLO 3x500 1x800</t>
  </si>
  <si>
    <t>torres@jlab.org</t>
  </si>
  <si>
    <t>we will pick up. $150 CUT CHARGES</t>
  </si>
  <si>
    <t>brucebolander@yahoo.com</t>
  </si>
  <si>
    <t xml:space="preserve">	2849338833</t>
  </si>
  <si>
    <t>robert.cevasco@yahoo.com</t>
  </si>
  <si>
    <t>Jim McCauley</t>
  </si>
  <si>
    <t>702723291193</t>
  </si>
  <si>
    <t>travis.delk@bluegrassmetalworks.com</t>
  </si>
  <si>
    <t>Robert Prato</t>
  </si>
  <si>
    <t>799045374</t>
  </si>
  <si>
    <t>rprato@rprato.com</t>
  </si>
  <si>
    <t>4 CORE 4MM BFOU P5/P12 BLACK</t>
  </si>
  <si>
    <t>Eutex</t>
  </si>
  <si>
    <t>6012070898</t>
  </si>
  <si>
    <t>paid 11.18.2016</t>
  </si>
  <si>
    <t>Mario Andrade</t>
  </si>
  <si>
    <t>702723291208</t>
  </si>
  <si>
    <t>Mark Schramm</t>
  </si>
  <si>
    <t>680483360690</t>
  </si>
  <si>
    <t>Alejandro Ramirez Mendoza</t>
  </si>
  <si>
    <t>702723291171</t>
  </si>
  <si>
    <t>680483360667</t>
  </si>
  <si>
    <t>John C. Law</t>
  </si>
  <si>
    <t>680483360737</t>
  </si>
  <si>
    <t>Dylan Carter</t>
  </si>
  <si>
    <t>642286529441</t>
  </si>
  <si>
    <t>Electric Motor Works</t>
  </si>
  <si>
    <t>614697968860</t>
  </si>
  <si>
    <t>felix@emotorwerks.com</t>
  </si>
  <si>
    <t>Tyler Wade Rush</t>
  </si>
  <si>
    <t>642286529463</t>
  </si>
  <si>
    <t>Jason Lacey</t>
  </si>
  <si>
    <t>702723291182</t>
  </si>
  <si>
    <t>Susan Smith</t>
  </si>
  <si>
    <t>675157531238</t>
  </si>
  <si>
    <t>Thomas S Cook</t>
  </si>
  <si>
    <t>680483360689</t>
  </si>
  <si>
    <t>William B Burge</t>
  </si>
  <si>
    <t>702723291219</t>
  </si>
  <si>
    <t>Jospeh M Hall</t>
  </si>
  <si>
    <t>730088784</t>
  </si>
  <si>
    <t>Marilyn Jensen</t>
  </si>
  <si>
    <t>680483360678</t>
  </si>
  <si>
    <t>Elizabeth Gay</t>
  </si>
  <si>
    <t>630512245545</t>
  </si>
  <si>
    <t>Lonnie D Delaney</t>
  </si>
  <si>
    <t>680483360715</t>
  </si>
  <si>
    <t>Ronda Dykstra</t>
  </si>
  <si>
    <t>Curtis Manning</t>
  </si>
  <si>
    <t>675157531249</t>
  </si>
  <si>
    <t>Ty Ellefson</t>
  </si>
  <si>
    <t>680483360726</t>
  </si>
  <si>
    <t>ty56585@gmail.com</t>
  </si>
  <si>
    <t>4/0 THHN STRANDED 1X375 1X370</t>
  </si>
  <si>
    <t>88668241-8</t>
  </si>
  <si>
    <t>billed out on 10.28.2016</t>
  </si>
  <si>
    <t>Aleksandr Zakharchenko</t>
  </si>
  <si>
    <t>702723291263</t>
  </si>
  <si>
    <t>alekslink@yahoo.com</t>
  </si>
  <si>
    <t>888263340</t>
  </si>
  <si>
    <t>Jordan Kuns</t>
  </si>
  <si>
    <t>717707439</t>
  </si>
  <si>
    <t>William Townes</t>
  </si>
  <si>
    <t>702723291274</t>
  </si>
  <si>
    <t>Hermosillo Cesar</t>
  </si>
  <si>
    <t>702723291285, 702723291296</t>
  </si>
  <si>
    <t>Brittany Williams</t>
  </si>
  <si>
    <t>642286529452</t>
  </si>
  <si>
    <t>Gerald Johnson</t>
  </si>
  <si>
    <t>675157531190</t>
  </si>
  <si>
    <t>Brian Bylotas</t>
  </si>
  <si>
    <t>616712877608</t>
  </si>
  <si>
    <t>Louis Weigel</t>
  </si>
  <si>
    <t>665645047644</t>
  </si>
  <si>
    <t>Becky Berson</t>
  </si>
  <si>
    <t>8/4 Type W 2x75</t>
  </si>
  <si>
    <t>675157531330 675157531341</t>
  </si>
  <si>
    <t>Tracy Wilkerson</t>
  </si>
  <si>
    <t>2/0 Welding Cable Black 1x125 1x75</t>
  </si>
  <si>
    <t>665645047622</t>
  </si>
  <si>
    <t>Oleg Tsimbler</t>
  </si>
  <si>
    <t>Daniel Stanford</t>
  </si>
  <si>
    <t>639794970147</t>
  </si>
  <si>
    <t>Daryl R Miller</t>
  </si>
  <si>
    <t>702723291230</t>
  </si>
  <si>
    <t>Beth Webster</t>
  </si>
  <si>
    <t>630512245556</t>
  </si>
  <si>
    <t>Velson Kugo</t>
  </si>
  <si>
    <t>730506816</t>
  </si>
  <si>
    <t>smothers89@mindspring.com</t>
  </si>
  <si>
    <t>Don Eick</t>
  </si>
  <si>
    <t>702723291241</t>
  </si>
  <si>
    <t>Kris Taylor</t>
  </si>
  <si>
    <t>777575182689</t>
  </si>
  <si>
    <t>Gary Goes</t>
  </si>
  <si>
    <t>702723291252</t>
  </si>
  <si>
    <t>777 DLO 2x1326 2x1332 1x465</t>
  </si>
  <si>
    <t>TQL</t>
  </si>
  <si>
    <t>billed out on 11.02.2016</t>
  </si>
  <si>
    <t>PRYSMIAN Type MV-105 4/0 AL 15KV 133% 220 MLS UL 1072 (QNT41CA) Black 8x1641</t>
  </si>
  <si>
    <t>FEDEX / SAIA</t>
  </si>
  <si>
    <t>3963542693 / 920201047103</t>
  </si>
  <si>
    <t xml:space="preserve">invoice done but not billed. </t>
  </si>
  <si>
    <t>montse@sumcab.com</t>
  </si>
  <si>
    <t>Robert R Brown</t>
  </si>
  <si>
    <t>665645047699</t>
  </si>
  <si>
    <t>Howard Rerice</t>
  </si>
  <si>
    <t>665645047655</t>
  </si>
  <si>
    <t>h.o.rerice@gmail.com</t>
  </si>
  <si>
    <t>Irene Trujillo</t>
  </si>
  <si>
    <t>Wake Forest 8X1000</t>
  </si>
  <si>
    <t>West Virginia</t>
  </si>
  <si>
    <t>abf freight</t>
  </si>
  <si>
    <t>irene@3forksres.com</t>
  </si>
  <si>
    <t>Bill Worthington</t>
  </si>
  <si>
    <t>665645047688</t>
  </si>
  <si>
    <t>bcworthington@mac.com</t>
  </si>
  <si>
    <t>12 AWG Hook Up Wire AWM MTW  TEW UL 1015/1230 - TIN PLATED COPPER - PVC 105C - 600V - WHITE</t>
  </si>
  <si>
    <t xml:space="preserve">Allied </t>
  </si>
  <si>
    <t>705501238011</t>
  </si>
  <si>
    <t>Jacob Becker</t>
  </si>
  <si>
    <t>6 AWG HOOK UP WIRE AWM MTW TEW UL 1283/1232/1015 - BARE COPPER - PVC 105C - 600V - RED</t>
  </si>
  <si>
    <t xml:space="preserve">	711201624090</t>
  </si>
  <si>
    <t>Eric P Stewart</t>
  </si>
  <si>
    <t>665645047666</t>
  </si>
  <si>
    <t>Clifton Reynolds</t>
  </si>
  <si>
    <t>665645047633</t>
  </si>
  <si>
    <t>David Marlow</t>
  </si>
  <si>
    <t>665645047677</t>
  </si>
  <si>
    <t>Paul Nelson</t>
  </si>
  <si>
    <t>639794970158</t>
  </si>
  <si>
    <t>665645047725</t>
  </si>
  <si>
    <t>Gerald AlStasse</t>
  </si>
  <si>
    <t>665645047736</t>
  </si>
  <si>
    <t>Joe Patel</t>
  </si>
  <si>
    <t>10 THHN GREEN STR</t>
  </si>
  <si>
    <t>n/A</t>
  </si>
  <si>
    <t>ushankant@cableone.net</t>
  </si>
  <si>
    <t>10 THHN YELLOW STR</t>
  </si>
  <si>
    <t>10 THHN ORANGE</t>
  </si>
  <si>
    <t>Yvon J Alexandre</t>
  </si>
  <si>
    <t>73050685-2</t>
  </si>
  <si>
    <t>Darrell S Cramer Jr</t>
  </si>
  <si>
    <t>665645047747</t>
  </si>
  <si>
    <t>630512245567</t>
  </si>
  <si>
    <t>Michelle Lund</t>
  </si>
  <si>
    <t>Belden 8728 Multi-Conductor Special Audio, Communication and Instrumentation Cable</t>
  </si>
  <si>
    <t>Wirexpres</t>
  </si>
  <si>
    <t xml:space="preserve">022356386221167 </t>
  </si>
  <si>
    <t>Karen Bryant</t>
  </si>
  <si>
    <t>702723291322</t>
  </si>
  <si>
    <t>Bob Lippert</t>
  </si>
  <si>
    <t>342365178-1</t>
  </si>
  <si>
    <t>lippauto@plainsteel.com</t>
  </si>
  <si>
    <t>Tom Hardisky</t>
  </si>
  <si>
    <t>665645047714</t>
  </si>
  <si>
    <t>disky@tds.net</t>
  </si>
  <si>
    <t>ACP Electrical Inc.</t>
  </si>
  <si>
    <t>250MCM Welding Cable 1x500 1x130</t>
  </si>
  <si>
    <t>Pitt Ohio</t>
  </si>
  <si>
    <t>steve@acpservice.com</t>
  </si>
  <si>
    <t>1Z5316EX0345976056</t>
  </si>
  <si>
    <t xml:space="preserve">10 AWG UL TYPE USE-2 RHH BROWN </t>
  </si>
  <si>
    <t xml:space="preserve">702723291344  </t>
  </si>
  <si>
    <t xml:space="preserve">702723291333  </t>
  </si>
  <si>
    <t>Electric Motor Werks Inc</t>
  </si>
  <si>
    <t>8 THHN BLACK STR</t>
  </si>
  <si>
    <t>675157531536</t>
  </si>
  <si>
    <t>8 THHN RED STR</t>
  </si>
  <si>
    <t>8 THHN GREEN STR</t>
  </si>
  <si>
    <t>6 THHN RED STR</t>
  </si>
  <si>
    <t>6 WELDING BLACK</t>
  </si>
  <si>
    <t>777601427537</t>
  </si>
  <si>
    <t>3005232A</t>
  </si>
  <si>
    <t>6 WELDING RED</t>
  </si>
  <si>
    <t>777601427732</t>
  </si>
  <si>
    <t>Sarah Modarelli</t>
  </si>
  <si>
    <t>2/0-3 Type W 2x75</t>
  </si>
  <si>
    <t>754116219</t>
  </si>
  <si>
    <t>we will pick up. $60 cut charges</t>
  </si>
  <si>
    <t>sstout@csi-key.com</t>
  </si>
  <si>
    <t>Gary Olsen</t>
  </si>
  <si>
    <t>Daisy</t>
  </si>
  <si>
    <t>711201624105</t>
  </si>
  <si>
    <t>golsen@borderstates.com</t>
  </si>
  <si>
    <t>Aster</t>
  </si>
  <si>
    <t xml:space="preserve">	711201624127</t>
  </si>
  <si>
    <t xml:space="preserve">	711201624138</t>
  </si>
  <si>
    <t>680483360748</t>
  </si>
  <si>
    <t>Dave Reynolds</t>
  </si>
  <si>
    <t> 665645047769  , 665645047770</t>
  </si>
  <si>
    <t>665645047780</t>
  </si>
  <si>
    <t>Harrison Hydra Gen</t>
  </si>
  <si>
    <t>655044324501</t>
  </si>
  <si>
    <t>12 THHN GREEN (11in spool diameter)</t>
  </si>
  <si>
    <t>655044324512</t>
  </si>
  <si>
    <t>655044324523</t>
  </si>
  <si>
    <t>8/3 SOOW 500FT reels</t>
  </si>
  <si>
    <t>Old dominion</t>
  </si>
  <si>
    <t>agordon@neatheat.com</t>
  </si>
  <si>
    <t>Mary Bizen</t>
  </si>
  <si>
    <t xml:space="preserve">#14 AWG Solid Bare Copper </t>
  </si>
  <si>
    <t>777609633561</t>
  </si>
  <si>
    <t>mbizien@cmrconstruction.com</t>
  </si>
  <si>
    <t>Mark Jensen</t>
  </si>
  <si>
    <t>73050694-2</t>
  </si>
  <si>
    <t>muddesign@msn.com</t>
  </si>
  <si>
    <t>711201624311</t>
  </si>
  <si>
    <t>711201624322</t>
  </si>
  <si>
    <t>Jody Varnado</t>
  </si>
  <si>
    <t>675157531503</t>
  </si>
  <si>
    <t>Chris Smith</t>
  </si>
  <si>
    <t>665645047997</t>
  </si>
  <si>
    <t>Ben Bold</t>
  </si>
  <si>
    <t>665645047883</t>
  </si>
  <si>
    <t>Everado Perez</t>
  </si>
  <si>
    <t>702723291300</t>
  </si>
  <si>
    <t>Tony McNatt</t>
  </si>
  <si>
    <t>702723291388</t>
  </si>
  <si>
    <t>Larry Underwood</t>
  </si>
  <si>
    <t>73050695-1</t>
  </si>
  <si>
    <t>Guillermina Suarez</t>
  </si>
  <si>
    <t>665645047861</t>
  </si>
  <si>
    <t>Brad Morgan</t>
  </si>
  <si>
    <t>702723291366</t>
  </si>
  <si>
    <t>Brian Stephenson</t>
  </si>
  <si>
    <t>665645047806</t>
  </si>
  <si>
    <t>Charles Tucker</t>
  </si>
  <si>
    <t>665645047850</t>
  </si>
  <si>
    <t>Brian Hollywood</t>
  </si>
  <si>
    <t>702723291399</t>
  </si>
  <si>
    <t>Joseph Queen</t>
  </si>
  <si>
    <t>665645047840</t>
  </si>
  <si>
    <t>Yong Pak</t>
  </si>
  <si>
    <t>16/2 VNTC</t>
  </si>
  <si>
    <t xml:space="preserve">	680993425732</t>
  </si>
  <si>
    <t>Michael Phillipson</t>
  </si>
  <si>
    <t xml:space="preserve">	614697969157</t>
  </si>
  <si>
    <t>Michael Wessant</t>
  </si>
  <si>
    <t>702723291311</t>
  </si>
  <si>
    <t>Sharon Green</t>
  </si>
  <si>
    <t>300MCM XHHW COPPER</t>
  </si>
  <si>
    <t>665645048000</t>
  </si>
  <si>
    <t>Simone Dreischmeyer</t>
  </si>
  <si>
    <t>665645047872</t>
  </si>
  <si>
    <t>Richard Lattanzi</t>
  </si>
  <si>
    <t>675157531422</t>
  </si>
  <si>
    <t xml:space="preserve">229542703	</t>
  </si>
  <si>
    <t>BILLED OUT ON 11.01.2016</t>
  </si>
  <si>
    <t>350/3 GGC</t>
  </si>
  <si>
    <t>Dane A Weindorf</t>
  </si>
  <si>
    <t>665645047894</t>
  </si>
  <si>
    <t>665645047953</t>
  </si>
  <si>
    <t>Tammie Young</t>
  </si>
  <si>
    <t>665645047986</t>
  </si>
  <si>
    <t>Nikolaos Georgoulis</t>
  </si>
  <si>
    <t>665645047910</t>
  </si>
  <si>
    <t>Roger L Williams</t>
  </si>
  <si>
    <t>702723291701</t>
  </si>
  <si>
    <t>M. Sue Spear</t>
  </si>
  <si>
    <t>665645048033</t>
  </si>
  <si>
    <t>Juan Macedo</t>
  </si>
  <si>
    <t>630512245589</t>
  </si>
  <si>
    <t>Kaylin O'Shaughnessey</t>
  </si>
  <si>
    <t>665645047828</t>
  </si>
  <si>
    <t>Daniel Hardaway</t>
  </si>
  <si>
    <t xml:space="preserve">665645047975
</t>
  </si>
  <si>
    <t>Marvin Frazier</t>
  </si>
  <si>
    <t>639564016581</t>
  </si>
  <si>
    <t>639564016592</t>
  </si>
  <si>
    <t>Kathy Saffran</t>
  </si>
  <si>
    <t>665645047909</t>
  </si>
  <si>
    <t>Mathew McShane</t>
  </si>
  <si>
    <t>665645047817</t>
  </si>
  <si>
    <t>Mark Leitz</t>
  </si>
  <si>
    <t>675157531488</t>
  </si>
  <si>
    <t>David G. Reierson</t>
  </si>
  <si>
    <t>665645047839</t>
  </si>
  <si>
    <t>Scotty L Wells</t>
  </si>
  <si>
    <t>665645047920</t>
  </si>
  <si>
    <t>Derek Shaver</t>
  </si>
  <si>
    <t>665645047791</t>
  </si>
  <si>
    <t>Mary Porter</t>
  </si>
  <si>
    <t>665645047964</t>
  </si>
  <si>
    <t>Kacey Huff</t>
  </si>
  <si>
    <t>665645047942</t>
  </si>
  <si>
    <t>Greg Tusa</t>
  </si>
  <si>
    <t>66564504793</t>
  </si>
  <si>
    <t>Alva Kluckner</t>
  </si>
  <si>
    <t>665645048066</t>
  </si>
  <si>
    <t>665645048011</t>
  </si>
  <si>
    <t>Curtiss-Wright</t>
  </si>
  <si>
    <t>PP-09-ETC-02 3x883</t>
  </si>
  <si>
    <t>3755786064</t>
  </si>
  <si>
    <t>jjohnson2@curtisswright.com &amp; mwooldridge@curtisswright.com</t>
  </si>
  <si>
    <t>665645048022</t>
  </si>
  <si>
    <t>Brian Beasley</t>
  </si>
  <si>
    <t>brian.beasley1980@gmail.com</t>
  </si>
  <si>
    <t>Alfren Ramos</t>
  </si>
  <si>
    <t>10/4 Flat Festoon Black Jacket 600V</t>
  </si>
  <si>
    <t xml:space="preserve">052767285627942 </t>
  </si>
  <si>
    <t>alfrenramos@gmail.com</t>
  </si>
  <si>
    <t>Daniel Cordwell</t>
  </si>
  <si>
    <t>24103697</t>
  </si>
  <si>
    <t>William T Baxter</t>
  </si>
  <si>
    <t>702723291436</t>
  </si>
  <si>
    <t>bucky@moontoast.com</t>
  </si>
  <si>
    <t>Jamie A Bowen</t>
  </si>
  <si>
    <t>284-742054</t>
  </si>
  <si>
    <t>bowenjed@aol.com</t>
  </si>
  <si>
    <t>Zhiyuan Ma Lab</t>
  </si>
  <si>
    <t>16-2 Lamp Cord UL Type SPT-2 300V PVC Insulation 2x 250</t>
  </si>
  <si>
    <t>616712877722</t>
  </si>
  <si>
    <t>Rodney Roth</t>
  </si>
  <si>
    <t>702723291414</t>
  </si>
  <si>
    <t>Donna Vaughn</t>
  </si>
  <si>
    <t>270957825-5</t>
  </si>
  <si>
    <t>Greg Whitesides</t>
  </si>
  <si>
    <t>Troy Underwood</t>
  </si>
  <si>
    <t>665645048044</t>
  </si>
  <si>
    <t>Greg Hudgins</t>
  </si>
  <si>
    <t>665645048055</t>
  </si>
  <si>
    <t>Patrick Staqfford</t>
  </si>
  <si>
    <t xml:space="preserve">	680993425754</t>
  </si>
  <si>
    <t>18/4 SOOW YELLOW</t>
  </si>
  <si>
    <t xml:space="preserve">	706898124605</t>
  </si>
  <si>
    <t>Carrie Conger</t>
  </si>
  <si>
    <t>027-1899685</t>
  </si>
  <si>
    <t>Brian Spaulding</t>
  </si>
  <si>
    <t>639794970239</t>
  </si>
  <si>
    <t>665645048125</t>
  </si>
  <si>
    <t>Melissa Breternitz</t>
  </si>
  <si>
    <t>665645048114</t>
  </si>
  <si>
    <t>MariaLuisa Quintanal</t>
  </si>
  <si>
    <t>665645048099</t>
  </si>
  <si>
    <t>Thomas Kells</t>
  </si>
  <si>
    <t>630512245590</t>
  </si>
  <si>
    <t>Heidi Esselman</t>
  </si>
  <si>
    <t>630512245615</t>
  </si>
  <si>
    <t>Lynn Palmer</t>
  </si>
  <si>
    <t>665645048103</t>
  </si>
  <si>
    <t>Stanley Williams</t>
  </si>
  <si>
    <t>675157531477</t>
  </si>
  <si>
    <t>Steve Meza</t>
  </si>
  <si>
    <t>630512245604</t>
  </si>
  <si>
    <t>Hannah Harrison</t>
  </si>
  <si>
    <t>665645048077</t>
  </si>
  <si>
    <t>Arthur Gallotti</t>
  </si>
  <si>
    <t>665645048136</t>
  </si>
  <si>
    <t>Chris Sookoo</t>
  </si>
  <si>
    <t>2538592792</t>
  </si>
  <si>
    <t>chris@awstt.com</t>
  </si>
  <si>
    <t>SAMPLE</t>
  </si>
  <si>
    <t>1/0-3 15kv MV 105 EPR PVC CU</t>
  </si>
  <si>
    <t>Jeffery Boggs</t>
  </si>
  <si>
    <t>jboggs@atlanticconcretecutting.com</t>
  </si>
  <si>
    <t>027-2141081</t>
  </si>
  <si>
    <t>paid on 11.16.2016</t>
  </si>
  <si>
    <t>1/0 Welding Cable 2x500</t>
  </si>
  <si>
    <t>5011108612</t>
  </si>
  <si>
    <t>3005316A</t>
  </si>
  <si>
    <t>Donnie Taylor</t>
  </si>
  <si>
    <t>5010658890</t>
  </si>
  <si>
    <t>donnie.taylor@graybar.com</t>
  </si>
  <si>
    <t>INVOICE TO supplierinvoice@graybar.com</t>
  </si>
  <si>
    <t>RobertFAA Orrell</t>
  </si>
  <si>
    <t>630512245670</t>
  </si>
  <si>
    <t>George Gradow</t>
  </si>
  <si>
    <t>702723291425</t>
  </si>
  <si>
    <t>Adam Hedge</t>
  </si>
  <si>
    <t>665645048088</t>
  </si>
  <si>
    <t>Jeffrey A Evans</t>
  </si>
  <si>
    <t>680483360770</t>
  </si>
  <si>
    <t>Aaron Good</t>
  </si>
  <si>
    <t>3992420773</t>
  </si>
  <si>
    <t>aaron@conservefirst.com</t>
  </si>
  <si>
    <t>Richard Ryan</t>
  </si>
  <si>
    <t xml:space="preserve">West Virginia </t>
  </si>
  <si>
    <t>rickjryan@gmail.com</t>
  </si>
  <si>
    <t>711201624664</t>
  </si>
  <si>
    <t xml:space="preserve">	711201624734</t>
  </si>
  <si>
    <t xml:space="preserve">	711201624745</t>
  </si>
  <si>
    <t>711201624712</t>
  </si>
  <si>
    <t>billed out on 11.04.2016</t>
  </si>
  <si>
    <t>711201624723</t>
  </si>
  <si>
    <t>Chris Castellano</t>
  </si>
  <si>
    <t>14 AWG TGGT Wire, High Temperature Wire, 250 C, UL 5256/5196</t>
  </si>
  <si>
    <t>644640012856</t>
  </si>
  <si>
    <t>Jeremy Parker</t>
  </si>
  <si>
    <t>680483360781</t>
  </si>
  <si>
    <t>M. Steigenga</t>
  </si>
  <si>
    <t>630512245660</t>
  </si>
  <si>
    <t>Brian R Bartron</t>
  </si>
  <si>
    <t>630512245659</t>
  </si>
  <si>
    <t>Jonathan Mahoney</t>
  </si>
  <si>
    <t>680483360760</t>
  </si>
  <si>
    <t>Chris Guilbeau</t>
  </si>
  <si>
    <t>680483360792</t>
  </si>
  <si>
    <t>Jeremy Butman</t>
  </si>
  <si>
    <t>702723291550</t>
  </si>
  <si>
    <t>Dale Brown</t>
  </si>
  <si>
    <t>639794970310</t>
  </si>
  <si>
    <t>Courtney Cooper</t>
  </si>
  <si>
    <t>680483360759</t>
  </si>
  <si>
    <t>12 AWG Switchboard Wire SIS VW-1 - Tin Plated Copper - XLPE 90C - 600V - Gray 2x500</t>
  </si>
  <si>
    <t>690306368495</t>
  </si>
  <si>
    <t>Live Wire And Cable</t>
  </si>
  <si>
    <t>ETC CAT 6 PLENUM RED 2011/65/IU SUBSIANCI COMI BATCH 154652-149 1-219567-6 REV AE 1000' DATE15465 CODE YYWW(D) 2 TE620P RDRB DESC TE620P RDRB COP UTP 4/23 C6 1K LT#(3S) 1010019 BOX NO15 22X30=660 </t>
  </si>
  <si>
    <t xml:space="preserve">	0542442963</t>
  </si>
  <si>
    <t>billed out on 11.09.2016</t>
  </si>
  <si>
    <t>ETC CAT 5E PLENUM BLUE 2011/65/IU SUBSIANCI COMI BATCH: 153932-846-57825-6 REV BA 1000' DATE 15393 CODE (YYWW) (D) 2 TE6209 RDRB DESC TE620P-BLRB COMP UTP 4/24 G5E 1K LT#(3S) 101001873715 BOX NO 19 24X22=528 </t>
  </si>
  <si>
    <t>ETC CAT 6 RISER YELLOW 2011/65/IU SUBS IANCL COMI BATCH 155 121 - 238 INT SN 219560-8 REV 1000' REV AB DESC: TE620R-YLRB CMR UTP 4/24 C61K LT#(3S) 101001973104 /BOX 37BOXESX 27LBS=999 LBS TOTAL  </t>
  </si>
  <si>
    <t>ETC CAT 6 	PLENUM BLUE 2011/65/IU SUBS IANCI COMI BATCH: 152161-265 INT SN 219567-6 REV AE 1000' DATE 15216 1 CODE (YYWW) (D) (S) TE620P-BLRB DESC: TE620P-BLRB; CMP UTP 4/23 C6 1K LT# (3S) 101001705932/ BOX NO 40 10X30=300 </t>
  </si>
  <si>
    <t>Daniel Mutschler</t>
  </si>
  <si>
    <t>702723291517</t>
  </si>
  <si>
    <t>Radu Heredea</t>
  </si>
  <si>
    <t>702723291540</t>
  </si>
  <si>
    <t>350MCM THHN CU 8x45 8x25 8x65</t>
  </si>
  <si>
    <t>250MCM THHN CU 2x45 2x25 1x130</t>
  </si>
  <si>
    <t>DELIVERED</t>
  </si>
  <si>
    <t>3005343A</t>
  </si>
  <si>
    <t>Richard Brzeski</t>
  </si>
  <si>
    <t>750MCM XHHW-2 AL BROWN STRIPE 160FT EACH RUN 4 CONDUCTORS PARALLELED CONDUCTORS TAGGED BLUE BLACK, RED AND WHITE</t>
  </si>
  <si>
    <t>ESTES/ECHO
CROWN</t>
  </si>
  <si>
    <t>1651028954
799045814</t>
  </si>
  <si>
    <t>info@rmbelectric.net</t>
  </si>
  <si>
    <t>750MCM XHHW-2 AL BROWN STRIPE 175FT EACH RUN 4 CONDUCTORS PARALLELED CONDUCTORS TAGGED BLUE BLACK, RED AND WHITE</t>
  </si>
  <si>
    <t>750MCM XHHW-2 AL 2X BROWN 2X YELLOW STRIPE 375FT EACH RUN 4 CONDUCTORS PARALLELED CONDUCTORS TAGGED BLUE BLACK, RED AND WHITE (790 OF EACH COLOR)</t>
  </si>
  <si>
    <t>4/0 XHHW-2 AL 175FT EACH RUN 4 CONDUCTORS PARALLELED CONDUCTORS TAGGED BLUE, BLACK, RED AND WHITE</t>
  </si>
  <si>
    <t>799045117</t>
  </si>
  <si>
    <t>4/0 XHHW-2 AL 225FT EACH RUN 4 CONDUCTORS PARALLELED CONDUCTORS TAGGED BLUE, BLACK, RED AND WHITE</t>
  </si>
  <si>
    <t>4/0 XHHW-2 AL 375FT EACH RUN 4 CONDUCTORS PARALLELED CONDUCTORS TAGGED BLUE, BLACK, RED AND WHITE</t>
  </si>
  <si>
    <t>4/0 XHHW-2 AL 25FT EACH RUN 4 CONDUCTORS PARALLELED CONDUCTORS TAGGED BLUE, BLACK, RED AND WHITE</t>
  </si>
  <si>
    <t>4/0 XHHW-2 AL 240FT EACH RUN 4 CONDUCTORS PARALLELED CONDUCTORS TAGGED BLUE, BLACK, RED AND WHITE</t>
  </si>
  <si>
    <t>2/0 XHHW-2 AL 120FT EACH RUN 4 CONDUCTORS PARALLELED CONDUCTORS TAGGED BLUE, BLACK, RED AND WHITE</t>
  </si>
  <si>
    <t>23941627</t>
  </si>
  <si>
    <t>1/0 XHHW-2 AL 160FT EACH RUN 4 CONDUCTORS PARALLELED CONDUCTORS TAGGED BLUE, BLACK, RED AND WHITE</t>
  </si>
  <si>
    <t>$200 cut charge</t>
  </si>
  <si>
    <t>8/4 W/GRND VNTC CU (8/4EPCPTC)</t>
  </si>
  <si>
    <t>702723291561</t>
  </si>
  <si>
    <t>Timothy Jackson</t>
  </si>
  <si>
    <t>702723291539</t>
  </si>
  <si>
    <t>Jeff Hollingsworth</t>
  </si>
  <si>
    <t>702723291594</t>
  </si>
  <si>
    <t>Patrick Manns</t>
  </si>
  <si>
    <t>702723291469</t>
  </si>
  <si>
    <t>Daniel Prekker</t>
  </si>
  <si>
    <t>702723291631</t>
  </si>
  <si>
    <t>David Maas</t>
  </si>
  <si>
    <t>702723291572</t>
  </si>
  <si>
    <t>Al Zukas</t>
  </si>
  <si>
    <t>702723291480</t>
  </si>
  <si>
    <t>Nicolas Fernandez</t>
  </si>
  <si>
    <t>12/4 SJOOW 2x100</t>
  </si>
  <si>
    <t>702723291470</t>
  </si>
  <si>
    <t>284-742043</t>
  </si>
  <si>
    <t>Daniel Calvin</t>
  </si>
  <si>
    <t>702723291583</t>
  </si>
  <si>
    <t>Larry Harrell</t>
  </si>
  <si>
    <t>702723291491</t>
  </si>
  <si>
    <t>Tom Rice</t>
  </si>
  <si>
    <t>702723291609</t>
  </si>
  <si>
    <t>Ted McKey</t>
  </si>
  <si>
    <t>702723291506</t>
  </si>
  <si>
    <t>Lynsey Dreher</t>
  </si>
  <si>
    <t>665645048147</t>
  </si>
  <si>
    <t>Jesse Valdez</t>
  </si>
  <si>
    <t>12/7 SOOW</t>
  </si>
  <si>
    <t>707658473790</t>
  </si>
  <si>
    <t>jessevaladez@rocketmail.com</t>
  </si>
  <si>
    <t>Robert Dout</t>
  </si>
  <si>
    <t>702723291664</t>
  </si>
  <si>
    <t>Kyle Thomas</t>
  </si>
  <si>
    <t>10 MTW</t>
  </si>
  <si>
    <t>702723291712</t>
  </si>
  <si>
    <t>s.milkman@gmail.com</t>
  </si>
  <si>
    <t>Walter Robak</t>
  </si>
  <si>
    <t>702723291642</t>
  </si>
  <si>
    <t>leatherhandle@aol.com</t>
  </si>
  <si>
    <t>Eduardo Rangel</t>
  </si>
  <si>
    <t>702723291620</t>
  </si>
  <si>
    <t>Bob Schaeffer</t>
  </si>
  <si>
    <t>702723291653</t>
  </si>
  <si>
    <t>Sophie Garcia</t>
  </si>
  <si>
    <t>702723291610</t>
  </si>
  <si>
    <t>M &amp; M Electrical Supply Co Inc.</t>
  </si>
  <si>
    <t>371700294-0</t>
  </si>
  <si>
    <t>Samuel A Hofer</t>
  </si>
  <si>
    <t>2/0-4 W/GRND Armorlite Type MC</t>
  </si>
  <si>
    <t>3927273394</t>
  </si>
  <si>
    <t>$30 cut charge</t>
  </si>
  <si>
    <t>hvcelectric44@gmail.com</t>
  </si>
  <si>
    <t>Mat</t>
  </si>
  <si>
    <t>1651693591</t>
  </si>
  <si>
    <t>mat@sunmmgr.com</t>
  </si>
  <si>
    <t>12/3 Flat Heavy Duty W/GRND</t>
  </si>
  <si>
    <t>1978741295</t>
  </si>
  <si>
    <t>Maureen Massara</t>
  </si>
  <si>
    <t>680483360830</t>
  </si>
  <si>
    <t>outofafrica@ecr.net</t>
  </si>
  <si>
    <t>711201624962</t>
  </si>
  <si>
    <t xml:space="preserve">	711201624973</t>
  </si>
  <si>
    <t>711201624940</t>
  </si>
  <si>
    <t>711201624930</t>
  </si>
  <si>
    <t xml:space="preserve">	711201624951</t>
  </si>
  <si>
    <t>Tulip</t>
  </si>
  <si>
    <t xml:space="preserve">	3963552902</t>
  </si>
  <si>
    <t>Amos Tanner</t>
  </si>
  <si>
    <t>675157531753</t>
  </si>
  <si>
    <t>monk667077@yahoo.com</t>
  </si>
  <si>
    <t>Bryan Wilson</t>
  </si>
  <si>
    <t>675157531694</t>
  </si>
  <si>
    <t>Souvandy Chauvin</t>
  </si>
  <si>
    <t xml:space="preserve">8/3 W/GRND MC Cable AL Armor </t>
  </si>
  <si>
    <t>658765766468</t>
  </si>
  <si>
    <t>Thomas A Zocolo</t>
  </si>
  <si>
    <t>680483360895</t>
  </si>
  <si>
    <t>680483360829</t>
  </si>
  <si>
    <t>Bethany Trouberman</t>
  </si>
  <si>
    <t>680483360840</t>
  </si>
  <si>
    <t>Brian MacKenzie</t>
  </si>
  <si>
    <t>680483360884</t>
  </si>
  <si>
    <t>Ken Vassalli</t>
  </si>
  <si>
    <t>680483360862</t>
  </si>
  <si>
    <t>1Z9X760X0363919531</t>
  </si>
  <si>
    <t>Dale Henry</t>
  </si>
  <si>
    <t>680483360851</t>
  </si>
  <si>
    <t>Jack E. Logan, Sr.</t>
  </si>
  <si>
    <t>680483360873</t>
  </si>
  <si>
    <t>1 Green Welding</t>
  </si>
  <si>
    <t>568832644</t>
  </si>
  <si>
    <t>payables@smartwires.com</t>
  </si>
  <si>
    <t>Dave McMurtrey</t>
  </si>
  <si>
    <t>56832832-8</t>
  </si>
  <si>
    <t>Wesley Cerny</t>
  </si>
  <si>
    <t>1/0-3 Heavy Duty Flat Jacketed Submersible Pump Cable W/GRND</t>
  </si>
  <si>
    <t>802371894</t>
  </si>
  <si>
    <t>wescerny@sbcglobal.net</t>
  </si>
  <si>
    <t>Aaron Swift</t>
  </si>
  <si>
    <t>12/3 MC W/GRND PVC JACKET 2x250</t>
  </si>
  <si>
    <t>708082940899</t>
  </si>
  <si>
    <t>aswift@wayne.edu</t>
  </si>
  <si>
    <t>Patrick W Lay</t>
  </si>
  <si>
    <t>RG11/U Coaxial Cable 14 AWG Solid Copper-Clad Steel AL Foil &amp; 60% AL Braid Direct Burial for CATV - Black</t>
  </si>
  <si>
    <t xml:space="preserve">744934370393745 </t>
  </si>
  <si>
    <t>Dai Nguyen</t>
  </si>
  <si>
    <t>702723291723</t>
  </si>
  <si>
    <t>Ben Heesen</t>
  </si>
  <si>
    <t>12/3 SJOOW YELLOW</t>
  </si>
  <si>
    <t>675157531710</t>
  </si>
  <si>
    <t>Bill Betz III</t>
  </si>
  <si>
    <t xml:space="preserve">	616712878030</t>
  </si>
  <si>
    <t>6/4 SOOW 2x125</t>
  </si>
  <si>
    <t xml:space="preserve">702723291778  ,  702723291789 </t>
  </si>
  <si>
    <t>rchoby@hotmail.com</t>
  </si>
  <si>
    <t>Kenneth Hannigan</t>
  </si>
  <si>
    <t>I707473359</t>
  </si>
  <si>
    <t>snacksforthewin@yahoo.com</t>
  </si>
  <si>
    <t>4/0-3 GGC 1x435 1x410</t>
  </si>
  <si>
    <t>350/3 GGC 1x630</t>
  </si>
  <si>
    <t>330821181 368356141</t>
  </si>
  <si>
    <t>Tom Overman</t>
  </si>
  <si>
    <t>Herkimer</t>
  </si>
  <si>
    <t>616712877983</t>
  </si>
  <si>
    <t>tom@overman.biz</t>
  </si>
  <si>
    <t>James Budd</t>
  </si>
  <si>
    <t xml:space="preserve">3/0-4 Type W </t>
  </si>
  <si>
    <t>Customer PIck up</t>
  </si>
  <si>
    <t>John Adams Photography</t>
  </si>
  <si>
    <t>399050291-3</t>
  </si>
  <si>
    <t>softears@msn.com</t>
  </si>
  <si>
    <t>Francis Zambella</t>
  </si>
  <si>
    <t>702723291745</t>
  </si>
  <si>
    <t>frananz@aol.com</t>
  </si>
  <si>
    <t>1/0-3 GGC 2x2000</t>
  </si>
  <si>
    <t>5011219372</t>
  </si>
  <si>
    <t>3/3 MC W/GRND W/PVC JACKET W/GREEN GROUND 1x1500</t>
  </si>
  <si>
    <t>Gregory Prine</t>
  </si>
  <si>
    <t>680483360900</t>
  </si>
  <si>
    <t>Kevin Fetter</t>
  </si>
  <si>
    <t>675157531731</t>
  </si>
  <si>
    <t>Rodrigo Paz</t>
  </si>
  <si>
    <t>614697969580</t>
  </si>
  <si>
    <t>waiting for shipping address</t>
  </si>
  <si>
    <t>675157531720</t>
  </si>
  <si>
    <t>Henry Chamberlain</t>
  </si>
  <si>
    <t>680483360965</t>
  </si>
  <si>
    <t>Michael Pilcher</t>
  </si>
  <si>
    <t>702723291790</t>
  </si>
  <si>
    <t>Doug Bradley</t>
  </si>
  <si>
    <t>702723291815</t>
  </si>
  <si>
    <t>Terry McAfee</t>
  </si>
  <si>
    <t>2 XLP/USE-2 BLACK</t>
  </si>
  <si>
    <t>680483360976</t>
  </si>
  <si>
    <t>Kevin Bruns</t>
  </si>
  <si>
    <t>675157531672</t>
  </si>
  <si>
    <t>Chad Wolever</t>
  </si>
  <si>
    <t>702723291804</t>
  </si>
  <si>
    <t>Steve Parks</t>
  </si>
  <si>
    <t>680483360921</t>
  </si>
  <si>
    <t>Douglas Davis</t>
  </si>
  <si>
    <t>702723291756</t>
  </si>
  <si>
    <t>Kern Crosby</t>
  </si>
  <si>
    <t>680483360932</t>
  </si>
  <si>
    <t>Gary Gottschalk</t>
  </si>
  <si>
    <t>18/3 SOOW YELLOW</t>
  </si>
  <si>
    <t>676563249430</t>
  </si>
  <si>
    <t>Ian Bowles</t>
  </si>
  <si>
    <t>702723291767</t>
  </si>
  <si>
    <t>Angela Kolb</t>
  </si>
  <si>
    <t>675157531742</t>
  </si>
  <si>
    <t>Lloyd Dye</t>
  </si>
  <si>
    <t xml:space="preserve">	616712878020</t>
  </si>
  <si>
    <t>Jesse Mead</t>
  </si>
  <si>
    <t>680483360910</t>
  </si>
  <si>
    <t>Stephen Pugh</t>
  </si>
  <si>
    <t>18/15 VNTC</t>
  </si>
  <si>
    <t xml:space="preserve">	616712878008</t>
  </si>
  <si>
    <t>616712878019</t>
  </si>
  <si>
    <t>Gary A Ehnert</t>
  </si>
  <si>
    <t>675157531683</t>
  </si>
  <si>
    <t>Jose Gomez</t>
  </si>
  <si>
    <t>680483360998</t>
  </si>
  <si>
    <t>Roy Searles</t>
  </si>
  <si>
    <t>680483360943</t>
  </si>
  <si>
    <t>Jerry Wernick</t>
  </si>
  <si>
    <t>702723291826</t>
  </si>
  <si>
    <t>Nick Eye</t>
  </si>
  <si>
    <t>West Virgina</t>
  </si>
  <si>
    <t>EXLA</t>
  </si>
  <si>
    <t>010-6196429-2</t>
  </si>
  <si>
    <t>Bez Cummings</t>
  </si>
  <si>
    <t>14/4 Non-Shielded Control Tray Cable UL Type TC-ER 600V E2 Black</t>
  </si>
  <si>
    <t xml:space="preserve">	574454203332</t>
  </si>
  <si>
    <t>John Rhodes</t>
  </si>
  <si>
    <t>680483361001</t>
  </si>
  <si>
    <t>Vic Silva</t>
  </si>
  <si>
    <t>680483361045</t>
  </si>
  <si>
    <t>Jerry Holcomb</t>
  </si>
  <si>
    <t>680483360987</t>
  </si>
  <si>
    <t>Andrew Adams</t>
  </si>
  <si>
    <t>630512245707</t>
  </si>
  <si>
    <t>Derek West</t>
  </si>
  <si>
    <t>675157531709</t>
  </si>
  <si>
    <t>Michael Tkaczyk</t>
  </si>
  <si>
    <t>639794970364</t>
  </si>
  <si>
    <t>Chris Drymalla</t>
  </si>
  <si>
    <t>702723291951</t>
  </si>
  <si>
    <t>James Wesseldyk</t>
  </si>
  <si>
    <t>680483361056</t>
  </si>
  <si>
    <t>Jeff B Ledford</t>
  </si>
  <si>
    <t>680483361067</t>
  </si>
  <si>
    <t>Don Cottrell</t>
  </si>
  <si>
    <t>702723291837</t>
  </si>
  <si>
    <t>Chandra D Kanapathy</t>
  </si>
  <si>
    <t>680483361023</t>
  </si>
  <si>
    <t>Jim Capozzoli</t>
  </si>
  <si>
    <t>680483361034</t>
  </si>
  <si>
    <t>Kevin Martz</t>
  </si>
  <si>
    <t>680483360954</t>
  </si>
  <si>
    <t>kmmartz@hotmail.com</t>
  </si>
  <si>
    <t>David Moresi</t>
  </si>
  <si>
    <t>400 XHHW COPPER</t>
  </si>
  <si>
    <t>257680032</t>
  </si>
  <si>
    <t>736753474</t>
  </si>
  <si>
    <t>billed out on 11.16.2016</t>
  </si>
  <si>
    <t>Kirk Klages</t>
  </si>
  <si>
    <t>680483361012</t>
  </si>
  <si>
    <t>klageskn@netscape.net</t>
  </si>
  <si>
    <t>Edward Addy</t>
  </si>
  <si>
    <t>Swanate 2x1000</t>
  </si>
  <si>
    <t>293024138</t>
  </si>
  <si>
    <t>edinmn@nacec.org</t>
  </si>
  <si>
    <t>Juan Carlos Perez</t>
  </si>
  <si>
    <t>j.perez@jmcintersolutions.com</t>
  </si>
  <si>
    <t>14/3 SOOW White</t>
  </si>
  <si>
    <t>UPS NEXT DAY</t>
  </si>
  <si>
    <t>1ZV147610147019446</t>
  </si>
  <si>
    <t>billed out on 11.08.2016</t>
  </si>
  <si>
    <t>Manhattan River Group</t>
  </si>
  <si>
    <t>6/3 Type P</t>
  </si>
  <si>
    <t>4062655752</t>
  </si>
  <si>
    <t>James Roberts</t>
  </si>
  <si>
    <t>118-581890</t>
  </si>
  <si>
    <t>jtroberts@me.com</t>
  </si>
  <si>
    <t>Tom Turpin</t>
  </si>
  <si>
    <t>RG6/U SIAM COAXIAL CABLE 23/18 AWG SOLID COPPER-CLAD STEEL 95% BC BRAID CL2/CM FOR CCTV SIAMESE - BLACK 3X500</t>
  </si>
  <si>
    <t>680123397980</t>
  </si>
  <si>
    <t>Timothy Holland</t>
  </si>
  <si>
    <t>1694A RG6/U LOW LOSS SERIAL DIGITAL COAX CABLE 18 AWG SLID BARE COPPER OVERALL FOIL/TC BRAID 95% CMR/CMG/FT4 FOR SDI/HDTV DIGITAL VIDEO - BLACK</t>
  </si>
  <si>
    <t>Wire Express</t>
  </si>
  <si>
    <t xml:space="preserve">118391272765895 </t>
  </si>
  <si>
    <t>Shawn K</t>
  </si>
  <si>
    <t>702723291995</t>
  </si>
  <si>
    <t>Dawn Whitney</t>
  </si>
  <si>
    <t>3724345671</t>
  </si>
  <si>
    <t>Claudia Connolly</t>
  </si>
  <si>
    <t>702723292020</t>
  </si>
  <si>
    <t>DMVW Railroad</t>
  </si>
  <si>
    <t>702723291962</t>
  </si>
  <si>
    <t>International Chemical Corp</t>
  </si>
  <si>
    <t>702723291973</t>
  </si>
  <si>
    <t>702723292010</t>
  </si>
  <si>
    <t>James A Smith</t>
  </si>
  <si>
    <t>702723291984</t>
  </si>
  <si>
    <t>Brandalyn Kurtz</t>
  </si>
  <si>
    <t>642286529533</t>
  </si>
  <si>
    <t>Kevin and Letitia Weaver</t>
  </si>
  <si>
    <t>675157531867</t>
  </si>
  <si>
    <t>David R James Jr</t>
  </si>
  <si>
    <t>702723292031</t>
  </si>
  <si>
    <t>CF Koehler</t>
  </si>
  <si>
    <t>702723292009</t>
  </si>
  <si>
    <t>Robert Stevenson</t>
  </si>
  <si>
    <t>702723292042</t>
  </si>
  <si>
    <t>Scott Watson</t>
  </si>
  <si>
    <t>639794970353</t>
  </si>
  <si>
    <t>James Coons</t>
  </si>
  <si>
    <t>630512245718</t>
  </si>
  <si>
    <t>Altamira Instruments Inc.</t>
  </si>
  <si>
    <t>4/4 SOOW UL/CSA</t>
  </si>
  <si>
    <t>676563249407</t>
  </si>
  <si>
    <t>info@altamirainstruments.com</t>
  </si>
  <si>
    <t>Jay Roberts</t>
  </si>
  <si>
    <t>336933387</t>
  </si>
  <si>
    <t>jay@aggressor.com</t>
  </si>
  <si>
    <t>675157531937</t>
  </si>
  <si>
    <t>Karen Baumeister</t>
  </si>
  <si>
    <t>03704241516</t>
  </si>
  <si>
    <t>karen.baumeister@sbdinc.com</t>
  </si>
  <si>
    <t>Alton Irrigation</t>
  </si>
  <si>
    <t>14/3 VNTC</t>
  </si>
  <si>
    <t>58645090-8</t>
  </si>
  <si>
    <t>702723292064</t>
  </si>
  <si>
    <t>Colin Smillie</t>
  </si>
  <si>
    <t>16 AWG TFFN/TFN Stranded 26 STR 90C 600V Blue 4x500</t>
  </si>
  <si>
    <t>675157531786</t>
  </si>
  <si>
    <t>colin.smillie@ocscontrols.com</t>
  </si>
  <si>
    <t>88553788-6</t>
  </si>
  <si>
    <t>47682104</t>
  </si>
  <si>
    <t>3005474A</t>
  </si>
  <si>
    <t>Salvador Guerra</t>
  </si>
  <si>
    <t>18 AWG 4C Stranded Overall Shielded Communications &amp; Control CL3R/CMR Article 725/800 Riser - Gray</t>
  </si>
  <si>
    <t xml:space="preserve">	680993425787</t>
  </si>
  <si>
    <t>Sara S Weindorf</t>
  </si>
  <si>
    <t>702723292112</t>
  </si>
  <si>
    <t>Ronald Hodanish</t>
  </si>
  <si>
    <t>655044326813</t>
  </si>
  <si>
    <t>Kute James Kinlaw</t>
  </si>
  <si>
    <t>680483361104</t>
  </si>
  <si>
    <t>Travis Selby</t>
  </si>
  <si>
    <t>630512245730</t>
  </si>
  <si>
    <t>Cristen Martin</t>
  </si>
  <si>
    <t>680483361090</t>
  </si>
  <si>
    <t>Donna Phelps</t>
  </si>
  <si>
    <t>680483361078</t>
  </si>
  <si>
    <t>Gayla Schenck</t>
  </si>
  <si>
    <t>642286529522</t>
  </si>
  <si>
    <t>Robert Larson</t>
  </si>
  <si>
    <t>680483361089</t>
  </si>
  <si>
    <t>Ronald Williams</t>
  </si>
  <si>
    <t xml:space="preserve">	616712878155</t>
  </si>
  <si>
    <t>543369483108</t>
  </si>
  <si>
    <t>Brent Adams</t>
  </si>
  <si>
    <t>2-2-2-2-4 SER AL</t>
  </si>
  <si>
    <t>1ZV147610346070987</t>
  </si>
  <si>
    <t>genman61@frontier.com</t>
  </si>
  <si>
    <t>Jeffery Eckert</t>
  </si>
  <si>
    <t>675157531948</t>
  </si>
  <si>
    <t>eckertj1@gmail.com</t>
  </si>
  <si>
    <t>Luke Emack</t>
  </si>
  <si>
    <t>hytec.controls@gmail.com</t>
  </si>
  <si>
    <t>12/3 VNTC W/GRND</t>
  </si>
  <si>
    <t>655044326905</t>
  </si>
  <si>
    <t>Arrow Mechanical Corp.</t>
  </si>
  <si>
    <t>736753463</t>
  </si>
  <si>
    <t>Christine Hermann</t>
  </si>
  <si>
    <t>22 AWG 12C Stranded Overall Shielded Communications &amp; Control Cable CL2 Gray</t>
  </si>
  <si>
    <t>616712878100</t>
  </si>
  <si>
    <t>Raymond Suhocki Jr.</t>
  </si>
  <si>
    <t>675157531889</t>
  </si>
  <si>
    <t>Lisa Strieter</t>
  </si>
  <si>
    <t>8/4 SOOW 2x50</t>
  </si>
  <si>
    <t>702723292134, 702723292145</t>
  </si>
  <si>
    <t>Phillip Shirley</t>
  </si>
  <si>
    <t>702723292167</t>
  </si>
  <si>
    <t>Matt McArthur</t>
  </si>
  <si>
    <t>16 AWG 2C Stranded Overall Shielded Communications &amp; Control CL3R/CMR Article 725/800 Riser - Gray 2x500</t>
  </si>
  <si>
    <t xml:space="preserve">	616712878144</t>
  </si>
  <si>
    <t>10/12 MC 600V BK RD BE BK / PK RD/OR BE/YW WT/BK WT/PK WT/OR WT/YW GH</t>
  </si>
  <si>
    <t>4033024166</t>
  </si>
  <si>
    <t>2x1000 10/4 ALUM ARMORED CABLE RED-BLUE-WHITE-BLACK-GREEN GROUND ALUM</t>
  </si>
  <si>
    <t>2X1000 12/2 STEEL ARMORED CABLE GREEN-WHITE-BLACK GROUND ALUM</t>
  </si>
  <si>
    <t>2X1000 12/4 ALUM YELLOW-GREEN-GRAY-BROWN-ORANGE</t>
  </si>
  <si>
    <t>6X250 12/2 STEEL WHITE-GREEN-BLACK</t>
  </si>
  <si>
    <t>10/2 SOLID ALUM GREEN WHITE-BLACK-GREEN GROUND ALUM</t>
  </si>
  <si>
    <t>4X250 10/2 SOLID ALUM BLK-WHT-GROUND ALUM</t>
  </si>
  <si>
    <t>14/3 ALUM SOLID BLACK-RED-WHITE GROUND ALUM</t>
  </si>
  <si>
    <t>6X1000 MC STEEL AC STEEL HCF SOLID 12/4 YELOW-BROWN-ORANGE-GRAY GROUND GREEN</t>
  </si>
  <si>
    <t>3X1000 MC STEEL AC STEEL HCF SOLID 12/2 BROWN-GRAY GROUND GREEN</t>
  </si>
  <si>
    <t>3X1000 PVC JACKETED 12-3 BLACK-WHITE-RED-GREEN</t>
  </si>
  <si>
    <t>2X1000 ALUM SOLID 12/2 BRN-GRA-GRN GROUND ALUM</t>
  </si>
  <si>
    <t>4X250 STEEL 12/4 HCF AC SOLID YELLOW-GRAY-BROWN-ORANGE GROUND-GREEN</t>
  </si>
  <si>
    <t>3X250 10/4 ALUM SOLID BRN-ORANGE-GRAY-YELLOW-GROUND ALUM</t>
  </si>
  <si>
    <t>6X250 PARKING DECK LOT CABLE 23D-42-01 12/2-12-2-12/1 MC STR JKT WHITE</t>
  </si>
  <si>
    <t>Ali Roman</t>
  </si>
  <si>
    <t>702723292237</t>
  </si>
  <si>
    <t>aliroman5221@gmail.com</t>
  </si>
  <si>
    <t>Michael Harrell</t>
  </si>
  <si>
    <t>702723292097</t>
  </si>
  <si>
    <t>Melissa Mclean</t>
  </si>
  <si>
    <t>14 AWG Lead Wire Type SF-2 SEW-2 UL 3071 - Tin Plated Copper - Silicone Rubber 200C 600V Black</t>
  </si>
  <si>
    <t xml:space="preserve">118391272767691 </t>
  </si>
  <si>
    <t>Wesley A Nord</t>
  </si>
  <si>
    <t>702723292123</t>
  </si>
  <si>
    <t>Michael Tinnon</t>
  </si>
  <si>
    <t>1/0 Welding Cable Yellow</t>
  </si>
  <si>
    <t>639794970375</t>
  </si>
  <si>
    <t>Lightning Star Inc.</t>
  </si>
  <si>
    <t>16 AWG 2 Conductor Audio 65 Strand CL3R PVC Jacket Black REELEX II Cable</t>
  </si>
  <si>
    <t>711594075675</t>
  </si>
  <si>
    <t xml:space="preserve">MMC Homecare </t>
  </si>
  <si>
    <t>702723292189</t>
  </si>
  <si>
    <t>Tobin Allen</t>
  </si>
  <si>
    <t>399050298-3</t>
  </si>
  <si>
    <t>Gary Gartrell</t>
  </si>
  <si>
    <t>702723292204</t>
  </si>
  <si>
    <t>James Jones</t>
  </si>
  <si>
    <t>702723292156</t>
  </si>
  <si>
    <t>Wyatt Allison</t>
  </si>
  <si>
    <t>702723292190</t>
  </si>
  <si>
    <t>Michael D Ehl</t>
  </si>
  <si>
    <t>702723292101</t>
  </si>
  <si>
    <t>Daniel Mishler</t>
  </si>
  <si>
    <t>675157531959</t>
  </si>
  <si>
    <t>Jason Gaede</t>
  </si>
  <si>
    <t>702723292178</t>
  </si>
  <si>
    <t>Louis Ward</t>
  </si>
  <si>
    <t>630512245751</t>
  </si>
  <si>
    <t>Corwyn Pendley</t>
  </si>
  <si>
    <t>639564016710</t>
  </si>
  <si>
    <t>675157531926</t>
  </si>
  <si>
    <t>nsire@msn.com</t>
  </si>
  <si>
    <t>16/16 SOOW</t>
  </si>
  <si>
    <t>4107990051</t>
  </si>
  <si>
    <t>3005514A</t>
  </si>
  <si>
    <t>0080288974</t>
  </si>
  <si>
    <t xml:space="preserve">12/20 SOOW </t>
  </si>
  <si>
    <t>Javed Shakoor</t>
  </si>
  <si>
    <t>702723292226</t>
  </si>
  <si>
    <t xml:space="preserve">Justin </t>
  </si>
  <si>
    <t>642286529588</t>
  </si>
  <si>
    <t>David Beer</t>
  </si>
  <si>
    <t>702723292292</t>
  </si>
  <si>
    <t>beerdave@me.com</t>
  </si>
  <si>
    <t>371786702-0</t>
  </si>
  <si>
    <t>22/8 Conductor Broadcast Security Shielded CL3R 60C</t>
  </si>
  <si>
    <t>614697969812, 614697969823</t>
  </si>
  <si>
    <t>3005520A</t>
  </si>
  <si>
    <t>Harold Cook</t>
  </si>
  <si>
    <t>702723292215</t>
  </si>
  <si>
    <t>Michele Vaccaro</t>
  </si>
  <si>
    <t>705963569670</t>
  </si>
  <si>
    <t>James Wilby</t>
  </si>
  <si>
    <t>68564761-2</t>
  </si>
  <si>
    <t>jimwilby@kosmachine.com</t>
  </si>
  <si>
    <t>8/3 SOOW 3x1000</t>
  </si>
  <si>
    <t>377537329</t>
  </si>
  <si>
    <t>Ronald Durham</t>
  </si>
  <si>
    <t>702723292260</t>
  </si>
  <si>
    <t>mtig2@bellsouth.net</t>
  </si>
  <si>
    <t>Deanna Hodgins</t>
  </si>
  <si>
    <t>10/3 SEOOW YELLOW</t>
  </si>
  <si>
    <t>655044327246</t>
  </si>
  <si>
    <t>deannah@clutchtrucking.com</t>
  </si>
  <si>
    <t>Heath Sisk</t>
  </si>
  <si>
    <t>1Z 256 189 03 6778 9962</t>
  </si>
  <si>
    <t>Alex M Gerhardson</t>
  </si>
  <si>
    <t>702723292270</t>
  </si>
  <si>
    <t>Jerry Ward</t>
  </si>
  <si>
    <t>702723292248</t>
  </si>
  <si>
    <t>Mike Q Heck</t>
  </si>
  <si>
    <t>702723292281</t>
  </si>
  <si>
    <t>18/8 Thermostat Cable 4x250</t>
  </si>
  <si>
    <t>Tecnologia Electrica Industrial</t>
  </si>
  <si>
    <t>20 AWG 4 PAIRS PLTC OS INSTRUMENTATION CABLE 300V 105C SHIELDED</t>
  </si>
  <si>
    <t xml:space="preserve">	936075530</t>
  </si>
  <si>
    <t>Dennis P McCracken</t>
  </si>
  <si>
    <t>702723292318</t>
  </si>
  <si>
    <t>Ronald Saxton</t>
  </si>
  <si>
    <t>702723292351</t>
  </si>
  <si>
    <t>Mario Rios</t>
  </si>
  <si>
    <t>702723292259</t>
  </si>
  <si>
    <t>Chris Borunda</t>
  </si>
  <si>
    <t>639794970412</t>
  </si>
  <si>
    <t>Daniel Ray Montgomery</t>
  </si>
  <si>
    <t>639564016721</t>
  </si>
  <si>
    <t>Marvin Braun</t>
  </si>
  <si>
    <t>630512245762</t>
  </si>
  <si>
    <t xml:space="preserve">Rod </t>
  </si>
  <si>
    <t>10/4 SOOW 4x125</t>
  </si>
  <si>
    <t>702723292443, 702723292454, 702723292465, 702723292476</t>
  </si>
  <si>
    <t>Randy Buckner</t>
  </si>
  <si>
    <t>642286529577</t>
  </si>
  <si>
    <t>Dieter Jung</t>
  </si>
  <si>
    <t>702723292362</t>
  </si>
  <si>
    <t>702723292307</t>
  </si>
  <si>
    <t>DAYTON FREIGHT</t>
  </si>
  <si>
    <t>00361354948</t>
  </si>
  <si>
    <t>billed out on 11.17.2016</t>
  </si>
  <si>
    <t>Robert Oravec</t>
  </si>
  <si>
    <t>702723292340</t>
  </si>
  <si>
    <t>threepower@msn.com</t>
  </si>
  <si>
    <t>Patrick Berlinquet</t>
  </si>
  <si>
    <t>200264901</t>
  </si>
  <si>
    <t>pberlinquet@itftechnologies.com</t>
  </si>
  <si>
    <t>Binyomin Barkin</t>
  </si>
  <si>
    <t>5014108282</t>
  </si>
  <si>
    <t>bbarkin@powerhousenj.com</t>
  </si>
  <si>
    <t xml:space="preserve">	616712878203</t>
  </si>
  <si>
    <t>3005547A</t>
  </si>
  <si>
    <t>Maria Hernandez</t>
  </si>
  <si>
    <t>702723292329</t>
  </si>
  <si>
    <t>Astute Electronics</t>
  </si>
  <si>
    <t>LSDSGU-14 White Jacket 1x3100 1x198</t>
  </si>
  <si>
    <t>3953708290</t>
  </si>
  <si>
    <t>will be wired on monday</t>
  </si>
  <si>
    <t>jp.mcaloose@astute-inc.com</t>
  </si>
  <si>
    <t>3005549A</t>
  </si>
  <si>
    <t>702723292330</t>
  </si>
  <si>
    <t>712301698779</t>
  </si>
  <si>
    <t>14/2 VNTC</t>
  </si>
  <si>
    <t>712301698780</t>
  </si>
  <si>
    <t>18 TFFN ORANGE 2x500</t>
  </si>
  <si>
    <t>707510674728</t>
  </si>
  <si>
    <t>3005551A</t>
  </si>
  <si>
    <t>3/0 Welding Cable Green</t>
  </si>
  <si>
    <t>2538593116</t>
  </si>
  <si>
    <t>cynthia.kitchen@neo-rig.com</t>
  </si>
  <si>
    <t>Russell Shaw</t>
  </si>
  <si>
    <t xml:space="preserve">374165967
</t>
  </si>
  <si>
    <t>russell.shaw32@gmail.com</t>
  </si>
  <si>
    <t>Zach Chatfield</t>
  </si>
  <si>
    <t>694090251</t>
  </si>
  <si>
    <t>David Pankratz</t>
  </si>
  <si>
    <t>680483361160</t>
  </si>
  <si>
    <t>John Gearhart</t>
  </si>
  <si>
    <t>680483361148</t>
  </si>
  <si>
    <t>Edward Zadroga</t>
  </si>
  <si>
    <t>680483361126</t>
  </si>
  <si>
    <t>Steve Swenson</t>
  </si>
  <si>
    <t>702723292395</t>
  </si>
  <si>
    <t>Matthew Fitzgerald</t>
  </si>
  <si>
    <t>680483361159</t>
  </si>
  <si>
    <t>Tucker Burson</t>
  </si>
  <si>
    <t>680483361170</t>
  </si>
  <si>
    <t>702723292487</t>
  </si>
  <si>
    <t>Bret Wilson</t>
  </si>
  <si>
    <t>702723292421</t>
  </si>
  <si>
    <t>Abbott Enterprises</t>
  </si>
  <si>
    <t>702723292384</t>
  </si>
  <si>
    <t>R. Alan Gillogly</t>
  </si>
  <si>
    <t>680483361181</t>
  </si>
  <si>
    <t>Jim York</t>
  </si>
  <si>
    <t>680483361137</t>
  </si>
  <si>
    <t>Jeremy Dutton</t>
  </si>
  <si>
    <t>702723292410</t>
  </si>
  <si>
    <t>Robert Jackson</t>
  </si>
  <si>
    <t>702723292400</t>
  </si>
  <si>
    <t>Joe Riegert</t>
  </si>
  <si>
    <t>675157531960</t>
  </si>
  <si>
    <t>Lewis Reed</t>
  </si>
  <si>
    <t>675157531878</t>
  </si>
  <si>
    <t>Henry Gabbidon</t>
  </si>
  <si>
    <t>639794970467</t>
  </si>
  <si>
    <t>Stephen Thein</t>
  </si>
  <si>
    <t>702723292568</t>
  </si>
  <si>
    <t>Debbie Lownsdale</t>
  </si>
  <si>
    <t>639564016743</t>
  </si>
  <si>
    <t>Aimee Rohrer</t>
  </si>
  <si>
    <t>630512245795</t>
  </si>
  <si>
    <t>642286529603</t>
  </si>
  <si>
    <t>Kevin Mabon</t>
  </si>
  <si>
    <t>702723292432</t>
  </si>
  <si>
    <t>Sammy McGee</t>
  </si>
  <si>
    <t>702723292752</t>
  </si>
  <si>
    <t>Denise Psoinos</t>
  </si>
  <si>
    <t>639794970434</t>
  </si>
  <si>
    <t>Brian McManus</t>
  </si>
  <si>
    <t>1075A 22/20 AWG 2P Individual &amp; Overall Shielded Instrumentation/Communication Tray Cable UL PLTC/ITC - PVC/PVC -30C to 75C - Black Belden</t>
  </si>
  <si>
    <t>664439934928</t>
  </si>
  <si>
    <t>Jaimie Lynne Angeles</t>
  </si>
  <si>
    <t>639564016754</t>
  </si>
  <si>
    <t>Joe Macerone</t>
  </si>
  <si>
    <t>702723292719</t>
  </si>
  <si>
    <t>David Herron</t>
  </si>
  <si>
    <t>18 AWG 4C Stranded Overall Shielded Communications &amp; Control Cable CL2- Chrome</t>
  </si>
  <si>
    <t>Perry Chezem</t>
  </si>
  <si>
    <t>702723292730</t>
  </si>
  <si>
    <t>Zachary T Baer</t>
  </si>
  <si>
    <t>702723292708</t>
  </si>
  <si>
    <t>Tamara K Behrens</t>
  </si>
  <si>
    <t>702723292720</t>
  </si>
  <si>
    <t>Paobine</t>
  </si>
  <si>
    <t>630512245810</t>
  </si>
  <si>
    <t>Vadim Ponomarev</t>
  </si>
  <si>
    <t>702723292660</t>
  </si>
  <si>
    <t>David Matisoff</t>
  </si>
  <si>
    <t>642286529614</t>
  </si>
  <si>
    <t>Charles Garza</t>
  </si>
  <si>
    <t>639794970456</t>
  </si>
  <si>
    <t>Mikhail Tavarez</t>
  </si>
  <si>
    <t>8760 18 AWG 1P Stranded Overall Shielded Communications &amp; Control Cable CM - Chrome Belden</t>
  </si>
  <si>
    <t>705963569636</t>
  </si>
  <si>
    <t>Kristopher Kessel</t>
  </si>
  <si>
    <t>6 AWG 1C Overall Tape Shield EPR/PVC MV-105-133% 5KV/8KV Black</t>
  </si>
  <si>
    <t>644640012867</t>
  </si>
  <si>
    <t>Steve Kim</t>
  </si>
  <si>
    <t xml:space="preserve">	3065642753</t>
  </si>
  <si>
    <t>10/3 MC W/GRND</t>
  </si>
  <si>
    <t>3954125980</t>
  </si>
  <si>
    <t>14/3 MC W/GRND</t>
  </si>
  <si>
    <t>Bill Rasmussen</t>
  </si>
  <si>
    <t>702723292650</t>
  </si>
  <si>
    <t>no email address</t>
  </si>
  <si>
    <t>Marlin Ness</t>
  </si>
  <si>
    <t>88669418-1</t>
  </si>
  <si>
    <t>marlinness@hotmail.com</t>
  </si>
  <si>
    <t>Eric Bogard</t>
  </si>
  <si>
    <t>16/1 Triad 600V CCW Cable</t>
  </si>
  <si>
    <t>ebogard@phoenixservicesafety.com</t>
  </si>
  <si>
    <t>3720050460</t>
  </si>
  <si>
    <t>393371931-1</t>
  </si>
  <si>
    <t>C-1 COPPER 7/16 DIAMETER COPPER CABLE</t>
  </si>
  <si>
    <t>Lightning Rod Parts</t>
  </si>
  <si>
    <t>1Z9R84V40356555825</t>
  </si>
  <si>
    <t>3005597A</t>
  </si>
  <si>
    <t>6/4 STOW YELLOW</t>
  </si>
  <si>
    <t>CadreWire</t>
  </si>
  <si>
    <t xml:space="preserve">	409577566</t>
  </si>
  <si>
    <t>702723292579</t>
  </si>
  <si>
    <t>Ivan Brovont</t>
  </si>
  <si>
    <t>675157532197</t>
  </si>
  <si>
    <t>Randy Novotny</t>
  </si>
  <si>
    <t>702723292524</t>
  </si>
  <si>
    <t>Michael Ruiz</t>
  </si>
  <si>
    <t>630512245800</t>
  </si>
  <si>
    <t>Nick Settineri</t>
  </si>
  <si>
    <t>702723292546</t>
  </si>
  <si>
    <t>Leonard Klein</t>
  </si>
  <si>
    <t>702723292535</t>
  </si>
  <si>
    <t>702723292513</t>
  </si>
  <si>
    <t>Pat Baca</t>
  </si>
  <si>
    <t>675157532245</t>
  </si>
  <si>
    <t>Mitchell Gomillion</t>
  </si>
  <si>
    <t>702723292580</t>
  </si>
  <si>
    <t>Josh Potting</t>
  </si>
  <si>
    <t>702723292557</t>
  </si>
  <si>
    <t>642286529625</t>
  </si>
  <si>
    <t>Ty Bennett</t>
  </si>
  <si>
    <t>702723292590</t>
  </si>
  <si>
    <t>Greg Webb</t>
  </si>
  <si>
    <t>702723292616</t>
  </si>
  <si>
    <t>Charlotta N Clark</t>
  </si>
  <si>
    <t>702723292627</t>
  </si>
  <si>
    <t>Mark Larson</t>
  </si>
  <si>
    <t>702723292741</t>
  </si>
  <si>
    <t>Stephen A Nelson</t>
  </si>
  <si>
    <t>702723292605</t>
  </si>
  <si>
    <t>JURN Supply and Services</t>
  </si>
  <si>
    <t>Amercable Standard VFD 14 AWG Unarmored Power Cable Gexol Insulated Three Conductor 2KV Rated 110C 37-102-508</t>
  </si>
  <si>
    <t>1ZX8741X0399534087</t>
  </si>
  <si>
    <t>jurn_supplyservices@hotmail.com</t>
  </si>
  <si>
    <t>Advanced West</t>
  </si>
  <si>
    <t>10 THHN GREEN STRANDED</t>
  </si>
  <si>
    <t>706034076206, 706034076217, 706034076228</t>
  </si>
  <si>
    <t>10 THHN BLACK STRANDED</t>
  </si>
  <si>
    <t>12 THHN BLACK STRANDED</t>
  </si>
  <si>
    <t>16 TFFN RED STRANDED 2X2500</t>
  </si>
  <si>
    <t>702723292774, 702723292785, 702723292796, 702723292800</t>
  </si>
  <si>
    <t>3005616A</t>
  </si>
  <si>
    <t>16/3 SJOOW 2X250</t>
  </si>
  <si>
    <t>14/3 SJTOW GREY</t>
  </si>
  <si>
    <t>706034076239</t>
  </si>
  <si>
    <t>10 MTW 105 STRANDS RED</t>
  </si>
  <si>
    <t>676563249771</t>
  </si>
  <si>
    <t>Arthur Fuege</t>
  </si>
  <si>
    <t>88669416-5</t>
  </si>
  <si>
    <t>afuege@yahoo.com</t>
  </si>
  <si>
    <t>6/3 Aluminum Conductor MC W/GRND</t>
  </si>
  <si>
    <t>3972171766</t>
  </si>
  <si>
    <t>10/3 SOOW YELLOW 1X1000 2X500 16X250</t>
  </si>
  <si>
    <t>we will do the cuts</t>
  </si>
  <si>
    <t>Shipping 12.23</t>
  </si>
  <si>
    <t>Ryan Chreder</t>
  </si>
  <si>
    <t>702723292671</t>
  </si>
  <si>
    <t>702723292682</t>
  </si>
  <si>
    <t>Laurie Dye</t>
  </si>
  <si>
    <t>702723292649</t>
  </si>
  <si>
    <t>Jeremy Buck</t>
  </si>
  <si>
    <t>702723292638</t>
  </si>
  <si>
    <t>Bryson Pickens</t>
  </si>
  <si>
    <t>Irvin</t>
  </si>
  <si>
    <t>3542075703</t>
  </si>
  <si>
    <t>Jose Lopez</t>
  </si>
  <si>
    <t>675157532040</t>
  </si>
  <si>
    <t>702723292693</t>
  </si>
  <si>
    <t>Henry Esh</t>
  </si>
  <si>
    <t>4/0-4 MC CABLE W/GRND</t>
  </si>
  <si>
    <t>374289346</t>
  </si>
  <si>
    <t>drumorerepair@sisna.com</t>
  </si>
  <si>
    <t>6/4 MC CABLE W/GRND</t>
  </si>
  <si>
    <t>Champion Wire</t>
  </si>
  <si>
    <t>616712878317</t>
  </si>
  <si>
    <t>billed out on 11.30.2016</t>
  </si>
  <si>
    <t>371320100-4</t>
  </si>
  <si>
    <t>3005628A</t>
  </si>
  <si>
    <t>Joe Busch</t>
  </si>
  <si>
    <t>680483361207</t>
  </si>
  <si>
    <t>Harry Ferguson</t>
  </si>
  <si>
    <t>675157532201</t>
  </si>
  <si>
    <t>David L. Trujilo</t>
  </si>
  <si>
    <t>642286529636</t>
  </si>
  <si>
    <t>Robert Weeks</t>
  </si>
  <si>
    <t>680483361230</t>
  </si>
  <si>
    <t>680483361218</t>
  </si>
  <si>
    <t>Richard Van Sickle</t>
  </si>
  <si>
    <t>702723292811</t>
  </si>
  <si>
    <t>Kyle Broughton</t>
  </si>
  <si>
    <t>3/0 THHN STRANDED COPPER</t>
  </si>
  <si>
    <t>3866248061</t>
  </si>
  <si>
    <t>Walter Jensen</t>
  </si>
  <si>
    <t>680483361240</t>
  </si>
  <si>
    <t xml:space="preserve">	3947846792</t>
  </si>
  <si>
    <t>jay.mccandless@unnpp.gov</t>
  </si>
  <si>
    <t>Paul Castellano</t>
  </si>
  <si>
    <t>680483361192</t>
  </si>
  <si>
    <t>esem@frontiernet.net</t>
  </si>
  <si>
    <t>Marshall Kern</t>
  </si>
  <si>
    <t>655044328003</t>
  </si>
  <si>
    <t>kernmc@yahoo.com</t>
  </si>
  <si>
    <t>STEVENJ@HDINDSERVICES.COM</t>
  </si>
  <si>
    <t>Thomas P Ohlin</t>
  </si>
  <si>
    <t> 	1Z19X16R0349962198</t>
  </si>
  <si>
    <t>mike@mtka-bec.com</t>
  </si>
  <si>
    <t>John Cron</t>
  </si>
  <si>
    <t>6/5 CU Type W 2kv Black</t>
  </si>
  <si>
    <t>john.cron@deltafaucet.com</t>
  </si>
  <si>
    <t>Peter Franco</t>
  </si>
  <si>
    <t>3x400 300MCM XLP USE RHH RHW-2 COPPER PARALLEL ON ONE REEL 1 RED 1 WHITE &amp; 1 BLACK JACKET</t>
  </si>
  <si>
    <t>5464145956</t>
  </si>
  <si>
    <t>$75 Parallel</t>
  </si>
  <si>
    <t>euro468@aol.com</t>
  </si>
  <si>
    <t>David Sweat</t>
  </si>
  <si>
    <t>777746960619</t>
  </si>
  <si>
    <t>Matthew Daniels</t>
  </si>
  <si>
    <t>702723292822</t>
  </si>
  <si>
    <t>Tony Austin</t>
  </si>
  <si>
    <t>680483361229</t>
  </si>
  <si>
    <t>Steven Leach</t>
  </si>
  <si>
    <t>680483361251</t>
  </si>
  <si>
    <t>stevea895@aol.com</t>
  </si>
  <si>
    <t>Ladonna Hale</t>
  </si>
  <si>
    <t>Erskine 2X4000 1X3000</t>
  </si>
  <si>
    <t>101418730606</t>
  </si>
  <si>
    <t>haleyes60@yahoo.com</t>
  </si>
  <si>
    <t>Rennovia Inc.</t>
  </si>
  <si>
    <t>20 Gauge 4 Pairs Thermocouple Type KX SPOS</t>
  </si>
  <si>
    <t>569657075673</t>
  </si>
  <si>
    <t>ldang@rennovia.com</t>
  </si>
  <si>
    <t>20 Gauge 8 Pairs Thermocouple Type KX SPOS</t>
  </si>
  <si>
    <t>1Z7763310372639737</t>
  </si>
  <si>
    <t>1Z7763310371636545</t>
  </si>
  <si>
    <t>James Robles</t>
  </si>
  <si>
    <t>3666131781</t>
  </si>
  <si>
    <t>Lindsay Funk</t>
  </si>
  <si>
    <t>702723292925</t>
  </si>
  <si>
    <t>Dave Herrs</t>
  </si>
  <si>
    <t>680483361284</t>
  </si>
  <si>
    <t>702723292888</t>
  </si>
  <si>
    <t>Stefanie Caceres</t>
  </si>
  <si>
    <t>702723292903</t>
  </si>
  <si>
    <t>702723292866</t>
  </si>
  <si>
    <t>Bonnie L Middlebrook</t>
  </si>
  <si>
    <t>702723292855</t>
  </si>
  <si>
    <t>Glen Gilmore</t>
  </si>
  <si>
    <t xml:space="preserve">Erskine </t>
  </si>
  <si>
    <t>702723292936</t>
  </si>
  <si>
    <t>702723292877</t>
  </si>
  <si>
    <t>Greg Lindvig</t>
  </si>
  <si>
    <t>702723292958</t>
  </si>
  <si>
    <t>88669412-4</t>
  </si>
  <si>
    <t>billed out on 11.18.2016</t>
  </si>
  <si>
    <t>Sven Ostrowski</t>
  </si>
  <si>
    <t>33110512</t>
  </si>
  <si>
    <t>svenoman@yahoo.com</t>
  </si>
  <si>
    <t>John Schreiner</t>
  </si>
  <si>
    <t>702723292947</t>
  </si>
  <si>
    <t>Joe Longoria</t>
  </si>
  <si>
    <t>350-350-350-2 Alum Type MC Cable Interlocked Armor XLP PVC JACKET</t>
  </si>
  <si>
    <t>$40 cut charges</t>
  </si>
  <si>
    <t>jlongoria@casarica.com</t>
  </si>
  <si>
    <t>Jeff Roberts</t>
  </si>
  <si>
    <t>711201626862</t>
  </si>
  <si>
    <t>702723292899</t>
  </si>
  <si>
    <t>Emil Urbanek</t>
  </si>
  <si>
    <t>702723293016</t>
  </si>
  <si>
    <t>Jimmy Cook</t>
  </si>
  <si>
    <t>702723292970</t>
  </si>
  <si>
    <t>702723292980</t>
  </si>
  <si>
    <t>Naixing Wu</t>
  </si>
  <si>
    <t>702723293005</t>
  </si>
  <si>
    <t>Electric Motor Werks Inc.</t>
  </si>
  <si>
    <t>680483361273</t>
  </si>
  <si>
    <t>Ronald Miller</t>
  </si>
  <si>
    <t>16-2 Lamp Cord UL Type SPT-2 300V PVC Insulation 4x250</t>
  </si>
  <si>
    <t xml:space="preserve">	661091352454</t>
  </si>
  <si>
    <t>231611213</t>
  </si>
  <si>
    <t>10 AWG TGGT WIRE HIGH TEMPERATURE WIRE 250C UL 5256/5196</t>
  </si>
  <si>
    <t>1Z1698230377329556</t>
  </si>
  <si>
    <t>Peter LaPlante</t>
  </si>
  <si>
    <t>680483361262</t>
  </si>
  <si>
    <t>231611214</t>
  </si>
  <si>
    <t>Randy Schantell</t>
  </si>
  <si>
    <t>#10 AWG Solar Photovoltaic 600V UL 4703 (PV Wire) Copper Conductor Cable</t>
  </si>
  <si>
    <t>700429853689</t>
  </si>
  <si>
    <t>David Perez</t>
  </si>
  <si>
    <t>702723292969</t>
  </si>
  <si>
    <t>George Varghese</t>
  </si>
  <si>
    <t>14-2 Security Cable Shielded CL3R PVC Insulated UL Type Wire</t>
  </si>
  <si>
    <t>616712878442</t>
  </si>
  <si>
    <t>Bill Leonard</t>
  </si>
  <si>
    <t>702723293038</t>
  </si>
  <si>
    <t>Jennifer Lee</t>
  </si>
  <si>
    <t>702723293027</t>
  </si>
  <si>
    <t>Brian Hill</t>
  </si>
  <si>
    <t>574454203906</t>
  </si>
  <si>
    <t>Steven Wentling</t>
  </si>
  <si>
    <t>702723293050</t>
  </si>
  <si>
    <t>T Mathis</t>
  </si>
  <si>
    <t>18 AWG 5 Conductor 18/5 Overall Shielded Control Tray Cable UL Type TC-ER 600V E2 Black</t>
  </si>
  <si>
    <t>711201627012</t>
  </si>
  <si>
    <t>700044014005</t>
  </si>
  <si>
    <t>700044014016</t>
  </si>
  <si>
    <t>David Caskey</t>
  </si>
  <si>
    <t>543369483303</t>
  </si>
  <si>
    <t>14/3 Flat Pump W/GRND</t>
  </si>
  <si>
    <t>Allwire</t>
  </si>
  <si>
    <t>1ZA3456R0399211060</t>
  </si>
  <si>
    <t>Borealis Industrial Supply</t>
  </si>
  <si>
    <t>18/3 STJ</t>
  </si>
  <si>
    <t>AWCwire</t>
  </si>
  <si>
    <t>stacey.woodward@borealisindustrial.com</t>
  </si>
  <si>
    <t>Justin Wilson</t>
  </si>
  <si>
    <t>CUSTOM</t>
  </si>
  <si>
    <t>CTBV14493881</t>
  </si>
  <si>
    <t>lonetreelake@gmail.com</t>
  </si>
  <si>
    <t>Joseph P Maloney</t>
  </si>
  <si>
    <t>2/0 XLP USE-2 RHH RHW-2 ALUMINUM 2x600</t>
  </si>
  <si>
    <t>685659861</t>
  </si>
  <si>
    <t>jpmaloney1@verizon.net</t>
  </si>
  <si>
    <t>Thomas DeCaro</t>
  </si>
  <si>
    <t xml:space="preserve">	616712878486</t>
  </si>
  <si>
    <t>decaro7_3@hotmail.com</t>
  </si>
  <si>
    <t>Jim Nicodemus</t>
  </si>
  <si>
    <t>Andre Williams</t>
  </si>
  <si>
    <t>639794970515</t>
  </si>
  <si>
    <t>665645048217</t>
  </si>
  <si>
    <t>Harvey Schuyler</t>
  </si>
  <si>
    <t>665645048180</t>
  </si>
  <si>
    <t>Travis Pulley</t>
  </si>
  <si>
    <t>702723293060</t>
  </si>
  <si>
    <t>Thomas DeLong</t>
  </si>
  <si>
    <t>12/3 SJOOW 2X250</t>
  </si>
  <si>
    <t>665645048320</t>
  </si>
  <si>
    <t>665645048206</t>
  </si>
  <si>
    <t>10/4 SJOOW 2x100</t>
  </si>
  <si>
    <t>665645048294,  665645048309 </t>
  </si>
  <si>
    <t>James Altwies</t>
  </si>
  <si>
    <t>665645048170</t>
  </si>
  <si>
    <t>Sarzamin Hawa</t>
  </si>
  <si>
    <t>14 AWG TGGT Wire HIGH TEMPERATURE WIRE 250C UL 5256/5196</t>
  </si>
  <si>
    <t>705963569794</t>
  </si>
  <si>
    <t>William Burns</t>
  </si>
  <si>
    <t>10/4 SJOOW </t>
  </si>
  <si>
    <t>665645048283</t>
  </si>
  <si>
    <t>Gil McElroy</t>
  </si>
  <si>
    <t xml:space="preserve">	616712878497</t>
  </si>
  <si>
    <t>Robert Blanton</t>
  </si>
  <si>
    <t>702723293071</t>
  </si>
  <si>
    <t>Douglas H Spangler</t>
  </si>
  <si>
    <t>702723293108</t>
  </si>
  <si>
    <t>Grant Irving</t>
  </si>
  <si>
    <t>702723293093</t>
  </si>
  <si>
    <t>Mandy van Vliet</t>
  </si>
  <si>
    <t>665645048191</t>
  </si>
  <si>
    <t>Greg Doster</t>
  </si>
  <si>
    <t>665645048250</t>
  </si>
  <si>
    <t>William E Longe III</t>
  </si>
  <si>
    <t>665645048261</t>
  </si>
  <si>
    <t>Michael Gentile</t>
  </si>
  <si>
    <t>665645048310</t>
  </si>
  <si>
    <t>Jarin Smoker</t>
  </si>
  <si>
    <t>665645048239</t>
  </si>
  <si>
    <t>Leah Blackwell</t>
  </si>
  <si>
    <t>702723293082</t>
  </si>
  <si>
    <t>Paul Swanton</t>
  </si>
  <si>
    <t>665645048272</t>
  </si>
  <si>
    <t>Penny Regier</t>
  </si>
  <si>
    <t>665645048228</t>
  </si>
  <si>
    <t>Will Weaver</t>
  </si>
  <si>
    <t>665645048158</t>
  </si>
  <si>
    <t>Nick Rossini</t>
  </si>
  <si>
    <t>16 AWG 4C FIRE ALARM CABLE FPLR RISER PVC CABLE NON SHIELDED + RED JACKET</t>
  </si>
  <si>
    <t>Audrey Edmister</t>
  </si>
  <si>
    <t>10/3 SJOOW 2X250</t>
  </si>
  <si>
    <t>88778522</t>
  </si>
  <si>
    <t>10/4 SJOOW 3X250</t>
  </si>
  <si>
    <t>12/3 SJOOW 5X250</t>
  </si>
  <si>
    <t>1Z9X760X0363448773</t>
  </si>
  <si>
    <t>Theresa Stoll</t>
  </si>
  <si>
    <t>646MCM 600VV/2KV DLO CABLE 7X385</t>
  </si>
  <si>
    <t>646MCM 600VV/2KV DLO CABLE CLNS 750-12 LUGS ASSEMBLED ON BOTH ENDS OF REEL 7X385</t>
  </si>
  <si>
    <t>Samuel Garcia</t>
  </si>
  <si>
    <t>101427180602</t>
  </si>
  <si>
    <t>Jeff Walker</t>
  </si>
  <si>
    <t>Frederick Pasquale</t>
  </si>
  <si>
    <t>Vlad Turcan</t>
  </si>
  <si>
    <t>David Schulte</t>
  </si>
  <si>
    <t>John Cotten</t>
  </si>
  <si>
    <t>#10 AWG SOLAR PHOTOVOLTAIC CABLE 2kv UL 4703 (PV WIRE) COPPER CONDUCTOR</t>
  </si>
  <si>
    <t>704875895990</t>
  </si>
  <si>
    <t>Sharron Tullis</t>
  </si>
  <si>
    <t>639564016846</t>
  </si>
  <si>
    <t>Robin Pearson</t>
  </si>
  <si>
    <t>Eric Brickerstaff</t>
  </si>
  <si>
    <t>Joseph Keen</t>
  </si>
  <si>
    <t>675157532495</t>
  </si>
  <si>
    <t>Rory Jeppson</t>
  </si>
  <si>
    <t>Bryan Gajewski</t>
  </si>
  <si>
    <t>Delgado</t>
  </si>
  <si>
    <t xml:space="preserve">	614697970356</t>
  </si>
  <si>
    <t>dogs6@verizon.net</t>
  </si>
  <si>
    <t>Brian Danzl</t>
  </si>
  <si>
    <t>675157532484</t>
  </si>
  <si>
    <t>712301699411</t>
  </si>
  <si>
    <t>Cheryl Janzen</t>
  </si>
  <si>
    <t>General Cable P/N 12441.7108 Wire 8 AWG 2000V PV Black</t>
  </si>
  <si>
    <t>865717181618</t>
  </si>
  <si>
    <t>cjanzen@tpil.com</t>
  </si>
  <si>
    <t>Craig Midtgard</t>
  </si>
  <si>
    <t>675157532500</t>
  </si>
  <si>
    <t>James Ward</t>
  </si>
  <si>
    <t>675157532473</t>
  </si>
  <si>
    <t>Raymond Lechleider</t>
  </si>
  <si>
    <t>16/7 VNTC Shielded</t>
  </si>
  <si>
    <t>680993425857</t>
  </si>
  <si>
    <t>Kevin Lesh</t>
  </si>
  <si>
    <t>702723293196</t>
  </si>
  <si>
    <t>Robert Leary</t>
  </si>
  <si>
    <t>24-4 Cat 5E 350 CM Telephone Cable Bare Copper Wire 4x1000</t>
  </si>
  <si>
    <t>777812469205</t>
  </si>
  <si>
    <t>Rob Dudanowicz</t>
  </si>
  <si>
    <t>639564016890</t>
  </si>
  <si>
    <t>Aaron Martinez</t>
  </si>
  <si>
    <t>665645048342</t>
  </si>
  <si>
    <t>Matt Brinker</t>
  </si>
  <si>
    <t>665645048353</t>
  </si>
  <si>
    <t>Devin R. Noel</t>
  </si>
  <si>
    <t>702723293200</t>
  </si>
  <si>
    <t>Conch 2X1000</t>
  </si>
  <si>
    <t xml:space="preserve">	707474727</t>
  </si>
  <si>
    <t>12/4 MC + GRND 2X250</t>
  </si>
  <si>
    <t>616712878578, 616712878589</t>
  </si>
  <si>
    <t>BILLED OUT ON 11.30.2016</t>
  </si>
  <si>
    <t>Mathew Stang</t>
  </si>
  <si>
    <t>665645048331</t>
  </si>
  <si>
    <t>msrugs13@gmail.com</t>
  </si>
  <si>
    <t>Contro</t>
  </si>
  <si>
    <t>8AWG Airport Lighting Cable - L842C 5KV Non-UL</t>
  </si>
  <si>
    <t xml:space="preserve">	382404548</t>
  </si>
  <si>
    <t>Nick Lehman</t>
  </si>
  <si>
    <t>702723293222</t>
  </si>
  <si>
    <t>Scott Behem</t>
  </si>
  <si>
    <t>665645048526</t>
  </si>
  <si>
    <t>Moses Kingston</t>
  </si>
  <si>
    <t>665645048375</t>
  </si>
  <si>
    <t>Dan Garcia</t>
  </si>
  <si>
    <t>665645048445</t>
  </si>
  <si>
    <t>Cynthia Larson</t>
  </si>
  <si>
    <t>665645048401</t>
  </si>
  <si>
    <t>Michelle Nutt</t>
  </si>
  <si>
    <t>675157532602</t>
  </si>
  <si>
    <t>Scott Hoover</t>
  </si>
  <si>
    <t>665645048478</t>
  </si>
  <si>
    <t>Julio Torres</t>
  </si>
  <si>
    <t>18AWG 10 Conductor 110724 PVD2 CL3R TC Shielded 300V ChromeGray Cable Wire 3x250</t>
  </si>
  <si>
    <t>680123398130</t>
  </si>
  <si>
    <t>Ron Harris</t>
  </si>
  <si>
    <t>665645048434</t>
  </si>
  <si>
    <t>Mike Houser</t>
  </si>
  <si>
    <t>665645048412</t>
  </si>
  <si>
    <t>Randi Williams</t>
  </si>
  <si>
    <t xml:space="preserve">	616712878718</t>
  </si>
  <si>
    <t>Jerry Rade</t>
  </si>
  <si>
    <t>665645048397</t>
  </si>
  <si>
    <t>Imon Bankson</t>
  </si>
  <si>
    <t>Mark Leopold</t>
  </si>
  <si>
    <t>675157532598</t>
  </si>
  <si>
    <t>675157532587</t>
  </si>
  <si>
    <t>Roy Hannon</t>
  </si>
  <si>
    <t>76350730-5</t>
  </si>
  <si>
    <t>George Telesco</t>
  </si>
  <si>
    <t>675157532613</t>
  </si>
  <si>
    <t>Peter Cecere</t>
  </si>
  <si>
    <t>675157532576</t>
  </si>
  <si>
    <t>Elam Fisher</t>
  </si>
  <si>
    <t>5011218753</t>
  </si>
  <si>
    <t>Villard Roden</t>
  </si>
  <si>
    <t>665645048467</t>
  </si>
  <si>
    <t>Tony Guillen</t>
  </si>
  <si>
    <t>630512245990</t>
  </si>
  <si>
    <t>Kevin Ross</t>
  </si>
  <si>
    <t>Joseph Hunter</t>
  </si>
  <si>
    <t>639794970630</t>
  </si>
  <si>
    <t>Wesley Kelly</t>
  </si>
  <si>
    <t>10 AWG 4 Conductor 10/4 Non-Shielded Control Tray Cable UL Type TC-ER 600V E2 Black</t>
  </si>
  <si>
    <t>676563251315</t>
  </si>
  <si>
    <t>Jason Rathbun</t>
  </si>
  <si>
    <t>665645048489</t>
  </si>
  <si>
    <t>680483361295</t>
  </si>
  <si>
    <t>Jim Frey</t>
  </si>
  <si>
    <t>680483361300</t>
  </si>
  <si>
    <t>James M Beaudoin</t>
  </si>
  <si>
    <t>665645048504</t>
  </si>
  <si>
    <t>Leon Price</t>
  </si>
  <si>
    <t>616712878659</t>
  </si>
  <si>
    <t>Dart Creek Farm</t>
  </si>
  <si>
    <t>665645048515</t>
  </si>
  <si>
    <t>Michele Rodgerson</t>
  </si>
  <si>
    <t>680483361310</t>
  </si>
  <si>
    <t>Jeff Kedrowski</t>
  </si>
  <si>
    <t>665645048490</t>
  </si>
  <si>
    <t>Wes Prather</t>
  </si>
  <si>
    <t>639794970640</t>
  </si>
  <si>
    <t>2-2-4-6 Mobile Home Feeder 3X1000</t>
  </si>
  <si>
    <t>0272136776</t>
  </si>
  <si>
    <t>billed out on 12.01.2016</t>
  </si>
  <si>
    <t>350MCM XHHW AL 1x542 1x586</t>
  </si>
  <si>
    <t>5015028157</t>
  </si>
  <si>
    <t>1/0-3 SER W/GRND</t>
  </si>
  <si>
    <t>5013344576</t>
  </si>
  <si>
    <t>12/10 SOOW</t>
  </si>
  <si>
    <t>1ZE412720308464311</t>
  </si>
  <si>
    <t>Bend Electric Bikes</t>
  </si>
  <si>
    <t xml:space="preserve">440801774656820 </t>
  </si>
  <si>
    <t>Joseph B Pollok</t>
  </si>
  <si>
    <t xml:space="preserve">	680993425880</t>
  </si>
  <si>
    <t>joepollok@aol.com</t>
  </si>
  <si>
    <t>American Energy Products LLC</t>
  </si>
  <si>
    <t>Greeley</t>
  </si>
  <si>
    <t>jmachuca@americanenergyproducts.com</t>
  </si>
  <si>
    <t>Darien</t>
  </si>
  <si>
    <t>CHECK RATE</t>
  </si>
  <si>
    <t>David Noor</t>
  </si>
  <si>
    <t>dfnoor@gmail.com</t>
  </si>
  <si>
    <t>Christ F Stoltzfus</t>
  </si>
  <si>
    <t>5013344581.</t>
  </si>
  <si>
    <t>praisethelordanyway@gmail.com</t>
  </si>
  <si>
    <t>Tim Hensel</t>
  </si>
  <si>
    <t>4/3 Type W</t>
  </si>
  <si>
    <t>712301699650</t>
  </si>
  <si>
    <t>665645048560</t>
  </si>
  <si>
    <t>John Dillie</t>
  </si>
  <si>
    <t>Scott Karels</t>
  </si>
  <si>
    <t>665645048559</t>
  </si>
  <si>
    <t>3940411845</t>
  </si>
  <si>
    <t>700044014130</t>
  </si>
  <si>
    <t>Duane Petterson</t>
  </si>
  <si>
    <t>630512246048</t>
  </si>
  <si>
    <t>Brent McCoy</t>
  </si>
  <si>
    <t>702723293211</t>
  </si>
  <si>
    <t>James Edwards</t>
  </si>
  <si>
    <t>639794970695</t>
  </si>
  <si>
    <t>Joe Shafer</t>
  </si>
  <si>
    <t xml:space="preserve">	574454204350</t>
  </si>
  <si>
    <t>Ana</t>
  </si>
  <si>
    <t>639564016927</t>
  </si>
  <si>
    <t>Jeremy Garnier</t>
  </si>
  <si>
    <t>630512246059</t>
  </si>
  <si>
    <t>4/0 THHN STRANDED</t>
  </si>
  <si>
    <t>3005802A... we will pick up</t>
  </si>
  <si>
    <t>4-4-6 SEU COPPER</t>
  </si>
  <si>
    <t>3005802B</t>
  </si>
  <si>
    <t>Denver J Miller</t>
  </si>
  <si>
    <t>639564016880</t>
  </si>
  <si>
    <t>djtpi@hotmail.com</t>
  </si>
  <si>
    <t>Claude Gonzalez</t>
  </si>
  <si>
    <t>ultrad123@gmail.com</t>
  </si>
  <si>
    <t>Matthew Wildman</t>
  </si>
  <si>
    <t>direwolf3220@yahoo.com</t>
  </si>
  <si>
    <t>Emiliano Liriano</t>
  </si>
  <si>
    <t>665645048570</t>
  </si>
  <si>
    <t>Diana I Stewart</t>
  </si>
  <si>
    <t xml:space="preserve">	574454204361</t>
  </si>
  <si>
    <t>Vicki Bear</t>
  </si>
  <si>
    <t>702723293233</t>
  </si>
  <si>
    <t>William Alvarez</t>
  </si>
  <si>
    <t xml:space="preserve">General </t>
  </si>
  <si>
    <t>william@buddycorp.com</t>
  </si>
  <si>
    <t>Cardinal</t>
  </si>
  <si>
    <t>06012428204</t>
  </si>
  <si>
    <t>billed out on 12.1.2016</t>
  </si>
  <si>
    <t>Larry Pildner</t>
  </si>
  <si>
    <t>680483361354</t>
  </si>
  <si>
    <t>Michael Lundeen</t>
  </si>
  <si>
    <t>Kevin Case</t>
  </si>
  <si>
    <t>639794970673</t>
  </si>
  <si>
    <t xml:space="preserve">	680993425890</t>
  </si>
  <si>
    <t>Charles Shenk</t>
  </si>
  <si>
    <t>680483361424</t>
  </si>
  <si>
    <t>Jonathan Pelsy</t>
  </si>
  <si>
    <t>680483361398</t>
  </si>
  <si>
    <t>Wesley Swenson</t>
  </si>
  <si>
    <t>665645048581</t>
  </si>
  <si>
    <t>Xiangnan Chong</t>
  </si>
  <si>
    <t>680483361321</t>
  </si>
  <si>
    <t>Henry Linscott</t>
  </si>
  <si>
    <t>680483361343</t>
  </si>
  <si>
    <t>Debby Grant</t>
  </si>
  <si>
    <t>639564016950</t>
  </si>
  <si>
    <t>Alan Herbison</t>
  </si>
  <si>
    <t>630512246070</t>
  </si>
  <si>
    <t>Manfed Klein</t>
  </si>
  <si>
    <t>665645048629</t>
  </si>
  <si>
    <t>680483361376</t>
  </si>
  <si>
    <t>Bay Audio</t>
  </si>
  <si>
    <t>665645048592</t>
  </si>
  <si>
    <t>Chris Raines</t>
  </si>
  <si>
    <t>680483361413</t>
  </si>
  <si>
    <t>Gabriel Dockery</t>
  </si>
  <si>
    <t>680483361402</t>
  </si>
  <si>
    <t>Steve - Sandy</t>
  </si>
  <si>
    <t>680483361332</t>
  </si>
  <si>
    <t>Disa Wells</t>
  </si>
  <si>
    <t>Brandi Castleberry</t>
  </si>
  <si>
    <t>Tidewater Shop</t>
  </si>
  <si>
    <t>665645048630</t>
  </si>
  <si>
    <t>Peter D Tacy</t>
  </si>
  <si>
    <t>18 AWG 12 Conductor 18/12 Non-Shielded Control Tray Cable UL Type TC 600V E2 Black</t>
  </si>
  <si>
    <t>654016293395</t>
  </si>
  <si>
    <t>Auburn Audio</t>
  </si>
  <si>
    <t>665645048640</t>
  </si>
  <si>
    <t>12/4 BX Cable 4x250</t>
  </si>
  <si>
    <t>Cleveland Cascades Ltd.</t>
  </si>
  <si>
    <t>martin.skidmore@clevelandcascades.co.uk</t>
  </si>
  <si>
    <t>Anthony Galzarano</t>
  </si>
  <si>
    <t xml:space="preserve">	616712878740</t>
  </si>
  <si>
    <t>anthony442hd@yahoo.com</t>
  </si>
  <si>
    <t>Paul Burton</t>
  </si>
  <si>
    <t>665645048618</t>
  </si>
  <si>
    <t>Robert Reinhardt</t>
  </si>
  <si>
    <t>12/2 MC BX Cable</t>
  </si>
  <si>
    <t>2 THHN STRANDED BLUE</t>
  </si>
  <si>
    <t>2 THHN STRANDED WHITE</t>
  </si>
  <si>
    <t>ups collect</t>
  </si>
  <si>
    <t>2 THHN STRANDED BLACK</t>
  </si>
  <si>
    <t>12/4 MC W/GRND 8X250</t>
  </si>
  <si>
    <t>P02H2 22 Gauge Twisted Shielded Single Pair Wire similar to 8761 and C2514</t>
  </si>
  <si>
    <t>invoice done but not billed ... BILL TO AP INVOICES@ NYPA .GOV</t>
  </si>
  <si>
    <t>John Ray</t>
  </si>
  <si>
    <t>Christopher Maloney</t>
  </si>
  <si>
    <t>Weslet Vildort</t>
  </si>
  <si>
    <t>Mitchel Killinger</t>
  </si>
  <si>
    <t>Thomas Davis</t>
  </si>
  <si>
    <t>thom.davis@leonagroup.com</t>
  </si>
  <si>
    <t>Bonnie Jablonski</t>
  </si>
  <si>
    <t>6 XHHW STRANDED COPPER BLACK</t>
  </si>
  <si>
    <t>Kelly T Starbuck</t>
  </si>
  <si>
    <t>Bryan Meeks</t>
  </si>
  <si>
    <t>Ruth Wick</t>
  </si>
  <si>
    <t>Robert Linville</t>
  </si>
  <si>
    <t>Drew Neerdaels</t>
  </si>
  <si>
    <t>12/3 SJOOW 3x500</t>
  </si>
  <si>
    <t>Ryan Welsh</t>
  </si>
  <si>
    <t>Marc Rosenberg</t>
  </si>
  <si>
    <t>Craig Smart</t>
  </si>
  <si>
    <t>1/5 Type W</t>
  </si>
  <si>
    <t>Amphenol</t>
  </si>
  <si>
    <t>10AWG 2000V PV BLACK P/N 12421.711100</t>
  </si>
  <si>
    <t>12AWG 2000V PV BLACK P/N 12421.711200</t>
  </si>
  <si>
    <t>10AWG 2000V PV BLACK P/N 12441.711100</t>
  </si>
  <si>
    <t>12AWG 2000V PV BLACK P/N 12441.711200</t>
  </si>
  <si>
    <t>715590529990</t>
  </si>
  <si>
    <t>mcmarchitto@gmail.com</t>
  </si>
  <si>
    <t>Amanda McKenzie</t>
  </si>
  <si>
    <t>resequ@gmail.com</t>
  </si>
  <si>
    <t xml:space="preserve">#2 XLP-USE RHH RHW-2 7-Stranded Copper Cable </t>
  </si>
  <si>
    <t xml:space="preserve">invoice done but not billed </t>
  </si>
  <si>
    <t>Garret Smith</t>
  </si>
  <si>
    <t>12/2 SJOOW Carolprene Cord 300V</t>
  </si>
  <si>
    <t>garret@safesidewalks.com</t>
  </si>
  <si>
    <t>Brian Severson</t>
  </si>
  <si>
    <t>brian@qualityoganic.com</t>
  </si>
  <si>
    <t>DATE</t>
  </si>
  <si>
    <t>GROSS</t>
  </si>
  <si>
    <t>NET</t>
  </si>
  <si>
    <t>COST/M</t>
  </si>
  <si>
    <t>SUPPLIER</t>
  </si>
  <si>
    <t>$ MATERIAL</t>
  </si>
  <si>
    <t>$ OTHER CHARGES</t>
  </si>
  <si>
    <t>INVOICE</t>
  </si>
  <si>
    <t>DATE INVOICE</t>
  </si>
  <si>
    <t>DATE RECEIVED</t>
  </si>
  <si>
    <t>DATE PAID</t>
  </si>
  <si>
    <t>AMOUNT PAID</t>
  </si>
  <si>
    <t>CHECK #</t>
  </si>
  <si>
    <t>CARRIER</t>
  </si>
  <si>
    <t>   TRACKING #</t>
  </si>
  <si>
    <t>BILLED FOR</t>
  </si>
  <si>
    <t> $ FREIGHT</t>
  </si>
  <si>
    <t>OTHER CHARGES</t>
  </si>
  <si>
    <t>TOTAL COST</t>
  </si>
  <si>
    <t>TOTAL PAID</t>
  </si>
  <si>
    <t>PROFIT</t>
  </si>
  <si>
    <t>MARGIN</t>
  </si>
  <si>
    <t>5-550-49916</t>
  </si>
  <si>
    <t>860-232963</t>
  </si>
  <si>
    <t>860-232964</t>
  </si>
  <si>
    <t>DIJ0353893</t>
  </si>
  <si>
    <t>COLONIAL</t>
  </si>
  <si>
    <t>5-572-89272</t>
  </si>
  <si>
    <t>5-558-00156</t>
  </si>
  <si>
    <t>PRIORITY</t>
  </si>
  <si>
    <t>GENERAL</t>
  </si>
  <si>
    <t>RR DONNELLY</t>
  </si>
  <si>
    <t>C856622</t>
  </si>
  <si>
    <t>5-564-43924</t>
  </si>
  <si>
    <t>860-233080</t>
  </si>
  <si>
    <t>WIREXPRESS</t>
  </si>
  <si>
    <t>5-558-00156
5-558-00156
5-558-00156</t>
  </si>
  <si>
    <t>9/26/2016
9/26/2016
9/26/2016</t>
  </si>
  <si>
    <t>10/3/2016
10/3/2016
10/3/2016</t>
  </si>
  <si>
    <t>5-558-01156</t>
  </si>
  <si>
    <t>CROWN</t>
  </si>
  <si>
    <t>C858867</t>
  </si>
  <si>
    <t>INV22146</t>
  </si>
  <si>
    <t xml:space="preserve">5-558-00156
5-558-00156
</t>
  </si>
  <si>
    <t>9/26/2016
9/26/2016</t>
  </si>
  <si>
    <t>10/3/2016
10/3/2016</t>
  </si>
  <si>
    <t>10/3/2016
10/3/2016
9/26/2016</t>
  </si>
  <si>
    <t>R0V774386</t>
  </si>
  <si>
    <t>5-558-00156
5-558-00156</t>
  </si>
  <si>
    <t>NEXANS</t>
  </si>
  <si>
    <t>INV00133898</t>
  </si>
  <si>
    <t>860-233325</t>
  </si>
  <si>
    <t>INV22408</t>
  </si>
  <si>
    <t>COMMODITY</t>
  </si>
  <si>
    <t>FECEX</t>
  </si>
  <si>
    <t>INV22283</t>
  </si>
  <si>
    <t>ECHO</t>
  </si>
  <si>
    <t>25594418-1</t>
  </si>
  <si>
    <t>25593266-1</t>
  </si>
  <si>
    <t>25596733-1</t>
  </si>
  <si>
    <t>25608985-1</t>
  </si>
  <si>
    <t>6-659-55678</t>
  </si>
  <si>
    <t>6-672-23803</t>
  </si>
  <si>
    <t>14-10-16</t>
  </si>
  <si>
    <t>25607171-1</t>
  </si>
  <si>
    <t>25620464-1</t>
  </si>
  <si>
    <t>5.564-43924</t>
  </si>
  <si>
    <t>5-546-43924</t>
  </si>
  <si>
    <t>5-572-89272
5-572-89272</t>
  </si>
  <si>
    <t>10/10/2016
10/10/2016</t>
  </si>
  <si>
    <t>10/13/2016
10/13/2016</t>
  </si>
  <si>
    <t>FEDE</t>
  </si>
  <si>
    <t>860-233661</t>
  </si>
  <si>
    <t>25622127-1</t>
  </si>
  <si>
    <t>25634283-1</t>
  </si>
  <si>
    <t>6-661-97650</t>
  </si>
  <si>
    <t>6-673-67039</t>
  </si>
  <si>
    <t>INV22290</t>
  </si>
  <si>
    <t>860-234108</t>
  </si>
  <si>
    <t>INV22324</t>
  </si>
  <si>
    <t>25635823-1</t>
  </si>
  <si>
    <t>25647994-1</t>
  </si>
  <si>
    <t>5-595-24691</t>
  </si>
  <si>
    <t>25738074-1</t>
  </si>
  <si>
    <t>25738316-1</t>
  </si>
  <si>
    <t>25645380-1</t>
  </si>
  <si>
    <t>25645380-2</t>
  </si>
  <si>
    <t>860-233784</t>
  </si>
  <si>
    <t>10/21/2016
11/18/2016</t>
  </si>
  <si>
    <t>9209
9432</t>
  </si>
  <si>
    <t>10-4--16</t>
  </si>
  <si>
    <t>5-579-48167</t>
  </si>
  <si>
    <t>C1000286</t>
  </si>
  <si>
    <t>RR DONNELLEY</t>
  </si>
  <si>
    <t>5-588-02995</t>
  </si>
  <si>
    <t>860-23978</t>
  </si>
  <si>
    <t>860-233977</t>
  </si>
  <si>
    <t>25684947-1</t>
  </si>
  <si>
    <t>INV22409</t>
  </si>
  <si>
    <t>25697316-1</t>
  </si>
  <si>
    <t>DIJ0355132</t>
  </si>
  <si>
    <t>DIJ0355288</t>
  </si>
  <si>
    <t>25710254-1</t>
  </si>
  <si>
    <t>6-664-38212</t>
  </si>
  <si>
    <t>6-677-54711</t>
  </si>
  <si>
    <t>6086947-00</t>
  </si>
  <si>
    <t>25713684-1</t>
  </si>
  <si>
    <t>25711511-1</t>
  </si>
  <si>
    <t>INV22491</t>
  </si>
  <si>
    <t>860-234109</t>
  </si>
  <si>
    <t>INV22410</t>
  </si>
  <si>
    <t>INV22411</t>
  </si>
  <si>
    <t>860-234110</t>
  </si>
  <si>
    <t>860-234111</t>
  </si>
  <si>
    <t>INV22494</t>
  </si>
  <si>
    <t>INV22493</t>
  </si>
  <si>
    <t>5-588-2995</t>
  </si>
  <si>
    <t>INV22492</t>
  </si>
  <si>
    <t>INV00136657</t>
  </si>
  <si>
    <t>25741539-1</t>
  </si>
  <si>
    <t>25742477-1</t>
  </si>
  <si>
    <t>5-558-02995</t>
  </si>
  <si>
    <t>N-005573</t>
  </si>
  <si>
    <t>DIJ0356321</t>
  </si>
  <si>
    <t>INV22497</t>
  </si>
  <si>
    <t>DIJ0355248</t>
  </si>
  <si>
    <t>INV00137157</t>
  </si>
  <si>
    <t>25735634-1</t>
  </si>
  <si>
    <t>25736874-1</t>
  </si>
  <si>
    <t>860-234275</t>
  </si>
  <si>
    <t>INV22495</t>
  </si>
  <si>
    <t>INV22498</t>
  </si>
  <si>
    <t>INV22496</t>
  </si>
  <si>
    <t>860-234276</t>
  </si>
  <si>
    <t>860-234508</t>
  </si>
  <si>
    <t>INV22540</t>
  </si>
  <si>
    <t>5-617-78181</t>
  </si>
  <si>
    <t>5-579-48167
5-595-24691</t>
  </si>
  <si>
    <t>10/17/2016
10/31/2016</t>
  </si>
  <si>
    <t>10/20/2016
11/07/2016</t>
  </si>
  <si>
    <t>25759068-1</t>
  </si>
  <si>
    <t>860-234347</t>
  </si>
  <si>
    <t>SERVICE</t>
  </si>
  <si>
    <t>C880684</t>
  </si>
  <si>
    <t>INV22499</t>
  </si>
  <si>
    <t>10-1016</t>
  </si>
  <si>
    <t>INV22500</t>
  </si>
  <si>
    <t>INV22539</t>
  </si>
  <si>
    <t>25790698-1</t>
  </si>
  <si>
    <t>25785892-1</t>
  </si>
  <si>
    <t>860-234753</t>
  </si>
  <si>
    <t>GENUINE</t>
  </si>
  <si>
    <t>25799580-1</t>
  </si>
  <si>
    <t>INV00138496</t>
  </si>
  <si>
    <t>INV22649</t>
  </si>
  <si>
    <t>SOUTHWIRE</t>
  </si>
  <si>
    <t>25843492-1</t>
  </si>
  <si>
    <t>INV22648</t>
  </si>
  <si>
    <t>5-602-66776</t>
  </si>
  <si>
    <t>860-234921</t>
  </si>
  <si>
    <t>25886790-1</t>
  </si>
  <si>
    <t>25871050-1</t>
  </si>
  <si>
    <t>5-609-83576</t>
  </si>
  <si>
    <t>25875072-1</t>
  </si>
  <si>
    <t>DI0266349</t>
  </si>
  <si>
    <t>rr DONNELLEY</t>
  </si>
  <si>
    <t>25888341-1</t>
  </si>
  <si>
    <t>25903717-1</t>
  </si>
  <si>
    <t>DIJ0355947
21573</t>
  </si>
  <si>
    <t>10/21/2016
11/11/2016</t>
  </si>
  <si>
    <t>10/27/2016
11/17/2016</t>
  </si>
  <si>
    <t>11/4/2016
11/18/2016</t>
  </si>
  <si>
    <t>9290
9447</t>
  </si>
  <si>
    <t>DIJ0355917</t>
  </si>
  <si>
    <t>DIJ0355946</t>
  </si>
  <si>
    <t>DIJ0355917 DIJ0355946
DIJ0356399</t>
  </si>
  <si>
    <t>10/20/2016 10/21/2016
11/01/2016</t>
  </si>
  <si>
    <t>10/26/2016 10/27/2016
11/07/2016</t>
  </si>
  <si>
    <t>9289
9290</t>
  </si>
  <si>
    <t>DIJ0356399</t>
  </si>
  <si>
    <t>R0V774466</t>
  </si>
  <si>
    <t>INV00139791</t>
  </si>
  <si>
    <t>6-674-08812</t>
  </si>
  <si>
    <t>6-680-01783</t>
  </si>
  <si>
    <t>25917735-1</t>
  </si>
  <si>
    <t>860-235100</t>
  </si>
  <si>
    <t>C0020737</t>
  </si>
  <si>
    <t>RETURN</t>
  </si>
  <si>
    <t>406545 C0020732
407528</t>
  </si>
  <si>
    <t>10/24/2016
10/28/2016</t>
  </si>
  <si>
    <t>11/2/2016
11/07/2016</t>
  </si>
  <si>
    <t>0000R0V774436</t>
  </si>
  <si>
    <t>860-235044</t>
  </si>
  <si>
    <t>25944030-1</t>
  </si>
  <si>
    <t>25964403-1</t>
  </si>
  <si>
    <t>INV00140542</t>
  </si>
  <si>
    <t>5-609-83756</t>
  </si>
  <si>
    <t>25982847-1</t>
  </si>
  <si>
    <t>1071441
1074523</t>
  </si>
  <si>
    <t>10/31/2016
11/08/2016</t>
  </si>
  <si>
    <t>11/7/2016
11/21/2016</t>
  </si>
  <si>
    <t>TUCKER</t>
  </si>
  <si>
    <t>860-235315</t>
  </si>
  <si>
    <t>DIJ0356518</t>
  </si>
  <si>
    <t>26009194-1</t>
  </si>
  <si>
    <t>26010235-1</t>
  </si>
  <si>
    <t>25999100-1</t>
  </si>
  <si>
    <t>860-235482</t>
  </si>
  <si>
    <t>26022185-1</t>
  </si>
  <si>
    <t>26021255-1</t>
  </si>
  <si>
    <t>S1708096.001</t>
  </si>
  <si>
    <t>26047535-1</t>
  </si>
  <si>
    <t>26054711-1</t>
  </si>
  <si>
    <t>26050077-1</t>
  </si>
  <si>
    <t>INV00142394</t>
  </si>
  <si>
    <t>KALAS</t>
  </si>
  <si>
    <t>INV00142221</t>
  </si>
  <si>
    <t>860-235600</t>
  </si>
  <si>
    <t>91045020
91041625</t>
  </si>
  <si>
    <t>11/11/2016
11/10/2016</t>
  </si>
  <si>
    <t>S1709200.001</t>
  </si>
  <si>
    <t>6-678-97097</t>
  </si>
  <si>
    <t>860-235749</t>
  </si>
  <si>
    <t>S1709513.001</t>
  </si>
  <si>
    <t>26100216-1</t>
  </si>
  <si>
    <t>DIJ0356803</t>
  </si>
  <si>
    <t>960-235780</t>
  </si>
  <si>
    <t>INV23000</t>
  </si>
  <si>
    <t>26126902-1</t>
  </si>
  <si>
    <t>INV00143540</t>
  </si>
  <si>
    <t>CC</t>
  </si>
  <si>
    <t>LIGHTNING ROD</t>
  </si>
  <si>
    <t>TRINITY</t>
  </si>
  <si>
    <t>INV00144195</t>
  </si>
  <si>
    <t>INV23091</t>
  </si>
  <si>
    <t>TITAN</t>
  </si>
  <si>
    <t>Supplier Email </t>
  </si>
  <si>
    <t>Weight</t>
  </si>
  <si>
    <t>Pallets</t>
  </si>
  <si>
    <t xml:space="preserve">Dimensions </t>
  </si>
  <si>
    <t>Ready</t>
  </si>
  <si>
    <t>sENT BOL</t>
  </si>
  <si>
    <t>3002493a</t>
  </si>
  <si>
    <t xml:space="preserve">jason@kristechwire.com </t>
  </si>
  <si>
    <t>picked up</t>
  </si>
  <si>
    <t>650 LBS WITH THE SKID….PALLET WILL BE 48 X 40 X 30</t>
  </si>
  <si>
    <t>YES</t>
  </si>
  <si>
    <t>SENT BOL</t>
  </si>
  <si>
    <t>todd@abcwire.com</t>
  </si>
  <si>
    <t>715lbs 1 pallet</t>
  </si>
  <si>
    <t>yes</t>
  </si>
  <si>
    <t>thea</t>
  </si>
  <si>
    <t>TORREYB@THEASCHOENINC.COM</t>
  </si>
  <si>
    <t>42 x 48 x 30 approx.</t>
  </si>
  <si>
    <t>170 lbs.</t>
  </si>
  <si>
    <t>BASIC</t>
  </si>
  <si>
    <t>MARIA@BASICWIRE.COM</t>
  </si>
  <si>
    <t>(450) 434-1004 ext 297 s Fedex Trade Network. is their broker</t>
  </si>
  <si>
    <t>620 LB</t>
  </si>
  <si>
    <t>38X38X42</t>
  </si>
  <si>
    <t>ESSEX</t>
  </si>
  <si>
    <t>MICHAEL.REALE@SPSX.COM</t>
  </si>
  <si>
    <t xml:space="preserve"> A.A. RAMON GUERRA AYALA     patente  3538 broker for puaal</t>
  </si>
  <si>
    <t>NO</t>
  </si>
  <si>
    <t>NASSAUCABLE@GMAIL.COM</t>
  </si>
  <si>
    <t>pick up asap</t>
  </si>
  <si>
    <t>119lbs</t>
  </si>
  <si>
    <t>PICKED UP 6/9/16</t>
  </si>
  <si>
    <t>Total weight 2732 lbs</t>
  </si>
  <si>
    <t>5 reels and 1 carton on 3 pallets</t>
  </si>
  <si>
    <t xml:space="preserve">SENT BOL </t>
  </si>
  <si>
    <t>commodity</t>
  </si>
  <si>
    <t>matt@commoditycables.com</t>
  </si>
  <si>
    <t xml:space="preserve">Weight is 652 lbs </t>
  </si>
  <si>
    <t>on one pallet  </t>
  </si>
  <si>
    <t>42” x 42” x 49”</t>
  </si>
  <si>
    <t>SENT BOL 6-16-16</t>
  </si>
  <si>
    <t>aj_russo@gumcash.com MICHAEL.REALE@SPSX.COM</t>
  </si>
  <si>
    <t>ask aj  A.A. RAMON GUERRA AYALA     patente  3538 broker for puaal</t>
  </si>
  <si>
    <t>HOUSTON WIRE</t>
  </si>
  <si>
    <t xml:space="preserve">rcavanaugh@houwire.com </t>
  </si>
  <si>
    <t>SHIPPED BY VENDOR</t>
  </si>
  <si>
    <t>ship to pennsyslvania 1 of the reels is in TX ship it to PA</t>
  </si>
  <si>
    <t xml:space="preserve">3002789
</t>
  </si>
  <si>
    <t>make sure the one from essex is picked up</t>
  </si>
  <si>
    <t>general cable</t>
  </si>
  <si>
    <t>schedule the fedex pick up with the customers fedex account</t>
  </si>
  <si>
    <t>billg@theaschoeninc.com</t>
  </si>
  <si>
    <t>King wire</t>
  </si>
  <si>
    <t>marketing@kingwireinc.com</t>
  </si>
  <si>
    <t>BOL SENT</t>
  </si>
  <si>
    <t>nexans</t>
  </si>
  <si>
    <t>tina.krum@nexans.com</t>
  </si>
  <si>
    <t>pick up 6.27.20156</t>
  </si>
  <si>
    <t>Service wire</t>
  </si>
  <si>
    <t>Clifton.Gibson@servicewire.com</t>
  </si>
  <si>
    <t>priority</t>
  </si>
  <si>
    <t>pick up the swanate wire to return</t>
  </si>
  <si>
    <t>southwire</t>
  </si>
  <si>
    <t>erco</t>
  </si>
  <si>
    <t>7 REELS ON A STANDARD 48 X 48 PALLET     1020 LBS.</t>
  </si>
  <si>
    <t>RMA</t>
  </si>
  <si>
    <t> ISSUE: RESOLVE ASAP</t>
  </si>
  <si>
    <t xml:space="preserve">ORDER PLACED: AWAITING PAYMENT </t>
  </si>
  <si>
    <t>Nassau National Cable 2015</t>
  </si>
  <si>
    <t>RMA#</t>
  </si>
  <si>
    <t>Ship To</t>
  </si>
  <si>
    <t>Tracking #</t>
  </si>
  <si>
    <t>1019124RMA</t>
  </si>
  <si>
    <t>M De Haas Van Dorsser</t>
  </si>
  <si>
    <t>FedEx</t>
  </si>
  <si>
    <t>774139607196</t>
  </si>
  <si>
    <t>1019159RMA</t>
  </si>
  <si>
    <t>Shay Green</t>
  </si>
  <si>
    <t>1000MCM CU XHHW-2 600V</t>
  </si>
  <si>
    <t>Southwire MS</t>
  </si>
  <si>
    <t>1019159BRMA</t>
  </si>
  <si>
    <t>Southwire GA</t>
  </si>
  <si>
    <t>1019246RMA</t>
  </si>
  <si>
    <t>Ben Ziebro</t>
  </si>
  <si>
    <t>774131562369</t>
  </si>
  <si>
    <t>1019255RMA</t>
  </si>
  <si>
    <t>Alex Rodriguez</t>
  </si>
  <si>
    <t>18/3SJOOW 2x500</t>
  </si>
  <si>
    <t>774149040605</t>
  </si>
  <si>
    <t>1019163RMA</t>
  </si>
  <si>
    <t>Replacement</t>
  </si>
  <si>
    <t>Dave Decker</t>
  </si>
  <si>
    <t>material was lost</t>
  </si>
  <si>
    <t>1019313RMA</t>
  </si>
  <si>
    <t>James Gravel</t>
  </si>
  <si>
    <t>774232542296</t>
  </si>
  <si>
    <t>1019461RMA</t>
  </si>
  <si>
    <t>Mark Litwack</t>
  </si>
  <si>
    <t>774228419259</t>
  </si>
  <si>
    <t>1019562RMA</t>
  </si>
  <si>
    <t>Lyle Boehler</t>
  </si>
  <si>
    <t>MHF</t>
  </si>
  <si>
    <t>774340136268</t>
  </si>
  <si>
    <t>RETURNED</t>
  </si>
  <si>
    <t>1018770RMA</t>
  </si>
  <si>
    <t>7 Strand #2 XLP USE Stranded Copper Cable</t>
  </si>
  <si>
    <t>1019519RMA</t>
  </si>
  <si>
    <t>Refusal</t>
  </si>
  <si>
    <t>Stephen Watson</t>
  </si>
  <si>
    <t>250/3 Type G-GC</t>
  </si>
  <si>
    <t>1019637RMA</t>
  </si>
  <si>
    <t>David Landry</t>
  </si>
  <si>
    <t>1019703RMA</t>
  </si>
  <si>
    <t>Katy Dempsey</t>
  </si>
  <si>
    <t>R &amp; L Carriers</t>
  </si>
  <si>
    <t xml:space="preserve"> 43427685-6 </t>
  </si>
  <si>
    <t>1019612AAA</t>
  </si>
  <si>
    <t>Walter McFarland</t>
  </si>
  <si>
    <t>1019226RMA</t>
  </si>
  <si>
    <t>Athena Jones</t>
  </si>
  <si>
    <t>1019805RMA</t>
  </si>
  <si>
    <t>Jospeh McEneany</t>
  </si>
  <si>
    <t>18/6 VNTC 2x500</t>
  </si>
  <si>
    <t>1019774RMA</t>
  </si>
  <si>
    <t>Virgil Glisson</t>
  </si>
  <si>
    <t xml:space="preserve">R&amp;L </t>
  </si>
  <si>
    <t>9/22 P/U SCHEDULED</t>
  </si>
  <si>
    <t>1019724RMA</t>
  </si>
  <si>
    <t>Douglas Sanders</t>
  </si>
  <si>
    <t>3/0-3 VNTC W/GRND</t>
  </si>
  <si>
    <t>1020257RMA</t>
  </si>
  <si>
    <t>rma</t>
  </si>
  <si>
    <t>kEVIN wEAVER</t>
  </si>
  <si>
    <t>Fedex Ground</t>
  </si>
  <si>
    <t>1020290RMA</t>
  </si>
  <si>
    <t>LANCE MARESH</t>
  </si>
  <si>
    <t>ERSKINE</t>
  </si>
  <si>
    <t>1020185RMA</t>
  </si>
  <si>
    <t>Bill McDonald</t>
  </si>
  <si>
    <t>1/0-1/0-1/0-4 MC AL W/PVC JACKET</t>
  </si>
  <si>
    <t>1020481RMA</t>
  </si>
  <si>
    <t>Jason Wagner</t>
  </si>
  <si>
    <t xml:space="preserve">Fedex ground </t>
  </si>
  <si>
    <t>774964386581</t>
  </si>
  <si>
    <t>Thomas Giblin</t>
  </si>
  <si>
    <t>1020659RMA</t>
  </si>
  <si>
    <t>Erick Weeman</t>
  </si>
  <si>
    <t>1020370RMA</t>
  </si>
  <si>
    <t>Richard Adams</t>
  </si>
  <si>
    <t>1020942RMA</t>
  </si>
  <si>
    <t>David Roecker</t>
  </si>
  <si>
    <t>3000176RMA</t>
  </si>
  <si>
    <t>500MCM</t>
  </si>
  <si>
    <t>UPS FREIGHT/DLS</t>
  </si>
  <si>
    <t>3001064RMA</t>
  </si>
  <si>
    <t>3000926RMA</t>
  </si>
  <si>
    <t>DEREK DUNCAN</t>
  </si>
  <si>
    <t>3000216RMA</t>
  </si>
  <si>
    <t>Joseph J Pereira</t>
  </si>
  <si>
    <t>THHN</t>
  </si>
  <si>
    <t xml:space="preserve">     ROMEX Weight Calculator</t>
  </si>
  <si>
    <t>SOOW Weight Calculator</t>
  </si>
  <si>
    <t>Aluminum USE Weight Calculator</t>
  </si>
  <si>
    <t>Aluminum URD Weight Calculator</t>
  </si>
  <si>
    <t>Enter Quanity Ordered in Feet</t>
  </si>
  <si>
    <t>SIZE</t>
  </si>
  <si>
    <t>WT</t>
  </si>
  <si>
    <t>Order</t>
  </si>
  <si>
    <t>Total</t>
  </si>
  <si>
    <t>DESC.</t>
  </si>
  <si>
    <t>KFT</t>
  </si>
  <si>
    <t>Quantity</t>
  </si>
  <si>
    <t>feet</t>
  </si>
  <si>
    <t>lbs.</t>
  </si>
  <si>
    <t>TRIPLEX</t>
  </si>
  <si>
    <t>18 STR TFFN</t>
  </si>
  <si>
    <t>14/2 NMB W/G COIL</t>
  </si>
  <si>
    <t>60</t>
  </si>
  <si>
    <t>6 USE</t>
  </si>
  <si>
    <t>Erskine 6-6-6</t>
  </si>
  <si>
    <t>16 STR TFFN</t>
  </si>
  <si>
    <t>12/2 NMB W/G COIL</t>
  </si>
  <si>
    <t>85</t>
  </si>
  <si>
    <t>4 USE</t>
  </si>
  <si>
    <t>Vassar 4-4-4</t>
  </si>
  <si>
    <t>10/2 NMB W/G COIL</t>
  </si>
  <si>
    <t>127</t>
  </si>
  <si>
    <t>Stephens 2-2-4</t>
  </si>
  <si>
    <t>14 SOL THHN</t>
  </si>
  <si>
    <t>2 USE</t>
  </si>
  <si>
    <t>Ramapo 2-2-2</t>
  </si>
  <si>
    <t>12 SOL THHN</t>
  </si>
  <si>
    <t>14/2 NMB W/G REEL</t>
  </si>
  <si>
    <t>1 USE</t>
  </si>
  <si>
    <t>Brenau 1/0-1/0-2</t>
  </si>
  <si>
    <t>10 SOL THHN</t>
  </si>
  <si>
    <t>12/2 NMB W/G REEL</t>
  </si>
  <si>
    <t>1/0 USE</t>
  </si>
  <si>
    <t>10/2 NMB W/G REEL</t>
  </si>
  <si>
    <t>Converse 2/0-2/0-1</t>
  </si>
  <si>
    <t>14 STR THHN</t>
  </si>
  <si>
    <t>14/2 SOOW</t>
  </si>
  <si>
    <t>2/0 USE</t>
  </si>
  <si>
    <t>Hollins 3/0-3/0-1/0</t>
  </si>
  <si>
    <t>12 STR THHN</t>
  </si>
  <si>
    <t>8/2 NMB W/G</t>
  </si>
  <si>
    <t>188</t>
  </si>
  <si>
    <t>3/0 USE</t>
  </si>
  <si>
    <t>Sweetbriar 4/0-4/0-2/0</t>
  </si>
  <si>
    <t>10 STR THHN</t>
  </si>
  <si>
    <t>6/2 NMB W/G</t>
  </si>
  <si>
    <t>258</t>
  </si>
  <si>
    <t>4/0 USE</t>
  </si>
  <si>
    <t>8 STR THHN</t>
  </si>
  <si>
    <t>14/3 NMB W/G COIL</t>
  </si>
  <si>
    <t>92</t>
  </si>
  <si>
    <t>250MCM USE</t>
  </si>
  <si>
    <t>Pratt 250-250-3/0</t>
  </si>
  <si>
    <t>6 STR THHN</t>
  </si>
  <si>
    <t>12/3 NMB W/G COIL</t>
  </si>
  <si>
    <t>126</t>
  </si>
  <si>
    <t>300MCM USE</t>
  </si>
  <si>
    <t>Wesleyan 350-350-4/0</t>
  </si>
  <si>
    <t>4 STR THHN</t>
  </si>
  <si>
    <t>10/3 NMB W/G COIL</t>
  </si>
  <si>
    <t>350MCM USE</t>
  </si>
  <si>
    <t>Rider 500-500-350</t>
  </si>
  <si>
    <t>3 STR THHN</t>
  </si>
  <si>
    <t>10/2 SOOW</t>
  </si>
  <si>
    <t>400MCM USE</t>
  </si>
  <si>
    <t>Fairfield 750-750-500</t>
  </si>
  <si>
    <t>2 STR THHN</t>
  </si>
  <si>
    <t>14/3 NMB W/G REEL</t>
  </si>
  <si>
    <t>500MCM USE</t>
  </si>
  <si>
    <t>QUADRUPLEX</t>
  </si>
  <si>
    <t>1 STR THHN</t>
  </si>
  <si>
    <t>12/3 NMB W/G REEL</t>
  </si>
  <si>
    <t>600MCM USE</t>
  </si>
  <si>
    <t>Tulsa 4-4-4-4</t>
  </si>
  <si>
    <t>10/3 NMB W/G REEL</t>
  </si>
  <si>
    <t>Dyke 2-2-2-4</t>
  </si>
  <si>
    <t>1/0 STR THHN</t>
  </si>
  <si>
    <t>750MCM USE</t>
  </si>
  <si>
    <t>Notre Dame 1/0-1/0-1/0-2</t>
  </si>
  <si>
    <t>2/0 STR THHN</t>
  </si>
  <si>
    <t>8/3 NMB W/G</t>
  </si>
  <si>
    <t>302</t>
  </si>
  <si>
    <t>1000MCM USE</t>
  </si>
  <si>
    <t>Purdue 1/0-1/0-1/0-1/0</t>
  </si>
  <si>
    <t>3/0 STR THHN</t>
  </si>
  <si>
    <t>6/3 NMB W/G</t>
  </si>
  <si>
    <t>410</t>
  </si>
  <si>
    <t>Syracuse 2/0-2/0-2/0-1/0</t>
  </si>
  <si>
    <t>4/0 STR THHN</t>
  </si>
  <si>
    <t>4/3 NMB W/G</t>
  </si>
  <si>
    <t>606</t>
  </si>
  <si>
    <t>TOTAL</t>
  </si>
  <si>
    <t>Davidson 3/0-3/0-3/0-3/0</t>
  </si>
  <si>
    <t>250 MCM THHN</t>
  </si>
  <si>
    <t>14/2/2 NMB W/G</t>
  </si>
  <si>
    <t>Wake Forest 4/0-4/0-4/0-2/0</t>
  </si>
  <si>
    <t>300 MCM THHN</t>
  </si>
  <si>
    <t>12/2/2 NMB W/G</t>
  </si>
  <si>
    <t>134</t>
  </si>
  <si>
    <t>Earlham 4/0-4/0-4/0-4/0</t>
  </si>
  <si>
    <t>350 MCM THHN</t>
  </si>
  <si>
    <t>400 MCM THHN</t>
  </si>
  <si>
    <t>14/2 UF W/G</t>
  </si>
  <si>
    <t>71</t>
  </si>
  <si>
    <t>Slippery Rock 350-350-350-4/0</t>
  </si>
  <si>
    <t>500 MCM THHN</t>
  </si>
  <si>
    <t>12/2 UF W/G</t>
  </si>
  <si>
    <t>97</t>
  </si>
  <si>
    <t>Wofford 500-500-500-350</t>
  </si>
  <si>
    <t>600 MCM THHN</t>
  </si>
  <si>
    <t>10/2 UF W/G</t>
  </si>
  <si>
    <t>141</t>
  </si>
  <si>
    <t>Windham 750-750-750-500</t>
  </si>
  <si>
    <t>750 MCM THHN</t>
  </si>
  <si>
    <t>8/2 UF W/G</t>
  </si>
  <si>
    <t>223</t>
  </si>
  <si>
    <t>1000MCM THHN</t>
  </si>
  <si>
    <t>6/2 UF W/G</t>
  </si>
  <si>
    <t>363</t>
  </si>
  <si>
    <t>14/3 UF W/G</t>
  </si>
  <si>
    <t>12/3 UF W/G</t>
  </si>
  <si>
    <t>131</t>
  </si>
  <si>
    <t>10/3 UF W/G</t>
  </si>
  <si>
    <t>194</t>
  </si>
  <si>
    <t>8/3 UF W/G</t>
  </si>
  <si>
    <t>344</t>
  </si>
  <si>
    <t>437</t>
  </si>
  <si>
    <t>4/3 VNTC W/G</t>
  </si>
  <si>
    <t>675</t>
  </si>
  <si>
    <t xml:space="preserve">2/3 VNTC W/G </t>
  </si>
  <si>
    <t>995</t>
  </si>
  <si>
    <t>1/3 VNTC W/G</t>
  </si>
  <si>
    <t>1200</t>
  </si>
  <si>
    <t>1/0-3 VNTC W/G</t>
  </si>
  <si>
    <t>1480</t>
  </si>
  <si>
    <t>2/0-3 VNTC W/G</t>
  </si>
  <si>
    <t>1770</t>
  </si>
  <si>
    <t>3/0-3 VNTC W/G</t>
  </si>
  <si>
    <t>2180</t>
  </si>
  <si>
    <t>4/0-3 VNTC W/G</t>
  </si>
  <si>
    <t>2690</t>
  </si>
  <si>
    <t>250-3 VNTC W/G</t>
  </si>
  <si>
    <t>3225</t>
  </si>
  <si>
    <t>350-3 VNTC W/G</t>
  </si>
  <si>
    <t>4370</t>
  </si>
  <si>
    <t>500-3 VNTC W/G</t>
  </si>
  <si>
    <t>5960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</si>
</sst>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5" formatCode="&quot;$&quot;#,##0_);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$-409]#,##0.00_);[Red]\([$$-409]#,##0.00\)"/>
    <numFmt numFmtId="165" formatCode="[$-409]d\-mmm\-yy;@"/>
    <numFmt numFmtId="166" formatCode="&quot;$&quot;#,##0.00"/>
    <numFmt numFmtId="167" formatCode="_-&quot;£&quot;* #,##0_-;\-&quot;£&quot;* #,##0_-;_-&quot;£&quot;* &quot;-&quot;_-;_-@_-"/>
    <numFmt numFmtId="168" formatCode="_-* #,##0_-;\-* #,##0_-;_-* &quot;-&quot;_-;_-@_-"/>
    <numFmt numFmtId="169" formatCode="_-&quot;£&quot;* #,##0.00_-;\-&quot;£&quot;* #,##0.00_-;_-&quot;£&quot;* &quot;-&quot;??_-;_-@_-"/>
    <numFmt numFmtId="170" formatCode="_-* #,##0.00_-;\-* #,##0.00_-;_-* &quot;-&quot;??_-;_-@_-"/>
    <numFmt numFmtId="171" formatCode="0.00%_);[Red]\(0.00%\)"/>
    <numFmt numFmtId="172" formatCode="0%_);[Red]\(0%\)"/>
    <numFmt numFmtId="173" formatCode="_([$$-409]* #,##0.00_);_([$$-409]* \(#,##0.00\);_([$$-409]* &quot;-&quot;??_);_(@_)"/>
  </numFmts>
  <fonts count="7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8"/>
      <name val="Arial"/>
      <family val="2"/>
    </font>
    <font>
      <sz val="8"/>
      <color indexed="9"/>
      <name val="Arial"/>
      <family val="2"/>
    </font>
    <font>
      <b/>
      <sz val="8"/>
      <color indexed="9"/>
      <name val="Arial"/>
      <family val="2"/>
    </font>
    <font>
      <sz val="8"/>
      <color indexed="8"/>
      <name val="Arial"/>
      <family val="2"/>
    </font>
    <font>
      <b/>
      <sz val="8"/>
      <color theme="0"/>
      <name val="Arial"/>
      <family val="2"/>
    </font>
    <font>
      <b/>
      <sz val="8"/>
      <color rgb="FFFF99FF"/>
      <name val="Arial"/>
      <family val="2"/>
    </font>
    <font>
      <b/>
      <sz val="16"/>
      <color indexed="9"/>
      <name val="Arial"/>
      <family val="2"/>
    </font>
    <font>
      <sz val="10"/>
      <color indexed="9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8"/>
      <name val="Tahoma"/>
      <family val="2"/>
    </font>
    <font>
      <sz val="8"/>
      <name val="Times New Roman"/>
      <family val="1"/>
    </font>
    <font>
      <sz val="8"/>
      <name val="Verdana"/>
      <family val="2"/>
    </font>
    <font>
      <sz val="10"/>
      <name val="Helv"/>
    </font>
    <font>
      <b/>
      <sz val="9"/>
      <name val="Arial"/>
      <family val="2"/>
    </font>
    <font>
      <b/>
      <sz val="8"/>
      <color indexed="9"/>
      <name val="Tahoma"/>
      <family val="2"/>
    </font>
    <font>
      <b/>
      <sz val="8"/>
      <color indexed="8"/>
      <name val="Tahoma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11"/>
      <color indexed="23"/>
      <name val="Verdana"/>
      <family val="2"/>
    </font>
    <font>
      <sz val="10"/>
      <color indexed="10"/>
      <name val="Helv"/>
    </font>
    <font>
      <sz val="9"/>
      <color indexed="10"/>
      <name val="Arial"/>
      <family val="2"/>
    </font>
    <font>
      <i/>
      <sz val="10"/>
      <color indexed="12"/>
      <name val="Tms Rmn"/>
    </font>
    <font>
      <b/>
      <sz val="10"/>
      <color indexed="8"/>
      <name val="Tms Rmn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61"/>
      <name val="Calibri"/>
      <family val="2"/>
    </font>
    <font>
      <b/>
      <sz val="11"/>
      <color indexed="46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46"/>
      <name val="Calibri"/>
      <family val="2"/>
    </font>
    <font>
      <sz val="11"/>
      <color indexed="19"/>
      <name val="Calibri"/>
      <family val="2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8"/>
      <color rgb="FFFFFFFF"/>
      <name val="Arial"/>
      <family val="2"/>
    </font>
    <font>
      <u/>
      <sz val="11"/>
      <color theme="10"/>
      <name val="Calibri"/>
      <family val="2"/>
      <scheme val="minor"/>
    </font>
    <font>
      <sz val="8"/>
      <color theme="1"/>
      <name val="Arial"/>
      <family val="2"/>
    </font>
    <font>
      <b/>
      <sz val="8"/>
      <color rgb="FFFFFFFF"/>
      <name val="Arial"/>
      <family val="2"/>
    </font>
    <font>
      <sz val="7.5"/>
      <color rgb="FFFFFFFF"/>
      <name val="Arial"/>
      <family val="2"/>
    </font>
    <font>
      <b/>
      <sz val="7.5"/>
      <color rgb="FFFFFFFF"/>
      <name val="Arial"/>
      <family val="2"/>
    </font>
    <font>
      <b/>
      <sz val="8"/>
      <color rgb="FF000000"/>
      <name val="Arial"/>
      <family val="2"/>
    </font>
    <font>
      <b/>
      <sz val="11"/>
      <color theme="1"/>
      <name val="Calibri"/>
      <family val="2"/>
      <scheme val="minor"/>
    </font>
    <font>
      <sz val="9"/>
      <color rgb="FFFFFFFF"/>
      <name val="Arial"/>
      <family val="2"/>
    </font>
    <font>
      <b/>
      <sz val="9"/>
      <color rgb="FF000000"/>
      <name val="Arial"/>
      <family val="2"/>
    </font>
    <font>
      <b/>
      <sz val="9"/>
      <color rgb="FFFFFFFF"/>
      <name val="Arial"/>
      <family val="2"/>
    </font>
    <font>
      <b/>
      <sz val="9"/>
      <color indexed="9"/>
      <name val="Arial"/>
      <family val="2"/>
    </font>
    <font>
      <b/>
      <sz val="9"/>
      <color theme="0"/>
      <name val="Arial"/>
      <family val="2"/>
    </font>
    <font>
      <sz val="9"/>
      <color theme="1"/>
      <name val="Arial"/>
      <family val="2"/>
    </font>
    <font>
      <sz val="9"/>
      <color indexed="8"/>
      <name val="Arial"/>
      <family val="2"/>
    </font>
    <font>
      <sz val="9"/>
      <color rgb="FF000000"/>
      <name val="Arial"/>
      <family val="2"/>
    </font>
    <font>
      <b/>
      <sz val="9"/>
      <color rgb="FFFF99FF"/>
      <name val="Arial"/>
      <family val="2"/>
    </font>
    <font>
      <sz val="9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"/>
      <family val="2"/>
    </font>
    <font>
      <u/>
      <sz val="9"/>
      <color theme="1"/>
      <name val="Arial"/>
      <family val="2"/>
    </font>
    <font>
      <b/>
      <u/>
      <sz val="11"/>
      <color theme="1"/>
      <name val="Calibri"/>
      <family val="2"/>
      <scheme val="minor"/>
    </font>
    <font>
      <sz val="9"/>
      <color theme="1"/>
      <name val="Angsana New"/>
      <family val="1"/>
    </font>
    <font>
      <sz val="8"/>
      <color rgb="FFFFFFFF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1"/>
      <color rgb="FFFFFFFF"/>
      <name val="Calibri"/>
      <family val="2"/>
      <scheme val="minor"/>
    </font>
    <font>
      <b/>
      <u/>
      <sz val="9"/>
      <color indexed="8"/>
      <name val="Arial"/>
      <family val="2"/>
    </font>
    <font>
      <b/>
      <i/>
      <u/>
      <sz val="9"/>
      <color theme="1"/>
      <name val="Arial"/>
      <family val="2"/>
    </font>
    <font>
      <sz val="11"/>
      <color rgb="FF000000"/>
      <name val="Calibri"/>
      <family val="2"/>
      <scheme val="minor"/>
    </font>
    <font>
      <sz val="9"/>
      <color theme="1"/>
      <name val="Arial"/>
    </font>
  </fonts>
  <fills count="50">
    <fill>
      <patternFill patternType="none"/>
    </fill>
    <fill>
      <patternFill patternType="gray125"/>
    </fill>
    <fill>
      <patternFill patternType="solid">
        <fgColor indexed="1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27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50"/>
      </patternFill>
    </fill>
    <fill>
      <patternFill patternType="solid">
        <fgColor indexed="29"/>
      </patternFill>
    </fill>
    <fill>
      <patternFill patternType="solid">
        <fgColor indexed="56"/>
      </patternFill>
    </fill>
    <fill>
      <patternFill patternType="solid">
        <fgColor indexed="53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46"/>
      </patternFill>
    </fill>
    <fill>
      <patternFill patternType="solid">
        <fgColor indexed="9"/>
        <bgColor indexed="64"/>
      </patternFill>
    </fill>
    <fill>
      <patternFill patternType="solid">
        <fgColor indexed="14"/>
      </patternFill>
    </fill>
    <fill>
      <patternFill patternType="solid">
        <fgColor indexed="55"/>
        <bgColor indexed="64"/>
      </patternFill>
    </fill>
    <fill>
      <patternFill patternType="solid">
        <fgColor indexed="55"/>
      </patternFill>
    </fill>
    <fill>
      <patternFill patternType="lightGray">
        <fgColor indexed="13"/>
        <bgColor indexed="13"/>
      </patternFill>
    </fill>
    <fill>
      <patternFill patternType="darkGray">
        <fgColor indexed="22"/>
        <bgColor indexed="13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indexed="22"/>
        <bgColor indexed="22"/>
      </patternFill>
    </fill>
    <fill>
      <patternFill patternType="solid">
        <fgColor indexed="58"/>
        <bgColor indexed="64"/>
      </patternFill>
    </fill>
    <fill>
      <patternFill patternType="solid">
        <fgColor rgb="FF7030A0"/>
      </patternFill>
    </fill>
    <fill>
      <patternFill patternType="solid">
        <fgColor rgb="FFFFFFFF"/>
        <bgColor indexed="64"/>
      </patternFill>
    </fill>
    <fill>
      <patternFill patternType="solid">
        <fgColor rgb="FFC3D69B"/>
        <bgColor indexed="64"/>
      </patternFill>
    </fill>
    <fill>
      <patternFill patternType="solid">
        <fgColor rgb="FFB7DDE8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8064A2"/>
        <bgColor indexed="64"/>
      </patternFill>
    </fill>
    <fill>
      <patternFill patternType="solid">
        <fgColor rgb="FFE5B9B7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BD5B5"/>
        <bgColor indexed="64"/>
      </patternFill>
    </fill>
    <fill>
      <patternFill patternType="solid">
        <fgColor rgb="FFEBF1DD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rgb="FFD7E3BC"/>
        <bgColor indexed="64"/>
      </patternFill>
    </fill>
    <fill>
      <patternFill patternType="solid">
        <fgColor rgb="FFE5E0EC"/>
        <bgColor indexed="64"/>
      </patternFill>
    </fill>
  </fills>
  <borders count="4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18"/>
      </left>
      <right style="medium">
        <color indexed="18"/>
      </right>
      <top style="medium">
        <color indexed="18"/>
      </top>
      <bottom style="medium">
        <color indexed="18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double">
        <color indexed="46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double">
        <color indexed="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85">
    <xf numFmtId="0" fontId="0" fillId="0" borderId="0"/>
    <xf numFmtId="0" fontId="1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3" fillId="0" borderId="0"/>
    <xf numFmtId="0" fontId="28" fillId="12" borderId="0" applyNumberFormat="0" applyBorder="0" applyAlignment="0" applyProtection="0"/>
    <xf numFmtId="0" fontId="28" fillId="13" borderId="0" applyNumberFormat="0" applyBorder="0" applyAlignment="0" applyProtection="0"/>
    <xf numFmtId="0" fontId="28" fillId="13" borderId="0" applyNumberFormat="0" applyBorder="0" applyAlignment="0" applyProtection="0"/>
    <xf numFmtId="0" fontId="28" fillId="14" borderId="0" applyNumberFormat="0" applyBorder="0" applyAlignment="0" applyProtection="0"/>
    <xf numFmtId="0" fontId="28" fillId="12" borderId="0" applyNumberFormat="0" applyBorder="0" applyAlignment="0" applyProtection="0"/>
    <xf numFmtId="0" fontId="28" fillId="15" borderId="0" applyNumberFormat="0" applyBorder="0" applyAlignment="0" applyProtection="0"/>
    <xf numFmtId="0" fontId="28" fillId="16" borderId="0" applyNumberFormat="0" applyBorder="0" applyAlignment="0" applyProtection="0"/>
    <xf numFmtId="0" fontId="28" fillId="13" borderId="0" applyNumberFormat="0" applyBorder="0" applyAlignment="0" applyProtection="0"/>
    <xf numFmtId="0" fontId="28" fillId="17" borderId="0" applyNumberFormat="0" applyBorder="0" applyAlignment="0" applyProtection="0"/>
    <xf numFmtId="0" fontId="28" fillId="18" borderId="0" applyNumberFormat="0" applyBorder="0" applyAlignment="0" applyProtection="0"/>
    <xf numFmtId="0" fontId="28" fillId="16" borderId="0" applyNumberFormat="0" applyBorder="0" applyAlignment="0" applyProtection="0"/>
    <xf numFmtId="0" fontId="28" fillId="17" borderId="0" applyNumberFormat="0" applyBorder="0" applyAlignment="0" applyProtection="0"/>
    <xf numFmtId="0" fontId="29" fillId="16" borderId="0" applyNumberFormat="0" applyBorder="0" applyAlignment="0" applyProtection="0"/>
    <xf numFmtId="0" fontId="29" fillId="13" borderId="0" applyNumberFormat="0" applyBorder="0" applyAlignment="0" applyProtection="0"/>
    <xf numFmtId="0" fontId="29" fillId="19" borderId="0" applyNumberFormat="0" applyBorder="0" applyAlignment="0" applyProtection="0"/>
    <xf numFmtId="0" fontId="29" fillId="18" borderId="0" applyNumberFormat="0" applyBorder="0" applyAlignment="0" applyProtection="0"/>
    <xf numFmtId="0" fontId="29" fillId="16" borderId="0" applyNumberFormat="0" applyBorder="0" applyAlignment="0" applyProtection="0"/>
    <xf numFmtId="0" fontId="29" fillId="20" borderId="0" applyNumberFormat="0" applyBorder="0" applyAlignment="0" applyProtection="0"/>
    <xf numFmtId="0" fontId="29" fillId="21" borderId="0" applyNumberFormat="0" applyBorder="0" applyAlignment="0" applyProtection="0"/>
    <xf numFmtId="0" fontId="29" fillId="22" borderId="0" applyNumberFormat="0" applyBorder="0" applyAlignment="0" applyProtection="0"/>
    <xf numFmtId="0" fontId="29" fillId="19" borderId="0" applyNumberFormat="0" applyBorder="0" applyAlignment="0" applyProtection="0"/>
    <xf numFmtId="0" fontId="29" fillId="23" borderId="0" applyNumberFormat="0" applyBorder="0" applyAlignment="0" applyProtection="0"/>
    <xf numFmtId="0" fontId="29" fillId="24" borderId="0" applyNumberFormat="0" applyBorder="0" applyAlignment="0" applyProtection="0"/>
    <xf numFmtId="0" fontId="29" fillId="25" borderId="0" applyNumberFormat="0" applyBorder="0" applyAlignment="0" applyProtection="0"/>
    <xf numFmtId="37" fontId="14" fillId="26" borderId="16" applyBorder="0" applyProtection="0">
      <alignment vertical="center"/>
    </xf>
    <xf numFmtId="0" fontId="30" fillId="27" borderId="0" applyNumberFormat="0" applyBorder="0" applyAlignment="0" applyProtection="0"/>
    <xf numFmtId="5" fontId="15" fillId="0" borderId="15">
      <protection locked="0"/>
    </xf>
    <xf numFmtId="0" fontId="16" fillId="28" borderId="0" applyBorder="0">
      <alignment horizontal="left" vertical="center" indent="1"/>
    </xf>
    <xf numFmtId="0" fontId="31" fillId="14" borderId="21" applyNumberFormat="0" applyAlignment="0" applyProtection="0"/>
    <xf numFmtId="0" fontId="32" fillId="29" borderId="22" applyNumberFormat="0" applyAlignment="0" applyProtection="0"/>
    <xf numFmtId="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5" fontId="1" fillId="0" borderId="0" applyFont="0" applyFill="0" applyBorder="0" applyAlignment="0" applyProtection="0"/>
    <xf numFmtId="0" fontId="17" fillId="0" borderId="23"/>
    <xf numFmtId="4" fontId="15" fillId="30" borderId="23">
      <protection locked="0"/>
    </xf>
    <xf numFmtId="0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0" fontId="33" fillId="0" borderId="0" applyNumberFormat="0" applyFill="0" applyBorder="0" applyAlignment="0" applyProtection="0"/>
    <xf numFmtId="2" fontId="1" fillId="0" borderId="0" applyFont="0" applyFill="0" applyBorder="0" applyAlignment="0" applyProtection="0"/>
    <xf numFmtId="0" fontId="34" fillId="16" borderId="0" applyNumberFormat="0" applyBorder="0" applyAlignment="0" applyProtection="0"/>
    <xf numFmtId="4" fontId="15" fillId="31" borderId="23"/>
    <xf numFmtId="43" fontId="18" fillId="0" borderId="17"/>
    <xf numFmtId="37" fontId="19" fillId="32" borderId="15" applyBorder="0">
      <alignment horizontal="left" vertical="center" indent="1"/>
    </xf>
    <xf numFmtId="37" fontId="20" fillId="33" borderId="5" applyFill="0">
      <alignment vertical="center"/>
    </xf>
    <xf numFmtId="0" fontId="20" fillId="34" borderId="3" applyNumberFormat="0">
      <alignment horizontal="left" vertical="top" indent="1"/>
    </xf>
    <xf numFmtId="0" fontId="20" fillId="26" borderId="0" applyBorder="0">
      <alignment horizontal="left" vertical="center" indent="1"/>
    </xf>
    <xf numFmtId="0" fontId="20" fillId="0" borderId="3" applyNumberFormat="0" applyFill="0">
      <alignment horizontal="centerContinuous" vertical="top"/>
    </xf>
    <xf numFmtId="0" fontId="21" fillId="0" borderId="0" applyNumberFormat="0" applyFont="0" applyFill="0" applyAlignment="0" applyProtection="0"/>
    <xf numFmtId="0" fontId="22" fillId="0" borderId="0" applyNumberFormat="0" applyFont="0" applyFill="0" applyAlignment="0" applyProtection="0"/>
    <xf numFmtId="0" fontId="35" fillId="0" borderId="24" applyNumberFormat="0" applyFill="0" applyAlignment="0" applyProtection="0"/>
    <xf numFmtId="0" fontId="35" fillId="0" borderId="0" applyNumberFormat="0" applyFill="0" applyBorder="0" applyAlignment="0" applyProtection="0"/>
    <xf numFmtId="0" fontId="36" fillId="20" borderId="21" applyNumberFormat="0" applyAlignment="0" applyProtection="0"/>
    <xf numFmtId="43" fontId="18" fillId="0" borderId="25"/>
    <xf numFmtId="0" fontId="37" fillId="0" borderId="26" applyNumberFormat="0" applyFill="0" applyAlignment="0" applyProtection="0"/>
    <xf numFmtId="44" fontId="18" fillId="0" borderId="27"/>
    <xf numFmtId="0" fontId="38" fillId="17" borderId="0" applyNumberFormat="0" applyBorder="0" applyAlignment="0" applyProtection="0"/>
    <xf numFmtId="0" fontId="23" fillId="33" borderId="0">
      <alignment horizontal="left" wrapText="1" indent="1"/>
    </xf>
    <xf numFmtId="37" fontId="14" fillId="26" borderId="28" applyBorder="0">
      <alignment horizontal="left" vertical="center" indent="2"/>
    </xf>
    <xf numFmtId="0" fontId="1" fillId="0" borderId="0"/>
    <xf numFmtId="0" fontId="24" fillId="0" borderId="0"/>
    <xf numFmtId="0" fontId="1" fillId="17" borderId="29" applyNumberFormat="0" applyFont="0" applyAlignment="0" applyProtection="0"/>
    <xf numFmtId="0" fontId="39" fillId="14" borderId="30" applyNumberFormat="0" applyAlignment="0" applyProtection="0"/>
    <xf numFmtId="172" fontId="3" fillId="35" borderId="31"/>
    <xf numFmtId="171" fontId="3" fillId="0" borderId="31" applyFont="0" applyFill="0" applyBorder="0" applyAlignment="0" applyProtection="0">
      <protection locked="0"/>
    </xf>
    <xf numFmtId="2" fontId="25" fillId="0" borderId="0">
      <protection locked="0"/>
    </xf>
    <xf numFmtId="0" fontId="1" fillId="36" borderId="0"/>
    <xf numFmtId="49" fontId="1" fillId="0" borderId="0" applyFont="0" applyFill="0" applyBorder="0" applyAlignment="0" applyProtection="0"/>
    <xf numFmtId="0" fontId="40" fillId="0" borderId="0" applyNumberFormat="0" applyFill="0" applyBorder="0" applyAlignment="0" applyProtection="0"/>
    <xf numFmtId="0" fontId="26" fillId="0" borderId="0">
      <alignment horizontal="right"/>
    </xf>
    <xf numFmtId="0" fontId="27" fillId="0" borderId="0"/>
    <xf numFmtId="0" fontId="1" fillId="0" borderId="32" applyNumberFormat="0" applyFont="0" applyBorder="0" applyAlignment="0" applyProtection="0"/>
    <xf numFmtId="167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/>
    <xf numFmtId="44" fontId="4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44" fillId="0" borderId="0" applyNumberFormat="0" applyFill="0" applyBorder="0" applyAlignment="0" applyProtection="0"/>
  </cellStyleXfs>
  <cellXfs count="630">
    <xf numFmtId="0" fontId="0" fillId="0" borderId="0" xfId="0"/>
    <xf numFmtId="0" fontId="9" fillId="8" borderId="0" xfId="0" applyFont="1" applyFill="1"/>
    <xf numFmtId="0" fontId="10" fillId="8" borderId="0" xfId="0" applyFont="1" applyFill="1"/>
    <xf numFmtId="0" fontId="9" fillId="8" borderId="0" xfId="0" applyFont="1" applyFill="1" applyAlignment="1">
      <alignment horizontal="left"/>
    </xf>
    <xf numFmtId="0" fontId="0" fillId="4" borderId="0" xfId="0" applyFill="1"/>
    <xf numFmtId="0" fontId="0" fillId="9" borderId="0" xfId="0" applyFill="1"/>
    <xf numFmtId="49" fontId="11" fillId="0" borderId="10" xfId="0" applyNumberFormat="1" applyFont="1" applyBorder="1" applyAlignment="1">
      <alignment horizontal="center"/>
    </xf>
    <xf numFmtId="49" fontId="11" fillId="0" borderId="17" xfId="0" applyNumberFormat="1" applyFont="1" applyBorder="1" applyAlignment="1">
      <alignment horizontal="center"/>
    </xf>
    <xf numFmtId="49" fontId="11" fillId="4" borderId="18" xfId="0" applyNumberFormat="1" applyFont="1" applyFill="1" applyBorder="1" applyAlignment="1">
      <alignment horizontal="center"/>
    </xf>
    <xf numFmtId="49" fontId="11" fillId="9" borderId="19" xfId="0" applyNumberFormat="1" applyFont="1" applyFill="1" applyBorder="1" applyAlignment="1">
      <alignment horizontal="center"/>
    </xf>
    <xf numFmtId="49" fontId="11" fillId="0" borderId="11" xfId="0" applyNumberFormat="1" applyFont="1" applyBorder="1" applyAlignment="1">
      <alignment horizontal="center"/>
    </xf>
    <xf numFmtId="49" fontId="11" fillId="0" borderId="3" xfId="0" applyNumberFormat="1" applyFont="1" applyBorder="1" applyAlignment="1">
      <alignment horizontal="center"/>
    </xf>
    <xf numFmtId="0" fontId="11" fillId="4" borderId="9" xfId="0" applyFont="1" applyFill="1" applyBorder="1" applyAlignment="1">
      <alignment horizontal="center"/>
    </xf>
    <xf numFmtId="0" fontId="11" fillId="9" borderId="4" xfId="0" applyFont="1" applyFill="1" applyBorder="1" applyAlignment="1">
      <alignment horizontal="center"/>
    </xf>
    <xf numFmtId="49" fontId="11" fillId="0" borderId="0" xfId="0" applyNumberFormat="1" applyFont="1" applyBorder="1" applyAlignment="1">
      <alignment horizontal="center"/>
    </xf>
    <xf numFmtId="0" fontId="0" fillId="4" borderId="0" xfId="0" applyFill="1" applyAlignment="1">
      <alignment horizontal="center"/>
    </xf>
    <xf numFmtId="0" fontId="0" fillId="9" borderId="0" xfId="0" applyFill="1" applyAlignment="1">
      <alignment horizontal="center"/>
    </xf>
    <xf numFmtId="49" fontId="11" fillId="0" borderId="0" xfId="0" applyNumberFormat="1" applyFont="1" applyBorder="1" applyAlignment="1">
      <alignment horizontal="left"/>
    </xf>
    <xf numFmtId="49" fontId="12" fillId="0" borderId="1" xfId="0" applyNumberFormat="1" applyFont="1" applyBorder="1" applyAlignment="1">
      <alignment horizontal="left"/>
    </xf>
    <xf numFmtId="3" fontId="12" fillId="0" borderId="1" xfId="0" applyNumberFormat="1" applyFont="1" applyBorder="1" applyAlignment="1">
      <alignment horizontal="right"/>
    </xf>
    <xf numFmtId="1" fontId="0" fillId="4" borderId="1" xfId="0" applyNumberFormat="1" applyFill="1" applyBorder="1"/>
    <xf numFmtId="1" fontId="0" fillId="9" borderId="1" xfId="0" applyNumberFormat="1" applyFill="1" applyBorder="1"/>
    <xf numFmtId="49" fontId="12" fillId="0" borderId="1" xfId="0" applyNumberFormat="1" applyFont="1" applyBorder="1" applyAlignment="1">
      <alignment horizontal="right"/>
    </xf>
    <xf numFmtId="49" fontId="12" fillId="4" borderId="1" xfId="0" applyNumberFormat="1" applyFont="1" applyFill="1" applyBorder="1" applyAlignment="1">
      <alignment horizontal="left"/>
    </xf>
    <xf numFmtId="3" fontId="12" fillId="4" borderId="1" xfId="0" applyNumberFormat="1" applyFont="1" applyFill="1" applyBorder="1" applyAlignment="1">
      <alignment horizontal="right"/>
    </xf>
    <xf numFmtId="49" fontId="12" fillId="4" borderId="1" xfId="0" applyNumberFormat="1" applyFont="1" applyFill="1" applyBorder="1" applyAlignment="1">
      <alignment horizontal="right"/>
    </xf>
    <xf numFmtId="49" fontId="12" fillId="0" borderId="0" xfId="0" applyNumberFormat="1" applyFont="1" applyAlignment="1">
      <alignment horizontal="left"/>
    </xf>
    <xf numFmtId="3" fontId="12" fillId="0" borderId="0" xfId="0" applyNumberFormat="1" applyFont="1" applyAlignment="1">
      <alignment horizontal="right"/>
    </xf>
    <xf numFmtId="1" fontId="0" fillId="4" borderId="0" xfId="0" applyNumberFormat="1" applyFill="1" applyBorder="1"/>
    <xf numFmtId="1" fontId="0" fillId="9" borderId="0" xfId="0" applyNumberFormat="1" applyFill="1" applyBorder="1"/>
    <xf numFmtId="49" fontId="12" fillId="0" borderId="0" xfId="0" applyNumberFormat="1" applyFont="1" applyAlignment="1">
      <alignment horizontal="right"/>
    </xf>
    <xf numFmtId="1" fontId="0" fillId="4" borderId="0" xfId="0" applyNumberFormat="1" applyFill="1"/>
    <xf numFmtId="49" fontId="12" fillId="0" borderId="0" xfId="0" applyNumberFormat="1" applyFont="1" applyAlignment="1">
      <alignment horizontal="center"/>
    </xf>
    <xf numFmtId="49" fontId="11" fillId="0" borderId="0" xfId="0" applyNumberFormat="1" applyFont="1" applyFill="1" applyBorder="1" applyAlignment="1">
      <alignment horizontal="left"/>
    </xf>
    <xf numFmtId="3" fontId="12" fillId="0" borderId="0" xfId="0" applyNumberFormat="1" applyFont="1" applyFill="1" applyBorder="1" applyAlignment="1">
      <alignment horizontal="right"/>
    </xf>
    <xf numFmtId="1" fontId="0" fillId="4" borderId="20" xfId="0" applyNumberFormat="1" applyFill="1" applyBorder="1"/>
    <xf numFmtId="1" fontId="0" fillId="9" borderId="0" xfId="0" applyNumberFormat="1" applyFill="1"/>
    <xf numFmtId="49" fontId="12" fillId="0" borderId="0" xfId="0" applyNumberFormat="1" applyFont="1" applyFill="1" applyBorder="1" applyAlignment="1">
      <alignment horizontal="right"/>
    </xf>
    <xf numFmtId="49" fontId="12" fillId="0" borderId="0" xfId="0" applyNumberFormat="1" applyFont="1" applyBorder="1" applyAlignment="1">
      <alignment horizontal="left"/>
    </xf>
    <xf numFmtId="49" fontId="12" fillId="0" borderId="0" xfId="0" applyNumberFormat="1" applyFont="1" applyBorder="1" applyAlignment="1">
      <alignment horizontal="right"/>
    </xf>
    <xf numFmtId="49" fontId="12" fillId="0" borderId="1" xfId="0" applyNumberFormat="1" applyFont="1" applyFill="1" applyBorder="1" applyAlignment="1">
      <alignment horizontal="left"/>
    </xf>
    <xf numFmtId="49" fontId="12" fillId="0" borderId="1" xfId="0" applyNumberFormat="1" applyFont="1" applyFill="1" applyBorder="1" applyAlignment="1">
      <alignment horizontal="right"/>
    </xf>
    <xf numFmtId="49" fontId="12" fillId="0" borderId="0" xfId="0" applyNumberFormat="1" applyFont="1" applyFill="1" applyBorder="1" applyAlignment="1">
      <alignment horizontal="left"/>
    </xf>
    <xf numFmtId="1" fontId="0" fillId="0" borderId="0" xfId="0" applyNumberFormat="1"/>
    <xf numFmtId="1" fontId="1" fillId="4" borderId="1" xfId="0" applyNumberFormat="1" applyFont="1" applyFill="1" applyBorder="1"/>
    <xf numFmtId="0" fontId="1" fillId="0" borderId="0" xfId="0" applyFont="1" applyAlignment="1">
      <alignment wrapText="1"/>
    </xf>
    <xf numFmtId="0" fontId="1" fillId="0" borderId="0" xfId="0" applyFont="1"/>
    <xf numFmtId="0" fontId="0" fillId="0" borderId="1" xfId="0" applyBorder="1"/>
    <xf numFmtId="1" fontId="6" fillId="0" borderId="1" xfId="1" applyNumberFormat="1" applyFont="1" applyFill="1" applyBorder="1" applyAlignment="1">
      <alignment vertical="center"/>
    </xf>
    <xf numFmtId="166" fontId="47" fillId="10" borderId="8" xfId="1" applyNumberFormat="1" applyFont="1" applyFill="1" applyBorder="1" applyAlignment="1">
      <alignment horizontal="centerContinuous" vertical="center"/>
    </xf>
    <xf numFmtId="166" fontId="46" fillId="10" borderId="6" xfId="1" applyNumberFormat="1" applyFont="1" applyFill="1" applyBorder="1" applyAlignment="1">
      <alignment horizontal="center" vertical="center"/>
    </xf>
    <xf numFmtId="2" fontId="48" fillId="10" borderId="6" xfId="1" applyNumberFormat="1" applyFont="1" applyFill="1" applyBorder="1" applyAlignment="1">
      <alignment horizontal="center"/>
    </xf>
    <xf numFmtId="166" fontId="46" fillId="10" borderId="1" xfId="1" applyNumberFormat="1" applyFont="1" applyFill="1" applyBorder="1" applyAlignment="1">
      <alignment horizontal="center" vertical="center"/>
    </xf>
    <xf numFmtId="166" fontId="47" fillId="10" borderId="7" xfId="1" applyNumberFormat="1" applyFont="1" applyFill="1" applyBorder="1" applyAlignment="1">
      <alignment horizontal="centerContinuous" vertical="center"/>
    </xf>
    <xf numFmtId="0" fontId="7" fillId="10" borderId="1" xfId="1" applyFont="1" applyFill="1" applyBorder="1" applyAlignment="1">
      <alignment horizontal="center" vertical="center"/>
    </xf>
    <xf numFmtId="0" fontId="5" fillId="10" borderId="1" xfId="1" applyFont="1" applyFill="1" applyBorder="1" applyAlignment="1">
      <alignment horizontal="center" vertical="center"/>
    </xf>
    <xf numFmtId="166" fontId="43" fillId="10" borderId="1" xfId="1" applyNumberFormat="1" applyFont="1" applyFill="1" applyBorder="1" applyAlignment="1">
      <alignment horizontal="center" vertical="center"/>
    </xf>
    <xf numFmtId="2" fontId="46" fillId="10" borderId="1" xfId="1" applyNumberFormat="1" applyFont="1" applyFill="1" applyBorder="1" applyAlignment="1">
      <alignment horizontal="center"/>
    </xf>
    <xf numFmtId="0" fontId="0" fillId="0" borderId="33" xfId="0" applyBorder="1"/>
    <xf numFmtId="0" fontId="44" fillId="0" borderId="1" xfId="84" applyBorder="1"/>
    <xf numFmtId="0" fontId="45" fillId="0" borderId="0" xfId="0" applyFont="1" applyAlignment="1">
      <alignment horizontal="center" vertical="center"/>
    </xf>
    <xf numFmtId="0" fontId="49" fillId="7" borderId="8" xfId="1" applyFont="1" applyFill="1" applyBorder="1" applyAlignment="1">
      <alignment horizontal="center" vertical="center"/>
    </xf>
    <xf numFmtId="14" fontId="45" fillId="0" borderId="0" xfId="0" applyNumberFormat="1" applyFont="1" applyAlignment="1">
      <alignment horizontal="center" vertical="center"/>
    </xf>
    <xf numFmtId="0" fontId="45" fillId="38" borderId="0" xfId="0" applyFont="1" applyFill="1" applyAlignment="1">
      <alignment horizontal="center" vertical="center"/>
    </xf>
    <xf numFmtId="0" fontId="45" fillId="0" borderId="0" xfId="0" quotePrefix="1" applyFont="1" applyAlignment="1">
      <alignment horizontal="center" vertical="center"/>
    </xf>
    <xf numFmtId="0" fontId="45" fillId="0" borderId="0" xfId="0" applyFont="1"/>
    <xf numFmtId="0" fontId="0" fillId="0" borderId="12" xfId="0" applyBorder="1"/>
    <xf numFmtId="49" fontId="43" fillId="10" borderId="10" xfId="1" applyNumberFormat="1" applyFont="1" applyFill="1" applyBorder="1" applyAlignment="1">
      <alignment horizontal="center" vertical="center"/>
    </xf>
    <xf numFmtId="49" fontId="43" fillId="37" borderId="1" xfId="1" applyNumberFormat="1" applyFont="1" applyFill="1" applyBorder="1" applyAlignment="1">
      <alignment horizontal="center" vertical="center"/>
    </xf>
    <xf numFmtId="0" fontId="43" fillId="6" borderId="6" xfId="1" applyFont="1" applyFill="1" applyBorder="1" applyAlignment="1">
      <alignment horizontal="center" vertical="center"/>
    </xf>
    <xf numFmtId="0" fontId="43" fillId="10" borderId="6" xfId="1" applyFont="1" applyFill="1" applyBorder="1" applyAlignment="1">
      <alignment horizontal="center" vertical="center"/>
    </xf>
    <xf numFmtId="0" fontId="43" fillId="5" borderId="6" xfId="1" applyFont="1" applyFill="1" applyBorder="1" applyAlignment="1">
      <alignment horizontal="center" vertical="center"/>
    </xf>
    <xf numFmtId="0" fontId="43" fillId="2" borderId="7" xfId="1" applyFont="1" applyFill="1" applyBorder="1" applyAlignment="1">
      <alignment horizontal="center" vertical="center"/>
    </xf>
    <xf numFmtId="0" fontId="43" fillId="2" borderId="5" xfId="1" applyFont="1" applyFill="1" applyBorder="1" applyAlignment="1">
      <alignment horizontal="center" vertical="center"/>
    </xf>
    <xf numFmtId="164" fontId="43" fillId="2" borderId="5" xfId="1" applyNumberFormat="1" applyFont="1" applyFill="1" applyBorder="1" applyAlignment="1">
      <alignment horizontal="center" vertical="center"/>
    </xf>
    <xf numFmtId="164" fontId="43" fillId="40" borderId="1" xfId="1" applyNumberFormat="1" applyFont="1" applyFill="1" applyBorder="1" applyAlignment="1">
      <alignment horizontal="center" vertical="center"/>
    </xf>
    <xf numFmtId="0" fontId="43" fillId="3" borderId="1" xfId="1" applyFont="1" applyFill="1" applyBorder="1" applyAlignment="1">
      <alignment horizontal="center" vertical="center"/>
    </xf>
    <xf numFmtId="0" fontId="5" fillId="10" borderId="1" xfId="1" applyNumberFormat="1" applyFont="1" applyFill="1" applyBorder="1" applyAlignment="1">
      <alignment horizontal="center" vertical="center"/>
    </xf>
    <xf numFmtId="164" fontId="46" fillId="10" borderId="1" xfId="1" applyNumberFormat="1" applyFont="1" applyFill="1" applyBorder="1" applyAlignment="1">
      <alignment horizontal="center" vertical="center"/>
    </xf>
    <xf numFmtId="0" fontId="46" fillId="10" borderId="1" xfId="1" applyFont="1" applyFill="1" applyBorder="1" applyAlignment="1">
      <alignment horizontal="center" vertical="center"/>
    </xf>
    <xf numFmtId="2" fontId="45" fillId="0" borderId="0" xfId="0" applyNumberFormat="1" applyFont="1" applyAlignment="1">
      <alignment horizontal="center" vertical="center"/>
    </xf>
    <xf numFmtId="49" fontId="45" fillId="0" borderId="0" xfId="0" applyNumberFormat="1" applyFont="1" applyAlignment="1">
      <alignment horizontal="center" vertical="center"/>
    </xf>
    <xf numFmtId="0" fontId="0" fillId="0" borderId="16" xfId="0" applyBorder="1"/>
    <xf numFmtId="0" fontId="44" fillId="0" borderId="1" xfId="84" applyNumberFormat="1" applyBorder="1" applyAlignment="1">
      <alignment horizontal="center" vertical="center" wrapText="1"/>
    </xf>
    <xf numFmtId="165" fontId="51" fillId="37" borderId="1" xfId="1" applyNumberFormat="1" applyFont="1" applyFill="1" applyBorder="1" applyAlignment="1">
      <alignment horizontal="center" vertical="center"/>
    </xf>
    <xf numFmtId="0" fontId="51" fillId="6" borderId="1" xfId="1" applyFont="1" applyFill="1" applyBorder="1" applyAlignment="1">
      <alignment horizontal="center" vertical="center"/>
    </xf>
    <xf numFmtId="0" fontId="51" fillId="5" borderId="1" xfId="1" applyFont="1" applyFill="1" applyBorder="1" applyAlignment="1">
      <alignment vertical="center"/>
    </xf>
    <xf numFmtId="166" fontId="51" fillId="2" borderId="1" xfId="1" applyNumberFormat="1" applyFont="1" applyFill="1" applyBorder="1" applyAlignment="1">
      <alignment horizontal="right" vertical="center"/>
    </xf>
    <xf numFmtId="166" fontId="51" fillId="40" borderId="1" xfId="1" applyNumberFormat="1" applyFont="1" applyFill="1" applyBorder="1" applyAlignment="1">
      <alignment horizontal="right" vertical="center"/>
    </xf>
    <xf numFmtId="164" fontId="57" fillId="0" borderId="1" xfId="1" applyNumberFormat="1" applyFont="1" applyBorder="1" applyAlignment="1">
      <alignment horizontal="right" vertical="center"/>
    </xf>
    <xf numFmtId="164" fontId="57" fillId="0" borderId="1" xfId="1" applyNumberFormat="1" applyFont="1" applyFill="1" applyBorder="1" applyAlignment="1">
      <alignment vertical="center"/>
    </xf>
    <xf numFmtId="166" fontId="57" fillId="0" borderId="1" xfId="1" applyNumberFormat="1" applyFont="1" applyFill="1" applyBorder="1" applyAlignment="1">
      <alignment horizontal="right" vertical="center"/>
    </xf>
    <xf numFmtId="15" fontId="57" fillId="38" borderId="1" xfId="1" applyNumberFormat="1" applyFont="1" applyFill="1" applyBorder="1" applyAlignment="1">
      <alignment horizontal="center" vertical="center"/>
    </xf>
    <xf numFmtId="0" fontId="57" fillId="0" borderId="1" xfId="1" applyFont="1" applyBorder="1" applyAlignment="1">
      <alignment vertical="center"/>
    </xf>
    <xf numFmtId="164" fontId="57" fillId="0" borderId="1" xfId="1" applyNumberFormat="1" applyFont="1" applyBorder="1" applyAlignment="1">
      <alignment vertical="center"/>
    </xf>
    <xf numFmtId="0" fontId="57" fillId="38" borderId="1" xfId="1" applyFont="1" applyFill="1" applyBorder="1" applyAlignment="1">
      <alignment horizontal="center" vertical="center"/>
    </xf>
    <xf numFmtId="166" fontId="57" fillId="0" borderId="1" xfId="1" applyNumberFormat="1" applyFont="1" applyBorder="1" applyAlignment="1">
      <alignment horizontal="center" vertical="center"/>
    </xf>
    <xf numFmtId="166" fontId="53" fillId="42" borderId="1" xfId="1" applyNumberFormat="1" applyFont="1" applyFill="1" applyBorder="1" applyAlignment="1">
      <alignment horizontal="center" vertical="center"/>
    </xf>
    <xf numFmtId="166" fontId="53" fillId="42" borderId="16" xfId="1" applyNumberFormat="1" applyFont="1" applyFill="1" applyBorder="1" applyAlignment="1">
      <alignment horizontal="center" vertical="center"/>
    </xf>
    <xf numFmtId="49" fontId="46" fillId="42" borderId="16" xfId="1" applyNumberFormat="1" applyFont="1" applyFill="1" applyBorder="1" applyAlignment="1">
      <alignment horizontal="center" vertical="center"/>
    </xf>
    <xf numFmtId="166" fontId="46" fillId="42" borderId="1" xfId="1" applyNumberFormat="1" applyFont="1" applyFill="1" applyBorder="1" applyAlignment="1">
      <alignment horizontal="center" vertical="center"/>
    </xf>
    <xf numFmtId="49" fontId="8" fillId="42" borderId="16" xfId="1" applyNumberFormat="1" applyFont="1" applyFill="1" applyBorder="1" applyAlignment="1">
      <alignment horizontal="center" vertical="center" wrapText="1"/>
    </xf>
    <xf numFmtId="166" fontId="4" fillId="42" borderId="1" xfId="1" applyNumberFormat="1" applyFont="1" applyFill="1" applyBorder="1" applyAlignment="1">
      <alignment horizontal="centerContinuous" vertical="center"/>
    </xf>
    <xf numFmtId="0" fontId="0" fillId="42" borderId="1" xfId="0" applyFill="1" applyBorder="1"/>
    <xf numFmtId="0" fontId="55" fillId="42" borderId="1" xfId="1" applyFont="1" applyFill="1" applyBorder="1" applyAlignment="1">
      <alignment horizontal="center" vertical="center"/>
    </xf>
    <xf numFmtId="0" fontId="54" fillId="42" borderId="1" xfId="1" applyFont="1" applyFill="1" applyBorder="1" applyAlignment="1">
      <alignment horizontal="center" vertical="center"/>
    </xf>
    <xf numFmtId="49" fontId="46" fillId="42" borderId="16" xfId="1" applyNumberFormat="1" applyFont="1" applyFill="1" applyBorder="1" applyAlignment="1">
      <alignment horizontal="center" vertical="center" wrapText="1"/>
    </xf>
    <xf numFmtId="166" fontId="5" fillId="42" borderId="1" xfId="1" applyNumberFormat="1" applyFont="1" applyFill="1" applyBorder="1" applyAlignment="1">
      <alignment horizontal="center" vertical="center"/>
    </xf>
    <xf numFmtId="49" fontId="51" fillId="41" borderId="1" xfId="1" applyNumberFormat="1" applyFont="1" applyFill="1" applyBorder="1" applyAlignment="1">
      <alignment horizontal="center" vertical="center"/>
    </xf>
    <xf numFmtId="166" fontId="58" fillId="6" borderId="1" xfId="3" applyNumberFormat="1" applyFont="1" applyFill="1" applyBorder="1" applyAlignment="1">
      <alignment horizontal="right" vertical="center"/>
    </xf>
    <xf numFmtId="0" fontId="57" fillId="38" borderId="1" xfId="2" applyNumberFormat="1" applyFont="1" applyFill="1" applyBorder="1" applyAlignment="1">
      <alignment horizontal="left" vertical="center" wrapText="1"/>
    </xf>
    <xf numFmtId="0" fontId="53" fillId="42" borderId="1" xfId="1" applyNumberFormat="1" applyFont="1" applyFill="1" applyBorder="1" applyAlignment="1">
      <alignment horizontal="center" vertical="center"/>
    </xf>
    <xf numFmtId="49" fontId="54" fillId="42" borderId="1" xfId="1" applyNumberFormat="1" applyFont="1" applyFill="1" applyBorder="1" applyAlignment="1">
      <alignment horizontal="center" vertical="center"/>
    </xf>
    <xf numFmtId="0" fontId="59" fillId="42" borderId="1" xfId="1" applyNumberFormat="1" applyFont="1" applyFill="1" applyBorder="1" applyAlignment="1">
      <alignment horizontal="center" vertical="center" wrapText="1"/>
    </xf>
    <xf numFmtId="1" fontId="57" fillId="0" borderId="1" xfId="1" applyNumberFormat="1" applyFont="1" applyFill="1" applyBorder="1" applyAlignment="1">
      <alignment vertical="center"/>
    </xf>
    <xf numFmtId="164" fontId="57" fillId="6" borderId="1" xfId="1" applyNumberFormat="1" applyFont="1" applyFill="1" applyBorder="1" applyAlignment="1">
      <alignment horizontal="center" vertical="center"/>
    </xf>
    <xf numFmtId="166" fontId="51" fillId="2" borderId="1" xfId="1" applyNumberFormat="1" applyFont="1" applyFill="1" applyBorder="1" applyAlignment="1">
      <alignment vertical="center"/>
    </xf>
    <xf numFmtId="0" fontId="52" fillId="7" borderId="1" xfId="1" applyFont="1" applyFill="1" applyBorder="1" applyAlignment="1">
      <alignment horizontal="center" vertical="center"/>
    </xf>
    <xf numFmtId="0" fontId="57" fillId="0" borderId="1" xfId="2" applyNumberFormat="1" applyFont="1" applyFill="1" applyBorder="1" applyAlignment="1">
      <alignment horizontal="left" vertical="center" wrapText="1"/>
    </xf>
    <xf numFmtId="0" fontId="56" fillId="0" borderId="1" xfId="0" applyFont="1" applyBorder="1" applyAlignment="1">
      <alignment vertical="center" wrapText="1"/>
    </xf>
    <xf numFmtId="0" fontId="56" fillId="0" borderId="1" xfId="0" applyFont="1" applyBorder="1" applyAlignment="1">
      <alignment horizontal="right" vertical="center"/>
    </xf>
    <xf numFmtId="0" fontId="57" fillId="0" borderId="33" xfId="1" applyFont="1" applyBorder="1" applyAlignment="1">
      <alignment horizontal="right" vertical="center"/>
    </xf>
    <xf numFmtId="0" fontId="57" fillId="0" borderId="33" xfId="1" applyFont="1" applyBorder="1" applyAlignment="1">
      <alignment vertical="center"/>
    </xf>
    <xf numFmtId="166" fontId="54" fillId="42" borderId="1" xfId="1" applyNumberFormat="1" applyFont="1" applyFill="1" applyBorder="1" applyAlignment="1">
      <alignment horizontal="center" vertical="center"/>
    </xf>
    <xf numFmtId="166" fontId="57" fillId="0" borderId="1" xfId="1" applyNumberFormat="1" applyFont="1" applyFill="1" applyBorder="1" applyAlignment="1">
      <alignment vertical="center"/>
    </xf>
    <xf numFmtId="0" fontId="0" fillId="0" borderId="37" xfId="0" applyBorder="1"/>
    <xf numFmtId="166" fontId="56" fillId="0" borderId="1" xfId="0" applyNumberFormat="1" applyFont="1" applyBorder="1" applyAlignment="1">
      <alignment vertical="center"/>
    </xf>
    <xf numFmtId="0" fontId="56" fillId="0" borderId="1" xfId="0" applyFont="1" applyBorder="1" applyAlignment="1">
      <alignment horizontal="center" vertical="center"/>
    </xf>
    <xf numFmtId="0" fontId="56" fillId="0" borderId="1" xfId="0" applyFont="1" applyBorder="1" applyAlignment="1">
      <alignment horizontal="left" vertical="center"/>
    </xf>
    <xf numFmtId="165" fontId="56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166" fontId="56" fillId="6" borderId="1" xfId="0" applyNumberFormat="1" applyFont="1" applyFill="1" applyBorder="1" applyAlignment="1">
      <alignment vertical="center"/>
    </xf>
    <xf numFmtId="0" fontId="56" fillId="0" borderId="16" xfId="0" applyFont="1" applyBorder="1" applyAlignment="1">
      <alignment horizontal="center" vertical="center"/>
    </xf>
    <xf numFmtId="0" fontId="56" fillId="0" borderId="1" xfId="0" applyFont="1" applyBorder="1" applyAlignment="1">
      <alignment vertical="center"/>
    </xf>
    <xf numFmtId="0" fontId="56" fillId="38" borderId="1" xfId="0" applyFont="1" applyFill="1" applyBorder="1" applyAlignment="1">
      <alignment vertical="center" wrapText="1"/>
    </xf>
    <xf numFmtId="0" fontId="56" fillId="39" borderId="1" xfId="0" applyFont="1" applyFill="1" applyBorder="1" applyAlignment="1">
      <alignment vertical="center" wrapText="1"/>
    </xf>
    <xf numFmtId="49" fontId="59" fillId="42" borderId="1" xfId="1" applyNumberFormat="1" applyFont="1" applyFill="1" applyBorder="1" applyAlignment="1">
      <alignment vertical="center" wrapText="1"/>
    </xf>
    <xf numFmtId="49" fontId="53" fillId="42" borderId="1" xfId="1" applyNumberFormat="1" applyFont="1" applyFill="1" applyBorder="1" applyAlignment="1">
      <alignment vertical="center" wrapText="1"/>
    </xf>
    <xf numFmtId="0" fontId="51" fillId="10" borderId="1" xfId="1" applyFont="1" applyFill="1" applyBorder="1" applyAlignment="1">
      <alignment horizontal="left" vertical="center"/>
    </xf>
    <xf numFmtId="166" fontId="51" fillId="3" borderId="1" xfId="1" applyNumberFormat="1" applyFont="1" applyFill="1" applyBorder="1" applyAlignment="1">
      <alignment vertical="center"/>
    </xf>
    <xf numFmtId="165" fontId="54" fillId="42" borderId="1" xfId="1" applyNumberFormat="1" applyFont="1" applyFill="1" applyBorder="1" applyAlignment="1">
      <alignment horizontal="center" vertical="center"/>
    </xf>
    <xf numFmtId="166" fontId="54" fillId="42" borderId="1" xfId="1" applyNumberFormat="1" applyFont="1" applyFill="1" applyBorder="1" applyAlignment="1">
      <alignment vertical="center"/>
    </xf>
    <xf numFmtId="166" fontId="56" fillId="6" borderId="33" xfId="0" applyNumberFormat="1" applyFont="1" applyFill="1" applyBorder="1" applyAlignment="1">
      <alignment vertical="center"/>
    </xf>
    <xf numFmtId="0" fontId="57" fillId="0" borderId="33" xfId="1" applyFont="1" applyBorder="1" applyAlignment="1">
      <alignment horizontal="center" vertical="center"/>
    </xf>
    <xf numFmtId="0" fontId="57" fillId="0" borderId="33" xfId="1" applyFont="1" applyBorder="1" applyAlignment="1">
      <alignment horizontal="left" vertical="center"/>
    </xf>
    <xf numFmtId="0" fontId="57" fillId="6" borderId="33" xfId="1" applyFont="1" applyFill="1" applyBorder="1" applyAlignment="1">
      <alignment horizontal="center" vertical="center"/>
    </xf>
    <xf numFmtId="0" fontId="56" fillId="0" borderId="12" xfId="0" applyFont="1" applyBorder="1" applyAlignment="1">
      <alignment vertical="center" wrapText="1"/>
    </xf>
    <xf numFmtId="166" fontId="56" fillId="6" borderId="36" xfId="0" applyNumberFormat="1" applyFont="1" applyFill="1" applyBorder="1" applyAlignment="1">
      <alignment vertical="center"/>
    </xf>
    <xf numFmtId="166" fontId="56" fillId="6" borderId="12" xfId="0" applyNumberFormat="1" applyFont="1" applyFill="1" applyBorder="1" applyAlignment="1">
      <alignment vertical="center"/>
    </xf>
    <xf numFmtId="2" fontId="48" fillId="42" borderId="1" xfId="1" applyNumberFormat="1" applyFont="1" applyFill="1" applyBorder="1" applyAlignment="1">
      <alignment horizontal="center" vertical="center"/>
    </xf>
    <xf numFmtId="2" fontId="53" fillId="42" borderId="1" xfId="1" applyNumberFormat="1" applyFont="1" applyFill="1" applyBorder="1" applyAlignment="1">
      <alignment horizontal="center" vertical="center"/>
    </xf>
    <xf numFmtId="2" fontId="46" fillId="42" borderId="1" xfId="1" applyNumberFormat="1" applyFont="1" applyFill="1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44" fillId="0" borderId="16" xfId="84" applyBorder="1" applyAlignment="1">
      <alignment vertical="center"/>
    </xf>
    <xf numFmtId="0" fontId="0" fillId="0" borderId="16" xfId="0" applyBorder="1" applyAlignment="1">
      <alignment vertical="center"/>
    </xf>
    <xf numFmtId="0" fontId="44" fillId="0" borderId="37" xfId="84" applyBorder="1" applyAlignment="1">
      <alignment vertical="center"/>
    </xf>
    <xf numFmtId="0" fontId="44" fillId="0" borderId="35" xfId="84" applyBorder="1" applyAlignment="1">
      <alignment vertical="center"/>
    </xf>
    <xf numFmtId="0" fontId="56" fillId="0" borderId="1" xfId="0" quotePrefix="1" applyFont="1" applyBorder="1" applyAlignment="1">
      <alignment vertical="center"/>
    </xf>
    <xf numFmtId="166" fontId="56" fillId="38" borderId="1" xfId="0" applyNumberFormat="1" applyFont="1" applyFill="1" applyBorder="1" applyAlignment="1">
      <alignment vertical="center"/>
    </xf>
    <xf numFmtId="166" fontId="57" fillId="38" borderId="1" xfId="1" applyNumberFormat="1" applyFont="1" applyFill="1" applyBorder="1" applyAlignment="1">
      <alignment horizontal="right" vertical="center"/>
    </xf>
    <xf numFmtId="0" fontId="56" fillId="0" borderId="1" xfId="0" applyFont="1" applyBorder="1" applyAlignment="1">
      <alignment horizontal="left" vertical="center" wrapText="1"/>
    </xf>
    <xf numFmtId="49" fontId="60" fillId="38" borderId="1" xfId="1" applyNumberFormat="1" applyFont="1" applyFill="1" applyBorder="1" applyAlignment="1">
      <alignment vertical="center" wrapText="1"/>
    </xf>
    <xf numFmtId="166" fontId="53" fillId="42" borderId="1" xfId="1" applyNumberFormat="1" applyFont="1" applyFill="1" applyBorder="1" applyAlignment="1">
      <alignment vertical="center"/>
    </xf>
    <xf numFmtId="0" fontId="51" fillId="2" borderId="1" xfId="1" applyFont="1" applyFill="1" applyBorder="1" applyAlignment="1">
      <alignment horizontal="left" vertical="center"/>
    </xf>
    <xf numFmtId="0" fontId="61" fillId="0" borderId="1" xfId="0" applyFont="1" applyBorder="1" applyAlignment="1">
      <alignment vertical="center"/>
    </xf>
    <xf numFmtId="166" fontId="58" fillId="38" borderId="1" xfId="3" applyNumberFormat="1" applyFont="1" applyFill="1" applyBorder="1" applyAlignment="1">
      <alignment horizontal="right" vertical="center"/>
    </xf>
    <xf numFmtId="166" fontId="56" fillId="38" borderId="33" xfId="0" applyNumberFormat="1" applyFont="1" applyFill="1" applyBorder="1" applyAlignment="1">
      <alignment vertical="center"/>
    </xf>
    <xf numFmtId="166" fontId="56" fillId="6" borderId="1" xfId="0" applyNumberFormat="1" applyFont="1" applyFill="1" applyBorder="1" applyAlignment="1">
      <alignment horizontal="right" vertical="center"/>
    </xf>
    <xf numFmtId="4" fontId="56" fillId="0" borderId="1" xfId="0" applyNumberFormat="1" applyFont="1" applyBorder="1" applyAlignment="1">
      <alignment vertical="center"/>
    </xf>
    <xf numFmtId="0" fontId="56" fillId="38" borderId="1" xfId="0" applyFont="1" applyFill="1" applyBorder="1" applyAlignment="1">
      <alignment horizontal="left" vertical="center" wrapText="1"/>
    </xf>
    <xf numFmtId="0" fontId="56" fillId="0" borderId="1" xfId="0" applyFont="1" applyBorder="1" applyAlignment="1">
      <alignment horizontal="center" vertical="center" wrapText="1"/>
    </xf>
    <xf numFmtId="0" fontId="62" fillId="0" borderId="1" xfId="0" applyFont="1" applyBorder="1" applyAlignment="1">
      <alignment vertical="center"/>
    </xf>
    <xf numFmtId="0" fontId="56" fillId="0" borderId="1" xfId="0" applyFont="1" applyFill="1" applyBorder="1" applyAlignment="1">
      <alignment vertical="center" wrapText="1"/>
    </xf>
    <xf numFmtId="0" fontId="61" fillId="0" borderId="16" xfId="0" applyFont="1" applyBorder="1" applyAlignment="1">
      <alignment horizontal="center" vertical="center"/>
    </xf>
    <xf numFmtId="166" fontId="56" fillId="38" borderId="36" xfId="0" applyNumberFormat="1" applyFont="1" applyFill="1" applyBorder="1" applyAlignment="1">
      <alignment vertical="center"/>
    </xf>
    <xf numFmtId="166" fontId="56" fillId="38" borderId="1" xfId="0" applyNumberFormat="1" applyFont="1" applyFill="1" applyBorder="1" applyAlignment="1">
      <alignment horizontal="right" vertical="center"/>
    </xf>
    <xf numFmtId="0" fontId="56" fillId="0" borderId="1" xfId="0" quotePrefix="1" applyFont="1" applyBorder="1" applyAlignment="1">
      <alignment vertical="center" wrapText="1"/>
    </xf>
    <xf numFmtId="166" fontId="56" fillId="6" borderId="1" xfId="0" applyNumberFormat="1" applyFont="1" applyFill="1" applyBorder="1" applyAlignment="1">
      <alignment vertical="center" wrapText="1"/>
    </xf>
    <xf numFmtId="0" fontId="63" fillId="0" borderId="1" xfId="0" applyFont="1" applyBorder="1" applyAlignment="1">
      <alignment vertical="center"/>
    </xf>
    <xf numFmtId="0" fontId="56" fillId="0" borderId="16" xfId="0" applyFont="1" applyBorder="1" applyAlignment="1">
      <alignment horizontal="center" vertical="center" wrapText="1"/>
    </xf>
    <xf numFmtId="166" fontId="56" fillId="38" borderId="1" xfId="0" applyNumberFormat="1" applyFont="1" applyFill="1" applyBorder="1" applyAlignment="1">
      <alignment vertical="center" wrapText="1"/>
    </xf>
    <xf numFmtId="0" fontId="44" fillId="0" borderId="1" xfId="84" applyBorder="1" applyAlignment="1">
      <alignment vertical="center"/>
    </xf>
    <xf numFmtId="3" fontId="56" fillId="0" borderId="1" xfId="0" applyNumberFormat="1" applyFont="1" applyBorder="1" applyAlignment="1">
      <alignment horizontal="right" vertical="center"/>
    </xf>
    <xf numFmtId="0" fontId="64" fillId="0" borderId="1" xfId="0" applyFont="1" applyBorder="1" applyAlignment="1">
      <alignment vertical="center"/>
    </xf>
    <xf numFmtId="0" fontId="56" fillId="0" borderId="16" xfId="0" applyFont="1" applyBorder="1" applyAlignment="1">
      <alignment vertical="center"/>
    </xf>
    <xf numFmtId="166" fontId="56" fillId="0" borderId="36" xfId="0" applyNumberFormat="1" applyFont="1" applyBorder="1" applyAlignment="1">
      <alignment vertical="center"/>
    </xf>
    <xf numFmtId="0" fontId="56" fillId="6" borderId="1" xfId="0" applyFont="1" applyFill="1" applyBorder="1" applyAlignment="1">
      <alignment vertical="center"/>
    </xf>
    <xf numFmtId="166" fontId="56" fillId="0" borderId="1" xfId="0" applyNumberFormat="1" applyFont="1" applyFill="1" applyBorder="1" applyAlignment="1">
      <alignment vertical="center"/>
    </xf>
    <xf numFmtId="49" fontId="56" fillId="0" borderId="1" xfId="0" applyNumberFormat="1" applyFont="1" applyBorder="1" applyAlignment="1">
      <alignment horizontal="center" vertical="center"/>
    </xf>
    <xf numFmtId="0" fontId="58" fillId="6" borderId="1" xfId="0" applyFont="1" applyFill="1" applyBorder="1" applyAlignment="1">
      <alignment horizontal="center" vertical="center"/>
    </xf>
    <xf numFmtId="166" fontId="56" fillId="0" borderId="36" xfId="0" applyNumberFormat="1" applyFont="1" applyFill="1" applyBorder="1" applyAlignment="1">
      <alignment vertical="center"/>
    </xf>
    <xf numFmtId="0" fontId="58" fillId="38" borderId="1" xfId="0" applyFont="1" applyFill="1" applyBorder="1" applyAlignment="1">
      <alignment vertical="center" wrapText="1"/>
    </xf>
    <xf numFmtId="166" fontId="56" fillId="38" borderId="12" xfId="0" applyNumberFormat="1" applyFont="1" applyFill="1" applyBorder="1" applyAlignment="1">
      <alignment vertical="center"/>
    </xf>
    <xf numFmtId="0" fontId="56" fillId="38" borderId="1" xfId="0" applyFont="1" applyFill="1" applyBorder="1" applyAlignment="1">
      <alignment horizontal="center" vertical="center"/>
    </xf>
    <xf numFmtId="16" fontId="56" fillId="0" borderId="1" xfId="0" applyNumberFormat="1" applyFont="1" applyBorder="1" applyAlignment="1">
      <alignment vertical="center"/>
    </xf>
    <xf numFmtId="0" fontId="56" fillId="0" borderId="1" xfId="0" applyFont="1" applyFill="1" applyBorder="1" applyAlignment="1">
      <alignment vertical="center"/>
    </xf>
    <xf numFmtId="0" fontId="56" fillId="38" borderId="16" xfId="0" applyFont="1" applyFill="1" applyBorder="1" applyAlignment="1">
      <alignment horizontal="center" vertical="center"/>
    </xf>
    <xf numFmtId="166" fontId="65" fillId="0" borderId="1" xfId="0" applyNumberFormat="1" applyFont="1" applyFill="1" applyBorder="1" applyAlignment="1">
      <alignment vertical="center"/>
    </xf>
    <xf numFmtId="0" fontId="56" fillId="0" borderId="1" xfId="0" quotePrefix="1" applyFont="1" applyBorder="1" applyAlignment="1">
      <alignment horizontal="left" vertical="center"/>
    </xf>
    <xf numFmtId="166" fontId="57" fillId="0" borderId="36" xfId="1" applyNumberFormat="1" applyFont="1" applyFill="1" applyBorder="1" applyAlignment="1">
      <alignment horizontal="right" vertical="center"/>
    </xf>
    <xf numFmtId="166" fontId="56" fillId="0" borderId="16" xfId="0" applyNumberFormat="1" applyFont="1" applyFill="1" applyBorder="1" applyAlignment="1">
      <alignment vertical="center"/>
    </xf>
    <xf numFmtId="166" fontId="56" fillId="0" borderId="33" xfId="0" applyNumberFormat="1" applyFont="1" applyFill="1" applyBorder="1" applyAlignment="1">
      <alignment vertical="center"/>
    </xf>
    <xf numFmtId="166" fontId="56" fillId="0" borderId="12" xfId="0" applyNumberFormat="1" applyFont="1" applyFill="1" applyBorder="1" applyAlignment="1">
      <alignment vertical="center"/>
    </xf>
    <xf numFmtId="16" fontId="56" fillId="0" borderId="1" xfId="0" quotePrefix="1" applyNumberFormat="1" applyFont="1" applyBorder="1" applyAlignment="1">
      <alignment horizontal="center" vertical="center"/>
    </xf>
    <xf numFmtId="0" fontId="56" fillId="0" borderId="16" xfId="0" quotePrefix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66" fontId="56" fillId="0" borderId="16" xfId="0" applyNumberFormat="1" applyFont="1" applyBorder="1" applyAlignment="1">
      <alignment vertical="center"/>
    </xf>
    <xf numFmtId="0" fontId="44" fillId="0" borderId="1" xfId="84" applyBorder="1" applyAlignment="1">
      <alignment vertical="center" wrapText="1"/>
    </xf>
    <xf numFmtId="49" fontId="3" fillId="38" borderId="1" xfId="1" applyNumberFormat="1" applyFont="1" applyFill="1" applyBorder="1" applyAlignment="1">
      <alignment vertical="center" wrapText="1"/>
    </xf>
    <xf numFmtId="0" fontId="45" fillId="38" borderId="1" xfId="0" applyFont="1" applyFill="1" applyBorder="1" applyAlignment="1">
      <alignment vertical="center" wrapText="1"/>
    </xf>
    <xf numFmtId="17" fontId="57" fillId="38" borderId="1" xfId="1" applyNumberFormat="1" applyFont="1" applyFill="1" applyBorder="1" applyAlignment="1">
      <alignment horizontal="left" vertical="center" wrapText="1"/>
    </xf>
    <xf numFmtId="166" fontId="62" fillId="0" borderId="1" xfId="0" applyNumberFormat="1" applyFont="1" applyFill="1" applyBorder="1" applyAlignment="1">
      <alignment vertical="center"/>
    </xf>
    <xf numFmtId="0" fontId="50" fillId="0" borderId="1" xfId="0" applyFont="1" applyBorder="1" applyAlignment="1">
      <alignment vertical="center"/>
    </xf>
    <xf numFmtId="166" fontId="46" fillId="42" borderId="16" xfId="1" applyNumberFormat="1" applyFont="1" applyFill="1" applyBorder="1" applyAlignment="1">
      <alignment horizontal="center" vertical="center"/>
    </xf>
    <xf numFmtId="0" fontId="0" fillId="42" borderId="16" xfId="0" applyFill="1" applyBorder="1"/>
    <xf numFmtId="0" fontId="0" fillId="0" borderId="35" xfId="0" applyBorder="1"/>
    <xf numFmtId="0" fontId="0" fillId="0" borderId="36" xfId="0" applyBorder="1"/>
    <xf numFmtId="173" fontId="66" fillId="43" borderId="1" xfId="0" applyNumberFormat="1" applyFont="1" applyFill="1" applyBorder="1"/>
    <xf numFmtId="173" fontId="0" fillId="38" borderId="1" xfId="0" applyNumberFormat="1" applyFill="1" applyBorder="1"/>
    <xf numFmtId="173" fontId="0" fillId="43" borderId="1" xfId="0" applyNumberFormat="1" applyFill="1" applyBorder="1"/>
    <xf numFmtId="0" fontId="0" fillId="0" borderId="36" xfId="0" applyBorder="1" applyAlignment="1">
      <alignment vertical="center"/>
    </xf>
    <xf numFmtId="166" fontId="62" fillId="6" borderId="1" xfId="0" applyNumberFormat="1" applyFont="1" applyFill="1" applyBorder="1" applyAlignment="1">
      <alignment vertical="center"/>
    </xf>
    <xf numFmtId="0" fontId="56" fillId="0" borderId="28" xfId="0" applyFont="1" applyBorder="1" applyAlignment="1">
      <alignment horizontal="center" vertical="center"/>
    </xf>
    <xf numFmtId="166" fontId="62" fillId="6" borderId="1" xfId="0" applyNumberFormat="1" applyFont="1" applyFill="1" applyBorder="1" applyAlignment="1">
      <alignment vertical="center" wrapText="1"/>
    </xf>
    <xf numFmtId="166" fontId="56" fillId="0" borderId="1" xfId="0" applyNumberFormat="1" applyFont="1" applyFill="1" applyBorder="1" applyAlignment="1">
      <alignment vertical="center" wrapText="1"/>
    </xf>
    <xf numFmtId="173" fontId="0" fillId="0" borderId="1" xfId="0" applyNumberFormat="1" applyBorder="1"/>
    <xf numFmtId="0" fontId="56" fillId="0" borderId="16" xfId="0" applyFont="1" applyBorder="1" applyAlignment="1">
      <alignment horizontal="right" vertical="center"/>
    </xf>
    <xf numFmtId="173" fontId="0" fillId="0" borderId="1" xfId="0" applyNumberFormat="1" applyFill="1" applyBorder="1"/>
    <xf numFmtId="173" fontId="0" fillId="38" borderId="33" xfId="0" applyNumberFormat="1" applyFill="1" applyBorder="1"/>
    <xf numFmtId="17" fontId="56" fillId="0" borderId="1" xfId="0" applyNumberFormat="1" applyFont="1" applyBorder="1" applyAlignment="1">
      <alignment vertical="center"/>
    </xf>
    <xf numFmtId="0" fontId="56" fillId="40" borderId="1" xfId="0" applyFont="1" applyFill="1" applyBorder="1" applyAlignment="1">
      <alignment horizontal="center" vertical="center"/>
    </xf>
    <xf numFmtId="166" fontId="6" fillId="38" borderId="1" xfId="1" applyNumberFormat="1" applyFont="1" applyFill="1" applyBorder="1" applyAlignment="1">
      <alignment horizontal="right" vertical="center"/>
    </xf>
    <xf numFmtId="0" fontId="0" fillId="0" borderId="1" xfId="0" applyBorder="1" applyAlignment="1">
      <alignment vertical="center"/>
    </xf>
    <xf numFmtId="0" fontId="0" fillId="0" borderId="33" xfId="0" applyBorder="1" applyAlignment="1">
      <alignment vertical="center"/>
    </xf>
    <xf numFmtId="0" fontId="67" fillId="11" borderId="0" xfId="0" applyFont="1" applyFill="1"/>
    <xf numFmtId="0" fontId="44" fillId="0" borderId="0" xfId="84"/>
    <xf numFmtId="0" fontId="0" fillId="0" borderId="0" xfId="0" applyAlignment="1">
      <alignment wrapText="1"/>
    </xf>
    <xf numFmtId="166" fontId="56" fillId="44" borderId="1" xfId="0" applyNumberFormat="1" applyFont="1" applyFill="1" applyBorder="1" applyAlignment="1">
      <alignment vertical="center" wrapText="1"/>
    </xf>
    <xf numFmtId="0" fontId="0" fillId="0" borderId="0" xfId="0" applyAlignment="1">
      <alignment horizontal="left"/>
    </xf>
    <xf numFmtId="0" fontId="68" fillId="11" borderId="0" xfId="0" applyFont="1" applyFill="1"/>
    <xf numFmtId="0" fontId="44" fillId="0" borderId="16" xfId="84" applyBorder="1" applyAlignment="1">
      <alignment vertical="center" wrapText="1"/>
    </xf>
    <xf numFmtId="166" fontId="69" fillId="0" borderId="1" xfId="1" applyNumberFormat="1" applyFont="1" applyFill="1" applyBorder="1" applyAlignment="1">
      <alignment horizontal="right" vertical="center"/>
    </xf>
    <xf numFmtId="0" fontId="56" fillId="11" borderId="1" xfId="0" applyFont="1" applyFill="1" applyBorder="1" applyAlignment="1">
      <alignment horizontal="center" vertical="center"/>
    </xf>
    <xf numFmtId="166" fontId="44" fillId="0" borderId="1" xfId="84" applyNumberFormat="1" applyFill="1" applyBorder="1" applyAlignment="1">
      <alignment vertical="center"/>
    </xf>
    <xf numFmtId="166" fontId="56" fillId="0" borderId="13" xfId="0" applyNumberFormat="1" applyFont="1" applyFill="1" applyBorder="1" applyAlignment="1">
      <alignment vertical="center"/>
    </xf>
    <xf numFmtId="0" fontId="0" fillId="0" borderId="1" xfId="0" quotePrefix="1" applyBorder="1"/>
    <xf numFmtId="0" fontId="56" fillId="38" borderId="1" xfId="0" applyFont="1" applyFill="1" applyBorder="1" applyAlignment="1">
      <alignment vertical="center"/>
    </xf>
    <xf numFmtId="0" fontId="50" fillId="0" borderId="0" xfId="0" applyFont="1"/>
    <xf numFmtId="0" fontId="61" fillId="0" borderId="1" xfId="0" applyFont="1" applyBorder="1" applyAlignment="1">
      <alignment vertical="center" wrapText="1"/>
    </xf>
    <xf numFmtId="166" fontId="70" fillId="6" borderId="1" xfId="0" applyNumberFormat="1" applyFont="1" applyFill="1" applyBorder="1" applyAlignment="1">
      <alignment vertical="center" wrapText="1"/>
    </xf>
    <xf numFmtId="14" fontId="56" fillId="39" borderId="1" xfId="0" applyNumberFormat="1" applyFont="1" applyFill="1" applyBorder="1" applyAlignment="1">
      <alignment vertical="center" wrapText="1"/>
    </xf>
    <xf numFmtId="0" fontId="0" fillId="0" borderId="0" xfId="0" quotePrefix="1"/>
    <xf numFmtId="166" fontId="61" fillId="6" borderId="1" xfId="0" applyNumberFormat="1" applyFont="1" applyFill="1" applyBorder="1" applyAlignment="1">
      <alignment vertical="center"/>
    </xf>
    <xf numFmtId="166" fontId="70" fillId="0" borderId="1" xfId="0" applyNumberFormat="1" applyFont="1" applyFill="1" applyBorder="1" applyAlignment="1">
      <alignment vertical="center" wrapText="1"/>
    </xf>
    <xf numFmtId="166" fontId="61" fillId="6" borderId="1" xfId="0" applyNumberFormat="1" applyFont="1" applyFill="1" applyBorder="1" applyAlignment="1">
      <alignment vertical="center" wrapText="1"/>
    </xf>
    <xf numFmtId="0" fontId="61" fillId="0" borderId="16" xfId="0" applyFont="1" applyBorder="1" applyAlignment="1">
      <alignment horizontal="center" vertical="center" wrapText="1"/>
    </xf>
    <xf numFmtId="173" fontId="68" fillId="38" borderId="1" xfId="0" applyNumberFormat="1" applyFont="1" applyFill="1" applyBorder="1"/>
    <xf numFmtId="164" fontId="44" fillId="0" borderId="1" xfId="84" applyNumberFormat="1" applyFill="1" applyBorder="1" applyAlignment="1">
      <alignment horizontal="right" vertical="center"/>
    </xf>
    <xf numFmtId="164" fontId="57" fillId="0" borderId="16" xfId="1" applyNumberFormat="1" applyFont="1" applyFill="1" applyBorder="1" applyAlignment="1">
      <alignment horizontal="right" vertical="center"/>
    </xf>
    <xf numFmtId="1" fontId="56" fillId="0" borderId="1" xfId="0" applyNumberFormat="1" applyFont="1" applyFill="1" applyBorder="1" applyAlignment="1">
      <alignment vertical="center" wrapText="1"/>
    </xf>
    <xf numFmtId="0" fontId="56" fillId="0" borderId="1" xfId="0" applyFont="1" applyFill="1" applyBorder="1" applyAlignment="1">
      <alignment horizontal="center" vertical="center"/>
    </xf>
    <xf numFmtId="1" fontId="56" fillId="39" borderId="1" xfId="0" applyNumberFormat="1" applyFont="1" applyFill="1" applyBorder="1" applyAlignment="1">
      <alignment vertical="center" wrapText="1"/>
    </xf>
    <xf numFmtId="166" fontId="44" fillId="0" borderId="1" xfId="84" applyNumberFormat="1" applyBorder="1" applyAlignment="1">
      <alignment vertical="center"/>
    </xf>
    <xf numFmtId="1" fontId="71" fillId="0" borderId="1" xfId="84" applyNumberFormat="1" applyFont="1" applyFill="1" applyBorder="1" applyAlignment="1">
      <alignment vertical="center" wrapText="1"/>
    </xf>
    <xf numFmtId="166" fontId="61" fillId="0" borderId="1" xfId="0" applyNumberFormat="1" applyFont="1" applyFill="1" applyBorder="1" applyAlignment="1">
      <alignment vertical="center" wrapText="1"/>
    </xf>
    <xf numFmtId="166" fontId="61" fillId="0" borderId="1" xfId="0" applyNumberFormat="1" applyFont="1" applyFill="1" applyBorder="1" applyAlignment="1">
      <alignment vertical="center"/>
    </xf>
    <xf numFmtId="1" fontId="56" fillId="38" borderId="1" xfId="0" applyNumberFormat="1" applyFont="1" applyFill="1" applyBorder="1" applyAlignment="1">
      <alignment vertical="center" wrapText="1"/>
    </xf>
    <xf numFmtId="1" fontId="56" fillId="38" borderId="1" xfId="0" quotePrefix="1" applyNumberFormat="1" applyFont="1" applyFill="1" applyBorder="1" applyAlignment="1">
      <alignment vertical="center" wrapText="1"/>
    </xf>
    <xf numFmtId="0" fontId="0" fillId="38" borderId="16" xfId="0" applyFill="1" applyBorder="1"/>
    <xf numFmtId="166" fontId="56" fillId="0" borderId="1" xfId="0" applyNumberFormat="1" applyFont="1" applyFill="1" applyBorder="1" applyAlignment="1">
      <alignment horizontal="right" vertical="center"/>
    </xf>
    <xf numFmtId="0" fontId="0" fillId="0" borderId="0" xfId="0" applyFill="1"/>
    <xf numFmtId="0" fontId="72" fillId="0" borderId="0" xfId="0" applyFont="1" applyFill="1" applyAlignment="1">
      <alignment horizontal="center" vertical="center"/>
    </xf>
    <xf numFmtId="0" fontId="56" fillId="38" borderId="1" xfId="0" applyFont="1" applyFill="1" applyBorder="1" applyAlignment="1">
      <alignment horizontal="left" vertical="center"/>
    </xf>
    <xf numFmtId="1" fontId="56" fillId="0" borderId="1" xfId="0" applyNumberFormat="1" applyFont="1" applyFill="1" applyBorder="1" applyAlignment="1">
      <alignment horizontal="left" vertical="center" wrapText="1"/>
    </xf>
    <xf numFmtId="0" fontId="56" fillId="0" borderId="12" xfId="0" applyFont="1" applyFill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173" fontId="0" fillId="0" borderId="0" xfId="0" applyNumberFormat="1" applyAlignment="1">
      <alignment wrapText="1"/>
    </xf>
    <xf numFmtId="165" fontId="0" fillId="0" borderId="0" xfId="0" applyNumberFormat="1" applyAlignment="1">
      <alignment horizontal="center" vertical="center" wrapText="1"/>
    </xf>
    <xf numFmtId="0" fontId="50" fillId="0" borderId="0" xfId="0" applyFont="1" applyAlignment="1">
      <alignment horizontal="center" vertical="center" wrapText="1"/>
    </xf>
    <xf numFmtId="165" fontId="0" fillId="0" borderId="0" xfId="0" applyNumberFormat="1" applyAlignment="1">
      <alignment horizontal="center" wrapText="1"/>
    </xf>
    <xf numFmtId="173" fontId="0" fillId="0" borderId="34" xfId="0" applyNumberFormat="1" applyBorder="1" applyAlignment="1">
      <alignment wrapText="1"/>
    </xf>
    <xf numFmtId="0" fontId="0" fillId="0" borderId="34" xfId="0" applyBorder="1" applyAlignment="1">
      <alignment horizontal="center" vertical="center" wrapText="1"/>
    </xf>
    <xf numFmtId="0" fontId="0" fillId="0" borderId="34" xfId="0" applyBorder="1" applyAlignment="1">
      <alignment wrapText="1"/>
    </xf>
    <xf numFmtId="10" fontId="0" fillId="0" borderId="0" xfId="0" applyNumberFormat="1" applyAlignment="1">
      <alignment wrapText="1"/>
    </xf>
    <xf numFmtId="1" fontId="0" fillId="0" borderId="0" xfId="0" applyNumberFormat="1" applyAlignment="1">
      <alignment horizontal="left" vertical="center" wrapText="1"/>
    </xf>
    <xf numFmtId="0" fontId="50" fillId="0" borderId="39" xfId="0" applyFont="1" applyBorder="1" applyAlignment="1">
      <alignment horizontal="center" vertical="center" wrapText="1"/>
    </xf>
    <xf numFmtId="165" fontId="50" fillId="0" borderId="39" xfId="0" applyNumberFormat="1" applyFont="1" applyBorder="1" applyAlignment="1">
      <alignment horizontal="center" vertical="center" wrapText="1"/>
    </xf>
    <xf numFmtId="173" fontId="50" fillId="0" borderId="39" xfId="0" applyNumberFormat="1" applyFont="1" applyBorder="1" applyAlignment="1">
      <alignment horizontal="center" vertical="center" wrapText="1"/>
    </xf>
    <xf numFmtId="173" fontId="50" fillId="0" borderId="20" xfId="0" applyNumberFormat="1" applyFont="1" applyBorder="1" applyAlignment="1">
      <alignment horizontal="center" vertical="center" wrapText="1"/>
    </xf>
    <xf numFmtId="0" fontId="50" fillId="0" borderId="20" xfId="0" applyFont="1" applyBorder="1" applyAlignment="1">
      <alignment horizontal="center" vertical="center" wrapText="1"/>
    </xf>
    <xf numFmtId="1" fontId="50" fillId="0" borderId="39" xfId="0" applyNumberFormat="1" applyFont="1" applyBorder="1" applyAlignment="1">
      <alignment horizontal="left" vertical="center" wrapText="1"/>
    </xf>
    <xf numFmtId="10" fontId="50" fillId="0" borderId="39" xfId="0" applyNumberFormat="1" applyFont="1" applyBorder="1" applyAlignment="1">
      <alignment horizontal="center" vertical="center" wrapText="1"/>
    </xf>
    <xf numFmtId="173" fontId="0" fillId="0" borderId="0" xfId="0" applyNumberFormat="1" applyAlignment="1">
      <alignment horizontal="center" vertical="center" wrapText="1"/>
    </xf>
    <xf numFmtId="173" fontId="0" fillId="0" borderId="0" xfId="0" applyNumberFormat="1" applyAlignment="1">
      <alignment horizontal="center" wrapText="1"/>
    </xf>
    <xf numFmtId="8" fontId="56" fillId="0" borderId="1" xfId="0" applyNumberFormat="1" applyFont="1" applyBorder="1" applyAlignment="1">
      <alignment vertical="center"/>
    </xf>
    <xf numFmtId="16" fontId="56" fillId="0" borderId="1" xfId="0" applyNumberFormat="1" applyFont="1" applyBorder="1" applyAlignment="1">
      <alignment vertical="center" wrapText="1"/>
    </xf>
    <xf numFmtId="8" fontId="56" fillId="0" borderId="33" xfId="0" applyNumberFormat="1" applyFont="1" applyBorder="1" applyAlignment="1">
      <alignment vertical="center"/>
    </xf>
    <xf numFmtId="1" fontId="59" fillId="42" borderId="1" xfId="1" applyNumberFormat="1" applyFont="1" applyFill="1" applyBorder="1" applyAlignment="1">
      <alignment horizontal="center" vertical="center" wrapText="1"/>
    </xf>
    <xf numFmtId="1" fontId="53" fillId="42" borderId="1" xfId="1" applyNumberFormat="1" applyFont="1" applyFill="1" applyBorder="1" applyAlignment="1">
      <alignment horizontal="center" vertical="center" wrapText="1"/>
    </xf>
    <xf numFmtId="1" fontId="56" fillId="38" borderId="33" xfId="0" applyNumberFormat="1" applyFont="1" applyFill="1" applyBorder="1" applyAlignment="1">
      <alignment vertical="center" wrapText="1"/>
    </xf>
    <xf numFmtId="1" fontId="57" fillId="38" borderId="1" xfId="2" applyNumberFormat="1" applyFont="1" applyFill="1" applyBorder="1" applyAlignment="1">
      <alignment horizontal="right" vertical="center" wrapText="1"/>
    </xf>
    <xf numFmtId="1" fontId="56" fillId="38" borderId="1" xfId="0" applyNumberFormat="1" applyFont="1" applyFill="1" applyBorder="1" applyAlignment="1">
      <alignment horizontal="left" vertical="center" wrapText="1"/>
    </xf>
    <xf numFmtId="1" fontId="56" fillId="38" borderId="1" xfId="0" quotePrefix="1" applyNumberFormat="1" applyFont="1" applyFill="1" applyBorder="1" applyAlignment="1">
      <alignment horizontal="right" vertical="center" wrapText="1"/>
    </xf>
    <xf numFmtId="1" fontId="56" fillId="38" borderId="1" xfId="0" applyNumberFormat="1" applyFont="1" applyFill="1" applyBorder="1" applyAlignment="1">
      <alignment horizontal="left" vertical="top" wrapText="1"/>
    </xf>
    <xf numFmtId="1" fontId="56" fillId="0" borderId="1" xfId="0" quotePrefix="1" applyNumberFormat="1" applyFont="1" applyFill="1" applyBorder="1" applyAlignment="1">
      <alignment vertical="center" wrapText="1"/>
    </xf>
    <xf numFmtId="1" fontId="56" fillId="38" borderId="1" xfId="0" applyNumberFormat="1" applyFont="1" applyFill="1" applyBorder="1" applyAlignment="1">
      <alignment vertical="center"/>
    </xf>
    <xf numFmtId="1" fontId="56" fillId="39" borderId="1" xfId="0" quotePrefix="1" applyNumberFormat="1" applyFont="1" applyFill="1" applyBorder="1" applyAlignment="1">
      <alignment vertical="center" wrapText="1"/>
    </xf>
    <xf numFmtId="1" fontId="56" fillId="38" borderId="1" xfId="0" quotePrefix="1" applyNumberFormat="1" applyFont="1" applyFill="1" applyBorder="1" applyAlignment="1">
      <alignment horizontal="left" vertical="top" wrapText="1"/>
    </xf>
    <xf numFmtId="1" fontId="56" fillId="38" borderId="33" xfId="0" quotePrefix="1" applyNumberFormat="1" applyFont="1" applyFill="1" applyBorder="1" applyAlignment="1">
      <alignment vertical="center" wrapText="1"/>
    </xf>
    <xf numFmtId="1" fontId="56" fillId="38" borderId="12" xfId="0" quotePrefix="1" applyNumberFormat="1" applyFont="1" applyFill="1" applyBorder="1" applyAlignment="1">
      <alignment vertical="center" wrapText="1"/>
    </xf>
    <xf numFmtId="1" fontId="56" fillId="0" borderId="1" xfId="0" applyNumberFormat="1" applyFont="1" applyBorder="1" applyAlignment="1">
      <alignment horizontal="center" vertical="center"/>
    </xf>
    <xf numFmtId="1" fontId="56" fillId="38" borderId="1" xfId="0" applyNumberFormat="1" applyFont="1" applyFill="1" applyBorder="1" applyAlignment="1">
      <alignment horizontal="right" vertical="center" wrapText="1"/>
    </xf>
    <xf numFmtId="1" fontId="56" fillId="38" borderId="13" xfId="0" quotePrefix="1" applyNumberFormat="1" applyFont="1" applyFill="1" applyBorder="1" applyAlignment="1">
      <alignment vertical="center" wrapText="1"/>
    </xf>
    <xf numFmtId="1" fontId="56" fillId="38" borderId="33" xfId="0" applyNumberFormat="1" applyFont="1" applyFill="1" applyBorder="1" applyAlignment="1">
      <alignment vertical="center"/>
    </xf>
    <xf numFmtId="1" fontId="56" fillId="0" borderId="12" xfId="0" quotePrefix="1" applyNumberFormat="1" applyFont="1" applyBorder="1" applyAlignment="1">
      <alignment vertical="center"/>
    </xf>
    <xf numFmtId="1" fontId="58" fillId="38" borderId="1" xfId="0" applyNumberFormat="1" applyFont="1" applyFill="1" applyBorder="1" applyAlignment="1">
      <alignment vertical="center" wrapText="1"/>
    </xf>
    <xf numFmtId="0" fontId="56" fillId="0" borderId="33" xfId="0" applyFont="1" applyFill="1" applyBorder="1" applyAlignment="1">
      <alignment vertical="center" wrapText="1"/>
    </xf>
    <xf numFmtId="1" fontId="56" fillId="0" borderId="33" xfId="0" applyNumberFormat="1" applyFont="1" applyFill="1" applyBorder="1" applyAlignment="1">
      <alignment vertical="center" wrapText="1"/>
    </xf>
    <xf numFmtId="0" fontId="56" fillId="0" borderId="36" xfId="0" applyFont="1" applyBorder="1" applyAlignment="1">
      <alignment vertical="center"/>
    </xf>
    <xf numFmtId="173" fontId="0" fillId="46" borderId="0" xfId="0" applyNumberFormat="1" applyFill="1" applyAlignment="1">
      <alignment horizontal="center" vertical="center" wrapText="1"/>
    </xf>
    <xf numFmtId="0" fontId="0" fillId="46" borderId="0" xfId="0" applyFill="1" applyAlignment="1">
      <alignment horizontal="center" vertical="center" wrapText="1"/>
    </xf>
    <xf numFmtId="165" fontId="0" fillId="46" borderId="0" xfId="0" applyNumberFormat="1" applyFill="1" applyAlignment="1">
      <alignment horizontal="center" vertical="center" wrapText="1"/>
    </xf>
    <xf numFmtId="0" fontId="0" fillId="46" borderId="34" xfId="0" applyFill="1" applyBorder="1" applyAlignment="1">
      <alignment horizontal="center" vertical="center" wrapText="1"/>
    </xf>
    <xf numFmtId="173" fontId="0" fillId="47" borderId="0" xfId="0" applyNumberFormat="1" applyFill="1" applyAlignment="1">
      <alignment horizontal="center" vertical="center" wrapText="1"/>
    </xf>
    <xf numFmtId="0" fontId="0" fillId="47" borderId="0" xfId="0" applyFill="1" applyAlignment="1">
      <alignment horizontal="center" vertical="center" wrapText="1"/>
    </xf>
    <xf numFmtId="165" fontId="0" fillId="47" borderId="0" xfId="0" applyNumberFormat="1" applyFill="1" applyAlignment="1">
      <alignment horizontal="center" vertical="center" wrapText="1"/>
    </xf>
    <xf numFmtId="0" fontId="0" fillId="47" borderId="34" xfId="0" applyFill="1" applyBorder="1" applyAlignment="1">
      <alignment horizontal="center" vertical="center" wrapText="1"/>
    </xf>
    <xf numFmtId="1" fontId="56" fillId="0" borderId="33" xfId="0" quotePrefix="1" applyNumberFormat="1" applyFont="1" applyFill="1" applyBorder="1" applyAlignment="1">
      <alignment vertical="center" wrapText="1"/>
    </xf>
    <xf numFmtId="1" fontId="56" fillId="0" borderId="12" xfId="0" quotePrefix="1" applyNumberFormat="1" applyFont="1" applyFill="1" applyBorder="1" applyAlignment="1">
      <alignment vertical="center" wrapText="1"/>
    </xf>
    <xf numFmtId="0" fontId="56" fillId="0" borderId="36" xfId="0" applyFont="1" applyBorder="1" applyAlignment="1">
      <alignment horizontal="right" vertical="center"/>
    </xf>
    <xf numFmtId="0" fontId="56" fillId="6" borderId="1" xfId="0" applyFont="1" applyFill="1" applyBorder="1" applyAlignment="1">
      <alignment horizontal="center" vertical="center" wrapText="1"/>
    </xf>
    <xf numFmtId="173" fontId="0" fillId="0" borderId="0" xfId="0" applyNumberFormat="1" applyFill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165" fontId="0" fillId="0" borderId="0" xfId="0" applyNumberFormat="1" applyFill="1" applyAlignment="1">
      <alignment horizontal="center" vertical="center" wrapText="1"/>
    </xf>
    <xf numFmtId="0" fontId="0" fillId="0" borderId="34" xfId="0" applyFill="1" applyBorder="1" applyAlignment="1">
      <alignment horizontal="center" vertical="center" wrapText="1"/>
    </xf>
    <xf numFmtId="173" fontId="0" fillId="44" borderId="0" xfId="0" applyNumberFormat="1" applyFill="1" applyAlignment="1">
      <alignment horizontal="center" vertical="center" wrapText="1"/>
    </xf>
    <xf numFmtId="0" fontId="0" fillId="44" borderId="0" xfId="0" applyFill="1" applyAlignment="1">
      <alignment horizontal="center" vertical="center" wrapText="1"/>
    </xf>
    <xf numFmtId="165" fontId="0" fillId="44" borderId="0" xfId="0" applyNumberFormat="1" applyFill="1" applyAlignment="1">
      <alignment horizontal="center" vertical="center" wrapText="1"/>
    </xf>
    <xf numFmtId="0" fontId="0" fillId="44" borderId="34" xfId="0" applyFill="1" applyBorder="1" applyAlignment="1">
      <alignment horizontal="center" vertical="center" wrapText="1"/>
    </xf>
    <xf numFmtId="1" fontId="56" fillId="38" borderId="12" xfId="0" applyNumberFormat="1" applyFont="1" applyFill="1" applyBorder="1" applyAlignment="1">
      <alignment vertical="center" wrapText="1"/>
    </xf>
    <xf numFmtId="165" fontId="0" fillId="0" borderId="0" xfId="0" applyNumberFormat="1" applyFill="1" applyAlignment="1">
      <alignment horizontal="center" wrapText="1"/>
    </xf>
    <xf numFmtId="165" fontId="0" fillId="44" borderId="0" xfId="0" applyNumberFormat="1" applyFill="1" applyAlignment="1">
      <alignment horizontal="center" wrapText="1"/>
    </xf>
    <xf numFmtId="173" fontId="0" fillId="44" borderId="0" xfId="0" applyNumberFormat="1" applyFill="1" applyAlignment="1">
      <alignment wrapText="1"/>
    </xf>
    <xf numFmtId="173" fontId="0" fillId="44" borderId="34" xfId="0" applyNumberFormat="1" applyFill="1" applyBorder="1" applyAlignment="1">
      <alignment wrapText="1"/>
    </xf>
    <xf numFmtId="0" fontId="0" fillId="44" borderId="0" xfId="0" applyFill="1" applyAlignment="1">
      <alignment wrapText="1"/>
    </xf>
    <xf numFmtId="1" fontId="0" fillId="44" borderId="0" xfId="0" applyNumberFormat="1" applyFill="1" applyAlignment="1">
      <alignment horizontal="left" vertical="center" wrapText="1"/>
    </xf>
    <xf numFmtId="173" fontId="0" fillId="44" borderId="0" xfId="0" applyNumberFormat="1" applyFill="1" applyAlignment="1">
      <alignment horizontal="center" wrapText="1"/>
    </xf>
    <xf numFmtId="0" fontId="0" fillId="0" borderId="0" xfId="0" applyFill="1" applyAlignment="1">
      <alignment wrapText="1"/>
    </xf>
    <xf numFmtId="1" fontId="0" fillId="0" borderId="0" xfId="0" applyNumberFormat="1" applyFill="1" applyAlignment="1">
      <alignment horizontal="left" vertical="center" wrapText="1"/>
    </xf>
    <xf numFmtId="173" fontId="0" fillId="0" borderId="0" xfId="0" applyNumberFormat="1" applyFill="1" applyAlignment="1">
      <alignment wrapText="1"/>
    </xf>
    <xf numFmtId="173" fontId="0" fillId="0" borderId="0" xfId="0" applyNumberFormat="1" applyFill="1" applyAlignment="1">
      <alignment horizontal="center" wrapText="1"/>
    </xf>
    <xf numFmtId="173" fontId="0" fillId="0" borderId="34" xfId="0" applyNumberFormat="1" applyFill="1" applyBorder="1" applyAlignment="1">
      <alignment wrapText="1"/>
    </xf>
    <xf numFmtId="16" fontId="56" fillId="0" borderId="1" xfId="0" applyNumberFormat="1" applyFont="1" applyBorder="1" applyAlignment="1">
      <alignment horizontal="left" vertical="center"/>
    </xf>
    <xf numFmtId="173" fontId="0" fillId="38" borderId="12" xfId="0" applyNumberFormat="1" applyFill="1" applyBorder="1" applyAlignment="1">
      <alignment vertical="center"/>
    </xf>
    <xf numFmtId="0" fontId="0" fillId="0" borderId="0" xfId="0" applyFill="1" applyAlignment="1">
      <alignment vertical="center" wrapText="1"/>
    </xf>
    <xf numFmtId="173" fontId="0" fillId="0" borderId="0" xfId="0" applyNumberFormat="1" applyFill="1" applyAlignment="1">
      <alignment vertical="center" wrapText="1"/>
    </xf>
    <xf numFmtId="0" fontId="56" fillId="38" borderId="1" xfId="0" quotePrefix="1" applyFont="1" applyFill="1" applyBorder="1" applyAlignment="1">
      <alignment vertical="center"/>
    </xf>
    <xf numFmtId="166" fontId="62" fillId="0" borderId="1" xfId="0" applyNumberFormat="1" applyFont="1" applyFill="1" applyBorder="1" applyAlignment="1">
      <alignment vertical="center" wrapText="1"/>
    </xf>
    <xf numFmtId="1" fontId="0" fillId="0" borderId="0" xfId="0" applyNumberForma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0" fontId="62" fillId="0" borderId="16" xfId="0" applyFont="1" applyBorder="1" applyAlignment="1">
      <alignment horizontal="center" vertical="center"/>
    </xf>
    <xf numFmtId="164" fontId="57" fillId="0" borderId="37" xfId="1" applyNumberFormat="1" applyFont="1" applyFill="1" applyBorder="1" applyAlignment="1">
      <alignment horizontal="right" vertical="center"/>
    </xf>
    <xf numFmtId="166" fontId="63" fillId="0" borderId="1" xfId="0" applyNumberFormat="1" applyFont="1" applyFill="1" applyBorder="1" applyAlignment="1">
      <alignment vertical="center"/>
    </xf>
    <xf numFmtId="164" fontId="57" fillId="6" borderId="33" xfId="1" applyNumberFormat="1" applyFont="1" applyFill="1" applyBorder="1" applyAlignment="1">
      <alignment horizontal="center" vertical="center"/>
    </xf>
    <xf numFmtId="0" fontId="61" fillId="0" borderId="1" xfId="0" applyFont="1" applyBorder="1" applyAlignment="1">
      <alignment horizontal="right" vertical="center"/>
    </xf>
    <xf numFmtId="173" fontId="0" fillId="49" borderId="0" xfId="0" applyNumberFormat="1" applyFill="1" applyAlignment="1">
      <alignment horizontal="center" vertical="center" wrapText="1"/>
    </xf>
    <xf numFmtId="0" fontId="0" fillId="49" borderId="0" xfId="0" applyFill="1" applyAlignment="1">
      <alignment horizontal="center" vertical="center" wrapText="1"/>
    </xf>
    <xf numFmtId="165" fontId="0" fillId="49" borderId="0" xfId="0" applyNumberFormat="1" applyFill="1" applyAlignment="1">
      <alignment horizontal="center" vertical="center" wrapText="1"/>
    </xf>
    <xf numFmtId="0" fontId="0" fillId="49" borderId="34" xfId="0" applyFill="1" applyBorder="1" applyAlignment="1">
      <alignment horizontal="center" vertical="center" wrapText="1"/>
    </xf>
    <xf numFmtId="173" fontId="0" fillId="38" borderId="1" xfId="0" applyNumberFormat="1" applyFont="1" applyFill="1" applyBorder="1"/>
    <xf numFmtId="0" fontId="56" fillId="6" borderId="1" xfId="0" applyFont="1" applyFill="1" applyBorder="1" applyAlignment="1">
      <alignment vertical="center" wrapText="1"/>
    </xf>
    <xf numFmtId="0" fontId="56" fillId="38" borderId="33" xfId="0" applyFont="1" applyFill="1" applyBorder="1" applyAlignment="1">
      <alignment vertical="center"/>
    </xf>
    <xf numFmtId="1" fontId="56" fillId="38" borderId="36" xfId="0" applyNumberFormat="1" applyFont="1" applyFill="1" applyBorder="1" applyAlignment="1">
      <alignment vertical="center" wrapText="1"/>
    </xf>
    <xf numFmtId="16" fontId="0" fillId="0" borderId="0" xfId="0" applyNumberFormat="1" applyAlignment="1">
      <alignment horizontal="center" vertical="center" wrapText="1"/>
    </xf>
    <xf numFmtId="166" fontId="57" fillId="0" borderId="38" xfId="1" applyNumberFormat="1" applyFont="1" applyFill="1" applyBorder="1" applyAlignment="1">
      <alignment horizontal="right" vertical="center"/>
    </xf>
    <xf numFmtId="0" fontId="56" fillId="0" borderId="1" xfId="0" applyFont="1" applyFill="1" applyBorder="1" applyAlignment="1">
      <alignment horizontal="right" vertical="center"/>
    </xf>
    <xf numFmtId="0" fontId="0" fillId="0" borderId="16" xfId="0" quotePrefix="1" applyBorder="1" applyAlignment="1">
      <alignment vertical="center"/>
    </xf>
    <xf numFmtId="0" fontId="56" fillId="0" borderId="33" xfId="0" applyFont="1" applyBorder="1" applyAlignment="1">
      <alignment horizontal="left" vertical="center"/>
    </xf>
    <xf numFmtId="0" fontId="56" fillId="0" borderId="12" xfId="0" applyFont="1" applyBorder="1" applyAlignment="1">
      <alignment horizontal="left" vertical="center"/>
    </xf>
    <xf numFmtId="0" fontId="56" fillId="0" borderId="33" xfId="0" applyFont="1" applyBorder="1" applyAlignment="1">
      <alignment horizontal="center" vertical="center"/>
    </xf>
    <xf numFmtId="0" fontId="56" fillId="0" borderId="12" xfId="0" applyFont="1" applyBorder="1" applyAlignment="1">
      <alignment horizontal="center" vertical="center"/>
    </xf>
    <xf numFmtId="165" fontId="56" fillId="0" borderId="33" xfId="0" applyNumberFormat="1" applyFont="1" applyBorder="1" applyAlignment="1">
      <alignment horizontal="center" vertical="center"/>
    </xf>
    <xf numFmtId="165" fontId="56" fillId="0" borderId="12" xfId="0" applyNumberFormat="1" applyFont="1" applyBorder="1" applyAlignment="1">
      <alignment horizontal="center" vertical="center"/>
    </xf>
    <xf numFmtId="164" fontId="57" fillId="0" borderId="33" xfId="1" applyNumberFormat="1" applyFont="1" applyFill="1" applyBorder="1" applyAlignment="1">
      <alignment horizontal="right" vertical="center"/>
    </xf>
    <xf numFmtId="164" fontId="57" fillId="0" borderId="12" xfId="1" applyNumberFormat="1" applyFont="1" applyFill="1" applyBorder="1" applyAlignment="1">
      <alignment horizontal="right" vertical="center"/>
    </xf>
    <xf numFmtId="166" fontId="56" fillId="0" borderId="12" xfId="0" applyNumberFormat="1" applyFont="1" applyBorder="1" applyAlignment="1">
      <alignment horizontal="right" vertical="center"/>
    </xf>
    <xf numFmtId="0" fontId="56" fillId="6" borderId="33" xfId="0" applyFont="1" applyFill="1" applyBorder="1" applyAlignment="1">
      <alignment horizontal="center" vertical="center"/>
    </xf>
    <xf numFmtId="0" fontId="56" fillId="6" borderId="12" xfId="0" applyFont="1" applyFill="1" applyBorder="1" applyAlignment="1">
      <alignment horizontal="center" vertical="center"/>
    </xf>
    <xf numFmtId="164" fontId="57" fillId="0" borderId="33" xfId="1" applyNumberFormat="1" applyFont="1" applyBorder="1" applyAlignment="1">
      <alignment horizontal="right" vertical="center"/>
    </xf>
    <xf numFmtId="1" fontId="56" fillId="38" borderId="13" xfId="0" quotePrefix="1" applyNumberFormat="1" applyFont="1" applyFill="1" applyBorder="1" applyAlignment="1">
      <alignment horizontal="left" vertical="center" wrapText="1"/>
    </xf>
    <xf numFmtId="0" fontId="56" fillId="38" borderId="12" xfId="0" applyFont="1" applyFill="1" applyBorder="1" applyAlignment="1">
      <alignment horizontal="left" vertical="center" wrapText="1"/>
    </xf>
    <xf numFmtId="164" fontId="57" fillId="0" borderId="1" xfId="1" applyNumberFormat="1" applyFont="1" applyFill="1" applyBorder="1" applyAlignment="1">
      <alignment horizontal="right" vertical="center"/>
    </xf>
    <xf numFmtId="166" fontId="56" fillId="0" borderId="1" xfId="0" applyNumberFormat="1" applyFont="1" applyBorder="1" applyAlignment="1">
      <alignment horizontal="right" vertical="center"/>
    </xf>
    <xf numFmtId="0" fontId="56" fillId="0" borderId="33" xfId="0" applyFont="1" applyBorder="1" applyAlignment="1">
      <alignment vertical="center"/>
    </xf>
    <xf numFmtId="0" fontId="56" fillId="0" borderId="12" xfId="0" applyFont="1" applyBorder="1" applyAlignment="1">
      <alignment vertical="center"/>
    </xf>
    <xf numFmtId="173" fontId="0" fillId="38" borderId="12" xfId="0" applyNumberFormat="1" applyFill="1" applyBorder="1" applyAlignment="1">
      <alignment horizontal="center" vertical="center"/>
    </xf>
    <xf numFmtId="164" fontId="57" fillId="0" borderId="33" xfId="1" applyNumberFormat="1" applyFont="1" applyFill="1" applyBorder="1" applyAlignment="1">
      <alignment vertical="center"/>
    </xf>
    <xf numFmtId="164" fontId="57" fillId="0" borderId="33" xfId="1" applyNumberFormat="1" applyFont="1" applyBorder="1" applyAlignment="1">
      <alignment vertical="center"/>
    </xf>
    <xf numFmtId="164" fontId="57" fillId="0" borderId="12" xfId="1" applyNumberFormat="1" applyFont="1" applyBorder="1" applyAlignment="1">
      <alignment vertical="center"/>
    </xf>
    <xf numFmtId="166" fontId="56" fillId="0" borderId="33" xfId="0" applyNumberFormat="1" applyFont="1" applyBorder="1" applyAlignment="1">
      <alignment vertical="center"/>
    </xf>
    <xf numFmtId="166" fontId="56" fillId="0" borderId="12" xfId="0" applyNumberFormat="1" applyFont="1" applyBorder="1" applyAlignment="1">
      <alignment vertical="center"/>
    </xf>
    <xf numFmtId="0" fontId="56" fillId="0" borderId="1" xfId="0" applyFont="1" applyBorder="1" applyAlignment="1">
      <alignment horizontal="left" vertical="center"/>
    </xf>
    <xf numFmtId="0" fontId="56" fillId="0" borderId="37" xfId="0" applyFont="1" applyBorder="1" applyAlignment="1">
      <alignment horizontal="center" vertical="center"/>
    </xf>
    <xf numFmtId="0" fontId="56" fillId="0" borderId="35" xfId="0" applyFont="1" applyBorder="1" applyAlignment="1">
      <alignment horizontal="center" vertical="center"/>
    </xf>
    <xf numFmtId="0" fontId="56" fillId="6" borderId="1" xfId="0" applyFont="1" applyFill="1" applyBorder="1" applyAlignment="1">
      <alignment horizontal="center" vertical="center"/>
    </xf>
    <xf numFmtId="0" fontId="56" fillId="0" borderId="1" xfId="0" applyFont="1" applyBorder="1" applyAlignment="1">
      <alignment horizontal="center" vertical="center"/>
    </xf>
    <xf numFmtId="165" fontId="56" fillId="0" borderId="1" xfId="0" applyNumberFormat="1" applyFont="1" applyBorder="1" applyAlignment="1">
      <alignment horizontal="center" vertical="center"/>
    </xf>
    <xf numFmtId="0" fontId="56" fillId="38" borderId="33" xfId="0" applyFont="1" applyFill="1" applyBorder="1" applyAlignment="1">
      <alignment vertical="center" wrapText="1"/>
    </xf>
    <xf numFmtId="0" fontId="56" fillId="38" borderId="13" xfId="0" applyFont="1" applyFill="1" applyBorder="1" applyAlignment="1">
      <alignment vertical="center" wrapText="1"/>
    </xf>
    <xf numFmtId="0" fontId="56" fillId="38" borderId="12" xfId="0" applyFont="1" applyFill="1" applyBorder="1" applyAlignment="1">
      <alignment vertical="center" wrapText="1"/>
    </xf>
    <xf numFmtId="166" fontId="56" fillId="0" borderId="37" xfId="0" applyNumberFormat="1" applyFont="1" applyBorder="1" applyAlignment="1">
      <alignment vertical="center"/>
    </xf>
    <xf numFmtId="166" fontId="56" fillId="0" borderId="1" xfId="0" applyNumberFormat="1" applyFont="1" applyBorder="1" applyAlignment="1">
      <alignment vertical="center"/>
    </xf>
    <xf numFmtId="0" fontId="56" fillId="0" borderId="33" xfId="0" applyFont="1" applyBorder="1" applyAlignment="1">
      <alignment horizontal="right" vertical="center"/>
    </xf>
    <xf numFmtId="0" fontId="56" fillId="0" borderId="12" xfId="0" applyFont="1" applyBorder="1" applyAlignment="1">
      <alignment horizontal="right" vertical="center"/>
    </xf>
    <xf numFmtId="166" fontId="57" fillId="0" borderId="33" xfId="1" applyNumberFormat="1" applyFont="1" applyFill="1" applyBorder="1" applyAlignment="1">
      <alignment horizontal="right" vertical="center"/>
    </xf>
    <xf numFmtId="49" fontId="5" fillId="10" borderId="1" xfId="1" applyNumberFormat="1" applyFont="1" applyFill="1" applyBorder="1" applyAlignment="1">
      <alignment horizontal="center" vertical="center"/>
    </xf>
    <xf numFmtId="0" fontId="56" fillId="41" borderId="1" xfId="0" applyFont="1" applyFill="1" applyBorder="1" applyAlignment="1">
      <alignment horizontal="center" vertical="center"/>
    </xf>
    <xf numFmtId="0" fontId="56" fillId="0" borderId="33" xfId="0" applyFont="1" applyBorder="1" applyAlignment="1">
      <alignment horizontal="left" vertical="center"/>
    </xf>
    <xf numFmtId="0" fontId="56" fillId="0" borderId="12" xfId="0" applyFont="1" applyBorder="1" applyAlignment="1">
      <alignment horizontal="left" vertical="center"/>
    </xf>
    <xf numFmtId="0" fontId="56" fillId="0" borderId="33" xfId="0" applyFont="1" applyBorder="1" applyAlignment="1">
      <alignment horizontal="center" vertical="center"/>
    </xf>
    <xf numFmtId="0" fontId="56" fillId="0" borderId="12" xfId="0" applyFont="1" applyBorder="1" applyAlignment="1">
      <alignment horizontal="center" vertical="center"/>
    </xf>
    <xf numFmtId="165" fontId="56" fillId="0" borderId="33" xfId="0" applyNumberFormat="1" applyFont="1" applyBorder="1" applyAlignment="1">
      <alignment horizontal="center" vertical="center"/>
    </xf>
    <xf numFmtId="165" fontId="56" fillId="0" borderId="12" xfId="0" applyNumberFormat="1" applyFont="1" applyBorder="1" applyAlignment="1">
      <alignment horizontal="center" vertical="center"/>
    </xf>
    <xf numFmtId="0" fontId="56" fillId="41" borderId="33" xfId="0" applyFont="1" applyFill="1" applyBorder="1" applyAlignment="1">
      <alignment horizontal="center" vertical="center"/>
    </xf>
    <xf numFmtId="0" fontId="56" fillId="41" borderId="12" xfId="0" applyFont="1" applyFill="1" applyBorder="1" applyAlignment="1">
      <alignment horizontal="center" vertical="center"/>
    </xf>
    <xf numFmtId="164" fontId="57" fillId="0" borderId="33" xfId="1" applyNumberFormat="1" applyFont="1" applyFill="1" applyBorder="1" applyAlignment="1">
      <alignment horizontal="right" vertical="center"/>
    </xf>
    <xf numFmtId="164" fontId="57" fillId="0" borderId="12" xfId="1" applyNumberFormat="1" applyFont="1" applyFill="1" applyBorder="1" applyAlignment="1">
      <alignment horizontal="right" vertical="center"/>
    </xf>
    <xf numFmtId="166" fontId="56" fillId="0" borderId="33" xfId="0" applyNumberFormat="1" applyFont="1" applyBorder="1" applyAlignment="1">
      <alignment horizontal="right" vertical="center"/>
    </xf>
    <xf numFmtId="166" fontId="56" fillId="0" borderId="12" xfId="0" applyNumberFormat="1" applyFont="1" applyBorder="1" applyAlignment="1">
      <alignment horizontal="right" vertical="center"/>
    </xf>
    <xf numFmtId="0" fontId="56" fillId="0" borderId="33" xfId="0" applyFont="1" applyBorder="1" applyAlignment="1">
      <alignment vertical="center"/>
    </xf>
    <xf numFmtId="0" fontId="56" fillId="0" borderId="13" xfId="0" applyFont="1" applyBorder="1" applyAlignment="1">
      <alignment vertical="center"/>
    </xf>
    <xf numFmtId="0" fontId="56" fillId="0" borderId="12" xfId="0" applyFont="1" applyBorder="1" applyAlignment="1">
      <alignment vertical="center"/>
    </xf>
    <xf numFmtId="0" fontId="56" fillId="0" borderId="13" xfId="0" applyFont="1" applyBorder="1" applyAlignment="1">
      <alignment horizontal="center" vertical="center"/>
    </xf>
    <xf numFmtId="165" fontId="56" fillId="0" borderId="13" xfId="0" applyNumberFormat="1" applyFont="1" applyBorder="1" applyAlignment="1">
      <alignment horizontal="center" vertical="center"/>
    </xf>
    <xf numFmtId="0" fontId="56" fillId="6" borderId="33" xfId="0" applyFont="1" applyFill="1" applyBorder="1" applyAlignment="1">
      <alignment horizontal="center" vertical="center"/>
    </xf>
    <xf numFmtId="0" fontId="56" fillId="6" borderId="13" xfId="0" applyFont="1" applyFill="1" applyBorder="1" applyAlignment="1">
      <alignment horizontal="center" vertical="center"/>
    </xf>
    <xf numFmtId="0" fontId="56" fillId="6" borderId="12" xfId="0" applyFont="1" applyFill="1" applyBorder="1" applyAlignment="1">
      <alignment horizontal="center" vertical="center"/>
    </xf>
    <xf numFmtId="164" fontId="57" fillId="0" borderId="13" xfId="1" applyNumberFormat="1" applyFont="1" applyFill="1" applyBorder="1" applyAlignment="1">
      <alignment horizontal="right" vertical="center"/>
    </xf>
    <xf numFmtId="166" fontId="56" fillId="0" borderId="13" xfId="0" applyNumberFormat="1" applyFont="1" applyBorder="1" applyAlignment="1">
      <alignment horizontal="right" vertical="center"/>
    </xf>
    <xf numFmtId="0" fontId="56" fillId="38" borderId="33" xfId="0" applyFont="1" applyFill="1" applyBorder="1" applyAlignment="1">
      <alignment horizontal="left" vertical="center" wrapText="1"/>
    </xf>
    <xf numFmtId="0" fontId="56" fillId="38" borderId="13" xfId="0" applyFont="1" applyFill="1" applyBorder="1" applyAlignment="1">
      <alignment horizontal="left" vertical="center" wrapText="1"/>
    </xf>
    <xf numFmtId="0" fontId="56" fillId="38" borderId="12" xfId="0" applyFont="1" applyFill="1" applyBorder="1" applyAlignment="1">
      <alignment horizontal="left" vertical="center" wrapText="1"/>
    </xf>
    <xf numFmtId="0" fontId="56" fillId="39" borderId="33" xfId="0" applyFont="1" applyFill="1" applyBorder="1" applyAlignment="1">
      <alignment horizontal="left" vertical="center" wrapText="1"/>
    </xf>
    <xf numFmtId="0" fontId="56" fillId="39" borderId="12" xfId="0" applyFont="1" applyFill="1" applyBorder="1" applyAlignment="1">
      <alignment horizontal="left" vertical="center" wrapText="1"/>
    </xf>
    <xf numFmtId="1" fontId="56" fillId="38" borderId="33" xfId="0" applyNumberFormat="1" applyFont="1" applyFill="1" applyBorder="1" applyAlignment="1">
      <alignment horizontal="left" vertical="center" wrapText="1"/>
    </xf>
    <xf numFmtId="1" fontId="56" fillId="38" borderId="12" xfId="0" applyNumberFormat="1" applyFont="1" applyFill="1" applyBorder="1" applyAlignment="1">
      <alignment horizontal="left" vertical="center" wrapText="1"/>
    </xf>
    <xf numFmtId="1" fontId="56" fillId="38" borderId="33" xfId="0" quotePrefix="1" applyNumberFormat="1" applyFont="1" applyFill="1" applyBorder="1" applyAlignment="1">
      <alignment horizontal="left" vertical="center" wrapText="1"/>
    </xf>
    <xf numFmtId="1" fontId="56" fillId="38" borderId="12" xfId="0" quotePrefix="1" applyNumberFormat="1" applyFont="1" applyFill="1" applyBorder="1" applyAlignment="1">
      <alignment horizontal="left" vertical="center" wrapText="1"/>
    </xf>
    <xf numFmtId="1" fontId="56" fillId="38" borderId="13" xfId="0" quotePrefix="1" applyNumberFormat="1" applyFont="1" applyFill="1" applyBorder="1" applyAlignment="1">
      <alignment horizontal="left" vertical="center" wrapText="1"/>
    </xf>
    <xf numFmtId="0" fontId="56" fillId="39" borderId="13" xfId="0" applyFont="1" applyFill="1" applyBorder="1" applyAlignment="1">
      <alignment horizontal="left" vertical="center" wrapText="1"/>
    </xf>
    <xf numFmtId="166" fontId="56" fillId="6" borderId="33" xfId="0" applyNumberFormat="1" applyFont="1" applyFill="1" applyBorder="1" applyAlignment="1">
      <alignment horizontal="center" vertical="center"/>
    </xf>
    <xf numFmtId="166" fontId="56" fillId="6" borderId="12" xfId="0" applyNumberFormat="1" applyFont="1" applyFill="1" applyBorder="1" applyAlignment="1">
      <alignment horizontal="center" vertical="center"/>
    </xf>
    <xf numFmtId="164" fontId="57" fillId="0" borderId="33" xfId="1" applyNumberFormat="1" applyFont="1" applyBorder="1" applyAlignment="1">
      <alignment horizontal="right" vertical="center"/>
    </xf>
    <xf numFmtId="164" fontId="57" fillId="0" borderId="12" xfId="1" applyNumberFormat="1" applyFont="1" applyBorder="1" applyAlignment="1">
      <alignment horizontal="right" vertical="center"/>
    </xf>
    <xf numFmtId="0" fontId="56" fillId="0" borderId="13" xfId="0" applyFont="1" applyBorder="1" applyAlignment="1">
      <alignment horizontal="left" vertical="center"/>
    </xf>
    <xf numFmtId="0" fontId="56" fillId="40" borderId="33" xfId="0" applyFont="1" applyFill="1" applyBorder="1" applyAlignment="1">
      <alignment horizontal="center" vertical="center"/>
    </xf>
    <xf numFmtId="0" fontId="56" fillId="40" borderId="13" xfId="0" applyFont="1" applyFill="1" applyBorder="1" applyAlignment="1">
      <alignment horizontal="center" vertical="center"/>
    </xf>
    <xf numFmtId="0" fontId="56" fillId="40" borderId="12" xfId="0" applyFont="1" applyFill="1" applyBorder="1" applyAlignment="1">
      <alignment horizontal="center" vertical="center"/>
    </xf>
    <xf numFmtId="1" fontId="56" fillId="39" borderId="33" xfId="0" applyNumberFormat="1" applyFont="1" applyFill="1" applyBorder="1" applyAlignment="1">
      <alignment horizontal="left" vertical="center" wrapText="1"/>
    </xf>
    <xf numFmtId="1" fontId="56" fillId="39" borderId="12" xfId="0" applyNumberFormat="1" applyFont="1" applyFill="1" applyBorder="1" applyAlignment="1">
      <alignment horizontal="left" vertical="center" wrapText="1"/>
    </xf>
    <xf numFmtId="0" fontId="56" fillId="11" borderId="33" xfId="0" applyFont="1" applyFill="1" applyBorder="1" applyAlignment="1">
      <alignment horizontal="center" vertical="center"/>
    </xf>
    <xf numFmtId="0" fontId="56" fillId="11" borderId="13" xfId="0" applyFont="1" applyFill="1" applyBorder="1" applyAlignment="1">
      <alignment horizontal="center" vertical="center"/>
    </xf>
    <xf numFmtId="0" fontId="56" fillId="11" borderId="12" xfId="0" applyFont="1" applyFill="1" applyBorder="1" applyAlignment="1">
      <alignment horizontal="center" vertical="center"/>
    </xf>
    <xf numFmtId="166" fontId="56" fillId="6" borderId="13" xfId="0" applyNumberFormat="1" applyFont="1" applyFill="1" applyBorder="1" applyAlignment="1">
      <alignment horizontal="center" vertical="center"/>
    </xf>
    <xf numFmtId="164" fontId="57" fillId="0" borderId="1" xfId="1" applyNumberFormat="1" applyFont="1" applyFill="1" applyBorder="1" applyAlignment="1">
      <alignment horizontal="right" vertical="center"/>
    </xf>
    <xf numFmtId="166" fontId="56" fillId="0" borderId="1" xfId="0" applyNumberFormat="1" applyFont="1" applyBorder="1" applyAlignment="1">
      <alignment horizontal="right" vertical="center"/>
    </xf>
    <xf numFmtId="166" fontId="56" fillId="0" borderId="37" xfId="0" applyNumberFormat="1" applyFont="1" applyBorder="1" applyAlignment="1">
      <alignment horizontal="right" vertical="center"/>
    </xf>
    <xf numFmtId="166" fontId="56" fillId="0" borderId="35" xfId="0" applyNumberFormat="1" applyFont="1" applyBorder="1" applyAlignment="1">
      <alignment horizontal="right" vertical="center"/>
    </xf>
    <xf numFmtId="166" fontId="56" fillId="0" borderId="33" xfId="0" applyNumberFormat="1" applyFont="1" applyFill="1" applyBorder="1" applyAlignment="1">
      <alignment horizontal="center" vertical="center"/>
    </xf>
    <xf numFmtId="166" fontId="56" fillId="0" borderId="12" xfId="0" applyNumberFormat="1" applyFont="1" applyFill="1" applyBorder="1" applyAlignment="1">
      <alignment horizontal="center" vertical="center"/>
    </xf>
    <xf numFmtId="0" fontId="56" fillId="38" borderId="33" xfId="0" applyFont="1" applyFill="1" applyBorder="1" applyAlignment="1">
      <alignment horizontal="center" vertical="center" wrapText="1"/>
    </xf>
    <xf numFmtId="0" fontId="56" fillId="38" borderId="13" xfId="0" applyFont="1" applyFill="1" applyBorder="1" applyAlignment="1">
      <alignment horizontal="center" vertical="center" wrapText="1"/>
    </xf>
    <xf numFmtId="0" fontId="56" fillId="38" borderId="12" xfId="0" applyFont="1" applyFill="1" applyBorder="1" applyAlignment="1">
      <alignment horizontal="center" vertical="center" wrapText="1"/>
    </xf>
    <xf numFmtId="173" fontId="0" fillId="38" borderId="33" xfId="0" applyNumberFormat="1" applyFill="1" applyBorder="1" applyAlignment="1">
      <alignment horizontal="center" vertical="center"/>
    </xf>
    <xf numFmtId="173" fontId="0" fillId="38" borderId="12" xfId="0" applyNumberFormat="1" applyFill="1" applyBorder="1" applyAlignment="1">
      <alignment horizontal="center" vertical="center"/>
    </xf>
    <xf numFmtId="1" fontId="56" fillId="38" borderId="33" xfId="0" quotePrefix="1" applyNumberFormat="1" applyFont="1" applyFill="1" applyBorder="1" applyAlignment="1">
      <alignment horizontal="right" vertical="center" wrapText="1"/>
    </xf>
    <xf numFmtId="1" fontId="56" fillId="38" borderId="13" xfId="0" quotePrefix="1" applyNumberFormat="1" applyFont="1" applyFill="1" applyBorder="1" applyAlignment="1">
      <alignment horizontal="right" vertical="center" wrapText="1"/>
    </xf>
    <xf numFmtId="1" fontId="56" fillId="38" borderId="12" xfId="0" quotePrefix="1" applyNumberFormat="1" applyFont="1" applyFill="1" applyBorder="1" applyAlignment="1">
      <alignment horizontal="right" vertical="center" wrapText="1"/>
    </xf>
    <xf numFmtId="173" fontId="0" fillId="38" borderId="13" xfId="0" applyNumberFormat="1" applyFill="1" applyBorder="1" applyAlignment="1">
      <alignment horizontal="center" vertical="center"/>
    </xf>
    <xf numFmtId="173" fontId="0" fillId="38" borderId="33" xfId="0" applyNumberFormat="1" applyFill="1" applyBorder="1" applyAlignment="1">
      <alignment horizontal="center"/>
    </xf>
    <xf numFmtId="173" fontId="0" fillId="38" borderId="12" xfId="0" applyNumberFormat="1" applyFill="1" applyBorder="1" applyAlignment="1">
      <alignment horizontal="center"/>
    </xf>
    <xf numFmtId="1" fontId="56" fillId="38" borderId="33" xfId="0" quotePrefix="1" applyNumberFormat="1" applyFont="1" applyFill="1" applyBorder="1" applyAlignment="1">
      <alignment horizontal="center" vertical="center" wrapText="1"/>
    </xf>
    <xf numFmtId="1" fontId="56" fillId="38" borderId="13" xfId="0" quotePrefix="1" applyNumberFormat="1" applyFont="1" applyFill="1" applyBorder="1" applyAlignment="1">
      <alignment horizontal="center" vertical="center" wrapText="1"/>
    </xf>
    <xf numFmtId="1" fontId="56" fillId="38" borderId="12" xfId="0" quotePrefix="1" applyNumberFormat="1" applyFont="1" applyFill="1" applyBorder="1" applyAlignment="1">
      <alignment horizontal="center" vertical="center" wrapText="1"/>
    </xf>
    <xf numFmtId="164" fontId="57" fillId="0" borderId="13" xfId="1" applyNumberFormat="1" applyFont="1" applyBorder="1" applyAlignment="1">
      <alignment horizontal="right" vertical="center"/>
    </xf>
    <xf numFmtId="166" fontId="56" fillId="0" borderId="33" xfId="0" applyNumberFormat="1" applyFont="1" applyFill="1" applyBorder="1" applyAlignment="1">
      <alignment horizontal="center" vertical="center" wrapText="1"/>
    </xf>
    <xf numFmtId="166" fontId="56" fillId="0" borderId="13" xfId="0" applyNumberFormat="1" applyFont="1" applyFill="1" applyBorder="1" applyAlignment="1">
      <alignment horizontal="center" vertical="center" wrapText="1"/>
    </xf>
    <xf numFmtId="166" fontId="56" fillId="0" borderId="12" xfId="0" applyNumberFormat="1" applyFont="1" applyFill="1" applyBorder="1" applyAlignment="1">
      <alignment horizontal="center" vertical="center" wrapText="1"/>
    </xf>
    <xf numFmtId="0" fontId="56" fillId="38" borderId="33" xfId="0" applyFont="1" applyFill="1" applyBorder="1" applyAlignment="1">
      <alignment horizontal="center" vertical="center"/>
    </xf>
    <xf numFmtId="0" fontId="56" fillId="38" borderId="12" xfId="0" applyFont="1" applyFill="1" applyBorder="1" applyAlignment="1">
      <alignment horizontal="center" vertical="center"/>
    </xf>
    <xf numFmtId="1" fontId="56" fillId="38" borderId="12" xfId="0" applyNumberFormat="1" applyFont="1" applyFill="1" applyBorder="1" applyAlignment="1">
      <alignment horizontal="center" vertical="center" wrapText="1"/>
    </xf>
    <xf numFmtId="166" fontId="56" fillId="0" borderId="13" xfId="0" applyNumberFormat="1" applyFont="1" applyFill="1" applyBorder="1" applyAlignment="1">
      <alignment horizontal="center" vertical="center"/>
    </xf>
    <xf numFmtId="0" fontId="56" fillId="48" borderId="33" xfId="0" applyFont="1" applyFill="1" applyBorder="1" applyAlignment="1">
      <alignment horizontal="center" vertical="center" wrapText="1"/>
    </xf>
    <xf numFmtId="0" fontId="56" fillId="48" borderId="13" xfId="0" applyFont="1" applyFill="1" applyBorder="1" applyAlignment="1">
      <alignment horizontal="center" vertical="center" wrapText="1"/>
    </xf>
    <xf numFmtId="0" fontId="56" fillId="48" borderId="12" xfId="0" applyFont="1" applyFill="1" applyBorder="1" applyAlignment="1">
      <alignment horizontal="center" vertical="center" wrapText="1"/>
    </xf>
    <xf numFmtId="1" fontId="56" fillId="48" borderId="33" xfId="0" quotePrefix="1" applyNumberFormat="1" applyFont="1" applyFill="1" applyBorder="1" applyAlignment="1">
      <alignment horizontal="left" vertical="center" wrapText="1"/>
    </xf>
    <xf numFmtId="1" fontId="56" fillId="48" borderId="13" xfId="0" quotePrefix="1" applyNumberFormat="1" applyFont="1" applyFill="1" applyBorder="1" applyAlignment="1">
      <alignment horizontal="left" vertical="center" wrapText="1"/>
    </xf>
    <xf numFmtId="1" fontId="56" fillId="48" borderId="12" xfId="0" quotePrefix="1" applyNumberFormat="1" applyFont="1" applyFill="1" applyBorder="1" applyAlignment="1">
      <alignment horizontal="left" vertical="center" wrapText="1"/>
    </xf>
    <xf numFmtId="164" fontId="57" fillId="0" borderId="33" xfId="1" applyNumberFormat="1" applyFont="1" applyFill="1" applyBorder="1" applyAlignment="1">
      <alignment vertical="center"/>
    </xf>
    <xf numFmtId="164" fontId="57" fillId="0" borderId="12" xfId="1" applyNumberFormat="1" applyFont="1" applyFill="1" applyBorder="1" applyAlignment="1">
      <alignment vertical="center"/>
    </xf>
    <xf numFmtId="164" fontId="57" fillId="0" borderId="33" xfId="1" applyNumberFormat="1" applyFont="1" applyBorder="1" applyAlignment="1">
      <alignment vertical="center"/>
    </xf>
    <xf numFmtId="164" fontId="57" fillId="0" borderId="12" xfId="1" applyNumberFormat="1" applyFont="1" applyBorder="1" applyAlignment="1">
      <alignment vertical="center"/>
    </xf>
    <xf numFmtId="166" fontId="56" fillId="0" borderId="33" xfId="0" applyNumberFormat="1" applyFont="1" applyBorder="1" applyAlignment="1">
      <alignment vertical="center"/>
    </xf>
    <xf numFmtId="166" fontId="56" fillId="0" borderId="13" xfId="0" applyNumberFormat="1" applyFont="1" applyBorder="1" applyAlignment="1">
      <alignment vertical="center"/>
    </xf>
    <xf numFmtId="166" fontId="56" fillId="0" borderId="12" xfId="0" applyNumberFormat="1" applyFont="1" applyBorder="1" applyAlignment="1">
      <alignment vertical="center"/>
    </xf>
    <xf numFmtId="1" fontId="56" fillId="38" borderId="33" xfId="0" applyNumberFormat="1" applyFont="1" applyFill="1" applyBorder="1" applyAlignment="1">
      <alignment horizontal="center" vertical="center" wrapText="1"/>
    </xf>
    <xf numFmtId="1" fontId="56" fillId="38" borderId="13" xfId="0" applyNumberFormat="1" applyFont="1" applyFill="1" applyBorder="1" applyAlignment="1">
      <alignment horizontal="center" vertical="center" wrapText="1"/>
    </xf>
    <xf numFmtId="0" fontId="56" fillId="0" borderId="1" xfId="0" applyFont="1" applyBorder="1" applyAlignment="1">
      <alignment horizontal="left" vertical="center"/>
    </xf>
    <xf numFmtId="0" fontId="56" fillId="0" borderId="37" xfId="0" applyFont="1" applyBorder="1" applyAlignment="1">
      <alignment horizontal="center" vertical="center"/>
    </xf>
    <xf numFmtId="0" fontId="56" fillId="0" borderId="35" xfId="0" applyFont="1" applyBorder="1" applyAlignment="1">
      <alignment horizontal="center" vertical="center"/>
    </xf>
    <xf numFmtId="166" fontId="56" fillId="0" borderId="33" xfId="0" applyNumberFormat="1" applyFont="1" applyFill="1" applyBorder="1" applyAlignment="1">
      <alignment horizontal="right" vertical="center"/>
    </xf>
    <xf numFmtId="166" fontId="56" fillId="0" borderId="13" xfId="0" applyNumberFormat="1" applyFont="1" applyFill="1" applyBorder="1" applyAlignment="1">
      <alignment horizontal="right" vertical="center"/>
    </xf>
    <xf numFmtId="166" fontId="56" fillId="0" borderId="12" xfId="0" applyNumberFormat="1" applyFont="1" applyFill="1" applyBorder="1" applyAlignment="1">
      <alignment horizontal="right" vertical="center"/>
    </xf>
    <xf numFmtId="166" fontId="61" fillId="0" borderId="33" xfId="0" applyNumberFormat="1" applyFont="1" applyFill="1" applyBorder="1" applyAlignment="1">
      <alignment horizontal="center" vertical="center" wrapText="1"/>
    </xf>
    <xf numFmtId="166" fontId="61" fillId="0" borderId="13" xfId="0" applyNumberFormat="1" applyFont="1" applyFill="1" applyBorder="1" applyAlignment="1">
      <alignment horizontal="center" vertical="center" wrapText="1"/>
    </xf>
    <xf numFmtId="166" fontId="61" fillId="0" borderId="12" xfId="0" applyNumberFormat="1" applyFont="1" applyFill="1" applyBorder="1" applyAlignment="1">
      <alignment horizontal="center" vertical="center" wrapText="1"/>
    </xf>
    <xf numFmtId="166" fontId="56" fillId="0" borderId="33" xfId="0" applyNumberFormat="1" applyFont="1" applyBorder="1" applyAlignment="1">
      <alignment horizontal="center" vertical="center"/>
    </xf>
    <xf numFmtId="166" fontId="56" fillId="0" borderId="13" xfId="0" applyNumberFormat="1" applyFont="1" applyBorder="1" applyAlignment="1">
      <alignment horizontal="center" vertical="center"/>
    </xf>
    <xf numFmtId="166" fontId="56" fillId="0" borderId="12" xfId="0" applyNumberFormat="1" applyFont="1" applyBorder="1" applyAlignment="1">
      <alignment horizontal="center" vertical="center"/>
    </xf>
    <xf numFmtId="0" fontId="56" fillId="0" borderId="33" xfId="0" applyFont="1" applyFill="1" applyBorder="1" applyAlignment="1">
      <alignment horizontal="center" vertical="center" wrapText="1"/>
    </xf>
    <xf numFmtId="0" fontId="56" fillId="0" borderId="12" xfId="0" applyFont="1" applyFill="1" applyBorder="1" applyAlignment="1">
      <alignment horizontal="center" vertical="center" wrapText="1"/>
    </xf>
    <xf numFmtId="164" fontId="57" fillId="0" borderId="33" xfId="1" applyNumberFormat="1" applyFont="1" applyBorder="1" applyAlignment="1">
      <alignment horizontal="center" vertical="center"/>
    </xf>
    <xf numFmtId="164" fontId="57" fillId="0" borderId="12" xfId="1" applyNumberFormat="1" applyFont="1" applyBorder="1" applyAlignment="1">
      <alignment horizontal="center" vertical="center"/>
    </xf>
    <xf numFmtId="164" fontId="57" fillId="0" borderId="33" xfId="1" applyNumberFormat="1" applyFont="1" applyFill="1" applyBorder="1" applyAlignment="1">
      <alignment horizontal="center" vertical="center"/>
    </xf>
    <xf numFmtId="164" fontId="57" fillId="0" borderId="12" xfId="1" applyNumberFormat="1" applyFont="1" applyFill="1" applyBorder="1" applyAlignment="1">
      <alignment horizontal="center" vertical="center"/>
    </xf>
    <xf numFmtId="164" fontId="57" fillId="0" borderId="13" xfId="1" applyNumberFormat="1" applyFont="1" applyFill="1" applyBorder="1" applyAlignment="1">
      <alignment vertical="center"/>
    </xf>
    <xf numFmtId="173" fontId="0" fillId="38" borderId="33" xfId="0" applyNumberFormat="1" applyFill="1" applyBorder="1" applyAlignment="1">
      <alignment horizontal="right" vertical="center"/>
    </xf>
    <xf numFmtId="173" fontId="0" fillId="38" borderId="12" xfId="0" applyNumberFormat="1" applyFill="1" applyBorder="1" applyAlignment="1">
      <alignment horizontal="right" vertical="center"/>
    </xf>
    <xf numFmtId="0" fontId="56" fillId="6" borderId="37" xfId="0" applyFont="1" applyFill="1" applyBorder="1" applyAlignment="1">
      <alignment horizontal="center" vertical="center"/>
    </xf>
    <xf numFmtId="0" fontId="56" fillId="6" borderId="35" xfId="0" applyFont="1" applyFill="1" applyBorder="1" applyAlignment="1">
      <alignment horizontal="center" vertical="center"/>
    </xf>
    <xf numFmtId="166" fontId="56" fillId="0" borderId="38" xfId="0" applyNumberFormat="1" applyFont="1" applyBorder="1" applyAlignment="1">
      <alignment horizontal="right" vertical="center"/>
    </xf>
    <xf numFmtId="166" fontId="56" fillId="0" borderId="20" xfId="0" applyNumberFormat="1" applyFont="1" applyBorder="1" applyAlignment="1">
      <alignment horizontal="right" vertical="center"/>
    </xf>
    <xf numFmtId="0" fontId="56" fillId="0" borderId="33" xfId="0" applyFont="1" applyBorder="1" applyAlignment="1">
      <alignment horizontal="left" vertical="center" wrapText="1"/>
    </xf>
    <xf numFmtId="0" fontId="56" fillId="0" borderId="12" xfId="0" applyFont="1" applyBorder="1" applyAlignment="1">
      <alignment horizontal="left" vertical="center" wrapText="1"/>
    </xf>
    <xf numFmtId="164" fontId="57" fillId="0" borderId="13" xfId="1" applyNumberFormat="1" applyFont="1" applyFill="1" applyBorder="1" applyAlignment="1">
      <alignment horizontal="center" vertical="center"/>
    </xf>
    <xf numFmtId="0" fontId="56" fillId="0" borderId="33" xfId="0" applyFont="1" applyFill="1" applyBorder="1" applyAlignment="1">
      <alignment horizontal="left" vertical="center" wrapText="1"/>
    </xf>
    <xf numFmtId="0" fontId="56" fillId="0" borderId="12" xfId="0" applyFont="1" applyFill="1" applyBorder="1" applyAlignment="1">
      <alignment horizontal="left" vertical="center" wrapText="1"/>
    </xf>
    <xf numFmtId="1" fontId="56" fillId="0" borderId="33" xfId="0" applyNumberFormat="1" applyFont="1" applyFill="1" applyBorder="1" applyAlignment="1">
      <alignment horizontal="center" vertical="center" wrapText="1"/>
    </xf>
    <xf numFmtId="1" fontId="56" fillId="0" borderId="12" xfId="0" applyNumberFormat="1" applyFont="1" applyFill="1" applyBorder="1" applyAlignment="1">
      <alignment horizontal="center" vertical="center" wrapText="1"/>
    </xf>
    <xf numFmtId="1" fontId="56" fillId="38" borderId="13" xfId="0" applyNumberFormat="1" applyFont="1" applyFill="1" applyBorder="1" applyAlignment="1">
      <alignment horizontal="left" vertical="center" wrapText="1"/>
    </xf>
    <xf numFmtId="173" fontId="0" fillId="38" borderId="13" xfId="0" applyNumberFormat="1" applyFill="1" applyBorder="1" applyAlignment="1">
      <alignment horizontal="right" vertical="center"/>
    </xf>
    <xf numFmtId="0" fontId="0" fillId="0" borderId="33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66" fontId="56" fillId="6" borderId="33" xfId="0" applyNumberFormat="1" applyFont="1" applyFill="1" applyBorder="1" applyAlignment="1">
      <alignment horizontal="right" vertical="center"/>
    </xf>
    <xf numFmtId="166" fontId="56" fillId="6" borderId="13" xfId="0" applyNumberFormat="1" applyFont="1" applyFill="1" applyBorder="1" applyAlignment="1">
      <alignment horizontal="right" vertical="center"/>
    </xf>
    <xf numFmtId="166" fontId="56" fillId="6" borderId="12" xfId="0" applyNumberFormat="1" applyFont="1" applyFill="1" applyBorder="1" applyAlignment="1">
      <alignment horizontal="right" vertical="center"/>
    </xf>
    <xf numFmtId="173" fontId="0" fillId="43" borderId="33" xfId="0" applyNumberFormat="1" applyFill="1" applyBorder="1" applyAlignment="1">
      <alignment horizontal="center" vertical="center"/>
    </xf>
    <xf numFmtId="173" fontId="0" fillId="43" borderId="12" xfId="0" applyNumberFormat="1" applyFill="1" applyBorder="1" applyAlignment="1">
      <alignment horizontal="center" vertical="center"/>
    </xf>
    <xf numFmtId="166" fontId="56" fillId="0" borderId="33" xfId="0" applyNumberFormat="1" applyFont="1" applyFill="1" applyBorder="1" applyAlignment="1">
      <alignment horizontal="left" vertical="center"/>
    </xf>
    <xf numFmtId="166" fontId="56" fillId="0" borderId="12" xfId="0" applyNumberFormat="1" applyFont="1" applyFill="1" applyBorder="1" applyAlignment="1">
      <alignment horizontal="left" vertical="center"/>
    </xf>
    <xf numFmtId="0" fontId="56" fillId="6" borderId="1" xfId="0" applyFont="1" applyFill="1" applyBorder="1" applyAlignment="1">
      <alignment horizontal="center" vertical="center"/>
    </xf>
    <xf numFmtId="173" fontId="0" fillId="38" borderId="13" xfId="0" applyNumberFormat="1" applyFill="1" applyBorder="1" applyAlignment="1">
      <alignment horizontal="center"/>
    </xf>
    <xf numFmtId="166" fontId="56" fillId="38" borderId="33" xfId="0" applyNumberFormat="1" applyFont="1" applyFill="1" applyBorder="1" applyAlignment="1">
      <alignment horizontal="right" vertical="center"/>
    </xf>
    <xf numFmtId="166" fontId="56" fillId="38" borderId="12" xfId="0" applyNumberFormat="1" applyFont="1" applyFill="1" applyBorder="1" applyAlignment="1">
      <alignment horizontal="right" vertical="center"/>
    </xf>
    <xf numFmtId="166" fontId="56" fillId="38" borderId="33" xfId="0" applyNumberFormat="1" applyFont="1" applyFill="1" applyBorder="1" applyAlignment="1">
      <alignment horizontal="center" vertical="center"/>
    </xf>
    <xf numFmtId="166" fontId="56" fillId="38" borderId="13" xfId="0" applyNumberFormat="1" applyFont="1" applyFill="1" applyBorder="1" applyAlignment="1">
      <alignment horizontal="center" vertical="center"/>
    </xf>
    <xf numFmtId="166" fontId="56" fillId="38" borderId="12" xfId="0" applyNumberFormat="1" applyFont="1" applyFill="1" applyBorder="1" applyAlignment="1">
      <alignment horizontal="center" vertical="center"/>
    </xf>
    <xf numFmtId="166" fontId="56" fillId="0" borderId="13" xfId="0" applyNumberFormat="1" applyFont="1" applyFill="1" applyBorder="1" applyAlignment="1">
      <alignment horizontal="left" vertical="center"/>
    </xf>
    <xf numFmtId="0" fontId="44" fillId="0" borderId="33" xfId="84" applyBorder="1" applyAlignment="1">
      <alignment horizontal="center" vertical="center"/>
    </xf>
    <xf numFmtId="0" fontId="44" fillId="0" borderId="13" xfId="84" applyBorder="1" applyAlignment="1">
      <alignment horizontal="center" vertical="center"/>
    </xf>
    <xf numFmtId="0" fontId="44" fillId="0" borderId="12" xfId="84" applyBorder="1" applyAlignment="1">
      <alignment horizontal="center" vertical="center"/>
    </xf>
    <xf numFmtId="0" fontId="56" fillId="0" borderId="1" xfId="0" applyFont="1" applyBorder="1" applyAlignment="1">
      <alignment horizontal="center" vertical="center"/>
    </xf>
    <xf numFmtId="165" fontId="56" fillId="0" borderId="1" xfId="0" applyNumberFormat="1" applyFont="1" applyBorder="1" applyAlignment="1">
      <alignment horizontal="center" vertical="center"/>
    </xf>
    <xf numFmtId="166" fontId="56" fillId="38" borderId="13" xfId="0" applyNumberFormat="1" applyFont="1" applyFill="1" applyBorder="1" applyAlignment="1">
      <alignment horizontal="right" vertical="center"/>
    </xf>
    <xf numFmtId="1" fontId="6" fillId="38" borderId="33" xfId="1" applyNumberFormat="1" applyFont="1" applyFill="1" applyBorder="1" applyAlignment="1">
      <alignment horizontal="center" vertical="center" wrapText="1"/>
    </xf>
    <xf numFmtId="1" fontId="6" fillId="38" borderId="12" xfId="1" applyNumberFormat="1" applyFont="1" applyFill="1" applyBorder="1" applyAlignment="1">
      <alignment horizontal="center" vertical="center" wrapText="1"/>
    </xf>
    <xf numFmtId="0" fontId="56" fillId="0" borderId="33" xfId="0" applyFont="1" applyBorder="1" applyAlignment="1">
      <alignment horizontal="center" vertical="center" wrapText="1"/>
    </xf>
    <xf numFmtId="0" fontId="56" fillId="0" borderId="12" xfId="0" applyFont="1" applyBorder="1" applyAlignment="1">
      <alignment horizontal="center" vertical="center" wrapText="1"/>
    </xf>
    <xf numFmtId="0" fontId="45" fillId="38" borderId="33" xfId="0" applyFont="1" applyFill="1" applyBorder="1" applyAlignment="1">
      <alignment horizontal="center" vertical="center" wrapText="1"/>
    </xf>
    <xf numFmtId="0" fontId="45" fillId="38" borderId="13" xfId="0" applyFont="1" applyFill="1" applyBorder="1" applyAlignment="1">
      <alignment horizontal="center" vertical="center" wrapText="1"/>
    </xf>
    <xf numFmtId="0" fontId="45" fillId="38" borderId="12" xfId="0" applyFont="1" applyFill="1" applyBorder="1" applyAlignment="1">
      <alignment horizontal="center" vertical="center" wrapText="1"/>
    </xf>
    <xf numFmtId="0" fontId="56" fillId="38" borderId="33" xfId="0" applyFont="1" applyFill="1" applyBorder="1" applyAlignment="1">
      <alignment vertical="center" wrapText="1"/>
    </xf>
    <xf numFmtId="0" fontId="56" fillId="38" borderId="13" xfId="0" applyFont="1" applyFill="1" applyBorder="1" applyAlignment="1">
      <alignment vertical="center" wrapText="1"/>
    </xf>
    <xf numFmtId="0" fontId="56" fillId="38" borderId="12" xfId="0" applyFont="1" applyFill="1" applyBorder="1" applyAlignment="1">
      <alignment vertical="center" wrapText="1"/>
    </xf>
    <xf numFmtId="166" fontId="51" fillId="42" borderId="1" xfId="1" applyNumberFormat="1" applyFont="1" applyFill="1" applyBorder="1" applyAlignment="1">
      <alignment horizontal="center" vertical="center"/>
    </xf>
    <xf numFmtId="49" fontId="53" fillId="42" borderId="1" xfId="1" applyNumberFormat="1" applyFont="1" applyFill="1" applyBorder="1" applyAlignment="1">
      <alignment horizontal="center" vertical="center" wrapText="1"/>
    </xf>
    <xf numFmtId="49" fontId="5" fillId="42" borderId="14" xfId="1" applyNumberFormat="1" applyFont="1" applyFill="1" applyBorder="1" applyAlignment="1">
      <alignment horizontal="center" vertical="center"/>
    </xf>
    <xf numFmtId="49" fontId="5" fillId="42" borderId="0" xfId="1" applyNumberFormat="1" applyFont="1" applyFill="1" applyBorder="1" applyAlignment="1">
      <alignment horizontal="center" vertical="center"/>
    </xf>
    <xf numFmtId="49" fontId="5" fillId="42" borderId="1" xfId="1" applyNumberFormat="1" applyFont="1" applyFill="1" applyBorder="1" applyAlignment="1">
      <alignment horizontal="center" vertical="center"/>
    </xf>
    <xf numFmtId="49" fontId="5" fillId="42" borderId="2" xfId="1" applyNumberFormat="1" applyFont="1" applyFill="1" applyBorder="1" applyAlignment="1">
      <alignment horizontal="center" vertical="center"/>
    </xf>
    <xf numFmtId="166" fontId="56" fillId="0" borderId="34" xfId="0" applyNumberFormat="1" applyFont="1" applyBorder="1" applyAlignment="1">
      <alignment horizontal="right" vertical="center"/>
    </xf>
    <xf numFmtId="166" fontId="56" fillId="0" borderId="37" xfId="0" applyNumberFormat="1" applyFont="1" applyBorder="1" applyAlignment="1">
      <alignment vertical="center"/>
    </xf>
    <xf numFmtId="166" fontId="56" fillId="0" borderId="15" xfId="0" applyNumberFormat="1" applyFont="1" applyBorder="1" applyAlignment="1">
      <alignment vertical="center"/>
    </xf>
    <xf numFmtId="166" fontId="56" fillId="0" borderId="35" xfId="0" applyNumberFormat="1" applyFont="1" applyBorder="1" applyAlignment="1">
      <alignment vertical="center"/>
    </xf>
    <xf numFmtId="166" fontId="56" fillId="0" borderId="1" xfId="0" applyNumberFormat="1" applyFont="1" applyBorder="1" applyAlignment="1">
      <alignment vertical="center"/>
    </xf>
    <xf numFmtId="166" fontId="56" fillId="0" borderId="38" xfId="0" applyNumberFormat="1" applyFont="1" applyBorder="1" applyAlignment="1">
      <alignment vertical="center"/>
    </xf>
    <xf numFmtId="166" fontId="56" fillId="0" borderId="34" xfId="0" applyNumberFormat="1" applyFont="1" applyBorder="1" applyAlignment="1">
      <alignment vertical="center"/>
    </xf>
    <xf numFmtId="166" fontId="56" fillId="0" borderId="20" xfId="0" applyNumberFormat="1" applyFont="1" applyBorder="1" applyAlignment="1">
      <alignment vertical="center"/>
    </xf>
    <xf numFmtId="0" fontId="58" fillId="6" borderId="33" xfId="0" applyFont="1" applyFill="1" applyBorder="1" applyAlignment="1">
      <alignment horizontal="center" vertical="center"/>
    </xf>
    <xf numFmtId="0" fontId="58" fillId="6" borderId="12" xfId="0" applyFont="1" applyFill="1" applyBorder="1" applyAlignment="1">
      <alignment horizontal="center" vertical="center"/>
    </xf>
    <xf numFmtId="166" fontId="56" fillId="0" borderId="15" xfId="0" applyNumberFormat="1" applyFont="1" applyBorder="1" applyAlignment="1">
      <alignment horizontal="right" vertical="center"/>
    </xf>
    <xf numFmtId="0" fontId="56" fillId="0" borderId="33" xfId="0" applyFont="1" applyBorder="1" applyAlignment="1">
      <alignment horizontal="right" vertical="center"/>
    </xf>
    <xf numFmtId="0" fontId="56" fillId="0" borderId="13" xfId="0" applyFont="1" applyBorder="1" applyAlignment="1">
      <alignment horizontal="right" vertical="center"/>
    </xf>
    <xf numFmtId="0" fontId="56" fillId="0" borderId="12" xfId="0" applyFont="1" applyBorder="1" applyAlignment="1">
      <alignment horizontal="right" vertical="center"/>
    </xf>
    <xf numFmtId="173" fontId="0" fillId="38" borderId="33" xfId="0" applyNumberFormat="1" applyFill="1" applyBorder="1" applyAlignment="1">
      <alignment horizontal="left" vertical="center"/>
    </xf>
    <xf numFmtId="173" fontId="0" fillId="38" borderId="12" xfId="0" applyNumberFormat="1" applyFill="1" applyBorder="1" applyAlignment="1">
      <alignment horizontal="left" vertical="center"/>
    </xf>
    <xf numFmtId="173" fontId="0" fillId="0" borderId="33" xfId="0" applyNumberFormat="1" applyFill="1" applyBorder="1" applyAlignment="1">
      <alignment horizontal="center" vertical="center"/>
    </xf>
    <xf numFmtId="173" fontId="0" fillId="0" borderId="12" xfId="0" applyNumberFormat="1" applyFill="1" applyBorder="1" applyAlignment="1">
      <alignment horizontal="center" vertical="center"/>
    </xf>
    <xf numFmtId="0" fontId="56" fillId="0" borderId="13" xfId="0" applyFont="1" applyFill="1" applyBorder="1" applyAlignment="1">
      <alignment horizontal="left" vertical="center" wrapText="1"/>
    </xf>
    <xf numFmtId="173" fontId="0" fillId="45" borderId="33" xfId="0" applyNumberFormat="1" applyFill="1" applyBorder="1" applyAlignment="1">
      <alignment horizontal="center" vertical="center"/>
    </xf>
    <xf numFmtId="173" fontId="0" fillId="45" borderId="12" xfId="0" applyNumberFormat="1" applyFill="1" applyBorder="1" applyAlignment="1">
      <alignment horizontal="center" vertical="center"/>
    </xf>
    <xf numFmtId="1" fontId="56" fillId="38" borderId="33" xfId="0" applyNumberFormat="1" applyFont="1" applyFill="1" applyBorder="1" applyAlignment="1">
      <alignment horizontal="right" vertical="center" wrapText="1"/>
    </xf>
    <xf numFmtId="1" fontId="56" fillId="38" borderId="12" xfId="0" applyNumberFormat="1" applyFont="1" applyFill="1" applyBorder="1" applyAlignment="1">
      <alignment horizontal="right" vertical="center" wrapText="1"/>
    </xf>
    <xf numFmtId="164" fontId="57" fillId="0" borderId="13" xfId="1" applyNumberFormat="1" applyFont="1" applyBorder="1" applyAlignment="1">
      <alignment horizontal="center" vertical="center"/>
    </xf>
    <xf numFmtId="0" fontId="58" fillId="6" borderId="13" xfId="0" applyFont="1" applyFill="1" applyBorder="1" applyAlignment="1">
      <alignment horizontal="center" vertical="center"/>
    </xf>
    <xf numFmtId="1" fontId="56" fillId="38" borderId="13" xfId="0" applyNumberFormat="1" applyFont="1" applyFill="1" applyBorder="1" applyAlignment="1">
      <alignment horizontal="right" vertical="center" wrapText="1"/>
    </xf>
    <xf numFmtId="165" fontId="56" fillId="0" borderId="33" xfId="0" applyNumberFormat="1" applyFont="1" applyBorder="1" applyAlignment="1">
      <alignment horizontal="center" vertical="center" wrapText="1"/>
    </xf>
    <xf numFmtId="165" fontId="56" fillId="0" borderId="12" xfId="0" applyNumberFormat="1" applyFont="1" applyBorder="1" applyAlignment="1">
      <alignment horizontal="center" vertical="center" wrapText="1"/>
    </xf>
    <xf numFmtId="1" fontId="56" fillId="0" borderId="13" xfId="0" applyNumberFormat="1" applyFont="1" applyFill="1" applyBorder="1" applyAlignment="1">
      <alignment horizontal="center" vertical="center" wrapText="1"/>
    </xf>
    <xf numFmtId="0" fontId="56" fillId="0" borderId="13" xfId="0" applyFont="1" applyFill="1" applyBorder="1" applyAlignment="1">
      <alignment horizontal="center" vertical="center" wrapText="1"/>
    </xf>
    <xf numFmtId="8" fontId="56" fillId="0" borderId="33" xfId="0" applyNumberFormat="1" applyFont="1" applyBorder="1" applyAlignment="1">
      <alignment horizontal="right" vertical="center"/>
    </xf>
    <xf numFmtId="8" fontId="56" fillId="0" borderId="12" xfId="0" applyNumberFormat="1" applyFont="1" applyBorder="1" applyAlignment="1">
      <alignment horizontal="right" vertical="center"/>
    </xf>
    <xf numFmtId="1" fontId="56" fillId="0" borderId="33" xfId="0" quotePrefix="1" applyNumberFormat="1" applyFont="1" applyFill="1" applyBorder="1" applyAlignment="1">
      <alignment horizontal="center" vertical="center" wrapText="1"/>
    </xf>
    <xf numFmtId="1" fontId="56" fillId="0" borderId="12" xfId="0" quotePrefix="1" applyNumberFormat="1" applyFont="1" applyFill="1" applyBorder="1" applyAlignment="1">
      <alignment horizontal="center" vertical="center" wrapText="1"/>
    </xf>
    <xf numFmtId="165" fontId="56" fillId="0" borderId="13" xfId="0" applyNumberFormat="1" applyFont="1" applyBorder="1" applyAlignment="1">
      <alignment horizontal="center" vertical="center" wrapText="1"/>
    </xf>
    <xf numFmtId="0" fontId="56" fillId="0" borderId="13" xfId="0" applyFont="1" applyBorder="1" applyAlignment="1">
      <alignment horizontal="center" vertical="center" wrapText="1"/>
    </xf>
    <xf numFmtId="0" fontId="56" fillId="38" borderId="37" xfId="0" applyFont="1" applyFill="1" applyBorder="1" applyAlignment="1">
      <alignment horizontal="left" vertical="center" wrapText="1"/>
    </xf>
    <xf numFmtId="0" fontId="56" fillId="38" borderId="35" xfId="0" applyFont="1" applyFill="1" applyBorder="1" applyAlignment="1">
      <alignment horizontal="left" vertical="center" wrapText="1"/>
    </xf>
    <xf numFmtId="173" fontId="0" fillId="43" borderId="13" xfId="0" applyNumberFormat="1" applyFill="1" applyBorder="1" applyAlignment="1">
      <alignment horizontal="center" vertical="center"/>
    </xf>
    <xf numFmtId="166" fontId="57" fillId="0" borderId="33" xfId="1" applyNumberFormat="1" applyFont="1" applyFill="1" applyBorder="1" applyAlignment="1">
      <alignment horizontal="right" vertical="center"/>
    </xf>
    <xf numFmtId="166" fontId="57" fillId="0" borderId="12" xfId="1" applyNumberFormat="1" applyFont="1" applyFill="1" applyBorder="1" applyAlignment="1">
      <alignment horizontal="right" vertical="center"/>
    </xf>
    <xf numFmtId="166" fontId="62" fillId="6" borderId="33" xfId="0" applyNumberFormat="1" applyFont="1" applyFill="1" applyBorder="1" applyAlignment="1">
      <alignment horizontal="right" vertical="center" wrapText="1"/>
    </xf>
    <xf numFmtId="166" fontId="62" fillId="6" borderId="12" xfId="0" applyNumberFormat="1" applyFont="1" applyFill="1" applyBorder="1" applyAlignment="1">
      <alignment horizontal="right" vertical="center" wrapText="1"/>
    </xf>
    <xf numFmtId="166" fontId="56" fillId="6" borderId="33" xfId="0" applyNumberFormat="1" applyFont="1" applyFill="1" applyBorder="1" applyAlignment="1">
      <alignment horizontal="center" vertical="center" wrapText="1"/>
    </xf>
    <xf numFmtId="166" fontId="56" fillId="6" borderId="12" xfId="0" applyNumberFormat="1" applyFont="1" applyFill="1" applyBorder="1" applyAlignment="1">
      <alignment horizontal="center" vertical="center" wrapText="1"/>
    </xf>
    <xf numFmtId="49" fontId="5" fillId="10" borderId="14" xfId="1" applyNumberFormat="1" applyFont="1" applyFill="1" applyBorder="1" applyAlignment="1">
      <alignment horizontal="center" vertical="center"/>
    </xf>
    <xf numFmtId="49" fontId="5" fillId="10" borderId="0" xfId="1" applyNumberFormat="1" applyFont="1" applyFill="1" applyBorder="1" applyAlignment="1">
      <alignment horizontal="center" vertical="center"/>
    </xf>
    <xf numFmtId="49" fontId="5" fillId="10" borderId="1" xfId="1" applyNumberFormat="1" applyFont="1" applyFill="1" applyBorder="1" applyAlignment="1">
      <alignment horizontal="center" vertical="center"/>
    </xf>
    <xf numFmtId="49" fontId="5" fillId="10" borderId="2" xfId="1" applyNumberFormat="1" applyFont="1" applyFill="1" applyBorder="1" applyAlignment="1">
      <alignment horizontal="center" vertical="center"/>
    </xf>
  </cellXfs>
  <cellStyles count="85">
    <cellStyle name="20% - Accent1 2" xfId="6"/>
    <cellStyle name="20% - Accent2 2" xfId="7"/>
    <cellStyle name="20% - Accent3 2" xfId="8"/>
    <cellStyle name="20% - Accent4 2" xfId="9"/>
    <cellStyle name="20% - Accent5 2" xfId="10"/>
    <cellStyle name="20% - Accent6 2" xfId="11"/>
    <cellStyle name="40% - Accent1 2" xfId="12"/>
    <cellStyle name="40% - Accent2 2" xfId="13"/>
    <cellStyle name="40% - Accent3 2" xfId="14"/>
    <cellStyle name="40% - Accent4 2" xfId="15"/>
    <cellStyle name="40% - Accent5 2" xfId="16"/>
    <cellStyle name="40% - Accent6 2" xfId="17"/>
    <cellStyle name="60% - Accent1 2" xfId="18"/>
    <cellStyle name="60% - Accent2 2" xfId="19"/>
    <cellStyle name="60% - Accent3 2" xfId="20"/>
    <cellStyle name="60% - Accent4 2" xfId="21"/>
    <cellStyle name="60% - Accent5 2" xfId="22"/>
    <cellStyle name="60% - Accent6 2" xfId="23"/>
    <cellStyle name="Accent1 2" xfId="24"/>
    <cellStyle name="Accent2 2" xfId="25"/>
    <cellStyle name="Accent3 2" xfId="26"/>
    <cellStyle name="Accent4 2" xfId="27"/>
    <cellStyle name="Accent5 2" xfId="28"/>
    <cellStyle name="Accent6 2" xfId="29"/>
    <cellStyle name="amount" xfId="30"/>
    <cellStyle name="Bad 2" xfId="31"/>
    <cellStyle name="Blank" xfId="32"/>
    <cellStyle name="Body text" xfId="33"/>
    <cellStyle name="Calculation 2" xfId="34"/>
    <cellStyle name="Check Cell 2" xfId="35"/>
    <cellStyle name="Comma 2" xfId="2"/>
    <cellStyle name="Comma 3" xfId="83"/>
    <cellStyle name="Comma0" xfId="36"/>
    <cellStyle name="Currency 2" xfId="3"/>
    <cellStyle name="Currency 2 2" xfId="37"/>
    <cellStyle name="Currency 3" xfId="4"/>
    <cellStyle name="Currency 4" xfId="82"/>
    <cellStyle name="Currency0" xfId="38"/>
    <cellStyle name="DarkBlueOutline" xfId="39"/>
    <cellStyle name="DarkBlueOutlineYellow" xfId="40"/>
    <cellStyle name="Date" xfId="41"/>
    <cellStyle name="Dezimal [0]_Compiling Utility Macros" xfId="42"/>
    <cellStyle name="Dezimal_Compiling Utility Macros" xfId="43"/>
    <cellStyle name="Explanatory Text 2" xfId="44"/>
    <cellStyle name="Fixed" xfId="45"/>
    <cellStyle name="Good 2" xfId="46"/>
    <cellStyle name="GRAY" xfId="47"/>
    <cellStyle name="Gross Margin" xfId="48"/>
    <cellStyle name="header" xfId="49"/>
    <cellStyle name="Header Total" xfId="50"/>
    <cellStyle name="Header1" xfId="51"/>
    <cellStyle name="Header2" xfId="52"/>
    <cellStyle name="Header3" xfId="53"/>
    <cellStyle name="Heading 1 2" xfId="54"/>
    <cellStyle name="Heading 2 2" xfId="55"/>
    <cellStyle name="Heading 3 2" xfId="56"/>
    <cellStyle name="Heading 4 2" xfId="57"/>
    <cellStyle name="Hyperlink" xfId="84" builtinId="8"/>
    <cellStyle name="Input 2" xfId="58"/>
    <cellStyle name="Level 2 Total" xfId="59"/>
    <cellStyle name="Linked Cell 2" xfId="60"/>
    <cellStyle name="Major Total" xfId="61"/>
    <cellStyle name="Neutral 2" xfId="62"/>
    <cellStyle name="NonPrint_TemTitle" xfId="63"/>
    <cellStyle name="Normal" xfId="0" builtinId="0"/>
    <cellStyle name="Normal 2" xfId="1"/>
    <cellStyle name="Normal 2 2" xfId="65"/>
    <cellStyle name="Normal 2 3" xfId="64"/>
    <cellStyle name="Normal 3" xfId="5"/>
    <cellStyle name="Normal 4" xfId="81"/>
    <cellStyle name="NormalRed" xfId="66"/>
    <cellStyle name="Note 2" xfId="67"/>
    <cellStyle name="Output 2" xfId="68"/>
    <cellStyle name="Percent.0" xfId="69"/>
    <cellStyle name="Percent.00" xfId="70"/>
    <cellStyle name="RED POSTED" xfId="71"/>
    <cellStyle name="Standard_Anpassen der Amortisation" xfId="72"/>
    <cellStyle name="Text_simple" xfId="73"/>
    <cellStyle name="Title 2" xfId="74"/>
    <cellStyle name="TmsRmn10BlueItalic" xfId="75"/>
    <cellStyle name="TmsRmn10Bold" xfId="76"/>
    <cellStyle name="Total 2" xfId="77"/>
    <cellStyle name="Währung [0]_Compiling Utility Macros" xfId="78"/>
    <cellStyle name="Währung_Compiling Utility Macros" xfId="79"/>
    <cellStyle name="Warning Text 2" xfId="80"/>
  </cellStyles>
  <dxfs count="0"/>
  <tableStyles count="0" defaultTableStyle="TableStyleMedium2" defaultPivotStyle="PivotStyleLight16"/>
  <colors>
    <mruColors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mailto:klageskn@netscape.net" TargetMode="External"/><Relationship Id="rId21" Type="http://schemas.openxmlformats.org/officeDocument/2006/relationships/hyperlink" Target="mailto:eeweejr@gmail.com" TargetMode="External"/><Relationship Id="rId170" Type="http://schemas.openxmlformats.org/officeDocument/2006/relationships/hyperlink" Target="mailto:Fabio.Panzani@duke-energy.com" TargetMode="External"/><Relationship Id="rId268" Type="http://schemas.openxmlformats.org/officeDocument/2006/relationships/hyperlink" Target="mailto:dennis.beardsley@robotunits.com" TargetMode="External"/><Relationship Id="rId475" Type="http://schemas.openxmlformats.org/officeDocument/2006/relationships/hyperlink" Target="mailto:flmsinc@gmail.com" TargetMode="External"/><Relationship Id="rId682" Type="http://schemas.openxmlformats.org/officeDocument/2006/relationships/hyperlink" Target="mailto:kpeyton12@gmail.com" TargetMode="External"/><Relationship Id="rId128" Type="http://schemas.openxmlformats.org/officeDocument/2006/relationships/hyperlink" Target="mailto:michaely@sunvalleyelectric.com" TargetMode="External"/><Relationship Id="rId335" Type="http://schemas.openxmlformats.org/officeDocument/2006/relationships/hyperlink" Target="mailto:wclarke6@rochester.rr.com" TargetMode="External"/><Relationship Id="rId542" Type="http://schemas.openxmlformats.org/officeDocument/2006/relationships/hyperlink" Target="mailto:timothy51@windstream.net" TargetMode="External"/><Relationship Id="rId987" Type="http://schemas.openxmlformats.org/officeDocument/2006/relationships/hyperlink" Target="mailto:kweaver@brewmation.com" TargetMode="External"/><Relationship Id="rId1172" Type="http://schemas.openxmlformats.org/officeDocument/2006/relationships/hyperlink" Target="mailto:karencil@comcast.net" TargetMode="External"/><Relationship Id="rId402" Type="http://schemas.openxmlformats.org/officeDocument/2006/relationships/hyperlink" Target="mailto:mseasly@comcast.net" TargetMode="External"/><Relationship Id="rId847" Type="http://schemas.openxmlformats.org/officeDocument/2006/relationships/hyperlink" Target="mailto:integrityeng@hotmail.com" TargetMode="External"/><Relationship Id="rId1032" Type="http://schemas.openxmlformats.org/officeDocument/2006/relationships/hyperlink" Target="mailto:warehouse@exapta.com" TargetMode="External"/><Relationship Id="rId1477" Type="http://schemas.openxmlformats.org/officeDocument/2006/relationships/hyperlink" Target="mailto:cooltruck@aol.com" TargetMode="External"/><Relationship Id="rId707" Type="http://schemas.openxmlformats.org/officeDocument/2006/relationships/hyperlink" Target="mailto:brian.aversa@kaneland.org" TargetMode="External"/><Relationship Id="rId914" Type="http://schemas.openxmlformats.org/officeDocument/2006/relationships/hyperlink" Target="mailto:briankirmse@tsocorp.com" TargetMode="External"/><Relationship Id="rId1337" Type="http://schemas.openxmlformats.org/officeDocument/2006/relationships/hyperlink" Target="mailto:pkapusta24@gmail.com" TargetMode="External"/><Relationship Id="rId1544" Type="http://schemas.openxmlformats.org/officeDocument/2006/relationships/hyperlink" Target="mailto:aftequip@yahoo.com" TargetMode="External"/><Relationship Id="rId43" Type="http://schemas.openxmlformats.org/officeDocument/2006/relationships/hyperlink" Target="mailto:%0acodysbailey@hotmail.com" TargetMode="External"/><Relationship Id="rId1404" Type="http://schemas.openxmlformats.org/officeDocument/2006/relationships/hyperlink" Target="mailto:NYGOV@stores.fastenal.com" TargetMode="External"/><Relationship Id="rId1611" Type="http://schemas.openxmlformats.org/officeDocument/2006/relationships/hyperlink" Target="mailto:anthony442hd@yahoo.com" TargetMode="External"/><Relationship Id="rId192" Type="http://schemas.openxmlformats.org/officeDocument/2006/relationships/hyperlink" Target="mailto:michellesmith90210@yahoo.com" TargetMode="External"/><Relationship Id="rId497" Type="http://schemas.openxmlformats.org/officeDocument/2006/relationships/hyperlink" Target="mailto:cindiandco@gmail.com" TargetMode="External"/><Relationship Id="rId357" Type="http://schemas.openxmlformats.org/officeDocument/2006/relationships/hyperlink" Target="mailto:HRO99@aol.com" TargetMode="External"/><Relationship Id="rId1194" Type="http://schemas.openxmlformats.org/officeDocument/2006/relationships/hyperlink" Target="mailto:beckvon@netzero.net" TargetMode="External"/><Relationship Id="rId217" Type="http://schemas.openxmlformats.org/officeDocument/2006/relationships/hyperlink" Target="mailto:carlssoningemar@hotmail.com" TargetMode="External"/><Relationship Id="rId564" Type="http://schemas.openxmlformats.org/officeDocument/2006/relationships/hyperlink" Target="mailto:cbstepien@embarqmail.com" TargetMode="External"/><Relationship Id="rId771" Type="http://schemas.openxmlformats.org/officeDocument/2006/relationships/hyperlink" Target="mailto:augustvalentine23@gmail.com" TargetMode="External"/><Relationship Id="rId869" Type="http://schemas.openxmlformats.org/officeDocument/2006/relationships/hyperlink" Target="mailto:dmckenzie@klesing.net" TargetMode="External"/><Relationship Id="rId1499" Type="http://schemas.openxmlformats.org/officeDocument/2006/relationships/hyperlink" Target="mailto:leatherhandle@aol.com" TargetMode="External"/><Relationship Id="rId424" Type="http://schemas.openxmlformats.org/officeDocument/2006/relationships/hyperlink" Target="mailto:a.berrellez@winchesterelectronics.com" TargetMode="External"/><Relationship Id="rId631" Type="http://schemas.openxmlformats.org/officeDocument/2006/relationships/hyperlink" Target="mailto:brenda.rivera@tekniek.net" TargetMode="External"/><Relationship Id="rId729" Type="http://schemas.openxmlformats.org/officeDocument/2006/relationships/hyperlink" Target="mailto:larry.fitzkee@gmx.com" TargetMode="External"/><Relationship Id="rId1054" Type="http://schemas.openxmlformats.org/officeDocument/2006/relationships/hyperlink" Target="mailto:karencil@comcast.net" TargetMode="External"/><Relationship Id="rId1261" Type="http://schemas.openxmlformats.org/officeDocument/2006/relationships/hyperlink" Target="mailto:terryk109@yahoo.com" TargetMode="External"/><Relationship Id="rId1359" Type="http://schemas.openxmlformats.org/officeDocument/2006/relationships/hyperlink" Target="mailto:carlojose65@gmail.com" TargetMode="External"/><Relationship Id="rId936" Type="http://schemas.openxmlformats.org/officeDocument/2006/relationships/hyperlink" Target="mailto:gil.resto@grelectricllc.com" TargetMode="External"/><Relationship Id="rId1121" Type="http://schemas.openxmlformats.org/officeDocument/2006/relationships/hyperlink" Target="mailto:keswitzer@gmail.com" TargetMode="External"/><Relationship Id="rId1219" Type="http://schemas.openxmlformats.org/officeDocument/2006/relationships/hyperlink" Target="mailto:ALANSAYRE@HOTMAIL.COM" TargetMode="External"/><Relationship Id="rId1566" Type="http://schemas.openxmlformats.org/officeDocument/2006/relationships/hyperlink" Target="mailto:afuege@yahoo.com" TargetMode="External"/><Relationship Id="rId65" Type="http://schemas.openxmlformats.org/officeDocument/2006/relationships/hyperlink" Target="mailto:echo5029@hotmail.com" TargetMode="External"/><Relationship Id="rId130" Type="http://schemas.openxmlformats.org/officeDocument/2006/relationships/hyperlink" Target="mailto:designsteinllc@gmail.com" TargetMode="External"/><Relationship Id="rId368" Type="http://schemas.openxmlformats.org/officeDocument/2006/relationships/hyperlink" Target="mailto:it@modernpackaginginc.com" TargetMode="External"/><Relationship Id="rId575" Type="http://schemas.openxmlformats.org/officeDocument/2006/relationships/hyperlink" Target="mailto:andy.schlaline@amwater.com" TargetMode="External"/><Relationship Id="rId782" Type="http://schemas.openxmlformats.org/officeDocument/2006/relationships/hyperlink" Target="mailto:aayotte@advancedpowders.com" TargetMode="External"/><Relationship Id="rId1426" Type="http://schemas.openxmlformats.org/officeDocument/2006/relationships/hyperlink" Target="mailto:dolinski@bellsouth.net" TargetMode="External"/><Relationship Id="rId228" Type="http://schemas.openxmlformats.org/officeDocument/2006/relationships/hyperlink" Target="mailto:mleo@lioncss.com" TargetMode="External"/><Relationship Id="rId435" Type="http://schemas.openxmlformats.org/officeDocument/2006/relationships/hyperlink" Target="mailto:flashmania55@hotmail.com" TargetMode="External"/><Relationship Id="rId642" Type="http://schemas.openxmlformats.org/officeDocument/2006/relationships/hyperlink" Target="mailto:bcampbell@edinburgmarina.com" TargetMode="External"/><Relationship Id="rId1065" Type="http://schemas.openxmlformats.org/officeDocument/2006/relationships/hyperlink" Target="mailto:bigdavss@aol.com" TargetMode="External"/><Relationship Id="rId1272" Type="http://schemas.openxmlformats.org/officeDocument/2006/relationships/hyperlink" Target="mailto:matt@mkbuilders.com" TargetMode="External"/><Relationship Id="rId281" Type="http://schemas.openxmlformats.org/officeDocument/2006/relationships/hyperlink" Target="mailto:teamknight@gmail.com" TargetMode="External"/><Relationship Id="rId502" Type="http://schemas.openxmlformats.org/officeDocument/2006/relationships/hyperlink" Target="mailto:jeremiah@patrickautogroup.net" TargetMode="External"/><Relationship Id="rId947" Type="http://schemas.openxmlformats.org/officeDocument/2006/relationships/hyperlink" Target="mailto:grovee2007@aol.com" TargetMode="External"/><Relationship Id="rId1132" Type="http://schemas.openxmlformats.org/officeDocument/2006/relationships/hyperlink" Target="mailto:NYGOV@stores.fastenal.com" TargetMode="External"/><Relationship Id="rId1577" Type="http://schemas.openxmlformats.org/officeDocument/2006/relationships/hyperlink" Target="mailto:stevea895@aol.com" TargetMode="External"/><Relationship Id="rId76" Type="http://schemas.openxmlformats.org/officeDocument/2006/relationships/hyperlink" Target="mailto:marco_maya@sbcglobal.net" TargetMode="External"/><Relationship Id="rId141" Type="http://schemas.openxmlformats.org/officeDocument/2006/relationships/hyperlink" Target="mailto:tc88855@yahoo.com" TargetMode="External"/><Relationship Id="rId379" Type="http://schemas.openxmlformats.org/officeDocument/2006/relationships/hyperlink" Target="mailto:rafael@rdelectricinc.com" TargetMode="External"/><Relationship Id="rId586" Type="http://schemas.openxmlformats.org/officeDocument/2006/relationships/hyperlink" Target="mailto:sheru24@hotmail.com" TargetMode="External"/><Relationship Id="rId793" Type="http://schemas.openxmlformats.org/officeDocument/2006/relationships/hyperlink" Target="mailto:ehdewitt@generalveneer.com" TargetMode="External"/><Relationship Id="rId807" Type="http://schemas.openxmlformats.org/officeDocument/2006/relationships/hyperlink" Target="mailto:JOSEF@STONE-QUEST.COM" TargetMode="External"/><Relationship Id="rId1437" Type="http://schemas.openxmlformats.org/officeDocument/2006/relationships/hyperlink" Target="mailto:davidcjanisch@gmail.com" TargetMode="External"/><Relationship Id="rId7" Type="http://schemas.openxmlformats.org/officeDocument/2006/relationships/hyperlink" Target="mailto:NYGOV@stores.fastnal.com" TargetMode="External"/><Relationship Id="rId239" Type="http://schemas.openxmlformats.org/officeDocument/2006/relationships/hyperlink" Target="mailto:ktidyman@knappelectric.net" TargetMode="External"/><Relationship Id="rId446" Type="http://schemas.openxmlformats.org/officeDocument/2006/relationships/hyperlink" Target="mailto:bo@gopherstatecleaning.com" TargetMode="External"/><Relationship Id="rId653" Type="http://schemas.openxmlformats.org/officeDocument/2006/relationships/hyperlink" Target="mailto:matt@spl-design.com" TargetMode="External"/><Relationship Id="rId1076" Type="http://schemas.openxmlformats.org/officeDocument/2006/relationships/hyperlink" Target="mailto:ADMIN@LINESTAR.CA" TargetMode="External"/><Relationship Id="rId1283" Type="http://schemas.openxmlformats.org/officeDocument/2006/relationships/hyperlink" Target="mailto:meyer176@yahoo.com" TargetMode="External"/><Relationship Id="rId1490" Type="http://schemas.openxmlformats.org/officeDocument/2006/relationships/hyperlink" Target="mailto:golsen@borderstates.com" TargetMode="External"/><Relationship Id="rId1504" Type="http://schemas.openxmlformats.org/officeDocument/2006/relationships/hyperlink" Target="mailto:golsen@borderstates.com" TargetMode="External"/><Relationship Id="rId292" Type="http://schemas.openxmlformats.org/officeDocument/2006/relationships/hyperlink" Target="mailto:jeanne@milherst.com" TargetMode="External"/><Relationship Id="rId306" Type="http://schemas.openxmlformats.org/officeDocument/2006/relationships/hyperlink" Target="mailto:chrisl@carpetcushions.com" TargetMode="External"/><Relationship Id="rId860" Type="http://schemas.openxmlformats.org/officeDocument/2006/relationships/hyperlink" Target="mailto:chris@croce.us" TargetMode="External"/><Relationship Id="rId958" Type="http://schemas.openxmlformats.org/officeDocument/2006/relationships/hyperlink" Target="mailto:jdroofinga1@msn.com" TargetMode="External"/><Relationship Id="rId1143" Type="http://schemas.openxmlformats.org/officeDocument/2006/relationships/hyperlink" Target="mailto:putnamhydro@charter.net" TargetMode="External"/><Relationship Id="rId1588" Type="http://schemas.openxmlformats.org/officeDocument/2006/relationships/hyperlink" Target="mailto:lonetreelake@gmail.com" TargetMode="External"/><Relationship Id="rId87" Type="http://schemas.openxmlformats.org/officeDocument/2006/relationships/hyperlink" Target="mailto:reutzelc@yahoo.com" TargetMode="External"/><Relationship Id="rId513" Type="http://schemas.openxmlformats.org/officeDocument/2006/relationships/hyperlink" Target="mailto:cboyfenc@bellsouth.net" TargetMode="External"/><Relationship Id="rId597" Type="http://schemas.openxmlformats.org/officeDocument/2006/relationships/hyperlink" Target="mailto:scott@doormachinery.com" TargetMode="External"/><Relationship Id="rId720" Type="http://schemas.openxmlformats.org/officeDocument/2006/relationships/hyperlink" Target="mailto:pselectricalcontractor@hotmail.com" TargetMode="External"/><Relationship Id="rId818" Type="http://schemas.openxmlformats.org/officeDocument/2006/relationships/hyperlink" Target="mailto:NYGOV@stores.fastenal.com" TargetMode="External"/><Relationship Id="rId1350" Type="http://schemas.openxmlformats.org/officeDocument/2006/relationships/hyperlink" Target="mailto:daniel@soundworkspro.com" TargetMode="External"/><Relationship Id="rId1448" Type="http://schemas.openxmlformats.org/officeDocument/2006/relationships/hyperlink" Target="mailto:felix@emotorwerks.com" TargetMode="External"/><Relationship Id="rId152" Type="http://schemas.openxmlformats.org/officeDocument/2006/relationships/hyperlink" Target="mailto:jasper47@netzero.net" TargetMode="External"/><Relationship Id="rId457" Type="http://schemas.openxmlformats.org/officeDocument/2006/relationships/hyperlink" Target="mailto:dbrown@nickersonparkcampground.com" TargetMode="External"/><Relationship Id="rId1003" Type="http://schemas.openxmlformats.org/officeDocument/2006/relationships/hyperlink" Target="mailto:kweaver@brewmation.com" TargetMode="External"/><Relationship Id="rId1087" Type="http://schemas.openxmlformats.org/officeDocument/2006/relationships/hyperlink" Target="mailto:DAVE_HARVATH@HOTMAIL.COM" TargetMode="External"/><Relationship Id="rId1210" Type="http://schemas.openxmlformats.org/officeDocument/2006/relationships/hyperlink" Target="mailto:APARKINS@HARRIS.COM" TargetMode="External"/><Relationship Id="rId1294" Type="http://schemas.openxmlformats.org/officeDocument/2006/relationships/hyperlink" Target="mailto:terrazzoconcrete@gmail.com" TargetMode="External"/><Relationship Id="rId1308" Type="http://schemas.openxmlformats.org/officeDocument/2006/relationships/hyperlink" Target="mailto:flyfishingtrail@gmail.com" TargetMode="External"/><Relationship Id="rId664" Type="http://schemas.openxmlformats.org/officeDocument/2006/relationships/hyperlink" Target="mailto:aj.electric@att.net" TargetMode="External"/><Relationship Id="rId871" Type="http://schemas.openxmlformats.org/officeDocument/2006/relationships/hyperlink" Target="mailto:braelecorp@gmail.com" TargetMode="External"/><Relationship Id="rId969" Type="http://schemas.openxmlformats.org/officeDocument/2006/relationships/hyperlink" Target="mailto:bo@dealfirst.com" TargetMode="External"/><Relationship Id="rId1515" Type="http://schemas.openxmlformats.org/officeDocument/2006/relationships/hyperlink" Target="mailto:snacksforthewin@yahoo.com" TargetMode="External"/><Relationship Id="rId1599" Type="http://schemas.openxmlformats.org/officeDocument/2006/relationships/hyperlink" Target="mailto:info@bendelectricbikes.com" TargetMode="External"/><Relationship Id="rId14" Type="http://schemas.openxmlformats.org/officeDocument/2006/relationships/hyperlink" Target="mailto:gglenn@groebner.com" TargetMode="External"/><Relationship Id="rId317" Type="http://schemas.openxmlformats.org/officeDocument/2006/relationships/hyperlink" Target="mailto:smithmarlonj@yahoo.com" TargetMode="External"/><Relationship Id="rId524" Type="http://schemas.openxmlformats.org/officeDocument/2006/relationships/hyperlink" Target="mailto:kweaver@brewmation.com" TargetMode="External"/><Relationship Id="rId731" Type="http://schemas.openxmlformats.org/officeDocument/2006/relationships/hyperlink" Target="mailto:keith@dashdrilling.com" TargetMode="External"/><Relationship Id="rId1154" Type="http://schemas.openxmlformats.org/officeDocument/2006/relationships/hyperlink" Target="mailto:pruitt76@hotmail.com" TargetMode="External"/><Relationship Id="rId1361" Type="http://schemas.openxmlformats.org/officeDocument/2006/relationships/hyperlink" Target="mailto:lorenhubert1@gmail.com" TargetMode="External"/><Relationship Id="rId1459" Type="http://schemas.openxmlformats.org/officeDocument/2006/relationships/hyperlink" Target="mailto:lippauto@plainsteel.com" TargetMode="External"/><Relationship Id="rId98" Type="http://schemas.openxmlformats.org/officeDocument/2006/relationships/hyperlink" Target="mailto:david.ringuette@la.gov" TargetMode="External"/><Relationship Id="rId163" Type="http://schemas.openxmlformats.org/officeDocument/2006/relationships/hyperlink" Target="mailto:sdennison55@hotmail.com" TargetMode="External"/><Relationship Id="rId370" Type="http://schemas.openxmlformats.org/officeDocument/2006/relationships/hyperlink" Target="mailto:giorgio.roda@libero.it" TargetMode="External"/><Relationship Id="rId829" Type="http://schemas.openxmlformats.org/officeDocument/2006/relationships/hyperlink" Target="mailto:stucki14@sbcglobal.net" TargetMode="External"/><Relationship Id="rId1014" Type="http://schemas.openxmlformats.org/officeDocument/2006/relationships/hyperlink" Target="mailto:saunders1010@yahoo.com" TargetMode="External"/><Relationship Id="rId1221" Type="http://schemas.openxmlformats.org/officeDocument/2006/relationships/hyperlink" Target="mailto:MARK.CLM@HOTMAIL.COM" TargetMode="External"/><Relationship Id="rId230" Type="http://schemas.openxmlformats.org/officeDocument/2006/relationships/hyperlink" Target="mailto:danny@trmsinc.com" TargetMode="External"/><Relationship Id="rId468" Type="http://schemas.openxmlformats.org/officeDocument/2006/relationships/hyperlink" Target="mailto:admin@aosoutlet.com" TargetMode="External"/><Relationship Id="rId675" Type="http://schemas.openxmlformats.org/officeDocument/2006/relationships/hyperlink" Target="mailto:hikae@yahoo.com" TargetMode="External"/><Relationship Id="rId882" Type="http://schemas.openxmlformats.org/officeDocument/2006/relationships/hyperlink" Target="mailto:aj.electric1@icloud.com" TargetMode="External"/><Relationship Id="rId1098" Type="http://schemas.openxmlformats.org/officeDocument/2006/relationships/hyperlink" Target="mailto:expressappliance@gmail.com" TargetMode="External"/><Relationship Id="rId1319" Type="http://schemas.openxmlformats.org/officeDocument/2006/relationships/hyperlink" Target="mailto:rsotomayorjr@comcast.net" TargetMode="External"/><Relationship Id="rId1526" Type="http://schemas.openxmlformats.org/officeDocument/2006/relationships/hyperlink" Target="mailto:jtroberts@me.com" TargetMode="External"/><Relationship Id="rId25" Type="http://schemas.openxmlformats.org/officeDocument/2006/relationships/hyperlink" Target="mailto:kirk@kingformcap.com" TargetMode="External"/><Relationship Id="rId328" Type="http://schemas.openxmlformats.org/officeDocument/2006/relationships/hyperlink" Target="mailto:ERIC.TERRY@INDUSTRIALSERVICESCOMPANY.COM" TargetMode="External"/><Relationship Id="rId535" Type="http://schemas.openxmlformats.org/officeDocument/2006/relationships/hyperlink" Target="mailto:aftequip@yahoo.com" TargetMode="External"/><Relationship Id="rId742" Type="http://schemas.openxmlformats.org/officeDocument/2006/relationships/hyperlink" Target="mailto:cruz159208@bellsouth.net" TargetMode="External"/><Relationship Id="rId1165" Type="http://schemas.openxmlformats.org/officeDocument/2006/relationships/hyperlink" Target="mailto:ctozzie@lewisbolt.com" TargetMode="External"/><Relationship Id="rId1372" Type="http://schemas.openxmlformats.org/officeDocument/2006/relationships/hyperlink" Target="mailto:dancoad@hotmail.com" TargetMode="External"/><Relationship Id="rId174" Type="http://schemas.openxmlformats.org/officeDocument/2006/relationships/hyperlink" Target="mailto:info@jx2productions.com" TargetMode="External"/><Relationship Id="rId381" Type="http://schemas.openxmlformats.org/officeDocument/2006/relationships/hyperlink" Target="mailto:pedersonelec@intergate.com" TargetMode="External"/><Relationship Id="rId602" Type="http://schemas.openxmlformats.org/officeDocument/2006/relationships/hyperlink" Target="mailto:jprimeau@nacepf.net" TargetMode="External"/><Relationship Id="rId1025" Type="http://schemas.openxmlformats.org/officeDocument/2006/relationships/hyperlink" Target="mailto:jaguero@kleintools.com" TargetMode="External"/><Relationship Id="rId1232" Type="http://schemas.openxmlformats.org/officeDocument/2006/relationships/hyperlink" Target="mailto:tom@wysockielectric.com" TargetMode="External"/><Relationship Id="rId241" Type="http://schemas.openxmlformats.org/officeDocument/2006/relationships/hyperlink" Target="mailto:cooltruck@aol.com" TargetMode="External"/><Relationship Id="rId479" Type="http://schemas.openxmlformats.org/officeDocument/2006/relationships/hyperlink" Target="mailto:lopezelectric@verizon.net" TargetMode="External"/><Relationship Id="rId686" Type="http://schemas.openxmlformats.org/officeDocument/2006/relationships/hyperlink" Target="mailto:shane@evoics.com" TargetMode="External"/><Relationship Id="rId893" Type="http://schemas.openxmlformats.org/officeDocument/2006/relationships/hyperlink" Target="mailto:boris@oenone.be" TargetMode="External"/><Relationship Id="rId907" Type="http://schemas.openxmlformats.org/officeDocument/2006/relationships/hyperlink" Target="mailto:smithdonnie1@msn.com" TargetMode="External"/><Relationship Id="rId1537" Type="http://schemas.openxmlformats.org/officeDocument/2006/relationships/hyperlink" Target="mailto:hytec.controls@gmail.com" TargetMode="External"/><Relationship Id="rId36" Type="http://schemas.openxmlformats.org/officeDocument/2006/relationships/hyperlink" Target="mailto:detdds@aol.com" TargetMode="External"/><Relationship Id="rId339" Type="http://schemas.openxmlformats.org/officeDocument/2006/relationships/hyperlink" Target="mailto:wwwaterdogg@aol.com" TargetMode="External"/><Relationship Id="rId546" Type="http://schemas.openxmlformats.org/officeDocument/2006/relationships/hyperlink" Target="mailto:info@advancedshowsolutions.com" TargetMode="External"/><Relationship Id="rId753" Type="http://schemas.openxmlformats.org/officeDocument/2006/relationships/hyperlink" Target="mailto:ssergiadis@hotmail.com" TargetMode="External"/><Relationship Id="rId1176" Type="http://schemas.openxmlformats.org/officeDocument/2006/relationships/hyperlink" Target="mailto:stucki14@sbcglobal.net" TargetMode="External"/><Relationship Id="rId1383" Type="http://schemas.openxmlformats.org/officeDocument/2006/relationships/hyperlink" Target="mailto:robborgeson@gmail.com" TargetMode="External"/><Relationship Id="rId1604" Type="http://schemas.openxmlformats.org/officeDocument/2006/relationships/hyperlink" Target="mailto:praisethelordanyway@gmail.com" TargetMode="External"/><Relationship Id="rId101" Type="http://schemas.openxmlformats.org/officeDocument/2006/relationships/hyperlink" Target="mailto:wgordon@neatheat.com" TargetMode="External"/><Relationship Id="rId185" Type="http://schemas.openxmlformats.org/officeDocument/2006/relationships/hyperlink" Target="mailto:glen080@centurytel.net" TargetMode="External"/><Relationship Id="rId406" Type="http://schemas.openxmlformats.org/officeDocument/2006/relationships/hyperlink" Target="mailto:psutruck@comcast.net" TargetMode="External"/><Relationship Id="rId960" Type="http://schemas.openxmlformats.org/officeDocument/2006/relationships/hyperlink" Target="mailto:DAVID.S.ALLISON@GMAIL.COM" TargetMode="External"/><Relationship Id="rId1036" Type="http://schemas.openxmlformats.org/officeDocument/2006/relationships/hyperlink" Target="mailto:haliant.closuite@gmail.com" TargetMode="External"/><Relationship Id="rId1243" Type="http://schemas.openxmlformats.org/officeDocument/2006/relationships/hyperlink" Target="mailto:NYGOV@stores.fastenal.com" TargetMode="External"/><Relationship Id="rId1590" Type="http://schemas.openxmlformats.org/officeDocument/2006/relationships/hyperlink" Target="mailto:jpmaloney1@verizon.net" TargetMode="External"/><Relationship Id="rId392" Type="http://schemas.openxmlformats.org/officeDocument/2006/relationships/hyperlink" Target="mailto:gustavo.gonzalez@dieselshippng.com" TargetMode="External"/><Relationship Id="rId613" Type="http://schemas.openxmlformats.org/officeDocument/2006/relationships/hyperlink" Target="mailto:doug@blastcomm.com" TargetMode="External"/><Relationship Id="rId697" Type="http://schemas.openxmlformats.org/officeDocument/2006/relationships/hyperlink" Target="mailto:lopezelectric@verizon.net" TargetMode="External"/><Relationship Id="rId820" Type="http://schemas.openxmlformats.org/officeDocument/2006/relationships/hyperlink" Target="mailto:TOM@NORTHWINDMEASUREMENT.COM" TargetMode="External"/><Relationship Id="rId918" Type="http://schemas.openxmlformats.org/officeDocument/2006/relationships/hyperlink" Target="mailto:joe.pryor@verizon.net" TargetMode="External"/><Relationship Id="rId1450" Type="http://schemas.openxmlformats.org/officeDocument/2006/relationships/hyperlink" Target="mailto:alekslink@yahoo.com" TargetMode="External"/><Relationship Id="rId1548" Type="http://schemas.openxmlformats.org/officeDocument/2006/relationships/hyperlink" Target="mailto:mtig2@bellsouth.net" TargetMode="External"/><Relationship Id="rId252" Type="http://schemas.openxmlformats.org/officeDocument/2006/relationships/hyperlink" Target="mailto:cpanetta@summitfinishing.com" TargetMode="External"/><Relationship Id="rId1103" Type="http://schemas.openxmlformats.org/officeDocument/2006/relationships/hyperlink" Target="mailto:darin.addis@simpat.co" TargetMode="External"/><Relationship Id="rId1187" Type="http://schemas.openxmlformats.org/officeDocument/2006/relationships/hyperlink" Target="mailto:jtr235@twcny.rr.com" TargetMode="External"/><Relationship Id="rId1310" Type="http://schemas.openxmlformats.org/officeDocument/2006/relationships/hyperlink" Target="mailto:ktidyman@knappelectric.net" TargetMode="External"/><Relationship Id="rId1408" Type="http://schemas.openxmlformats.org/officeDocument/2006/relationships/hyperlink" Target="mailto:paulseales@aol.com" TargetMode="External"/><Relationship Id="rId47" Type="http://schemas.openxmlformats.org/officeDocument/2006/relationships/hyperlink" Target="mailto:dan@fldrilling.com" TargetMode="External"/><Relationship Id="rId112" Type="http://schemas.openxmlformats.org/officeDocument/2006/relationships/hyperlink" Target="mailto:jose.cuevas@sicym.com" TargetMode="External"/><Relationship Id="rId557" Type="http://schemas.openxmlformats.org/officeDocument/2006/relationships/hyperlink" Target="mailto:spencerm@nkcusa.com" TargetMode="External"/><Relationship Id="rId764" Type="http://schemas.openxmlformats.org/officeDocument/2006/relationships/hyperlink" Target="mailto:phillectric@yahoo.com" TargetMode="External"/><Relationship Id="rId971" Type="http://schemas.openxmlformats.org/officeDocument/2006/relationships/hyperlink" Target="mailto:sales@premierindinc.com" TargetMode="External"/><Relationship Id="rId1394" Type="http://schemas.openxmlformats.org/officeDocument/2006/relationships/hyperlink" Target="mailto:jasper47@netzero.net" TargetMode="External"/><Relationship Id="rId1615" Type="http://schemas.openxmlformats.org/officeDocument/2006/relationships/hyperlink" Target="mailto:thom.davis@leonagroup.com" TargetMode="External"/><Relationship Id="rId196" Type="http://schemas.openxmlformats.org/officeDocument/2006/relationships/hyperlink" Target="mailto:thelovelysparrows@hotmail.com" TargetMode="External"/><Relationship Id="rId417" Type="http://schemas.openxmlformats.org/officeDocument/2006/relationships/hyperlink" Target="mailto:daniel@soundworkspro.com" TargetMode="External"/><Relationship Id="rId624" Type="http://schemas.openxmlformats.org/officeDocument/2006/relationships/hyperlink" Target="mailto:mikeke07@gmail.com" TargetMode="External"/><Relationship Id="rId831" Type="http://schemas.openxmlformats.org/officeDocument/2006/relationships/hyperlink" Target="mailto:tiger1@fuse.net" TargetMode="External"/><Relationship Id="rId1047" Type="http://schemas.openxmlformats.org/officeDocument/2006/relationships/hyperlink" Target="mailto:Martin.Skidmore@clevelandcascades.co.uk" TargetMode="External"/><Relationship Id="rId1254" Type="http://schemas.openxmlformats.org/officeDocument/2006/relationships/hyperlink" Target="mailto:swaps55@sbcglobal.net" TargetMode="External"/><Relationship Id="rId1461" Type="http://schemas.openxmlformats.org/officeDocument/2006/relationships/hyperlink" Target="mailto:steve@acpservice.com" TargetMode="External"/><Relationship Id="rId263" Type="http://schemas.openxmlformats.org/officeDocument/2006/relationships/hyperlink" Target="mailto:bcoleman@winkleindustries.com" TargetMode="External"/><Relationship Id="rId470" Type="http://schemas.openxmlformats.org/officeDocument/2006/relationships/hyperlink" Target="mailto:ellisonjl@state.gov" TargetMode="External"/><Relationship Id="rId929" Type="http://schemas.openxmlformats.org/officeDocument/2006/relationships/hyperlink" Target="mailto:bill@therenogenerator.com" TargetMode="External"/><Relationship Id="rId1114" Type="http://schemas.openxmlformats.org/officeDocument/2006/relationships/hyperlink" Target="mailto:jolivares@syseufsa.com" TargetMode="External"/><Relationship Id="rId1321" Type="http://schemas.openxmlformats.org/officeDocument/2006/relationships/hyperlink" Target="mailto:cooltruck@aol.com" TargetMode="External"/><Relationship Id="rId1559" Type="http://schemas.openxmlformats.org/officeDocument/2006/relationships/hyperlink" Target="mailto:marlinness@hotmail.com" TargetMode="External"/><Relationship Id="rId58" Type="http://schemas.openxmlformats.org/officeDocument/2006/relationships/hyperlink" Target="mailto:kbuwalda@coolray.com" TargetMode="External"/><Relationship Id="rId123" Type="http://schemas.openxmlformats.org/officeDocument/2006/relationships/hyperlink" Target="mailto:kewilliams24@yahoo.com" TargetMode="External"/><Relationship Id="rId330" Type="http://schemas.openxmlformats.org/officeDocument/2006/relationships/hyperlink" Target="mailto:carlos@ac-industrial.com" TargetMode="External"/><Relationship Id="rId568" Type="http://schemas.openxmlformats.org/officeDocument/2006/relationships/hyperlink" Target="mailto:sales@premierindinc.com" TargetMode="External"/><Relationship Id="rId775" Type="http://schemas.openxmlformats.org/officeDocument/2006/relationships/hyperlink" Target="mailto:ishateck@gmail.com" TargetMode="External"/><Relationship Id="rId982" Type="http://schemas.openxmlformats.org/officeDocument/2006/relationships/hyperlink" Target="mailto:elizabeths@griderhillmarina.com" TargetMode="External"/><Relationship Id="rId1198" Type="http://schemas.openxmlformats.org/officeDocument/2006/relationships/hyperlink" Target="mailto:craig@forkliftgarage.com" TargetMode="External"/><Relationship Id="rId1419" Type="http://schemas.openxmlformats.org/officeDocument/2006/relationships/hyperlink" Target="mailto:nick.benner@millerpipeline.com" TargetMode="External"/><Relationship Id="rId428" Type="http://schemas.openxmlformats.org/officeDocument/2006/relationships/hyperlink" Target="mailto:hardrockscreening@hotmail.com" TargetMode="External"/><Relationship Id="rId635" Type="http://schemas.openxmlformats.org/officeDocument/2006/relationships/hyperlink" Target="mailto:jonesc00666@hotmail.com" TargetMode="External"/><Relationship Id="rId842" Type="http://schemas.openxmlformats.org/officeDocument/2006/relationships/hyperlink" Target="mailto:patholiday250@gmail.com" TargetMode="External"/><Relationship Id="rId1058" Type="http://schemas.openxmlformats.org/officeDocument/2006/relationships/hyperlink" Target="mailto:scooter68710@yahoo.com" TargetMode="External"/><Relationship Id="rId1265" Type="http://schemas.openxmlformats.org/officeDocument/2006/relationships/hyperlink" Target="mailto:sgruis@omnitel.biz" TargetMode="External"/><Relationship Id="rId1472" Type="http://schemas.openxmlformats.org/officeDocument/2006/relationships/hyperlink" Target="mailto:muddesign@msn.com" TargetMode="External"/><Relationship Id="rId274" Type="http://schemas.openxmlformats.org/officeDocument/2006/relationships/hyperlink" Target="mailto:pjbottoms@hotmail.com" TargetMode="External"/><Relationship Id="rId481" Type="http://schemas.openxmlformats.org/officeDocument/2006/relationships/hyperlink" Target="mailto:bobleider@gmail.com" TargetMode="External"/><Relationship Id="rId702" Type="http://schemas.openxmlformats.org/officeDocument/2006/relationships/hyperlink" Target="mailto:stackc18@gmail.com" TargetMode="External"/><Relationship Id="rId1125" Type="http://schemas.openxmlformats.org/officeDocument/2006/relationships/hyperlink" Target="mailto:migman@echoes.net" TargetMode="External"/><Relationship Id="rId1332" Type="http://schemas.openxmlformats.org/officeDocument/2006/relationships/hyperlink" Target="mailto:rsm@loumarks.com" TargetMode="External"/><Relationship Id="rId69" Type="http://schemas.openxmlformats.org/officeDocument/2006/relationships/hyperlink" Target="mailto:testoneproducts@echoes.net" TargetMode="External"/><Relationship Id="rId134" Type="http://schemas.openxmlformats.org/officeDocument/2006/relationships/hyperlink" Target="mailto:alex@dykesfamily.net" TargetMode="External"/><Relationship Id="rId579" Type="http://schemas.openxmlformats.org/officeDocument/2006/relationships/hyperlink" Target="mailto:eric.terry@industrialservicescompany.com" TargetMode="External"/><Relationship Id="rId786" Type="http://schemas.openxmlformats.org/officeDocument/2006/relationships/hyperlink" Target="mailto:pceko@tridentstrong.com" TargetMode="External"/><Relationship Id="rId993" Type="http://schemas.openxmlformats.org/officeDocument/2006/relationships/hyperlink" Target="mailto:jimpatterson@elevator1.com" TargetMode="External"/><Relationship Id="rId341" Type="http://schemas.openxmlformats.org/officeDocument/2006/relationships/hyperlink" Target="mailto:schnellerfarms@gmail.com" TargetMode="External"/><Relationship Id="rId439" Type="http://schemas.openxmlformats.org/officeDocument/2006/relationships/hyperlink" Target="mailto:meagan.byerly@rulesteel.com" TargetMode="External"/><Relationship Id="rId646" Type="http://schemas.openxmlformats.org/officeDocument/2006/relationships/hyperlink" Target="mailto:shane@evoics.com" TargetMode="External"/><Relationship Id="rId1069" Type="http://schemas.openxmlformats.org/officeDocument/2006/relationships/hyperlink" Target="mailto:JHULBERT@WYNALDA.COM" TargetMode="External"/><Relationship Id="rId1276" Type="http://schemas.openxmlformats.org/officeDocument/2006/relationships/hyperlink" Target="mailto:rfrost@waterville.com" TargetMode="External"/><Relationship Id="rId1483" Type="http://schemas.openxmlformats.org/officeDocument/2006/relationships/hyperlink" Target="mailto:jboggs@atlanticconcretecutting.com" TargetMode="External"/><Relationship Id="rId201" Type="http://schemas.openxmlformats.org/officeDocument/2006/relationships/hyperlink" Target="mailto:stephanie.giang@smartwires.com" TargetMode="External"/><Relationship Id="rId285" Type="http://schemas.openxmlformats.org/officeDocument/2006/relationships/hyperlink" Target="mailto:douglas@mpcwood.net" TargetMode="External"/><Relationship Id="rId506" Type="http://schemas.openxmlformats.org/officeDocument/2006/relationships/hyperlink" Target="mailto:atedesco14@gmail.com" TargetMode="External"/><Relationship Id="rId853" Type="http://schemas.openxmlformats.org/officeDocument/2006/relationships/hyperlink" Target="mailto:michaely@sunvalleyelectric.com" TargetMode="External"/><Relationship Id="rId1136" Type="http://schemas.openxmlformats.org/officeDocument/2006/relationships/hyperlink" Target="mailto:jaguero@kleintools.com" TargetMode="External"/><Relationship Id="rId492" Type="http://schemas.openxmlformats.org/officeDocument/2006/relationships/hyperlink" Target="mailto:gxing@msn.com" TargetMode="External"/><Relationship Id="rId713" Type="http://schemas.openxmlformats.org/officeDocument/2006/relationships/hyperlink" Target="mailto:clay.marques@graybar.com" TargetMode="External"/><Relationship Id="rId797" Type="http://schemas.openxmlformats.org/officeDocument/2006/relationships/hyperlink" Target="mailto:royce918@gmail.com" TargetMode="External"/><Relationship Id="rId920" Type="http://schemas.openxmlformats.org/officeDocument/2006/relationships/hyperlink" Target="mailto:beckvon@netzero.net" TargetMode="External"/><Relationship Id="rId1343" Type="http://schemas.openxmlformats.org/officeDocument/2006/relationships/hyperlink" Target="mailto:smj23@netzero.net" TargetMode="External"/><Relationship Id="rId1550" Type="http://schemas.openxmlformats.org/officeDocument/2006/relationships/hyperlink" Target="mailto:tecnisa97@gmail.com" TargetMode="External"/><Relationship Id="rId145" Type="http://schemas.openxmlformats.org/officeDocument/2006/relationships/hyperlink" Target="mailto:karenjwitt@aol.com" TargetMode="External"/><Relationship Id="rId352" Type="http://schemas.openxmlformats.org/officeDocument/2006/relationships/hyperlink" Target="mailto:chandlergentry@northstate.net" TargetMode="External"/><Relationship Id="rId1203" Type="http://schemas.openxmlformats.org/officeDocument/2006/relationships/hyperlink" Target="mailto:NYGOV@stores.fastenal.com" TargetMode="External"/><Relationship Id="rId1287" Type="http://schemas.openxmlformats.org/officeDocument/2006/relationships/hyperlink" Target="mailto:idmanufacturing@yahoo.com" TargetMode="External"/><Relationship Id="rId1410" Type="http://schemas.openxmlformats.org/officeDocument/2006/relationships/hyperlink" Target="mailto:kallencs@aol.com" TargetMode="External"/><Relationship Id="rId1508" Type="http://schemas.openxmlformats.org/officeDocument/2006/relationships/hyperlink" Target="mailto:golsen@borderstates.com" TargetMode="External"/><Relationship Id="rId212" Type="http://schemas.openxmlformats.org/officeDocument/2006/relationships/hyperlink" Target="mailto:jay.mccandles@unn.pp.gov" TargetMode="External"/><Relationship Id="rId657" Type="http://schemas.openxmlformats.org/officeDocument/2006/relationships/hyperlink" Target="mailto:shane243@verizon.net" TargetMode="External"/><Relationship Id="rId864" Type="http://schemas.openxmlformats.org/officeDocument/2006/relationships/hyperlink" Target="mailto:constantine@megariselectric.com" TargetMode="External"/><Relationship Id="rId1494" Type="http://schemas.openxmlformats.org/officeDocument/2006/relationships/hyperlink" Target="mailto:tom@wysockielectric.com" TargetMode="External"/><Relationship Id="rId296" Type="http://schemas.openxmlformats.org/officeDocument/2006/relationships/hyperlink" Target="mailto:manager@southcoastbar.com" TargetMode="External"/><Relationship Id="rId517" Type="http://schemas.openxmlformats.org/officeDocument/2006/relationships/hyperlink" Target="mailto:bcfountain@hughes.net" TargetMode="External"/><Relationship Id="rId724" Type="http://schemas.openxmlformats.org/officeDocument/2006/relationships/hyperlink" Target="mailto:wheelseal@hotmail.com" TargetMode="External"/><Relationship Id="rId931" Type="http://schemas.openxmlformats.org/officeDocument/2006/relationships/hyperlink" Target="mailto:nett2014.1609@gmail.com" TargetMode="External"/><Relationship Id="rId1147" Type="http://schemas.openxmlformats.org/officeDocument/2006/relationships/hyperlink" Target="mailto:colin@dominohighvoltage.com" TargetMode="External"/><Relationship Id="rId1354" Type="http://schemas.openxmlformats.org/officeDocument/2006/relationships/hyperlink" Target="mailto:NYNE@stores.fastenal.com" TargetMode="External"/><Relationship Id="rId1561" Type="http://schemas.openxmlformats.org/officeDocument/2006/relationships/hyperlink" Target="mailto:royce918@gmail.com" TargetMode="External"/><Relationship Id="rId60" Type="http://schemas.openxmlformats.org/officeDocument/2006/relationships/hyperlink" Target="mailto:wwgenerators@yahoo.com" TargetMode="External"/><Relationship Id="rId156" Type="http://schemas.openxmlformats.org/officeDocument/2006/relationships/hyperlink" Target="mailto:rgflooring2002@gmail.com" TargetMode="External"/><Relationship Id="rId363" Type="http://schemas.openxmlformats.org/officeDocument/2006/relationships/hyperlink" Target="mailto:mwmetal@loganet.net" TargetMode="External"/><Relationship Id="rId570" Type="http://schemas.openxmlformats.org/officeDocument/2006/relationships/hyperlink" Target="mailto:michaely@sunvalleyelectricinc.com" TargetMode="External"/><Relationship Id="rId1007" Type="http://schemas.openxmlformats.org/officeDocument/2006/relationships/hyperlink" Target="mailto:NYGOV@stores.fastenal.com" TargetMode="External"/><Relationship Id="rId1214" Type="http://schemas.openxmlformats.org/officeDocument/2006/relationships/hyperlink" Target="mailto:PFF772@GMAIL.COM" TargetMode="External"/><Relationship Id="rId1421" Type="http://schemas.openxmlformats.org/officeDocument/2006/relationships/hyperlink" Target="mailto:NYGOV@stores.fastenal.com" TargetMode="External"/><Relationship Id="rId223" Type="http://schemas.openxmlformats.org/officeDocument/2006/relationships/hyperlink" Target="mailto:overtheedgeprods@gmail.com" TargetMode="External"/><Relationship Id="rId430" Type="http://schemas.openxmlformats.org/officeDocument/2006/relationships/hyperlink" Target="mailto:purchasing@penn-union.com" TargetMode="External"/><Relationship Id="rId668" Type="http://schemas.openxmlformats.org/officeDocument/2006/relationships/hyperlink" Target="mailto:reneattias@gmail.com" TargetMode="External"/><Relationship Id="rId875" Type="http://schemas.openxmlformats.org/officeDocument/2006/relationships/hyperlink" Target="mailto:KATHY@KELLYHAYES.COM" TargetMode="External"/><Relationship Id="rId1060" Type="http://schemas.openxmlformats.org/officeDocument/2006/relationships/hyperlink" Target="we%20will%20pick%20up%20percy%20davis%20saskatoon%20email:%20saskatoon@percydavis.com%20broker" TargetMode="External"/><Relationship Id="rId1298" Type="http://schemas.openxmlformats.org/officeDocument/2006/relationships/hyperlink" Target="mailto:reactress@yahoo.com" TargetMode="External"/><Relationship Id="rId1519" Type="http://schemas.openxmlformats.org/officeDocument/2006/relationships/hyperlink" Target="mailto:frananz@aol.com" TargetMode="External"/><Relationship Id="rId18" Type="http://schemas.openxmlformats.org/officeDocument/2006/relationships/hyperlink" Target="mailto:kweaver@brewmation.com" TargetMode="External"/><Relationship Id="rId528" Type="http://schemas.openxmlformats.org/officeDocument/2006/relationships/hyperlink" Target="mailto:kevin.green@rocketmail.com" TargetMode="External"/><Relationship Id="rId735" Type="http://schemas.openxmlformats.org/officeDocument/2006/relationships/hyperlink" Target="mailto:sally@lagrangeelectrical.com" TargetMode="External"/><Relationship Id="rId942" Type="http://schemas.openxmlformats.org/officeDocument/2006/relationships/hyperlink" Target="mailto:elizabeths@griderhillmarina.com" TargetMode="External"/><Relationship Id="rId1158" Type="http://schemas.openxmlformats.org/officeDocument/2006/relationships/hyperlink" Target="mailto:lilly.john@gmail.com" TargetMode="External"/><Relationship Id="rId1365" Type="http://schemas.openxmlformats.org/officeDocument/2006/relationships/hyperlink" Target="mailto:gregorymatatall@gmail.com" TargetMode="External"/><Relationship Id="rId1572" Type="http://schemas.openxmlformats.org/officeDocument/2006/relationships/hyperlink" Target="mailto:kernmc@yahoo.com" TargetMode="External"/><Relationship Id="rId167" Type="http://schemas.openxmlformats.org/officeDocument/2006/relationships/hyperlink" Target="mailto:stephanie.giang@smartwires.com" TargetMode="External"/><Relationship Id="rId374" Type="http://schemas.openxmlformats.org/officeDocument/2006/relationships/hyperlink" Target="mailto:dickchrysler@comcast.net" TargetMode="External"/><Relationship Id="rId581" Type="http://schemas.openxmlformats.org/officeDocument/2006/relationships/hyperlink" Target="mailto:leeza.sousa@gmail.com" TargetMode="External"/><Relationship Id="rId1018" Type="http://schemas.openxmlformats.org/officeDocument/2006/relationships/hyperlink" Target="mailto:Matt.Colker@wvaelectric.com" TargetMode="External"/><Relationship Id="rId1225" Type="http://schemas.openxmlformats.org/officeDocument/2006/relationships/hyperlink" Target="mailto:BECKVON@NETZERO.NET" TargetMode="External"/><Relationship Id="rId1432" Type="http://schemas.openxmlformats.org/officeDocument/2006/relationships/hyperlink" Target="mailto:mattta@sbcglobal.net" TargetMode="External"/><Relationship Id="rId71" Type="http://schemas.openxmlformats.org/officeDocument/2006/relationships/hyperlink" Target="mailto:elec3phase@gmail.com" TargetMode="External"/><Relationship Id="rId234" Type="http://schemas.openxmlformats.org/officeDocument/2006/relationships/hyperlink" Target="mailto:darylhuggins@bellsouth.net" TargetMode="External"/><Relationship Id="rId679" Type="http://schemas.openxmlformats.org/officeDocument/2006/relationships/hyperlink" Target="mailto:dclevenger@parallaxdigital.com" TargetMode="External"/><Relationship Id="rId802" Type="http://schemas.openxmlformats.org/officeDocument/2006/relationships/hyperlink" Target="mailto:manderson@mitcherson.com" TargetMode="External"/><Relationship Id="rId886" Type="http://schemas.openxmlformats.org/officeDocument/2006/relationships/hyperlink" Target="mailto:jegan@northernconagg.com" TargetMode="External"/><Relationship Id="rId2" Type="http://schemas.openxmlformats.org/officeDocument/2006/relationships/hyperlink" Target="mailto:rockymountainauto@netzero.com" TargetMode="External"/><Relationship Id="rId29" Type="http://schemas.openxmlformats.org/officeDocument/2006/relationships/hyperlink" Target="mailto:ekrugman@gmail.com" TargetMode="External"/><Relationship Id="rId441" Type="http://schemas.openxmlformats.org/officeDocument/2006/relationships/hyperlink" Target="mailto:kirk.webemail@gmail.com" TargetMode="External"/><Relationship Id="rId539" Type="http://schemas.openxmlformats.org/officeDocument/2006/relationships/hyperlink" Target="mailto:dieselguy1133@gmail.com" TargetMode="External"/><Relationship Id="rId746" Type="http://schemas.openxmlformats.org/officeDocument/2006/relationships/hyperlink" Target="mailto:hollyvolmar@hotmail.com" TargetMode="External"/><Relationship Id="rId1071" Type="http://schemas.openxmlformats.org/officeDocument/2006/relationships/hyperlink" Target="mailto:rgrosz@oakhilltech.com" TargetMode="External"/><Relationship Id="rId1169" Type="http://schemas.openxmlformats.org/officeDocument/2006/relationships/hyperlink" Target="mailto:kweaver@brewmation.com" TargetMode="External"/><Relationship Id="rId1376" Type="http://schemas.openxmlformats.org/officeDocument/2006/relationships/hyperlink" Target="mailto:tripodsteelerod@hotmail.com" TargetMode="External"/><Relationship Id="rId1583" Type="http://schemas.openxmlformats.org/officeDocument/2006/relationships/hyperlink" Target="mailto:terrazzoconcrete@gmail.com" TargetMode="External"/><Relationship Id="rId178" Type="http://schemas.openxmlformats.org/officeDocument/2006/relationships/hyperlink" Target="mailto:ymireles@247technology.com" TargetMode="External"/><Relationship Id="rId301" Type="http://schemas.openxmlformats.org/officeDocument/2006/relationships/hyperlink" Target="mailto:elizabeths@griderlhillmarina.com" TargetMode="External"/><Relationship Id="rId953" Type="http://schemas.openxmlformats.org/officeDocument/2006/relationships/hyperlink" Target="mailto:mpalmer0218@gmail.com" TargetMode="External"/><Relationship Id="rId1029" Type="http://schemas.openxmlformats.org/officeDocument/2006/relationships/hyperlink" Target="mailto:jaguero@kleintools.com" TargetMode="External"/><Relationship Id="rId1236" Type="http://schemas.openxmlformats.org/officeDocument/2006/relationships/hyperlink" Target="mailto:NEWCITYGC@GMAIL.COM" TargetMode="External"/><Relationship Id="rId82" Type="http://schemas.openxmlformats.org/officeDocument/2006/relationships/hyperlink" Target="mailto:info@bendelectricbikes.com" TargetMode="External"/><Relationship Id="rId385" Type="http://schemas.openxmlformats.org/officeDocument/2006/relationships/hyperlink" Target="mailto:dennis.beardsley@robotunits.com" TargetMode="External"/><Relationship Id="rId592" Type="http://schemas.openxmlformats.org/officeDocument/2006/relationships/hyperlink" Target="mailto:szaffary@gmail.com" TargetMode="External"/><Relationship Id="rId606" Type="http://schemas.openxmlformats.org/officeDocument/2006/relationships/hyperlink" Target="mailto:paul@indianlakescampground.com" TargetMode="External"/><Relationship Id="rId813" Type="http://schemas.openxmlformats.org/officeDocument/2006/relationships/hyperlink" Target="mailto:catalina@olveras.com" TargetMode="External"/><Relationship Id="rId1443" Type="http://schemas.openxmlformats.org/officeDocument/2006/relationships/hyperlink" Target="mailto:dlpower@bellsouth.net" TargetMode="External"/><Relationship Id="rId245" Type="http://schemas.openxmlformats.org/officeDocument/2006/relationships/hyperlink" Target="mailto:dhcbeaver@gmail.com" TargetMode="External"/><Relationship Id="rId452" Type="http://schemas.openxmlformats.org/officeDocument/2006/relationships/hyperlink" Target="mailto:perron48@calwisp.net" TargetMode="External"/><Relationship Id="rId897" Type="http://schemas.openxmlformats.org/officeDocument/2006/relationships/hyperlink" Target="mailto:pselectricalcontractor@hotmail.com" TargetMode="External"/><Relationship Id="rId1082" Type="http://schemas.openxmlformats.org/officeDocument/2006/relationships/hyperlink" Target="mailto:GARYB@COGENNYC.COM" TargetMode="External"/><Relationship Id="rId1303" Type="http://schemas.openxmlformats.org/officeDocument/2006/relationships/hyperlink" Target="mailto:admin@ohm-racing.com" TargetMode="External"/><Relationship Id="rId1510" Type="http://schemas.openxmlformats.org/officeDocument/2006/relationships/hyperlink" Target="mailto:monk667077@yahoo.com" TargetMode="External"/><Relationship Id="rId105" Type="http://schemas.openxmlformats.org/officeDocument/2006/relationships/hyperlink" Target="mailto:jbaldwin1970@aol.com" TargetMode="External"/><Relationship Id="rId312" Type="http://schemas.openxmlformats.org/officeDocument/2006/relationships/hyperlink" Target="mailto:Brad.Finch@lpcorp.com" TargetMode="External"/><Relationship Id="rId757" Type="http://schemas.openxmlformats.org/officeDocument/2006/relationships/hyperlink" Target="mailto:garyb@cogennyc.com" TargetMode="External"/><Relationship Id="rId964" Type="http://schemas.openxmlformats.org/officeDocument/2006/relationships/hyperlink" Target="mailto:admin@rockinghamholdings.com" TargetMode="External"/><Relationship Id="rId1387" Type="http://schemas.openxmlformats.org/officeDocument/2006/relationships/hyperlink" Target="mailto:bob.pakan@saabsensis.com" TargetMode="External"/><Relationship Id="rId1594" Type="http://schemas.openxmlformats.org/officeDocument/2006/relationships/hyperlink" Target="mailto:cjanzen@tpil.com" TargetMode="External"/><Relationship Id="rId1608" Type="http://schemas.openxmlformats.org/officeDocument/2006/relationships/hyperlink" Target="mailto:william@buddycorp.com" TargetMode="External"/><Relationship Id="rId93" Type="http://schemas.openxmlformats.org/officeDocument/2006/relationships/hyperlink" Target="mailto:msullivan@metrowestpower.com" TargetMode="External"/><Relationship Id="rId189" Type="http://schemas.openxmlformats.org/officeDocument/2006/relationships/hyperlink" Target="mailto:lbagman@rcn.com" TargetMode="External"/><Relationship Id="rId396" Type="http://schemas.openxmlformats.org/officeDocument/2006/relationships/hyperlink" Target="mailto:rehlers87@yahoo.com" TargetMode="External"/><Relationship Id="rId617" Type="http://schemas.openxmlformats.org/officeDocument/2006/relationships/hyperlink" Target="mailto:tcastro@surtax.com.ec" TargetMode="External"/><Relationship Id="rId824" Type="http://schemas.openxmlformats.org/officeDocument/2006/relationships/hyperlink" Target="mailto:smitsfarms@gmail.com" TargetMode="External"/><Relationship Id="rId1247" Type="http://schemas.openxmlformats.org/officeDocument/2006/relationships/hyperlink" Target="mailto:alvin.tang@westing.cn" TargetMode="External"/><Relationship Id="rId1454" Type="http://schemas.openxmlformats.org/officeDocument/2006/relationships/hyperlink" Target="mailto:h.o.rerice@gmail.com" TargetMode="External"/><Relationship Id="rId256" Type="http://schemas.openxmlformats.org/officeDocument/2006/relationships/hyperlink" Target="mailto:torchesetc@gmail.com" TargetMode="External"/><Relationship Id="rId463" Type="http://schemas.openxmlformats.org/officeDocument/2006/relationships/hyperlink" Target="mailto:dmmiller13@mchsi.com" TargetMode="External"/><Relationship Id="rId670" Type="http://schemas.openxmlformats.org/officeDocument/2006/relationships/hyperlink" Target="mailto:northamptonkoa@aol.com" TargetMode="External"/><Relationship Id="rId1093" Type="http://schemas.openxmlformats.org/officeDocument/2006/relationships/hyperlink" Target="mailto:michaely@sunvalleyelectricinc.com" TargetMode="External"/><Relationship Id="rId1107" Type="http://schemas.openxmlformats.org/officeDocument/2006/relationships/hyperlink" Target="mailto:executivesouth@yahoo.com" TargetMode="External"/><Relationship Id="rId1314" Type="http://schemas.openxmlformats.org/officeDocument/2006/relationships/hyperlink" Target="mailto:NYGOV@stores.fastenal.com" TargetMode="External"/><Relationship Id="rId1521" Type="http://schemas.openxmlformats.org/officeDocument/2006/relationships/hyperlink" Target="mailto:NYGOV@stores.fastenal.com" TargetMode="External"/><Relationship Id="rId116" Type="http://schemas.openxmlformats.org/officeDocument/2006/relationships/hyperlink" Target="mailto:campbell.brian@gmail.com" TargetMode="External"/><Relationship Id="rId323" Type="http://schemas.openxmlformats.org/officeDocument/2006/relationships/hyperlink" Target="mailto:hro99@aol.com" TargetMode="External"/><Relationship Id="rId530" Type="http://schemas.openxmlformats.org/officeDocument/2006/relationships/hyperlink" Target="mailto:inlays@rosefarminlays.com" TargetMode="External"/><Relationship Id="rId768" Type="http://schemas.openxmlformats.org/officeDocument/2006/relationships/hyperlink" Target="mailto:tywle@yahoo.com" TargetMode="External"/><Relationship Id="rId975" Type="http://schemas.openxmlformats.org/officeDocument/2006/relationships/hyperlink" Target="mailto:randy@fowlerelectric.com" TargetMode="External"/><Relationship Id="rId1160" Type="http://schemas.openxmlformats.org/officeDocument/2006/relationships/hyperlink" Target="mailto:cam2@zotefoams.com" TargetMode="External"/><Relationship Id="rId1398" Type="http://schemas.openxmlformats.org/officeDocument/2006/relationships/hyperlink" Target="mailto:bikingforged@gmail.com" TargetMode="External"/><Relationship Id="rId1619" Type="http://schemas.openxmlformats.org/officeDocument/2006/relationships/hyperlink" Target="mailto:garret@safesidewalks.com" TargetMode="External"/><Relationship Id="rId20" Type="http://schemas.openxmlformats.org/officeDocument/2006/relationships/hyperlink" Target="mailto:woodie.weiss@icloud.cm" TargetMode="External"/><Relationship Id="rId628" Type="http://schemas.openxmlformats.org/officeDocument/2006/relationships/hyperlink" Target="mailto:schurbons@yahoo.com" TargetMode="External"/><Relationship Id="rId835" Type="http://schemas.openxmlformats.org/officeDocument/2006/relationships/hyperlink" Target="mailto:michaely@sunvalleyelectricinc.com" TargetMode="External"/><Relationship Id="rId1258" Type="http://schemas.openxmlformats.org/officeDocument/2006/relationships/hyperlink" Target="mailto:rayedrach@gmail.com" TargetMode="External"/><Relationship Id="rId1465" Type="http://schemas.openxmlformats.org/officeDocument/2006/relationships/hyperlink" Target="mailto:sstout@csi-key.com" TargetMode="External"/><Relationship Id="rId267" Type="http://schemas.openxmlformats.org/officeDocument/2006/relationships/hyperlink" Target="mailto:daniel.underwood@unlimitedcontrolllc.com" TargetMode="External"/><Relationship Id="rId474" Type="http://schemas.openxmlformats.org/officeDocument/2006/relationships/hyperlink" Target="mailto:info@ductlessaire.com" TargetMode="External"/><Relationship Id="rId1020" Type="http://schemas.openxmlformats.org/officeDocument/2006/relationships/hyperlink" Target="mailto:bushnellsuvey@gmail.com" TargetMode="External"/><Relationship Id="rId1118" Type="http://schemas.openxmlformats.org/officeDocument/2006/relationships/hyperlink" Target="mailto:brendoncashman@gmail.com" TargetMode="External"/><Relationship Id="rId1325" Type="http://schemas.openxmlformats.org/officeDocument/2006/relationships/hyperlink" Target="mailto:david.goodwater@gmail.com" TargetMode="External"/><Relationship Id="rId1532" Type="http://schemas.openxmlformats.org/officeDocument/2006/relationships/hyperlink" Target="mailto:cmeng69@gmail.com" TargetMode="External"/><Relationship Id="rId127" Type="http://schemas.openxmlformats.org/officeDocument/2006/relationships/hyperlink" Target="mailto:m.doerning4@aol.com" TargetMode="External"/><Relationship Id="rId681" Type="http://schemas.openxmlformats.org/officeDocument/2006/relationships/hyperlink" Target="mailto:michaeljg78@yahoo.com" TargetMode="External"/><Relationship Id="rId779" Type="http://schemas.openxmlformats.org/officeDocument/2006/relationships/hyperlink" Target="mailto:jharris@sareplastics.com" TargetMode="External"/><Relationship Id="rId902" Type="http://schemas.openxmlformats.org/officeDocument/2006/relationships/hyperlink" Target="mailto:l.horton@icloud.com" TargetMode="External"/><Relationship Id="rId986" Type="http://schemas.openxmlformats.org/officeDocument/2006/relationships/hyperlink" Target="mailto:hkilic@aol.com" TargetMode="External"/><Relationship Id="rId31" Type="http://schemas.openxmlformats.org/officeDocument/2006/relationships/hyperlink" Target="mailto:jzimmer@wwrequip.com" TargetMode="External"/><Relationship Id="rId334" Type="http://schemas.openxmlformats.org/officeDocument/2006/relationships/hyperlink" Target="mailto:dereknwalton@gmail.com" TargetMode="External"/><Relationship Id="rId541" Type="http://schemas.openxmlformats.org/officeDocument/2006/relationships/hyperlink" Target="mailto:aftequip@yahoo.com" TargetMode="External"/><Relationship Id="rId639" Type="http://schemas.openxmlformats.org/officeDocument/2006/relationships/hyperlink" Target="mailto:paragon77@gmail.com" TargetMode="External"/><Relationship Id="rId1171" Type="http://schemas.openxmlformats.org/officeDocument/2006/relationships/hyperlink" Target="mailto:jaronturnbow@gmail.com" TargetMode="External"/><Relationship Id="rId1269" Type="http://schemas.openxmlformats.org/officeDocument/2006/relationships/hyperlink" Target="mailto:brad@valleyironworks.com" TargetMode="External"/><Relationship Id="rId1476" Type="http://schemas.openxmlformats.org/officeDocument/2006/relationships/hyperlink" Target="mailto:jjohnson2@curtisswright.com%20&amp;%20mwooldridge@curtisswright.com" TargetMode="External"/><Relationship Id="rId180" Type="http://schemas.openxmlformats.org/officeDocument/2006/relationships/hyperlink" Target="mailto:cseefeldt3@wi.rr.com" TargetMode="External"/><Relationship Id="rId278" Type="http://schemas.openxmlformats.org/officeDocument/2006/relationships/hyperlink" Target="mailto:jaguero@kleintools.com" TargetMode="External"/><Relationship Id="rId401" Type="http://schemas.openxmlformats.org/officeDocument/2006/relationships/hyperlink" Target="mailto:keithv@defsup.com" TargetMode="External"/><Relationship Id="rId846" Type="http://schemas.openxmlformats.org/officeDocument/2006/relationships/hyperlink" Target="mailto:bcerecke@ultraseal-inc.com" TargetMode="External"/><Relationship Id="rId1031" Type="http://schemas.openxmlformats.org/officeDocument/2006/relationships/hyperlink" Target="mailto:mikeoverton4@gmail.com" TargetMode="External"/><Relationship Id="rId1129" Type="http://schemas.openxmlformats.org/officeDocument/2006/relationships/hyperlink" Target="mailto:lroy@docom.ca" TargetMode="External"/><Relationship Id="rId485" Type="http://schemas.openxmlformats.org/officeDocument/2006/relationships/hyperlink" Target="mailto:r2inc@hotmail.com" TargetMode="External"/><Relationship Id="rId692" Type="http://schemas.openxmlformats.org/officeDocument/2006/relationships/hyperlink" Target="mailto:starpointgreg@aol.com" TargetMode="External"/><Relationship Id="rId706" Type="http://schemas.openxmlformats.org/officeDocument/2006/relationships/hyperlink" Target="mailto:bdavid01@hotmail.com" TargetMode="External"/><Relationship Id="rId913" Type="http://schemas.openxmlformats.org/officeDocument/2006/relationships/hyperlink" Target="mailto:bdgintl@gmail.com" TargetMode="External"/><Relationship Id="rId1336" Type="http://schemas.openxmlformats.org/officeDocument/2006/relationships/hyperlink" Target="mailto:kgray@twr.org" TargetMode="External"/><Relationship Id="rId1543" Type="http://schemas.openxmlformats.org/officeDocument/2006/relationships/hyperlink" Target="mailto:beerdave@me.com" TargetMode="External"/><Relationship Id="rId42" Type="http://schemas.openxmlformats.org/officeDocument/2006/relationships/hyperlink" Target="mailto:grannacindy@tds.net" TargetMode="External"/><Relationship Id="rId138" Type="http://schemas.openxmlformats.org/officeDocument/2006/relationships/hyperlink" Target="mailto:mcharles@molyworks.com" TargetMode="External"/><Relationship Id="rId345" Type="http://schemas.openxmlformats.org/officeDocument/2006/relationships/hyperlink" Target="mailto:es_goll@yahoo.com" TargetMode="External"/><Relationship Id="rId552" Type="http://schemas.openxmlformats.org/officeDocument/2006/relationships/hyperlink" Target="mailto:schende@gmail.com" TargetMode="External"/><Relationship Id="rId997" Type="http://schemas.openxmlformats.org/officeDocument/2006/relationships/hyperlink" Target="mailto:mszczpnsk@hotmail.com" TargetMode="External"/><Relationship Id="rId1182" Type="http://schemas.openxmlformats.org/officeDocument/2006/relationships/hyperlink" Target="mailto:davehankel@yahoo.com" TargetMode="External"/><Relationship Id="rId1403" Type="http://schemas.openxmlformats.org/officeDocument/2006/relationships/hyperlink" Target="mailto:fdreher@aaction-services.com" TargetMode="External"/><Relationship Id="rId1610" Type="http://schemas.openxmlformats.org/officeDocument/2006/relationships/hyperlink" Target="mailto:martin.skidmore@clevelandcascades.co.uk" TargetMode="External"/><Relationship Id="rId191" Type="http://schemas.openxmlformats.org/officeDocument/2006/relationships/hyperlink" Target="mailto:marinapowerman@aol.com" TargetMode="External"/><Relationship Id="rId205" Type="http://schemas.openxmlformats.org/officeDocument/2006/relationships/hyperlink" Target="mailto:stewartenterprises1llc@gmail.com" TargetMode="External"/><Relationship Id="rId412" Type="http://schemas.openxmlformats.org/officeDocument/2006/relationships/hyperlink" Target="mailto:NYGOV@stores.fastenal.com" TargetMode="External"/><Relationship Id="rId857" Type="http://schemas.openxmlformats.org/officeDocument/2006/relationships/hyperlink" Target="mailto:nam@allwestcompany.com" TargetMode="External"/><Relationship Id="rId1042" Type="http://schemas.openxmlformats.org/officeDocument/2006/relationships/hyperlink" Target="mailto:DNB@DNBDESIGN.NET" TargetMode="External"/><Relationship Id="rId1487" Type="http://schemas.openxmlformats.org/officeDocument/2006/relationships/hyperlink" Target="mailto:rickjryan@gmail.com" TargetMode="External"/><Relationship Id="rId289" Type="http://schemas.openxmlformats.org/officeDocument/2006/relationships/hyperlink" Target="mailto:tjuzyk@hamilton.net" TargetMode="External"/><Relationship Id="rId496" Type="http://schemas.openxmlformats.org/officeDocument/2006/relationships/hyperlink" Target="mailto:daniel@rdelectricinc.com" TargetMode="External"/><Relationship Id="rId717" Type="http://schemas.openxmlformats.org/officeDocument/2006/relationships/hyperlink" Target="mailto:nygov@stores.fastenal.com" TargetMode="External"/><Relationship Id="rId924" Type="http://schemas.openxmlformats.org/officeDocument/2006/relationships/hyperlink" Target="mailto:smithshipyard@verizon.net" TargetMode="External"/><Relationship Id="rId1347" Type="http://schemas.openxmlformats.org/officeDocument/2006/relationships/hyperlink" Target="mailto:bert@bgoldman.net" TargetMode="External"/><Relationship Id="rId1554" Type="http://schemas.openxmlformats.org/officeDocument/2006/relationships/hyperlink" Target="mailto:jp.mcaloose@astute-inc.com" TargetMode="External"/><Relationship Id="rId53" Type="http://schemas.openxmlformats.org/officeDocument/2006/relationships/hyperlink" Target="mailto:tobey@longacreracing.com" TargetMode="External"/><Relationship Id="rId149" Type="http://schemas.openxmlformats.org/officeDocument/2006/relationships/hyperlink" Target="mailto:minesascreamin@aol.com" TargetMode="External"/><Relationship Id="rId356" Type="http://schemas.openxmlformats.org/officeDocument/2006/relationships/hyperlink" Target="mailto:tlavan@mail.ocasd.org" TargetMode="External"/><Relationship Id="rId563" Type="http://schemas.openxmlformats.org/officeDocument/2006/relationships/hyperlink" Target="mailto:dick-hertz@hotmail.com" TargetMode="External"/><Relationship Id="rId770" Type="http://schemas.openxmlformats.org/officeDocument/2006/relationships/hyperlink" Target="mailto:cdinvestigations@yahoo.com" TargetMode="External"/><Relationship Id="rId1193" Type="http://schemas.openxmlformats.org/officeDocument/2006/relationships/hyperlink" Target="mailto:markdowning_90@hotmail.com" TargetMode="External"/><Relationship Id="rId1207" Type="http://schemas.openxmlformats.org/officeDocument/2006/relationships/hyperlink" Target="mailto:kweaver@brewmation.com" TargetMode="External"/><Relationship Id="rId1414" Type="http://schemas.openxmlformats.org/officeDocument/2006/relationships/hyperlink" Target="mailto:crs27@mail.com" TargetMode="External"/><Relationship Id="rId216" Type="http://schemas.openxmlformats.org/officeDocument/2006/relationships/hyperlink" Target="mailto:stephend750308@gmail.com" TargetMode="External"/><Relationship Id="rId423" Type="http://schemas.openxmlformats.org/officeDocument/2006/relationships/hyperlink" Target="mailto:ktidyman@knappelectric.com" TargetMode="External"/><Relationship Id="rId868" Type="http://schemas.openxmlformats.org/officeDocument/2006/relationships/hyperlink" Target="mailto:spdjnky_42@yahoo.com" TargetMode="External"/><Relationship Id="rId1053" Type="http://schemas.openxmlformats.org/officeDocument/2006/relationships/hyperlink" Target="mailto:NYGOV@stores.fastenal.com" TargetMode="External"/><Relationship Id="rId1260" Type="http://schemas.openxmlformats.org/officeDocument/2006/relationships/hyperlink" Target="mailto:hyd777@aol.com" TargetMode="External"/><Relationship Id="rId1498" Type="http://schemas.openxmlformats.org/officeDocument/2006/relationships/hyperlink" Target="mailto:s.milkman@gmail.com" TargetMode="External"/><Relationship Id="rId630" Type="http://schemas.openxmlformats.org/officeDocument/2006/relationships/hyperlink" Target="mailto:yvilder@yahoo.com" TargetMode="External"/><Relationship Id="rId728" Type="http://schemas.openxmlformats.org/officeDocument/2006/relationships/hyperlink" Target="mailto:jcandelora@snet.net" TargetMode="External"/><Relationship Id="rId935" Type="http://schemas.openxmlformats.org/officeDocument/2006/relationships/hyperlink" Target="mailto:202jdj@gmail.com" TargetMode="External"/><Relationship Id="rId1358" Type="http://schemas.openxmlformats.org/officeDocument/2006/relationships/hyperlink" Target="mailto:anthonyjporter@yahoo.com" TargetMode="External"/><Relationship Id="rId1565" Type="http://schemas.openxmlformats.org/officeDocument/2006/relationships/hyperlink" Target="mailto:s.milkman@gmail.com" TargetMode="External"/><Relationship Id="rId64" Type="http://schemas.openxmlformats.org/officeDocument/2006/relationships/hyperlink" Target="mailto:wgordon@neatheat.com" TargetMode="External"/><Relationship Id="rId367" Type="http://schemas.openxmlformats.org/officeDocument/2006/relationships/hyperlink" Target="mailto:mgarrett927@gmail.com" TargetMode="External"/><Relationship Id="rId574" Type="http://schemas.openxmlformats.org/officeDocument/2006/relationships/hyperlink" Target="mailto:mdawson@entact.com" TargetMode="External"/><Relationship Id="rId1120" Type="http://schemas.openxmlformats.org/officeDocument/2006/relationships/hyperlink" Target="mailto:michael@mediateamgo.com" TargetMode="External"/><Relationship Id="rId1218" Type="http://schemas.openxmlformats.org/officeDocument/2006/relationships/hyperlink" Target="mailto:CALABRESEELECTRIC@VERIZON.NET" TargetMode="External"/><Relationship Id="rId1425" Type="http://schemas.openxmlformats.org/officeDocument/2006/relationships/hyperlink" Target="mailto:johnkagie@aol.com" TargetMode="External"/><Relationship Id="rId227" Type="http://schemas.openxmlformats.org/officeDocument/2006/relationships/hyperlink" Target="mailto:allaboutservice@ameritech.net" TargetMode="External"/><Relationship Id="rId781" Type="http://schemas.openxmlformats.org/officeDocument/2006/relationships/hyperlink" Target="mailto:gil.resto@grelectricllc.com" TargetMode="External"/><Relationship Id="rId879" Type="http://schemas.openxmlformats.org/officeDocument/2006/relationships/hyperlink" Target="mailto:KERR_ELECTRIC@HOTMAIL.COM" TargetMode="External"/><Relationship Id="rId434" Type="http://schemas.openxmlformats.org/officeDocument/2006/relationships/hyperlink" Target="mailto:larrz.johnson@ventura.org" TargetMode="External"/><Relationship Id="rId641" Type="http://schemas.openxmlformats.org/officeDocument/2006/relationships/hyperlink" Target="mailto:mikerich@parenteau.com" TargetMode="External"/><Relationship Id="rId739" Type="http://schemas.openxmlformats.org/officeDocument/2006/relationships/hyperlink" Target="mailto:alexhaleyschneider@yahoo.com" TargetMode="External"/><Relationship Id="rId1064" Type="http://schemas.openxmlformats.org/officeDocument/2006/relationships/hyperlink" Target="mailto:ERIC.TERRY@INDUTRIALSERVICESCOMPANY.COM" TargetMode="External"/><Relationship Id="rId1271" Type="http://schemas.openxmlformats.org/officeDocument/2006/relationships/hyperlink" Target="mailto:calabreseelectric@verizon.net" TargetMode="External"/><Relationship Id="rId1369" Type="http://schemas.openxmlformats.org/officeDocument/2006/relationships/hyperlink" Target="mailto:smartsell@vastbb.net" TargetMode="External"/><Relationship Id="rId1576" Type="http://schemas.openxmlformats.org/officeDocument/2006/relationships/hyperlink" Target="mailto:euro468@aol.com" TargetMode="External"/><Relationship Id="rId280" Type="http://schemas.openxmlformats.org/officeDocument/2006/relationships/hyperlink" Target="mailto:jaguero@kleintools.com" TargetMode="External"/><Relationship Id="rId501" Type="http://schemas.openxmlformats.org/officeDocument/2006/relationships/hyperlink" Target="mailto:anthony.garrett74@gmail.com" TargetMode="External"/><Relationship Id="rId946" Type="http://schemas.openxmlformats.org/officeDocument/2006/relationships/hyperlink" Target="mailto:cscall@fincen.uscg.mil" TargetMode="External"/><Relationship Id="rId1131" Type="http://schemas.openxmlformats.org/officeDocument/2006/relationships/hyperlink" Target="mailto:kmiller@baytechrentals.com" TargetMode="External"/><Relationship Id="rId1229" Type="http://schemas.openxmlformats.org/officeDocument/2006/relationships/hyperlink" Target="mailto:GARYB@COGENNYC.COM" TargetMode="External"/><Relationship Id="rId75" Type="http://schemas.openxmlformats.org/officeDocument/2006/relationships/hyperlink" Target="mailto:brianfain13@aol.com" TargetMode="External"/><Relationship Id="rId140" Type="http://schemas.openxmlformats.org/officeDocument/2006/relationships/hyperlink" Target="mailto:Damon.Williams@nypa.gov" TargetMode="External"/><Relationship Id="rId378" Type="http://schemas.openxmlformats.org/officeDocument/2006/relationships/hyperlink" Target="mailto:daniel@rdelectricinc.com" TargetMode="External"/><Relationship Id="rId585" Type="http://schemas.openxmlformats.org/officeDocument/2006/relationships/hyperlink" Target="mailto:einstein1@chase3000.com" TargetMode="External"/><Relationship Id="rId792" Type="http://schemas.openxmlformats.org/officeDocument/2006/relationships/hyperlink" Target="mailto:csoto@egsa.com.bo" TargetMode="External"/><Relationship Id="rId806" Type="http://schemas.openxmlformats.org/officeDocument/2006/relationships/hyperlink" Target="mailto:danny.sheldon@siemens.com" TargetMode="External"/><Relationship Id="rId1436" Type="http://schemas.openxmlformats.org/officeDocument/2006/relationships/hyperlink" Target="mailto:bterryelectric@yahoo.com" TargetMode="External"/><Relationship Id="rId6" Type="http://schemas.openxmlformats.org/officeDocument/2006/relationships/hyperlink" Target="mailto:crodriguez@segue-mfg.com" TargetMode="External"/><Relationship Id="rId238" Type="http://schemas.openxmlformats.org/officeDocument/2006/relationships/hyperlink" Target="mailto:Junior.Ruiz@nypa.gov" TargetMode="External"/><Relationship Id="rId445" Type="http://schemas.openxmlformats.org/officeDocument/2006/relationships/hyperlink" Target="mailto:mpucillo79@gmail.com" TargetMode="External"/><Relationship Id="rId652" Type="http://schemas.openxmlformats.org/officeDocument/2006/relationships/hyperlink" Target="mailto:todd@gillespieandson.com" TargetMode="External"/><Relationship Id="rId1075" Type="http://schemas.openxmlformats.org/officeDocument/2006/relationships/hyperlink" Target="mailto:BUDLEEELECTRIC@ROADRUNNER.COM" TargetMode="External"/><Relationship Id="rId1282" Type="http://schemas.openxmlformats.org/officeDocument/2006/relationships/hyperlink" Target="mailto:mconstantino@buyersproducts.com" TargetMode="External"/><Relationship Id="rId1503" Type="http://schemas.openxmlformats.org/officeDocument/2006/relationships/hyperlink" Target="mailto:outofafrica@ecr.net" TargetMode="External"/><Relationship Id="rId291" Type="http://schemas.openxmlformats.org/officeDocument/2006/relationships/hyperlink" Target="mailto:bordewyk62@gmail.com" TargetMode="External"/><Relationship Id="rId305" Type="http://schemas.openxmlformats.org/officeDocument/2006/relationships/hyperlink" Target="mailto:bobchiggs@gmail.com" TargetMode="External"/><Relationship Id="rId512" Type="http://schemas.openxmlformats.org/officeDocument/2006/relationships/hyperlink" Target="mailto:scott.glessing@gmail.com" TargetMode="External"/><Relationship Id="rId957" Type="http://schemas.openxmlformats.org/officeDocument/2006/relationships/hyperlink" Target="mailto:johnkieffer36@gmail.com" TargetMode="External"/><Relationship Id="rId1142" Type="http://schemas.openxmlformats.org/officeDocument/2006/relationships/hyperlink" Target="mailto:rmbelectric@yahoo.com" TargetMode="External"/><Relationship Id="rId1587" Type="http://schemas.openxmlformats.org/officeDocument/2006/relationships/hyperlink" Target="mailto:noahringdahl@gmail.com" TargetMode="External"/><Relationship Id="rId86" Type="http://schemas.openxmlformats.org/officeDocument/2006/relationships/hyperlink" Target="mailto:tgrader@gmail.com" TargetMode="External"/><Relationship Id="rId151" Type="http://schemas.openxmlformats.org/officeDocument/2006/relationships/hyperlink" Target="mailto:ken.schaefer@graybar.com" TargetMode="External"/><Relationship Id="rId389" Type="http://schemas.openxmlformats.org/officeDocument/2006/relationships/hyperlink" Target="mailto:holly@brownindustrial.com" TargetMode="External"/><Relationship Id="rId596" Type="http://schemas.openxmlformats.org/officeDocument/2006/relationships/hyperlink" Target="mailto:gmortelectric@yahoo.com" TargetMode="External"/><Relationship Id="rId817" Type="http://schemas.openxmlformats.org/officeDocument/2006/relationships/hyperlink" Target="mailto:jtr235@twcny.rr.com" TargetMode="External"/><Relationship Id="rId1002" Type="http://schemas.openxmlformats.org/officeDocument/2006/relationships/hyperlink" Target="mailto:dacowboyss@yahoo.com" TargetMode="External"/><Relationship Id="rId1447" Type="http://schemas.openxmlformats.org/officeDocument/2006/relationships/hyperlink" Target="mailto:NYGOV@stores.fastenal.com" TargetMode="External"/><Relationship Id="rId249" Type="http://schemas.openxmlformats.org/officeDocument/2006/relationships/hyperlink" Target="mailto:jayelrod@msn.com" TargetMode="External"/><Relationship Id="rId456" Type="http://schemas.openxmlformats.org/officeDocument/2006/relationships/hyperlink" Target="mailto:lisaw@sfps.net" TargetMode="External"/><Relationship Id="rId663" Type="http://schemas.openxmlformats.org/officeDocument/2006/relationships/hyperlink" Target="mailto:royce918@gmail.com" TargetMode="External"/><Relationship Id="rId870" Type="http://schemas.openxmlformats.org/officeDocument/2006/relationships/hyperlink" Target="mailto:albertsmarine@hotmail.com" TargetMode="External"/><Relationship Id="rId1086" Type="http://schemas.openxmlformats.org/officeDocument/2006/relationships/hyperlink" Target="mailto:KEITHV@DEFSUP.COM" TargetMode="External"/><Relationship Id="rId1293" Type="http://schemas.openxmlformats.org/officeDocument/2006/relationships/hyperlink" Target="mailto:ballbright@pwfrac.com" TargetMode="External"/><Relationship Id="rId1307" Type="http://schemas.openxmlformats.org/officeDocument/2006/relationships/hyperlink" Target="mailto:jralynch@gmail.com" TargetMode="External"/><Relationship Id="rId1514" Type="http://schemas.openxmlformats.org/officeDocument/2006/relationships/hyperlink" Target="mailto:rchoby@hotmail.com" TargetMode="External"/><Relationship Id="rId13" Type="http://schemas.openxmlformats.org/officeDocument/2006/relationships/hyperlink" Target="mailto:kencarolw@msn.com" TargetMode="External"/><Relationship Id="rId109" Type="http://schemas.openxmlformats.org/officeDocument/2006/relationships/hyperlink" Target="mailto:mcharles@molyworks.com" TargetMode="External"/><Relationship Id="rId316" Type="http://schemas.openxmlformats.org/officeDocument/2006/relationships/hyperlink" Target="mailto:kyates@transformauto.com" TargetMode="External"/><Relationship Id="rId523" Type="http://schemas.openxmlformats.org/officeDocument/2006/relationships/hyperlink" Target="mailto:matthewshome5@msn.com" TargetMode="External"/><Relationship Id="rId968" Type="http://schemas.openxmlformats.org/officeDocument/2006/relationships/hyperlink" Target="mailto:janice@vetfast.com" TargetMode="External"/><Relationship Id="rId1153" Type="http://schemas.openxmlformats.org/officeDocument/2006/relationships/hyperlink" Target="mailto:Damon.Williams@nypa.gov" TargetMode="External"/><Relationship Id="rId1598" Type="http://schemas.openxmlformats.org/officeDocument/2006/relationships/hyperlink" Target="mailto:ktidyman@knappelectric.net" TargetMode="External"/><Relationship Id="rId97" Type="http://schemas.openxmlformats.org/officeDocument/2006/relationships/hyperlink" Target="mailto:angela.hogue@rencorp.com" TargetMode="External"/><Relationship Id="rId730" Type="http://schemas.openxmlformats.org/officeDocument/2006/relationships/hyperlink" Target="mailto:donna.glatzer@gmail.com" TargetMode="External"/><Relationship Id="rId828" Type="http://schemas.openxmlformats.org/officeDocument/2006/relationships/hyperlink" Target="mailto:michaely@sunvalleyelectricinc.com" TargetMode="External"/><Relationship Id="rId1013" Type="http://schemas.openxmlformats.org/officeDocument/2006/relationships/hyperlink" Target="mailto:jdwwurtz@gmail.com" TargetMode="External"/><Relationship Id="rId1360" Type="http://schemas.openxmlformats.org/officeDocument/2006/relationships/hyperlink" Target="mailto:lou.castellano@nyct.com" TargetMode="External"/><Relationship Id="rId1458" Type="http://schemas.openxmlformats.org/officeDocument/2006/relationships/hyperlink" Target="mailto:ushankant@cableone.net" TargetMode="External"/><Relationship Id="rId162" Type="http://schemas.openxmlformats.org/officeDocument/2006/relationships/hyperlink" Target="mailto:rlramsey77@aol.com" TargetMode="External"/><Relationship Id="rId467" Type="http://schemas.openxmlformats.org/officeDocument/2006/relationships/hyperlink" Target="mailto:sawctr@rdtusa.com" TargetMode="External"/><Relationship Id="rId1097" Type="http://schemas.openxmlformats.org/officeDocument/2006/relationships/hyperlink" Target="mailto:tylr54@hotmail.com" TargetMode="External"/><Relationship Id="rId1220" Type="http://schemas.openxmlformats.org/officeDocument/2006/relationships/hyperlink" Target="mailto:ktidyman@knappelectric.net" TargetMode="External"/><Relationship Id="rId1318" Type="http://schemas.openxmlformats.org/officeDocument/2006/relationships/hyperlink" Target="mailto:sawstakes@yahoo.com" TargetMode="External"/><Relationship Id="rId1525" Type="http://schemas.openxmlformats.org/officeDocument/2006/relationships/hyperlink" Target="mailto:NYNE3@stores.fastenal.com" TargetMode="External"/><Relationship Id="rId674" Type="http://schemas.openxmlformats.org/officeDocument/2006/relationships/hyperlink" Target="mailto:snookkingofswfl@yahoo.com" TargetMode="External"/><Relationship Id="rId881" Type="http://schemas.openxmlformats.org/officeDocument/2006/relationships/hyperlink" Target="mailto:cpanetta@summitfinishing.com" TargetMode="External"/><Relationship Id="rId979" Type="http://schemas.openxmlformats.org/officeDocument/2006/relationships/hyperlink" Target="mailto:cmeng69@gmail.com" TargetMode="External"/><Relationship Id="rId24" Type="http://schemas.openxmlformats.org/officeDocument/2006/relationships/hyperlink" Target="mailto:fortuna.citiwide@gmail.com" TargetMode="External"/><Relationship Id="rId327" Type="http://schemas.openxmlformats.org/officeDocument/2006/relationships/hyperlink" Target="mailto:lithtwatchman@wesworth.com" TargetMode="External"/><Relationship Id="rId534" Type="http://schemas.openxmlformats.org/officeDocument/2006/relationships/hyperlink" Target="mailto:gundersentreeservice@hotmail.com" TargetMode="External"/><Relationship Id="rId741" Type="http://schemas.openxmlformats.org/officeDocument/2006/relationships/hyperlink" Target="mailto:marinapowerman@aol.com" TargetMode="External"/><Relationship Id="rId839" Type="http://schemas.openxmlformats.org/officeDocument/2006/relationships/hyperlink" Target="mailto:NYNE3@stores.fastenal.com" TargetMode="External"/><Relationship Id="rId1164" Type="http://schemas.openxmlformats.org/officeDocument/2006/relationships/hyperlink" Target="mailto:hwismail@yahoo.com" TargetMode="External"/><Relationship Id="rId1371" Type="http://schemas.openxmlformats.org/officeDocument/2006/relationships/hyperlink" Target="mailto:ryan@allserviceselectric.net" TargetMode="External"/><Relationship Id="rId1469" Type="http://schemas.openxmlformats.org/officeDocument/2006/relationships/hyperlink" Target="mailto:purchasing@harrisonhydragen.org" TargetMode="External"/><Relationship Id="rId173" Type="http://schemas.openxmlformats.org/officeDocument/2006/relationships/hyperlink" Target="mailto:scamara@altasolar.es" TargetMode="External"/><Relationship Id="rId380" Type="http://schemas.openxmlformats.org/officeDocument/2006/relationships/hyperlink" Target="mailto:integrityeng7@hotmail.com" TargetMode="External"/><Relationship Id="rId601" Type="http://schemas.openxmlformats.org/officeDocument/2006/relationships/hyperlink" Target="mailto:eric.terry@industrialservicescompany.com" TargetMode="External"/><Relationship Id="rId1024" Type="http://schemas.openxmlformats.org/officeDocument/2006/relationships/hyperlink" Target="mailto:pkim@kleintools.com" TargetMode="External"/><Relationship Id="rId1231" Type="http://schemas.openxmlformats.org/officeDocument/2006/relationships/hyperlink" Target="mailto:SMITHSHIPYARD@VERIZON.NET" TargetMode="External"/><Relationship Id="rId240" Type="http://schemas.openxmlformats.org/officeDocument/2006/relationships/hyperlink" Target="mailto:dylan.summer@neetrac.gatech.edu" TargetMode="External"/><Relationship Id="rId478" Type="http://schemas.openxmlformats.org/officeDocument/2006/relationships/hyperlink" Target="mailto:ctcelectrical1@yahoo.com" TargetMode="External"/><Relationship Id="rId685" Type="http://schemas.openxmlformats.org/officeDocument/2006/relationships/hyperlink" Target="mailto:giorgio.roda@libero.it" TargetMode="External"/><Relationship Id="rId892" Type="http://schemas.openxmlformats.org/officeDocument/2006/relationships/hyperlink" Target="mailto:aredmond@bolla.com" TargetMode="External"/><Relationship Id="rId906" Type="http://schemas.openxmlformats.org/officeDocument/2006/relationships/hyperlink" Target="mailto:william@fosterelectric.net" TargetMode="External"/><Relationship Id="rId1329" Type="http://schemas.openxmlformats.org/officeDocument/2006/relationships/hyperlink" Target="mailto:bbauerly@yahoo.com" TargetMode="External"/><Relationship Id="rId1536" Type="http://schemas.openxmlformats.org/officeDocument/2006/relationships/hyperlink" Target="mailto:eckertj1@gmail.com" TargetMode="External"/><Relationship Id="rId35" Type="http://schemas.openxmlformats.org/officeDocument/2006/relationships/hyperlink" Target="mailto:don@lakesiderefrigerated.com" TargetMode="External"/><Relationship Id="rId100" Type="http://schemas.openxmlformats.org/officeDocument/2006/relationships/hyperlink" Target="mailto:heath6748@gmail.com" TargetMode="External"/><Relationship Id="rId338" Type="http://schemas.openxmlformats.org/officeDocument/2006/relationships/hyperlink" Target="mailto:owhiddon@4qf.org" TargetMode="External"/><Relationship Id="rId545" Type="http://schemas.openxmlformats.org/officeDocument/2006/relationships/hyperlink" Target="mailto:lightening007@gmail.com" TargetMode="External"/><Relationship Id="rId752" Type="http://schemas.openxmlformats.org/officeDocument/2006/relationships/hyperlink" Target="mailto:NYGOV@stores.fastenal.com" TargetMode="External"/><Relationship Id="rId1175" Type="http://schemas.openxmlformats.org/officeDocument/2006/relationships/hyperlink" Target="mailto:purchasing@qfautomation.com" TargetMode="External"/><Relationship Id="rId1382" Type="http://schemas.openxmlformats.org/officeDocument/2006/relationships/hyperlink" Target="mailto:gandes@comcast.net" TargetMode="External"/><Relationship Id="rId1603" Type="http://schemas.openxmlformats.org/officeDocument/2006/relationships/hyperlink" Target="mailto:dfnoor@gmail.com" TargetMode="External"/><Relationship Id="rId184" Type="http://schemas.openxmlformats.org/officeDocument/2006/relationships/hyperlink" Target="mailto:kalebkerr@gmail.com" TargetMode="External"/><Relationship Id="rId391" Type="http://schemas.openxmlformats.org/officeDocument/2006/relationships/hyperlink" Target="mailto:d22ball@aol.com" TargetMode="External"/><Relationship Id="rId405" Type="http://schemas.openxmlformats.org/officeDocument/2006/relationships/hyperlink" Target="mailto:RUPAG@PSAMS.CA" TargetMode="External"/><Relationship Id="rId612" Type="http://schemas.openxmlformats.org/officeDocument/2006/relationships/hyperlink" Target="mailto:ray@gadfab.com" TargetMode="External"/><Relationship Id="rId1035" Type="http://schemas.openxmlformats.org/officeDocument/2006/relationships/hyperlink" Target="mailto:japarts_terry@hotmail.com" TargetMode="External"/><Relationship Id="rId1242" Type="http://schemas.openxmlformats.org/officeDocument/2006/relationships/hyperlink" Target="mailto:ballbright@pwfrac.com" TargetMode="External"/><Relationship Id="rId251" Type="http://schemas.openxmlformats.org/officeDocument/2006/relationships/hyperlink" Target="mailto:preteskaj@bellsouth.net" TargetMode="External"/><Relationship Id="rId489" Type="http://schemas.openxmlformats.org/officeDocument/2006/relationships/hyperlink" Target="mailto:geraldgallimore@hotmail.com" TargetMode="External"/><Relationship Id="rId696" Type="http://schemas.openxmlformats.org/officeDocument/2006/relationships/hyperlink" Target="mailto:connie.rodriguez@bauer-conroe.com" TargetMode="External"/><Relationship Id="rId917" Type="http://schemas.openxmlformats.org/officeDocument/2006/relationships/hyperlink" Target="mailto:a.berrellez@winchesterelectronics.com" TargetMode="External"/><Relationship Id="rId1102" Type="http://schemas.openxmlformats.org/officeDocument/2006/relationships/hyperlink" Target="mailto:eli@albeyers.com" TargetMode="External"/><Relationship Id="rId1547" Type="http://schemas.openxmlformats.org/officeDocument/2006/relationships/hyperlink" Target="mailto:agordon@neatheat.com" TargetMode="External"/><Relationship Id="rId46" Type="http://schemas.openxmlformats.org/officeDocument/2006/relationships/hyperlink" Target="mailto:aoldinc2015@gmail.com" TargetMode="External"/><Relationship Id="rId349" Type="http://schemas.openxmlformats.org/officeDocument/2006/relationships/hyperlink" Target="mailto:markf@fenstermaker.com" TargetMode="External"/><Relationship Id="rId556" Type="http://schemas.openxmlformats.org/officeDocument/2006/relationships/hyperlink" Target="mailto:glh@acsalaska.net" TargetMode="External"/><Relationship Id="rId763" Type="http://schemas.openxmlformats.org/officeDocument/2006/relationships/hyperlink" Target="mailto:gmortelectric@yahoo.com" TargetMode="External"/><Relationship Id="rId1186" Type="http://schemas.openxmlformats.org/officeDocument/2006/relationships/hyperlink" Target="mailto:david@mclindsay.com" TargetMode="External"/><Relationship Id="rId1393" Type="http://schemas.openxmlformats.org/officeDocument/2006/relationships/hyperlink" Target="mailto:tom@wysockielectric.com" TargetMode="External"/><Relationship Id="rId1407" Type="http://schemas.openxmlformats.org/officeDocument/2006/relationships/hyperlink" Target="mailto:krb60@hotmail.com" TargetMode="External"/><Relationship Id="rId1614" Type="http://schemas.openxmlformats.org/officeDocument/2006/relationships/hyperlink" Target="mailto:Damon.Williams@nypa.gov" TargetMode="External"/><Relationship Id="rId111" Type="http://schemas.openxmlformats.org/officeDocument/2006/relationships/hyperlink" Target="mailto:spursthat@yahoo.com" TargetMode="External"/><Relationship Id="rId195" Type="http://schemas.openxmlformats.org/officeDocument/2006/relationships/hyperlink" Target="mailto:calabreseelectric@verizon.net" TargetMode="External"/><Relationship Id="rId209" Type="http://schemas.openxmlformats.org/officeDocument/2006/relationships/hyperlink" Target="mailto:shane@evoics.com" TargetMode="External"/><Relationship Id="rId416" Type="http://schemas.openxmlformats.org/officeDocument/2006/relationships/hyperlink" Target="mailto:neweld@optonline.net" TargetMode="External"/><Relationship Id="rId970" Type="http://schemas.openxmlformats.org/officeDocument/2006/relationships/hyperlink" Target="mailto:beckvon@netzero.net" TargetMode="External"/><Relationship Id="rId1046" Type="http://schemas.openxmlformats.org/officeDocument/2006/relationships/hyperlink" Target="mailto:jhgaston@aol.com" TargetMode="External"/><Relationship Id="rId1253" Type="http://schemas.openxmlformats.org/officeDocument/2006/relationships/hyperlink" Target="mailto:elraj1@gmail.com" TargetMode="External"/><Relationship Id="rId623" Type="http://schemas.openxmlformats.org/officeDocument/2006/relationships/hyperlink" Target="mailto:tom@yanneyelectric.com" TargetMode="External"/><Relationship Id="rId830" Type="http://schemas.openxmlformats.org/officeDocument/2006/relationships/hyperlink" Target="mailto:stucki14@sbcglobal.net" TargetMode="External"/><Relationship Id="rId928" Type="http://schemas.openxmlformats.org/officeDocument/2006/relationships/hyperlink" Target="mailto:dwg@pa.metrocast.net" TargetMode="External"/><Relationship Id="rId1460" Type="http://schemas.openxmlformats.org/officeDocument/2006/relationships/hyperlink" Target="mailto:disky@tds.net" TargetMode="External"/><Relationship Id="rId1558" Type="http://schemas.openxmlformats.org/officeDocument/2006/relationships/hyperlink" Target="mailto:aftequip@yahoo.com" TargetMode="External"/><Relationship Id="rId57" Type="http://schemas.openxmlformats.org/officeDocument/2006/relationships/hyperlink" Target="mailto:jgordon@arthurgordonelectric.com" TargetMode="External"/><Relationship Id="rId262" Type="http://schemas.openxmlformats.org/officeDocument/2006/relationships/hyperlink" Target="mailto:nicholas.t.oconnor@gmail.com" TargetMode="External"/><Relationship Id="rId567" Type="http://schemas.openxmlformats.org/officeDocument/2006/relationships/hyperlink" Target="mailto:blondi4324@aol.com" TargetMode="External"/><Relationship Id="rId1113" Type="http://schemas.openxmlformats.org/officeDocument/2006/relationships/hyperlink" Target="mailto:sdiehl@kutztownboro.org" TargetMode="External"/><Relationship Id="rId1197" Type="http://schemas.openxmlformats.org/officeDocument/2006/relationships/hyperlink" Target="mailto:harringtoninc@bellsouth.net" TargetMode="External"/><Relationship Id="rId1320" Type="http://schemas.openxmlformats.org/officeDocument/2006/relationships/hyperlink" Target="mailto:michaely@sunvalleyelectricinc.com" TargetMode="External"/><Relationship Id="rId1418" Type="http://schemas.openxmlformats.org/officeDocument/2006/relationships/hyperlink" Target="mailto:chuckblair23@yahoo.com" TargetMode="External"/><Relationship Id="rId122" Type="http://schemas.openxmlformats.org/officeDocument/2006/relationships/hyperlink" Target="mailto:bdworkin@castlecopackers.com" TargetMode="External"/><Relationship Id="rId774" Type="http://schemas.openxmlformats.org/officeDocument/2006/relationships/hyperlink" Target="mailto:mark@jlfisher.com" TargetMode="External"/><Relationship Id="rId981" Type="http://schemas.openxmlformats.org/officeDocument/2006/relationships/hyperlink" Target="mailto:davidcleghorn@charter.net" TargetMode="External"/><Relationship Id="rId1057" Type="http://schemas.openxmlformats.org/officeDocument/2006/relationships/hyperlink" Target="mailto:ben@focusinter.net" TargetMode="External"/><Relationship Id="rId427" Type="http://schemas.openxmlformats.org/officeDocument/2006/relationships/hyperlink" Target="mailto:mosley_40@hotmail.com" TargetMode="External"/><Relationship Id="rId634" Type="http://schemas.openxmlformats.org/officeDocument/2006/relationships/hyperlink" Target="mailto:sailbyowner@gmail.com" TargetMode="External"/><Relationship Id="rId841" Type="http://schemas.openxmlformats.org/officeDocument/2006/relationships/hyperlink" Target="mailto:wayne@roguevalleyfirewood.com" TargetMode="External"/><Relationship Id="rId1264" Type="http://schemas.openxmlformats.org/officeDocument/2006/relationships/hyperlink" Target="mailto:h2o2liv@msn.com" TargetMode="External"/><Relationship Id="rId1471" Type="http://schemas.openxmlformats.org/officeDocument/2006/relationships/hyperlink" Target="mailto:mbizien@cmrconstruction.com" TargetMode="External"/><Relationship Id="rId1569" Type="http://schemas.openxmlformats.org/officeDocument/2006/relationships/hyperlink" Target="mailto:drumorerepair@sisna.com" TargetMode="External"/><Relationship Id="rId273" Type="http://schemas.openxmlformats.org/officeDocument/2006/relationships/hyperlink" Target="mailto:amcneely@shelbyelectric.net" TargetMode="External"/><Relationship Id="rId480" Type="http://schemas.openxmlformats.org/officeDocument/2006/relationships/hyperlink" Target="mailto:albertwright20@gmail.com" TargetMode="External"/><Relationship Id="rId701" Type="http://schemas.openxmlformats.org/officeDocument/2006/relationships/hyperlink" Target="mailto:kweaver@brewmation.com" TargetMode="External"/><Relationship Id="rId939" Type="http://schemas.openxmlformats.org/officeDocument/2006/relationships/hyperlink" Target="mailto:steven@edsonintl.com" TargetMode="External"/><Relationship Id="rId1124" Type="http://schemas.openxmlformats.org/officeDocument/2006/relationships/hyperlink" Target="mailto:jdm@gvec.net" TargetMode="External"/><Relationship Id="rId1331" Type="http://schemas.openxmlformats.org/officeDocument/2006/relationships/hyperlink" Target="mailto:mckarman@aol.com" TargetMode="External"/><Relationship Id="rId68" Type="http://schemas.openxmlformats.org/officeDocument/2006/relationships/hyperlink" Target="mailto:impactjac@gmail.com" TargetMode="External"/><Relationship Id="rId133" Type="http://schemas.openxmlformats.org/officeDocument/2006/relationships/hyperlink" Target="mailto:kevin.king@nypa.gov" TargetMode="External"/><Relationship Id="rId340" Type="http://schemas.openxmlformats.org/officeDocument/2006/relationships/hyperlink" Target="mailto:ccarelli@gmail.com" TargetMode="External"/><Relationship Id="rId578" Type="http://schemas.openxmlformats.org/officeDocument/2006/relationships/hyperlink" Target="mailto:jmanolio@automationservicesinc.com" TargetMode="External"/><Relationship Id="rId785" Type="http://schemas.openxmlformats.org/officeDocument/2006/relationships/hyperlink" Target="mailto:keith@dashdrilling.com" TargetMode="External"/><Relationship Id="rId992" Type="http://schemas.openxmlformats.org/officeDocument/2006/relationships/hyperlink" Target="mailto:Vwjoel@gmail.com" TargetMode="External"/><Relationship Id="rId1429" Type="http://schemas.openxmlformats.org/officeDocument/2006/relationships/hyperlink" Target="mailto:snyder207@gmail.com" TargetMode="External"/><Relationship Id="rId200" Type="http://schemas.openxmlformats.org/officeDocument/2006/relationships/hyperlink" Target="mailto:mhurkes@duralifedecking.com" TargetMode="External"/><Relationship Id="rId438" Type="http://schemas.openxmlformats.org/officeDocument/2006/relationships/hyperlink" Target="mailto:albertwright20@gmail.com" TargetMode="External"/><Relationship Id="rId645" Type="http://schemas.openxmlformats.org/officeDocument/2006/relationships/hyperlink" Target="mailto:lopezelectric@verizon.net" TargetMode="External"/><Relationship Id="rId852" Type="http://schemas.openxmlformats.org/officeDocument/2006/relationships/hyperlink" Target="mailto:doug@kcint.com" TargetMode="External"/><Relationship Id="rId1068" Type="http://schemas.openxmlformats.org/officeDocument/2006/relationships/hyperlink" Target="mailto:KEVIN.GREEN@ROCKETMAIL.COM" TargetMode="External"/><Relationship Id="rId1275" Type="http://schemas.openxmlformats.org/officeDocument/2006/relationships/hyperlink" Target="mailto:wvanbeers634@yahoo.com" TargetMode="External"/><Relationship Id="rId1482" Type="http://schemas.openxmlformats.org/officeDocument/2006/relationships/hyperlink" Target="mailto:chris@awstt.com" TargetMode="External"/><Relationship Id="rId284" Type="http://schemas.openxmlformats.org/officeDocument/2006/relationships/hyperlink" Target="mailto:purchasing@harrisonhydragen.org" TargetMode="External"/><Relationship Id="rId491" Type="http://schemas.openxmlformats.org/officeDocument/2006/relationships/hyperlink" Target="mailto:laverne@ebyssawmill.com" TargetMode="External"/><Relationship Id="rId505" Type="http://schemas.openxmlformats.org/officeDocument/2006/relationships/hyperlink" Target="mailto:gott@mathesongas.com" TargetMode="External"/><Relationship Id="rId712" Type="http://schemas.openxmlformats.org/officeDocument/2006/relationships/hyperlink" Target="mailto:nygov@stores.fastenal.com" TargetMode="External"/><Relationship Id="rId1135" Type="http://schemas.openxmlformats.org/officeDocument/2006/relationships/hyperlink" Target="mailto:mitch@fischerelectric.com" TargetMode="External"/><Relationship Id="rId1342" Type="http://schemas.openxmlformats.org/officeDocument/2006/relationships/hyperlink" Target="mailto:gene@compressedairequip.com" TargetMode="External"/><Relationship Id="rId79" Type="http://schemas.openxmlformats.org/officeDocument/2006/relationships/hyperlink" Target="mailto:jeancrawford53@yahoo.com" TargetMode="External"/><Relationship Id="rId144" Type="http://schemas.openxmlformats.org/officeDocument/2006/relationships/hyperlink" Target="mailto:hermanvm@prodin.cl" TargetMode="External"/><Relationship Id="rId589" Type="http://schemas.openxmlformats.org/officeDocument/2006/relationships/hyperlink" Target="mailto:richard@hittools.com" TargetMode="External"/><Relationship Id="rId796" Type="http://schemas.openxmlformats.org/officeDocument/2006/relationships/hyperlink" Target="mailto:hal@brownelectricsupply.com" TargetMode="External"/><Relationship Id="rId1202" Type="http://schemas.openxmlformats.org/officeDocument/2006/relationships/hyperlink" Target="mailto:lpm2006@aol.com" TargetMode="External"/><Relationship Id="rId351" Type="http://schemas.openxmlformats.org/officeDocument/2006/relationships/hyperlink" Target="mailto:calabreseelectric@verizon.net" TargetMode="External"/><Relationship Id="rId449" Type="http://schemas.openxmlformats.org/officeDocument/2006/relationships/hyperlink" Target="mailto:jpheatt@yahoo.com" TargetMode="External"/><Relationship Id="rId656" Type="http://schemas.openxmlformats.org/officeDocument/2006/relationships/hyperlink" Target="mailto:charliewooten@iheartmedia.com" TargetMode="External"/><Relationship Id="rId863" Type="http://schemas.openxmlformats.org/officeDocument/2006/relationships/hyperlink" Target="mailto:lroy@docom.ca" TargetMode="External"/><Relationship Id="rId1079" Type="http://schemas.openxmlformats.org/officeDocument/2006/relationships/hyperlink" Target="mailto:howecontracting16@gmail.com" TargetMode="External"/><Relationship Id="rId1286" Type="http://schemas.openxmlformats.org/officeDocument/2006/relationships/hyperlink" Target="mailto:julia.smith@unnpp.gov" TargetMode="External"/><Relationship Id="rId1493" Type="http://schemas.openxmlformats.org/officeDocument/2006/relationships/hyperlink" Target="mailto:livewirecs@aol.com" TargetMode="External"/><Relationship Id="rId1507" Type="http://schemas.openxmlformats.org/officeDocument/2006/relationships/hyperlink" Target="mailto:golsen@borderstates.com" TargetMode="External"/><Relationship Id="rId211" Type="http://schemas.openxmlformats.org/officeDocument/2006/relationships/hyperlink" Target="mailto:mike@totalseedproduction.com" TargetMode="External"/><Relationship Id="rId295" Type="http://schemas.openxmlformats.org/officeDocument/2006/relationships/hyperlink" Target="mailto:stephanie.giang@smartwires.com" TargetMode="External"/><Relationship Id="rId309" Type="http://schemas.openxmlformats.org/officeDocument/2006/relationships/hyperlink" Target="mailto:michelle@belewrentals.com" TargetMode="External"/><Relationship Id="rId516" Type="http://schemas.openxmlformats.org/officeDocument/2006/relationships/hyperlink" Target="mailto:ntommer@hotmail.com" TargetMode="External"/><Relationship Id="rId1146" Type="http://schemas.openxmlformats.org/officeDocument/2006/relationships/hyperlink" Target="mailto:lroy@docom.ca" TargetMode="External"/><Relationship Id="rId723" Type="http://schemas.openxmlformats.org/officeDocument/2006/relationships/hyperlink" Target="mailto:purchasing.har@comcast.net" TargetMode="External"/><Relationship Id="rId930" Type="http://schemas.openxmlformats.org/officeDocument/2006/relationships/hyperlink" Target="mailto:drrwholloway@yahoo.com" TargetMode="External"/><Relationship Id="rId1006" Type="http://schemas.openxmlformats.org/officeDocument/2006/relationships/hyperlink" Target="mailto:eewolven@hotmail.com" TargetMode="External"/><Relationship Id="rId1353" Type="http://schemas.openxmlformats.org/officeDocument/2006/relationships/hyperlink" Target="mailto:bbauerly@yahoo.com" TargetMode="External"/><Relationship Id="rId1560" Type="http://schemas.openxmlformats.org/officeDocument/2006/relationships/hyperlink" Target="mailto:ebogard@phoenixservicesafety.com" TargetMode="External"/><Relationship Id="rId155" Type="http://schemas.openxmlformats.org/officeDocument/2006/relationships/hyperlink" Target="mailto:lroy@docom.ca" TargetMode="External"/><Relationship Id="rId362" Type="http://schemas.openxmlformats.org/officeDocument/2006/relationships/hyperlink" Target="mailto:putnamhydro@charter.net" TargetMode="External"/><Relationship Id="rId1213" Type="http://schemas.openxmlformats.org/officeDocument/2006/relationships/hyperlink" Target="mailto:ADMIN@SIPSAPANAMA.COM" TargetMode="External"/><Relationship Id="rId1297" Type="http://schemas.openxmlformats.org/officeDocument/2006/relationships/hyperlink" Target="mailto:edgaglia@magtrolwest.com" TargetMode="External"/><Relationship Id="rId1420" Type="http://schemas.openxmlformats.org/officeDocument/2006/relationships/hyperlink" Target="mailto:paulseales@aol.com" TargetMode="External"/><Relationship Id="rId1518" Type="http://schemas.openxmlformats.org/officeDocument/2006/relationships/hyperlink" Target="mailto:softears@msn.com" TargetMode="External"/><Relationship Id="rId222" Type="http://schemas.openxmlformats.org/officeDocument/2006/relationships/hyperlink" Target="mailto:cdoan@molyworks.com" TargetMode="External"/><Relationship Id="rId667" Type="http://schemas.openxmlformats.org/officeDocument/2006/relationships/hyperlink" Target="mailto:shane@evoics.com" TargetMode="External"/><Relationship Id="rId874" Type="http://schemas.openxmlformats.org/officeDocument/2006/relationships/hyperlink" Target="mailto:stephen_hsieh@hotmail.com" TargetMode="External"/><Relationship Id="rId17" Type="http://schemas.openxmlformats.org/officeDocument/2006/relationships/hyperlink" Target="mailto:NYNE3@stores.fastenal.com" TargetMode="External"/><Relationship Id="rId527" Type="http://schemas.openxmlformats.org/officeDocument/2006/relationships/hyperlink" Target="mailto:michaeld_1978@yahoo.com" TargetMode="External"/><Relationship Id="rId734" Type="http://schemas.openxmlformats.org/officeDocument/2006/relationships/hyperlink" Target="mailto:aram@aramsolar.com" TargetMode="External"/><Relationship Id="rId941" Type="http://schemas.openxmlformats.org/officeDocument/2006/relationships/hyperlink" Target="mailto:Tim.McDonald@net-com.com" TargetMode="External"/><Relationship Id="rId1157" Type="http://schemas.openxmlformats.org/officeDocument/2006/relationships/hyperlink" Target="mailto:kevin@jmwfabrication.com" TargetMode="External"/><Relationship Id="rId1364" Type="http://schemas.openxmlformats.org/officeDocument/2006/relationships/hyperlink" Target="mailto:tecnisa97@gmail.com" TargetMode="External"/><Relationship Id="rId1571" Type="http://schemas.openxmlformats.org/officeDocument/2006/relationships/hyperlink" Target="mailto:esem@frontiernet.net" TargetMode="External"/><Relationship Id="rId70" Type="http://schemas.openxmlformats.org/officeDocument/2006/relationships/hyperlink" Target="mailto:alex@protank.net" TargetMode="External"/><Relationship Id="rId166" Type="http://schemas.openxmlformats.org/officeDocument/2006/relationships/hyperlink" Target="mailto:cm@megariselectrical.com" TargetMode="External"/><Relationship Id="rId373" Type="http://schemas.openxmlformats.org/officeDocument/2006/relationships/hyperlink" Target="mailto:NYGOV@stores.fastenal.com" TargetMode="External"/><Relationship Id="rId580" Type="http://schemas.openxmlformats.org/officeDocument/2006/relationships/hyperlink" Target="mailto:michaely@sunvalleyelectricinc.com" TargetMode="External"/><Relationship Id="rId801" Type="http://schemas.openxmlformats.org/officeDocument/2006/relationships/hyperlink" Target="mailto:purchasing@harrisonhydragen.org" TargetMode="External"/><Relationship Id="rId1017" Type="http://schemas.openxmlformats.org/officeDocument/2006/relationships/hyperlink" Target="mailto:erikemert@hotmail.com" TargetMode="External"/><Relationship Id="rId1224" Type="http://schemas.openxmlformats.org/officeDocument/2006/relationships/hyperlink" Target="mailto:AJMOYER3@AOL.COM" TargetMode="External"/><Relationship Id="rId1431" Type="http://schemas.openxmlformats.org/officeDocument/2006/relationships/hyperlink" Target="mailto:raiderfan69ag@yahoo.com" TargetMode="External"/><Relationship Id="rId1" Type="http://schemas.openxmlformats.org/officeDocument/2006/relationships/hyperlink" Target="mailto:art@artg.tv" TargetMode="External"/><Relationship Id="rId233" Type="http://schemas.openxmlformats.org/officeDocument/2006/relationships/hyperlink" Target="mailto:d-voss@outlook.com" TargetMode="External"/><Relationship Id="rId440" Type="http://schemas.openxmlformats.org/officeDocument/2006/relationships/hyperlink" Target="mailto:jg6400wh@yahoo.com" TargetMode="External"/><Relationship Id="rId678" Type="http://schemas.openxmlformats.org/officeDocument/2006/relationships/hyperlink" Target="mailto:stucki14@sbcglobal.net" TargetMode="External"/><Relationship Id="rId885" Type="http://schemas.openxmlformats.org/officeDocument/2006/relationships/hyperlink" Target="mailto:bigmacs@toast.net" TargetMode="External"/><Relationship Id="rId1070" Type="http://schemas.openxmlformats.org/officeDocument/2006/relationships/hyperlink" Target="mailto:WESTFAB5@GMAIL.COM" TargetMode="External"/><Relationship Id="rId1529" Type="http://schemas.openxmlformats.org/officeDocument/2006/relationships/hyperlink" Target="mailto:jay@aggressor.com" TargetMode="External"/><Relationship Id="rId28" Type="http://schemas.openxmlformats.org/officeDocument/2006/relationships/hyperlink" Target="mailto:vincetheautodoctor@yahoo.com" TargetMode="External"/><Relationship Id="rId300" Type="http://schemas.openxmlformats.org/officeDocument/2006/relationships/hyperlink" Target="mailto:jslone75@yahoo.com" TargetMode="External"/><Relationship Id="rId538" Type="http://schemas.openxmlformats.org/officeDocument/2006/relationships/hyperlink" Target="mailto:cjones@willoproducts.com" TargetMode="External"/><Relationship Id="rId745" Type="http://schemas.openxmlformats.org/officeDocument/2006/relationships/hyperlink" Target="mailto:jgraves@icbsrepair.com" TargetMode="External"/><Relationship Id="rId952" Type="http://schemas.openxmlformats.org/officeDocument/2006/relationships/hyperlink" Target="mailto:93pcom@gmail.com" TargetMode="External"/><Relationship Id="rId1168" Type="http://schemas.openxmlformats.org/officeDocument/2006/relationships/hyperlink" Target="mailto:ntommer@hotmail.com" TargetMode="External"/><Relationship Id="rId1375" Type="http://schemas.openxmlformats.org/officeDocument/2006/relationships/hyperlink" Target="mailto:rserrone@ajmcnulty.com" TargetMode="External"/><Relationship Id="rId1582" Type="http://schemas.openxmlformats.org/officeDocument/2006/relationships/hyperlink" Target="mailto:cgreen@spmresorts.com" TargetMode="External"/><Relationship Id="rId81" Type="http://schemas.openxmlformats.org/officeDocument/2006/relationships/hyperlink" Target="mailto:royce918@gmail.com" TargetMode="External"/><Relationship Id="rId177" Type="http://schemas.openxmlformats.org/officeDocument/2006/relationships/hyperlink" Target="mailto:smitty@electric.kscoxmail.com" TargetMode="External"/><Relationship Id="rId384" Type="http://schemas.openxmlformats.org/officeDocument/2006/relationships/hyperlink" Target="mailto:garyb@cogennyc.com" TargetMode="External"/><Relationship Id="rId591" Type="http://schemas.openxmlformats.org/officeDocument/2006/relationships/hyperlink" Target="mailto:tomgriffing13@gmail.com" TargetMode="External"/><Relationship Id="rId605" Type="http://schemas.openxmlformats.org/officeDocument/2006/relationships/hyperlink" Target="mailto:sally@lagrangeelectrical.com" TargetMode="External"/><Relationship Id="rId812" Type="http://schemas.openxmlformats.org/officeDocument/2006/relationships/hyperlink" Target="mailto:mlawson@coresix.com" TargetMode="External"/><Relationship Id="rId1028" Type="http://schemas.openxmlformats.org/officeDocument/2006/relationships/hyperlink" Target="mailto:iamgbh@gmail.com" TargetMode="External"/><Relationship Id="rId1235" Type="http://schemas.openxmlformats.org/officeDocument/2006/relationships/hyperlink" Target="mailto:MIKEFRANCIS5@JUNO.COM" TargetMode="External"/><Relationship Id="rId1442" Type="http://schemas.openxmlformats.org/officeDocument/2006/relationships/hyperlink" Target="mailto:brucebolander@yahoo.com" TargetMode="External"/><Relationship Id="rId244" Type="http://schemas.openxmlformats.org/officeDocument/2006/relationships/hyperlink" Target="mailto:loydginaking@usana.com" TargetMode="External"/><Relationship Id="rId689" Type="http://schemas.openxmlformats.org/officeDocument/2006/relationships/hyperlink" Target="mailto:robert@corecovers.com" TargetMode="External"/><Relationship Id="rId896" Type="http://schemas.openxmlformats.org/officeDocument/2006/relationships/hyperlink" Target="mailto:donh@aiminet.com" TargetMode="External"/><Relationship Id="rId1081" Type="http://schemas.openxmlformats.org/officeDocument/2006/relationships/hyperlink" Target="mailto:SCHERRY@HAR-CONN.COM" TargetMode="External"/><Relationship Id="rId1302" Type="http://schemas.openxmlformats.org/officeDocument/2006/relationships/hyperlink" Target="mailto:rswindle1873@charter.net" TargetMode="External"/><Relationship Id="rId39" Type="http://schemas.openxmlformats.org/officeDocument/2006/relationships/hyperlink" Target="mailto:dennis@raineyvalleyfarm.com" TargetMode="External"/><Relationship Id="rId451" Type="http://schemas.openxmlformats.org/officeDocument/2006/relationships/hyperlink" Target="mailto:a.berrellez@winchesterelectronics.com" TargetMode="External"/><Relationship Id="rId549" Type="http://schemas.openxmlformats.org/officeDocument/2006/relationships/hyperlink" Target="mailto:catherine@wbmarine.net" TargetMode="External"/><Relationship Id="rId756" Type="http://schemas.openxmlformats.org/officeDocument/2006/relationships/hyperlink" Target="mailto:purchasing@harrisonhydragen.org" TargetMode="External"/><Relationship Id="rId1179" Type="http://schemas.openxmlformats.org/officeDocument/2006/relationships/hyperlink" Target="mailto:onlyonehoov@gmail.com" TargetMode="External"/><Relationship Id="rId1386" Type="http://schemas.openxmlformats.org/officeDocument/2006/relationships/hyperlink" Target="mailto:jeffrey.a.webb@nav.mil" TargetMode="External"/><Relationship Id="rId1593" Type="http://schemas.openxmlformats.org/officeDocument/2006/relationships/hyperlink" Target="mailto:dogs6@verizon.net" TargetMode="External"/><Relationship Id="rId1607" Type="http://schemas.openxmlformats.org/officeDocument/2006/relationships/hyperlink" Target="mailto:direwolf3220@yahoo.com" TargetMode="External"/><Relationship Id="rId104" Type="http://schemas.openxmlformats.org/officeDocument/2006/relationships/hyperlink" Target="mailto:retiredarmy1@yahoo.com" TargetMode="External"/><Relationship Id="rId188" Type="http://schemas.openxmlformats.org/officeDocument/2006/relationships/hyperlink" Target="mailto:dhill29@stny.rr.com" TargetMode="External"/><Relationship Id="rId311" Type="http://schemas.openxmlformats.org/officeDocument/2006/relationships/hyperlink" Target="mailto:mail@bettseq.com" TargetMode="External"/><Relationship Id="rId395" Type="http://schemas.openxmlformats.org/officeDocument/2006/relationships/hyperlink" Target="mailto:gaineselec@aol.com" TargetMode="External"/><Relationship Id="rId409" Type="http://schemas.openxmlformats.org/officeDocument/2006/relationships/hyperlink" Target="mailto:kabbott@gt.rr.com" TargetMode="External"/><Relationship Id="rId963" Type="http://schemas.openxmlformats.org/officeDocument/2006/relationships/hyperlink" Target="mailto:jslipe@indy.rr.com" TargetMode="External"/><Relationship Id="rId1039" Type="http://schemas.openxmlformats.org/officeDocument/2006/relationships/hyperlink" Target="mailto:lilbkc@msn.com" TargetMode="External"/><Relationship Id="rId1246" Type="http://schemas.openxmlformats.org/officeDocument/2006/relationships/hyperlink" Target="mailto:calabreseelectric@verizon.net" TargetMode="External"/><Relationship Id="rId92" Type="http://schemas.openxmlformats.org/officeDocument/2006/relationships/hyperlink" Target="mailto:richard@thelma.com.sg" TargetMode="External"/><Relationship Id="rId616" Type="http://schemas.openxmlformats.org/officeDocument/2006/relationships/hyperlink" Target="mailto:davidklossner@gmail.com" TargetMode="External"/><Relationship Id="rId823" Type="http://schemas.openxmlformats.org/officeDocument/2006/relationships/hyperlink" Target="mailto:payments@datashack.net" TargetMode="External"/><Relationship Id="rId1453" Type="http://schemas.openxmlformats.org/officeDocument/2006/relationships/hyperlink" Target="mailto:montse@sumcab.com" TargetMode="External"/><Relationship Id="rId255" Type="http://schemas.openxmlformats.org/officeDocument/2006/relationships/hyperlink" Target="mailto:michaely@sunvalleyelectricinc.com" TargetMode="External"/><Relationship Id="rId462" Type="http://schemas.openxmlformats.org/officeDocument/2006/relationships/hyperlink" Target="mailto:woodsandwaterrvpark@hotmail.com" TargetMode="External"/><Relationship Id="rId1092" Type="http://schemas.openxmlformats.org/officeDocument/2006/relationships/hyperlink" Target="mailto:johnd.jenkins@yahoo.com" TargetMode="External"/><Relationship Id="rId1106" Type="http://schemas.openxmlformats.org/officeDocument/2006/relationships/hyperlink" Target="mailto:seanpaul.warwick@seca-tunnel.com" TargetMode="External"/><Relationship Id="rId1313" Type="http://schemas.openxmlformats.org/officeDocument/2006/relationships/hyperlink" Target="mailto:gordontink@hotmail.com" TargetMode="External"/><Relationship Id="rId1397" Type="http://schemas.openxmlformats.org/officeDocument/2006/relationships/hyperlink" Target="mailto:hro99@aol.com" TargetMode="External"/><Relationship Id="rId1520" Type="http://schemas.openxmlformats.org/officeDocument/2006/relationships/hyperlink" Target="mailto:elizabeths@griderhillmarina.com" TargetMode="External"/><Relationship Id="rId115" Type="http://schemas.openxmlformats.org/officeDocument/2006/relationships/hyperlink" Target="mailto:omandon@gmail.com" TargetMode="External"/><Relationship Id="rId322" Type="http://schemas.openxmlformats.org/officeDocument/2006/relationships/hyperlink" Target="mailto:tntmercer@att.net" TargetMode="External"/><Relationship Id="rId767" Type="http://schemas.openxmlformats.org/officeDocument/2006/relationships/hyperlink" Target="mailto:jo-van1@hotmail.com" TargetMode="External"/><Relationship Id="rId974" Type="http://schemas.openxmlformats.org/officeDocument/2006/relationships/hyperlink" Target="mailto:bpedersen11@yahoo.com" TargetMode="External"/><Relationship Id="rId1618" Type="http://schemas.openxmlformats.org/officeDocument/2006/relationships/hyperlink" Target="mailto:resequ@gmail.com" TargetMode="External"/><Relationship Id="rId199" Type="http://schemas.openxmlformats.org/officeDocument/2006/relationships/hyperlink" Target="mailto:ericdevincentis@gmail.com" TargetMode="External"/><Relationship Id="rId627" Type="http://schemas.openxmlformats.org/officeDocument/2006/relationships/hyperlink" Target="mailto:keith@broadway-electric.com" TargetMode="External"/><Relationship Id="rId834" Type="http://schemas.openxmlformats.org/officeDocument/2006/relationships/hyperlink" Target="mailto:ccastillo@miamibreaker.com" TargetMode="External"/><Relationship Id="rId1257" Type="http://schemas.openxmlformats.org/officeDocument/2006/relationships/hyperlink" Target="mailto:rselect@cox.net" TargetMode="External"/><Relationship Id="rId1464" Type="http://schemas.openxmlformats.org/officeDocument/2006/relationships/hyperlink" Target="mailto:felix@emotorwerks.com" TargetMode="External"/><Relationship Id="rId266" Type="http://schemas.openxmlformats.org/officeDocument/2006/relationships/hyperlink" Target="mailto:michaely@sunvalleyelectricinc.com" TargetMode="External"/><Relationship Id="rId473" Type="http://schemas.openxmlformats.org/officeDocument/2006/relationships/hyperlink" Target="mailto:harbourc@ymail.com" TargetMode="External"/><Relationship Id="rId680" Type="http://schemas.openxmlformats.org/officeDocument/2006/relationships/hyperlink" Target="mailto:jonailbender@yahoo.com" TargetMode="External"/><Relationship Id="rId901" Type="http://schemas.openxmlformats.org/officeDocument/2006/relationships/hyperlink" Target="mailto:alex@manucostarica.com" TargetMode="External"/><Relationship Id="rId1117" Type="http://schemas.openxmlformats.org/officeDocument/2006/relationships/hyperlink" Target="mailto:garyb@cogennyc.com" TargetMode="External"/><Relationship Id="rId1324" Type="http://schemas.openxmlformats.org/officeDocument/2006/relationships/hyperlink" Target="mailto:aleksandr.karmanskiy@nycha.nyc.gov" TargetMode="External"/><Relationship Id="rId1531" Type="http://schemas.openxmlformats.org/officeDocument/2006/relationships/hyperlink" Target="mailto:karen.baumeister@sbdinc.com" TargetMode="External"/><Relationship Id="rId30" Type="http://schemas.openxmlformats.org/officeDocument/2006/relationships/hyperlink" Target="mailto:nanoo.nanoo@yahoo.com" TargetMode="External"/><Relationship Id="rId126" Type="http://schemas.openxmlformats.org/officeDocument/2006/relationships/hyperlink" Target="mailto:wgordon@neatheat.com" TargetMode="External"/><Relationship Id="rId333" Type="http://schemas.openxmlformats.org/officeDocument/2006/relationships/hyperlink" Target="mailto:saunder1010@yahoo.com" TargetMode="External"/><Relationship Id="rId540" Type="http://schemas.openxmlformats.org/officeDocument/2006/relationships/hyperlink" Target="mailto:scott@galwein.com" TargetMode="External"/><Relationship Id="rId778" Type="http://schemas.openxmlformats.org/officeDocument/2006/relationships/hyperlink" Target="mailto:bob@complianceandresearch.com" TargetMode="External"/><Relationship Id="rId985" Type="http://schemas.openxmlformats.org/officeDocument/2006/relationships/hyperlink" Target="mailto:taylor@nicealfafa.com" TargetMode="External"/><Relationship Id="rId1170" Type="http://schemas.openxmlformats.org/officeDocument/2006/relationships/hyperlink" Target="mailto:genglass@generalglassequipment.com" TargetMode="External"/><Relationship Id="rId638" Type="http://schemas.openxmlformats.org/officeDocument/2006/relationships/hyperlink" Target="mailto:rmbelectric@yahoo.com" TargetMode="External"/><Relationship Id="rId845" Type="http://schemas.openxmlformats.org/officeDocument/2006/relationships/hyperlink" Target="mailto:cleareye888@icloud.com" TargetMode="External"/><Relationship Id="rId1030" Type="http://schemas.openxmlformats.org/officeDocument/2006/relationships/hyperlink" Target="mailto:MATT@SPL-DESIGN.COM" TargetMode="External"/><Relationship Id="rId1268" Type="http://schemas.openxmlformats.org/officeDocument/2006/relationships/hyperlink" Target="mailto:depoling@gmail.com" TargetMode="External"/><Relationship Id="rId1475" Type="http://schemas.openxmlformats.org/officeDocument/2006/relationships/hyperlink" Target="mailto:golsen@borderstates.com" TargetMode="External"/><Relationship Id="rId277" Type="http://schemas.openxmlformats.org/officeDocument/2006/relationships/hyperlink" Target="mailto:wgordon@neatheat.com" TargetMode="External"/><Relationship Id="rId400" Type="http://schemas.openxmlformats.org/officeDocument/2006/relationships/hyperlink" Target="mailto:margo.starling@smartwires.com" TargetMode="External"/><Relationship Id="rId484" Type="http://schemas.openxmlformats.org/officeDocument/2006/relationships/hyperlink" Target="mailto:wwgenerators@yahoo.com" TargetMode="External"/><Relationship Id="rId705" Type="http://schemas.openxmlformats.org/officeDocument/2006/relationships/hyperlink" Target="mailto:purchasing@harrisonhydragen.org" TargetMode="External"/><Relationship Id="rId1128" Type="http://schemas.openxmlformats.org/officeDocument/2006/relationships/hyperlink" Target="mailto:purchasing@harrisonhydragen.org" TargetMode="External"/><Relationship Id="rId1335" Type="http://schemas.openxmlformats.org/officeDocument/2006/relationships/hyperlink" Target="mailto:adelgado@jthor.com" TargetMode="External"/><Relationship Id="rId1542" Type="http://schemas.openxmlformats.org/officeDocument/2006/relationships/hyperlink" Target="mailto:NYGOV@stores.fastenal.com" TargetMode="External"/><Relationship Id="rId137" Type="http://schemas.openxmlformats.org/officeDocument/2006/relationships/hyperlink" Target="mailto:JerettGranger@yahoo.com" TargetMode="External"/><Relationship Id="rId344" Type="http://schemas.openxmlformats.org/officeDocument/2006/relationships/hyperlink" Target="mailto:kelly@lbruun.com" TargetMode="External"/><Relationship Id="rId691" Type="http://schemas.openxmlformats.org/officeDocument/2006/relationships/hyperlink" Target="mailto:pkim@kleintools.com" TargetMode="External"/><Relationship Id="rId789" Type="http://schemas.openxmlformats.org/officeDocument/2006/relationships/hyperlink" Target="mailto:michelle@belewrentals.com" TargetMode="External"/><Relationship Id="rId912" Type="http://schemas.openxmlformats.org/officeDocument/2006/relationships/hyperlink" Target="mailto:welliman1@gmail.com" TargetMode="External"/><Relationship Id="rId996" Type="http://schemas.openxmlformats.org/officeDocument/2006/relationships/hyperlink" Target="mailto:gil.resto@grelectricllc.com" TargetMode="External"/><Relationship Id="rId41" Type="http://schemas.openxmlformats.org/officeDocument/2006/relationships/hyperlink" Target="mailto:danny.hanson@exel.com" TargetMode="External"/><Relationship Id="rId551" Type="http://schemas.openxmlformats.org/officeDocument/2006/relationships/hyperlink" Target="mailto:yvilder@yahoo.com" TargetMode="External"/><Relationship Id="rId649" Type="http://schemas.openxmlformats.org/officeDocument/2006/relationships/hyperlink" Target="mailto:bill@berkssolar.com" TargetMode="External"/><Relationship Id="rId856" Type="http://schemas.openxmlformats.org/officeDocument/2006/relationships/hyperlink" Target="mailto:calabreseelectric@verizon.net" TargetMode="External"/><Relationship Id="rId1181" Type="http://schemas.openxmlformats.org/officeDocument/2006/relationships/hyperlink" Target="mailto:jac3032711@gmail.com" TargetMode="External"/><Relationship Id="rId1279" Type="http://schemas.openxmlformats.org/officeDocument/2006/relationships/hyperlink" Target="mailto:tom@nationwideicc.com" TargetMode="External"/><Relationship Id="rId1402" Type="http://schemas.openxmlformats.org/officeDocument/2006/relationships/hyperlink" Target="mailto:livewirecs@aol.com" TargetMode="External"/><Relationship Id="rId1486" Type="http://schemas.openxmlformats.org/officeDocument/2006/relationships/hyperlink" Target="mailto:aaron@conservefirst.com" TargetMode="External"/><Relationship Id="rId190" Type="http://schemas.openxmlformats.org/officeDocument/2006/relationships/hyperlink" Target="mailto:eeweejr@gmail.com" TargetMode="External"/><Relationship Id="rId204" Type="http://schemas.openxmlformats.org/officeDocument/2006/relationships/hyperlink" Target="mailto:harold@dancoelectrical.com" TargetMode="External"/><Relationship Id="rId288" Type="http://schemas.openxmlformats.org/officeDocument/2006/relationships/hyperlink" Target="mailto:reichc45@hotmail.com" TargetMode="External"/><Relationship Id="rId411" Type="http://schemas.openxmlformats.org/officeDocument/2006/relationships/hyperlink" Target="mailto:verjoh@sasktel.net" TargetMode="External"/><Relationship Id="rId509" Type="http://schemas.openxmlformats.org/officeDocument/2006/relationships/hyperlink" Target="mailto:ecollins.ptsupply@yahoo.com" TargetMode="External"/><Relationship Id="rId1041" Type="http://schemas.openxmlformats.org/officeDocument/2006/relationships/hyperlink" Target="mailto:calabreseelectric@verizon.net" TargetMode="External"/><Relationship Id="rId1139" Type="http://schemas.openxmlformats.org/officeDocument/2006/relationships/hyperlink" Target="mailto:jeremy.j.bowman@navy.mil" TargetMode="External"/><Relationship Id="rId1346" Type="http://schemas.openxmlformats.org/officeDocument/2006/relationships/hyperlink" Target="mailto:tom@wysockielectric.com" TargetMode="External"/><Relationship Id="rId495" Type="http://schemas.openxmlformats.org/officeDocument/2006/relationships/hyperlink" Target="mailto:dougcripps@gmail.com" TargetMode="External"/><Relationship Id="rId716" Type="http://schemas.openxmlformats.org/officeDocument/2006/relationships/hyperlink" Target="mailto:herr.philip@yahoo.com" TargetMode="External"/><Relationship Id="rId923" Type="http://schemas.openxmlformats.org/officeDocument/2006/relationships/hyperlink" Target="mailto:leonard@jlsnwa.com" TargetMode="External"/><Relationship Id="rId1553" Type="http://schemas.openxmlformats.org/officeDocument/2006/relationships/hyperlink" Target="mailto:bbarkin@powerhousenj.com" TargetMode="External"/><Relationship Id="rId52" Type="http://schemas.openxmlformats.org/officeDocument/2006/relationships/hyperlink" Target="mailto:ogwesthaven@yahoo.com" TargetMode="External"/><Relationship Id="rId148" Type="http://schemas.openxmlformats.org/officeDocument/2006/relationships/hyperlink" Target="mailto:kahlborg@aol.com" TargetMode="External"/><Relationship Id="rId355" Type="http://schemas.openxmlformats.org/officeDocument/2006/relationships/hyperlink" Target="mailto:wb9liy@aol.com" TargetMode="External"/><Relationship Id="rId562" Type="http://schemas.openxmlformats.org/officeDocument/2006/relationships/hyperlink" Target="mailto:fmp64bonn@netscape.net" TargetMode="External"/><Relationship Id="rId1192" Type="http://schemas.openxmlformats.org/officeDocument/2006/relationships/hyperlink" Target="mailto:esteinberg@midwayps.com" TargetMode="External"/><Relationship Id="rId1206" Type="http://schemas.openxmlformats.org/officeDocument/2006/relationships/hyperlink" Target="mailto:jode@nighthawkmfg.com" TargetMode="External"/><Relationship Id="rId1413" Type="http://schemas.openxmlformats.org/officeDocument/2006/relationships/hyperlink" Target="mailto:dpyle16@msn.com" TargetMode="External"/><Relationship Id="rId1620" Type="http://schemas.openxmlformats.org/officeDocument/2006/relationships/hyperlink" Target="mailto:brian@qualityoganic.com" TargetMode="External"/><Relationship Id="rId215" Type="http://schemas.openxmlformats.org/officeDocument/2006/relationships/hyperlink" Target="mailto:jchernoch@gmail.com" TargetMode="External"/><Relationship Id="rId422" Type="http://schemas.openxmlformats.org/officeDocument/2006/relationships/hyperlink" Target="mailto:dwg@pa.metrocast.net" TargetMode="External"/><Relationship Id="rId867" Type="http://schemas.openxmlformats.org/officeDocument/2006/relationships/hyperlink" Target="mailto:NYGOV@stores.fastenal.com" TargetMode="External"/><Relationship Id="rId1052" Type="http://schemas.openxmlformats.org/officeDocument/2006/relationships/hyperlink" Target="mailto:oakmanx@aol.com" TargetMode="External"/><Relationship Id="rId1497" Type="http://schemas.openxmlformats.org/officeDocument/2006/relationships/hyperlink" Target="mailto:jessevaladez@rocketmail.com" TargetMode="External"/><Relationship Id="rId299" Type="http://schemas.openxmlformats.org/officeDocument/2006/relationships/hyperlink" Target="mailto:einstein1@chase3000.com" TargetMode="External"/><Relationship Id="rId727" Type="http://schemas.openxmlformats.org/officeDocument/2006/relationships/hyperlink" Target="mailto:scotth@snowline.com" TargetMode="External"/><Relationship Id="rId934" Type="http://schemas.openxmlformats.org/officeDocument/2006/relationships/hyperlink" Target="mailto:bo@dealfirst.com" TargetMode="External"/><Relationship Id="rId1357" Type="http://schemas.openxmlformats.org/officeDocument/2006/relationships/hyperlink" Target="mailto:tom@wysockielectric.com" TargetMode="External"/><Relationship Id="rId1564" Type="http://schemas.openxmlformats.org/officeDocument/2006/relationships/hyperlink" Target="mailto:jurn_supplyservices@hotmail.com" TargetMode="External"/><Relationship Id="rId63" Type="http://schemas.openxmlformats.org/officeDocument/2006/relationships/hyperlink" Target="mailto:stephanie.giang@smartwires.com" TargetMode="External"/><Relationship Id="rId159" Type="http://schemas.openxmlformats.org/officeDocument/2006/relationships/hyperlink" Target="mailto:jeffsmith1641@hotmail.com" TargetMode="External"/><Relationship Id="rId366" Type="http://schemas.openxmlformats.org/officeDocument/2006/relationships/hyperlink" Target="mailto:pkim@kleintools.com" TargetMode="External"/><Relationship Id="rId573" Type="http://schemas.openxmlformats.org/officeDocument/2006/relationships/hyperlink" Target="mailto:mcbolduc@gmail.com" TargetMode="External"/><Relationship Id="rId780" Type="http://schemas.openxmlformats.org/officeDocument/2006/relationships/hyperlink" Target="mailto:info@ductlessaire.com" TargetMode="External"/><Relationship Id="rId1217" Type="http://schemas.openxmlformats.org/officeDocument/2006/relationships/hyperlink" Target="mailto:LEVINE@LFCI.COM" TargetMode="External"/><Relationship Id="rId1424" Type="http://schemas.openxmlformats.org/officeDocument/2006/relationships/hyperlink" Target="mailto:mark@casalibratore.com" TargetMode="External"/><Relationship Id="rId226" Type="http://schemas.openxmlformats.org/officeDocument/2006/relationships/hyperlink" Target="mailto:michaely@sunvalleyelectricinc.com" TargetMode="External"/><Relationship Id="rId433" Type="http://schemas.openxmlformats.org/officeDocument/2006/relationships/hyperlink" Target="mailto:dennan57@yahoo.com" TargetMode="External"/><Relationship Id="rId878" Type="http://schemas.openxmlformats.org/officeDocument/2006/relationships/hyperlink" Target="mailto:AKELLY1@ZOOMINTERNET.NET" TargetMode="External"/><Relationship Id="rId1063" Type="http://schemas.openxmlformats.org/officeDocument/2006/relationships/hyperlink" Target="mailto:saskatoon@percydavis.com" TargetMode="External"/><Relationship Id="rId1270" Type="http://schemas.openxmlformats.org/officeDocument/2006/relationships/hyperlink" Target="mailto:m_szczpnsk@hotmail.com" TargetMode="External"/><Relationship Id="rId640" Type="http://schemas.openxmlformats.org/officeDocument/2006/relationships/hyperlink" Target="mailto:tecnisa97@gmail.com" TargetMode="External"/><Relationship Id="rId738" Type="http://schemas.openxmlformats.org/officeDocument/2006/relationships/hyperlink" Target="mailto:stephan.m.smithII@gmail.com" TargetMode="External"/><Relationship Id="rId945" Type="http://schemas.openxmlformats.org/officeDocument/2006/relationships/hyperlink" Target="mailto:stucki14@sbcglobal.net" TargetMode="External"/><Relationship Id="rId1368" Type="http://schemas.openxmlformats.org/officeDocument/2006/relationships/hyperlink" Target="mailto:bruce@televisionadgroup.com" TargetMode="External"/><Relationship Id="rId1575" Type="http://schemas.openxmlformats.org/officeDocument/2006/relationships/hyperlink" Target="mailto:john.cron@deltafaucet.com" TargetMode="External"/><Relationship Id="rId74" Type="http://schemas.openxmlformats.org/officeDocument/2006/relationships/hyperlink" Target="mailto:warffme@netscape.net" TargetMode="External"/><Relationship Id="rId377" Type="http://schemas.openxmlformats.org/officeDocument/2006/relationships/hyperlink" Target="mailto:dougcripps@gmail.com" TargetMode="External"/><Relationship Id="rId500" Type="http://schemas.openxmlformats.org/officeDocument/2006/relationships/hyperlink" Target="mailto:deerrunfarms.dave@yahoo.com" TargetMode="External"/><Relationship Id="rId584" Type="http://schemas.openxmlformats.org/officeDocument/2006/relationships/hyperlink" Target="mailto:stan.white@kalmbachfeeds.com" TargetMode="External"/><Relationship Id="rId805" Type="http://schemas.openxmlformats.org/officeDocument/2006/relationships/hyperlink" Target="mailto:nygov@stores.fastenal.com" TargetMode="External"/><Relationship Id="rId1130" Type="http://schemas.openxmlformats.org/officeDocument/2006/relationships/hyperlink" Target="mailto:rsm@loumarks.com" TargetMode="External"/><Relationship Id="rId1228" Type="http://schemas.openxmlformats.org/officeDocument/2006/relationships/hyperlink" Target="mailto:ken@nyfoldingbox.com" TargetMode="External"/><Relationship Id="rId1435" Type="http://schemas.openxmlformats.org/officeDocument/2006/relationships/hyperlink" Target="mailto:merharry@gmail.com" TargetMode="External"/><Relationship Id="rId5" Type="http://schemas.openxmlformats.org/officeDocument/2006/relationships/hyperlink" Target="mailto:alex@manucostarica.com" TargetMode="External"/><Relationship Id="rId237" Type="http://schemas.openxmlformats.org/officeDocument/2006/relationships/hyperlink" Target="mailto:agreenwalt@coreelectric.us" TargetMode="External"/><Relationship Id="rId791" Type="http://schemas.openxmlformats.org/officeDocument/2006/relationships/hyperlink" Target="mailto:dlpower@bellsouth.net" TargetMode="External"/><Relationship Id="rId889" Type="http://schemas.openxmlformats.org/officeDocument/2006/relationships/hyperlink" Target="mailto:lbreton@powerproductscs.com" TargetMode="External"/><Relationship Id="rId1074" Type="http://schemas.openxmlformats.org/officeDocument/2006/relationships/hyperlink" Target="mailto:LPISTORIO@GMAIL.COM" TargetMode="External"/><Relationship Id="rId444" Type="http://schemas.openxmlformats.org/officeDocument/2006/relationships/hyperlink" Target="mailto:caponesix@gmail.com" TargetMode="External"/><Relationship Id="rId651" Type="http://schemas.openxmlformats.org/officeDocument/2006/relationships/hyperlink" Target="mailto:perron48@calwisp.net" TargetMode="External"/><Relationship Id="rId749" Type="http://schemas.openxmlformats.org/officeDocument/2006/relationships/hyperlink" Target="mailto:purchasing@patagoniaglobalcorp.com" TargetMode="External"/><Relationship Id="rId1281" Type="http://schemas.openxmlformats.org/officeDocument/2006/relationships/hyperlink" Target="mailto:garysl1@netzero.com" TargetMode="External"/><Relationship Id="rId1379" Type="http://schemas.openxmlformats.org/officeDocument/2006/relationships/hyperlink" Target="mailto:mammoser1988@gmail.com" TargetMode="External"/><Relationship Id="rId1502" Type="http://schemas.openxmlformats.org/officeDocument/2006/relationships/hyperlink" Target="mailto:noahringdahl@gmail.com" TargetMode="External"/><Relationship Id="rId1586" Type="http://schemas.openxmlformats.org/officeDocument/2006/relationships/hyperlink" Target="mailto:johnp15ac@gmail.com" TargetMode="External"/><Relationship Id="rId290" Type="http://schemas.openxmlformats.org/officeDocument/2006/relationships/hyperlink" Target="mailto:paullapoint@yahoo.com" TargetMode="External"/><Relationship Id="rId304" Type="http://schemas.openxmlformats.org/officeDocument/2006/relationships/hyperlink" Target="mailto:daniel@rdelectricinc.com" TargetMode="External"/><Relationship Id="rId388" Type="http://schemas.openxmlformats.org/officeDocument/2006/relationships/hyperlink" Target="mailto:douglas@mpcwood.net" TargetMode="External"/><Relationship Id="rId511" Type="http://schemas.openxmlformats.org/officeDocument/2006/relationships/hyperlink" Target="mailto:lbrodal@nccray.com" TargetMode="External"/><Relationship Id="rId609" Type="http://schemas.openxmlformats.org/officeDocument/2006/relationships/hyperlink" Target="mailto:federal300mike@yahoo.com" TargetMode="External"/><Relationship Id="rId956" Type="http://schemas.openxmlformats.org/officeDocument/2006/relationships/hyperlink" Target="mailto:JOHN@SWOODPALLET.COM" TargetMode="External"/><Relationship Id="rId1141" Type="http://schemas.openxmlformats.org/officeDocument/2006/relationships/hyperlink" Target="mailto:monster56@hotmail.com" TargetMode="External"/><Relationship Id="rId1239" Type="http://schemas.openxmlformats.org/officeDocument/2006/relationships/hyperlink" Target="mailto:mike@earthtech.biz" TargetMode="External"/><Relationship Id="rId85" Type="http://schemas.openxmlformats.org/officeDocument/2006/relationships/hyperlink" Target="mailto:atom1smasher@optonline.net" TargetMode="External"/><Relationship Id="rId150" Type="http://schemas.openxmlformats.org/officeDocument/2006/relationships/hyperlink" Target="mailto:ncscrap@ec.rr.com" TargetMode="External"/><Relationship Id="rId595" Type="http://schemas.openxmlformats.org/officeDocument/2006/relationships/hyperlink" Target="mailto:ranchomerced@msn.com" TargetMode="External"/><Relationship Id="rId816" Type="http://schemas.openxmlformats.org/officeDocument/2006/relationships/hyperlink" Target="mailto:whit-ent@hotmail.com" TargetMode="External"/><Relationship Id="rId1001" Type="http://schemas.openxmlformats.org/officeDocument/2006/relationships/hyperlink" Target="mailto:calabreseelectric@verizon.net" TargetMode="External"/><Relationship Id="rId1446" Type="http://schemas.openxmlformats.org/officeDocument/2006/relationships/hyperlink" Target="mailto:rprato@rprato.com" TargetMode="External"/><Relationship Id="rId248" Type="http://schemas.openxmlformats.org/officeDocument/2006/relationships/hyperlink" Target="mailto:de122057@gmail.com" TargetMode="External"/><Relationship Id="rId455" Type="http://schemas.openxmlformats.org/officeDocument/2006/relationships/hyperlink" Target="mailto:ejohan851@aol.com" TargetMode="External"/><Relationship Id="rId662" Type="http://schemas.openxmlformats.org/officeDocument/2006/relationships/hyperlink" Target="mailto:purchasing@harrisonhydragen.org" TargetMode="External"/><Relationship Id="rId1085" Type="http://schemas.openxmlformats.org/officeDocument/2006/relationships/hyperlink" Target="mailto:KEITH.SLANKARD@YAHOO.COM" TargetMode="External"/><Relationship Id="rId1292" Type="http://schemas.openxmlformats.org/officeDocument/2006/relationships/hyperlink" Target="mailto:elec3phase@gmail.com" TargetMode="External"/><Relationship Id="rId1306" Type="http://schemas.openxmlformats.org/officeDocument/2006/relationships/hyperlink" Target="mailto:tjuzyk@hamilton.net" TargetMode="External"/><Relationship Id="rId1513" Type="http://schemas.openxmlformats.org/officeDocument/2006/relationships/hyperlink" Target="mailto:aswift@wayne.edu" TargetMode="External"/><Relationship Id="rId12" Type="http://schemas.openxmlformats.org/officeDocument/2006/relationships/hyperlink" Target="mailto:porkhock@mtcnet.net" TargetMode="External"/><Relationship Id="rId108" Type="http://schemas.openxmlformats.org/officeDocument/2006/relationships/hyperlink" Target="mailto:rmbelectric@yahoo.com" TargetMode="External"/><Relationship Id="rId315" Type="http://schemas.openxmlformats.org/officeDocument/2006/relationships/hyperlink" Target="mailto:josemartinezbra@gmail.com" TargetMode="External"/><Relationship Id="rId522" Type="http://schemas.openxmlformats.org/officeDocument/2006/relationships/hyperlink" Target="mailto:rtarga@parkthermal.com" TargetMode="External"/><Relationship Id="rId967" Type="http://schemas.openxmlformats.org/officeDocument/2006/relationships/hyperlink" Target="mailto:boss63777@hotmail.com" TargetMode="External"/><Relationship Id="rId1152" Type="http://schemas.openxmlformats.org/officeDocument/2006/relationships/hyperlink" Target="mailto:newbeginningbuilders@gmail.com" TargetMode="External"/><Relationship Id="rId1597" Type="http://schemas.openxmlformats.org/officeDocument/2006/relationships/hyperlink" Target="mailto:tom@wysockielectric.com" TargetMode="External"/><Relationship Id="rId96" Type="http://schemas.openxmlformats.org/officeDocument/2006/relationships/hyperlink" Target="mailto:jacorey@jacorey.com" TargetMode="External"/><Relationship Id="rId161" Type="http://schemas.openxmlformats.org/officeDocument/2006/relationships/hyperlink" Target="mailto:marksull@gmail.com" TargetMode="External"/><Relationship Id="rId399" Type="http://schemas.openxmlformats.org/officeDocument/2006/relationships/hyperlink" Target="mailto:mikeburwell@verizon.net" TargetMode="External"/><Relationship Id="rId827" Type="http://schemas.openxmlformats.org/officeDocument/2006/relationships/hyperlink" Target="mailto:silveyelectric@att.net" TargetMode="External"/><Relationship Id="rId1012" Type="http://schemas.openxmlformats.org/officeDocument/2006/relationships/hyperlink" Target="mailto:pselectricalcontractor@hotmail.com" TargetMode="External"/><Relationship Id="rId1457" Type="http://schemas.openxmlformats.org/officeDocument/2006/relationships/hyperlink" Target="mailto:pjbottoms@hotmail.com" TargetMode="External"/><Relationship Id="rId259" Type="http://schemas.openxmlformats.org/officeDocument/2006/relationships/hyperlink" Target="mailto:jsandoval1114@gmail.com" TargetMode="External"/><Relationship Id="rId466" Type="http://schemas.openxmlformats.org/officeDocument/2006/relationships/hyperlink" Target="mailto:mcurry166@hotmail.com" TargetMode="External"/><Relationship Id="rId673" Type="http://schemas.openxmlformats.org/officeDocument/2006/relationships/hyperlink" Target="mailto:brettboffard@gmail.com" TargetMode="External"/><Relationship Id="rId880" Type="http://schemas.openxmlformats.org/officeDocument/2006/relationships/hyperlink" Target="mailto:jodyschulteis@gmail.com" TargetMode="External"/><Relationship Id="rId1096" Type="http://schemas.openxmlformats.org/officeDocument/2006/relationships/hyperlink" Target="mailto:cmeng69@gmail.com" TargetMode="External"/><Relationship Id="rId1317" Type="http://schemas.openxmlformats.org/officeDocument/2006/relationships/hyperlink" Target="mailto:dro@gruber.com" TargetMode="External"/><Relationship Id="rId1524" Type="http://schemas.openxmlformats.org/officeDocument/2006/relationships/hyperlink" Target="mailto:j.perez@jmcintersolutions.com" TargetMode="External"/><Relationship Id="rId23" Type="http://schemas.openxmlformats.org/officeDocument/2006/relationships/hyperlink" Target="mailto:jim@bgs.cc" TargetMode="External"/><Relationship Id="rId119" Type="http://schemas.openxmlformats.org/officeDocument/2006/relationships/hyperlink" Target="mailto:greatkoi@aol.com" TargetMode="External"/><Relationship Id="rId326" Type="http://schemas.openxmlformats.org/officeDocument/2006/relationships/hyperlink" Target="mailto:STEVE@ATLASREM.COM" TargetMode="External"/><Relationship Id="rId533" Type="http://schemas.openxmlformats.org/officeDocument/2006/relationships/hyperlink" Target="mailto:email@oleh.ca" TargetMode="External"/><Relationship Id="rId978" Type="http://schemas.openxmlformats.org/officeDocument/2006/relationships/hyperlink" Target="mailto:tyler.schaffer@graybar.com" TargetMode="External"/><Relationship Id="rId1163" Type="http://schemas.openxmlformats.org/officeDocument/2006/relationships/hyperlink" Target="mailto:dhornsby@empireminingco.com" TargetMode="External"/><Relationship Id="rId1370" Type="http://schemas.openxmlformats.org/officeDocument/2006/relationships/hyperlink" Target="mailto:nnewman@blackandmcdonald.com" TargetMode="External"/><Relationship Id="rId740" Type="http://schemas.openxmlformats.org/officeDocument/2006/relationships/hyperlink" Target="mailto:aayotte@advancedpowders.com" TargetMode="External"/><Relationship Id="rId838" Type="http://schemas.openxmlformats.org/officeDocument/2006/relationships/hyperlink" Target="mailto:rjohnson@rolfeindustries.com" TargetMode="External"/><Relationship Id="rId1023" Type="http://schemas.openxmlformats.org/officeDocument/2006/relationships/hyperlink" Target="mailto:lbreton@powerproductscs.com" TargetMode="External"/><Relationship Id="rId1468" Type="http://schemas.openxmlformats.org/officeDocument/2006/relationships/hyperlink" Target="mailto:golsen@borderstates.com" TargetMode="External"/><Relationship Id="rId172" Type="http://schemas.openxmlformats.org/officeDocument/2006/relationships/hyperlink" Target="mailto:rodstett@msn.com" TargetMode="External"/><Relationship Id="rId477" Type="http://schemas.openxmlformats.org/officeDocument/2006/relationships/hyperlink" Target="mailto:valhko@gmail.com" TargetMode="External"/><Relationship Id="rId600" Type="http://schemas.openxmlformats.org/officeDocument/2006/relationships/hyperlink" Target="mailto:bryonreid@gmail.com" TargetMode="External"/><Relationship Id="rId684" Type="http://schemas.openxmlformats.org/officeDocument/2006/relationships/hyperlink" Target="mailto:rice12918@ameritech.net" TargetMode="External"/><Relationship Id="rId1230" Type="http://schemas.openxmlformats.org/officeDocument/2006/relationships/hyperlink" Target="mailto:KARIAS@NETHERE.COM" TargetMode="External"/><Relationship Id="rId1328" Type="http://schemas.openxmlformats.org/officeDocument/2006/relationships/hyperlink" Target="mailto:medwards@gsm-co.com" TargetMode="External"/><Relationship Id="rId1535" Type="http://schemas.openxmlformats.org/officeDocument/2006/relationships/hyperlink" Target="mailto:genman61@frontier.com" TargetMode="External"/><Relationship Id="rId337" Type="http://schemas.openxmlformats.org/officeDocument/2006/relationships/hyperlink" Target="mailto:PURCHASING@HARRISONHYDRAGEN.ORG" TargetMode="External"/><Relationship Id="rId891" Type="http://schemas.openxmlformats.org/officeDocument/2006/relationships/hyperlink" Target="mailto:arend.vandevosse@exellpower.com" TargetMode="External"/><Relationship Id="rId905" Type="http://schemas.openxmlformats.org/officeDocument/2006/relationships/hyperlink" Target="mailto:govin@comcast.net" TargetMode="External"/><Relationship Id="rId989" Type="http://schemas.openxmlformats.org/officeDocument/2006/relationships/hyperlink" Target="mailto:NATIONS100@SBCGLOBAL.NET" TargetMode="External"/><Relationship Id="rId34" Type="http://schemas.openxmlformats.org/officeDocument/2006/relationships/hyperlink" Target="mailto:chris@lockingpowercord.com" TargetMode="External"/><Relationship Id="rId544" Type="http://schemas.openxmlformats.org/officeDocument/2006/relationships/hyperlink" Target="mailto:JDEVORE@SOLARCITY.COM" TargetMode="External"/><Relationship Id="rId751" Type="http://schemas.openxmlformats.org/officeDocument/2006/relationships/hyperlink" Target="mailto:keystonepower24@gmail.com" TargetMode="External"/><Relationship Id="rId849" Type="http://schemas.openxmlformats.org/officeDocument/2006/relationships/hyperlink" Target="mailto:rivahray@gmail.com" TargetMode="External"/><Relationship Id="rId1174" Type="http://schemas.openxmlformats.org/officeDocument/2006/relationships/hyperlink" Target="mailto:jjuarezmex2@yahoo.com" TargetMode="External"/><Relationship Id="rId1381" Type="http://schemas.openxmlformats.org/officeDocument/2006/relationships/hyperlink" Target="mailto:mattur88@hotmail.com" TargetMode="External"/><Relationship Id="rId1479" Type="http://schemas.openxmlformats.org/officeDocument/2006/relationships/hyperlink" Target="mailto:alfrenramos@gmail.com" TargetMode="External"/><Relationship Id="rId1602" Type="http://schemas.openxmlformats.org/officeDocument/2006/relationships/hyperlink" Target="mailto:jmachuca@americanenergyproducts.com" TargetMode="External"/><Relationship Id="rId183" Type="http://schemas.openxmlformats.org/officeDocument/2006/relationships/hyperlink" Target="mailto:cougrrrman@aol.com" TargetMode="External"/><Relationship Id="rId390" Type="http://schemas.openxmlformats.org/officeDocument/2006/relationships/hyperlink" Target="mailto:darrin.llmech@infowest.com" TargetMode="External"/><Relationship Id="rId404" Type="http://schemas.openxmlformats.org/officeDocument/2006/relationships/hyperlink" Target="mailto:lhmewc@gmail.com%20and%20bruce@northridgedairy.com" TargetMode="External"/><Relationship Id="rId611" Type="http://schemas.openxmlformats.org/officeDocument/2006/relationships/hyperlink" Target="mailto:stucki14@sbcglobal.net" TargetMode="External"/><Relationship Id="rId1034" Type="http://schemas.openxmlformats.org/officeDocument/2006/relationships/hyperlink" Target="mailto:beckvon@netero.net" TargetMode="External"/><Relationship Id="rId1241" Type="http://schemas.openxmlformats.org/officeDocument/2006/relationships/hyperlink" Target="mailto:jacques_lussier@nps.gov" TargetMode="External"/><Relationship Id="rId1339" Type="http://schemas.openxmlformats.org/officeDocument/2006/relationships/hyperlink" Target="mailto:trent.gibson0302@gmail.com" TargetMode="External"/><Relationship Id="rId250" Type="http://schemas.openxmlformats.org/officeDocument/2006/relationships/hyperlink" Target="mailto:accutrack@mchsi.com" TargetMode="External"/><Relationship Id="rId488" Type="http://schemas.openxmlformats.org/officeDocument/2006/relationships/hyperlink" Target="mailto:cboyfenc@bellsouth.net" TargetMode="External"/><Relationship Id="rId695" Type="http://schemas.openxmlformats.org/officeDocument/2006/relationships/hyperlink" Target="mailto:toolrental_1228@homedepo.com" TargetMode="External"/><Relationship Id="rId709" Type="http://schemas.openxmlformats.org/officeDocument/2006/relationships/hyperlink" Target="mailto:tim.staloch@doosan.com" TargetMode="External"/><Relationship Id="rId916" Type="http://schemas.openxmlformats.org/officeDocument/2006/relationships/hyperlink" Target="mailto:hnuenergy@hotmail.com" TargetMode="External"/><Relationship Id="rId1101" Type="http://schemas.openxmlformats.org/officeDocument/2006/relationships/hyperlink" Target="mailto:candjrohrer@aol.com" TargetMode="External"/><Relationship Id="rId1546" Type="http://schemas.openxmlformats.org/officeDocument/2006/relationships/hyperlink" Target="mailto:agordon@neatheat.com" TargetMode="External"/><Relationship Id="rId45" Type="http://schemas.openxmlformats.org/officeDocument/2006/relationships/hyperlink" Target="mailto:jgallagher@schimenti.com" TargetMode="External"/><Relationship Id="rId110" Type="http://schemas.openxmlformats.org/officeDocument/2006/relationships/hyperlink" Target="mailto:kris.kanack@milwaukeetool.com" TargetMode="External"/><Relationship Id="rId348" Type="http://schemas.openxmlformats.org/officeDocument/2006/relationships/hyperlink" Target="mailto:rmbelectric@yahoo.com" TargetMode="External"/><Relationship Id="rId555" Type="http://schemas.openxmlformats.org/officeDocument/2006/relationships/hyperlink" Target="mailto:dbrown@nickersonparkcampground.com" TargetMode="External"/><Relationship Id="rId762" Type="http://schemas.openxmlformats.org/officeDocument/2006/relationships/hyperlink" Target="mailto:boyd1125@gmail.com" TargetMode="External"/><Relationship Id="rId1185" Type="http://schemas.openxmlformats.org/officeDocument/2006/relationships/hyperlink" Target="mailto:bradl99@att.biz" TargetMode="External"/><Relationship Id="rId1392" Type="http://schemas.openxmlformats.org/officeDocument/2006/relationships/hyperlink" Target="mailto:purchasing@harrisonhydragen.org" TargetMode="External"/><Relationship Id="rId1406" Type="http://schemas.openxmlformats.org/officeDocument/2006/relationships/hyperlink" Target="mailto:cid@bellavado.com" TargetMode="External"/><Relationship Id="rId1613" Type="http://schemas.openxmlformats.org/officeDocument/2006/relationships/hyperlink" Target="mailto:tjuzyk@hamilton.net" TargetMode="External"/><Relationship Id="rId194" Type="http://schemas.openxmlformats.org/officeDocument/2006/relationships/hyperlink" Target="mailto:purchasing@harrisonhydragen.org" TargetMode="External"/><Relationship Id="rId208" Type="http://schemas.openxmlformats.org/officeDocument/2006/relationships/hyperlink" Target="mailto:hal@brownelectricsupply.com" TargetMode="External"/><Relationship Id="rId415" Type="http://schemas.openxmlformats.org/officeDocument/2006/relationships/hyperlink" Target="mailto:michaely@sunvalleyelectric.com" TargetMode="External"/><Relationship Id="rId622" Type="http://schemas.openxmlformats.org/officeDocument/2006/relationships/hyperlink" Target="mailto:bcoleman@winkleindustries.com" TargetMode="External"/><Relationship Id="rId1045" Type="http://schemas.openxmlformats.org/officeDocument/2006/relationships/hyperlink" Target="mailto:bookrobert@yahoo.com" TargetMode="External"/><Relationship Id="rId1252" Type="http://schemas.openxmlformats.org/officeDocument/2006/relationships/hyperlink" Target="mailto:elec3phase@gmail.com" TargetMode="External"/><Relationship Id="rId261" Type="http://schemas.openxmlformats.org/officeDocument/2006/relationships/hyperlink" Target="mailto:dave@ipstanks.com" TargetMode="External"/><Relationship Id="rId499" Type="http://schemas.openxmlformats.org/officeDocument/2006/relationships/hyperlink" Target="mailto:spdjnky_42@yahoo.com" TargetMode="External"/><Relationship Id="rId927" Type="http://schemas.openxmlformats.org/officeDocument/2006/relationships/hyperlink" Target="mailto:ssargele@aol.com" TargetMode="External"/><Relationship Id="rId1112" Type="http://schemas.openxmlformats.org/officeDocument/2006/relationships/hyperlink" Target="mailto:admin@ohm-racing.com" TargetMode="External"/><Relationship Id="rId1557" Type="http://schemas.openxmlformats.org/officeDocument/2006/relationships/hyperlink" Target="mailto:russell.shaw32@gmail.com" TargetMode="External"/><Relationship Id="rId56" Type="http://schemas.openxmlformats.org/officeDocument/2006/relationships/hyperlink" Target="mailto:revoped@gmx.com" TargetMode="External"/><Relationship Id="rId359" Type="http://schemas.openxmlformats.org/officeDocument/2006/relationships/hyperlink" Target="mailto:hkilic@aol.com" TargetMode="External"/><Relationship Id="rId566" Type="http://schemas.openxmlformats.org/officeDocument/2006/relationships/hyperlink" Target="mailto:egleytj@gmail.com" TargetMode="External"/><Relationship Id="rId773" Type="http://schemas.openxmlformats.org/officeDocument/2006/relationships/hyperlink" Target="mailto:pceko@tridentstrong.com" TargetMode="External"/><Relationship Id="rId1196" Type="http://schemas.openxmlformats.org/officeDocument/2006/relationships/hyperlink" Target="mailto:a.berrellez@winchesterelectronics.com" TargetMode="External"/><Relationship Id="rId1417" Type="http://schemas.openxmlformats.org/officeDocument/2006/relationships/hyperlink" Target="mailto:f.mansourian@gmail.com" TargetMode="External"/><Relationship Id="rId121" Type="http://schemas.openxmlformats.org/officeDocument/2006/relationships/hyperlink" Target="mailto:gparker82@hotmail.com" TargetMode="External"/><Relationship Id="rId219" Type="http://schemas.openxmlformats.org/officeDocument/2006/relationships/hyperlink" Target="mailto:rafael@rdelectricinc.com" TargetMode="External"/><Relationship Id="rId426" Type="http://schemas.openxmlformats.org/officeDocument/2006/relationships/hyperlink" Target="mailto:dmckenzie@klesing.net" TargetMode="External"/><Relationship Id="rId633" Type="http://schemas.openxmlformats.org/officeDocument/2006/relationships/hyperlink" Target="mailto:nick@mancinibakery.com" TargetMode="External"/><Relationship Id="rId980" Type="http://schemas.openxmlformats.org/officeDocument/2006/relationships/hyperlink" Target="mailto:tbeckwith79@gmail.com" TargetMode="External"/><Relationship Id="rId1056" Type="http://schemas.openxmlformats.org/officeDocument/2006/relationships/hyperlink" Target="mailto:ugi@ufauto.com" TargetMode="External"/><Relationship Id="rId1263" Type="http://schemas.openxmlformats.org/officeDocument/2006/relationships/hyperlink" Target="mailto:NYGOV@stores.fastenal.com" TargetMode="External"/><Relationship Id="rId840" Type="http://schemas.openxmlformats.org/officeDocument/2006/relationships/hyperlink" Target="mailto:john@sailsantafe.com%20/%20john@psitechnm.com" TargetMode="External"/><Relationship Id="rId938" Type="http://schemas.openxmlformats.org/officeDocument/2006/relationships/hyperlink" Target="mailto:info@elitesmarthome.com" TargetMode="External"/><Relationship Id="rId1470" Type="http://schemas.openxmlformats.org/officeDocument/2006/relationships/hyperlink" Target="mailto:agordon@neatheat.com" TargetMode="External"/><Relationship Id="rId1568" Type="http://schemas.openxmlformats.org/officeDocument/2006/relationships/hyperlink" Target="mailto:calabreseelectric@verizon.net" TargetMode="External"/><Relationship Id="rId67" Type="http://schemas.openxmlformats.org/officeDocument/2006/relationships/hyperlink" Target="mailto:ROBERTR19722@GMAIL.COM" TargetMode="External"/><Relationship Id="rId272" Type="http://schemas.openxmlformats.org/officeDocument/2006/relationships/hyperlink" Target="mailto:worosenau@att.net" TargetMode="External"/><Relationship Id="rId577" Type="http://schemas.openxmlformats.org/officeDocument/2006/relationships/hyperlink" Target="mailto:Matt.Colker@wvaelectric.com" TargetMode="External"/><Relationship Id="rId700" Type="http://schemas.openxmlformats.org/officeDocument/2006/relationships/hyperlink" Target="mailto:lg300r@yahoo.com" TargetMode="External"/><Relationship Id="rId1123" Type="http://schemas.openxmlformats.org/officeDocument/2006/relationships/hyperlink" Target="mailto:dharari@redpointeroofing.com" TargetMode="External"/><Relationship Id="rId1330" Type="http://schemas.openxmlformats.org/officeDocument/2006/relationships/hyperlink" Target="mailto:accounting@midwayps.com" TargetMode="External"/><Relationship Id="rId1428" Type="http://schemas.openxmlformats.org/officeDocument/2006/relationships/hyperlink" Target="mailto:john@stazworks.com" TargetMode="External"/><Relationship Id="rId132" Type="http://schemas.openxmlformats.org/officeDocument/2006/relationships/hyperlink" Target="mailto:mike@goldcoastflooring.com" TargetMode="External"/><Relationship Id="rId784" Type="http://schemas.openxmlformats.org/officeDocument/2006/relationships/hyperlink" Target="mailto:eric.terry@industrialservicescompany.com" TargetMode="External"/><Relationship Id="rId991" Type="http://schemas.openxmlformats.org/officeDocument/2006/relationships/hyperlink" Target="mailto:BUSHNELLSURVEY@GMAIL.COM" TargetMode="External"/><Relationship Id="rId1067" Type="http://schemas.openxmlformats.org/officeDocument/2006/relationships/hyperlink" Target="mailto:ALMAFINANCE336@GMAIL.COM" TargetMode="External"/><Relationship Id="rId437" Type="http://schemas.openxmlformats.org/officeDocument/2006/relationships/hyperlink" Target="mailto:terrazzoconcrete@gmail.com" TargetMode="External"/><Relationship Id="rId644" Type="http://schemas.openxmlformats.org/officeDocument/2006/relationships/hyperlink" Target="mailto:henryd58@msn.com" TargetMode="External"/><Relationship Id="rId851" Type="http://schemas.openxmlformats.org/officeDocument/2006/relationships/hyperlink" Target="mailto:outnumbered1651@gmail.com" TargetMode="External"/><Relationship Id="rId1274" Type="http://schemas.openxmlformats.org/officeDocument/2006/relationships/hyperlink" Target="mailto:codymckay@outlook.com" TargetMode="External"/><Relationship Id="rId1481" Type="http://schemas.openxmlformats.org/officeDocument/2006/relationships/hyperlink" Target="mailto:bowenjed@aol.com" TargetMode="External"/><Relationship Id="rId1579" Type="http://schemas.openxmlformats.org/officeDocument/2006/relationships/hyperlink" Target="mailto:ldang@rennovia.com" TargetMode="External"/><Relationship Id="rId283" Type="http://schemas.openxmlformats.org/officeDocument/2006/relationships/hyperlink" Target="mailto:rental@ulsnyc.com%20or%20markj@ulsnyc.com" TargetMode="External"/><Relationship Id="rId490" Type="http://schemas.openxmlformats.org/officeDocument/2006/relationships/hyperlink" Target="mailto:thesteve@aol.com" TargetMode="External"/><Relationship Id="rId504" Type="http://schemas.openxmlformats.org/officeDocument/2006/relationships/hyperlink" Target="mailto:garaizacasillas@hotmail.com" TargetMode="External"/><Relationship Id="rId711" Type="http://schemas.openxmlformats.org/officeDocument/2006/relationships/hyperlink" Target="mailto:mcurry166@outlook.com" TargetMode="External"/><Relationship Id="rId949" Type="http://schemas.openxmlformats.org/officeDocument/2006/relationships/hyperlink" Target="mailto:tom@northwindmeasurement.com" TargetMode="External"/><Relationship Id="rId1134" Type="http://schemas.openxmlformats.org/officeDocument/2006/relationships/hyperlink" Target="mailto:jmanolino@automationservicesinc.com" TargetMode="External"/><Relationship Id="rId1341" Type="http://schemas.openxmlformats.org/officeDocument/2006/relationships/hyperlink" Target="mailto:mhernandez6020@yahoo.com" TargetMode="External"/><Relationship Id="rId78" Type="http://schemas.openxmlformats.org/officeDocument/2006/relationships/hyperlink" Target="mailto:laia@sumcab.com" TargetMode="External"/><Relationship Id="rId143" Type="http://schemas.openxmlformats.org/officeDocument/2006/relationships/hyperlink" Target="mailto:pbjguy1@aol.com" TargetMode="External"/><Relationship Id="rId350" Type="http://schemas.openxmlformats.org/officeDocument/2006/relationships/hyperlink" Target="mailto:ricoharm@aol.com" TargetMode="External"/><Relationship Id="rId588" Type="http://schemas.openxmlformats.org/officeDocument/2006/relationships/hyperlink" Target="mailto:doug@blastcomm.com" TargetMode="External"/><Relationship Id="rId795" Type="http://schemas.openxmlformats.org/officeDocument/2006/relationships/hyperlink" Target="mailto:jneub@optonline.net" TargetMode="External"/><Relationship Id="rId809" Type="http://schemas.openxmlformats.org/officeDocument/2006/relationships/hyperlink" Target="mailto:noahringdahl@gmail.com" TargetMode="External"/><Relationship Id="rId1201" Type="http://schemas.openxmlformats.org/officeDocument/2006/relationships/hyperlink" Target="mailto:lisa.kiest@yahoo.com" TargetMode="External"/><Relationship Id="rId1439" Type="http://schemas.openxmlformats.org/officeDocument/2006/relationships/hyperlink" Target="mailto:davidcturner@eaton.com" TargetMode="External"/><Relationship Id="rId9" Type="http://schemas.openxmlformats.org/officeDocument/2006/relationships/hyperlink" Target="mailto:dynoproven@yahoo.com" TargetMode="External"/><Relationship Id="rId210" Type="http://schemas.openxmlformats.org/officeDocument/2006/relationships/hyperlink" Target="mailto:ajsheer@gmail.com" TargetMode="External"/><Relationship Id="rId448" Type="http://schemas.openxmlformats.org/officeDocument/2006/relationships/hyperlink" Target="mailto:leslie@ecastpro.com" TargetMode="External"/><Relationship Id="rId655" Type="http://schemas.openxmlformats.org/officeDocument/2006/relationships/hyperlink" Target="mailto:haas4321@aol.com" TargetMode="External"/><Relationship Id="rId862" Type="http://schemas.openxmlformats.org/officeDocument/2006/relationships/hyperlink" Target="mailto:robert.schmatjen@nesassociates.com" TargetMode="External"/><Relationship Id="rId1078" Type="http://schemas.openxmlformats.org/officeDocument/2006/relationships/hyperlink" Target="mailto:ZACHDOTY@gmail.com" TargetMode="External"/><Relationship Id="rId1285" Type="http://schemas.openxmlformats.org/officeDocument/2006/relationships/hyperlink" Target="mailto:universal1repair@gmail.com" TargetMode="External"/><Relationship Id="rId1492" Type="http://schemas.openxmlformats.org/officeDocument/2006/relationships/hyperlink" Target="mailto:golsen@borderstates.com" TargetMode="External"/><Relationship Id="rId1506" Type="http://schemas.openxmlformats.org/officeDocument/2006/relationships/hyperlink" Target="mailto:golsen@borderstates.com" TargetMode="External"/><Relationship Id="rId294" Type="http://schemas.openxmlformats.org/officeDocument/2006/relationships/hyperlink" Target="mailto:tyoung07517@roadrunner.com" TargetMode="External"/><Relationship Id="rId308" Type="http://schemas.openxmlformats.org/officeDocument/2006/relationships/hyperlink" Target="mailto:badboy_jaws@yahoo.com" TargetMode="External"/><Relationship Id="rId515" Type="http://schemas.openxmlformats.org/officeDocument/2006/relationships/hyperlink" Target="mailto:rodney@t-bred.com" TargetMode="External"/><Relationship Id="rId722" Type="http://schemas.openxmlformats.org/officeDocument/2006/relationships/hyperlink" Target="mailto:jagdish.sanghani@gmail.com" TargetMode="External"/><Relationship Id="rId1145" Type="http://schemas.openxmlformats.org/officeDocument/2006/relationships/hyperlink" Target="mailto:gregnjen@cheqnet.net" TargetMode="External"/><Relationship Id="rId1352" Type="http://schemas.openxmlformats.org/officeDocument/2006/relationships/hyperlink" Target="mailto:eric@advantageelectric.com" TargetMode="External"/><Relationship Id="rId89" Type="http://schemas.openxmlformats.org/officeDocument/2006/relationships/hyperlink" Target="mailto:jmlogging@yahoo.com" TargetMode="External"/><Relationship Id="rId154" Type="http://schemas.openxmlformats.org/officeDocument/2006/relationships/hyperlink" Target="mailto:papadave@cableone.net" TargetMode="External"/><Relationship Id="rId361" Type="http://schemas.openxmlformats.org/officeDocument/2006/relationships/hyperlink" Target="mailto:johndalyvalet@aol.com" TargetMode="External"/><Relationship Id="rId599" Type="http://schemas.openxmlformats.org/officeDocument/2006/relationships/hyperlink" Target="mailto:ddish53@yahoo.com" TargetMode="External"/><Relationship Id="rId1005" Type="http://schemas.openxmlformats.org/officeDocument/2006/relationships/hyperlink" Target="mailto:jstarlin@ouc.com" TargetMode="External"/><Relationship Id="rId1212" Type="http://schemas.openxmlformats.org/officeDocument/2006/relationships/hyperlink" Target="mailto:gordontink@hotmail.com" TargetMode="External"/><Relationship Id="rId459" Type="http://schemas.openxmlformats.org/officeDocument/2006/relationships/hyperlink" Target="mailto:admin@aosoutlet.com" TargetMode="External"/><Relationship Id="rId666" Type="http://schemas.openxmlformats.org/officeDocument/2006/relationships/hyperlink" Target="mailto:shane@evoics.com" TargetMode="External"/><Relationship Id="rId873" Type="http://schemas.openxmlformats.org/officeDocument/2006/relationships/hyperlink" Target="mailto:wayne.ray@sbdinc.com" TargetMode="External"/><Relationship Id="rId1089" Type="http://schemas.openxmlformats.org/officeDocument/2006/relationships/hyperlink" Target="mailto:mkpgrady@comcast.net" TargetMode="External"/><Relationship Id="rId1296" Type="http://schemas.openxmlformats.org/officeDocument/2006/relationships/hyperlink" Target="mailto:warren@ziaproducts.com" TargetMode="External"/><Relationship Id="rId1517" Type="http://schemas.openxmlformats.org/officeDocument/2006/relationships/hyperlink" Target="mailto:tom@overman.biz" TargetMode="External"/><Relationship Id="rId16" Type="http://schemas.openxmlformats.org/officeDocument/2006/relationships/hyperlink" Target="mailto:agonzalez@ihtcorp.com" TargetMode="External"/><Relationship Id="rId221" Type="http://schemas.openxmlformats.org/officeDocument/2006/relationships/hyperlink" Target="mailto:danny@trmsinc.com" TargetMode="External"/><Relationship Id="rId319" Type="http://schemas.openxmlformats.org/officeDocument/2006/relationships/hyperlink" Target="mailto:crisoh@sbcglobal.net" TargetMode="External"/><Relationship Id="rId526" Type="http://schemas.openxmlformats.org/officeDocument/2006/relationships/hyperlink" Target="mailto:toolrental_1228@homedepot.com" TargetMode="External"/><Relationship Id="rId1156" Type="http://schemas.openxmlformats.org/officeDocument/2006/relationships/hyperlink" Target="mailto:NYGOV@stores.fastenal.com" TargetMode="External"/><Relationship Id="rId1363" Type="http://schemas.openxmlformats.org/officeDocument/2006/relationships/hyperlink" Target="mailto:tbiehl@frontier.com" TargetMode="External"/><Relationship Id="rId733" Type="http://schemas.openxmlformats.org/officeDocument/2006/relationships/hyperlink" Target="mailto:newcitygc@gmail.com" TargetMode="External"/><Relationship Id="rId940" Type="http://schemas.openxmlformats.org/officeDocument/2006/relationships/hyperlink" Target="mailto:elisa.velasco@ge.com" TargetMode="External"/><Relationship Id="rId1016" Type="http://schemas.openxmlformats.org/officeDocument/2006/relationships/hyperlink" Target="mailto:craig@forkliftgarage.com" TargetMode="External"/><Relationship Id="rId1570" Type="http://schemas.openxmlformats.org/officeDocument/2006/relationships/hyperlink" Target="mailto:jay.mccandless@unnpp.gov" TargetMode="External"/><Relationship Id="rId165" Type="http://schemas.openxmlformats.org/officeDocument/2006/relationships/hyperlink" Target="mailto:calabreseelectric@verizon.net" TargetMode="External"/><Relationship Id="rId372" Type="http://schemas.openxmlformats.org/officeDocument/2006/relationships/hyperlink" Target="mailto:nabersproduce@hotmail.com" TargetMode="External"/><Relationship Id="rId677" Type="http://schemas.openxmlformats.org/officeDocument/2006/relationships/hyperlink" Target="mailto:sq2qao@aol.com" TargetMode="External"/><Relationship Id="rId800" Type="http://schemas.openxmlformats.org/officeDocument/2006/relationships/hyperlink" Target="mailto:japarts_terry@hotmail.com" TargetMode="External"/><Relationship Id="rId1223" Type="http://schemas.openxmlformats.org/officeDocument/2006/relationships/hyperlink" Target="mailto:GLISTORFF@YAHOO.COM" TargetMode="External"/><Relationship Id="rId1430" Type="http://schemas.openxmlformats.org/officeDocument/2006/relationships/hyperlink" Target="mailto:cardiacjohn@hotmail.com" TargetMode="External"/><Relationship Id="rId1528" Type="http://schemas.openxmlformats.org/officeDocument/2006/relationships/hyperlink" Target="mailto:info@altamirainstruments.com" TargetMode="External"/><Relationship Id="rId232" Type="http://schemas.openxmlformats.org/officeDocument/2006/relationships/hyperlink" Target="mailto:jerzy@mmbcontractors.com" TargetMode="External"/><Relationship Id="rId884" Type="http://schemas.openxmlformats.org/officeDocument/2006/relationships/hyperlink" Target="mailto:cootingram@yahoo.com" TargetMode="External"/><Relationship Id="rId27" Type="http://schemas.openxmlformats.org/officeDocument/2006/relationships/hyperlink" Target="mailto:marshall@imagetechnology.net" TargetMode="External"/><Relationship Id="rId537" Type="http://schemas.openxmlformats.org/officeDocument/2006/relationships/hyperlink" Target="mailto:dray@vpsfl.org" TargetMode="External"/><Relationship Id="rId744" Type="http://schemas.openxmlformats.org/officeDocument/2006/relationships/hyperlink" Target="mailto:powerproduct@att.net" TargetMode="External"/><Relationship Id="rId951" Type="http://schemas.openxmlformats.org/officeDocument/2006/relationships/hyperlink" Target="mailto:admin@ohm-racing.com" TargetMode="External"/><Relationship Id="rId1167" Type="http://schemas.openxmlformats.org/officeDocument/2006/relationships/hyperlink" Target="mailto:albertwright20@gmail.com" TargetMode="External"/><Relationship Id="rId1374" Type="http://schemas.openxmlformats.org/officeDocument/2006/relationships/hyperlink" Target="mailto:alvin.tang@westing.cn" TargetMode="External"/><Relationship Id="rId1581" Type="http://schemas.openxmlformats.org/officeDocument/2006/relationships/hyperlink" Target="mailto:jlongoria@casarica.com" TargetMode="External"/><Relationship Id="rId80" Type="http://schemas.openxmlformats.org/officeDocument/2006/relationships/hyperlink" Target="mailto:geowal3@hotmail.com" TargetMode="External"/><Relationship Id="rId176" Type="http://schemas.openxmlformats.org/officeDocument/2006/relationships/hyperlink" Target="mailto:kweaver@brewmation.com" TargetMode="External"/><Relationship Id="rId383" Type="http://schemas.openxmlformats.org/officeDocument/2006/relationships/hyperlink" Target="mailto:salesusa@aepgroup.net" TargetMode="External"/><Relationship Id="rId590" Type="http://schemas.openxmlformats.org/officeDocument/2006/relationships/hyperlink" Target="mailto:bellal@dctllc.net" TargetMode="External"/><Relationship Id="rId604" Type="http://schemas.openxmlformats.org/officeDocument/2006/relationships/hyperlink" Target="mailto:mworthy@trcsolutions.com" TargetMode="External"/><Relationship Id="rId811" Type="http://schemas.openxmlformats.org/officeDocument/2006/relationships/hyperlink" Target="mailto:wmbanner@centurylink.net" TargetMode="External"/><Relationship Id="rId1027" Type="http://schemas.openxmlformats.org/officeDocument/2006/relationships/hyperlink" Target="mailto:highchapparal@verizon.net" TargetMode="External"/><Relationship Id="rId1234" Type="http://schemas.openxmlformats.org/officeDocument/2006/relationships/hyperlink" Target="mailto:RHAYES19534U@YAHOO.COM" TargetMode="External"/><Relationship Id="rId1441" Type="http://schemas.openxmlformats.org/officeDocument/2006/relationships/hyperlink" Target="mailto:torres@jlab.org" TargetMode="External"/><Relationship Id="rId243" Type="http://schemas.openxmlformats.org/officeDocument/2006/relationships/hyperlink" Target="mailto:tschirhartlarry@yahoo.com" TargetMode="External"/><Relationship Id="rId450" Type="http://schemas.openxmlformats.org/officeDocument/2006/relationships/hyperlink" Target="mailto:cez_girl23@yahoo.com" TargetMode="External"/><Relationship Id="rId688" Type="http://schemas.openxmlformats.org/officeDocument/2006/relationships/hyperlink" Target="mailto:leskuhl@kea-inc.net" TargetMode="External"/><Relationship Id="rId895" Type="http://schemas.openxmlformats.org/officeDocument/2006/relationships/hyperlink" Target="mailto:peter@zzservers.com" TargetMode="External"/><Relationship Id="rId909" Type="http://schemas.openxmlformats.org/officeDocument/2006/relationships/hyperlink" Target="mailto:jaguero@kleintools.com" TargetMode="External"/><Relationship Id="rId1080" Type="http://schemas.openxmlformats.org/officeDocument/2006/relationships/hyperlink" Target="mailto:brianeudaly@ctiengineering.com" TargetMode="External"/><Relationship Id="rId1301" Type="http://schemas.openxmlformats.org/officeDocument/2006/relationships/hyperlink" Target="mailto:mbraun1@microcenter.com" TargetMode="External"/><Relationship Id="rId1539" Type="http://schemas.openxmlformats.org/officeDocument/2006/relationships/hyperlink" Target="mailto:stucki14@sbcglobal.net" TargetMode="External"/><Relationship Id="rId38" Type="http://schemas.openxmlformats.org/officeDocument/2006/relationships/hyperlink" Target="mailto:egestl@wcupa.edu" TargetMode="External"/><Relationship Id="rId103" Type="http://schemas.openxmlformats.org/officeDocument/2006/relationships/hyperlink" Target="mailto:ray3el@aol.com" TargetMode="External"/><Relationship Id="rId310" Type="http://schemas.openxmlformats.org/officeDocument/2006/relationships/hyperlink" Target="mailto:bradfordlybrown@gmail.com" TargetMode="External"/><Relationship Id="rId548" Type="http://schemas.openxmlformats.org/officeDocument/2006/relationships/hyperlink" Target="mailto:contractingmaster@yahoo.com" TargetMode="External"/><Relationship Id="rId755" Type="http://schemas.openxmlformats.org/officeDocument/2006/relationships/hyperlink" Target="mailto:fred.seal@ackrit.com" TargetMode="External"/><Relationship Id="rId962" Type="http://schemas.openxmlformats.org/officeDocument/2006/relationships/hyperlink" Target="mailto:josef@stone-quest.com" TargetMode="External"/><Relationship Id="rId1178" Type="http://schemas.openxmlformats.org/officeDocument/2006/relationships/hyperlink" Target="mailto:NYGOV@stores.fastenal.com" TargetMode="External"/><Relationship Id="rId1385" Type="http://schemas.openxmlformats.org/officeDocument/2006/relationships/hyperlink" Target="mailto:leftygolden@gmail.com" TargetMode="External"/><Relationship Id="rId1592" Type="http://schemas.openxmlformats.org/officeDocument/2006/relationships/hyperlink" Target="mailto:warren@ziaproducts.com" TargetMode="External"/><Relationship Id="rId1606" Type="http://schemas.openxmlformats.org/officeDocument/2006/relationships/hyperlink" Target="mailto:ultrad123@gmail.com" TargetMode="External"/><Relationship Id="rId91" Type="http://schemas.openxmlformats.org/officeDocument/2006/relationships/hyperlink" Target="mailto:mstaley75@yahoo.com" TargetMode="External"/><Relationship Id="rId187" Type="http://schemas.openxmlformats.org/officeDocument/2006/relationships/hyperlink" Target="mailto:june.small-rolston@nycha.nyc.gov" TargetMode="External"/><Relationship Id="rId394" Type="http://schemas.openxmlformats.org/officeDocument/2006/relationships/hyperlink" Target="mailto:gatorpl@bellsouth.net" TargetMode="External"/><Relationship Id="rId408" Type="http://schemas.openxmlformats.org/officeDocument/2006/relationships/hyperlink" Target="mailto:stucki14@sbcglobal.net" TargetMode="External"/><Relationship Id="rId615" Type="http://schemas.openxmlformats.org/officeDocument/2006/relationships/hyperlink" Target="mailto:mo@4beyond.com" TargetMode="External"/><Relationship Id="rId822" Type="http://schemas.openxmlformats.org/officeDocument/2006/relationships/hyperlink" Target="mailto:kgoff80@gmail.com" TargetMode="External"/><Relationship Id="rId1038" Type="http://schemas.openxmlformats.org/officeDocument/2006/relationships/hyperlink" Target="mailto:stucki14@sbcglobal.net" TargetMode="External"/><Relationship Id="rId1245" Type="http://schemas.openxmlformats.org/officeDocument/2006/relationships/hyperlink" Target="mailto:info@ductlessaire.com" TargetMode="External"/><Relationship Id="rId1452" Type="http://schemas.openxmlformats.org/officeDocument/2006/relationships/hyperlink" Target="mailto:smothers89@mindspring.com" TargetMode="External"/><Relationship Id="rId254" Type="http://schemas.openxmlformats.org/officeDocument/2006/relationships/hyperlink" Target="mailto:shragelectric1@yahoo.com" TargetMode="External"/><Relationship Id="rId699" Type="http://schemas.openxmlformats.org/officeDocument/2006/relationships/hyperlink" Target="mailto:kblock@crcom.net" TargetMode="External"/><Relationship Id="rId1091" Type="http://schemas.openxmlformats.org/officeDocument/2006/relationships/hyperlink" Target="mailto:skydoc11@hotmail.com" TargetMode="External"/><Relationship Id="rId1105" Type="http://schemas.openxmlformats.org/officeDocument/2006/relationships/hyperlink" Target="mailto:roman2040@gmail.com" TargetMode="External"/><Relationship Id="rId1312" Type="http://schemas.openxmlformats.org/officeDocument/2006/relationships/hyperlink" Target="mailto:dee.shrier@sbcglobal.net" TargetMode="External"/><Relationship Id="rId49" Type="http://schemas.openxmlformats.org/officeDocument/2006/relationships/hyperlink" Target="mailto:domiela@biscoind.com" TargetMode="External"/><Relationship Id="rId114" Type="http://schemas.openxmlformats.org/officeDocument/2006/relationships/hyperlink" Target="mailto:darren.wendland@gmail.com" TargetMode="External"/><Relationship Id="rId461" Type="http://schemas.openxmlformats.org/officeDocument/2006/relationships/hyperlink" Target="mailto:bcasteel@onenet.net" TargetMode="External"/><Relationship Id="rId559" Type="http://schemas.openxmlformats.org/officeDocument/2006/relationships/hyperlink" Target="mailto:aisa.cabrillos@escoglobal.com" TargetMode="External"/><Relationship Id="rId766" Type="http://schemas.openxmlformats.org/officeDocument/2006/relationships/hyperlink" Target="mailto:wallygirls@yahoo.com" TargetMode="External"/><Relationship Id="rId1189" Type="http://schemas.openxmlformats.org/officeDocument/2006/relationships/hyperlink" Target="mailto:djrokasonido@hotmail.com" TargetMode="External"/><Relationship Id="rId1396" Type="http://schemas.openxmlformats.org/officeDocument/2006/relationships/hyperlink" Target="mailto:bigf00t@duranddigital.com" TargetMode="External"/><Relationship Id="rId1617" Type="http://schemas.openxmlformats.org/officeDocument/2006/relationships/hyperlink" Target="mailto:mcmarchitto@gmail.com" TargetMode="External"/><Relationship Id="rId198" Type="http://schemas.openxmlformats.org/officeDocument/2006/relationships/hyperlink" Target="mailto:Matt.Colker@wvaelectric.com" TargetMode="External"/><Relationship Id="rId321" Type="http://schemas.openxmlformats.org/officeDocument/2006/relationships/hyperlink" Target="mailto:gundersentreeservice@hotmail.com" TargetMode="External"/><Relationship Id="rId419" Type="http://schemas.openxmlformats.org/officeDocument/2006/relationships/hyperlink" Target="mailto:jaronturnbow@gmail.com" TargetMode="External"/><Relationship Id="rId626" Type="http://schemas.openxmlformats.org/officeDocument/2006/relationships/hyperlink" Target="mailto:cemcbride@focusenv.com" TargetMode="External"/><Relationship Id="rId973" Type="http://schemas.openxmlformats.org/officeDocument/2006/relationships/hyperlink" Target="mailto:kyriverbound77@yahoo.com" TargetMode="External"/><Relationship Id="rId1049" Type="http://schemas.openxmlformats.org/officeDocument/2006/relationships/hyperlink" Target="mailto:info@ductlessaire.com" TargetMode="External"/><Relationship Id="rId1256" Type="http://schemas.openxmlformats.org/officeDocument/2006/relationships/hyperlink" Target="mailto:rsm@loumarks.com" TargetMode="External"/><Relationship Id="rId833" Type="http://schemas.openxmlformats.org/officeDocument/2006/relationships/hyperlink" Target="mailto:scemotorman@comcast.net" TargetMode="External"/><Relationship Id="rId1116" Type="http://schemas.openxmlformats.org/officeDocument/2006/relationships/hyperlink" Target="mailto:bear1701d@msn.com" TargetMode="External"/><Relationship Id="rId1463" Type="http://schemas.openxmlformats.org/officeDocument/2006/relationships/hyperlink" Target="mailto:migman@echoes.net" TargetMode="External"/><Relationship Id="rId265" Type="http://schemas.openxmlformats.org/officeDocument/2006/relationships/hyperlink" Target="mailto:cruz@ge.com" TargetMode="External"/><Relationship Id="rId472" Type="http://schemas.openxmlformats.org/officeDocument/2006/relationships/hyperlink" Target="mailto:elizabethzehrung@gmail.com" TargetMode="External"/><Relationship Id="rId900" Type="http://schemas.openxmlformats.org/officeDocument/2006/relationships/hyperlink" Target="mailto:pocoproducts@yahoo.com" TargetMode="External"/><Relationship Id="rId1323" Type="http://schemas.openxmlformats.org/officeDocument/2006/relationships/hyperlink" Target="mailto:check@checkelectricllc.com" TargetMode="External"/><Relationship Id="rId1530" Type="http://schemas.openxmlformats.org/officeDocument/2006/relationships/hyperlink" Target="mailto:sheru24@hotmail.com" TargetMode="External"/><Relationship Id="rId125" Type="http://schemas.openxmlformats.org/officeDocument/2006/relationships/hyperlink" Target="mailto:bdroth@yahoo.com" TargetMode="External"/><Relationship Id="rId332" Type="http://schemas.openxmlformats.org/officeDocument/2006/relationships/hyperlink" Target="mailto:nomanslandoutfitters@yahoo.com" TargetMode="External"/><Relationship Id="rId777" Type="http://schemas.openxmlformats.org/officeDocument/2006/relationships/hyperlink" Target="mailto:alexis@rpeus.com" TargetMode="External"/><Relationship Id="rId984" Type="http://schemas.openxmlformats.org/officeDocument/2006/relationships/hyperlink" Target="mailto:PAULH@MIDWESTMOBILESTAGES.COM" TargetMode="External"/><Relationship Id="rId637" Type="http://schemas.openxmlformats.org/officeDocument/2006/relationships/hyperlink" Target="mailto:lfeuerman@ccibenefits.com" TargetMode="External"/><Relationship Id="rId844" Type="http://schemas.openxmlformats.org/officeDocument/2006/relationships/hyperlink" Target="mailto:NYGOV@stores.fastenal.com" TargetMode="External"/><Relationship Id="rId1267" Type="http://schemas.openxmlformats.org/officeDocument/2006/relationships/hyperlink" Target="mailto:mike@earthtech.biz" TargetMode="External"/><Relationship Id="rId1474" Type="http://schemas.openxmlformats.org/officeDocument/2006/relationships/hyperlink" Target="mailto:golsen@borderstates.com" TargetMode="External"/><Relationship Id="rId276" Type="http://schemas.openxmlformats.org/officeDocument/2006/relationships/hyperlink" Target="mailto:mcharles@molyworks.com" TargetMode="External"/><Relationship Id="rId483" Type="http://schemas.openxmlformats.org/officeDocument/2006/relationships/hyperlink" Target="mailto:mtapro2001@gmail.com" TargetMode="External"/><Relationship Id="rId690" Type="http://schemas.openxmlformats.org/officeDocument/2006/relationships/hyperlink" Target="mailto:rresseau@wildblue.net" TargetMode="External"/><Relationship Id="rId704" Type="http://schemas.openxmlformats.org/officeDocument/2006/relationships/hyperlink" Target="mailto:sherdon@centurytel.net" TargetMode="External"/><Relationship Id="rId911" Type="http://schemas.openxmlformats.org/officeDocument/2006/relationships/hyperlink" Target="mailto:eps@equiparser.com" TargetMode="External"/><Relationship Id="rId1127" Type="http://schemas.openxmlformats.org/officeDocument/2006/relationships/hyperlink" Target="mailto:pselectricalcontractor@hotmail.com" TargetMode="External"/><Relationship Id="rId1334" Type="http://schemas.openxmlformats.org/officeDocument/2006/relationships/hyperlink" Target="mailto:dickens111@gmail.com" TargetMode="External"/><Relationship Id="rId1541" Type="http://schemas.openxmlformats.org/officeDocument/2006/relationships/hyperlink" Target="mailto:nsire@msn.com" TargetMode="External"/><Relationship Id="rId40" Type="http://schemas.openxmlformats.org/officeDocument/2006/relationships/hyperlink" Target="mailto:tom@wysockielectric.com" TargetMode="External"/><Relationship Id="rId136" Type="http://schemas.openxmlformats.org/officeDocument/2006/relationships/hyperlink" Target="mailto:salimasmg@yahoo.com" TargetMode="External"/><Relationship Id="rId343" Type="http://schemas.openxmlformats.org/officeDocument/2006/relationships/hyperlink" Target="mailto:pkim@kleintools.com%20and%20jaguero@kleintools.com" TargetMode="External"/><Relationship Id="rId550" Type="http://schemas.openxmlformats.org/officeDocument/2006/relationships/hyperlink" Target="mailto:jimbriale1@verizon.net" TargetMode="External"/><Relationship Id="rId788" Type="http://schemas.openxmlformats.org/officeDocument/2006/relationships/hyperlink" Target="mailto:mikeke07@gmail.com" TargetMode="External"/><Relationship Id="rId995" Type="http://schemas.openxmlformats.org/officeDocument/2006/relationships/hyperlink" Target="mailto:koedamus@yahoo.com" TargetMode="External"/><Relationship Id="rId1180" Type="http://schemas.openxmlformats.org/officeDocument/2006/relationships/hyperlink" Target="mailto:rresseau@wildblue.net" TargetMode="External"/><Relationship Id="rId1401" Type="http://schemas.openxmlformats.org/officeDocument/2006/relationships/hyperlink" Target="mailto:ndon@trustpremierac.com" TargetMode="External"/><Relationship Id="rId203" Type="http://schemas.openxmlformats.org/officeDocument/2006/relationships/hyperlink" Target="mailto:chr1030@netzero.com" TargetMode="External"/><Relationship Id="rId648" Type="http://schemas.openxmlformats.org/officeDocument/2006/relationships/hyperlink" Target="mailto:rodney@t-bred.com" TargetMode="External"/><Relationship Id="rId855" Type="http://schemas.openxmlformats.org/officeDocument/2006/relationships/hyperlink" Target="mailto:weimr@hotmail.com" TargetMode="External"/><Relationship Id="rId1040" Type="http://schemas.openxmlformats.org/officeDocument/2006/relationships/hyperlink" Target="mailto:sunshinelawnandgarden@yahoo.com" TargetMode="External"/><Relationship Id="rId1278" Type="http://schemas.openxmlformats.org/officeDocument/2006/relationships/hyperlink" Target="mailto:NYGOV@stores.fastenal.com" TargetMode="External"/><Relationship Id="rId1485" Type="http://schemas.openxmlformats.org/officeDocument/2006/relationships/hyperlink" Target="mailto:INVOICE%20TO%20supplierinvoice@graybar.com" TargetMode="External"/><Relationship Id="rId287" Type="http://schemas.openxmlformats.org/officeDocument/2006/relationships/hyperlink" Target="mailto:kweaver@brewmation.com" TargetMode="External"/><Relationship Id="rId410" Type="http://schemas.openxmlformats.org/officeDocument/2006/relationships/hyperlink" Target="mailto:newenglandelectric@snet.net" TargetMode="External"/><Relationship Id="rId494" Type="http://schemas.openxmlformats.org/officeDocument/2006/relationships/hyperlink" Target="mailto:michaely@sunvalleyelectricinc.com" TargetMode="External"/><Relationship Id="rId508" Type="http://schemas.openxmlformats.org/officeDocument/2006/relationships/hyperlink" Target="mailto:classic1033@gmail.com" TargetMode="External"/><Relationship Id="rId715" Type="http://schemas.openxmlformats.org/officeDocument/2006/relationships/hyperlink" Target="mailto:claudia@mro-global.com.mx" TargetMode="External"/><Relationship Id="rId922" Type="http://schemas.openxmlformats.org/officeDocument/2006/relationships/hyperlink" Target="mailto:gil.resto@grelectricllc.com" TargetMode="External"/><Relationship Id="rId1138" Type="http://schemas.openxmlformats.org/officeDocument/2006/relationships/hyperlink" Target="mailto:jpmurray12@aol.com" TargetMode="External"/><Relationship Id="rId1345" Type="http://schemas.openxmlformats.org/officeDocument/2006/relationships/hyperlink" Target="mailto:michaely@sunvalleyelectricinc.com" TargetMode="External"/><Relationship Id="rId1552" Type="http://schemas.openxmlformats.org/officeDocument/2006/relationships/hyperlink" Target="mailto:pberlinquet@itftechnologies.com" TargetMode="External"/><Relationship Id="rId147" Type="http://schemas.openxmlformats.org/officeDocument/2006/relationships/hyperlink" Target="mailto:hmh461e5@hotmail.com" TargetMode="External"/><Relationship Id="rId354" Type="http://schemas.openxmlformats.org/officeDocument/2006/relationships/hyperlink" Target="mailto:keith@broadway-electric.com" TargetMode="External"/><Relationship Id="rId799" Type="http://schemas.openxmlformats.org/officeDocument/2006/relationships/hyperlink" Target="mailto:jtpope@doc.nv.gov" TargetMode="External"/><Relationship Id="rId1191" Type="http://schemas.openxmlformats.org/officeDocument/2006/relationships/hyperlink" Target="mailto:rrobbin@twcny.rr.com" TargetMode="External"/><Relationship Id="rId1205" Type="http://schemas.openxmlformats.org/officeDocument/2006/relationships/hyperlink" Target="mailto:albertwright20@gmail.com" TargetMode="External"/><Relationship Id="rId51" Type="http://schemas.openxmlformats.org/officeDocument/2006/relationships/hyperlink" Target="mailto:llpeoj@gmail.com" TargetMode="External"/><Relationship Id="rId561" Type="http://schemas.openxmlformats.org/officeDocument/2006/relationships/hyperlink" Target="mailto:hwismail@yahoo.com" TargetMode="External"/><Relationship Id="rId659" Type="http://schemas.openxmlformats.org/officeDocument/2006/relationships/hyperlink" Target="mailto:jslaughter69@gmail.com" TargetMode="External"/><Relationship Id="rId866" Type="http://schemas.openxmlformats.org/officeDocument/2006/relationships/hyperlink" Target="mailto:john_l_harman@yahoo.com" TargetMode="External"/><Relationship Id="rId1289" Type="http://schemas.openxmlformats.org/officeDocument/2006/relationships/hyperlink" Target="mailto:northhamptonkoa@aol.com" TargetMode="External"/><Relationship Id="rId1412" Type="http://schemas.openxmlformats.org/officeDocument/2006/relationships/hyperlink" Target="mailto:noproblemelectric@yahoo.com" TargetMode="External"/><Relationship Id="rId1496" Type="http://schemas.openxmlformats.org/officeDocument/2006/relationships/hyperlink" Target="mailto:jdroofinga1@msn.com" TargetMode="External"/><Relationship Id="rId214" Type="http://schemas.openxmlformats.org/officeDocument/2006/relationships/hyperlink" Target="mailto:joe.ritota@anniesbread.com" TargetMode="External"/><Relationship Id="rId298" Type="http://schemas.openxmlformats.org/officeDocument/2006/relationships/hyperlink" Target="mailto:bgammill@yoeconcreteindustrial.com" TargetMode="External"/><Relationship Id="rId421" Type="http://schemas.openxmlformats.org/officeDocument/2006/relationships/hyperlink" Target="mailto:johnny_da_rabel@yahoo.com" TargetMode="External"/><Relationship Id="rId519" Type="http://schemas.openxmlformats.org/officeDocument/2006/relationships/hyperlink" Target="mailto:shane@evoics.com" TargetMode="External"/><Relationship Id="rId1051" Type="http://schemas.openxmlformats.org/officeDocument/2006/relationships/hyperlink" Target="mailto:oakmanx@aol.com" TargetMode="External"/><Relationship Id="rId1149" Type="http://schemas.openxmlformats.org/officeDocument/2006/relationships/hyperlink" Target="mailto:nazeemul@goldenfleecerice.com" TargetMode="External"/><Relationship Id="rId1356" Type="http://schemas.openxmlformats.org/officeDocument/2006/relationships/hyperlink" Target="mailto:apinheiro@williamssolar.com" TargetMode="External"/><Relationship Id="rId158" Type="http://schemas.openxmlformats.org/officeDocument/2006/relationships/hyperlink" Target="mailto:amegu@amegu.com" TargetMode="External"/><Relationship Id="rId726" Type="http://schemas.openxmlformats.org/officeDocument/2006/relationships/hyperlink" Target="mailto:cshane35@gmail.com" TargetMode="External"/><Relationship Id="rId933" Type="http://schemas.openxmlformats.org/officeDocument/2006/relationships/hyperlink" Target="mailto:purchasing@harrisonhydragen.org" TargetMode="External"/><Relationship Id="rId1009" Type="http://schemas.openxmlformats.org/officeDocument/2006/relationships/hyperlink" Target="mailto:michaely@sunvalleyelectricinc.com" TargetMode="External"/><Relationship Id="rId1563" Type="http://schemas.openxmlformats.org/officeDocument/2006/relationships/hyperlink" Target="mailto:dlpower@bellsouth.net" TargetMode="External"/><Relationship Id="rId62" Type="http://schemas.openxmlformats.org/officeDocument/2006/relationships/hyperlink" Target="mailto:dj.stansfield@elriusa.com" TargetMode="External"/><Relationship Id="rId365" Type="http://schemas.openxmlformats.org/officeDocument/2006/relationships/hyperlink" Target="mailto:daniel@rdelectricinc.com" TargetMode="External"/><Relationship Id="rId572" Type="http://schemas.openxmlformats.org/officeDocument/2006/relationships/hyperlink" Target="mailto:shopstores@uidaho.edu" TargetMode="External"/><Relationship Id="rId1216" Type="http://schemas.openxmlformats.org/officeDocument/2006/relationships/hyperlink" Target="mailto:joe.souders@husquvarnagroup.com" TargetMode="External"/><Relationship Id="rId1423" Type="http://schemas.openxmlformats.org/officeDocument/2006/relationships/hyperlink" Target="mailto:dobrien325@gmail.com%20/%20LLUELLEN808@AOL.COM" TargetMode="External"/><Relationship Id="rId225" Type="http://schemas.openxmlformats.org/officeDocument/2006/relationships/hyperlink" Target="mailto:richard.gilchrist@faa.gov" TargetMode="External"/><Relationship Id="rId432" Type="http://schemas.openxmlformats.org/officeDocument/2006/relationships/hyperlink" Target="mailto:gerardmoeller@gmail.com" TargetMode="External"/><Relationship Id="rId877" Type="http://schemas.openxmlformats.org/officeDocument/2006/relationships/hyperlink" Target="mailto:SEANPAUL.WARNICK@SECA-TUNNEL.COM" TargetMode="External"/><Relationship Id="rId1062" Type="http://schemas.openxmlformats.org/officeDocument/2006/relationships/hyperlink" Target="mailto:BREWER@RANGEWEB.NET" TargetMode="External"/><Relationship Id="rId737" Type="http://schemas.openxmlformats.org/officeDocument/2006/relationships/hyperlink" Target="mailto:NYGOV@stores.fastenal.com" TargetMode="External"/><Relationship Id="rId944" Type="http://schemas.openxmlformats.org/officeDocument/2006/relationships/hyperlink" Target="mailto:accounting@midwayps.com" TargetMode="External"/><Relationship Id="rId1367" Type="http://schemas.openxmlformats.org/officeDocument/2006/relationships/hyperlink" Target="mailto:christel.m.carpellotti.civ@mail.mil" TargetMode="External"/><Relationship Id="rId1574" Type="http://schemas.openxmlformats.org/officeDocument/2006/relationships/hyperlink" Target="mailto:mike@mtka-bec.com" TargetMode="External"/><Relationship Id="rId73" Type="http://schemas.openxmlformats.org/officeDocument/2006/relationships/hyperlink" Target="mailto:jaroot@vt.edu" TargetMode="External"/><Relationship Id="rId169" Type="http://schemas.openxmlformats.org/officeDocument/2006/relationships/hyperlink" Target="mailto:dylan.summer@neetrac.gatech.edu" TargetMode="External"/><Relationship Id="rId376" Type="http://schemas.openxmlformats.org/officeDocument/2006/relationships/hyperlink" Target="mailto:kweaver@brewmation.com" TargetMode="External"/><Relationship Id="rId583" Type="http://schemas.openxmlformats.org/officeDocument/2006/relationships/hyperlink" Target="mailto:eric.terry@industrialservicescompany.com" TargetMode="External"/><Relationship Id="rId790" Type="http://schemas.openxmlformats.org/officeDocument/2006/relationships/hyperlink" Target="mailto:braelecorp@gmail.com" TargetMode="External"/><Relationship Id="rId804" Type="http://schemas.openxmlformats.org/officeDocument/2006/relationships/hyperlink" Target="mailto:babcock@walshelectric.com" TargetMode="External"/><Relationship Id="rId1227" Type="http://schemas.openxmlformats.org/officeDocument/2006/relationships/hyperlink" Target="mailto:rbrown@sdbinc.com" TargetMode="External"/><Relationship Id="rId1434" Type="http://schemas.openxmlformats.org/officeDocument/2006/relationships/hyperlink" Target="mailto:rsm@loumarks.com" TargetMode="External"/><Relationship Id="rId4" Type="http://schemas.openxmlformats.org/officeDocument/2006/relationships/hyperlink" Target="mailto:daniel@rdelectricinc.com" TargetMode="External"/><Relationship Id="rId236" Type="http://schemas.openxmlformats.org/officeDocument/2006/relationships/hyperlink" Target="mailto:a.berrellez@winchesterelectronics.com" TargetMode="External"/><Relationship Id="rId443" Type="http://schemas.openxmlformats.org/officeDocument/2006/relationships/hyperlink" Target="mailto:danielvschiel@yahoo.com" TargetMode="External"/><Relationship Id="rId650" Type="http://schemas.openxmlformats.org/officeDocument/2006/relationships/hyperlink" Target="mailto:hwismail@yahoo.com" TargetMode="External"/><Relationship Id="rId888" Type="http://schemas.openxmlformats.org/officeDocument/2006/relationships/hyperlink" Target="mailto:robbiek123@gmail.com" TargetMode="External"/><Relationship Id="rId1073" Type="http://schemas.openxmlformats.org/officeDocument/2006/relationships/hyperlink" Target="mailto:KATE.AERIAL@COX.NET" TargetMode="External"/><Relationship Id="rId1280" Type="http://schemas.openxmlformats.org/officeDocument/2006/relationships/hyperlink" Target="mailto:donaldj82@comcast.net" TargetMode="External"/><Relationship Id="rId1501" Type="http://schemas.openxmlformats.org/officeDocument/2006/relationships/hyperlink" Target="mailto:mat@sunmmgr.com" TargetMode="External"/><Relationship Id="rId303" Type="http://schemas.openxmlformats.org/officeDocument/2006/relationships/hyperlink" Target="mailto:wraith546@hotmail.com" TargetMode="External"/><Relationship Id="rId748" Type="http://schemas.openxmlformats.org/officeDocument/2006/relationships/hyperlink" Target="mailto:elizabeths@griderhillmarina.com" TargetMode="External"/><Relationship Id="rId955" Type="http://schemas.openxmlformats.org/officeDocument/2006/relationships/hyperlink" Target="mailto:rene.attias@gmail.com" TargetMode="External"/><Relationship Id="rId1140" Type="http://schemas.openxmlformats.org/officeDocument/2006/relationships/hyperlink" Target="mailto:ncb3@customsecurecom.com" TargetMode="External"/><Relationship Id="rId1378" Type="http://schemas.openxmlformats.org/officeDocument/2006/relationships/hyperlink" Target="mailto:alex@manucostarica.com" TargetMode="External"/><Relationship Id="rId1585" Type="http://schemas.openxmlformats.org/officeDocument/2006/relationships/hyperlink" Target="mailto:ssargele@aol.com" TargetMode="External"/><Relationship Id="rId84" Type="http://schemas.openxmlformats.org/officeDocument/2006/relationships/hyperlink" Target="mailto:krzykawski@gmail.com" TargetMode="External"/><Relationship Id="rId387" Type="http://schemas.openxmlformats.org/officeDocument/2006/relationships/hyperlink" Target="mailto:tc88855@yahoo.com" TargetMode="External"/><Relationship Id="rId510" Type="http://schemas.openxmlformats.org/officeDocument/2006/relationships/hyperlink" Target="mailto:untamed69@comcast.net" TargetMode="External"/><Relationship Id="rId594" Type="http://schemas.openxmlformats.org/officeDocument/2006/relationships/hyperlink" Target="mailto:purchasing@harrisonhydragen.org" TargetMode="External"/><Relationship Id="rId608" Type="http://schemas.openxmlformats.org/officeDocument/2006/relationships/hyperlink" Target="mailto:kweaver@brewmation.com" TargetMode="External"/><Relationship Id="rId815" Type="http://schemas.openxmlformats.org/officeDocument/2006/relationships/hyperlink" Target="mailto:alexis@rpeus.com" TargetMode="External"/><Relationship Id="rId1238" Type="http://schemas.openxmlformats.org/officeDocument/2006/relationships/hyperlink" Target="mailto:corgilink@aol.com" TargetMode="External"/><Relationship Id="rId1445" Type="http://schemas.openxmlformats.org/officeDocument/2006/relationships/hyperlink" Target="mailto:travis.delk@bluegrassmetalworks.com" TargetMode="External"/><Relationship Id="rId247" Type="http://schemas.openxmlformats.org/officeDocument/2006/relationships/hyperlink" Target="mailto:billmangum@yahoo.com" TargetMode="External"/><Relationship Id="rId899" Type="http://schemas.openxmlformats.org/officeDocument/2006/relationships/hyperlink" Target="mailto:gloria@smeusainc.com" TargetMode="External"/><Relationship Id="rId1000" Type="http://schemas.openxmlformats.org/officeDocument/2006/relationships/hyperlink" Target="mailto:cpraniewicz@primeturbines.com" TargetMode="External"/><Relationship Id="rId1084" Type="http://schemas.openxmlformats.org/officeDocument/2006/relationships/hyperlink" Target="mailto:JERZYSZYM@GMAIL.COM" TargetMode="External"/><Relationship Id="rId1305" Type="http://schemas.openxmlformats.org/officeDocument/2006/relationships/hyperlink" Target="mailto:bhayden046@gmail.com" TargetMode="External"/><Relationship Id="rId107" Type="http://schemas.openxmlformats.org/officeDocument/2006/relationships/hyperlink" Target="mailto:oregonbrad2015@gmail.com" TargetMode="External"/><Relationship Id="rId454" Type="http://schemas.openxmlformats.org/officeDocument/2006/relationships/hyperlink" Target="mailto:einstein1@chase3000.com" TargetMode="External"/><Relationship Id="rId661" Type="http://schemas.openxmlformats.org/officeDocument/2006/relationships/hyperlink" Target="mailto:jsmercurio@hotmail.com" TargetMode="External"/><Relationship Id="rId759" Type="http://schemas.openxmlformats.org/officeDocument/2006/relationships/hyperlink" Target="mailto:purchasing@patagoniaglobalcorp.com" TargetMode="External"/><Relationship Id="rId966" Type="http://schemas.openxmlformats.org/officeDocument/2006/relationships/hyperlink" Target="mailto:roman2040@gmail.com" TargetMode="External"/><Relationship Id="rId1291" Type="http://schemas.openxmlformats.org/officeDocument/2006/relationships/hyperlink" Target="mailto:spares@rcg-usa.com" TargetMode="External"/><Relationship Id="rId1389" Type="http://schemas.openxmlformats.org/officeDocument/2006/relationships/hyperlink" Target="mailto:craignojo32@yahoo.com" TargetMode="External"/><Relationship Id="rId1512" Type="http://schemas.openxmlformats.org/officeDocument/2006/relationships/hyperlink" Target="mailto:wescerny@sbcglobal.net" TargetMode="External"/><Relationship Id="rId1596" Type="http://schemas.openxmlformats.org/officeDocument/2006/relationships/hyperlink" Target="mailto:msrugs13@gmail.com" TargetMode="External"/><Relationship Id="rId11" Type="http://schemas.openxmlformats.org/officeDocument/2006/relationships/hyperlink" Target="mailto:dale.mayle@sbcglobal.net" TargetMode="External"/><Relationship Id="rId314" Type="http://schemas.openxmlformats.org/officeDocument/2006/relationships/hyperlink" Target="mailto:reesestarks@hotmail.com" TargetMode="External"/><Relationship Id="rId398" Type="http://schemas.openxmlformats.org/officeDocument/2006/relationships/hyperlink" Target="mailto:cmeng69@gmail.com" TargetMode="External"/><Relationship Id="rId521" Type="http://schemas.openxmlformats.org/officeDocument/2006/relationships/hyperlink" Target="mailto:dmmiller13@mchsi.com" TargetMode="External"/><Relationship Id="rId619" Type="http://schemas.openxmlformats.org/officeDocument/2006/relationships/hyperlink" Target="mailto:augustvalentine23@gmail.com" TargetMode="External"/><Relationship Id="rId1151" Type="http://schemas.openxmlformats.org/officeDocument/2006/relationships/hyperlink" Target="mailto:gald2121@gmail.com" TargetMode="External"/><Relationship Id="rId1249" Type="http://schemas.openxmlformats.org/officeDocument/2006/relationships/hyperlink" Target="mailto:RAHUIZINGA@YAHOO.COM" TargetMode="External"/><Relationship Id="rId95" Type="http://schemas.openxmlformats.org/officeDocument/2006/relationships/hyperlink" Target="mailto:jamesweeks118@hotmail.com" TargetMode="External"/><Relationship Id="rId160" Type="http://schemas.openxmlformats.org/officeDocument/2006/relationships/hyperlink" Target="mailto:billd@dialsomm.com" TargetMode="External"/><Relationship Id="rId826" Type="http://schemas.openxmlformats.org/officeDocument/2006/relationships/hyperlink" Target="mailto:garyswenson@hotmail.com" TargetMode="External"/><Relationship Id="rId1011" Type="http://schemas.openxmlformats.org/officeDocument/2006/relationships/hyperlink" Target="mailto:peter.wilson@cottonhillsfarm.com" TargetMode="External"/><Relationship Id="rId1109" Type="http://schemas.openxmlformats.org/officeDocument/2006/relationships/hyperlink" Target="mailto:avozk@cavalia.net%20/%20logisticsc2@cavalia.net" TargetMode="External"/><Relationship Id="rId1456" Type="http://schemas.openxmlformats.org/officeDocument/2006/relationships/hyperlink" Target="mailto:bcworthington@mac.com" TargetMode="External"/><Relationship Id="rId258" Type="http://schemas.openxmlformats.org/officeDocument/2006/relationships/hyperlink" Target="mailto:rsaaudio@gmail.com" TargetMode="External"/><Relationship Id="rId465" Type="http://schemas.openxmlformats.org/officeDocument/2006/relationships/hyperlink" Target="mailto:radelk@yahoo.com" TargetMode="External"/><Relationship Id="rId672" Type="http://schemas.openxmlformats.org/officeDocument/2006/relationships/hyperlink" Target="mailto:washlloyd591@verizon.net" TargetMode="External"/><Relationship Id="rId1095" Type="http://schemas.openxmlformats.org/officeDocument/2006/relationships/hyperlink" Target="mailto:bwalat@temsinc.net" TargetMode="External"/><Relationship Id="rId1316" Type="http://schemas.openxmlformats.org/officeDocument/2006/relationships/hyperlink" Target="mailto:aleksandr.karmanskiy@nycha.nyc.gov" TargetMode="External"/><Relationship Id="rId1523" Type="http://schemas.openxmlformats.org/officeDocument/2006/relationships/hyperlink" Target="mailto:edinmn@nacec.org" TargetMode="External"/><Relationship Id="rId22" Type="http://schemas.openxmlformats.org/officeDocument/2006/relationships/hyperlink" Target="mailto:NYGOV@stores.fastenal.com" TargetMode="External"/><Relationship Id="rId118" Type="http://schemas.openxmlformats.org/officeDocument/2006/relationships/hyperlink" Target="mailto:fortuna.citiwide@gmail.com" TargetMode="External"/><Relationship Id="rId325" Type="http://schemas.openxmlformats.org/officeDocument/2006/relationships/hyperlink" Target="mailto:cecombsc@yahoo.com" TargetMode="External"/><Relationship Id="rId532" Type="http://schemas.openxmlformats.org/officeDocument/2006/relationships/hyperlink" Target="mailto:john_l_harmon@yahoo.com" TargetMode="External"/><Relationship Id="rId977" Type="http://schemas.openxmlformats.org/officeDocument/2006/relationships/hyperlink" Target="mailto:tjuzyk@hamilton.net" TargetMode="External"/><Relationship Id="rId1162" Type="http://schemas.openxmlformats.org/officeDocument/2006/relationships/hyperlink" Target="mailto:danny@trmsinc.com" TargetMode="External"/><Relationship Id="rId171" Type="http://schemas.openxmlformats.org/officeDocument/2006/relationships/hyperlink" Target="mailto:verjo@sasktel.net" TargetMode="External"/><Relationship Id="rId837" Type="http://schemas.openxmlformats.org/officeDocument/2006/relationships/hyperlink" Target="mailto:mike@wrrs.com" TargetMode="External"/><Relationship Id="rId1022" Type="http://schemas.openxmlformats.org/officeDocument/2006/relationships/hyperlink" Target="mailto:larryvalenzano@gmail.com" TargetMode="External"/><Relationship Id="rId1467" Type="http://schemas.openxmlformats.org/officeDocument/2006/relationships/hyperlink" Target="mailto:golsen@borderstates.com" TargetMode="External"/><Relationship Id="rId269" Type="http://schemas.openxmlformats.org/officeDocument/2006/relationships/hyperlink" Target="mailto:wgordon@neatheat.com" TargetMode="External"/><Relationship Id="rId476" Type="http://schemas.openxmlformats.org/officeDocument/2006/relationships/hyperlink" Target="mailto:harwell@mooresvillelaw.com" TargetMode="External"/><Relationship Id="rId683" Type="http://schemas.openxmlformats.org/officeDocument/2006/relationships/hyperlink" Target="mailto:wwgenerators@yahoo.com" TargetMode="External"/><Relationship Id="rId890" Type="http://schemas.openxmlformats.org/officeDocument/2006/relationships/hyperlink" Target="mailto:tscarla@excite.com" TargetMode="External"/><Relationship Id="rId904" Type="http://schemas.openxmlformats.org/officeDocument/2006/relationships/hyperlink" Target="mailto:g.olive@rainbosupplies.com" TargetMode="External"/><Relationship Id="rId1327" Type="http://schemas.openxmlformats.org/officeDocument/2006/relationships/hyperlink" Target="mailto:erik@thermospace.com" TargetMode="External"/><Relationship Id="rId1534" Type="http://schemas.openxmlformats.org/officeDocument/2006/relationships/hyperlink" Target="mailto:kweaver@brewmation.com" TargetMode="External"/><Relationship Id="rId33" Type="http://schemas.openxmlformats.org/officeDocument/2006/relationships/hyperlink" Target="mailto:jzimmer@wwrequip.com" TargetMode="External"/><Relationship Id="rId129" Type="http://schemas.openxmlformats.org/officeDocument/2006/relationships/hyperlink" Target="mailto:purchasing@yc.edu" TargetMode="External"/><Relationship Id="rId336" Type="http://schemas.openxmlformats.org/officeDocument/2006/relationships/hyperlink" Target="mailto:scott@doormachinery.com" TargetMode="External"/><Relationship Id="rId543" Type="http://schemas.openxmlformats.org/officeDocument/2006/relationships/hyperlink" Target="mailto:erock1996@hotmail.com" TargetMode="External"/><Relationship Id="rId988" Type="http://schemas.openxmlformats.org/officeDocument/2006/relationships/hyperlink" Target="mailto:93pcom@gmail.com" TargetMode="External"/><Relationship Id="rId1173" Type="http://schemas.openxmlformats.org/officeDocument/2006/relationships/hyperlink" Target="mailto:dwg@pa.metrocast.net" TargetMode="External"/><Relationship Id="rId1380" Type="http://schemas.openxmlformats.org/officeDocument/2006/relationships/hyperlink" Target="mailto:mo@4beyond.com" TargetMode="External"/><Relationship Id="rId1601" Type="http://schemas.openxmlformats.org/officeDocument/2006/relationships/hyperlink" Target="mailto:alvin.tang@westing.cn" TargetMode="External"/><Relationship Id="rId182" Type="http://schemas.openxmlformats.org/officeDocument/2006/relationships/hyperlink" Target="mailto:tthomas@pmhwv.org" TargetMode="External"/><Relationship Id="rId403" Type="http://schemas.openxmlformats.org/officeDocument/2006/relationships/hyperlink" Target="mailto:RROBBIN@TWCNY.RR.COM" TargetMode="External"/><Relationship Id="rId750" Type="http://schemas.openxmlformats.org/officeDocument/2006/relationships/hyperlink" Target="mailto:georgeb@saranindustries.com" TargetMode="External"/><Relationship Id="rId848" Type="http://schemas.openxmlformats.org/officeDocument/2006/relationships/hyperlink" Target="mailto:steven.cavazos@gmail.com" TargetMode="External"/><Relationship Id="rId1033" Type="http://schemas.openxmlformats.org/officeDocument/2006/relationships/hyperlink" Target="mailto:shawn.k@hotmail.com" TargetMode="External"/><Relationship Id="rId1478" Type="http://schemas.openxmlformats.org/officeDocument/2006/relationships/hyperlink" Target="mailto:brian.beasley1980@gmail.com" TargetMode="External"/><Relationship Id="rId487" Type="http://schemas.openxmlformats.org/officeDocument/2006/relationships/hyperlink" Target="mailto:transportcustoms@yahoo.com" TargetMode="External"/><Relationship Id="rId610" Type="http://schemas.openxmlformats.org/officeDocument/2006/relationships/hyperlink" Target="mailto:bob@vectrafitness.com" TargetMode="External"/><Relationship Id="rId694" Type="http://schemas.openxmlformats.org/officeDocument/2006/relationships/hyperlink" Target="mailto:kbass97424@gmail.com" TargetMode="External"/><Relationship Id="rId708" Type="http://schemas.openxmlformats.org/officeDocument/2006/relationships/hyperlink" Target="mailto:ae1951inc@gmail.com" TargetMode="External"/><Relationship Id="rId915" Type="http://schemas.openxmlformats.org/officeDocument/2006/relationships/hyperlink" Target="mailto:keystonepower24@gmail.com" TargetMode="External"/><Relationship Id="rId1240" Type="http://schemas.openxmlformats.org/officeDocument/2006/relationships/hyperlink" Target="mailto:agough17@gmail.com" TargetMode="External"/><Relationship Id="rId1338" Type="http://schemas.openxmlformats.org/officeDocument/2006/relationships/hyperlink" Target="mailto:michaely@sunvalleyelectricinc.com" TargetMode="External"/><Relationship Id="rId1545" Type="http://schemas.openxmlformats.org/officeDocument/2006/relationships/hyperlink" Target="mailto:jimwilby@kosmachine.com" TargetMode="External"/><Relationship Id="rId347" Type="http://schemas.openxmlformats.org/officeDocument/2006/relationships/hyperlink" Target="mailto:dickchrysler@comcast.net" TargetMode="External"/><Relationship Id="rId999" Type="http://schemas.openxmlformats.org/officeDocument/2006/relationships/hyperlink" Target="mailto:bhebert@mcclain1.com" TargetMode="External"/><Relationship Id="rId1100" Type="http://schemas.openxmlformats.org/officeDocument/2006/relationships/hyperlink" Target="mailto:jones.kscott@gmail.com" TargetMode="External"/><Relationship Id="rId1184" Type="http://schemas.openxmlformats.org/officeDocument/2006/relationships/hyperlink" Target="mailto:mitch@fischerelectric.com" TargetMode="External"/><Relationship Id="rId1405" Type="http://schemas.openxmlformats.org/officeDocument/2006/relationships/hyperlink" Target="mailto:18445mountainman@gmail.com" TargetMode="External"/><Relationship Id="rId44" Type="http://schemas.openxmlformats.org/officeDocument/2006/relationships/hyperlink" Target="mailto:siegrist970@hotmail.com" TargetMode="External"/><Relationship Id="rId554" Type="http://schemas.openxmlformats.org/officeDocument/2006/relationships/hyperlink" Target="mailto:migman@echoes.net" TargetMode="External"/><Relationship Id="rId761" Type="http://schemas.openxmlformats.org/officeDocument/2006/relationships/hyperlink" Target="mailto:mlawson@coresix.com" TargetMode="External"/><Relationship Id="rId859" Type="http://schemas.openxmlformats.org/officeDocument/2006/relationships/hyperlink" Target="mailto:fritschen57@gmail.com" TargetMode="External"/><Relationship Id="rId1391" Type="http://schemas.openxmlformats.org/officeDocument/2006/relationships/hyperlink" Target="mailto:perron48@calwisp.net" TargetMode="External"/><Relationship Id="rId1489" Type="http://schemas.openxmlformats.org/officeDocument/2006/relationships/hyperlink" Target="mailto:golsen@borderstates.com" TargetMode="External"/><Relationship Id="rId1612" Type="http://schemas.openxmlformats.org/officeDocument/2006/relationships/hyperlink" Target="mailto:NYGOV@stores.fastenal.com" TargetMode="External"/><Relationship Id="rId193" Type="http://schemas.openxmlformats.org/officeDocument/2006/relationships/hyperlink" Target="mailto:jaystrand@gctel.net" TargetMode="External"/><Relationship Id="rId207" Type="http://schemas.openxmlformats.org/officeDocument/2006/relationships/hyperlink" Target="mailto:donaldlumbard@sbcglobal.net" TargetMode="External"/><Relationship Id="rId414" Type="http://schemas.openxmlformats.org/officeDocument/2006/relationships/hyperlink" Target="mailto:jeffk@kraemer-inc.com" TargetMode="External"/><Relationship Id="rId498" Type="http://schemas.openxmlformats.org/officeDocument/2006/relationships/hyperlink" Target="mailto:rveggie@yahoo.com" TargetMode="External"/><Relationship Id="rId621" Type="http://schemas.openxmlformats.org/officeDocument/2006/relationships/hyperlink" Target="mailto:lopezelectric@verizon.net" TargetMode="External"/><Relationship Id="rId1044" Type="http://schemas.openxmlformats.org/officeDocument/2006/relationships/hyperlink" Target="mailto:hans.kuhn@qncorp.com" TargetMode="External"/><Relationship Id="rId1251" Type="http://schemas.openxmlformats.org/officeDocument/2006/relationships/hyperlink" Target="mailto:sally@lagrangeelectrical.com" TargetMode="External"/><Relationship Id="rId1349" Type="http://schemas.openxmlformats.org/officeDocument/2006/relationships/hyperlink" Target="mailto:agoodelec@yahoo.com" TargetMode="External"/><Relationship Id="rId260" Type="http://schemas.openxmlformats.org/officeDocument/2006/relationships/hyperlink" Target="mailto:terryeubanks@gmail.com" TargetMode="External"/><Relationship Id="rId719" Type="http://schemas.openxmlformats.org/officeDocument/2006/relationships/hyperlink" Target="mailto:yan@projectsspokane.co" TargetMode="External"/><Relationship Id="rId926" Type="http://schemas.openxmlformats.org/officeDocument/2006/relationships/hyperlink" Target="mailto:stucki14@sbcglobal.net" TargetMode="External"/><Relationship Id="rId1111" Type="http://schemas.openxmlformats.org/officeDocument/2006/relationships/hyperlink" Target="mailto:amleynek@gmail.com" TargetMode="External"/><Relationship Id="rId1556" Type="http://schemas.openxmlformats.org/officeDocument/2006/relationships/hyperlink" Target="mailto:cynthia.kitchen@neo-rig.com" TargetMode="External"/><Relationship Id="rId55" Type="http://schemas.openxmlformats.org/officeDocument/2006/relationships/hyperlink" Target="mailto:matt.colker@wvaelectric.com" TargetMode="External"/><Relationship Id="rId120" Type="http://schemas.openxmlformats.org/officeDocument/2006/relationships/hyperlink" Target="mailto:jfinley@pruitt.com" TargetMode="External"/><Relationship Id="rId358" Type="http://schemas.openxmlformats.org/officeDocument/2006/relationships/hyperlink" Target="mailto:alexhaleyschneider@yahoo.com" TargetMode="External"/><Relationship Id="rId565" Type="http://schemas.openxmlformats.org/officeDocument/2006/relationships/hyperlink" Target="mailto:clarkbar072884@hotmail.com" TargetMode="External"/><Relationship Id="rId772" Type="http://schemas.openxmlformats.org/officeDocument/2006/relationships/hyperlink" Target="mailto:aayotte@advancedpowders.com" TargetMode="External"/><Relationship Id="rId1195" Type="http://schemas.openxmlformats.org/officeDocument/2006/relationships/hyperlink" Target="mailto:techdirector@sunriseumc.com" TargetMode="External"/><Relationship Id="rId1209" Type="http://schemas.openxmlformats.org/officeDocument/2006/relationships/hyperlink" Target="mailto:brianscottlambert@yahoo.com" TargetMode="External"/><Relationship Id="rId1416" Type="http://schemas.openxmlformats.org/officeDocument/2006/relationships/hyperlink" Target="mailto:wmgreen3@yahoo.com" TargetMode="External"/><Relationship Id="rId218" Type="http://schemas.openxmlformats.org/officeDocument/2006/relationships/hyperlink" Target="mailto:gruesly1@aol.com" TargetMode="External"/><Relationship Id="rId425" Type="http://schemas.openxmlformats.org/officeDocument/2006/relationships/hyperlink" Target="mailto:cecombsc@yahoo.com" TargetMode="External"/><Relationship Id="rId632" Type="http://schemas.openxmlformats.org/officeDocument/2006/relationships/hyperlink" Target="mailto:hmh461e5@hotmail.com" TargetMode="External"/><Relationship Id="rId1055" Type="http://schemas.openxmlformats.org/officeDocument/2006/relationships/hyperlink" Target="mailto:sally@lagrangeelectrical.com" TargetMode="External"/><Relationship Id="rId1262" Type="http://schemas.openxmlformats.org/officeDocument/2006/relationships/hyperlink" Target="mailto:nan.kohlwey@gmail.com" TargetMode="External"/><Relationship Id="rId271" Type="http://schemas.openxmlformats.org/officeDocument/2006/relationships/hyperlink" Target="mailto:daniel.underwood@unlimitedcontrolllc.com" TargetMode="External"/><Relationship Id="rId937" Type="http://schemas.openxmlformats.org/officeDocument/2006/relationships/hyperlink" Target="mailto:michael@artisticconceptsgroup.com" TargetMode="External"/><Relationship Id="rId1122" Type="http://schemas.openxmlformats.org/officeDocument/2006/relationships/hyperlink" Target="mailto:d.jonesauctions@davidjonesauctions.com" TargetMode="External"/><Relationship Id="rId1567" Type="http://schemas.openxmlformats.org/officeDocument/2006/relationships/hyperlink" Target="mailto:cm@megariselectric.com" TargetMode="External"/><Relationship Id="rId66" Type="http://schemas.openxmlformats.org/officeDocument/2006/relationships/hyperlink" Target="mailto:ben.ballard@dnr.ga.gov" TargetMode="External"/><Relationship Id="rId131" Type="http://schemas.openxmlformats.org/officeDocument/2006/relationships/hyperlink" Target="mailto:rvcaptain@msn.com" TargetMode="External"/><Relationship Id="rId369" Type="http://schemas.openxmlformats.org/officeDocument/2006/relationships/hyperlink" Target="mailto:pkim@kleintools.com" TargetMode="External"/><Relationship Id="rId576" Type="http://schemas.openxmlformats.org/officeDocument/2006/relationships/hyperlink" Target="mailto:tichrist200@yahoo.com" TargetMode="External"/><Relationship Id="rId783" Type="http://schemas.openxmlformats.org/officeDocument/2006/relationships/hyperlink" Target="mailto:noahringdahl@gmail.com" TargetMode="External"/><Relationship Id="rId990" Type="http://schemas.openxmlformats.org/officeDocument/2006/relationships/hyperlink" Target="mailto:purchasing@harrisonhydragen.org" TargetMode="External"/><Relationship Id="rId1427" Type="http://schemas.openxmlformats.org/officeDocument/2006/relationships/hyperlink" Target="mailto:robertcapie@aol.com" TargetMode="External"/><Relationship Id="rId229" Type="http://schemas.openxmlformats.org/officeDocument/2006/relationships/hyperlink" Target="mailto:tiffany@dobbspump.com" TargetMode="External"/><Relationship Id="rId436" Type="http://schemas.openxmlformats.org/officeDocument/2006/relationships/hyperlink" Target="mailto:pscott@medspark.ms" TargetMode="External"/><Relationship Id="rId643" Type="http://schemas.openxmlformats.org/officeDocument/2006/relationships/hyperlink" Target="mailto:cjones@willoproducts.com" TargetMode="External"/><Relationship Id="rId1066" Type="http://schemas.openxmlformats.org/officeDocument/2006/relationships/hyperlink" Target="mailto:RROBBIN@TWCNY.RR.COM" TargetMode="External"/><Relationship Id="rId1273" Type="http://schemas.openxmlformats.org/officeDocument/2006/relationships/hyperlink" Target="mailto:ajmoyer3@aol.com" TargetMode="External"/><Relationship Id="rId1480" Type="http://schemas.openxmlformats.org/officeDocument/2006/relationships/hyperlink" Target="mailto:bucky@moontoast.com" TargetMode="External"/><Relationship Id="rId850" Type="http://schemas.openxmlformats.org/officeDocument/2006/relationships/hyperlink" Target="mailto:NYGOV@stores.fastenal.com" TargetMode="External"/><Relationship Id="rId948" Type="http://schemas.openxmlformats.org/officeDocument/2006/relationships/hyperlink" Target="mailto:calabreseelectric@verizon.net" TargetMode="External"/><Relationship Id="rId1133" Type="http://schemas.openxmlformats.org/officeDocument/2006/relationships/hyperlink" Target="mailto:rsm@loumarks.com" TargetMode="External"/><Relationship Id="rId1578" Type="http://schemas.openxmlformats.org/officeDocument/2006/relationships/hyperlink" Target="mailto:haleyes60@yahoo.com" TargetMode="External"/><Relationship Id="rId77" Type="http://schemas.openxmlformats.org/officeDocument/2006/relationships/hyperlink" Target="mailto:reccotoolandsupply@comcast.net" TargetMode="External"/><Relationship Id="rId282" Type="http://schemas.openxmlformats.org/officeDocument/2006/relationships/hyperlink" Target="mailto:dennis.lauterbach@coherent.com" TargetMode="External"/><Relationship Id="rId503" Type="http://schemas.openxmlformats.org/officeDocument/2006/relationships/hyperlink" Target="mailto:2servants@optonline.net" TargetMode="External"/><Relationship Id="rId587" Type="http://schemas.openxmlformats.org/officeDocument/2006/relationships/hyperlink" Target="mailto:lopezelectric@verizon.net" TargetMode="External"/><Relationship Id="rId710" Type="http://schemas.openxmlformats.org/officeDocument/2006/relationships/hyperlink" Target="mailto:tthatcher02@gmail.com" TargetMode="External"/><Relationship Id="rId808" Type="http://schemas.openxmlformats.org/officeDocument/2006/relationships/hyperlink" Target="mailto:kmklossner@gmail.com" TargetMode="External"/><Relationship Id="rId1340" Type="http://schemas.openxmlformats.org/officeDocument/2006/relationships/hyperlink" Target="mailto:june.small-rolston@nycha.nyc.gov" TargetMode="External"/><Relationship Id="rId1438" Type="http://schemas.openxmlformats.org/officeDocument/2006/relationships/hyperlink" Target="mailto:stevenj@hdindservices.com" TargetMode="External"/><Relationship Id="rId8" Type="http://schemas.openxmlformats.org/officeDocument/2006/relationships/hyperlink" Target="mailto:nghendrick1@yahoo.com" TargetMode="External"/><Relationship Id="rId142" Type="http://schemas.openxmlformats.org/officeDocument/2006/relationships/hyperlink" Target="mailto:tmartin@tntequip.com" TargetMode="External"/><Relationship Id="rId447" Type="http://schemas.openxmlformats.org/officeDocument/2006/relationships/hyperlink" Target="mailto:ateam@tridentreasearch.com" TargetMode="External"/><Relationship Id="rId794" Type="http://schemas.openxmlformats.org/officeDocument/2006/relationships/hyperlink" Target="mailto:boatnuttt@gmail.com" TargetMode="External"/><Relationship Id="rId1077" Type="http://schemas.openxmlformats.org/officeDocument/2006/relationships/hyperlink" Target="mailto:RICHARDSONSS@AOL.COM" TargetMode="External"/><Relationship Id="rId1200" Type="http://schemas.openxmlformats.org/officeDocument/2006/relationships/hyperlink" Target="mailto:tim_kennedy83@yahoo.com" TargetMode="External"/><Relationship Id="rId654" Type="http://schemas.openxmlformats.org/officeDocument/2006/relationships/hyperlink" Target="mailto:nygov@stores.fastenal.com" TargetMode="External"/><Relationship Id="rId861" Type="http://schemas.openxmlformats.org/officeDocument/2006/relationships/hyperlink" Target="mailto:mdresslaer@grnwav.com" TargetMode="External"/><Relationship Id="rId959" Type="http://schemas.openxmlformats.org/officeDocument/2006/relationships/hyperlink" Target="mailto:michaely@sunvalleyelectricinc.com" TargetMode="External"/><Relationship Id="rId1284" Type="http://schemas.openxmlformats.org/officeDocument/2006/relationships/hyperlink" Target="mailto:nealmalone@earthlink.net" TargetMode="External"/><Relationship Id="rId1491" Type="http://schemas.openxmlformats.org/officeDocument/2006/relationships/hyperlink" Target="mailto:golsen@borderstates.com" TargetMode="External"/><Relationship Id="rId1505" Type="http://schemas.openxmlformats.org/officeDocument/2006/relationships/hyperlink" Target="mailto:golsen@borderstates.com" TargetMode="External"/><Relationship Id="rId1589" Type="http://schemas.openxmlformats.org/officeDocument/2006/relationships/hyperlink" Target="mailto:stacey.woodward@borealisindustrial.com" TargetMode="External"/><Relationship Id="rId293" Type="http://schemas.openxmlformats.org/officeDocument/2006/relationships/hyperlink" Target="mailto:taylor@nicealfafa.com" TargetMode="External"/><Relationship Id="rId307" Type="http://schemas.openxmlformats.org/officeDocument/2006/relationships/hyperlink" Target="mailto:ajmoyer3@aol.com" TargetMode="External"/><Relationship Id="rId514" Type="http://schemas.openxmlformats.org/officeDocument/2006/relationships/hyperlink" Target="mailto:marinapowerman@aol.com" TargetMode="External"/><Relationship Id="rId721" Type="http://schemas.openxmlformats.org/officeDocument/2006/relationships/hyperlink" Target="mailto:kweaver@brewmation.com" TargetMode="External"/><Relationship Id="rId1144" Type="http://schemas.openxmlformats.org/officeDocument/2006/relationships/hyperlink" Target="mailto:devin.lunney@psca.mhps.com" TargetMode="External"/><Relationship Id="rId1351" Type="http://schemas.openxmlformats.org/officeDocument/2006/relationships/hyperlink" Target="mailto:a.berrellez@winchesterelectronics.com" TargetMode="External"/><Relationship Id="rId1449" Type="http://schemas.openxmlformats.org/officeDocument/2006/relationships/hyperlink" Target="mailto:ty56585@gmail.com" TargetMode="External"/><Relationship Id="rId88" Type="http://schemas.openxmlformats.org/officeDocument/2006/relationships/hyperlink" Target="mailto:bastiat96@gmail.com" TargetMode="External"/><Relationship Id="rId153" Type="http://schemas.openxmlformats.org/officeDocument/2006/relationships/hyperlink" Target="mailto:lars.ekendahl@gmail.com" TargetMode="External"/><Relationship Id="rId360" Type="http://schemas.openxmlformats.org/officeDocument/2006/relationships/hyperlink" Target="mailto:gaineselec@aol.com" TargetMode="External"/><Relationship Id="rId598" Type="http://schemas.openxmlformats.org/officeDocument/2006/relationships/hyperlink" Target="mailto:bob_leach@wispwest.net" TargetMode="External"/><Relationship Id="rId819" Type="http://schemas.openxmlformats.org/officeDocument/2006/relationships/hyperlink" Target="mailto:scandal255@hotmail.com" TargetMode="External"/><Relationship Id="rId1004" Type="http://schemas.openxmlformats.org/officeDocument/2006/relationships/hyperlink" Target="mailto:howecontracting16@gmail.com" TargetMode="External"/><Relationship Id="rId1211" Type="http://schemas.openxmlformats.org/officeDocument/2006/relationships/hyperlink" Target="mailto:NATHAN.DANKS@INTERTEK.COM" TargetMode="External"/><Relationship Id="rId220" Type="http://schemas.openxmlformats.org/officeDocument/2006/relationships/hyperlink" Target="mailto:wes.swartz@cornell.edu" TargetMode="External"/><Relationship Id="rId458" Type="http://schemas.openxmlformats.org/officeDocument/2006/relationships/hyperlink" Target="mailto:ssosothikul@gmail.com%20and%20bill@centralcoastbuilder.com" TargetMode="External"/><Relationship Id="rId665" Type="http://schemas.openxmlformats.org/officeDocument/2006/relationships/hyperlink" Target="mailto:wlking@engineer.com" TargetMode="External"/><Relationship Id="rId872" Type="http://schemas.openxmlformats.org/officeDocument/2006/relationships/hyperlink" Target="mailto:jacqueline.martinez@graybar.com" TargetMode="External"/><Relationship Id="rId1088" Type="http://schemas.openxmlformats.org/officeDocument/2006/relationships/hyperlink" Target="mailto:SMOTHERS89@MINDSPRING.COM" TargetMode="External"/><Relationship Id="rId1295" Type="http://schemas.openxmlformats.org/officeDocument/2006/relationships/hyperlink" Target="mailto:funkeelectric@verizon.net" TargetMode="External"/><Relationship Id="rId1309" Type="http://schemas.openxmlformats.org/officeDocument/2006/relationships/hyperlink" Target="mailto:fburnett@gmail.com" TargetMode="External"/><Relationship Id="rId1516" Type="http://schemas.openxmlformats.org/officeDocument/2006/relationships/hyperlink" Target="mailto:elizabeths@griderhillmarina.com" TargetMode="External"/><Relationship Id="rId15" Type="http://schemas.openxmlformats.org/officeDocument/2006/relationships/hyperlink" Target="mailto:dan@fldrilling.com" TargetMode="External"/><Relationship Id="rId318" Type="http://schemas.openxmlformats.org/officeDocument/2006/relationships/hyperlink" Target="mailto:marquisezplus@aol.com" TargetMode="External"/><Relationship Id="rId525" Type="http://schemas.openxmlformats.org/officeDocument/2006/relationships/hyperlink" Target="mailto:cecombsc@yahoo.com" TargetMode="External"/><Relationship Id="rId732" Type="http://schemas.openxmlformats.org/officeDocument/2006/relationships/hyperlink" Target="mailto:dgilstorff@yahoo.com" TargetMode="External"/><Relationship Id="rId1155" Type="http://schemas.openxmlformats.org/officeDocument/2006/relationships/hyperlink" Target="mailto:gregorymatatall@gmail.com" TargetMode="External"/><Relationship Id="rId1362" Type="http://schemas.openxmlformats.org/officeDocument/2006/relationships/hyperlink" Target="mailto:cooltruck@aol.com" TargetMode="External"/><Relationship Id="rId99" Type="http://schemas.openxmlformats.org/officeDocument/2006/relationships/hyperlink" Target="mailto:LMartin@cube.com" TargetMode="External"/><Relationship Id="rId164" Type="http://schemas.openxmlformats.org/officeDocument/2006/relationships/hyperlink" Target="mailto:ikkdrdog@gmail.com" TargetMode="External"/><Relationship Id="rId371" Type="http://schemas.openxmlformats.org/officeDocument/2006/relationships/hyperlink" Target="mailto:james@christianmedianetwork.com" TargetMode="External"/><Relationship Id="rId1015" Type="http://schemas.openxmlformats.org/officeDocument/2006/relationships/hyperlink" Target="mailto:temcmginn@yahoo.com" TargetMode="External"/><Relationship Id="rId1222" Type="http://schemas.openxmlformats.org/officeDocument/2006/relationships/hyperlink" Target="mailto:spdinky_42@yahoo.com" TargetMode="External"/><Relationship Id="rId469" Type="http://schemas.openxmlformats.org/officeDocument/2006/relationships/hyperlink" Target="mailto:mlawson@coresix.com" TargetMode="External"/><Relationship Id="rId676" Type="http://schemas.openxmlformats.org/officeDocument/2006/relationships/hyperlink" Target="mailto:purchasing@harrisonhydragen.org" TargetMode="External"/><Relationship Id="rId883" Type="http://schemas.openxmlformats.org/officeDocument/2006/relationships/hyperlink" Target="mailto:arthur@haberelectric.com" TargetMode="External"/><Relationship Id="rId1099" Type="http://schemas.openxmlformats.org/officeDocument/2006/relationships/hyperlink" Target="mailto:casey@apmutah.com" TargetMode="External"/><Relationship Id="rId1527" Type="http://schemas.openxmlformats.org/officeDocument/2006/relationships/hyperlink" Target="mailto:kmmartz@hotmail.com" TargetMode="External"/><Relationship Id="rId26" Type="http://schemas.openxmlformats.org/officeDocument/2006/relationships/hyperlink" Target="mailto:dan@sun101solar.com" TargetMode="External"/><Relationship Id="rId231" Type="http://schemas.openxmlformats.org/officeDocument/2006/relationships/hyperlink" Target="mailto:lvstang@msn.com" TargetMode="External"/><Relationship Id="rId329" Type="http://schemas.openxmlformats.org/officeDocument/2006/relationships/hyperlink" Target="mailto:dereknwalton@gmail.com" TargetMode="External"/><Relationship Id="rId536" Type="http://schemas.openxmlformats.org/officeDocument/2006/relationships/hyperlink" Target="mailto:larry@gadfab.com" TargetMode="External"/><Relationship Id="rId1166" Type="http://schemas.openxmlformats.org/officeDocument/2006/relationships/hyperlink" Target="mailto:gil.resto@grelectricllc.com" TargetMode="External"/><Relationship Id="rId1373" Type="http://schemas.openxmlformats.org/officeDocument/2006/relationships/hyperlink" Target="mailto:nazeemul@goldenfleecerice.com" TargetMode="External"/><Relationship Id="rId175" Type="http://schemas.openxmlformats.org/officeDocument/2006/relationships/hyperlink" Target="mailto:info@jx2productions.com" TargetMode="External"/><Relationship Id="rId743" Type="http://schemas.openxmlformats.org/officeDocument/2006/relationships/hyperlink" Target="mailto:derricklparker@gmail.com" TargetMode="External"/><Relationship Id="rId950" Type="http://schemas.openxmlformats.org/officeDocument/2006/relationships/hyperlink" Target="mailto:nancefab@gmail.com" TargetMode="External"/><Relationship Id="rId1026" Type="http://schemas.openxmlformats.org/officeDocument/2006/relationships/hyperlink" Target="mailto:kathy@kellyhayes.com" TargetMode="External"/><Relationship Id="rId1580" Type="http://schemas.openxmlformats.org/officeDocument/2006/relationships/hyperlink" Target="mailto:svenoman@yahoo.com" TargetMode="External"/><Relationship Id="rId382" Type="http://schemas.openxmlformats.org/officeDocument/2006/relationships/hyperlink" Target="mailto:repair@witchenterprises.com" TargetMode="External"/><Relationship Id="rId603" Type="http://schemas.openxmlformats.org/officeDocument/2006/relationships/hyperlink" Target="mailto:rhardin@mitchumchips.com" TargetMode="External"/><Relationship Id="rId687" Type="http://schemas.openxmlformats.org/officeDocument/2006/relationships/hyperlink" Target="mailto:dallen.acn@gmail.com" TargetMode="External"/><Relationship Id="rId810" Type="http://schemas.openxmlformats.org/officeDocument/2006/relationships/hyperlink" Target="mailto:wwgenerators@yahoo.com" TargetMode="External"/><Relationship Id="rId908" Type="http://schemas.openxmlformats.org/officeDocument/2006/relationships/hyperlink" Target="mailto:mhernandez6020@yahoo.com" TargetMode="External"/><Relationship Id="rId1233" Type="http://schemas.openxmlformats.org/officeDocument/2006/relationships/hyperlink" Target="mailto:DAVE.ROBBINS@PRECISECOOLING.COM" TargetMode="External"/><Relationship Id="rId1440" Type="http://schemas.openxmlformats.org/officeDocument/2006/relationships/hyperlink" Target="mailto:tom@wysockielectric.com" TargetMode="External"/><Relationship Id="rId1538" Type="http://schemas.openxmlformats.org/officeDocument/2006/relationships/hyperlink" Target="mailto:ryan@allserviceselectric.net" TargetMode="External"/><Relationship Id="rId242" Type="http://schemas.openxmlformats.org/officeDocument/2006/relationships/hyperlink" Target="mailto:neldon.jackson@ge.com" TargetMode="External"/><Relationship Id="rId894" Type="http://schemas.openxmlformats.org/officeDocument/2006/relationships/hyperlink" Target="mailto:peter@kwikspace.com" TargetMode="External"/><Relationship Id="rId1177" Type="http://schemas.openxmlformats.org/officeDocument/2006/relationships/hyperlink" Target="mailto:scooter68710@yahoo.com" TargetMode="External"/><Relationship Id="rId1300" Type="http://schemas.openxmlformats.org/officeDocument/2006/relationships/hyperlink" Target="mailto:pete@class3solutions.com" TargetMode="External"/><Relationship Id="rId37" Type="http://schemas.openxmlformats.org/officeDocument/2006/relationships/hyperlink" Target="mailto:merkleyadam@yahoo.com" TargetMode="External"/><Relationship Id="rId102" Type="http://schemas.openxmlformats.org/officeDocument/2006/relationships/hyperlink" Target="mailto:bhambrick@nafiber.com" TargetMode="External"/><Relationship Id="rId547" Type="http://schemas.openxmlformats.org/officeDocument/2006/relationships/hyperlink" Target="mailto:ap@titanwnc.com" TargetMode="External"/><Relationship Id="rId754" Type="http://schemas.openxmlformats.org/officeDocument/2006/relationships/hyperlink" Target="mailto:chris@kanoklanetworks.com" TargetMode="External"/><Relationship Id="rId961" Type="http://schemas.openxmlformats.org/officeDocument/2006/relationships/hyperlink" Target="mailto:DAVID.S.ALLISON@GMAIL.COM" TargetMode="External"/><Relationship Id="rId1384" Type="http://schemas.openxmlformats.org/officeDocument/2006/relationships/hyperlink" Target="mailto:allend@codale.com" TargetMode="External"/><Relationship Id="rId1591" Type="http://schemas.openxmlformats.org/officeDocument/2006/relationships/hyperlink" Target="mailto:decaro7_3@hotmail.com" TargetMode="External"/><Relationship Id="rId1605" Type="http://schemas.openxmlformats.org/officeDocument/2006/relationships/hyperlink" Target="mailto:djtpi@hotmail.com" TargetMode="External"/><Relationship Id="rId90" Type="http://schemas.openxmlformats.org/officeDocument/2006/relationships/hyperlink" Target="mailto:brucec@cramptonelectric.com" TargetMode="External"/><Relationship Id="rId186" Type="http://schemas.openxmlformats.org/officeDocument/2006/relationships/hyperlink" Target="mailto:jolivares@syseufsa.com" TargetMode="External"/><Relationship Id="rId393" Type="http://schemas.openxmlformats.org/officeDocument/2006/relationships/hyperlink" Target="mailto:wwgenerators@yahoo.com" TargetMode="External"/><Relationship Id="rId407" Type="http://schemas.openxmlformats.org/officeDocument/2006/relationships/hyperlink" Target="mailto:hal@brownelectricsupply.com" TargetMode="External"/><Relationship Id="rId614" Type="http://schemas.openxmlformats.org/officeDocument/2006/relationships/hyperlink" Target="mailto:cmeng69@gmail.com" TargetMode="External"/><Relationship Id="rId821" Type="http://schemas.openxmlformats.org/officeDocument/2006/relationships/hyperlink" Target="mailto:pdh415@gmail.com" TargetMode="External"/><Relationship Id="rId1037" Type="http://schemas.openxmlformats.org/officeDocument/2006/relationships/hyperlink" Target="mailto:jonl@michwave.com" TargetMode="External"/><Relationship Id="rId1244" Type="http://schemas.openxmlformats.org/officeDocument/2006/relationships/hyperlink" Target="mailto:craig@forkliftgarage.com" TargetMode="External"/><Relationship Id="rId1451" Type="http://schemas.openxmlformats.org/officeDocument/2006/relationships/hyperlink" Target="mailto:harrymarcado@bbspr.org" TargetMode="External"/><Relationship Id="rId253" Type="http://schemas.openxmlformats.org/officeDocument/2006/relationships/hyperlink" Target="mailto:daniel.underwood@unlimitedcontrolllc.com" TargetMode="External"/><Relationship Id="rId460" Type="http://schemas.openxmlformats.org/officeDocument/2006/relationships/hyperlink" Target="mailto:fischerbrothers@optimum.net" TargetMode="External"/><Relationship Id="rId698" Type="http://schemas.openxmlformats.org/officeDocument/2006/relationships/hyperlink" Target="mailto:djduttlinger@hotmail.com" TargetMode="External"/><Relationship Id="rId919" Type="http://schemas.openxmlformats.org/officeDocument/2006/relationships/hyperlink" Target="mailto:devidal@utexas.edu" TargetMode="External"/><Relationship Id="rId1090" Type="http://schemas.openxmlformats.org/officeDocument/2006/relationships/hyperlink" Target="mailto:RICK@PREMIERAC.COM" TargetMode="External"/><Relationship Id="rId1104" Type="http://schemas.openxmlformats.org/officeDocument/2006/relationships/hyperlink" Target="mailto:jhulbert@wynalda.com" TargetMode="External"/><Relationship Id="rId1311" Type="http://schemas.openxmlformats.org/officeDocument/2006/relationships/hyperlink" Target="mailto:sherlockinc@optonline.net" TargetMode="External"/><Relationship Id="rId1549" Type="http://schemas.openxmlformats.org/officeDocument/2006/relationships/hyperlink" Target="mailto:deannah@clutchtrucking.com" TargetMode="External"/><Relationship Id="rId48" Type="http://schemas.openxmlformats.org/officeDocument/2006/relationships/hyperlink" Target="mailto:tmday7@yahoo.com" TargetMode="External"/><Relationship Id="rId113" Type="http://schemas.openxmlformats.org/officeDocument/2006/relationships/hyperlink" Target="mailto:troybjones@msn.com" TargetMode="External"/><Relationship Id="rId320" Type="http://schemas.openxmlformats.org/officeDocument/2006/relationships/hyperlink" Target="mailto:michaely@sunvalleyelectricinc.com" TargetMode="External"/><Relationship Id="rId558" Type="http://schemas.openxmlformats.org/officeDocument/2006/relationships/hyperlink" Target="mailto:hbird@jciind.com" TargetMode="External"/><Relationship Id="rId765" Type="http://schemas.openxmlformats.org/officeDocument/2006/relationships/hyperlink" Target="mailto:bryankbriand@gmail.com" TargetMode="External"/><Relationship Id="rId972" Type="http://schemas.openxmlformats.org/officeDocument/2006/relationships/hyperlink" Target="mailto:jon@enviroteksystems.com" TargetMode="External"/><Relationship Id="rId1188" Type="http://schemas.openxmlformats.org/officeDocument/2006/relationships/hyperlink" Target="mailto:wayne@growlightspeed.com" TargetMode="External"/><Relationship Id="rId1395" Type="http://schemas.openxmlformats.org/officeDocument/2006/relationships/hyperlink" Target="mailto:jlpeg50@aol.com" TargetMode="External"/><Relationship Id="rId1409" Type="http://schemas.openxmlformats.org/officeDocument/2006/relationships/hyperlink" Target="mailto:tom@wysockielectric.com" TargetMode="External"/><Relationship Id="rId1616" Type="http://schemas.openxmlformats.org/officeDocument/2006/relationships/hyperlink" Target="mailto:cjanzen@tpil.com" TargetMode="External"/><Relationship Id="rId197" Type="http://schemas.openxmlformats.org/officeDocument/2006/relationships/hyperlink" Target="mailto:service.electric.com@gmail.com" TargetMode="External"/><Relationship Id="rId418" Type="http://schemas.openxmlformats.org/officeDocument/2006/relationships/hyperlink" Target="mailto:ksinger788@gmail.com" TargetMode="External"/><Relationship Id="rId625" Type="http://schemas.openxmlformats.org/officeDocument/2006/relationships/hyperlink" Target="mailto:mpbehnke@embarqmail.com" TargetMode="External"/><Relationship Id="rId832" Type="http://schemas.openxmlformats.org/officeDocument/2006/relationships/hyperlink" Target="mailto:gtesar@hotmail.com" TargetMode="External"/><Relationship Id="rId1048" Type="http://schemas.openxmlformats.org/officeDocument/2006/relationships/hyperlink" Target="mailto:charlescriss@hotmail.com" TargetMode="External"/><Relationship Id="rId1255" Type="http://schemas.openxmlformats.org/officeDocument/2006/relationships/hyperlink" Target="mailto:stucki14@sbcglobal.net" TargetMode="External"/><Relationship Id="rId1462" Type="http://schemas.openxmlformats.org/officeDocument/2006/relationships/hyperlink" Target="mailto:a.berrellez@winchesterelectronics.com" TargetMode="External"/><Relationship Id="rId264" Type="http://schemas.openxmlformats.org/officeDocument/2006/relationships/hyperlink" Target="mailto:oklandgrave@yahoo.com" TargetMode="External"/><Relationship Id="rId471" Type="http://schemas.openxmlformats.org/officeDocument/2006/relationships/hyperlink" Target="mailto:purchasing@harrisonhydragen.org" TargetMode="External"/><Relationship Id="rId1115" Type="http://schemas.openxmlformats.org/officeDocument/2006/relationships/hyperlink" Target="mailto:jeffacook@earthlink.net" TargetMode="External"/><Relationship Id="rId1322" Type="http://schemas.openxmlformats.org/officeDocument/2006/relationships/hyperlink" Target="mailto:cbates@cataloochee.com" TargetMode="External"/><Relationship Id="rId59" Type="http://schemas.openxmlformats.org/officeDocument/2006/relationships/hyperlink" Target="mailto:aw@arch-mill.com" TargetMode="External"/><Relationship Id="rId124" Type="http://schemas.openxmlformats.org/officeDocument/2006/relationships/hyperlink" Target="mailto:jszalc@yahoo.com" TargetMode="External"/><Relationship Id="rId569" Type="http://schemas.openxmlformats.org/officeDocument/2006/relationships/hyperlink" Target="mailto:we%20will%20pick%20up%20RYAN@brazill.com" TargetMode="External"/><Relationship Id="rId776" Type="http://schemas.openxmlformats.org/officeDocument/2006/relationships/hyperlink" Target="mailto:larrywaller@gmail.com" TargetMode="External"/><Relationship Id="rId983" Type="http://schemas.openxmlformats.org/officeDocument/2006/relationships/hyperlink" Target="mailto:intracorpsa@gmail.com" TargetMode="External"/><Relationship Id="rId1199" Type="http://schemas.openxmlformats.org/officeDocument/2006/relationships/hyperlink" Target="mailto:michaely@sunvalleyelectricinc.com" TargetMode="External"/><Relationship Id="rId331" Type="http://schemas.openxmlformats.org/officeDocument/2006/relationships/hyperlink" Target="mailto:indepenrn@gmail.com" TargetMode="External"/><Relationship Id="rId429" Type="http://schemas.openxmlformats.org/officeDocument/2006/relationships/hyperlink" Target="mailto:dana@manhat10.com" TargetMode="External"/><Relationship Id="rId636" Type="http://schemas.openxmlformats.org/officeDocument/2006/relationships/hyperlink" Target="mailto:jharris@sareplastics.com" TargetMode="External"/><Relationship Id="rId1059" Type="http://schemas.openxmlformats.org/officeDocument/2006/relationships/hyperlink" Target="mailto:dcucura@gmail.com" TargetMode="External"/><Relationship Id="rId1266" Type="http://schemas.openxmlformats.org/officeDocument/2006/relationships/hyperlink" Target="mailto:jtr235@twcny.rr.com" TargetMode="External"/><Relationship Id="rId1473" Type="http://schemas.openxmlformats.org/officeDocument/2006/relationships/hyperlink" Target="mailto:golsen@borderstates.com" TargetMode="External"/><Relationship Id="rId843" Type="http://schemas.openxmlformats.org/officeDocument/2006/relationships/hyperlink" Target="mailto:tetw@yahoo.com" TargetMode="External"/><Relationship Id="rId1126" Type="http://schemas.openxmlformats.org/officeDocument/2006/relationships/hyperlink" Target="mailto:jeremy.lee@trane.com" TargetMode="External"/><Relationship Id="rId275" Type="http://schemas.openxmlformats.org/officeDocument/2006/relationships/hyperlink" Target="mailto:mshalseyconst@gmail.com" TargetMode="External"/><Relationship Id="rId482" Type="http://schemas.openxmlformats.org/officeDocument/2006/relationships/hyperlink" Target="mailto:hro99@aol.com" TargetMode="External"/><Relationship Id="rId703" Type="http://schemas.openxmlformats.org/officeDocument/2006/relationships/hyperlink" Target="mailto:jnewso@yahoo.com" TargetMode="External"/><Relationship Id="rId910" Type="http://schemas.openxmlformats.org/officeDocument/2006/relationships/hyperlink" Target="mailto:adamzygmunt82@gmail.com" TargetMode="External"/><Relationship Id="rId1333" Type="http://schemas.openxmlformats.org/officeDocument/2006/relationships/hyperlink" Target="mailto:hkilic@aol.com" TargetMode="External"/><Relationship Id="rId1540" Type="http://schemas.openxmlformats.org/officeDocument/2006/relationships/hyperlink" Target="mailto:aliroman5221@gmail.com" TargetMode="External"/><Relationship Id="rId135" Type="http://schemas.openxmlformats.org/officeDocument/2006/relationships/hyperlink" Target="mailto:rbmartin@fujifilm.com" TargetMode="External"/><Relationship Id="rId342" Type="http://schemas.openxmlformats.org/officeDocument/2006/relationships/hyperlink" Target="mailto:rdekker@altmanplants.com" TargetMode="External"/><Relationship Id="rId787" Type="http://schemas.openxmlformats.org/officeDocument/2006/relationships/hyperlink" Target="mailto:charlesw442@gmail.com" TargetMode="External"/><Relationship Id="rId994" Type="http://schemas.openxmlformats.org/officeDocument/2006/relationships/hyperlink" Target="mailto:m.werkheiser@gmail.com" TargetMode="External"/><Relationship Id="rId1400" Type="http://schemas.openxmlformats.org/officeDocument/2006/relationships/hyperlink" Target="mailto:purchasing@harrisonhydragen.org" TargetMode="External"/><Relationship Id="rId202" Type="http://schemas.openxmlformats.org/officeDocument/2006/relationships/hyperlink" Target="mailto:tjuzyk@hamilton.net" TargetMode="External"/><Relationship Id="rId647" Type="http://schemas.openxmlformats.org/officeDocument/2006/relationships/hyperlink" Target="mailto:atrum.venator@gmail.com" TargetMode="External"/><Relationship Id="rId854" Type="http://schemas.openxmlformats.org/officeDocument/2006/relationships/hyperlink" Target="mailto:bsilly1210@gmail.com" TargetMode="External"/><Relationship Id="rId1277" Type="http://schemas.openxmlformats.org/officeDocument/2006/relationships/hyperlink" Target="mailto:flyfishingtrail@gmail.com" TargetMode="External"/><Relationship Id="rId1484" Type="http://schemas.openxmlformats.org/officeDocument/2006/relationships/hyperlink" Target="mailto:donnie.taylor@graybar.com" TargetMode="External"/><Relationship Id="rId286" Type="http://schemas.openxmlformats.org/officeDocument/2006/relationships/hyperlink" Target="mailto:a.berrellez@winchesterelectronics.com" TargetMode="External"/><Relationship Id="rId493" Type="http://schemas.openxmlformats.org/officeDocument/2006/relationships/hyperlink" Target="mailto:neweld@optonline.net" TargetMode="External"/><Relationship Id="rId507" Type="http://schemas.openxmlformats.org/officeDocument/2006/relationships/hyperlink" Target="mailto:lea222@sbcglobal.net" TargetMode="External"/><Relationship Id="rId714" Type="http://schemas.openxmlformats.org/officeDocument/2006/relationships/hyperlink" Target="mailto:leerushton72@gmail.com" TargetMode="External"/><Relationship Id="rId921" Type="http://schemas.openxmlformats.org/officeDocument/2006/relationships/hyperlink" Target="mailto:toplessmini@sbcglobal.net" TargetMode="External"/><Relationship Id="rId1137" Type="http://schemas.openxmlformats.org/officeDocument/2006/relationships/hyperlink" Target="mailto:markpamelectric@yahoo.com" TargetMode="External"/><Relationship Id="rId1344" Type="http://schemas.openxmlformats.org/officeDocument/2006/relationships/hyperlink" Target="mailto:fosterscase1@yahoo.com" TargetMode="External"/><Relationship Id="rId1551" Type="http://schemas.openxmlformats.org/officeDocument/2006/relationships/hyperlink" Target="mailto:threepower@msn.com" TargetMode="External"/><Relationship Id="rId50" Type="http://schemas.openxmlformats.org/officeDocument/2006/relationships/hyperlink" Target="mailto:donna@explosionproof.net" TargetMode="External"/><Relationship Id="rId146" Type="http://schemas.openxmlformats.org/officeDocument/2006/relationships/hyperlink" Target="mailto:bryonreid@gmail.com" TargetMode="External"/><Relationship Id="rId353" Type="http://schemas.openxmlformats.org/officeDocument/2006/relationships/hyperlink" Target="mailto:joshuagosborne@lycos.com" TargetMode="External"/><Relationship Id="rId560" Type="http://schemas.openxmlformats.org/officeDocument/2006/relationships/hyperlink" Target="mailto:paige.parlor2015@gmail.com" TargetMode="External"/><Relationship Id="rId798" Type="http://schemas.openxmlformats.org/officeDocument/2006/relationships/hyperlink" Target="mailto:kohlers@pacbell.net" TargetMode="External"/><Relationship Id="rId1190" Type="http://schemas.openxmlformats.org/officeDocument/2006/relationships/hyperlink" Target="mailto:tkaphan@carsoncorporation.net" TargetMode="External"/><Relationship Id="rId1204" Type="http://schemas.openxmlformats.org/officeDocument/2006/relationships/hyperlink" Target="mailto:jstarnes@gathermal.com" TargetMode="External"/><Relationship Id="rId1411" Type="http://schemas.openxmlformats.org/officeDocument/2006/relationships/hyperlink" Target="mailto:brian@brownindustrial.com" TargetMode="External"/><Relationship Id="rId213" Type="http://schemas.openxmlformats.org/officeDocument/2006/relationships/hyperlink" Target="mailto:kewlerone@msn.com" TargetMode="External"/><Relationship Id="rId420" Type="http://schemas.openxmlformats.org/officeDocument/2006/relationships/hyperlink" Target="mailto:ernestmcgregor2013@outlook.com" TargetMode="External"/><Relationship Id="rId658" Type="http://schemas.openxmlformats.org/officeDocument/2006/relationships/hyperlink" Target="mailto:a.berrellez@winchesterelectronics.com" TargetMode="External"/><Relationship Id="rId865" Type="http://schemas.openxmlformats.org/officeDocument/2006/relationships/hyperlink" Target="mailto:ak@jljiv.com" TargetMode="External"/><Relationship Id="rId1050" Type="http://schemas.openxmlformats.org/officeDocument/2006/relationships/hyperlink" Target="mailto:taylor@nicealfafa.com" TargetMode="External"/><Relationship Id="rId1288" Type="http://schemas.openxmlformats.org/officeDocument/2006/relationships/hyperlink" Target="mailto:alexsandr.karmanskiy@nycha.nyc.gov" TargetMode="External"/><Relationship Id="rId1495" Type="http://schemas.openxmlformats.org/officeDocument/2006/relationships/hyperlink" Target="mailto:info@rmbelectric.net" TargetMode="External"/><Relationship Id="rId1509" Type="http://schemas.openxmlformats.org/officeDocument/2006/relationships/hyperlink" Target="mailto:golsen@borderstates.com" TargetMode="External"/><Relationship Id="rId297" Type="http://schemas.openxmlformats.org/officeDocument/2006/relationships/hyperlink" Target="mailto:youssef_adeeb@hotmail.com" TargetMode="External"/><Relationship Id="rId518" Type="http://schemas.openxmlformats.org/officeDocument/2006/relationships/hyperlink" Target="mailto:paid%2004.07.2016...%20send%20$10%20gift%20card%20to%20ewest@aosoutlet.com" TargetMode="External"/><Relationship Id="rId725" Type="http://schemas.openxmlformats.org/officeDocument/2006/relationships/hyperlink" Target="mailto:daniel@rdelectricinc.com" TargetMode="External"/><Relationship Id="rId932" Type="http://schemas.openxmlformats.org/officeDocument/2006/relationships/hyperlink" Target="mailto:hofsethc@gmail.com" TargetMode="External"/><Relationship Id="rId1148" Type="http://schemas.openxmlformats.org/officeDocument/2006/relationships/hyperlink" Target="mailto:martha@air-solution.com" TargetMode="External"/><Relationship Id="rId1355" Type="http://schemas.openxmlformats.org/officeDocument/2006/relationships/hyperlink" Target="mailto:kspangler@kellyspace.com" TargetMode="External"/><Relationship Id="rId1562" Type="http://schemas.openxmlformats.org/officeDocument/2006/relationships/hyperlink" Target="mailto:aftequip@yahoo.com" TargetMode="External"/><Relationship Id="rId157" Type="http://schemas.openxmlformats.org/officeDocument/2006/relationships/hyperlink" Target="mailto:packrolls@att.net" TargetMode="External"/><Relationship Id="rId364" Type="http://schemas.openxmlformats.org/officeDocument/2006/relationships/hyperlink" Target="mailto:colinpilkington@yahoo.com" TargetMode="External"/><Relationship Id="rId1008" Type="http://schemas.openxmlformats.org/officeDocument/2006/relationships/hyperlink" Target="mailto:robertr19722@gmail.com" TargetMode="External"/><Relationship Id="rId1215" Type="http://schemas.openxmlformats.org/officeDocument/2006/relationships/hyperlink" Target="mailto:JERRYRAYYUAN@GMAIL.COM" TargetMode="External"/><Relationship Id="rId1422" Type="http://schemas.openxmlformats.org/officeDocument/2006/relationships/hyperlink" Target="mailto:fergies8@aol.com" TargetMode="External"/><Relationship Id="rId61" Type="http://schemas.openxmlformats.org/officeDocument/2006/relationships/hyperlink" Target="mailto:oliverbuggs@viaccess.net" TargetMode="External"/><Relationship Id="rId571" Type="http://schemas.openxmlformats.org/officeDocument/2006/relationships/hyperlink" Target="mailto:rgrosz@oakhilltech.com" TargetMode="External"/><Relationship Id="rId669" Type="http://schemas.openxmlformats.org/officeDocument/2006/relationships/hyperlink" Target="mailto:tom@wysockielectric.com" TargetMode="External"/><Relationship Id="rId876" Type="http://schemas.openxmlformats.org/officeDocument/2006/relationships/hyperlink" Target="mailto:PURCHASING@HARRISONhYDRAGEN.ORG" TargetMode="External"/><Relationship Id="rId1299" Type="http://schemas.openxmlformats.org/officeDocument/2006/relationships/hyperlink" Target="mailto:eeiinc@aol.com" TargetMode="External"/><Relationship Id="rId19" Type="http://schemas.openxmlformats.org/officeDocument/2006/relationships/hyperlink" Target="mailto:pastor@mca.tv" TargetMode="External"/><Relationship Id="rId224" Type="http://schemas.openxmlformats.org/officeDocument/2006/relationships/hyperlink" Target="mailto:mmarchitto@associatedpacific.com" TargetMode="External"/><Relationship Id="rId431" Type="http://schemas.openxmlformats.org/officeDocument/2006/relationships/hyperlink" Target="mailto:purchasing@harrisonhydragen.org" TargetMode="External"/><Relationship Id="rId529" Type="http://schemas.openxmlformats.org/officeDocument/2006/relationships/hyperlink" Target="mailto:info@pdqelectric.com" TargetMode="External"/><Relationship Id="rId736" Type="http://schemas.openxmlformats.org/officeDocument/2006/relationships/hyperlink" Target="mailto:tintanracing@yahoo.com" TargetMode="External"/><Relationship Id="rId1061" Type="http://schemas.openxmlformats.org/officeDocument/2006/relationships/hyperlink" Target="mailto:WRIGHTME55@JUNO.COM" TargetMode="External"/><Relationship Id="rId1159" Type="http://schemas.openxmlformats.org/officeDocument/2006/relationships/hyperlink" Target="mailto:dlpower@bellsouth.net" TargetMode="External"/><Relationship Id="rId1366" Type="http://schemas.openxmlformats.org/officeDocument/2006/relationships/hyperlink" Target="mailto:rsm@loumarks.com" TargetMode="External"/><Relationship Id="rId168" Type="http://schemas.openxmlformats.org/officeDocument/2006/relationships/hyperlink" Target="mailto:dunhuntinmachineshop@embarqmail.com" TargetMode="External"/><Relationship Id="rId943" Type="http://schemas.openxmlformats.org/officeDocument/2006/relationships/hyperlink" Target="mailto:ron.turner@flxgrp.com" TargetMode="External"/><Relationship Id="rId1019" Type="http://schemas.openxmlformats.org/officeDocument/2006/relationships/hyperlink" Target="mailto:edward.mckechnie@gmail.com" TargetMode="External"/><Relationship Id="rId1573" Type="http://schemas.openxmlformats.org/officeDocument/2006/relationships/hyperlink" Target="mailto:STEVENJ@HDINDSERVICES.COM" TargetMode="External"/><Relationship Id="rId72" Type="http://schemas.openxmlformats.org/officeDocument/2006/relationships/hyperlink" Target="mailto:jbart0016@hotmail.com" TargetMode="External"/><Relationship Id="rId375" Type="http://schemas.openxmlformats.org/officeDocument/2006/relationships/hyperlink" Target="mailto:MSpinella1@hotmail.com" TargetMode="External"/><Relationship Id="rId582" Type="http://schemas.openxmlformats.org/officeDocument/2006/relationships/hyperlink" Target="mailto:aking@heartlandscenic.com" TargetMode="External"/><Relationship Id="rId803" Type="http://schemas.openxmlformats.org/officeDocument/2006/relationships/hyperlink" Target="mailto:craig@craigdavis.com" TargetMode="External"/><Relationship Id="rId1226" Type="http://schemas.openxmlformats.org/officeDocument/2006/relationships/hyperlink" Target="mailto:WAUTERS@FCTC.COOP" TargetMode="External"/><Relationship Id="rId1433" Type="http://schemas.openxmlformats.org/officeDocument/2006/relationships/hyperlink" Target="mailto:ampelectricht@aol.com" TargetMode="External"/><Relationship Id="rId3" Type="http://schemas.openxmlformats.org/officeDocument/2006/relationships/hyperlink" Target="mailto:jbaldwin1970@aol.com" TargetMode="External"/><Relationship Id="rId235" Type="http://schemas.openxmlformats.org/officeDocument/2006/relationships/hyperlink" Target="mailto:vernster95@yahoo.com" TargetMode="External"/><Relationship Id="rId442" Type="http://schemas.openxmlformats.org/officeDocument/2006/relationships/hyperlink" Target="mailto:billybones@lastmilenet.ca" TargetMode="External"/><Relationship Id="rId887" Type="http://schemas.openxmlformats.org/officeDocument/2006/relationships/hyperlink" Target="mailto:markj@ulsnyc.com" TargetMode="External"/><Relationship Id="rId1072" Type="http://schemas.openxmlformats.org/officeDocument/2006/relationships/hyperlink" Target="mailto:BROWNCOWSMOO@ICLOUD.COM" TargetMode="External"/><Relationship Id="rId1500" Type="http://schemas.openxmlformats.org/officeDocument/2006/relationships/hyperlink" Target="mailto:hvcelectric44@gmail.com" TargetMode="External"/><Relationship Id="rId302" Type="http://schemas.openxmlformats.org/officeDocument/2006/relationships/hyperlink" Target="mailto:stephanie.giang@smartwire.com" TargetMode="External"/><Relationship Id="rId747" Type="http://schemas.openxmlformats.org/officeDocument/2006/relationships/hyperlink" Target="mailto:gsmith@woodmark.com" TargetMode="External"/><Relationship Id="rId954" Type="http://schemas.openxmlformats.org/officeDocument/2006/relationships/hyperlink" Target="mailto:brownriggtroy@gmail.com" TargetMode="External"/><Relationship Id="rId1377" Type="http://schemas.openxmlformats.org/officeDocument/2006/relationships/hyperlink" Target="mailto:NYGOV@stores.fastenal.com" TargetMode="External"/><Relationship Id="rId1584" Type="http://schemas.openxmlformats.org/officeDocument/2006/relationships/hyperlink" Target="mailto:felix@emotorwerks.com" TargetMode="External"/><Relationship Id="rId83" Type="http://schemas.openxmlformats.org/officeDocument/2006/relationships/hyperlink" Target="mailto:suzyfischer@live.com" TargetMode="External"/><Relationship Id="rId179" Type="http://schemas.openxmlformats.org/officeDocument/2006/relationships/hyperlink" Target="mailto:wgordon@neatheat.com" TargetMode="External"/><Relationship Id="rId386" Type="http://schemas.openxmlformats.org/officeDocument/2006/relationships/hyperlink" Target="mailto:trentiniholdings@gmail.com" TargetMode="External"/><Relationship Id="rId593" Type="http://schemas.openxmlformats.org/officeDocument/2006/relationships/hyperlink" Target="mailto:warren@ziaproducts.com" TargetMode="External"/><Relationship Id="rId607" Type="http://schemas.openxmlformats.org/officeDocument/2006/relationships/hyperlink" Target="mailto:fishbro@optonline.net" TargetMode="External"/><Relationship Id="rId814" Type="http://schemas.openxmlformats.org/officeDocument/2006/relationships/hyperlink" Target="mailto:fred.seal@ackrit.com" TargetMode="External"/><Relationship Id="rId1237" Type="http://schemas.openxmlformats.org/officeDocument/2006/relationships/hyperlink" Target="mailto:steve.land@wec-usa.org" TargetMode="External"/><Relationship Id="rId1444" Type="http://schemas.openxmlformats.org/officeDocument/2006/relationships/hyperlink" Target="mailto:robert.cevasco@yahoo.com" TargetMode="External"/><Relationship Id="rId246" Type="http://schemas.openxmlformats.org/officeDocument/2006/relationships/hyperlink" Target="mailto:wrtoevs@gmail.com" TargetMode="External"/><Relationship Id="rId453" Type="http://schemas.openxmlformats.org/officeDocument/2006/relationships/hyperlink" Target="mailto:ldevries@ottrans.com" TargetMode="External"/><Relationship Id="rId660" Type="http://schemas.openxmlformats.org/officeDocument/2006/relationships/hyperlink" Target="mailto:hkilic@aol.com" TargetMode="External"/><Relationship Id="rId898" Type="http://schemas.openxmlformats.org/officeDocument/2006/relationships/hyperlink" Target="mailto:daniel@rdelectricinc.com" TargetMode="External"/><Relationship Id="rId1083" Type="http://schemas.openxmlformats.org/officeDocument/2006/relationships/hyperlink" Target="mailto:SALES@ZMSLLC.US" TargetMode="External"/><Relationship Id="rId1290" Type="http://schemas.openxmlformats.org/officeDocument/2006/relationships/hyperlink" Target="mailto:purchasing@harrisonhydragen.org" TargetMode="External"/><Relationship Id="rId1304" Type="http://schemas.openxmlformats.org/officeDocument/2006/relationships/hyperlink" Target="mailto:julisa@buyawg.com" TargetMode="External"/><Relationship Id="rId1511" Type="http://schemas.openxmlformats.org/officeDocument/2006/relationships/hyperlink" Target="mailto:payables@smartwires.com" TargetMode="External"/><Relationship Id="rId106" Type="http://schemas.openxmlformats.org/officeDocument/2006/relationships/hyperlink" Target="mailto:mark.alvey@aol.com" TargetMode="External"/><Relationship Id="rId313" Type="http://schemas.openxmlformats.org/officeDocument/2006/relationships/hyperlink" Target="mailto:teranfirbt@hotmail.com" TargetMode="External"/><Relationship Id="rId758" Type="http://schemas.openxmlformats.org/officeDocument/2006/relationships/hyperlink" Target="mailto:ryan@nomercyhunting.com" TargetMode="External"/><Relationship Id="rId965" Type="http://schemas.openxmlformats.org/officeDocument/2006/relationships/hyperlink" Target="mailto:johmur@sasktel.net" TargetMode="External"/><Relationship Id="rId1150" Type="http://schemas.openxmlformats.org/officeDocument/2006/relationships/hyperlink" Target="mailto:argostcoop1@verizon.net" TargetMode="External"/><Relationship Id="rId1388" Type="http://schemas.openxmlformats.org/officeDocument/2006/relationships/hyperlink" Target="mailto:phat911@msn.com" TargetMode="External"/><Relationship Id="rId1595" Type="http://schemas.openxmlformats.org/officeDocument/2006/relationships/hyperlink" Target="mailto:NYGOV@stores.fastenal.com" TargetMode="External"/><Relationship Id="rId1609" Type="http://schemas.openxmlformats.org/officeDocument/2006/relationships/hyperlink" Target="mailto:NYGOV@stores.fastenal.com" TargetMode="External"/><Relationship Id="rId10" Type="http://schemas.openxmlformats.org/officeDocument/2006/relationships/hyperlink" Target="mailto:kayajmcdaniel@yahoo.com" TargetMode="External"/><Relationship Id="rId94" Type="http://schemas.openxmlformats.org/officeDocument/2006/relationships/hyperlink" Target="mailto:crodriguez@segue-mfg.com" TargetMode="External"/><Relationship Id="rId397" Type="http://schemas.openxmlformats.org/officeDocument/2006/relationships/hyperlink" Target="mailto:purchasing@harrisonhydragen.org" TargetMode="External"/><Relationship Id="rId520" Type="http://schemas.openxmlformats.org/officeDocument/2006/relationships/hyperlink" Target="mailto:curtis.williams@azab.afcent.af.mil" TargetMode="External"/><Relationship Id="rId618" Type="http://schemas.openxmlformats.org/officeDocument/2006/relationships/hyperlink" Target="mailto:skipjody92@yahoo.com" TargetMode="External"/><Relationship Id="rId825" Type="http://schemas.openxmlformats.org/officeDocument/2006/relationships/hyperlink" Target="mailto:bwalat@temsinc.net" TargetMode="External"/><Relationship Id="rId1248" Type="http://schemas.openxmlformats.org/officeDocument/2006/relationships/hyperlink" Target="mailto:robertsb05@yahoo.com" TargetMode="External"/><Relationship Id="rId1455" Type="http://schemas.openxmlformats.org/officeDocument/2006/relationships/hyperlink" Target="mailto:irene@3forksres.com" TargetMode="External"/><Relationship Id="rId257" Type="http://schemas.openxmlformats.org/officeDocument/2006/relationships/hyperlink" Target="mailto:brett.morley@performance-eng.net" TargetMode="External"/><Relationship Id="rId464" Type="http://schemas.openxmlformats.org/officeDocument/2006/relationships/hyperlink" Target="mailto:hal@brownelectricsupply.com" TargetMode="External"/><Relationship Id="rId1010" Type="http://schemas.openxmlformats.org/officeDocument/2006/relationships/hyperlink" Target="mailto:rhayes19534u@yahoo.com" TargetMode="External"/><Relationship Id="rId1094" Type="http://schemas.openxmlformats.org/officeDocument/2006/relationships/hyperlink" Target="mailto:simsail5@comcast.net" TargetMode="External"/><Relationship Id="rId1108" Type="http://schemas.openxmlformats.org/officeDocument/2006/relationships/hyperlink" Target="mailto:spiro@mj-ny.com" TargetMode="External"/><Relationship Id="rId1315" Type="http://schemas.openxmlformats.org/officeDocument/2006/relationships/hyperlink" Target="mailto:rmallicote@gmail.com" TargetMode="External"/><Relationship Id="rId117" Type="http://schemas.openxmlformats.org/officeDocument/2006/relationships/hyperlink" Target="mailto:jon@ic2net.net" TargetMode="External"/><Relationship Id="rId671" Type="http://schemas.openxmlformats.org/officeDocument/2006/relationships/hyperlink" Target="mailto:michaely@sunvalleyelectricinc.com" TargetMode="External"/><Relationship Id="rId769" Type="http://schemas.openxmlformats.org/officeDocument/2006/relationships/hyperlink" Target="mailto:jacqueline.martinez@graybar.com" TargetMode="External"/><Relationship Id="rId976" Type="http://schemas.openxmlformats.org/officeDocument/2006/relationships/hyperlink" Target="mailto:cjones@willoproducts.com" TargetMode="External"/><Relationship Id="rId1399" Type="http://schemas.openxmlformats.org/officeDocument/2006/relationships/hyperlink" Target="mailto:dge74@hotmail.com" TargetMode="External"/><Relationship Id="rId324" Type="http://schemas.openxmlformats.org/officeDocument/2006/relationships/hyperlink" Target="mailto:MPSHEINER@CORBINELECTRIC.COM" TargetMode="External"/><Relationship Id="rId531" Type="http://schemas.openxmlformats.org/officeDocument/2006/relationships/hyperlink" Target="mailto:mlmoen@springgrove.coop" TargetMode="External"/><Relationship Id="rId629" Type="http://schemas.openxmlformats.org/officeDocument/2006/relationships/hyperlink" Target="mailto:tgrey@uga.edu" TargetMode="External"/><Relationship Id="rId1161" Type="http://schemas.openxmlformats.org/officeDocument/2006/relationships/hyperlink" Target="mailto:elizabeths@griderhillmarina.com" TargetMode="External"/><Relationship Id="rId1259" Type="http://schemas.openxmlformats.org/officeDocument/2006/relationships/hyperlink" Target="mailto:johnp15ac@gmail.com" TargetMode="External"/><Relationship Id="rId1466" Type="http://schemas.openxmlformats.org/officeDocument/2006/relationships/hyperlink" Target="mailto:golsen@borderstates.com" TargetMode="External"/><Relationship Id="rId836" Type="http://schemas.openxmlformats.org/officeDocument/2006/relationships/hyperlink" Target="mailto:info@globuselectric.com" TargetMode="External"/><Relationship Id="rId1021" Type="http://schemas.openxmlformats.org/officeDocument/2006/relationships/hyperlink" Target="mailto:cfritz@amadorwater.org" TargetMode="External"/><Relationship Id="rId1119" Type="http://schemas.openxmlformats.org/officeDocument/2006/relationships/hyperlink" Target="mailto:tom@wysockielectric.com" TargetMode="External"/><Relationship Id="rId903" Type="http://schemas.openxmlformats.org/officeDocument/2006/relationships/hyperlink" Target="mailto:cm@megariselectric.com" TargetMode="External"/><Relationship Id="rId1326" Type="http://schemas.openxmlformats.org/officeDocument/2006/relationships/hyperlink" Target="mailto:rfrost@waterville.com" TargetMode="External"/><Relationship Id="rId1533" Type="http://schemas.openxmlformats.org/officeDocument/2006/relationships/hyperlink" Target="mailto:colin.smillie@ocscontrols.com" TargetMode="External"/><Relationship Id="rId32" Type="http://schemas.openxmlformats.org/officeDocument/2006/relationships/hyperlink" Target="mailto:alan.herrett@mlssystems.com" TargetMode="External"/><Relationship Id="rId1600" Type="http://schemas.openxmlformats.org/officeDocument/2006/relationships/hyperlink" Target="mailto:joepollok@aol.com" TargetMode="External"/><Relationship Id="rId181" Type="http://schemas.openxmlformats.org/officeDocument/2006/relationships/hyperlink" Target="mailto:warffme@netscape.net" TargetMode="External"/><Relationship Id="rId279" Type="http://schemas.openxmlformats.org/officeDocument/2006/relationships/hyperlink" Target="mailto:jaguero@kleintools.com" TargetMode="External"/><Relationship Id="rId486" Type="http://schemas.openxmlformats.org/officeDocument/2006/relationships/hyperlink" Target="mailto:jsparks@trinitygroupintl.com" TargetMode="External"/><Relationship Id="rId693" Type="http://schemas.openxmlformats.org/officeDocument/2006/relationships/hyperlink" Target="mailto:eric.terry@industrialservicescompany.com" TargetMode="External"/><Relationship Id="rId139" Type="http://schemas.openxmlformats.org/officeDocument/2006/relationships/hyperlink" Target="mailto:john@keybell.com" TargetMode="External"/><Relationship Id="rId346" Type="http://schemas.openxmlformats.org/officeDocument/2006/relationships/hyperlink" Target="mailto:cougrrrman@aol.com" TargetMode="External"/><Relationship Id="rId553" Type="http://schemas.openxmlformats.org/officeDocument/2006/relationships/hyperlink" Target="mailto:ccastillo@miamibreaker.com" TargetMode="External"/><Relationship Id="rId760" Type="http://schemas.openxmlformats.org/officeDocument/2006/relationships/hyperlink" Target="mailto:scladydider@yahoo.com" TargetMode="External"/><Relationship Id="rId998" Type="http://schemas.openxmlformats.org/officeDocument/2006/relationships/hyperlink" Target="mailto:erik@etbservices.com" TargetMode="External"/><Relationship Id="rId1183" Type="http://schemas.openxmlformats.org/officeDocument/2006/relationships/hyperlink" Target="mailto:tfrick@clairsystems.com" TargetMode="External"/><Relationship Id="rId1390" Type="http://schemas.openxmlformats.org/officeDocument/2006/relationships/hyperlink" Target="mailto:kweaver@brewmation.com" TargetMode="External"/><Relationship Id="rId206" Type="http://schemas.openxmlformats.org/officeDocument/2006/relationships/hyperlink" Target="mailto:cjones@willoproducts.com" TargetMode="External"/><Relationship Id="rId413" Type="http://schemas.openxmlformats.org/officeDocument/2006/relationships/hyperlink" Target="mailto:gordontink@hotmail.com" TargetMode="External"/><Relationship Id="rId858" Type="http://schemas.openxmlformats.org/officeDocument/2006/relationships/hyperlink" Target="mailto:tmartin@tntequip.com" TargetMode="External"/><Relationship Id="rId1043" Type="http://schemas.openxmlformats.org/officeDocument/2006/relationships/hyperlink" Target="mailto:albertwright20@gmail.com" TargetMode="External"/><Relationship Id="rId1488" Type="http://schemas.openxmlformats.org/officeDocument/2006/relationships/hyperlink" Target="mailto:golsen@borderstates.com" TargetMode="External"/><Relationship Id="rId620" Type="http://schemas.openxmlformats.org/officeDocument/2006/relationships/hyperlink" Target="mailto:conner55@verizon.net" TargetMode="External"/><Relationship Id="rId718" Type="http://schemas.openxmlformats.org/officeDocument/2006/relationships/hyperlink" Target="mailto:waltzortman@gmail.com" TargetMode="External"/><Relationship Id="rId925" Type="http://schemas.openxmlformats.org/officeDocument/2006/relationships/hyperlink" Target="mailto:ELIZABETHS@GRIDEHILLMARINA.COM" TargetMode="External"/><Relationship Id="rId1250" Type="http://schemas.openxmlformats.org/officeDocument/2006/relationships/hyperlink" Target="mailto:aftequip@yahoo.com" TargetMode="External"/><Relationship Id="rId1348" Type="http://schemas.openxmlformats.org/officeDocument/2006/relationships/hyperlink" Target="mailto:cgreen@spmresorts.com" TargetMode="External"/><Relationship Id="rId1555" Type="http://schemas.openxmlformats.org/officeDocument/2006/relationships/hyperlink" Target="mailto:purchasing@harrisonhydragen.org" TargetMode="External"/><Relationship Id="rId1110" Type="http://schemas.openxmlformats.org/officeDocument/2006/relationships/hyperlink" Target="mailto:awoods@roimachinery.com" TargetMode="External"/><Relationship Id="rId1208" Type="http://schemas.openxmlformats.org/officeDocument/2006/relationships/hyperlink" Target="mailto:augustvalentine23@gmail.com" TargetMode="External"/><Relationship Id="rId1415" Type="http://schemas.openxmlformats.org/officeDocument/2006/relationships/hyperlink" Target="mailto:momsworldinc@gmail.com" TargetMode="External"/><Relationship Id="rId54" Type="http://schemas.openxmlformats.org/officeDocument/2006/relationships/hyperlink" Target="mailto:acatarts@msn.com" TargetMode="External"/><Relationship Id="rId270" Type="http://schemas.openxmlformats.org/officeDocument/2006/relationships/hyperlink" Target="mailto:alphabedding@comcast.net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matt@commoditycables.com" TargetMode="External"/><Relationship Id="rId13" Type="http://schemas.openxmlformats.org/officeDocument/2006/relationships/hyperlink" Target="mailto:rcavanaugh@houwire.com" TargetMode="External"/><Relationship Id="rId3" Type="http://schemas.openxmlformats.org/officeDocument/2006/relationships/hyperlink" Target="mailto:TORREYB@THEASCHOENINC.COM" TargetMode="External"/><Relationship Id="rId7" Type="http://schemas.openxmlformats.org/officeDocument/2006/relationships/hyperlink" Target="mailto:MARIA@BASICWIRE.COM" TargetMode="External"/><Relationship Id="rId12" Type="http://schemas.openxmlformats.org/officeDocument/2006/relationships/hyperlink" Target="mailto:marketing@kingwireinc.com" TargetMode="External"/><Relationship Id="rId2" Type="http://schemas.openxmlformats.org/officeDocument/2006/relationships/hyperlink" Target="mailto:todd@abcwire.com" TargetMode="External"/><Relationship Id="rId16" Type="http://schemas.openxmlformats.org/officeDocument/2006/relationships/hyperlink" Target="mailto:Clifton.Gibson@servicewire.com" TargetMode="External"/><Relationship Id="rId1" Type="http://schemas.openxmlformats.org/officeDocument/2006/relationships/hyperlink" Target="mailto:jason@kristechwire.com" TargetMode="External"/><Relationship Id="rId6" Type="http://schemas.openxmlformats.org/officeDocument/2006/relationships/hyperlink" Target="mailto:NASSAUCABLE@GMAIL.COM" TargetMode="External"/><Relationship Id="rId11" Type="http://schemas.openxmlformats.org/officeDocument/2006/relationships/hyperlink" Target="mailto:lroy@docom.ca" TargetMode="External"/><Relationship Id="rId5" Type="http://schemas.openxmlformats.org/officeDocument/2006/relationships/hyperlink" Target="mailto:MICHAEL.REALE@SPSX.COM" TargetMode="External"/><Relationship Id="rId15" Type="http://schemas.openxmlformats.org/officeDocument/2006/relationships/hyperlink" Target="mailto:tina.krum@nexans.com" TargetMode="External"/><Relationship Id="rId10" Type="http://schemas.openxmlformats.org/officeDocument/2006/relationships/hyperlink" Target="mailto:rcavanaugh@houwire.com" TargetMode="External"/><Relationship Id="rId4" Type="http://schemas.openxmlformats.org/officeDocument/2006/relationships/hyperlink" Target="mailto:MARIA@BASICWIRE.COM" TargetMode="External"/><Relationship Id="rId9" Type="http://schemas.openxmlformats.org/officeDocument/2006/relationships/hyperlink" Target="mailto:aj_russo@gumcash.com%20MICHAEL.REALE@SPSX.COM" TargetMode="External"/><Relationship Id="rId14" Type="http://schemas.openxmlformats.org/officeDocument/2006/relationships/hyperlink" Target="mailto:billg@theaschoenin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466"/>
  <sheetViews>
    <sheetView tabSelected="1" workbookViewId="0">
      <selection activeCell="J5" sqref="J5:J6"/>
    </sheetView>
  </sheetViews>
  <sheetFormatPr defaultRowHeight="15" x14ac:dyDescent="0.25"/>
  <cols>
    <col min="1" max="1" width="8.42578125" style="127" customWidth="1"/>
    <col min="2" max="2" width="10.85546875" style="129" bestFit="1" customWidth="1"/>
    <col min="3" max="3" width="9.140625" style="127"/>
    <col min="4" max="4" width="25.85546875" style="128" customWidth="1"/>
    <col min="5" max="5" width="9.140625" style="120"/>
    <col min="6" max="6" width="34" style="133" customWidth="1"/>
    <col min="7" max="7" width="6.140625" style="127" customWidth="1"/>
    <col min="8" max="8" width="13.28515625" style="126" customWidth="1"/>
    <col min="9" max="9" width="12.42578125" style="126" bestFit="1" customWidth="1"/>
    <col min="10" max="10" width="9.7109375" style="126" customWidth="1"/>
    <col min="11" max="11" width="12.140625" style="126" customWidth="1"/>
    <col min="12" max="12" width="11" style="131" bestFit="1" customWidth="1"/>
    <col min="13" max="13" width="10.42578125" style="131" customWidth="1"/>
    <col min="14" max="14" width="10.7109375" style="126" customWidth="1"/>
    <col min="15" max="15" width="11" style="126" bestFit="1" customWidth="1"/>
    <col min="16" max="16" width="10" style="132" customWidth="1"/>
    <col min="17" max="17" width="2.5703125" style="130" bestFit="1" customWidth="1"/>
    <col min="18" max="18" width="7.28515625" style="126" customWidth="1"/>
    <col min="19" max="19" width="13.140625" style="133" customWidth="1"/>
    <col min="20" max="20" width="14.28515625" style="135" customWidth="1"/>
    <col min="21" max="21" width="18.7109375" style="261" customWidth="1"/>
    <col min="22" max="22" width="25.28515625" style="133" customWidth="1"/>
    <col min="23" max="23" width="25.5703125" style="154" customWidth="1"/>
    <col min="24" max="24" width="12.85546875" style="47" customWidth="1"/>
    <col min="25" max="25" width="7.28515625" style="47" customWidth="1"/>
    <col min="26" max="26" width="8.42578125" style="82" customWidth="1"/>
    <col min="27" max="27" width="9.140625" style="219"/>
  </cols>
  <sheetData>
    <row r="1" spans="1:28" ht="12" customHeight="1" x14ac:dyDescent="0.25">
      <c r="A1" s="108" t="s">
        <v>0</v>
      </c>
      <c r="B1" s="84" t="s">
        <v>1</v>
      </c>
      <c r="C1" s="85" t="s">
        <v>2</v>
      </c>
      <c r="D1" s="138" t="s">
        <v>3</v>
      </c>
      <c r="E1" s="117" t="s">
        <v>4</v>
      </c>
      <c r="F1" s="86" t="s">
        <v>5</v>
      </c>
      <c r="G1" s="163" t="s">
        <v>6</v>
      </c>
      <c r="H1" s="116"/>
      <c r="I1" s="87"/>
      <c r="J1" s="88" t="s">
        <v>7</v>
      </c>
      <c r="K1" s="139" t="s">
        <v>8</v>
      </c>
      <c r="L1" s="575" t="s">
        <v>9</v>
      </c>
      <c r="M1" s="575"/>
      <c r="N1" s="575"/>
      <c r="O1" s="97" t="s">
        <v>10</v>
      </c>
      <c r="P1" s="98" t="s">
        <v>11</v>
      </c>
      <c r="Q1" s="149" t="s">
        <v>12</v>
      </c>
      <c r="R1" s="97" t="s">
        <v>13</v>
      </c>
      <c r="S1" s="150" t="s">
        <v>14</v>
      </c>
      <c r="T1" s="576" t="s">
        <v>15</v>
      </c>
      <c r="U1" s="576"/>
      <c r="V1" s="111" t="s">
        <v>16</v>
      </c>
      <c r="W1" s="99" t="s">
        <v>17</v>
      </c>
      <c r="X1" s="100" t="s">
        <v>18</v>
      </c>
      <c r="Y1" s="100" t="s">
        <v>19</v>
      </c>
      <c r="Z1" s="213" t="s">
        <v>20</v>
      </c>
      <c r="AA1" s="217" t="s">
        <v>21</v>
      </c>
    </row>
    <row r="2" spans="1:28" ht="20.25" customHeight="1" x14ac:dyDescent="0.25">
      <c r="A2" s="577" t="s">
        <v>22</v>
      </c>
      <c r="B2" s="578"/>
      <c r="C2" s="578"/>
      <c r="D2" s="578"/>
      <c r="E2" s="578"/>
      <c r="F2" s="578"/>
      <c r="G2" s="578"/>
      <c r="H2" s="578"/>
      <c r="I2" s="578"/>
      <c r="J2" s="579"/>
      <c r="K2" s="579"/>
      <c r="L2" s="578"/>
      <c r="M2" s="578"/>
      <c r="N2" s="578"/>
      <c r="O2" s="578"/>
      <c r="P2" s="578"/>
      <c r="Q2" s="580"/>
      <c r="R2" s="123"/>
      <c r="S2" s="112"/>
      <c r="T2" s="136"/>
      <c r="U2" s="297"/>
      <c r="V2" s="113"/>
      <c r="W2" s="101"/>
      <c r="X2" s="102"/>
      <c r="Y2" s="103"/>
      <c r="Z2" s="214"/>
      <c r="AA2" s="218"/>
    </row>
    <row r="3" spans="1:28" ht="12" customHeight="1" x14ac:dyDescent="0.25">
      <c r="A3" s="579" t="s">
        <v>23</v>
      </c>
      <c r="B3" s="579"/>
      <c r="C3" s="579"/>
      <c r="D3" s="579"/>
      <c r="E3" s="579"/>
      <c r="F3" s="579"/>
      <c r="G3" s="579"/>
      <c r="H3" s="579"/>
      <c r="I3" s="579"/>
      <c r="J3" s="579"/>
      <c r="K3" s="579"/>
      <c r="L3" s="579"/>
      <c r="M3" s="579"/>
      <c r="N3" s="579"/>
      <c r="O3" s="579"/>
      <c r="P3" s="579"/>
      <c r="Q3" s="579"/>
      <c r="R3" s="123"/>
      <c r="S3" s="112"/>
      <c r="T3" s="136"/>
      <c r="U3" s="297"/>
      <c r="V3" s="113"/>
      <c r="W3" s="101"/>
      <c r="X3" s="102"/>
      <c r="Y3" s="103"/>
      <c r="Z3" s="214"/>
      <c r="AA3" s="218"/>
    </row>
    <row r="4" spans="1:28" ht="12" customHeight="1" x14ac:dyDescent="0.25">
      <c r="A4" s="112" t="s">
        <v>24</v>
      </c>
      <c r="B4" s="140" t="s">
        <v>25</v>
      </c>
      <c r="C4" s="105" t="s">
        <v>26</v>
      </c>
      <c r="D4" s="105" t="s">
        <v>27</v>
      </c>
      <c r="E4" s="104" t="s">
        <v>28</v>
      </c>
      <c r="F4" s="105" t="s">
        <v>29</v>
      </c>
      <c r="G4" s="105" t="s">
        <v>30</v>
      </c>
      <c r="H4" s="141" t="s">
        <v>31</v>
      </c>
      <c r="I4" s="97" t="s">
        <v>32</v>
      </c>
      <c r="J4" s="162" t="s">
        <v>33</v>
      </c>
      <c r="K4" s="97" t="s">
        <v>34</v>
      </c>
      <c r="L4" s="97" t="s">
        <v>35</v>
      </c>
      <c r="M4" s="97" t="s">
        <v>36</v>
      </c>
      <c r="N4" s="97" t="s">
        <v>37</v>
      </c>
      <c r="O4" s="97" t="s">
        <v>10</v>
      </c>
      <c r="P4" s="98" t="s">
        <v>11</v>
      </c>
      <c r="Q4" s="151" t="s">
        <v>38</v>
      </c>
      <c r="R4" s="97"/>
      <c r="S4" s="150"/>
      <c r="T4" s="137" t="s">
        <v>39</v>
      </c>
      <c r="U4" s="298" t="s">
        <v>40</v>
      </c>
      <c r="V4" s="113"/>
      <c r="W4" s="106" t="s">
        <v>17</v>
      </c>
      <c r="X4" s="107" t="s">
        <v>41</v>
      </c>
      <c r="Y4" s="103"/>
      <c r="Z4" s="214"/>
      <c r="AA4" s="218"/>
    </row>
    <row r="5" spans="1:28" x14ac:dyDescent="0.25">
      <c r="A5" s="419">
        <v>3000000</v>
      </c>
      <c r="B5" s="421">
        <v>42373</v>
      </c>
      <c r="C5" s="419" t="s">
        <v>42</v>
      </c>
      <c r="D5" s="417" t="s">
        <v>43</v>
      </c>
      <c r="E5" s="120">
        <v>100</v>
      </c>
      <c r="F5" s="133" t="s">
        <v>44</v>
      </c>
      <c r="G5" s="434" t="s">
        <v>45</v>
      </c>
      <c r="H5" s="502">
        <v>3900</v>
      </c>
      <c r="I5" s="452">
        <v>-153</v>
      </c>
      <c r="J5" s="425">
        <v>-74.7</v>
      </c>
      <c r="K5" s="425">
        <f>SUM(H5:J5)</f>
        <v>3672.3</v>
      </c>
      <c r="L5" s="158">
        <v>9500</v>
      </c>
      <c r="M5" s="158">
        <v>50</v>
      </c>
      <c r="N5" s="91">
        <f t="shared" ref="N5:N73" si="0">((L5)*(E5*0.001))+M5</f>
        <v>1000</v>
      </c>
      <c r="O5" s="411">
        <f>K5-N5</f>
        <v>2672.3</v>
      </c>
      <c r="P5" s="132" t="s">
        <v>46</v>
      </c>
      <c r="Q5" s="232"/>
      <c r="R5" s="411"/>
      <c r="T5" s="572" t="s">
        <v>47</v>
      </c>
      <c r="U5" s="505">
        <v>356095133</v>
      </c>
      <c r="W5" s="153" t="s">
        <v>48</v>
      </c>
      <c r="AA5" s="218"/>
    </row>
    <row r="6" spans="1:28" x14ac:dyDescent="0.25">
      <c r="A6" s="420"/>
      <c r="B6" s="422"/>
      <c r="C6" s="420"/>
      <c r="D6" s="418"/>
      <c r="E6" s="120">
        <v>100</v>
      </c>
      <c r="F6" s="133" t="s">
        <v>49</v>
      </c>
      <c r="G6" s="436"/>
      <c r="H6" s="504"/>
      <c r="I6" s="453"/>
      <c r="J6" s="426"/>
      <c r="K6" s="426"/>
      <c r="L6" s="158">
        <v>14500</v>
      </c>
      <c r="M6" s="131">
        <v>0</v>
      </c>
      <c r="N6" s="91">
        <f t="shared" si="0"/>
        <v>1450</v>
      </c>
      <c r="O6" s="411">
        <f t="shared" ref="O6:O74" si="1">K6-N6</f>
        <v>-1450</v>
      </c>
      <c r="P6" s="132" t="s">
        <v>46</v>
      </c>
      <c r="Q6" s="232"/>
      <c r="R6" s="411"/>
      <c r="T6" s="574"/>
      <c r="U6" s="490"/>
      <c r="AA6" s="218"/>
    </row>
    <row r="7" spans="1:28" x14ac:dyDescent="0.25">
      <c r="A7" s="405">
        <f>(A5+1)</f>
        <v>3000001</v>
      </c>
      <c r="B7" s="406">
        <v>42373</v>
      </c>
      <c r="C7" s="405" t="s">
        <v>42</v>
      </c>
      <c r="D7" s="401" t="s">
        <v>50</v>
      </c>
      <c r="E7" s="120">
        <v>1000</v>
      </c>
      <c r="F7" s="133" t="s">
        <v>51</v>
      </c>
      <c r="G7" s="404" t="s">
        <v>45</v>
      </c>
      <c r="H7" s="411">
        <v>1800</v>
      </c>
      <c r="I7" s="89">
        <f t="shared" ref="I7" si="2">-(H7*0.09)</f>
        <v>-162</v>
      </c>
      <c r="J7" s="90">
        <f>-((H7*0.019)+0.3)</f>
        <v>-34.499999999999993</v>
      </c>
      <c r="K7" s="90">
        <f t="shared" ref="K7:K12" si="3">SUM(H7:J7)</f>
        <v>1603.5</v>
      </c>
      <c r="L7" s="131">
        <v>1050</v>
      </c>
      <c r="M7" s="158">
        <v>169.22</v>
      </c>
      <c r="N7" s="91">
        <f t="shared" si="0"/>
        <v>1219.22</v>
      </c>
      <c r="O7" s="411">
        <f t="shared" si="1"/>
        <v>384.28</v>
      </c>
      <c r="P7" s="132" t="s">
        <v>52</v>
      </c>
      <c r="Q7" s="232"/>
      <c r="R7" s="411"/>
      <c r="T7" s="134" t="s">
        <v>53</v>
      </c>
      <c r="U7" s="267" t="s">
        <v>54</v>
      </c>
      <c r="V7" s="133" t="s">
        <v>55</v>
      </c>
      <c r="AA7" s="218"/>
    </row>
    <row r="8" spans="1:28" ht="36" x14ac:dyDescent="0.25">
      <c r="A8" s="405">
        <f>(A7+1)</f>
        <v>3000002</v>
      </c>
      <c r="B8" s="406">
        <v>42373</v>
      </c>
      <c r="C8" s="405" t="s">
        <v>56</v>
      </c>
      <c r="D8" s="401" t="s">
        <v>57</v>
      </c>
      <c r="E8" s="120">
        <v>447</v>
      </c>
      <c r="F8" s="133" t="s">
        <v>58</v>
      </c>
      <c r="G8" s="404" t="s">
        <v>45</v>
      </c>
      <c r="H8" s="411">
        <v>5837</v>
      </c>
      <c r="I8" s="411">
        <v>0</v>
      </c>
      <c r="J8" s="411">
        <v>0</v>
      </c>
      <c r="K8" s="90">
        <f t="shared" si="3"/>
        <v>5837</v>
      </c>
      <c r="L8" s="158">
        <v>8470</v>
      </c>
      <c r="M8" s="131">
        <v>250</v>
      </c>
      <c r="N8" s="91">
        <f t="shared" si="0"/>
        <v>4036.09</v>
      </c>
      <c r="O8" s="411">
        <f t="shared" si="1"/>
        <v>1800.9099999999999</v>
      </c>
      <c r="P8" s="132" t="s">
        <v>59</v>
      </c>
      <c r="Q8" s="232"/>
      <c r="R8" s="411"/>
      <c r="T8" s="134" t="s">
        <v>60</v>
      </c>
      <c r="U8" s="267" t="s">
        <v>61</v>
      </c>
      <c r="V8" s="133" t="s">
        <v>62</v>
      </c>
      <c r="AA8" s="218"/>
    </row>
    <row r="9" spans="1:28" x14ac:dyDescent="0.25">
      <c r="A9" s="405">
        <f>(A8+1)</f>
        <v>3000003</v>
      </c>
      <c r="B9" s="406">
        <v>42373</v>
      </c>
      <c r="C9" s="379" t="s">
        <v>63</v>
      </c>
      <c r="D9" s="377" t="s">
        <v>64</v>
      </c>
      <c r="E9" s="412">
        <v>250</v>
      </c>
      <c r="F9" s="393" t="s">
        <v>65</v>
      </c>
      <c r="G9" s="386" t="s">
        <v>45</v>
      </c>
      <c r="H9" s="399">
        <v>1375</v>
      </c>
      <c r="I9" s="399">
        <v>0</v>
      </c>
      <c r="J9" s="90">
        <f>-((H9*0.022)+0.3)</f>
        <v>-30.55</v>
      </c>
      <c r="K9" s="90">
        <f t="shared" si="3"/>
        <v>1344.45</v>
      </c>
      <c r="L9" s="166">
        <v>3550</v>
      </c>
      <c r="M9" s="166">
        <v>148.34</v>
      </c>
      <c r="N9" s="91">
        <f t="shared" si="0"/>
        <v>1035.8399999999999</v>
      </c>
      <c r="O9" s="411">
        <f t="shared" si="1"/>
        <v>308.61000000000013</v>
      </c>
      <c r="P9" s="402" t="s">
        <v>66</v>
      </c>
      <c r="Q9" s="233"/>
      <c r="R9" s="399"/>
      <c r="S9" s="393"/>
      <c r="T9" s="407" t="s">
        <v>67</v>
      </c>
      <c r="U9" s="299"/>
      <c r="V9" s="393"/>
      <c r="W9" s="155" t="s">
        <v>68</v>
      </c>
      <c r="X9" s="58"/>
      <c r="Y9" s="58"/>
      <c r="Z9" s="125"/>
      <c r="AA9" s="218"/>
    </row>
    <row r="10" spans="1:28" s="47" customFormat="1" ht="15.75" customHeight="1" x14ac:dyDescent="0.25">
      <c r="A10" s="405">
        <f>(A9+1)</f>
        <v>3000004</v>
      </c>
      <c r="B10" s="406">
        <v>42373</v>
      </c>
      <c r="C10" s="92" t="s">
        <v>63</v>
      </c>
      <c r="D10" s="401" t="s">
        <v>69</v>
      </c>
      <c r="E10" s="120">
        <v>2500</v>
      </c>
      <c r="F10" s="93" t="s">
        <v>70</v>
      </c>
      <c r="G10" s="115" t="s">
        <v>45</v>
      </c>
      <c r="H10" s="399">
        <v>5500</v>
      </c>
      <c r="I10" s="94">
        <v>0</v>
      </c>
      <c r="J10" s="90">
        <f>-((H10*0.022)+0.3)</f>
        <v>-121.3</v>
      </c>
      <c r="K10" s="90">
        <f t="shared" si="3"/>
        <v>5378.7</v>
      </c>
      <c r="L10" s="109">
        <v>1540</v>
      </c>
      <c r="M10" s="159">
        <v>192.8</v>
      </c>
      <c r="N10" s="91">
        <f t="shared" si="0"/>
        <v>4042.8</v>
      </c>
      <c r="O10" s="411">
        <f t="shared" si="1"/>
        <v>1335.8999999999996</v>
      </c>
      <c r="P10" s="95" t="s">
        <v>52</v>
      </c>
      <c r="Q10" s="48"/>
      <c r="R10" s="124"/>
      <c r="S10" s="114"/>
      <c r="T10" s="208" t="s">
        <v>71</v>
      </c>
      <c r="U10" s="300" t="s">
        <v>72</v>
      </c>
      <c r="V10" s="110" t="s">
        <v>55</v>
      </c>
      <c r="W10" s="83" t="s">
        <v>73</v>
      </c>
      <c r="Z10" s="82"/>
      <c r="AA10" s="218"/>
      <c r="AB10" s="216"/>
    </row>
    <row r="11" spans="1:28" s="47" customFormat="1" ht="14.1" customHeight="1" x14ac:dyDescent="0.25">
      <c r="A11" s="379">
        <f>(A10+1)</f>
        <v>3000005</v>
      </c>
      <c r="B11" s="381">
        <v>42373</v>
      </c>
      <c r="C11" s="143" t="s">
        <v>63</v>
      </c>
      <c r="D11" s="144" t="s">
        <v>74</v>
      </c>
      <c r="E11" s="121">
        <v>8000</v>
      </c>
      <c r="F11" s="122" t="s">
        <v>75</v>
      </c>
      <c r="G11" s="145" t="s">
        <v>45</v>
      </c>
      <c r="H11" s="399">
        <v>20800</v>
      </c>
      <c r="I11" s="89">
        <v>0</v>
      </c>
      <c r="J11" s="90">
        <f>-((H11*0.022)+0.3)</f>
        <v>-457.9</v>
      </c>
      <c r="K11" s="90">
        <f t="shared" si="3"/>
        <v>20342.099999999999</v>
      </c>
      <c r="L11" s="165">
        <v>1950</v>
      </c>
      <c r="M11" s="159">
        <v>700</v>
      </c>
      <c r="N11" s="91">
        <f t="shared" si="0"/>
        <v>16300</v>
      </c>
      <c r="O11" s="411">
        <f t="shared" si="1"/>
        <v>4042.0999999999985</v>
      </c>
      <c r="P11" s="96" t="s">
        <v>76</v>
      </c>
      <c r="Q11" s="48"/>
      <c r="R11" s="124"/>
      <c r="S11" s="114"/>
      <c r="T11" s="161" t="s">
        <v>53</v>
      </c>
      <c r="U11" s="300">
        <v>407929126</v>
      </c>
      <c r="V11" s="118" t="s">
        <v>55</v>
      </c>
      <c r="W11" s="83" t="s">
        <v>77</v>
      </c>
      <c r="Z11" s="82"/>
      <c r="AA11" s="218"/>
      <c r="AB11" s="216"/>
    </row>
    <row r="12" spans="1:28" x14ac:dyDescent="0.25">
      <c r="A12" s="562">
        <f>(A11+1)</f>
        <v>3000006</v>
      </c>
      <c r="B12" s="421">
        <v>42373</v>
      </c>
      <c r="C12" s="562" t="s">
        <v>78</v>
      </c>
      <c r="D12" s="507" t="s">
        <v>79</v>
      </c>
      <c r="E12" s="120">
        <v>5000</v>
      </c>
      <c r="F12" s="133" t="s">
        <v>80</v>
      </c>
      <c r="G12" s="551" t="s">
        <v>45</v>
      </c>
      <c r="H12" s="530">
        <v>2996</v>
      </c>
      <c r="I12" s="427">
        <v>0</v>
      </c>
      <c r="J12" s="425">
        <f>-((H12*0.019)+0.3)</f>
        <v>-57.223999999999997</v>
      </c>
      <c r="K12" s="425">
        <f t="shared" si="3"/>
        <v>2938.7759999999998</v>
      </c>
      <c r="L12" s="165">
        <v>191.42</v>
      </c>
      <c r="M12" s="553">
        <v>389.82</v>
      </c>
      <c r="N12" s="91">
        <f t="shared" si="0"/>
        <v>1346.9199999999998</v>
      </c>
      <c r="O12" s="411">
        <f t="shared" si="1"/>
        <v>1591.856</v>
      </c>
      <c r="P12" s="403" t="s">
        <v>76</v>
      </c>
      <c r="Q12" s="152"/>
      <c r="R12" s="400"/>
      <c r="S12" s="394"/>
      <c r="T12" s="572" t="s">
        <v>53</v>
      </c>
      <c r="U12" s="505">
        <v>776580254</v>
      </c>
      <c r="V12" s="394"/>
      <c r="W12" s="156" t="s">
        <v>81</v>
      </c>
      <c r="X12" s="66"/>
      <c r="Y12" s="66"/>
      <c r="Z12" s="215"/>
      <c r="AA12" s="218"/>
    </row>
    <row r="13" spans="1:28" x14ac:dyDescent="0.25">
      <c r="A13" s="562"/>
      <c r="B13" s="433"/>
      <c r="C13" s="562"/>
      <c r="D13" s="507"/>
      <c r="E13" s="120">
        <v>8000</v>
      </c>
      <c r="F13" s="133" t="s">
        <v>82</v>
      </c>
      <c r="G13" s="551"/>
      <c r="H13" s="581"/>
      <c r="I13" s="438"/>
      <c r="J13" s="437"/>
      <c r="K13" s="437"/>
      <c r="L13" s="165">
        <v>123.95</v>
      </c>
      <c r="M13" s="564"/>
      <c r="N13" s="91">
        <f t="shared" si="0"/>
        <v>991.6</v>
      </c>
      <c r="O13" s="411">
        <f t="shared" si="1"/>
        <v>-991.6</v>
      </c>
      <c r="P13" s="132" t="s">
        <v>76</v>
      </c>
      <c r="Q13" s="232"/>
      <c r="R13" s="411"/>
      <c r="T13" s="573"/>
      <c r="U13" s="506"/>
      <c r="AA13" s="218"/>
    </row>
    <row r="14" spans="1:28" x14ac:dyDescent="0.25">
      <c r="A14" s="562"/>
      <c r="B14" s="433"/>
      <c r="C14" s="562"/>
      <c r="D14" s="507"/>
      <c r="E14" s="120">
        <v>500</v>
      </c>
      <c r="F14" s="133" t="s">
        <v>83</v>
      </c>
      <c r="G14" s="551"/>
      <c r="H14" s="581"/>
      <c r="I14" s="438"/>
      <c r="J14" s="437"/>
      <c r="K14" s="437"/>
      <c r="L14" s="165">
        <v>267</v>
      </c>
      <c r="M14" s="564"/>
      <c r="N14" s="91">
        <f t="shared" si="0"/>
        <v>133.5</v>
      </c>
      <c r="O14" s="411">
        <f t="shared" si="1"/>
        <v>-133.5</v>
      </c>
      <c r="P14" s="132" t="s">
        <v>76</v>
      </c>
      <c r="Q14" s="232"/>
      <c r="R14" s="411"/>
      <c r="T14" s="573"/>
      <c r="U14" s="506"/>
      <c r="AA14" s="218"/>
    </row>
    <row r="15" spans="1:28" x14ac:dyDescent="0.25">
      <c r="A15" s="562"/>
      <c r="B15" s="433"/>
      <c r="C15" s="562"/>
      <c r="D15" s="507"/>
      <c r="E15" s="120">
        <v>500</v>
      </c>
      <c r="F15" s="133" t="s">
        <v>84</v>
      </c>
      <c r="G15" s="551"/>
      <c r="H15" s="581"/>
      <c r="I15" s="438"/>
      <c r="J15" s="437"/>
      <c r="K15" s="437"/>
      <c r="L15" s="165">
        <v>267</v>
      </c>
      <c r="M15" s="564"/>
      <c r="N15" s="91">
        <f t="shared" si="0"/>
        <v>133.5</v>
      </c>
      <c r="O15" s="411">
        <f t="shared" si="1"/>
        <v>-133.5</v>
      </c>
      <c r="P15" s="132" t="s">
        <v>76</v>
      </c>
      <c r="Q15" s="232"/>
      <c r="R15" s="411"/>
      <c r="T15" s="573"/>
      <c r="U15" s="506"/>
      <c r="AA15" s="218"/>
    </row>
    <row r="16" spans="1:28" x14ac:dyDescent="0.25">
      <c r="A16" s="419"/>
      <c r="B16" s="422"/>
      <c r="C16" s="419"/>
      <c r="D16" s="417"/>
      <c r="E16" s="412">
        <v>140</v>
      </c>
      <c r="F16" s="393" t="s">
        <v>85</v>
      </c>
      <c r="G16" s="434"/>
      <c r="H16" s="531"/>
      <c r="I16" s="428"/>
      <c r="J16" s="426"/>
      <c r="K16" s="426"/>
      <c r="L16" s="109">
        <v>1250</v>
      </c>
      <c r="M16" s="554"/>
      <c r="N16" s="91">
        <f t="shared" si="0"/>
        <v>175.00000000000003</v>
      </c>
      <c r="O16" s="411">
        <f t="shared" si="1"/>
        <v>-175.00000000000003</v>
      </c>
      <c r="P16" s="132" t="s">
        <v>86</v>
      </c>
      <c r="Q16" s="232"/>
      <c r="R16" s="411"/>
      <c r="T16" s="574"/>
      <c r="U16" s="490"/>
      <c r="AA16" s="218"/>
    </row>
    <row r="17" spans="1:27" x14ac:dyDescent="0.25">
      <c r="A17" s="419">
        <v>30000007</v>
      </c>
      <c r="B17" s="421">
        <v>42373</v>
      </c>
      <c r="C17" s="419" t="s">
        <v>56</v>
      </c>
      <c r="D17" s="417" t="s">
        <v>87</v>
      </c>
      <c r="E17" s="120">
        <v>195</v>
      </c>
      <c r="F17" s="133" t="s">
        <v>88</v>
      </c>
      <c r="G17" s="434" t="s">
        <v>45</v>
      </c>
      <c r="H17" s="427">
        <v>41638.94</v>
      </c>
      <c r="I17" s="427">
        <v>0</v>
      </c>
      <c r="J17" s="427">
        <v>0</v>
      </c>
      <c r="K17" s="425">
        <f>SUM(H17:J17)</f>
        <v>41638.94</v>
      </c>
      <c r="L17" s="131">
        <v>350</v>
      </c>
      <c r="M17" s="158">
        <v>218.09</v>
      </c>
      <c r="N17" s="91">
        <f t="shared" si="0"/>
        <v>286.34000000000003</v>
      </c>
      <c r="O17" s="411"/>
      <c r="P17" s="132" t="s">
        <v>52</v>
      </c>
      <c r="Q17" s="232"/>
      <c r="R17" s="411"/>
      <c r="T17" s="134" t="s">
        <v>89</v>
      </c>
      <c r="U17" s="267" t="s">
        <v>90</v>
      </c>
      <c r="V17" s="133" t="s">
        <v>91</v>
      </c>
      <c r="AA17" s="218"/>
    </row>
    <row r="18" spans="1:27" x14ac:dyDescent="0.25">
      <c r="A18" s="432"/>
      <c r="B18" s="433"/>
      <c r="C18" s="432"/>
      <c r="D18" s="454"/>
      <c r="E18" s="120">
        <v>2000</v>
      </c>
      <c r="F18" s="133" t="s">
        <v>92</v>
      </c>
      <c r="G18" s="435"/>
      <c r="H18" s="438"/>
      <c r="I18" s="438"/>
      <c r="J18" s="438"/>
      <c r="K18" s="437"/>
      <c r="L18" s="131">
        <v>350</v>
      </c>
      <c r="M18" s="158"/>
      <c r="N18" s="91">
        <f t="shared" si="0"/>
        <v>700</v>
      </c>
      <c r="O18" s="411"/>
      <c r="P18" s="132" t="s">
        <v>86</v>
      </c>
      <c r="Q18" s="232"/>
      <c r="R18" s="411"/>
      <c r="T18" s="572" t="s">
        <v>89</v>
      </c>
      <c r="U18" s="505">
        <v>841278651</v>
      </c>
      <c r="V18" s="133" t="s">
        <v>93</v>
      </c>
      <c r="AA18" s="218"/>
    </row>
    <row r="19" spans="1:27" x14ac:dyDescent="0.25">
      <c r="A19" s="432"/>
      <c r="B19" s="433"/>
      <c r="C19" s="432"/>
      <c r="D19" s="454"/>
      <c r="E19" s="120">
        <v>2000</v>
      </c>
      <c r="F19" s="133" t="s">
        <v>94</v>
      </c>
      <c r="G19" s="435"/>
      <c r="H19" s="438"/>
      <c r="I19" s="438"/>
      <c r="J19" s="438"/>
      <c r="K19" s="437"/>
      <c r="L19" s="131">
        <v>480</v>
      </c>
      <c r="M19" s="158"/>
      <c r="N19" s="91">
        <f t="shared" si="0"/>
        <v>960</v>
      </c>
      <c r="O19" s="411"/>
      <c r="P19" s="132" t="s">
        <v>86</v>
      </c>
      <c r="Q19" s="232"/>
      <c r="R19" s="411"/>
      <c r="T19" s="574"/>
      <c r="U19" s="490"/>
      <c r="V19" s="133" t="s">
        <v>95</v>
      </c>
      <c r="AA19" s="218"/>
    </row>
    <row r="20" spans="1:27" x14ac:dyDescent="0.25">
      <c r="A20" s="432"/>
      <c r="B20" s="433"/>
      <c r="C20" s="432"/>
      <c r="D20" s="454"/>
      <c r="E20" s="120">
        <v>1958</v>
      </c>
      <c r="F20" s="133" t="s">
        <v>96</v>
      </c>
      <c r="G20" s="435"/>
      <c r="H20" s="438"/>
      <c r="I20" s="438"/>
      <c r="J20" s="438"/>
      <c r="K20" s="437"/>
      <c r="L20" s="131">
        <v>510</v>
      </c>
      <c r="N20" s="91">
        <f t="shared" si="0"/>
        <v>998.57999999999993</v>
      </c>
      <c r="O20" s="411"/>
      <c r="P20" s="132" t="s">
        <v>52</v>
      </c>
      <c r="Q20" s="232"/>
      <c r="R20" s="411"/>
      <c r="T20" s="134" t="s">
        <v>97</v>
      </c>
      <c r="U20" s="267" t="s">
        <v>98</v>
      </c>
      <c r="V20" s="133" t="s">
        <v>99</v>
      </c>
      <c r="AA20" s="218"/>
    </row>
    <row r="21" spans="1:27" x14ac:dyDescent="0.25">
      <c r="A21" s="432"/>
      <c r="B21" s="433"/>
      <c r="C21" s="432"/>
      <c r="D21" s="454"/>
      <c r="E21" s="120">
        <v>1575</v>
      </c>
      <c r="F21" s="133" t="s">
        <v>100</v>
      </c>
      <c r="G21" s="435"/>
      <c r="H21" s="438"/>
      <c r="I21" s="438"/>
      <c r="J21" s="438"/>
      <c r="K21" s="437"/>
      <c r="L21" s="131">
        <v>600</v>
      </c>
      <c r="M21" s="158"/>
      <c r="N21" s="91">
        <f t="shared" si="0"/>
        <v>945</v>
      </c>
      <c r="O21" s="411"/>
      <c r="P21" s="132" t="s">
        <v>86</v>
      </c>
      <c r="Q21" s="232"/>
      <c r="R21" s="411"/>
      <c r="T21" s="134" t="s">
        <v>89</v>
      </c>
      <c r="U21" s="299">
        <v>841278651</v>
      </c>
      <c r="V21" s="133" t="s">
        <v>101</v>
      </c>
      <c r="AA21" s="218"/>
    </row>
    <row r="22" spans="1:27" x14ac:dyDescent="0.25">
      <c r="A22" s="432"/>
      <c r="B22" s="433"/>
      <c r="C22" s="432"/>
      <c r="D22" s="454"/>
      <c r="E22" s="120">
        <v>2138</v>
      </c>
      <c r="F22" s="133" t="s">
        <v>102</v>
      </c>
      <c r="G22" s="435"/>
      <c r="H22" s="438"/>
      <c r="I22" s="438"/>
      <c r="J22" s="438"/>
      <c r="K22" s="437"/>
      <c r="L22" s="131">
        <v>690</v>
      </c>
      <c r="M22" s="158">
        <v>708</v>
      </c>
      <c r="N22" s="91">
        <f t="shared" si="0"/>
        <v>2183.2200000000003</v>
      </c>
      <c r="O22" s="411"/>
      <c r="P22" s="132" t="s">
        <v>52</v>
      </c>
      <c r="Q22" s="232"/>
      <c r="R22" s="411"/>
      <c r="T22" s="439" t="s">
        <v>97</v>
      </c>
      <c r="U22" s="448" t="s">
        <v>98</v>
      </c>
      <c r="V22" s="133" t="s">
        <v>103</v>
      </c>
      <c r="AA22" s="218"/>
    </row>
    <row r="23" spans="1:27" ht="30" customHeight="1" x14ac:dyDescent="0.25">
      <c r="A23" s="432"/>
      <c r="B23" s="433"/>
      <c r="C23" s="432"/>
      <c r="D23" s="454"/>
      <c r="E23" s="120">
        <v>254</v>
      </c>
      <c r="F23" s="119" t="s">
        <v>104</v>
      </c>
      <c r="G23" s="435"/>
      <c r="H23" s="438"/>
      <c r="I23" s="438"/>
      <c r="J23" s="438"/>
      <c r="K23" s="437"/>
      <c r="L23" s="131">
        <v>850</v>
      </c>
      <c r="N23" s="91">
        <f t="shared" si="0"/>
        <v>215.9</v>
      </c>
      <c r="O23" s="411"/>
      <c r="P23" s="132" t="s">
        <v>52</v>
      </c>
      <c r="Q23" s="232"/>
      <c r="R23" s="411"/>
      <c r="T23" s="441"/>
      <c r="U23" s="447"/>
      <c r="V23" s="133" t="s">
        <v>105</v>
      </c>
      <c r="AA23" s="218"/>
    </row>
    <row r="24" spans="1:27" ht="30" customHeight="1" x14ac:dyDescent="0.25">
      <c r="A24" s="432"/>
      <c r="B24" s="433"/>
      <c r="C24" s="432"/>
      <c r="D24" s="454"/>
      <c r="E24" s="120">
        <v>3186</v>
      </c>
      <c r="F24" s="119" t="s">
        <v>106</v>
      </c>
      <c r="G24" s="435"/>
      <c r="H24" s="438"/>
      <c r="I24" s="438"/>
      <c r="J24" s="438"/>
      <c r="K24" s="437"/>
      <c r="L24" s="131">
        <v>850</v>
      </c>
      <c r="M24" s="158">
        <v>629.32000000000005</v>
      </c>
      <c r="N24" s="91">
        <f t="shared" si="0"/>
        <v>3337.42</v>
      </c>
      <c r="O24" s="411"/>
      <c r="P24" s="132" t="s">
        <v>86</v>
      </c>
      <c r="Q24" s="232"/>
      <c r="R24" s="411"/>
      <c r="T24" s="134" t="s">
        <v>89</v>
      </c>
      <c r="U24" s="266">
        <v>841278651</v>
      </c>
      <c r="V24" s="133" t="s">
        <v>107</v>
      </c>
      <c r="AA24" s="218"/>
    </row>
    <row r="25" spans="1:27" ht="24" x14ac:dyDescent="0.25">
      <c r="A25" s="432"/>
      <c r="B25" s="433"/>
      <c r="C25" s="432"/>
      <c r="D25" s="454"/>
      <c r="E25" s="120">
        <v>1766</v>
      </c>
      <c r="F25" s="119" t="s">
        <v>108</v>
      </c>
      <c r="G25" s="435"/>
      <c r="H25" s="438"/>
      <c r="I25" s="438"/>
      <c r="J25" s="438"/>
      <c r="K25" s="437"/>
      <c r="L25" s="131">
        <v>1150</v>
      </c>
      <c r="N25" s="91">
        <f t="shared" si="0"/>
        <v>2030.9</v>
      </c>
      <c r="O25" s="411"/>
      <c r="P25" s="132" t="s">
        <v>52</v>
      </c>
      <c r="Q25" s="232"/>
      <c r="R25" s="411"/>
      <c r="T25" s="439" t="s">
        <v>97</v>
      </c>
      <c r="U25" s="481" t="s">
        <v>98</v>
      </c>
      <c r="V25" s="133" t="s">
        <v>109</v>
      </c>
      <c r="AA25" s="218"/>
    </row>
    <row r="26" spans="1:27" x14ac:dyDescent="0.25">
      <c r="A26" s="432"/>
      <c r="B26" s="433"/>
      <c r="C26" s="432"/>
      <c r="D26" s="454"/>
      <c r="E26" s="120">
        <v>1000</v>
      </c>
      <c r="F26" s="133" t="s">
        <v>110</v>
      </c>
      <c r="G26" s="435"/>
      <c r="H26" s="438"/>
      <c r="I26" s="438"/>
      <c r="J26" s="438"/>
      <c r="K26" s="437"/>
      <c r="L26" s="131">
        <v>1500</v>
      </c>
      <c r="N26" s="91">
        <f t="shared" si="0"/>
        <v>1500</v>
      </c>
      <c r="O26" s="411"/>
      <c r="P26" s="132" t="s">
        <v>52</v>
      </c>
      <c r="Q26" s="232"/>
      <c r="R26" s="411"/>
      <c r="T26" s="440"/>
      <c r="U26" s="482"/>
      <c r="AA26" s="218"/>
    </row>
    <row r="27" spans="1:27" ht="24" x14ac:dyDescent="0.25">
      <c r="A27" s="432"/>
      <c r="B27" s="433"/>
      <c r="C27" s="432"/>
      <c r="D27" s="454"/>
      <c r="E27" s="120">
        <v>1009</v>
      </c>
      <c r="F27" s="119" t="s">
        <v>111</v>
      </c>
      <c r="G27" s="435"/>
      <c r="H27" s="438"/>
      <c r="I27" s="438"/>
      <c r="J27" s="438"/>
      <c r="K27" s="437"/>
      <c r="L27" s="131">
        <v>1800</v>
      </c>
      <c r="N27" s="91">
        <f t="shared" si="0"/>
        <v>1816.2000000000003</v>
      </c>
      <c r="O27" s="411"/>
      <c r="P27" s="132" t="s">
        <v>52</v>
      </c>
      <c r="Q27" s="232"/>
      <c r="R27" s="411"/>
      <c r="T27" s="440"/>
      <c r="U27" s="482"/>
      <c r="AA27" s="218"/>
    </row>
    <row r="28" spans="1:27" x14ac:dyDescent="0.25">
      <c r="A28" s="432"/>
      <c r="B28" s="433"/>
      <c r="C28" s="432"/>
      <c r="D28" s="454"/>
      <c r="E28" s="120">
        <v>370</v>
      </c>
      <c r="F28" s="133" t="s">
        <v>112</v>
      </c>
      <c r="G28" s="435"/>
      <c r="H28" s="438"/>
      <c r="I28" s="438"/>
      <c r="J28" s="438"/>
      <c r="K28" s="437"/>
      <c r="L28" s="131">
        <v>2515</v>
      </c>
      <c r="N28" s="91">
        <f t="shared" si="0"/>
        <v>930.55</v>
      </c>
      <c r="O28" s="411"/>
      <c r="P28" s="132" t="s">
        <v>52</v>
      </c>
      <c r="Q28" s="232"/>
      <c r="R28" s="411"/>
      <c r="T28" s="440"/>
      <c r="U28" s="482"/>
      <c r="AA28" s="218"/>
    </row>
    <row r="29" spans="1:27" x14ac:dyDescent="0.25">
      <c r="A29" s="432"/>
      <c r="B29" s="433"/>
      <c r="C29" s="432"/>
      <c r="D29" s="454"/>
      <c r="E29" s="120">
        <v>2000</v>
      </c>
      <c r="F29" s="133" t="s">
        <v>113</v>
      </c>
      <c r="G29" s="435"/>
      <c r="H29" s="438"/>
      <c r="I29" s="438"/>
      <c r="J29" s="438"/>
      <c r="K29" s="437"/>
      <c r="L29" s="131">
        <v>675</v>
      </c>
      <c r="N29" s="91">
        <f t="shared" si="0"/>
        <v>1350</v>
      </c>
      <c r="O29" s="411"/>
      <c r="P29" s="132" t="s">
        <v>52</v>
      </c>
      <c r="Q29" s="232"/>
      <c r="R29" s="411"/>
      <c r="T29" s="440"/>
      <c r="U29" s="482"/>
      <c r="AA29" s="218"/>
    </row>
    <row r="30" spans="1:27" x14ac:dyDescent="0.25">
      <c r="A30" s="432"/>
      <c r="B30" s="433"/>
      <c r="C30" s="432"/>
      <c r="D30" s="454"/>
      <c r="E30" s="120">
        <v>394</v>
      </c>
      <c r="F30" s="133" t="s">
        <v>114</v>
      </c>
      <c r="G30" s="435"/>
      <c r="H30" s="438"/>
      <c r="I30" s="438"/>
      <c r="J30" s="438"/>
      <c r="K30" s="437"/>
      <c r="L30" s="131">
        <v>835</v>
      </c>
      <c r="N30" s="91">
        <f t="shared" si="0"/>
        <v>328.99</v>
      </c>
      <c r="O30" s="411"/>
      <c r="P30" s="132" t="s">
        <v>52</v>
      </c>
      <c r="Q30" s="232"/>
      <c r="R30" s="411"/>
      <c r="T30" s="440"/>
      <c r="U30" s="482"/>
      <c r="AA30" s="218"/>
    </row>
    <row r="31" spans="1:27" ht="24" x14ac:dyDescent="0.25">
      <c r="A31" s="432"/>
      <c r="B31" s="433"/>
      <c r="C31" s="432"/>
      <c r="D31" s="454"/>
      <c r="E31" s="120">
        <v>2378</v>
      </c>
      <c r="F31" s="119" t="s">
        <v>115</v>
      </c>
      <c r="G31" s="435"/>
      <c r="H31" s="438"/>
      <c r="I31" s="438"/>
      <c r="J31" s="438"/>
      <c r="K31" s="437"/>
      <c r="L31" s="131">
        <v>1000</v>
      </c>
      <c r="N31" s="91">
        <f t="shared" si="0"/>
        <v>2378</v>
      </c>
      <c r="O31" s="411"/>
      <c r="P31" s="132" t="s">
        <v>52</v>
      </c>
      <c r="Q31" s="232"/>
      <c r="R31" s="411"/>
      <c r="T31" s="440"/>
      <c r="U31" s="482"/>
      <c r="AA31" s="218"/>
    </row>
    <row r="32" spans="1:27" x14ac:dyDescent="0.25">
      <c r="A32" s="432"/>
      <c r="B32" s="433"/>
      <c r="C32" s="432"/>
      <c r="D32" s="454"/>
      <c r="E32" s="120">
        <v>3000</v>
      </c>
      <c r="F32" s="133" t="s">
        <v>116</v>
      </c>
      <c r="G32" s="435"/>
      <c r="H32" s="438"/>
      <c r="I32" s="438"/>
      <c r="J32" s="438"/>
      <c r="K32" s="437"/>
      <c r="L32" s="131">
        <v>1140</v>
      </c>
      <c r="N32" s="91">
        <f t="shared" si="0"/>
        <v>3420</v>
      </c>
      <c r="O32" s="411"/>
      <c r="P32" s="132" t="s">
        <v>52</v>
      </c>
      <c r="Q32" s="232"/>
      <c r="R32" s="411"/>
      <c r="T32" s="440"/>
      <c r="U32" s="482"/>
      <c r="AA32" s="218"/>
    </row>
    <row r="33" spans="1:27" x14ac:dyDescent="0.25">
      <c r="A33" s="432"/>
      <c r="B33" s="433"/>
      <c r="C33" s="432"/>
      <c r="D33" s="454"/>
      <c r="E33" s="120">
        <v>1004</v>
      </c>
      <c r="F33" s="133" t="s">
        <v>117</v>
      </c>
      <c r="G33" s="435"/>
      <c r="H33" s="438"/>
      <c r="I33" s="438"/>
      <c r="J33" s="438"/>
      <c r="K33" s="437"/>
      <c r="L33" s="131">
        <v>800</v>
      </c>
      <c r="N33" s="91">
        <f t="shared" si="0"/>
        <v>803.2</v>
      </c>
      <c r="O33" s="411"/>
      <c r="P33" s="132" t="s">
        <v>52</v>
      </c>
      <c r="Q33" s="232"/>
      <c r="R33" s="411"/>
      <c r="T33" s="440"/>
      <c r="U33" s="482"/>
      <c r="AA33" s="218"/>
    </row>
    <row r="34" spans="1:27" x14ac:dyDescent="0.25">
      <c r="A34" s="432"/>
      <c r="B34" s="433"/>
      <c r="C34" s="432"/>
      <c r="D34" s="454"/>
      <c r="E34" s="120">
        <v>148</v>
      </c>
      <c r="F34" s="133" t="s">
        <v>118</v>
      </c>
      <c r="G34" s="435"/>
      <c r="H34" s="438"/>
      <c r="I34" s="438"/>
      <c r="J34" s="438"/>
      <c r="K34" s="437"/>
      <c r="L34" s="131">
        <v>600</v>
      </c>
      <c r="N34" s="91">
        <f t="shared" si="0"/>
        <v>88.8</v>
      </c>
      <c r="O34" s="411"/>
      <c r="P34" s="132" t="s">
        <v>52</v>
      </c>
      <c r="Q34" s="232"/>
      <c r="R34" s="411"/>
      <c r="T34" s="440"/>
      <c r="U34" s="482"/>
      <c r="AA34" s="218"/>
    </row>
    <row r="35" spans="1:27" x14ac:dyDescent="0.25">
      <c r="A35" s="432"/>
      <c r="B35" s="433"/>
      <c r="C35" s="432"/>
      <c r="D35" s="454"/>
      <c r="E35" s="120">
        <v>225</v>
      </c>
      <c r="F35" s="133" t="s">
        <v>119</v>
      </c>
      <c r="G35" s="435"/>
      <c r="H35" s="438"/>
      <c r="I35" s="438"/>
      <c r="J35" s="438"/>
      <c r="K35" s="437"/>
      <c r="L35" s="131">
        <v>300</v>
      </c>
      <c r="N35" s="91">
        <f t="shared" si="0"/>
        <v>67.5</v>
      </c>
      <c r="O35" s="411"/>
      <c r="P35" s="132" t="s">
        <v>52</v>
      </c>
      <c r="Q35" s="232"/>
      <c r="R35" s="411"/>
      <c r="T35" s="441"/>
      <c r="U35" s="483"/>
      <c r="AA35" s="218"/>
    </row>
    <row r="36" spans="1:27" x14ac:dyDescent="0.25">
      <c r="A36" s="432"/>
      <c r="B36" s="433"/>
      <c r="C36" s="432"/>
      <c r="D36" s="454"/>
      <c r="E36" s="120">
        <v>315</v>
      </c>
      <c r="F36" s="133" t="s">
        <v>120</v>
      </c>
      <c r="G36" s="435"/>
      <c r="H36" s="438"/>
      <c r="I36" s="438"/>
      <c r="J36" s="438"/>
      <c r="K36" s="437"/>
      <c r="L36" s="131">
        <v>118</v>
      </c>
      <c r="M36" s="158"/>
      <c r="N36" s="91">
        <f t="shared" si="0"/>
        <v>37.17</v>
      </c>
      <c r="O36" s="411"/>
      <c r="P36" s="132" t="s">
        <v>86</v>
      </c>
      <c r="Q36" s="232"/>
      <c r="R36" s="411"/>
      <c r="T36" s="572" t="s">
        <v>89</v>
      </c>
      <c r="U36" s="505">
        <v>841278651</v>
      </c>
      <c r="AA36" s="218"/>
    </row>
    <row r="37" spans="1:27" x14ac:dyDescent="0.25">
      <c r="A37" s="432"/>
      <c r="B37" s="433"/>
      <c r="C37" s="432"/>
      <c r="D37" s="454"/>
      <c r="E37" s="120">
        <v>396</v>
      </c>
      <c r="F37" s="133" t="s">
        <v>121</v>
      </c>
      <c r="G37" s="435"/>
      <c r="H37" s="438"/>
      <c r="I37" s="438"/>
      <c r="J37" s="438"/>
      <c r="K37" s="437"/>
      <c r="L37" s="131">
        <v>100</v>
      </c>
      <c r="M37" s="158"/>
      <c r="N37" s="91">
        <f t="shared" si="0"/>
        <v>39.6</v>
      </c>
      <c r="O37" s="411"/>
      <c r="P37" s="132" t="s">
        <v>86</v>
      </c>
      <c r="Q37" s="232"/>
      <c r="R37" s="411"/>
      <c r="T37" s="573"/>
      <c r="U37" s="506"/>
      <c r="AA37" s="218"/>
    </row>
    <row r="38" spans="1:27" x14ac:dyDescent="0.25">
      <c r="A38" s="432"/>
      <c r="B38" s="433"/>
      <c r="C38" s="432"/>
      <c r="D38" s="454"/>
      <c r="E38" s="120">
        <v>562</v>
      </c>
      <c r="F38" s="133" t="s">
        <v>122</v>
      </c>
      <c r="G38" s="435"/>
      <c r="H38" s="438"/>
      <c r="I38" s="438"/>
      <c r="J38" s="438"/>
      <c r="K38" s="437"/>
      <c r="L38" s="131">
        <v>400</v>
      </c>
      <c r="M38" s="158"/>
      <c r="N38" s="91">
        <f t="shared" si="0"/>
        <v>224.8</v>
      </c>
      <c r="O38" s="411"/>
      <c r="P38" s="132" t="s">
        <v>86</v>
      </c>
      <c r="Q38" s="232"/>
      <c r="R38" s="411"/>
      <c r="T38" s="573"/>
      <c r="U38" s="506"/>
      <c r="AA38" s="218"/>
    </row>
    <row r="39" spans="1:27" x14ac:dyDescent="0.25">
      <c r="A39" s="432"/>
      <c r="B39" s="433"/>
      <c r="C39" s="432"/>
      <c r="D39" s="454"/>
      <c r="E39" s="120">
        <v>1192</v>
      </c>
      <c r="F39" s="133" t="s">
        <v>123</v>
      </c>
      <c r="G39" s="435"/>
      <c r="H39" s="438"/>
      <c r="I39" s="438"/>
      <c r="J39" s="438"/>
      <c r="K39" s="437"/>
      <c r="L39" s="131">
        <v>200</v>
      </c>
      <c r="M39" s="158"/>
      <c r="N39" s="91">
        <f t="shared" si="0"/>
        <v>238.39999999999998</v>
      </c>
      <c r="O39" s="411"/>
      <c r="P39" s="132" t="s">
        <v>86</v>
      </c>
      <c r="Q39" s="232"/>
      <c r="R39" s="411"/>
      <c r="T39" s="573"/>
      <c r="U39" s="506"/>
      <c r="AA39" s="218"/>
    </row>
    <row r="40" spans="1:27" x14ac:dyDescent="0.25">
      <c r="A40" s="432"/>
      <c r="B40" s="433"/>
      <c r="C40" s="432"/>
      <c r="D40" s="454"/>
      <c r="E40" s="120">
        <v>684</v>
      </c>
      <c r="F40" s="133" t="s">
        <v>124</v>
      </c>
      <c r="G40" s="435"/>
      <c r="H40" s="438"/>
      <c r="I40" s="438"/>
      <c r="J40" s="438"/>
      <c r="K40" s="437"/>
      <c r="L40" s="131">
        <v>450</v>
      </c>
      <c r="M40" s="158"/>
      <c r="N40" s="91">
        <f t="shared" si="0"/>
        <v>307.8</v>
      </c>
      <c r="O40" s="411"/>
      <c r="P40" s="132" t="s">
        <v>86</v>
      </c>
      <c r="Q40" s="232"/>
      <c r="R40" s="411"/>
      <c r="T40" s="573"/>
      <c r="U40" s="506"/>
      <c r="AA40" s="218"/>
    </row>
    <row r="41" spans="1:27" x14ac:dyDescent="0.25">
      <c r="A41" s="432"/>
      <c r="B41" s="433"/>
      <c r="C41" s="432"/>
      <c r="D41" s="454"/>
      <c r="E41" s="120">
        <v>656</v>
      </c>
      <c r="F41" s="133" t="s">
        <v>125</v>
      </c>
      <c r="G41" s="435"/>
      <c r="H41" s="438"/>
      <c r="I41" s="438"/>
      <c r="J41" s="438"/>
      <c r="K41" s="437"/>
      <c r="L41" s="131">
        <v>800</v>
      </c>
      <c r="M41" s="158"/>
      <c r="N41" s="91">
        <f t="shared" si="0"/>
        <v>524.80000000000007</v>
      </c>
      <c r="O41" s="411"/>
      <c r="P41" s="132" t="s">
        <v>86</v>
      </c>
      <c r="Q41" s="232"/>
      <c r="R41" s="411"/>
      <c r="T41" s="573"/>
      <c r="U41" s="506"/>
      <c r="AA41" s="218"/>
    </row>
    <row r="42" spans="1:27" x14ac:dyDescent="0.25">
      <c r="A42" s="432"/>
      <c r="B42" s="433"/>
      <c r="C42" s="432"/>
      <c r="D42" s="454"/>
      <c r="E42" s="120">
        <v>559</v>
      </c>
      <c r="F42" s="133" t="s">
        <v>126</v>
      </c>
      <c r="G42" s="435"/>
      <c r="H42" s="438"/>
      <c r="I42" s="438"/>
      <c r="J42" s="438"/>
      <c r="K42" s="437"/>
      <c r="L42" s="131">
        <v>450</v>
      </c>
      <c r="M42" s="158"/>
      <c r="N42" s="91">
        <f t="shared" si="0"/>
        <v>251.55</v>
      </c>
      <c r="O42" s="411"/>
      <c r="P42" s="132" t="s">
        <v>86</v>
      </c>
      <c r="Q42" s="232"/>
      <c r="R42" s="411"/>
      <c r="T42" s="573"/>
      <c r="U42" s="506"/>
      <c r="AA42" s="218"/>
    </row>
    <row r="43" spans="1:27" x14ac:dyDescent="0.25">
      <c r="A43" s="432"/>
      <c r="B43" s="433"/>
      <c r="C43" s="432"/>
      <c r="D43" s="454"/>
      <c r="E43" s="120">
        <v>326</v>
      </c>
      <c r="F43" s="133" t="s">
        <v>127</v>
      </c>
      <c r="G43" s="435"/>
      <c r="H43" s="438"/>
      <c r="I43" s="438"/>
      <c r="J43" s="438"/>
      <c r="K43" s="437"/>
      <c r="L43" s="131">
        <v>400</v>
      </c>
      <c r="M43" s="158"/>
      <c r="N43" s="91">
        <f t="shared" si="0"/>
        <v>130.4</v>
      </c>
      <c r="O43" s="411"/>
      <c r="P43" s="132" t="s">
        <v>86</v>
      </c>
      <c r="Q43" s="232"/>
      <c r="R43" s="411"/>
      <c r="T43" s="574"/>
      <c r="U43" s="490"/>
      <c r="AA43" s="218"/>
    </row>
    <row r="44" spans="1:27" ht="27.75" customHeight="1" x14ac:dyDescent="0.25">
      <c r="A44" s="432"/>
      <c r="B44" s="433"/>
      <c r="C44" s="432"/>
      <c r="D44" s="454"/>
      <c r="E44" s="120">
        <v>653</v>
      </c>
      <c r="F44" s="119" t="s">
        <v>128</v>
      </c>
      <c r="G44" s="435"/>
      <c r="H44" s="438"/>
      <c r="I44" s="438"/>
      <c r="J44" s="438"/>
      <c r="K44" s="437"/>
      <c r="L44" s="131">
        <v>1550</v>
      </c>
      <c r="N44" s="91">
        <f t="shared" si="0"/>
        <v>1012.1500000000001</v>
      </c>
      <c r="O44" s="411"/>
      <c r="P44" s="132" t="s">
        <v>52</v>
      </c>
      <c r="Q44" s="232"/>
      <c r="R44" s="411"/>
      <c r="T44" s="439" t="s">
        <v>97</v>
      </c>
      <c r="U44" s="481" t="s">
        <v>98</v>
      </c>
      <c r="AA44" s="218"/>
    </row>
    <row r="45" spans="1:27" x14ac:dyDescent="0.25">
      <c r="A45" s="432"/>
      <c r="B45" s="433"/>
      <c r="C45" s="432"/>
      <c r="D45" s="454"/>
      <c r="E45" s="120">
        <v>520</v>
      </c>
      <c r="F45" s="133" t="s">
        <v>129</v>
      </c>
      <c r="G45" s="435"/>
      <c r="H45" s="438"/>
      <c r="I45" s="438"/>
      <c r="J45" s="438"/>
      <c r="K45" s="437"/>
      <c r="L45" s="131">
        <v>1310</v>
      </c>
      <c r="N45" s="91">
        <f t="shared" si="0"/>
        <v>681.2</v>
      </c>
      <c r="O45" s="411"/>
      <c r="P45" s="132" t="s">
        <v>52</v>
      </c>
      <c r="Q45" s="232"/>
      <c r="R45" s="411"/>
      <c r="T45" s="440"/>
      <c r="U45" s="482"/>
      <c r="AA45" s="218"/>
    </row>
    <row r="46" spans="1:27" x14ac:dyDescent="0.25">
      <c r="A46" s="432"/>
      <c r="B46" s="433"/>
      <c r="C46" s="432"/>
      <c r="D46" s="454"/>
      <c r="E46" s="120">
        <v>200</v>
      </c>
      <c r="F46" s="133" t="s">
        <v>130</v>
      </c>
      <c r="G46" s="435"/>
      <c r="H46" s="438"/>
      <c r="I46" s="438"/>
      <c r="J46" s="438"/>
      <c r="K46" s="437"/>
      <c r="L46" s="131">
        <v>650</v>
      </c>
      <c r="N46" s="91">
        <f t="shared" si="0"/>
        <v>130</v>
      </c>
      <c r="O46" s="411"/>
      <c r="P46" s="132" t="s">
        <v>52</v>
      </c>
      <c r="Q46" s="232"/>
      <c r="R46" s="411"/>
      <c r="T46" s="440"/>
      <c r="U46" s="482"/>
      <c r="AA46" s="218"/>
    </row>
    <row r="47" spans="1:27" x14ac:dyDescent="0.25">
      <c r="A47" s="432"/>
      <c r="B47" s="433"/>
      <c r="C47" s="432"/>
      <c r="D47" s="454"/>
      <c r="E47" s="120">
        <v>215</v>
      </c>
      <c r="F47" s="133" t="s">
        <v>131</v>
      </c>
      <c r="G47" s="435"/>
      <c r="H47" s="438"/>
      <c r="I47" s="438"/>
      <c r="J47" s="438"/>
      <c r="K47" s="437"/>
      <c r="L47" s="131">
        <v>530</v>
      </c>
      <c r="N47" s="91">
        <f t="shared" si="0"/>
        <v>113.95</v>
      </c>
      <c r="O47" s="411"/>
      <c r="P47" s="132" t="s">
        <v>52</v>
      </c>
      <c r="Q47" s="232"/>
      <c r="R47" s="411"/>
      <c r="T47" s="440"/>
      <c r="U47" s="482"/>
      <c r="AA47" s="218"/>
    </row>
    <row r="48" spans="1:27" x14ac:dyDescent="0.25">
      <c r="A48" s="432"/>
      <c r="B48" s="433"/>
      <c r="C48" s="432"/>
      <c r="D48" s="454"/>
      <c r="E48" s="120">
        <v>270</v>
      </c>
      <c r="F48" s="133" t="s">
        <v>132</v>
      </c>
      <c r="G48" s="435"/>
      <c r="H48" s="438"/>
      <c r="I48" s="438"/>
      <c r="J48" s="438"/>
      <c r="K48" s="437"/>
      <c r="L48" s="131">
        <v>399</v>
      </c>
      <c r="N48" s="91">
        <f t="shared" si="0"/>
        <v>107.73</v>
      </c>
      <c r="O48" s="411"/>
      <c r="P48" s="132" t="s">
        <v>52</v>
      </c>
      <c r="Q48" s="232"/>
      <c r="R48" s="411"/>
      <c r="T48" s="440"/>
      <c r="U48" s="482"/>
      <c r="AA48" s="218"/>
    </row>
    <row r="49" spans="1:27" x14ac:dyDescent="0.25">
      <c r="A49" s="432"/>
      <c r="B49" s="433"/>
      <c r="C49" s="432"/>
      <c r="D49" s="454"/>
      <c r="E49" s="120">
        <v>117</v>
      </c>
      <c r="F49" s="133" t="s">
        <v>133</v>
      </c>
      <c r="G49" s="435"/>
      <c r="H49" s="438"/>
      <c r="I49" s="438"/>
      <c r="J49" s="438"/>
      <c r="K49" s="437"/>
      <c r="L49" s="131">
        <v>2700</v>
      </c>
      <c r="N49" s="91">
        <f t="shared" si="0"/>
        <v>315.90000000000003</v>
      </c>
      <c r="O49" s="411"/>
      <c r="P49" s="132" t="s">
        <v>52</v>
      </c>
      <c r="Q49" s="232"/>
      <c r="R49" s="411"/>
      <c r="T49" s="440"/>
      <c r="U49" s="482"/>
      <c r="AA49" s="218"/>
    </row>
    <row r="50" spans="1:27" ht="24" x14ac:dyDescent="0.25">
      <c r="A50" s="432"/>
      <c r="B50" s="433"/>
      <c r="C50" s="432"/>
      <c r="D50" s="454"/>
      <c r="E50" s="413">
        <v>914</v>
      </c>
      <c r="F50" s="146" t="s">
        <v>134</v>
      </c>
      <c r="G50" s="435"/>
      <c r="H50" s="438"/>
      <c r="I50" s="438"/>
      <c r="J50" s="438"/>
      <c r="K50" s="437"/>
      <c r="L50" s="131">
        <v>400</v>
      </c>
      <c r="N50" s="91">
        <f t="shared" si="0"/>
        <v>365.6</v>
      </c>
      <c r="O50" s="411"/>
      <c r="P50" s="132" t="s">
        <v>52</v>
      </c>
      <c r="Q50" s="232"/>
      <c r="R50" s="411"/>
      <c r="T50" s="440"/>
      <c r="U50" s="482"/>
      <c r="AA50" s="218"/>
    </row>
    <row r="51" spans="1:27" x14ac:dyDescent="0.25">
      <c r="A51" s="432"/>
      <c r="B51" s="433"/>
      <c r="C51" s="432"/>
      <c r="D51" s="454"/>
      <c r="E51" s="120">
        <v>3838</v>
      </c>
      <c r="F51" s="133" t="s">
        <v>135</v>
      </c>
      <c r="G51" s="435"/>
      <c r="H51" s="438"/>
      <c r="I51" s="438"/>
      <c r="J51" s="438"/>
      <c r="K51" s="437"/>
      <c r="L51" s="131">
        <v>118</v>
      </c>
      <c r="N51" s="91">
        <f t="shared" si="0"/>
        <v>452.88400000000001</v>
      </c>
      <c r="O51" s="411"/>
      <c r="P51" s="132" t="s">
        <v>52</v>
      </c>
      <c r="Q51" s="232"/>
      <c r="R51" s="411"/>
      <c r="T51" s="440"/>
      <c r="U51" s="482"/>
      <c r="AA51" s="218"/>
    </row>
    <row r="52" spans="1:27" ht="24" x14ac:dyDescent="0.25">
      <c r="A52" s="432"/>
      <c r="B52" s="433"/>
      <c r="C52" s="432"/>
      <c r="D52" s="454"/>
      <c r="E52" s="120">
        <v>1354</v>
      </c>
      <c r="F52" s="119" t="s">
        <v>136</v>
      </c>
      <c r="G52" s="435"/>
      <c r="H52" s="438"/>
      <c r="I52" s="438"/>
      <c r="J52" s="438"/>
      <c r="K52" s="437"/>
      <c r="L52" s="131">
        <v>385</v>
      </c>
      <c r="N52" s="91">
        <f t="shared" si="0"/>
        <v>521.29000000000008</v>
      </c>
      <c r="O52" s="411"/>
      <c r="P52" s="132" t="s">
        <v>52</v>
      </c>
      <c r="Q52" s="232"/>
      <c r="R52" s="411"/>
      <c r="T52" s="440"/>
      <c r="U52" s="482"/>
      <c r="AA52" s="218"/>
    </row>
    <row r="53" spans="1:27" ht="24" x14ac:dyDescent="0.25">
      <c r="A53" s="432"/>
      <c r="B53" s="433"/>
      <c r="C53" s="432"/>
      <c r="D53" s="454"/>
      <c r="E53" s="120">
        <v>1013</v>
      </c>
      <c r="F53" s="119" t="s">
        <v>137</v>
      </c>
      <c r="G53" s="435"/>
      <c r="H53" s="438"/>
      <c r="I53" s="438"/>
      <c r="J53" s="438"/>
      <c r="K53" s="437"/>
      <c r="L53" s="131">
        <v>391</v>
      </c>
      <c r="N53" s="91">
        <f t="shared" si="0"/>
        <v>396.08300000000003</v>
      </c>
      <c r="O53" s="411"/>
      <c r="P53" s="132" t="s">
        <v>52</v>
      </c>
      <c r="Q53" s="232"/>
      <c r="R53" s="411"/>
      <c r="T53" s="440"/>
      <c r="U53" s="482"/>
      <c r="AA53" s="218"/>
    </row>
    <row r="54" spans="1:27" x14ac:dyDescent="0.25">
      <c r="A54" s="432"/>
      <c r="B54" s="433"/>
      <c r="C54" s="432"/>
      <c r="D54" s="454"/>
      <c r="E54" s="120">
        <v>347</v>
      </c>
      <c r="F54" s="133" t="s">
        <v>138</v>
      </c>
      <c r="G54" s="435"/>
      <c r="H54" s="438"/>
      <c r="I54" s="438"/>
      <c r="J54" s="438"/>
      <c r="K54" s="437"/>
      <c r="L54" s="131">
        <v>456</v>
      </c>
      <c r="N54" s="91">
        <f t="shared" si="0"/>
        <v>158.23200000000003</v>
      </c>
      <c r="O54" s="411"/>
      <c r="P54" s="132" t="s">
        <v>52</v>
      </c>
      <c r="Q54" s="232"/>
      <c r="R54" s="411"/>
      <c r="T54" s="440"/>
      <c r="U54" s="482"/>
      <c r="AA54" s="218"/>
    </row>
    <row r="55" spans="1:27" x14ac:dyDescent="0.25">
      <c r="A55" s="432"/>
      <c r="B55" s="433"/>
      <c r="C55" s="432"/>
      <c r="D55" s="454"/>
      <c r="E55" s="120">
        <v>185</v>
      </c>
      <c r="F55" s="133" t="s">
        <v>139</v>
      </c>
      <c r="G55" s="435"/>
      <c r="H55" s="438"/>
      <c r="I55" s="438"/>
      <c r="J55" s="438"/>
      <c r="K55" s="437"/>
      <c r="L55" s="131">
        <v>583</v>
      </c>
      <c r="N55" s="91">
        <f t="shared" si="0"/>
        <v>107.855</v>
      </c>
      <c r="O55" s="411"/>
      <c r="P55" s="132" t="s">
        <v>52</v>
      </c>
      <c r="Q55" s="232"/>
      <c r="R55" s="411"/>
      <c r="T55" s="440"/>
      <c r="U55" s="482"/>
      <c r="AA55" s="218"/>
    </row>
    <row r="56" spans="1:27" x14ac:dyDescent="0.25">
      <c r="A56" s="420"/>
      <c r="B56" s="422"/>
      <c r="C56" s="420"/>
      <c r="D56" s="418"/>
      <c r="E56" s="120">
        <v>183</v>
      </c>
      <c r="F56" s="133" t="s">
        <v>140</v>
      </c>
      <c r="G56" s="436"/>
      <c r="H56" s="428"/>
      <c r="I56" s="428"/>
      <c r="J56" s="428"/>
      <c r="K56" s="426"/>
      <c r="L56" s="131">
        <v>594</v>
      </c>
      <c r="N56" s="91">
        <f t="shared" si="0"/>
        <v>108.702</v>
      </c>
      <c r="O56" s="411"/>
      <c r="P56" s="132" t="s">
        <v>52</v>
      </c>
      <c r="Q56" s="232"/>
      <c r="R56" s="411"/>
      <c r="T56" s="441"/>
      <c r="U56" s="483"/>
      <c r="AA56" s="218"/>
    </row>
    <row r="57" spans="1:27" ht="24" x14ac:dyDescent="0.25">
      <c r="A57" s="405">
        <v>3000008</v>
      </c>
      <c r="B57" s="406">
        <v>42373</v>
      </c>
      <c r="C57" s="405" t="s">
        <v>141</v>
      </c>
      <c r="D57" s="401" t="s">
        <v>142</v>
      </c>
      <c r="E57" s="120">
        <v>125</v>
      </c>
      <c r="F57" s="133" t="s">
        <v>143</v>
      </c>
      <c r="G57" s="404" t="s">
        <v>45</v>
      </c>
      <c r="H57" s="411">
        <v>357.5</v>
      </c>
      <c r="I57" s="411">
        <v>0</v>
      </c>
      <c r="J57" s="90">
        <f>-((H57*0.0325)+0.3)</f>
        <v>-11.918750000000001</v>
      </c>
      <c r="K57" s="90">
        <f>SUM(H57:J57)</f>
        <v>345.58125000000001</v>
      </c>
      <c r="L57" s="158">
        <v>1250</v>
      </c>
      <c r="M57" s="158">
        <v>25.04</v>
      </c>
      <c r="N57" s="91">
        <f t="shared" si="0"/>
        <v>181.29</v>
      </c>
      <c r="O57" s="411">
        <f t="shared" si="1"/>
        <v>164.29125000000002</v>
      </c>
      <c r="P57" s="132" t="s">
        <v>144</v>
      </c>
      <c r="Q57" s="232"/>
      <c r="R57" s="411"/>
      <c r="T57" s="134" t="s">
        <v>145</v>
      </c>
      <c r="U57" s="267" t="s">
        <v>146</v>
      </c>
      <c r="W57" s="153" t="s">
        <v>147</v>
      </c>
      <c r="AA57" s="218"/>
    </row>
    <row r="58" spans="1:27" ht="24" x14ac:dyDescent="0.25">
      <c r="A58" s="405">
        <v>3000009</v>
      </c>
      <c r="B58" s="406">
        <v>42373</v>
      </c>
      <c r="C58" s="405" t="s">
        <v>56</v>
      </c>
      <c r="D58" s="401" t="s">
        <v>148</v>
      </c>
      <c r="E58" s="120">
        <v>4000</v>
      </c>
      <c r="F58" s="133" t="s">
        <v>149</v>
      </c>
      <c r="G58" s="404" t="s">
        <v>45</v>
      </c>
      <c r="H58" s="411">
        <v>1080</v>
      </c>
      <c r="I58" s="411">
        <v>0</v>
      </c>
      <c r="J58" s="411">
        <v>0</v>
      </c>
      <c r="K58" s="90">
        <f>SUM(H58:J58)</f>
        <v>1080</v>
      </c>
      <c r="L58" s="131">
        <v>140</v>
      </c>
      <c r="M58" s="158">
        <v>59.16</v>
      </c>
      <c r="N58" s="91">
        <f t="shared" si="0"/>
        <v>619.16</v>
      </c>
      <c r="O58" s="411"/>
      <c r="P58" s="132" t="s">
        <v>52</v>
      </c>
      <c r="Q58" s="232"/>
      <c r="R58" s="411"/>
      <c r="T58" s="134" t="s">
        <v>145</v>
      </c>
      <c r="U58" s="267" t="s">
        <v>150</v>
      </c>
      <c r="V58" s="133" t="s">
        <v>151</v>
      </c>
      <c r="W58" s="153" t="s">
        <v>152</v>
      </c>
      <c r="AA58" s="218"/>
    </row>
    <row r="59" spans="1:27" ht="24" customHeight="1" x14ac:dyDescent="0.25">
      <c r="A59" s="419">
        <f>(A58+1)</f>
        <v>3000010</v>
      </c>
      <c r="B59" s="421">
        <v>42373</v>
      </c>
      <c r="C59" s="419" t="s">
        <v>78</v>
      </c>
      <c r="D59" s="417" t="s">
        <v>153</v>
      </c>
      <c r="E59" s="120">
        <v>55</v>
      </c>
      <c r="F59" s="133" t="s">
        <v>154</v>
      </c>
      <c r="G59" s="434" t="s">
        <v>45</v>
      </c>
      <c r="H59" s="427">
        <v>129.25</v>
      </c>
      <c r="I59" s="427">
        <v>0</v>
      </c>
      <c r="J59" s="425">
        <f>-((H59*0.019)+0.3)</f>
        <v>-2.7557499999999999</v>
      </c>
      <c r="K59" s="425">
        <f>SUM(H59:J59)</f>
        <v>126.49424999999999</v>
      </c>
      <c r="L59" s="131">
        <v>240</v>
      </c>
      <c r="M59" s="158">
        <v>17.82</v>
      </c>
      <c r="N59" s="91">
        <f t="shared" si="0"/>
        <v>31.02</v>
      </c>
      <c r="O59" s="411">
        <f t="shared" si="1"/>
        <v>95.474249999999998</v>
      </c>
      <c r="P59" s="132" t="s">
        <v>52</v>
      </c>
      <c r="Q59" s="232"/>
      <c r="R59" s="411"/>
      <c r="T59" s="470" t="s">
        <v>145</v>
      </c>
      <c r="U59" s="267" t="s">
        <v>155</v>
      </c>
      <c r="W59" s="153" t="s">
        <v>156</v>
      </c>
      <c r="AA59" s="218"/>
    </row>
    <row r="60" spans="1:27" x14ac:dyDescent="0.25">
      <c r="A60" s="420"/>
      <c r="B60" s="422"/>
      <c r="C60" s="420"/>
      <c r="D60" s="418"/>
      <c r="E60" s="120">
        <v>55</v>
      </c>
      <c r="F60" s="133" t="s">
        <v>157</v>
      </c>
      <c r="G60" s="436"/>
      <c r="H60" s="428"/>
      <c r="I60" s="428"/>
      <c r="J60" s="426"/>
      <c r="K60" s="426"/>
      <c r="L60" s="131">
        <v>500</v>
      </c>
      <c r="M60" s="158">
        <v>28.97</v>
      </c>
      <c r="N60" s="91">
        <f t="shared" si="0"/>
        <v>56.47</v>
      </c>
      <c r="O60" s="411">
        <f t="shared" si="1"/>
        <v>-56.47</v>
      </c>
      <c r="P60" s="132" t="s">
        <v>52</v>
      </c>
      <c r="Q60" s="232"/>
      <c r="R60" s="411"/>
      <c r="T60" s="472"/>
      <c r="U60" s="266" t="s">
        <v>158</v>
      </c>
      <c r="W60" s="153"/>
      <c r="AA60" s="218"/>
    </row>
    <row r="61" spans="1:27" ht="24" x14ac:dyDescent="0.25">
      <c r="A61" s="405">
        <f>(A59+1)</f>
        <v>3000011</v>
      </c>
      <c r="B61" s="406">
        <v>42373</v>
      </c>
      <c r="C61" s="405" t="s">
        <v>159</v>
      </c>
      <c r="D61" s="401" t="s">
        <v>160</v>
      </c>
      <c r="E61" s="120">
        <v>10</v>
      </c>
      <c r="F61" s="133" t="s">
        <v>161</v>
      </c>
      <c r="G61" s="404" t="s">
        <v>45</v>
      </c>
      <c r="H61" s="411">
        <v>29.6</v>
      </c>
      <c r="I61" s="411">
        <v>0</v>
      </c>
      <c r="J61" s="90">
        <f>-((H61*0.019)+0.3)</f>
        <v>-0.86240000000000006</v>
      </c>
      <c r="K61" s="90">
        <f>SUM(H61:J61)</f>
        <v>28.7376</v>
      </c>
      <c r="L61" s="131">
        <v>1450</v>
      </c>
      <c r="M61" s="158">
        <v>21.9</v>
      </c>
      <c r="N61" s="91">
        <f t="shared" si="0"/>
        <v>36.4</v>
      </c>
      <c r="O61" s="411">
        <f t="shared" si="1"/>
        <v>-7.6623999999999981</v>
      </c>
      <c r="P61" s="132" t="s">
        <v>52</v>
      </c>
      <c r="Q61" s="232"/>
      <c r="R61" s="411"/>
      <c r="T61" s="134" t="s">
        <v>145</v>
      </c>
      <c r="U61" s="267" t="s">
        <v>162</v>
      </c>
      <c r="W61" s="153" t="s">
        <v>163</v>
      </c>
      <c r="AA61" s="218"/>
    </row>
    <row r="62" spans="1:27" ht="24" x14ac:dyDescent="0.25">
      <c r="A62" s="405">
        <f>(A61+1)</f>
        <v>3000012</v>
      </c>
      <c r="B62" s="406">
        <v>42373</v>
      </c>
      <c r="C62" s="405" t="s">
        <v>159</v>
      </c>
      <c r="D62" s="401" t="s">
        <v>164</v>
      </c>
      <c r="E62" s="120">
        <v>150</v>
      </c>
      <c r="F62" s="133" t="s">
        <v>165</v>
      </c>
      <c r="G62" s="404" t="s">
        <v>45</v>
      </c>
      <c r="H62" s="411">
        <v>172.5</v>
      </c>
      <c r="I62" s="411">
        <v>0</v>
      </c>
      <c r="J62" s="90">
        <f>-((H62*0.019)+0.3)</f>
        <v>-3.5774999999999997</v>
      </c>
      <c r="K62" s="90">
        <f>SUM(H62:J62)</f>
        <v>168.92250000000001</v>
      </c>
      <c r="L62" s="131">
        <v>480</v>
      </c>
      <c r="M62" s="158">
        <v>20.57</v>
      </c>
      <c r="N62" s="91">
        <f t="shared" si="0"/>
        <v>92.57</v>
      </c>
      <c r="O62" s="411">
        <f t="shared" si="1"/>
        <v>76.35250000000002</v>
      </c>
      <c r="P62" s="132" t="s">
        <v>52</v>
      </c>
      <c r="Q62" s="232"/>
      <c r="R62" s="411"/>
      <c r="T62" s="134" t="s">
        <v>145</v>
      </c>
      <c r="U62" s="266" t="s">
        <v>166</v>
      </c>
      <c r="W62" s="153" t="s">
        <v>167</v>
      </c>
      <c r="AA62" s="218"/>
    </row>
    <row r="63" spans="1:27" ht="24" x14ac:dyDescent="0.25">
      <c r="A63" s="405">
        <f>(A62+1)</f>
        <v>3000013</v>
      </c>
      <c r="B63" s="406">
        <v>42373</v>
      </c>
      <c r="C63" s="405" t="s">
        <v>159</v>
      </c>
      <c r="D63" s="401" t="s">
        <v>168</v>
      </c>
      <c r="E63" s="120">
        <v>15</v>
      </c>
      <c r="F63" s="133" t="s">
        <v>169</v>
      </c>
      <c r="G63" s="404" t="s">
        <v>45</v>
      </c>
      <c r="H63" s="411">
        <v>35.1</v>
      </c>
      <c r="I63" s="411">
        <v>0</v>
      </c>
      <c r="J63" s="90">
        <f>-((H63*0.019)+0.3)</f>
        <v>-0.96690000000000009</v>
      </c>
      <c r="K63" s="90">
        <f>SUM(H63:J63)</f>
        <v>34.133099999999999</v>
      </c>
      <c r="L63" s="131">
        <v>1310</v>
      </c>
      <c r="M63" s="158">
        <v>16.510000000000002</v>
      </c>
      <c r="N63" s="91">
        <f t="shared" si="0"/>
        <v>36.159999999999997</v>
      </c>
      <c r="O63" s="411">
        <f t="shared" si="1"/>
        <v>-2.0268999999999977</v>
      </c>
      <c r="P63" s="132" t="s">
        <v>52</v>
      </c>
      <c r="Q63" s="232"/>
      <c r="R63" s="411"/>
      <c r="T63" s="134" t="s">
        <v>145</v>
      </c>
      <c r="U63" s="267" t="s">
        <v>170</v>
      </c>
      <c r="W63" s="153" t="s">
        <v>171</v>
      </c>
      <c r="AA63" s="218"/>
    </row>
    <row r="64" spans="1:27" x14ac:dyDescent="0.25">
      <c r="A64" s="419">
        <f>(A63+1)</f>
        <v>3000014</v>
      </c>
      <c r="B64" s="421">
        <v>42373</v>
      </c>
      <c r="C64" s="419" t="s">
        <v>78</v>
      </c>
      <c r="D64" s="417" t="s">
        <v>172</v>
      </c>
      <c r="E64" s="120">
        <v>250</v>
      </c>
      <c r="F64" s="133" t="s">
        <v>173</v>
      </c>
      <c r="G64" s="434" t="s">
        <v>45</v>
      </c>
      <c r="H64" s="427">
        <v>1241</v>
      </c>
      <c r="I64" s="452">
        <v>-78.3</v>
      </c>
      <c r="J64" s="425">
        <f>-((H64*0.019)+0.3)</f>
        <v>-23.879000000000001</v>
      </c>
      <c r="K64" s="425">
        <f>SUM(H64:J64)</f>
        <v>1138.8210000000001</v>
      </c>
      <c r="L64" s="131">
        <v>399</v>
      </c>
      <c r="M64" s="553">
        <v>158.85</v>
      </c>
      <c r="N64" s="91">
        <f t="shared" si="0"/>
        <v>258.60000000000002</v>
      </c>
      <c r="O64" s="411">
        <f t="shared" si="1"/>
        <v>880.22100000000012</v>
      </c>
      <c r="P64" s="132" t="s">
        <v>52</v>
      </c>
      <c r="Q64" s="232"/>
      <c r="R64" s="411"/>
      <c r="T64" s="572" t="s">
        <v>97</v>
      </c>
      <c r="U64" s="444">
        <v>2709558025</v>
      </c>
      <c r="V64" s="133" t="s">
        <v>55</v>
      </c>
      <c r="W64" s="153" t="s">
        <v>174</v>
      </c>
      <c r="AA64" s="218"/>
    </row>
    <row r="65" spans="1:27" x14ac:dyDescent="0.25">
      <c r="A65" s="432"/>
      <c r="B65" s="433"/>
      <c r="C65" s="432"/>
      <c r="D65" s="454"/>
      <c r="E65" s="120">
        <v>250</v>
      </c>
      <c r="F65" s="133" t="s">
        <v>175</v>
      </c>
      <c r="G65" s="435"/>
      <c r="H65" s="438"/>
      <c r="I65" s="484"/>
      <c r="J65" s="437"/>
      <c r="K65" s="437"/>
      <c r="L65" s="131">
        <v>250</v>
      </c>
      <c r="M65" s="564"/>
      <c r="N65" s="91">
        <f t="shared" si="0"/>
        <v>62.5</v>
      </c>
      <c r="O65" s="411">
        <f t="shared" si="1"/>
        <v>-62.5</v>
      </c>
      <c r="P65" s="132" t="s">
        <v>52</v>
      </c>
      <c r="Q65" s="232"/>
      <c r="R65" s="411"/>
      <c r="T65" s="573"/>
      <c r="U65" s="539"/>
      <c r="AA65" s="218"/>
    </row>
    <row r="66" spans="1:27" x14ac:dyDescent="0.25">
      <c r="A66" s="420"/>
      <c r="B66" s="422"/>
      <c r="C66" s="420"/>
      <c r="D66" s="418"/>
      <c r="E66" s="120">
        <v>250</v>
      </c>
      <c r="F66" s="133" t="s">
        <v>176</v>
      </c>
      <c r="G66" s="436"/>
      <c r="H66" s="428"/>
      <c r="I66" s="453"/>
      <c r="J66" s="426"/>
      <c r="K66" s="426"/>
      <c r="L66" s="131">
        <v>2250</v>
      </c>
      <c r="M66" s="554"/>
      <c r="N66" s="91">
        <f t="shared" si="0"/>
        <v>562.5</v>
      </c>
      <c r="O66" s="411">
        <f t="shared" si="1"/>
        <v>-562.5</v>
      </c>
      <c r="P66" s="132" t="s">
        <v>52</v>
      </c>
      <c r="Q66" s="232"/>
      <c r="R66" s="411"/>
      <c r="T66" s="574"/>
      <c r="U66" s="445"/>
      <c r="AA66" s="218"/>
    </row>
    <row r="67" spans="1:27" x14ac:dyDescent="0.25">
      <c r="A67" s="405">
        <v>3000015</v>
      </c>
      <c r="B67" s="406">
        <v>42373</v>
      </c>
      <c r="C67" s="405" t="s">
        <v>78</v>
      </c>
      <c r="D67" s="401" t="s">
        <v>177</v>
      </c>
      <c r="E67" s="120">
        <v>200</v>
      </c>
      <c r="F67" s="133" t="s">
        <v>178</v>
      </c>
      <c r="G67" s="404" t="s">
        <v>45</v>
      </c>
      <c r="H67" s="411">
        <v>517.41</v>
      </c>
      <c r="I67" s="411">
        <v>0</v>
      </c>
      <c r="J67" s="90">
        <f t="shared" ref="J67:J72" si="4">-((H67*0.019)+0.3)</f>
        <v>-10.130789999999999</v>
      </c>
      <c r="K67" s="90">
        <f t="shared" ref="K67:K94" si="5">SUM(H67:J67)</f>
        <v>507.27920999999998</v>
      </c>
      <c r="L67" s="131">
        <v>1079</v>
      </c>
      <c r="M67" s="158">
        <v>176.98</v>
      </c>
      <c r="N67" s="91">
        <f t="shared" si="0"/>
        <v>392.78</v>
      </c>
      <c r="O67" s="411">
        <f t="shared" si="1"/>
        <v>114.49921000000001</v>
      </c>
      <c r="P67" s="132" t="s">
        <v>86</v>
      </c>
      <c r="Q67" s="232"/>
      <c r="R67" s="411"/>
      <c r="T67" s="134" t="s">
        <v>97</v>
      </c>
      <c r="U67" s="266" t="s">
        <v>179</v>
      </c>
      <c r="V67" s="133" t="s">
        <v>55</v>
      </c>
      <c r="W67" s="153" t="s">
        <v>180</v>
      </c>
      <c r="AA67" s="218"/>
    </row>
    <row r="68" spans="1:27" ht="24" x14ac:dyDescent="0.25">
      <c r="A68" s="405">
        <v>3000016</v>
      </c>
      <c r="B68" s="406">
        <v>42373</v>
      </c>
      <c r="C68" s="405" t="s">
        <v>42</v>
      </c>
      <c r="D68" s="401" t="s">
        <v>181</v>
      </c>
      <c r="E68" s="120">
        <v>215</v>
      </c>
      <c r="F68" s="133" t="s">
        <v>182</v>
      </c>
      <c r="G68" s="404" t="s">
        <v>45</v>
      </c>
      <c r="H68" s="411">
        <v>476</v>
      </c>
      <c r="I68" s="89">
        <f t="shared" ref="I68:I85" si="6">-(H68*0.09)</f>
        <v>-42.839999999999996</v>
      </c>
      <c r="J68" s="90">
        <f t="shared" si="4"/>
        <v>-9.3440000000000012</v>
      </c>
      <c r="K68" s="90">
        <f t="shared" si="5"/>
        <v>423.81600000000003</v>
      </c>
      <c r="L68" s="158">
        <v>1278</v>
      </c>
      <c r="M68" s="158">
        <v>51.1</v>
      </c>
      <c r="N68" s="91">
        <f t="shared" si="0"/>
        <v>325.87</v>
      </c>
      <c r="O68" s="411">
        <f t="shared" si="1"/>
        <v>97.946000000000026</v>
      </c>
      <c r="P68" s="132" t="s">
        <v>183</v>
      </c>
      <c r="Q68" s="232"/>
      <c r="R68" s="411"/>
      <c r="T68" s="134" t="s">
        <v>145</v>
      </c>
      <c r="U68" s="267" t="s">
        <v>184</v>
      </c>
      <c r="AA68" s="218"/>
    </row>
    <row r="69" spans="1:27" ht="24" x14ac:dyDescent="0.25">
      <c r="A69" s="405">
        <v>3000017</v>
      </c>
      <c r="B69" s="406">
        <v>42373</v>
      </c>
      <c r="C69" s="405" t="s">
        <v>42</v>
      </c>
      <c r="D69" s="401" t="s">
        <v>185</v>
      </c>
      <c r="E69" s="120">
        <v>75</v>
      </c>
      <c r="F69" s="133" t="s">
        <v>186</v>
      </c>
      <c r="G69" s="404" t="s">
        <v>45</v>
      </c>
      <c r="H69" s="411">
        <v>205.99</v>
      </c>
      <c r="I69" s="89">
        <f t="shared" si="6"/>
        <v>-18.539100000000001</v>
      </c>
      <c r="J69" s="90">
        <f t="shared" si="4"/>
        <v>-4.2138100000000005</v>
      </c>
      <c r="K69" s="90">
        <f t="shared" si="5"/>
        <v>183.23709000000002</v>
      </c>
      <c r="L69" s="131">
        <v>675</v>
      </c>
      <c r="M69" s="158">
        <v>17.03</v>
      </c>
      <c r="N69" s="91">
        <f t="shared" si="0"/>
        <v>67.655000000000001</v>
      </c>
      <c r="O69" s="411">
        <f t="shared" si="1"/>
        <v>115.58209000000002</v>
      </c>
      <c r="P69" s="132" t="s">
        <v>52</v>
      </c>
      <c r="Q69" s="232"/>
      <c r="R69" s="411"/>
      <c r="T69" s="134" t="s">
        <v>145</v>
      </c>
      <c r="U69" s="266" t="s">
        <v>187</v>
      </c>
      <c r="AA69" s="218"/>
    </row>
    <row r="70" spans="1:27" ht="24" x14ac:dyDescent="0.25">
      <c r="A70" s="405">
        <v>3000018</v>
      </c>
      <c r="B70" s="406">
        <v>42373</v>
      </c>
      <c r="C70" s="405" t="s">
        <v>42</v>
      </c>
      <c r="D70" s="401" t="s">
        <v>188</v>
      </c>
      <c r="E70" s="120">
        <v>50</v>
      </c>
      <c r="F70" s="133" t="s">
        <v>189</v>
      </c>
      <c r="G70" s="404" t="s">
        <v>45</v>
      </c>
      <c r="H70" s="411">
        <v>131.08000000000001</v>
      </c>
      <c r="I70" s="89">
        <f t="shared" si="6"/>
        <v>-11.7972</v>
      </c>
      <c r="J70" s="90">
        <f t="shared" si="4"/>
        <v>-2.7905199999999999</v>
      </c>
      <c r="K70" s="90">
        <f t="shared" si="5"/>
        <v>116.49228000000001</v>
      </c>
      <c r="L70" s="131">
        <v>1450</v>
      </c>
      <c r="M70" s="158">
        <v>18.670000000000002</v>
      </c>
      <c r="N70" s="91">
        <f t="shared" si="0"/>
        <v>91.17</v>
      </c>
      <c r="O70" s="411">
        <f t="shared" si="1"/>
        <v>25.322280000000006</v>
      </c>
      <c r="P70" s="132" t="s">
        <v>52</v>
      </c>
      <c r="Q70" s="232"/>
      <c r="R70" s="411">
        <v>8.58</v>
      </c>
      <c r="S70" s="133" t="s">
        <v>190</v>
      </c>
      <c r="T70" s="134" t="s">
        <v>145</v>
      </c>
      <c r="U70" s="266" t="s">
        <v>191</v>
      </c>
      <c r="AA70" s="218"/>
    </row>
    <row r="71" spans="1:27" ht="24" x14ac:dyDescent="0.25">
      <c r="A71" s="405">
        <v>3000019</v>
      </c>
      <c r="B71" s="406">
        <v>42373</v>
      </c>
      <c r="C71" s="405" t="s">
        <v>42</v>
      </c>
      <c r="D71" s="401" t="s">
        <v>192</v>
      </c>
      <c r="E71" s="120">
        <v>250</v>
      </c>
      <c r="F71" s="133" t="s">
        <v>193</v>
      </c>
      <c r="G71" s="404" t="s">
        <v>45</v>
      </c>
      <c r="H71" s="411">
        <v>223.72</v>
      </c>
      <c r="I71" s="89">
        <f t="shared" si="6"/>
        <v>-20.134799999999998</v>
      </c>
      <c r="J71" s="90">
        <f t="shared" si="4"/>
        <v>-4.5506799999999998</v>
      </c>
      <c r="K71" s="90">
        <f t="shared" si="5"/>
        <v>199.03451999999999</v>
      </c>
      <c r="L71" s="131">
        <v>425</v>
      </c>
      <c r="M71" s="158">
        <v>36.92</v>
      </c>
      <c r="N71" s="91">
        <f t="shared" si="0"/>
        <v>143.17000000000002</v>
      </c>
      <c r="O71" s="411">
        <f t="shared" si="1"/>
        <v>55.86451999999997</v>
      </c>
      <c r="P71" s="132" t="s">
        <v>52</v>
      </c>
      <c r="Q71" s="232"/>
      <c r="R71" s="411"/>
      <c r="T71" s="134" t="s">
        <v>145</v>
      </c>
      <c r="U71" s="267" t="s">
        <v>194</v>
      </c>
      <c r="AA71" s="218"/>
    </row>
    <row r="72" spans="1:27" ht="24" x14ac:dyDescent="0.25">
      <c r="A72" s="405">
        <v>3000020</v>
      </c>
      <c r="B72" s="406">
        <v>42373</v>
      </c>
      <c r="C72" s="405" t="s">
        <v>42</v>
      </c>
      <c r="D72" s="401" t="s">
        <v>195</v>
      </c>
      <c r="E72" s="120">
        <v>50</v>
      </c>
      <c r="F72" s="133" t="s">
        <v>161</v>
      </c>
      <c r="G72" s="404" t="s">
        <v>45</v>
      </c>
      <c r="H72" s="411">
        <v>122.5</v>
      </c>
      <c r="I72" s="89">
        <f t="shared" si="6"/>
        <v>-11.025</v>
      </c>
      <c r="J72" s="90">
        <f t="shared" si="4"/>
        <v>-2.6274999999999999</v>
      </c>
      <c r="K72" s="90">
        <f t="shared" si="5"/>
        <v>108.8475</v>
      </c>
      <c r="L72" s="131">
        <v>1450</v>
      </c>
      <c r="M72" s="158">
        <v>25.8</v>
      </c>
      <c r="N72" s="91">
        <f t="shared" si="0"/>
        <v>98.3</v>
      </c>
      <c r="O72" s="411">
        <f t="shared" si="1"/>
        <v>10.547499999999999</v>
      </c>
      <c r="P72" s="132" t="s">
        <v>52</v>
      </c>
      <c r="Q72" s="232"/>
      <c r="R72" s="411"/>
      <c r="T72" s="134" t="s">
        <v>145</v>
      </c>
      <c r="U72" s="267" t="s">
        <v>196</v>
      </c>
      <c r="AA72" s="218"/>
    </row>
    <row r="73" spans="1:27" ht="22.5" x14ac:dyDescent="0.25">
      <c r="A73" s="405">
        <v>3000021</v>
      </c>
      <c r="B73" s="406">
        <v>42373</v>
      </c>
      <c r="C73" s="405" t="s">
        <v>141</v>
      </c>
      <c r="D73" s="401" t="s">
        <v>197</v>
      </c>
      <c r="E73" s="120">
        <v>325</v>
      </c>
      <c r="F73" s="133" t="s">
        <v>198</v>
      </c>
      <c r="G73" s="404" t="s">
        <v>45</v>
      </c>
      <c r="H73" s="411">
        <v>950</v>
      </c>
      <c r="I73" s="392">
        <v>0</v>
      </c>
      <c r="J73" s="90">
        <f>-((H73*0.0325)+0.3)</f>
        <v>-31.175000000000001</v>
      </c>
      <c r="K73" s="90">
        <f t="shared" si="5"/>
        <v>918.82500000000005</v>
      </c>
      <c r="L73" s="131">
        <v>1800</v>
      </c>
      <c r="M73" s="158">
        <v>119.66</v>
      </c>
      <c r="N73" s="91">
        <f t="shared" si="0"/>
        <v>704.66</v>
      </c>
      <c r="O73" s="411">
        <f t="shared" si="1"/>
        <v>214.16500000000008</v>
      </c>
      <c r="P73" s="132" t="s">
        <v>52</v>
      </c>
      <c r="Q73" s="232"/>
      <c r="R73" s="411"/>
      <c r="T73" s="209" t="s">
        <v>199</v>
      </c>
      <c r="U73" s="266">
        <v>2709557992</v>
      </c>
      <c r="V73" s="133" t="s">
        <v>55</v>
      </c>
      <c r="W73" s="153" t="s">
        <v>200</v>
      </c>
      <c r="AA73" s="218"/>
    </row>
    <row r="74" spans="1:27" x14ac:dyDescent="0.25">
      <c r="A74" s="405">
        <v>3000022</v>
      </c>
      <c r="B74" s="406">
        <v>42373</v>
      </c>
      <c r="C74" s="405" t="s">
        <v>42</v>
      </c>
      <c r="D74" s="401" t="s">
        <v>201</v>
      </c>
      <c r="E74" s="120">
        <v>1000</v>
      </c>
      <c r="F74" s="133" t="s">
        <v>173</v>
      </c>
      <c r="G74" s="404" t="s">
        <v>45</v>
      </c>
      <c r="H74" s="411">
        <v>794.25</v>
      </c>
      <c r="I74" s="89">
        <f t="shared" si="6"/>
        <v>-71.482500000000002</v>
      </c>
      <c r="J74" s="90">
        <f t="shared" ref="J74:J85" si="7">-((H74*0.019)+0.3)</f>
        <v>-15.390750000000001</v>
      </c>
      <c r="K74" s="90">
        <f t="shared" si="5"/>
        <v>707.37675000000002</v>
      </c>
      <c r="L74" s="131">
        <v>399</v>
      </c>
      <c r="M74" s="158">
        <v>158.85</v>
      </c>
      <c r="N74" s="91">
        <f t="shared" ref="N74:N109" si="8">((L74)*(E74*0.001))+M74</f>
        <v>557.85</v>
      </c>
      <c r="O74" s="411">
        <f t="shared" si="1"/>
        <v>149.52674999999999</v>
      </c>
      <c r="P74" s="132" t="s">
        <v>52</v>
      </c>
      <c r="Q74" s="232"/>
      <c r="R74" s="411"/>
      <c r="T74" s="134" t="s">
        <v>97</v>
      </c>
      <c r="U74" s="266">
        <v>2709558003</v>
      </c>
      <c r="V74" s="133" t="s">
        <v>55</v>
      </c>
      <c r="AA74" s="218"/>
    </row>
    <row r="75" spans="1:27" ht="24" x14ac:dyDescent="0.25">
      <c r="A75" s="405">
        <v>3000023</v>
      </c>
      <c r="B75" s="406">
        <v>42373</v>
      </c>
      <c r="C75" s="405" t="s">
        <v>42</v>
      </c>
      <c r="D75" s="401" t="s">
        <v>202</v>
      </c>
      <c r="E75" s="120">
        <v>250</v>
      </c>
      <c r="F75" s="133" t="s">
        <v>203</v>
      </c>
      <c r="G75" s="404" t="s">
        <v>45</v>
      </c>
      <c r="H75" s="411">
        <v>131.6</v>
      </c>
      <c r="I75" s="89">
        <f t="shared" si="6"/>
        <v>-11.843999999999999</v>
      </c>
      <c r="J75" s="90">
        <f t="shared" si="7"/>
        <v>-2.8003999999999998</v>
      </c>
      <c r="K75" s="90">
        <f t="shared" si="5"/>
        <v>116.9556</v>
      </c>
      <c r="L75" s="131">
        <v>227</v>
      </c>
      <c r="M75" s="131">
        <v>24.97</v>
      </c>
      <c r="N75" s="91">
        <f t="shared" si="8"/>
        <v>81.72</v>
      </c>
      <c r="O75" s="411">
        <f t="shared" ref="O75:O138" si="9">K75-N75</f>
        <v>35.235600000000005</v>
      </c>
      <c r="P75" s="132" t="s">
        <v>86</v>
      </c>
      <c r="Q75" s="232"/>
      <c r="R75" s="411"/>
      <c r="T75" s="134" t="s">
        <v>204</v>
      </c>
      <c r="U75" s="266" t="s">
        <v>205</v>
      </c>
      <c r="AA75" s="218"/>
    </row>
    <row r="76" spans="1:27" ht="24" x14ac:dyDescent="0.25">
      <c r="A76" s="405">
        <v>3000024</v>
      </c>
      <c r="B76" s="406">
        <v>42373</v>
      </c>
      <c r="C76" s="405" t="s">
        <v>42</v>
      </c>
      <c r="D76" s="401" t="s">
        <v>206</v>
      </c>
      <c r="E76" s="120">
        <v>250</v>
      </c>
      <c r="F76" s="133" t="s">
        <v>207</v>
      </c>
      <c r="G76" s="404" t="s">
        <v>45</v>
      </c>
      <c r="H76" s="411">
        <v>263</v>
      </c>
      <c r="I76" s="89">
        <f t="shared" si="6"/>
        <v>-23.669999999999998</v>
      </c>
      <c r="J76" s="90">
        <f t="shared" si="7"/>
        <v>-5.2969999999999997</v>
      </c>
      <c r="K76" s="90">
        <f t="shared" si="5"/>
        <v>234.03300000000002</v>
      </c>
      <c r="L76" s="131">
        <v>570</v>
      </c>
      <c r="M76" s="158">
        <v>31.1</v>
      </c>
      <c r="N76" s="91">
        <f t="shared" si="8"/>
        <v>173.6</v>
      </c>
      <c r="O76" s="411">
        <f t="shared" si="9"/>
        <v>60.433000000000021</v>
      </c>
      <c r="P76" s="132" t="s">
        <v>52</v>
      </c>
      <c r="Q76" s="232"/>
      <c r="R76" s="411"/>
      <c r="T76" s="134" t="s">
        <v>145</v>
      </c>
      <c r="U76" s="267" t="s">
        <v>208</v>
      </c>
      <c r="AA76" s="218"/>
    </row>
    <row r="77" spans="1:27" ht="24" x14ac:dyDescent="0.25">
      <c r="A77" s="405">
        <v>3000025</v>
      </c>
      <c r="B77" s="406">
        <v>42373</v>
      </c>
      <c r="C77" s="405" t="s">
        <v>42</v>
      </c>
      <c r="D77" s="401" t="s">
        <v>209</v>
      </c>
      <c r="E77" s="120">
        <v>250</v>
      </c>
      <c r="F77" s="133" t="s">
        <v>210</v>
      </c>
      <c r="G77" s="404" t="s">
        <v>45</v>
      </c>
      <c r="H77" s="411">
        <v>315.68</v>
      </c>
      <c r="I77" s="89">
        <f t="shared" si="6"/>
        <v>-28.411200000000001</v>
      </c>
      <c r="J77" s="90">
        <f t="shared" si="7"/>
        <v>-6.2979199999999995</v>
      </c>
      <c r="K77" s="90">
        <f t="shared" si="5"/>
        <v>280.97088000000002</v>
      </c>
      <c r="L77" s="131">
        <v>579</v>
      </c>
      <c r="M77" s="158">
        <v>50.51</v>
      </c>
      <c r="N77" s="91">
        <f t="shared" si="8"/>
        <v>195.26</v>
      </c>
      <c r="O77" s="411">
        <f t="shared" si="9"/>
        <v>85.710880000000031</v>
      </c>
      <c r="P77" s="132" t="s">
        <v>52</v>
      </c>
      <c r="Q77" s="232"/>
      <c r="R77" s="411"/>
      <c r="T77" s="134" t="s">
        <v>145</v>
      </c>
      <c r="U77" s="267" t="s">
        <v>211</v>
      </c>
      <c r="AA77" s="218"/>
    </row>
    <row r="78" spans="1:27" ht="24" x14ac:dyDescent="0.25">
      <c r="A78" s="405">
        <v>3000026</v>
      </c>
      <c r="B78" s="406">
        <v>42373</v>
      </c>
      <c r="C78" s="405" t="s">
        <v>42</v>
      </c>
      <c r="D78" s="401" t="s">
        <v>212</v>
      </c>
      <c r="E78" s="120">
        <v>100</v>
      </c>
      <c r="F78" s="133" t="s">
        <v>213</v>
      </c>
      <c r="G78" s="404" t="s">
        <v>45</v>
      </c>
      <c r="H78" s="411">
        <v>427.54</v>
      </c>
      <c r="I78" s="89">
        <f t="shared" si="6"/>
        <v>-38.4786</v>
      </c>
      <c r="J78" s="90">
        <f t="shared" si="7"/>
        <v>-8.4232600000000009</v>
      </c>
      <c r="K78" s="90">
        <f t="shared" si="5"/>
        <v>380.63814000000002</v>
      </c>
      <c r="L78" s="131">
        <v>2200</v>
      </c>
      <c r="M78" s="158">
        <v>76.92</v>
      </c>
      <c r="N78" s="91">
        <f t="shared" si="8"/>
        <v>296.92</v>
      </c>
      <c r="O78" s="411">
        <f t="shared" si="9"/>
        <v>83.718140000000005</v>
      </c>
      <c r="P78" s="132" t="s">
        <v>52</v>
      </c>
      <c r="Q78" s="232"/>
      <c r="R78" s="411"/>
      <c r="T78" s="134" t="s">
        <v>145</v>
      </c>
      <c r="U78" s="267" t="s">
        <v>214</v>
      </c>
      <c r="V78" s="157" t="s">
        <v>215</v>
      </c>
      <c r="AA78" s="218"/>
    </row>
    <row r="79" spans="1:27" ht="24" x14ac:dyDescent="0.25">
      <c r="A79" s="405">
        <v>3000027</v>
      </c>
      <c r="B79" s="406">
        <v>42373</v>
      </c>
      <c r="C79" s="405" t="s">
        <v>42</v>
      </c>
      <c r="D79" s="401" t="s">
        <v>216</v>
      </c>
      <c r="E79" s="120">
        <v>100</v>
      </c>
      <c r="F79" s="133" t="s">
        <v>217</v>
      </c>
      <c r="G79" s="404" t="s">
        <v>45</v>
      </c>
      <c r="H79" s="411">
        <v>216.2</v>
      </c>
      <c r="I79" s="89">
        <f t="shared" si="6"/>
        <v>-19.457999999999998</v>
      </c>
      <c r="J79" s="90">
        <f t="shared" si="7"/>
        <v>-4.4077999999999999</v>
      </c>
      <c r="K79" s="90">
        <f t="shared" si="5"/>
        <v>192.33419999999998</v>
      </c>
      <c r="L79" s="131">
        <v>1450</v>
      </c>
      <c r="M79" s="158">
        <v>34.130000000000003</v>
      </c>
      <c r="N79" s="91">
        <f t="shared" si="8"/>
        <v>179.13</v>
      </c>
      <c r="O79" s="411">
        <f t="shared" si="9"/>
        <v>13.204199999999986</v>
      </c>
      <c r="P79" s="132" t="s">
        <v>52</v>
      </c>
      <c r="Q79" s="232"/>
      <c r="R79" s="411"/>
      <c r="T79" s="134" t="s">
        <v>145</v>
      </c>
      <c r="U79" s="267" t="s">
        <v>218</v>
      </c>
      <c r="AA79" s="218"/>
    </row>
    <row r="80" spans="1:27" ht="24" x14ac:dyDescent="0.25">
      <c r="A80" s="405">
        <v>3000028</v>
      </c>
      <c r="B80" s="406">
        <v>42373</v>
      </c>
      <c r="C80" s="405" t="s">
        <v>42</v>
      </c>
      <c r="D80" s="401" t="s">
        <v>219</v>
      </c>
      <c r="E80" s="120">
        <v>50</v>
      </c>
      <c r="F80" s="133" t="s">
        <v>161</v>
      </c>
      <c r="G80" s="404" t="s">
        <v>45</v>
      </c>
      <c r="H80" s="411">
        <v>112.7</v>
      </c>
      <c r="I80" s="89">
        <f t="shared" si="6"/>
        <v>-10.143000000000001</v>
      </c>
      <c r="J80" s="90">
        <f t="shared" si="7"/>
        <v>-2.4413</v>
      </c>
      <c r="K80" s="90">
        <f t="shared" si="5"/>
        <v>100.1157</v>
      </c>
      <c r="L80" s="131">
        <v>1450</v>
      </c>
      <c r="M80" s="158">
        <v>29.77</v>
      </c>
      <c r="N80" s="91">
        <f t="shared" si="8"/>
        <v>102.27</v>
      </c>
      <c r="O80" s="411">
        <f t="shared" si="9"/>
        <v>-2.1542999999999921</v>
      </c>
      <c r="P80" s="132" t="s">
        <v>52</v>
      </c>
      <c r="Q80" s="232"/>
      <c r="R80" s="411"/>
      <c r="T80" s="134" t="s">
        <v>145</v>
      </c>
      <c r="U80" s="267" t="s">
        <v>220</v>
      </c>
      <c r="AA80" s="218"/>
    </row>
    <row r="81" spans="1:27" ht="24" x14ac:dyDescent="0.25">
      <c r="A81" s="405">
        <v>3000029</v>
      </c>
      <c r="B81" s="406">
        <v>42373</v>
      </c>
      <c r="C81" s="405" t="s">
        <v>42</v>
      </c>
      <c r="D81" s="401" t="s">
        <v>221</v>
      </c>
      <c r="E81" s="120">
        <v>150</v>
      </c>
      <c r="F81" s="133" t="s">
        <v>222</v>
      </c>
      <c r="G81" s="404" t="s">
        <v>45</v>
      </c>
      <c r="H81" s="411">
        <v>344.66</v>
      </c>
      <c r="I81" s="89">
        <f t="shared" si="6"/>
        <v>-31.019400000000001</v>
      </c>
      <c r="J81" s="90">
        <f t="shared" si="7"/>
        <v>-6.8485399999999998</v>
      </c>
      <c r="K81" s="90">
        <f t="shared" si="5"/>
        <v>306.79205999999999</v>
      </c>
      <c r="L81" s="131">
        <v>850</v>
      </c>
      <c r="M81" s="131">
        <v>53.93</v>
      </c>
      <c r="N81" s="91">
        <f t="shared" si="8"/>
        <v>181.43</v>
      </c>
      <c r="O81" s="411">
        <f t="shared" si="9"/>
        <v>125.36205999999999</v>
      </c>
      <c r="P81" s="132" t="s">
        <v>86</v>
      </c>
      <c r="Q81" s="232"/>
      <c r="R81" s="411">
        <v>25.53</v>
      </c>
      <c r="S81" s="133" t="s">
        <v>223</v>
      </c>
      <c r="T81" s="134" t="s">
        <v>204</v>
      </c>
      <c r="U81" s="266" t="s">
        <v>224</v>
      </c>
      <c r="AA81" s="218"/>
    </row>
    <row r="82" spans="1:27" ht="24" x14ac:dyDescent="0.25">
      <c r="A82" s="405">
        <v>3000030</v>
      </c>
      <c r="B82" s="406">
        <v>42373</v>
      </c>
      <c r="C82" s="405" t="s">
        <v>225</v>
      </c>
      <c r="D82" s="401" t="s">
        <v>226</v>
      </c>
      <c r="E82" s="120">
        <v>200</v>
      </c>
      <c r="F82" s="133" t="s">
        <v>227</v>
      </c>
      <c r="G82" s="404" t="s">
        <v>45</v>
      </c>
      <c r="H82" s="411">
        <v>212.38</v>
      </c>
      <c r="I82" s="89">
        <f t="shared" si="6"/>
        <v>-19.1142</v>
      </c>
      <c r="J82" s="90">
        <f t="shared" si="7"/>
        <v>-4.3352199999999996</v>
      </c>
      <c r="K82" s="90">
        <f t="shared" si="5"/>
        <v>188.93057999999999</v>
      </c>
      <c r="L82" s="131">
        <v>350</v>
      </c>
      <c r="M82" s="158">
        <v>22.68</v>
      </c>
      <c r="N82" s="91">
        <f t="shared" si="8"/>
        <v>92.68</v>
      </c>
      <c r="O82" s="411">
        <f t="shared" si="9"/>
        <v>96.250579999999985</v>
      </c>
      <c r="P82" s="132" t="s">
        <v>52</v>
      </c>
      <c r="Q82" s="232"/>
      <c r="R82" s="411"/>
      <c r="T82" s="134" t="s">
        <v>145</v>
      </c>
      <c r="U82" s="267" t="s">
        <v>228</v>
      </c>
      <c r="AA82" s="218"/>
    </row>
    <row r="83" spans="1:27" ht="24" x14ac:dyDescent="0.25">
      <c r="A83" s="405">
        <v>3000031</v>
      </c>
      <c r="B83" s="406">
        <v>42373</v>
      </c>
      <c r="C83" s="405" t="s">
        <v>42</v>
      </c>
      <c r="D83" s="401" t="s">
        <v>229</v>
      </c>
      <c r="E83" s="120">
        <v>100</v>
      </c>
      <c r="F83" s="133" t="s">
        <v>217</v>
      </c>
      <c r="G83" s="404" t="s">
        <v>45</v>
      </c>
      <c r="H83" s="411">
        <v>235</v>
      </c>
      <c r="I83" s="89">
        <f t="shared" si="6"/>
        <v>-21.15</v>
      </c>
      <c r="J83" s="90">
        <f t="shared" si="7"/>
        <v>-4.7649999999999997</v>
      </c>
      <c r="K83" s="90">
        <f t="shared" si="5"/>
        <v>209.08500000000001</v>
      </c>
      <c r="L83" s="131">
        <v>1450</v>
      </c>
      <c r="M83" s="158">
        <v>39.17</v>
      </c>
      <c r="N83" s="91">
        <f t="shared" si="8"/>
        <v>184.17000000000002</v>
      </c>
      <c r="O83" s="411">
        <f t="shared" si="9"/>
        <v>24.914999999999992</v>
      </c>
      <c r="P83" s="132" t="s">
        <v>52</v>
      </c>
      <c r="Q83" s="232"/>
      <c r="R83" s="411"/>
      <c r="T83" s="134" t="s">
        <v>145</v>
      </c>
      <c r="U83" s="267" t="s">
        <v>230</v>
      </c>
      <c r="AA83" s="218"/>
    </row>
    <row r="84" spans="1:27" ht="24" x14ac:dyDescent="0.25">
      <c r="A84" s="405">
        <v>3000032</v>
      </c>
      <c r="B84" s="406">
        <v>42373</v>
      </c>
      <c r="C84" s="405" t="s">
        <v>42</v>
      </c>
      <c r="D84" s="401" t="s">
        <v>231</v>
      </c>
      <c r="E84" s="120">
        <v>50</v>
      </c>
      <c r="F84" s="133" t="s">
        <v>217</v>
      </c>
      <c r="G84" s="404" t="s">
        <v>45</v>
      </c>
      <c r="H84" s="411">
        <v>112.7</v>
      </c>
      <c r="I84" s="89">
        <f t="shared" si="6"/>
        <v>-10.143000000000001</v>
      </c>
      <c r="J84" s="90">
        <f t="shared" si="7"/>
        <v>-2.4413</v>
      </c>
      <c r="K84" s="90">
        <f t="shared" si="5"/>
        <v>100.1157</v>
      </c>
      <c r="L84" s="131">
        <v>1450</v>
      </c>
      <c r="M84" s="158">
        <v>42.73</v>
      </c>
      <c r="N84" s="91">
        <f t="shared" si="8"/>
        <v>115.22999999999999</v>
      </c>
      <c r="O84" s="411">
        <f t="shared" si="9"/>
        <v>-15.114299999999986</v>
      </c>
      <c r="P84" s="132" t="s">
        <v>52</v>
      </c>
      <c r="Q84" s="232"/>
      <c r="R84" s="411"/>
      <c r="T84" s="134" t="s">
        <v>145</v>
      </c>
      <c r="U84" s="267" t="s">
        <v>232</v>
      </c>
      <c r="AA84" s="218"/>
    </row>
    <row r="85" spans="1:27" ht="24" x14ac:dyDescent="0.25">
      <c r="A85" s="405">
        <v>3000033</v>
      </c>
      <c r="B85" s="406">
        <v>42373</v>
      </c>
      <c r="C85" s="405" t="s">
        <v>42</v>
      </c>
      <c r="D85" s="401" t="s">
        <v>233</v>
      </c>
      <c r="E85" s="120">
        <v>250</v>
      </c>
      <c r="F85" s="133" t="s">
        <v>234</v>
      </c>
      <c r="G85" s="404" t="s">
        <v>45</v>
      </c>
      <c r="H85" s="411">
        <v>158.69999999999999</v>
      </c>
      <c r="I85" s="89">
        <f t="shared" si="6"/>
        <v>-14.282999999999998</v>
      </c>
      <c r="J85" s="90">
        <f t="shared" si="7"/>
        <v>-3.3152999999999997</v>
      </c>
      <c r="K85" s="90">
        <f t="shared" si="5"/>
        <v>141.10169999999999</v>
      </c>
      <c r="L85" s="158">
        <v>360</v>
      </c>
      <c r="M85" s="158">
        <v>26.06</v>
      </c>
      <c r="N85" s="91">
        <f t="shared" si="8"/>
        <v>116.06</v>
      </c>
      <c r="O85" s="411">
        <f t="shared" si="9"/>
        <v>25.041699999999992</v>
      </c>
      <c r="P85" s="132" t="s">
        <v>235</v>
      </c>
      <c r="Q85" s="232"/>
      <c r="R85" s="411"/>
      <c r="T85" s="134" t="s">
        <v>145</v>
      </c>
      <c r="U85" s="267" t="s">
        <v>236</v>
      </c>
      <c r="AA85" s="218"/>
    </row>
    <row r="86" spans="1:27" x14ac:dyDescent="0.25">
      <c r="A86" s="405">
        <v>3000034</v>
      </c>
      <c r="B86" s="406">
        <v>42373</v>
      </c>
      <c r="C86" s="405" t="s">
        <v>237</v>
      </c>
      <c r="D86" s="401" t="s">
        <v>238</v>
      </c>
      <c r="E86" s="120">
        <v>600</v>
      </c>
      <c r="F86" s="133" t="s">
        <v>239</v>
      </c>
      <c r="G86" s="404" t="s">
        <v>45</v>
      </c>
      <c r="H86" s="411">
        <v>1458</v>
      </c>
      <c r="I86" s="89">
        <f>-(H86*0.15)</f>
        <v>-218.7</v>
      </c>
      <c r="J86" s="90">
        <v>0</v>
      </c>
      <c r="K86" s="90">
        <f t="shared" si="5"/>
        <v>1239.3</v>
      </c>
      <c r="L86" s="131">
        <v>1450</v>
      </c>
      <c r="M86" s="158">
        <v>128.22999999999999</v>
      </c>
      <c r="N86" s="91">
        <f t="shared" si="8"/>
        <v>998.23</v>
      </c>
      <c r="O86" s="411">
        <f t="shared" si="9"/>
        <v>241.06999999999994</v>
      </c>
      <c r="P86" s="132" t="s">
        <v>86</v>
      </c>
      <c r="Q86" s="232"/>
      <c r="R86" s="411"/>
      <c r="T86" s="134" t="s">
        <v>97</v>
      </c>
      <c r="U86" s="266">
        <v>3653243064</v>
      </c>
      <c r="V86" s="133" t="s">
        <v>55</v>
      </c>
      <c r="AA86" s="218"/>
    </row>
    <row r="87" spans="1:27" ht="24" x14ac:dyDescent="0.25">
      <c r="A87" s="405">
        <v>3000035</v>
      </c>
      <c r="B87" s="406">
        <v>42373</v>
      </c>
      <c r="C87" s="405" t="s">
        <v>237</v>
      </c>
      <c r="D87" s="401" t="s">
        <v>240</v>
      </c>
      <c r="E87" s="120">
        <v>100</v>
      </c>
      <c r="F87" s="133" t="s">
        <v>161</v>
      </c>
      <c r="G87" s="404" t="s">
        <v>45</v>
      </c>
      <c r="H87" s="411">
        <v>243</v>
      </c>
      <c r="I87" s="89">
        <f>-(H87*0.15)</f>
        <v>-36.449999999999996</v>
      </c>
      <c r="J87" s="90">
        <v>0</v>
      </c>
      <c r="K87" s="90">
        <f t="shared" si="5"/>
        <v>206.55</v>
      </c>
      <c r="L87" s="131">
        <v>1450</v>
      </c>
      <c r="M87" s="131">
        <v>52.44</v>
      </c>
      <c r="N87" s="91">
        <f t="shared" si="8"/>
        <v>197.44</v>
      </c>
      <c r="O87" s="411">
        <f t="shared" si="9"/>
        <v>9.1100000000000136</v>
      </c>
      <c r="P87" s="132" t="s">
        <v>86</v>
      </c>
      <c r="Q87" s="232"/>
      <c r="R87" s="411"/>
      <c r="T87" s="134" t="s">
        <v>204</v>
      </c>
      <c r="U87" s="266" t="s">
        <v>241</v>
      </c>
      <c r="AA87" s="218"/>
    </row>
    <row r="88" spans="1:27" x14ac:dyDescent="0.25">
      <c r="A88" s="405">
        <v>3000036</v>
      </c>
      <c r="B88" s="406">
        <v>42373</v>
      </c>
      <c r="C88" s="405" t="s">
        <v>237</v>
      </c>
      <c r="D88" s="401" t="s">
        <v>242</v>
      </c>
      <c r="E88" s="120">
        <v>500</v>
      </c>
      <c r="F88" s="133" t="s">
        <v>243</v>
      </c>
      <c r="G88" s="404" t="s">
        <v>45</v>
      </c>
      <c r="H88" s="411">
        <v>686.83</v>
      </c>
      <c r="I88" s="89">
        <f>-(H88*0.15)</f>
        <v>-103.0245</v>
      </c>
      <c r="J88" s="90">
        <v>0</v>
      </c>
      <c r="K88" s="90">
        <f t="shared" si="5"/>
        <v>583.80550000000005</v>
      </c>
      <c r="L88" s="131">
        <v>675</v>
      </c>
      <c r="M88" s="158">
        <v>92.34</v>
      </c>
      <c r="N88" s="91">
        <f t="shared" si="8"/>
        <v>429.84000000000003</v>
      </c>
      <c r="O88" s="411">
        <f t="shared" si="9"/>
        <v>153.96550000000002</v>
      </c>
      <c r="P88" s="132" t="s">
        <v>52</v>
      </c>
      <c r="Q88" s="232"/>
      <c r="R88" s="411"/>
      <c r="T88" s="134" t="s">
        <v>244</v>
      </c>
      <c r="U88" s="266" t="s">
        <v>245</v>
      </c>
      <c r="V88" s="133" t="s">
        <v>55</v>
      </c>
      <c r="AA88" s="218"/>
    </row>
    <row r="89" spans="1:27" ht="24" x14ac:dyDescent="0.25">
      <c r="A89" s="379">
        <v>3000037</v>
      </c>
      <c r="B89" s="381">
        <v>42373</v>
      </c>
      <c r="C89" s="379" t="s">
        <v>237</v>
      </c>
      <c r="D89" s="377" t="s">
        <v>246</v>
      </c>
      <c r="E89" s="412">
        <v>150</v>
      </c>
      <c r="F89" s="393" t="s">
        <v>247</v>
      </c>
      <c r="G89" s="386" t="s">
        <v>45</v>
      </c>
      <c r="H89" s="399">
        <v>253.88</v>
      </c>
      <c r="I89" s="89">
        <f t="shared" ref="I89:I91" si="10">-(H89*0.15)</f>
        <v>-38.082000000000001</v>
      </c>
      <c r="J89" s="396">
        <v>0</v>
      </c>
      <c r="K89" s="396">
        <f t="shared" si="5"/>
        <v>215.798</v>
      </c>
      <c r="L89" s="142">
        <v>580</v>
      </c>
      <c r="M89" s="158">
        <v>33.08</v>
      </c>
      <c r="N89" s="91">
        <f t="shared" si="8"/>
        <v>120.08</v>
      </c>
      <c r="O89" s="411">
        <f t="shared" si="9"/>
        <v>95.718000000000004</v>
      </c>
      <c r="P89" s="132" t="s">
        <v>52</v>
      </c>
      <c r="Q89" s="232"/>
      <c r="R89" s="411"/>
      <c r="T89" s="134" t="s">
        <v>145</v>
      </c>
      <c r="U89" s="267" t="s">
        <v>248</v>
      </c>
      <c r="AA89" s="218"/>
    </row>
    <row r="90" spans="1:27" ht="24" x14ac:dyDescent="0.25">
      <c r="A90" s="405">
        <v>3000038</v>
      </c>
      <c r="B90" s="406">
        <v>42373</v>
      </c>
      <c r="C90" s="405" t="s">
        <v>237</v>
      </c>
      <c r="D90" s="401" t="s">
        <v>249</v>
      </c>
      <c r="E90" s="120">
        <v>200</v>
      </c>
      <c r="F90" s="133" t="s">
        <v>247</v>
      </c>
      <c r="G90" s="404" t="s">
        <v>45</v>
      </c>
      <c r="H90" s="411">
        <v>328.66</v>
      </c>
      <c r="I90" s="89">
        <f t="shared" si="10"/>
        <v>-49.298999999999999</v>
      </c>
      <c r="J90" s="90">
        <v>0</v>
      </c>
      <c r="K90" s="90">
        <f t="shared" si="5"/>
        <v>279.36100000000005</v>
      </c>
      <c r="L90" s="131">
        <v>580</v>
      </c>
      <c r="M90" s="174">
        <v>30.73</v>
      </c>
      <c r="N90" s="91">
        <f t="shared" si="8"/>
        <v>146.72999999999999</v>
      </c>
      <c r="O90" s="411">
        <f t="shared" si="9"/>
        <v>132.63100000000006</v>
      </c>
      <c r="P90" s="132" t="s">
        <v>52</v>
      </c>
      <c r="Q90" s="232"/>
      <c r="R90" s="411"/>
      <c r="T90" s="134" t="s">
        <v>145</v>
      </c>
      <c r="U90" s="267" t="s">
        <v>250</v>
      </c>
      <c r="AA90" s="218"/>
    </row>
    <row r="91" spans="1:27" ht="24" x14ac:dyDescent="0.25">
      <c r="A91" s="405">
        <v>3000039</v>
      </c>
      <c r="B91" s="406">
        <v>42373</v>
      </c>
      <c r="C91" s="405" t="s">
        <v>237</v>
      </c>
      <c r="D91" s="401" t="s">
        <v>251</v>
      </c>
      <c r="E91" s="120">
        <v>100</v>
      </c>
      <c r="F91" s="133" t="s">
        <v>161</v>
      </c>
      <c r="G91" s="404" t="s">
        <v>45</v>
      </c>
      <c r="H91" s="411">
        <v>243</v>
      </c>
      <c r="I91" s="89">
        <f t="shared" si="10"/>
        <v>-36.449999999999996</v>
      </c>
      <c r="J91" s="90">
        <v>0</v>
      </c>
      <c r="K91" s="90">
        <f t="shared" si="5"/>
        <v>206.55</v>
      </c>
      <c r="L91" s="131">
        <v>1450</v>
      </c>
      <c r="M91" s="147">
        <v>87.72</v>
      </c>
      <c r="N91" s="91">
        <f t="shared" si="8"/>
        <v>232.72</v>
      </c>
      <c r="O91" s="411">
        <f t="shared" si="9"/>
        <v>-26.169999999999987</v>
      </c>
      <c r="P91" s="132" t="s">
        <v>86</v>
      </c>
      <c r="Q91" s="232"/>
      <c r="R91" s="411"/>
      <c r="T91" s="134" t="s">
        <v>204</v>
      </c>
      <c r="U91" s="266" t="s">
        <v>252</v>
      </c>
      <c r="AA91" s="218"/>
    </row>
    <row r="92" spans="1:27" x14ac:dyDescent="0.25">
      <c r="A92" s="405">
        <v>3000040</v>
      </c>
      <c r="B92" s="406">
        <v>42373</v>
      </c>
      <c r="C92" s="405" t="s">
        <v>141</v>
      </c>
      <c r="D92" s="401" t="s">
        <v>253</v>
      </c>
      <c r="E92" s="120">
        <v>1168</v>
      </c>
      <c r="F92" s="133" t="s">
        <v>254</v>
      </c>
      <c r="G92" s="404" t="s">
        <v>45</v>
      </c>
      <c r="H92" s="411">
        <v>7183.2</v>
      </c>
      <c r="I92" s="411">
        <v>0</v>
      </c>
      <c r="J92" s="90">
        <f>-((H92*0.0325)+0.3)</f>
        <v>-233.75400000000002</v>
      </c>
      <c r="K92" s="90">
        <f t="shared" si="5"/>
        <v>6949.4459999999999</v>
      </c>
      <c r="L92" s="158">
        <v>4238.76</v>
      </c>
      <c r="M92" s="190">
        <v>25</v>
      </c>
      <c r="N92" s="91">
        <f t="shared" si="8"/>
        <v>4975.8716800000002</v>
      </c>
      <c r="O92" s="411">
        <f t="shared" si="9"/>
        <v>1973.5743199999997</v>
      </c>
      <c r="P92" s="132" t="s">
        <v>46</v>
      </c>
      <c r="Q92" s="232"/>
      <c r="R92" s="411"/>
      <c r="T92" s="134" t="s">
        <v>47</v>
      </c>
      <c r="U92" s="267" t="s">
        <v>255</v>
      </c>
      <c r="V92" s="133" t="s">
        <v>256</v>
      </c>
      <c r="W92" s="153" t="s">
        <v>257</v>
      </c>
      <c r="AA92" s="218"/>
    </row>
    <row r="93" spans="1:27" ht="24" x14ac:dyDescent="0.25">
      <c r="A93" s="405">
        <v>3000041</v>
      </c>
      <c r="B93" s="406">
        <v>42373</v>
      </c>
      <c r="C93" s="405" t="s">
        <v>63</v>
      </c>
      <c r="D93" s="401" t="s">
        <v>258</v>
      </c>
      <c r="E93" s="120">
        <v>140</v>
      </c>
      <c r="F93" s="133" t="s">
        <v>259</v>
      </c>
      <c r="G93" s="404" t="s">
        <v>45</v>
      </c>
      <c r="H93" s="411">
        <v>1763</v>
      </c>
      <c r="I93" s="411">
        <v>0</v>
      </c>
      <c r="J93" s="90">
        <f>-((H93*0.022)+0.3)</f>
        <v>-39.085999999999991</v>
      </c>
      <c r="K93" s="90">
        <f t="shared" si="5"/>
        <v>1723.914</v>
      </c>
      <c r="L93" s="158">
        <v>6500</v>
      </c>
      <c r="M93" s="174">
        <v>82.65</v>
      </c>
      <c r="N93" s="91">
        <f t="shared" si="8"/>
        <v>992.65000000000009</v>
      </c>
      <c r="O93" s="411">
        <f t="shared" si="9"/>
        <v>731.2639999999999</v>
      </c>
      <c r="P93" s="132" t="s">
        <v>46</v>
      </c>
      <c r="Q93" s="232"/>
      <c r="R93" s="411"/>
      <c r="T93" s="134" t="s">
        <v>260</v>
      </c>
      <c r="U93" s="266">
        <v>3621876414</v>
      </c>
      <c r="V93" s="133" t="s">
        <v>261</v>
      </c>
      <c r="W93" s="153" t="s">
        <v>262</v>
      </c>
      <c r="AA93" s="218"/>
    </row>
    <row r="94" spans="1:27" ht="24" x14ac:dyDescent="0.25">
      <c r="A94" s="562">
        <v>3000042</v>
      </c>
      <c r="B94" s="563">
        <v>42373</v>
      </c>
      <c r="C94" s="562" t="s">
        <v>56</v>
      </c>
      <c r="D94" s="507" t="s">
        <v>263</v>
      </c>
      <c r="E94" s="120">
        <v>2000</v>
      </c>
      <c r="F94" s="133" t="s">
        <v>264</v>
      </c>
      <c r="G94" s="551" t="s">
        <v>45</v>
      </c>
      <c r="H94" s="465">
        <v>1880</v>
      </c>
      <c r="I94" s="465">
        <v>0</v>
      </c>
      <c r="J94" s="465">
        <v>0</v>
      </c>
      <c r="K94" s="464">
        <f t="shared" si="5"/>
        <v>1880</v>
      </c>
      <c r="L94" s="158">
        <v>102</v>
      </c>
      <c r="M94" s="147"/>
      <c r="N94" s="91">
        <f t="shared" si="8"/>
        <v>204</v>
      </c>
      <c r="O94" s="411"/>
      <c r="P94" s="132" t="s">
        <v>183</v>
      </c>
      <c r="Q94" s="232"/>
      <c r="R94" s="411"/>
      <c r="T94" s="407" t="s">
        <v>204</v>
      </c>
      <c r="U94" s="266" t="s">
        <v>265</v>
      </c>
      <c r="V94" s="133" t="s">
        <v>151</v>
      </c>
      <c r="W94" s="153" t="s">
        <v>266</v>
      </c>
      <c r="AA94" s="218"/>
    </row>
    <row r="95" spans="1:27" ht="22.5" customHeight="1" x14ac:dyDescent="0.25">
      <c r="A95" s="562"/>
      <c r="B95" s="563"/>
      <c r="C95" s="562"/>
      <c r="D95" s="507"/>
      <c r="E95" s="120">
        <v>4000</v>
      </c>
      <c r="F95" s="133" t="s">
        <v>267</v>
      </c>
      <c r="G95" s="551"/>
      <c r="H95" s="465"/>
      <c r="I95" s="465"/>
      <c r="J95" s="465"/>
      <c r="K95" s="464"/>
      <c r="L95" s="158">
        <v>245</v>
      </c>
      <c r="M95" s="147"/>
      <c r="N95" s="91">
        <f t="shared" si="8"/>
        <v>980</v>
      </c>
      <c r="O95" s="411"/>
      <c r="P95" s="132" t="s">
        <v>183</v>
      </c>
      <c r="Q95" s="232"/>
      <c r="R95" s="411"/>
      <c r="T95" s="409" t="s">
        <v>204</v>
      </c>
      <c r="U95" s="266" t="s">
        <v>268</v>
      </c>
      <c r="AA95" s="218"/>
    </row>
    <row r="96" spans="1:27" x14ac:dyDescent="0.25">
      <c r="A96" s="562">
        <v>3000043</v>
      </c>
      <c r="B96" s="563">
        <v>42373</v>
      </c>
      <c r="C96" s="562" t="s">
        <v>78</v>
      </c>
      <c r="D96" s="507" t="s">
        <v>269</v>
      </c>
      <c r="E96" s="120">
        <v>1000</v>
      </c>
      <c r="F96" s="133" t="s">
        <v>207</v>
      </c>
      <c r="G96" s="551" t="s">
        <v>45</v>
      </c>
      <c r="H96" s="465">
        <v>1211</v>
      </c>
      <c r="I96" s="465">
        <v>0</v>
      </c>
      <c r="J96" s="464">
        <f>-((H96*0.019)+0.3)</f>
        <v>-23.309000000000001</v>
      </c>
      <c r="K96" s="464">
        <f>SUM(H96:J96)</f>
        <v>1187.691</v>
      </c>
      <c r="L96" s="131">
        <v>570</v>
      </c>
      <c r="M96" s="544">
        <v>124.99</v>
      </c>
      <c r="N96" s="91">
        <f t="shared" si="8"/>
        <v>694.99</v>
      </c>
      <c r="O96" s="411">
        <f t="shared" si="9"/>
        <v>492.70100000000002</v>
      </c>
      <c r="P96" s="405" t="s">
        <v>52</v>
      </c>
      <c r="Q96" s="232"/>
      <c r="R96" s="411"/>
      <c r="T96" s="439" t="s">
        <v>270</v>
      </c>
      <c r="U96" s="505">
        <v>231543187</v>
      </c>
      <c r="W96" s="153" t="s">
        <v>271</v>
      </c>
      <c r="AA96" s="218"/>
    </row>
    <row r="97" spans="1:27" x14ac:dyDescent="0.25">
      <c r="A97" s="562"/>
      <c r="B97" s="563"/>
      <c r="C97" s="562"/>
      <c r="D97" s="507"/>
      <c r="E97" s="120">
        <v>500</v>
      </c>
      <c r="F97" s="133" t="s">
        <v>272</v>
      </c>
      <c r="G97" s="551"/>
      <c r="H97" s="465"/>
      <c r="I97" s="465"/>
      <c r="J97" s="464"/>
      <c r="K97" s="464"/>
      <c r="L97" s="131">
        <v>259</v>
      </c>
      <c r="M97" s="546"/>
      <c r="N97" s="91">
        <f t="shared" si="8"/>
        <v>129.5</v>
      </c>
      <c r="O97" s="411">
        <f t="shared" si="9"/>
        <v>-129.5</v>
      </c>
      <c r="P97" s="405" t="s">
        <v>52</v>
      </c>
      <c r="Q97" s="232"/>
      <c r="R97" s="411"/>
      <c r="T97" s="441"/>
      <c r="U97" s="490"/>
      <c r="AA97" s="218"/>
    </row>
    <row r="98" spans="1:27" ht="24" x14ac:dyDescent="0.25">
      <c r="A98" s="405">
        <v>3000044</v>
      </c>
      <c r="B98" s="406">
        <v>42373</v>
      </c>
      <c r="C98" s="405" t="s">
        <v>63</v>
      </c>
      <c r="D98" s="401" t="s">
        <v>273</v>
      </c>
      <c r="E98" s="120">
        <v>210</v>
      </c>
      <c r="F98" s="133" t="s">
        <v>161</v>
      </c>
      <c r="G98" s="404" t="s">
        <v>45</v>
      </c>
      <c r="H98" s="411">
        <v>504</v>
      </c>
      <c r="I98" s="411">
        <v>0</v>
      </c>
      <c r="J98" s="90">
        <f>-((H98*0.022)+0.3)</f>
        <v>-11.388</v>
      </c>
      <c r="K98" s="90">
        <f t="shared" ref="K98:K103" si="11">SUM(H98:J98)</f>
        <v>492.61200000000002</v>
      </c>
      <c r="L98" s="131">
        <v>1450</v>
      </c>
      <c r="M98" s="174">
        <v>59.16</v>
      </c>
      <c r="N98" s="91">
        <f t="shared" si="8"/>
        <v>363.65999999999997</v>
      </c>
      <c r="O98" s="411">
        <f t="shared" si="9"/>
        <v>128.95200000000006</v>
      </c>
      <c r="P98" s="405" t="s">
        <v>52</v>
      </c>
      <c r="Q98" s="232"/>
      <c r="R98" s="411"/>
      <c r="T98" s="134" t="s">
        <v>145</v>
      </c>
      <c r="U98" s="267" t="s">
        <v>274</v>
      </c>
      <c r="W98" s="153" t="s">
        <v>275</v>
      </c>
      <c r="AA98" s="218"/>
    </row>
    <row r="99" spans="1:27" ht="24" x14ac:dyDescent="0.25">
      <c r="A99" s="405">
        <v>3000045</v>
      </c>
      <c r="B99" s="406">
        <v>42373</v>
      </c>
      <c r="C99" s="405" t="s">
        <v>78</v>
      </c>
      <c r="D99" s="401" t="s">
        <v>276</v>
      </c>
      <c r="E99" s="120">
        <v>30</v>
      </c>
      <c r="F99" s="133" t="s">
        <v>277</v>
      </c>
      <c r="G99" s="404" t="s">
        <v>45</v>
      </c>
      <c r="H99" s="411">
        <v>240</v>
      </c>
      <c r="I99" s="411">
        <v>0</v>
      </c>
      <c r="J99" s="90">
        <f>-((H99*0.019)+0.3)</f>
        <v>-4.8599999999999994</v>
      </c>
      <c r="K99" s="90">
        <f t="shared" si="11"/>
        <v>235.14</v>
      </c>
      <c r="L99" s="158">
        <v>3600</v>
      </c>
      <c r="M99" s="174">
        <v>13.9</v>
      </c>
      <c r="N99" s="91">
        <f t="shared" si="8"/>
        <v>121.9</v>
      </c>
      <c r="O99" s="411">
        <f t="shared" si="9"/>
        <v>113.23999999999998</v>
      </c>
      <c r="P99" s="132" t="s">
        <v>183</v>
      </c>
      <c r="Q99" s="232"/>
      <c r="R99" s="411"/>
      <c r="T99" s="134" t="s">
        <v>145</v>
      </c>
      <c r="U99" s="267" t="s">
        <v>278</v>
      </c>
      <c r="W99" s="153" t="s">
        <v>279</v>
      </c>
      <c r="AA99" s="218"/>
    </row>
    <row r="100" spans="1:27" ht="36" x14ac:dyDescent="0.25">
      <c r="A100" s="405">
        <v>3000046</v>
      </c>
      <c r="B100" s="406">
        <v>42373</v>
      </c>
      <c r="C100" s="405" t="s">
        <v>280</v>
      </c>
      <c r="D100" s="401" t="s">
        <v>281</v>
      </c>
      <c r="E100" s="120">
        <v>95</v>
      </c>
      <c r="F100" s="133" t="s">
        <v>282</v>
      </c>
      <c r="G100" s="404" t="s">
        <v>45</v>
      </c>
      <c r="H100" s="411">
        <v>323</v>
      </c>
      <c r="I100" s="411">
        <v>0</v>
      </c>
      <c r="J100" s="90">
        <f>-((H100*0.022)+0.3)</f>
        <v>-7.4059999999999997</v>
      </c>
      <c r="K100" s="90">
        <f t="shared" si="11"/>
        <v>315.59399999999999</v>
      </c>
      <c r="L100" s="158">
        <v>1800</v>
      </c>
      <c r="M100" s="174">
        <v>87</v>
      </c>
      <c r="N100" s="91">
        <f t="shared" si="8"/>
        <v>258</v>
      </c>
      <c r="O100" s="411">
        <f t="shared" si="9"/>
        <v>57.593999999999994</v>
      </c>
      <c r="P100" s="132" t="s">
        <v>46</v>
      </c>
      <c r="Q100" s="232"/>
      <c r="R100" s="411"/>
      <c r="T100" s="134" t="s">
        <v>60</v>
      </c>
      <c r="U100" s="266" t="s">
        <v>283</v>
      </c>
      <c r="W100" s="153" t="s">
        <v>284</v>
      </c>
      <c r="AA100" s="218"/>
    </row>
    <row r="101" spans="1:27" ht="24" x14ac:dyDescent="0.25">
      <c r="A101" s="380">
        <v>3000047</v>
      </c>
      <c r="B101" s="382">
        <v>42373</v>
      </c>
      <c r="C101" s="380" t="s">
        <v>237</v>
      </c>
      <c r="D101" s="378" t="s">
        <v>285</v>
      </c>
      <c r="E101" s="413">
        <v>100</v>
      </c>
      <c r="F101" s="394" t="s">
        <v>161</v>
      </c>
      <c r="G101" s="387" t="s">
        <v>45</v>
      </c>
      <c r="H101" s="400">
        <v>243</v>
      </c>
      <c r="I101" s="89">
        <f t="shared" ref="I101:I102" si="12">-(H101*0.15)</f>
        <v>-36.449999999999996</v>
      </c>
      <c r="J101" s="90">
        <v>0</v>
      </c>
      <c r="K101" s="90">
        <f t="shared" si="11"/>
        <v>206.55</v>
      </c>
      <c r="L101" s="148">
        <v>1450</v>
      </c>
      <c r="M101" s="158">
        <v>34.58</v>
      </c>
      <c r="N101" s="91">
        <f t="shared" si="8"/>
        <v>179.57999999999998</v>
      </c>
      <c r="O101" s="411">
        <f t="shared" si="9"/>
        <v>26.970000000000027</v>
      </c>
      <c r="P101" s="132" t="s">
        <v>52</v>
      </c>
      <c r="Q101" s="232"/>
      <c r="R101" s="411"/>
      <c r="T101" s="134" t="s">
        <v>145</v>
      </c>
      <c r="U101" s="267" t="s">
        <v>286</v>
      </c>
      <c r="AA101" s="218"/>
    </row>
    <row r="102" spans="1:27" ht="24" x14ac:dyDescent="0.25">
      <c r="A102" s="405">
        <v>3000048</v>
      </c>
      <c r="B102" s="406">
        <v>42373</v>
      </c>
      <c r="C102" s="405" t="s">
        <v>237</v>
      </c>
      <c r="D102" s="401" t="s">
        <v>287</v>
      </c>
      <c r="E102" s="120">
        <v>250</v>
      </c>
      <c r="F102" s="133" t="s">
        <v>288</v>
      </c>
      <c r="G102" s="404" t="s">
        <v>45</v>
      </c>
      <c r="H102" s="411">
        <v>387.46</v>
      </c>
      <c r="I102" s="89">
        <f t="shared" si="12"/>
        <v>-58.118999999999993</v>
      </c>
      <c r="J102" s="90">
        <v>0</v>
      </c>
      <c r="K102" s="90">
        <f t="shared" si="11"/>
        <v>329.34100000000001</v>
      </c>
      <c r="L102" s="131">
        <v>1069</v>
      </c>
      <c r="M102" s="158">
        <v>71.45</v>
      </c>
      <c r="N102" s="91">
        <f t="shared" si="8"/>
        <v>338.7</v>
      </c>
      <c r="O102" s="411">
        <f t="shared" si="9"/>
        <v>-9.3589999999999804</v>
      </c>
      <c r="P102" s="132" t="s">
        <v>52</v>
      </c>
      <c r="Q102" s="232"/>
      <c r="R102" s="411"/>
      <c r="T102" s="134" t="s">
        <v>145</v>
      </c>
      <c r="U102" s="267" t="s">
        <v>289</v>
      </c>
      <c r="AA102" s="218"/>
    </row>
    <row r="103" spans="1:27" x14ac:dyDescent="0.25">
      <c r="A103" s="419">
        <v>3000049</v>
      </c>
      <c r="B103" s="421">
        <v>42373</v>
      </c>
      <c r="C103" s="419" t="s">
        <v>42</v>
      </c>
      <c r="D103" s="417" t="s">
        <v>181</v>
      </c>
      <c r="E103" s="120">
        <v>260</v>
      </c>
      <c r="F103" s="133" t="s">
        <v>290</v>
      </c>
      <c r="G103" s="434" t="s">
        <v>45</v>
      </c>
      <c r="H103" s="427">
        <v>520.72</v>
      </c>
      <c r="I103" s="452">
        <f t="shared" ref="I103" si="13">-(H103*0.09)</f>
        <v>-46.864800000000002</v>
      </c>
      <c r="J103" s="425">
        <f>-((H103*0.019)+0.3)</f>
        <v>-10.193680000000001</v>
      </c>
      <c r="K103" s="425">
        <f t="shared" si="11"/>
        <v>463.66152</v>
      </c>
      <c r="L103" s="158">
        <v>367</v>
      </c>
      <c r="M103" s="158">
        <v>50.27</v>
      </c>
      <c r="N103" s="91">
        <f t="shared" si="8"/>
        <v>145.69</v>
      </c>
      <c r="O103" s="411">
        <f t="shared" si="9"/>
        <v>317.97152</v>
      </c>
      <c r="P103" s="132" t="s">
        <v>183</v>
      </c>
      <c r="Q103" s="232"/>
      <c r="R103" s="411"/>
      <c r="T103" s="470" t="s">
        <v>145</v>
      </c>
      <c r="U103" s="267" t="s">
        <v>291</v>
      </c>
      <c r="AA103" s="218"/>
    </row>
    <row r="104" spans="1:27" x14ac:dyDescent="0.25">
      <c r="A104" s="420"/>
      <c r="B104" s="422"/>
      <c r="C104" s="420"/>
      <c r="D104" s="418"/>
      <c r="E104" s="120">
        <v>412</v>
      </c>
      <c r="F104" s="133" t="s">
        <v>292</v>
      </c>
      <c r="G104" s="436"/>
      <c r="H104" s="428"/>
      <c r="I104" s="453"/>
      <c r="J104" s="426"/>
      <c r="K104" s="426"/>
      <c r="L104" s="158">
        <v>511</v>
      </c>
      <c r="M104" s="158"/>
      <c r="N104" s="91">
        <f t="shared" si="8"/>
        <v>210.53200000000001</v>
      </c>
      <c r="O104" s="411">
        <f t="shared" si="9"/>
        <v>-210.53200000000001</v>
      </c>
      <c r="P104" s="132" t="s">
        <v>183</v>
      </c>
      <c r="Q104" s="232"/>
      <c r="R104" s="411"/>
      <c r="T104" s="472"/>
      <c r="U104" s="267" t="s">
        <v>293</v>
      </c>
      <c r="AA104" s="218"/>
    </row>
    <row r="105" spans="1:27" ht="38.25" customHeight="1" x14ac:dyDescent="0.25">
      <c r="A105" s="405">
        <v>3000050</v>
      </c>
      <c r="B105" s="406">
        <v>42373</v>
      </c>
      <c r="C105" s="405" t="s">
        <v>56</v>
      </c>
      <c r="D105" s="401" t="s">
        <v>294</v>
      </c>
      <c r="E105" s="120">
        <v>5000</v>
      </c>
      <c r="F105" s="133" t="s">
        <v>295</v>
      </c>
      <c r="G105" s="404" t="s">
        <v>45</v>
      </c>
      <c r="H105" s="411">
        <v>750</v>
      </c>
      <c r="I105" s="411">
        <v>0</v>
      </c>
      <c r="J105" s="411">
        <v>0</v>
      </c>
      <c r="K105" s="90">
        <f t="shared" ref="K105:K115" si="14">SUM(H105:J105)</f>
        <v>750</v>
      </c>
      <c r="L105" s="158">
        <v>114</v>
      </c>
      <c r="M105" s="131">
        <v>0</v>
      </c>
      <c r="N105" s="91">
        <f t="shared" si="8"/>
        <v>570</v>
      </c>
      <c r="O105" s="411"/>
      <c r="P105" s="132" t="s">
        <v>296</v>
      </c>
      <c r="Q105" s="232"/>
      <c r="R105" s="411"/>
      <c r="T105" s="134" t="s">
        <v>204</v>
      </c>
      <c r="U105" s="266" t="s">
        <v>297</v>
      </c>
      <c r="V105" s="133" t="s">
        <v>151</v>
      </c>
      <c r="W105" s="153" t="s">
        <v>298</v>
      </c>
      <c r="AA105" s="218"/>
    </row>
    <row r="106" spans="1:27" ht="24" x14ac:dyDescent="0.25">
      <c r="A106" s="405">
        <v>3000051</v>
      </c>
      <c r="B106" s="406">
        <v>42373</v>
      </c>
      <c r="C106" s="405" t="s">
        <v>42</v>
      </c>
      <c r="D106" s="401" t="s">
        <v>299</v>
      </c>
      <c r="E106" s="120">
        <v>50</v>
      </c>
      <c r="F106" s="133" t="s">
        <v>300</v>
      </c>
      <c r="G106" s="404" t="s">
        <v>45</v>
      </c>
      <c r="H106" s="411">
        <v>210.44</v>
      </c>
      <c r="I106" s="89">
        <f t="shared" ref="I106:I111" si="15">-(H106*0.09)</f>
        <v>-18.939599999999999</v>
      </c>
      <c r="J106" s="90">
        <f>-((H106*0.019)+0.3)</f>
        <v>-4.2983599999999997</v>
      </c>
      <c r="K106" s="90">
        <f t="shared" si="14"/>
        <v>187.20204000000001</v>
      </c>
      <c r="L106" s="131">
        <v>2200</v>
      </c>
      <c r="M106" s="158">
        <v>28.26</v>
      </c>
      <c r="N106" s="91">
        <f t="shared" si="8"/>
        <v>138.26</v>
      </c>
      <c r="O106" s="411">
        <f t="shared" si="9"/>
        <v>48.94204000000002</v>
      </c>
      <c r="P106" s="132" t="s">
        <v>52</v>
      </c>
      <c r="Q106" s="232"/>
      <c r="R106" s="411">
        <v>13.77</v>
      </c>
      <c r="S106" s="133" t="s">
        <v>301</v>
      </c>
      <c r="T106" s="134" t="s">
        <v>145</v>
      </c>
      <c r="U106" s="267" t="s">
        <v>302</v>
      </c>
      <c r="AA106" s="218"/>
    </row>
    <row r="107" spans="1:27" ht="24" x14ac:dyDescent="0.25">
      <c r="A107" s="405">
        <v>3000052</v>
      </c>
      <c r="B107" s="406">
        <v>42373</v>
      </c>
      <c r="C107" s="405" t="s">
        <v>42</v>
      </c>
      <c r="D107" s="401" t="s">
        <v>303</v>
      </c>
      <c r="E107" s="120">
        <v>100</v>
      </c>
      <c r="F107" s="133" t="s">
        <v>304</v>
      </c>
      <c r="G107" s="404" t="s">
        <v>45</v>
      </c>
      <c r="H107" s="411">
        <v>248</v>
      </c>
      <c r="I107" s="89">
        <f t="shared" si="15"/>
        <v>-22.32</v>
      </c>
      <c r="J107" s="90">
        <f>-((H107*0.019)+0.3)</f>
        <v>-5.0119999999999996</v>
      </c>
      <c r="K107" s="90">
        <f t="shared" si="14"/>
        <v>220.66800000000001</v>
      </c>
      <c r="L107" s="131">
        <v>1310</v>
      </c>
      <c r="M107" s="158">
        <v>44.01</v>
      </c>
      <c r="N107" s="91">
        <f t="shared" si="8"/>
        <v>175.01</v>
      </c>
      <c r="O107" s="411">
        <f t="shared" si="9"/>
        <v>45.658000000000015</v>
      </c>
      <c r="P107" s="132" t="s">
        <v>52</v>
      </c>
      <c r="Q107" s="232"/>
      <c r="R107" s="411"/>
      <c r="T107" s="134" t="s">
        <v>145</v>
      </c>
      <c r="U107" s="267" t="s">
        <v>305</v>
      </c>
      <c r="AA107" s="218"/>
    </row>
    <row r="108" spans="1:27" x14ac:dyDescent="0.25">
      <c r="A108" s="405">
        <v>3000053</v>
      </c>
      <c r="B108" s="406">
        <v>42373</v>
      </c>
      <c r="C108" s="405" t="s">
        <v>141</v>
      </c>
      <c r="D108" s="401" t="s">
        <v>306</v>
      </c>
      <c r="E108" s="120">
        <v>500</v>
      </c>
      <c r="F108" s="133" t="s">
        <v>307</v>
      </c>
      <c r="G108" s="404" t="s">
        <v>45</v>
      </c>
      <c r="H108" s="411">
        <v>600</v>
      </c>
      <c r="I108" s="411">
        <v>0</v>
      </c>
      <c r="J108" s="90">
        <f>-((H108*0.0325)+0.3)</f>
        <v>-19.8</v>
      </c>
      <c r="K108" s="90">
        <f t="shared" si="14"/>
        <v>580.20000000000005</v>
      </c>
      <c r="L108" s="131">
        <v>740</v>
      </c>
      <c r="M108" s="158">
        <v>114.9</v>
      </c>
      <c r="N108" s="91">
        <f t="shared" si="8"/>
        <v>484.9</v>
      </c>
      <c r="O108" s="411">
        <f t="shared" si="9"/>
        <v>95.300000000000068</v>
      </c>
      <c r="P108" s="132" t="s">
        <v>52</v>
      </c>
      <c r="Q108" s="232"/>
      <c r="R108" s="411"/>
      <c r="T108" s="134" t="s">
        <v>97</v>
      </c>
      <c r="U108" s="266">
        <v>2709558040</v>
      </c>
      <c r="V108" s="133" t="s">
        <v>55</v>
      </c>
      <c r="W108" s="153" t="s">
        <v>308</v>
      </c>
      <c r="AA108" s="218"/>
    </row>
    <row r="109" spans="1:27" ht="24" x14ac:dyDescent="0.25">
      <c r="A109" s="405">
        <v>3000054</v>
      </c>
      <c r="B109" s="406">
        <v>42373</v>
      </c>
      <c r="C109" s="405" t="s">
        <v>237</v>
      </c>
      <c r="D109" s="401" t="s">
        <v>309</v>
      </c>
      <c r="E109" s="120">
        <v>100</v>
      </c>
      <c r="F109" s="133" t="s">
        <v>217</v>
      </c>
      <c r="G109" s="404" t="s">
        <v>45</v>
      </c>
      <c r="H109" s="411">
        <v>243</v>
      </c>
      <c r="I109" s="89">
        <f t="shared" ref="I109:I110" si="16">-(H109*0.15)</f>
        <v>-36.449999999999996</v>
      </c>
      <c r="J109" s="90">
        <v>0</v>
      </c>
      <c r="K109" s="90">
        <f t="shared" si="14"/>
        <v>206.55</v>
      </c>
      <c r="L109" s="131">
        <v>1450</v>
      </c>
      <c r="M109" s="158">
        <v>29.48</v>
      </c>
      <c r="N109" s="91">
        <f t="shared" si="8"/>
        <v>174.48</v>
      </c>
      <c r="O109" s="411">
        <f t="shared" si="9"/>
        <v>32.070000000000022</v>
      </c>
      <c r="P109" s="132" t="s">
        <v>52</v>
      </c>
      <c r="Q109" s="232"/>
      <c r="R109" s="411"/>
      <c r="T109" s="134" t="s">
        <v>145</v>
      </c>
      <c r="U109" s="267" t="s">
        <v>310</v>
      </c>
      <c r="AA109" s="218"/>
    </row>
    <row r="110" spans="1:27" x14ac:dyDescent="0.25">
      <c r="A110" s="405">
        <v>3000055</v>
      </c>
      <c r="B110" s="406">
        <v>42373</v>
      </c>
      <c r="C110" s="405" t="s">
        <v>237</v>
      </c>
      <c r="D110" s="401" t="s">
        <v>311</v>
      </c>
      <c r="E110" s="120">
        <v>150</v>
      </c>
      <c r="F110" s="133" t="s">
        <v>312</v>
      </c>
      <c r="G110" s="404" t="s">
        <v>45</v>
      </c>
      <c r="H110" s="411">
        <v>263.54000000000002</v>
      </c>
      <c r="I110" s="89">
        <f t="shared" si="16"/>
        <v>-39.530999999999999</v>
      </c>
      <c r="J110" s="90">
        <v>0</v>
      </c>
      <c r="K110" s="90">
        <f t="shared" si="14"/>
        <v>224.00900000000001</v>
      </c>
      <c r="L110" s="158">
        <v>582</v>
      </c>
      <c r="M110" s="158">
        <v>35.700000000000003</v>
      </c>
      <c r="N110" s="91">
        <f t="shared" ref="N110:N173" si="17">((L110)*(E110*0.001))+M110</f>
        <v>123</v>
      </c>
      <c r="O110" s="411">
        <f t="shared" si="9"/>
        <v>101.00900000000001</v>
      </c>
      <c r="P110" s="132" t="s">
        <v>313</v>
      </c>
      <c r="Q110" s="232"/>
      <c r="R110" s="411"/>
      <c r="T110" s="134" t="s">
        <v>314</v>
      </c>
      <c r="U110" s="267" t="s">
        <v>315</v>
      </c>
      <c r="AA110" s="218"/>
    </row>
    <row r="111" spans="1:27" ht="24" x14ac:dyDescent="0.25">
      <c r="A111" s="405">
        <v>3000056</v>
      </c>
      <c r="B111" s="406">
        <v>42373</v>
      </c>
      <c r="C111" s="405" t="s">
        <v>42</v>
      </c>
      <c r="D111" s="401" t="s">
        <v>316</v>
      </c>
      <c r="E111" s="120">
        <v>200</v>
      </c>
      <c r="F111" s="133" t="s">
        <v>161</v>
      </c>
      <c r="G111" s="404" t="s">
        <v>45</v>
      </c>
      <c r="H111" s="411">
        <v>405.72</v>
      </c>
      <c r="I111" s="89">
        <f t="shared" si="15"/>
        <v>-36.514800000000001</v>
      </c>
      <c r="J111" s="90">
        <f>-((H111*0.019)+0.3)</f>
        <v>-8.00868</v>
      </c>
      <c r="K111" s="90">
        <f t="shared" si="14"/>
        <v>361.19652000000002</v>
      </c>
      <c r="L111" s="131">
        <v>1450</v>
      </c>
      <c r="M111" s="158">
        <v>70.430000000000007</v>
      </c>
      <c r="N111" s="91">
        <f t="shared" si="17"/>
        <v>360.43</v>
      </c>
      <c r="O111" s="411">
        <f t="shared" si="9"/>
        <v>0.76652000000001408</v>
      </c>
      <c r="P111" s="132" t="s">
        <v>52</v>
      </c>
      <c r="Q111" s="232"/>
      <c r="R111" s="411"/>
      <c r="T111" s="134" t="s">
        <v>145</v>
      </c>
      <c r="U111" s="267" t="s">
        <v>317</v>
      </c>
      <c r="AA111" s="218"/>
    </row>
    <row r="112" spans="1:27" x14ac:dyDescent="0.25">
      <c r="A112" s="405">
        <v>3000057</v>
      </c>
      <c r="B112" s="406">
        <v>42373</v>
      </c>
      <c r="C112" s="405" t="s">
        <v>63</v>
      </c>
      <c r="D112" s="401" t="s">
        <v>318</v>
      </c>
      <c r="E112" s="120">
        <v>1000</v>
      </c>
      <c r="F112" s="133" t="s">
        <v>319</v>
      </c>
      <c r="G112" s="404" t="s">
        <v>45</v>
      </c>
      <c r="H112" s="411">
        <v>2396.36</v>
      </c>
      <c r="I112" s="411">
        <v>0</v>
      </c>
      <c r="J112" s="90">
        <f>-((H112*0.022)+0.3)</f>
        <v>-53.019919999999999</v>
      </c>
      <c r="K112" s="90">
        <f t="shared" si="14"/>
        <v>2343.3400799999999</v>
      </c>
      <c r="L112" s="131">
        <v>1332.18</v>
      </c>
      <c r="M112" s="158">
        <v>136.74</v>
      </c>
      <c r="N112" s="91">
        <f t="shared" si="17"/>
        <v>1468.92</v>
      </c>
      <c r="O112" s="411">
        <f t="shared" si="9"/>
        <v>874.42007999999987</v>
      </c>
      <c r="P112" s="132" t="s">
        <v>59</v>
      </c>
      <c r="Q112" s="232"/>
      <c r="R112" s="411">
        <v>195.36</v>
      </c>
      <c r="S112" s="133" t="s">
        <v>320</v>
      </c>
      <c r="T112" s="134" t="s">
        <v>97</v>
      </c>
      <c r="U112" s="266">
        <v>3512638824</v>
      </c>
      <c r="V112" s="119" t="s">
        <v>55</v>
      </c>
      <c r="W112" s="153" t="s">
        <v>321</v>
      </c>
      <c r="AA112" s="218"/>
    </row>
    <row r="113" spans="1:27" ht="24" x14ac:dyDescent="0.25">
      <c r="A113" s="405">
        <v>3000058</v>
      </c>
      <c r="B113" s="406">
        <v>42373</v>
      </c>
      <c r="C113" s="405" t="s">
        <v>63</v>
      </c>
      <c r="D113" s="401" t="s">
        <v>322</v>
      </c>
      <c r="E113" s="120">
        <v>250</v>
      </c>
      <c r="F113" s="133" t="s">
        <v>323</v>
      </c>
      <c r="G113" s="404" t="s">
        <v>45</v>
      </c>
      <c r="H113" s="411">
        <v>190.09</v>
      </c>
      <c r="I113" s="411">
        <v>0</v>
      </c>
      <c r="J113" s="90">
        <f>-((H113*0.022)+0.3)</f>
        <v>-4.4819800000000001</v>
      </c>
      <c r="K113" s="90">
        <f t="shared" si="14"/>
        <v>185.60802000000001</v>
      </c>
      <c r="L113" s="158">
        <v>425</v>
      </c>
      <c r="M113" s="158">
        <v>17.89</v>
      </c>
      <c r="N113" s="91">
        <f t="shared" si="17"/>
        <v>124.14</v>
      </c>
      <c r="O113" s="411">
        <f t="shared" si="9"/>
        <v>61.46802000000001</v>
      </c>
      <c r="P113" s="132" t="s">
        <v>46</v>
      </c>
      <c r="Q113" s="232"/>
      <c r="R113" s="411">
        <v>15.09</v>
      </c>
      <c r="S113" s="133" t="s">
        <v>52</v>
      </c>
      <c r="T113" s="134" t="s">
        <v>324</v>
      </c>
      <c r="U113" s="266" t="s">
        <v>325</v>
      </c>
      <c r="W113" s="153" t="s">
        <v>326</v>
      </c>
      <c r="AA113" s="218"/>
    </row>
    <row r="114" spans="1:27" x14ac:dyDescent="0.25">
      <c r="A114" s="405">
        <v>3000059</v>
      </c>
      <c r="B114" s="406">
        <v>42008</v>
      </c>
      <c r="C114" s="405" t="s">
        <v>327</v>
      </c>
      <c r="D114" s="401" t="s">
        <v>328</v>
      </c>
      <c r="E114" s="120">
        <v>765</v>
      </c>
      <c r="F114" s="133" t="s">
        <v>329</v>
      </c>
      <c r="G114" s="404" t="s">
        <v>45</v>
      </c>
      <c r="H114" s="411">
        <v>8132</v>
      </c>
      <c r="I114" s="411">
        <v>0</v>
      </c>
      <c r="J114" s="90">
        <f>-((H114*0.022)+0.3)</f>
        <v>-179.20400000000001</v>
      </c>
      <c r="K114" s="90">
        <f t="shared" si="14"/>
        <v>7952.7960000000003</v>
      </c>
      <c r="L114" s="158">
        <v>9124</v>
      </c>
      <c r="M114" s="158">
        <v>316.51</v>
      </c>
      <c r="N114" s="91">
        <f t="shared" si="17"/>
        <v>7296.37</v>
      </c>
      <c r="O114" s="411"/>
      <c r="P114" s="132" t="s">
        <v>330</v>
      </c>
      <c r="Q114" s="232"/>
      <c r="R114" s="411"/>
      <c r="T114" s="134" t="s">
        <v>331</v>
      </c>
      <c r="U114" s="266">
        <v>275098259</v>
      </c>
      <c r="V114" s="133" t="s">
        <v>332</v>
      </c>
      <c r="W114" s="153" t="s">
        <v>333</v>
      </c>
      <c r="AA114" s="218"/>
    </row>
    <row r="115" spans="1:27" x14ac:dyDescent="0.25">
      <c r="A115" s="419">
        <v>3000060</v>
      </c>
      <c r="B115" s="421">
        <v>42373</v>
      </c>
      <c r="C115" s="419" t="s">
        <v>141</v>
      </c>
      <c r="D115" s="417" t="s">
        <v>334</v>
      </c>
      <c r="E115" s="120">
        <v>800</v>
      </c>
      <c r="F115" s="133" t="s">
        <v>335</v>
      </c>
      <c r="G115" s="434" t="s">
        <v>45</v>
      </c>
      <c r="H115" s="427">
        <v>11243.92</v>
      </c>
      <c r="I115" s="427">
        <v>0</v>
      </c>
      <c r="J115" s="425">
        <f>-((H115*0.0325)+0.3)</f>
        <v>-365.72740000000005</v>
      </c>
      <c r="K115" s="425">
        <f t="shared" si="14"/>
        <v>10878.1926</v>
      </c>
      <c r="L115" s="158">
        <v>7900</v>
      </c>
      <c r="M115" s="158">
        <v>25</v>
      </c>
      <c r="N115" s="91">
        <f t="shared" si="17"/>
        <v>6345</v>
      </c>
      <c r="O115" s="411">
        <f t="shared" si="9"/>
        <v>4533.1926000000003</v>
      </c>
      <c r="P115" s="132" t="s">
        <v>46</v>
      </c>
      <c r="Q115" s="232"/>
      <c r="R115" s="411"/>
      <c r="T115" s="134" t="s">
        <v>47</v>
      </c>
      <c r="U115" s="266">
        <v>356095166</v>
      </c>
      <c r="W115" s="153" t="s">
        <v>336</v>
      </c>
      <c r="AA115" s="218"/>
    </row>
    <row r="116" spans="1:27" x14ac:dyDescent="0.25">
      <c r="A116" s="420"/>
      <c r="B116" s="422"/>
      <c r="C116" s="420"/>
      <c r="D116" s="418"/>
      <c r="E116" s="120">
        <v>712</v>
      </c>
      <c r="F116" s="133" t="s">
        <v>337</v>
      </c>
      <c r="G116" s="436"/>
      <c r="H116" s="428"/>
      <c r="I116" s="428"/>
      <c r="J116" s="426"/>
      <c r="K116" s="426"/>
      <c r="L116" s="131">
        <v>1000</v>
      </c>
      <c r="M116" s="158">
        <v>117.41</v>
      </c>
      <c r="N116" s="91">
        <f t="shared" si="17"/>
        <v>829.41</v>
      </c>
      <c r="O116" s="411">
        <f t="shared" si="9"/>
        <v>-829.41</v>
      </c>
      <c r="P116" s="132" t="s">
        <v>52</v>
      </c>
      <c r="Q116" s="232"/>
      <c r="R116" s="411"/>
      <c r="T116" s="134" t="s">
        <v>244</v>
      </c>
      <c r="U116" s="266" t="s">
        <v>338</v>
      </c>
      <c r="V116" s="133" t="s">
        <v>339</v>
      </c>
      <c r="AA116" s="218"/>
    </row>
    <row r="117" spans="1:27" ht="24" x14ac:dyDescent="0.25">
      <c r="A117" s="405">
        <v>3000061</v>
      </c>
      <c r="B117" s="406">
        <v>42373</v>
      </c>
      <c r="C117" s="405" t="s">
        <v>159</v>
      </c>
      <c r="D117" s="401" t="s">
        <v>340</v>
      </c>
      <c r="E117" s="120">
        <v>55</v>
      </c>
      <c r="F117" s="133" t="s">
        <v>341</v>
      </c>
      <c r="G117" s="404" t="s">
        <v>45</v>
      </c>
      <c r="H117" s="411">
        <v>89.1</v>
      </c>
      <c r="I117" s="411">
        <v>0</v>
      </c>
      <c r="J117" s="90">
        <f>-((H117*0.019)+0.3)</f>
        <v>-1.9928999999999999</v>
      </c>
      <c r="K117" s="90">
        <f t="shared" ref="K117:K123" si="18">SUM(H117:J117)</f>
        <v>87.107099999999988</v>
      </c>
      <c r="L117" s="131">
        <v>850</v>
      </c>
      <c r="M117" s="158">
        <v>23.14</v>
      </c>
      <c r="N117" s="91">
        <f t="shared" si="17"/>
        <v>69.89</v>
      </c>
      <c r="O117" s="411">
        <f t="shared" si="9"/>
        <v>17.217099999999988</v>
      </c>
      <c r="P117" s="132" t="s">
        <v>52</v>
      </c>
      <c r="Q117" s="232"/>
      <c r="R117" s="411"/>
      <c r="T117" s="134" t="s">
        <v>145</v>
      </c>
      <c r="U117" s="267" t="s">
        <v>342</v>
      </c>
      <c r="W117" s="153" t="s">
        <v>343</v>
      </c>
      <c r="AA117" s="218"/>
    </row>
    <row r="118" spans="1:27" x14ac:dyDescent="0.25">
      <c r="A118" s="405">
        <v>3000062</v>
      </c>
      <c r="B118" s="406">
        <v>42373</v>
      </c>
      <c r="C118" s="405" t="s">
        <v>327</v>
      </c>
      <c r="D118" s="401" t="s">
        <v>344</v>
      </c>
      <c r="E118" s="120">
        <v>500</v>
      </c>
      <c r="F118" s="133" t="s">
        <v>161</v>
      </c>
      <c r="G118" s="404" t="s">
        <v>45</v>
      </c>
      <c r="H118" s="411">
        <v>1100</v>
      </c>
      <c r="I118" s="411">
        <v>0</v>
      </c>
      <c r="J118" s="90">
        <f>-((H118*0.022)+0.3)</f>
        <v>-24.5</v>
      </c>
      <c r="K118" s="90">
        <f t="shared" si="18"/>
        <v>1075.5</v>
      </c>
      <c r="L118" s="131">
        <v>1450</v>
      </c>
      <c r="M118" s="158">
        <v>158.34</v>
      </c>
      <c r="N118" s="91">
        <f t="shared" si="17"/>
        <v>883.34</v>
      </c>
      <c r="O118" s="411">
        <f t="shared" si="9"/>
        <v>192.15999999999997</v>
      </c>
      <c r="P118" s="132" t="s">
        <v>52</v>
      </c>
      <c r="Q118" s="232"/>
      <c r="R118" s="411"/>
      <c r="T118" s="134" t="s">
        <v>97</v>
      </c>
      <c r="U118" s="266">
        <v>2709558283</v>
      </c>
      <c r="V118" s="133" t="s">
        <v>55</v>
      </c>
      <c r="W118" s="153" t="s">
        <v>345</v>
      </c>
      <c r="AA118" s="218"/>
    </row>
    <row r="119" spans="1:27" ht="24" x14ac:dyDescent="0.25">
      <c r="A119" s="405">
        <v>3000063</v>
      </c>
      <c r="B119" s="406">
        <v>42373</v>
      </c>
      <c r="C119" s="405" t="s">
        <v>42</v>
      </c>
      <c r="D119" s="401" t="s">
        <v>346</v>
      </c>
      <c r="E119" s="120">
        <v>100</v>
      </c>
      <c r="F119" s="133" t="s">
        <v>161</v>
      </c>
      <c r="G119" s="404" t="s">
        <v>45</v>
      </c>
      <c r="H119" s="411">
        <v>235</v>
      </c>
      <c r="I119" s="89">
        <f t="shared" ref="I119:I121" si="19">-(H119*0.09)</f>
        <v>-21.15</v>
      </c>
      <c r="J119" s="90">
        <f>-((H119*0.019)+0.3)</f>
        <v>-4.7649999999999997</v>
      </c>
      <c r="K119" s="90">
        <f t="shared" si="18"/>
        <v>209.08500000000001</v>
      </c>
      <c r="L119" s="131">
        <v>1450</v>
      </c>
      <c r="M119" s="158">
        <v>34.58</v>
      </c>
      <c r="N119" s="91">
        <f t="shared" si="17"/>
        <v>179.57999999999998</v>
      </c>
      <c r="O119" s="411">
        <f t="shared" si="9"/>
        <v>29.505000000000024</v>
      </c>
      <c r="P119" s="132" t="s">
        <v>52</v>
      </c>
      <c r="Q119" s="232"/>
      <c r="R119" s="411"/>
      <c r="T119" s="134" t="s">
        <v>145</v>
      </c>
      <c r="U119" s="267" t="s">
        <v>347</v>
      </c>
      <c r="AA119" s="218"/>
    </row>
    <row r="120" spans="1:27" x14ac:dyDescent="0.25">
      <c r="A120" s="405">
        <v>3000064</v>
      </c>
      <c r="B120" s="406">
        <v>42373</v>
      </c>
      <c r="C120" s="405" t="s">
        <v>42</v>
      </c>
      <c r="D120" s="401" t="s">
        <v>348</v>
      </c>
      <c r="E120" s="120">
        <v>2000</v>
      </c>
      <c r="F120" s="133" t="s">
        <v>349</v>
      </c>
      <c r="G120" s="404" t="s">
        <v>45</v>
      </c>
      <c r="H120" s="411">
        <v>1771.12</v>
      </c>
      <c r="I120" s="89">
        <f t="shared" si="19"/>
        <v>-159.40079999999998</v>
      </c>
      <c r="J120" s="90">
        <f>-((H120*0.019)+0.3)</f>
        <v>-33.951279999999997</v>
      </c>
      <c r="K120" s="90">
        <f t="shared" si="18"/>
        <v>1577.76792</v>
      </c>
      <c r="L120" s="131">
        <v>399</v>
      </c>
      <c r="M120" s="158">
        <f>227.42+67.25</f>
        <v>294.66999999999996</v>
      </c>
      <c r="N120" s="91">
        <f t="shared" si="17"/>
        <v>1092.67</v>
      </c>
      <c r="O120" s="411">
        <f t="shared" si="9"/>
        <v>485.09791999999993</v>
      </c>
      <c r="P120" s="132" t="s">
        <v>52</v>
      </c>
      <c r="Q120" s="232"/>
      <c r="R120" s="411"/>
      <c r="T120" s="134" t="s">
        <v>97</v>
      </c>
      <c r="U120" s="266">
        <v>2709558305</v>
      </c>
      <c r="V120" s="133" t="s">
        <v>55</v>
      </c>
      <c r="AA120" s="218"/>
    </row>
    <row r="121" spans="1:27" ht="24" x14ac:dyDescent="0.25">
      <c r="A121" s="405">
        <v>3000065</v>
      </c>
      <c r="B121" s="406">
        <v>42373</v>
      </c>
      <c r="C121" s="405" t="s">
        <v>42</v>
      </c>
      <c r="D121" s="160" t="s">
        <v>350</v>
      </c>
      <c r="E121" s="120">
        <v>100</v>
      </c>
      <c r="F121" s="133" t="s">
        <v>161</v>
      </c>
      <c r="G121" s="404" t="s">
        <v>45</v>
      </c>
      <c r="H121" s="411">
        <v>235</v>
      </c>
      <c r="I121" s="89">
        <f t="shared" si="19"/>
        <v>-21.15</v>
      </c>
      <c r="J121" s="90">
        <f>-((H121*0.019)+0.3)</f>
        <v>-4.7649999999999997</v>
      </c>
      <c r="K121" s="90">
        <f t="shared" si="18"/>
        <v>209.08500000000001</v>
      </c>
      <c r="L121" s="131">
        <v>1450</v>
      </c>
      <c r="M121" s="158">
        <v>25.78</v>
      </c>
      <c r="N121" s="91">
        <f t="shared" si="17"/>
        <v>170.78</v>
      </c>
      <c r="O121" s="411">
        <f t="shared" si="9"/>
        <v>38.305000000000007</v>
      </c>
      <c r="P121" s="132" t="s">
        <v>52</v>
      </c>
      <c r="Q121" s="232"/>
      <c r="R121" s="411"/>
      <c r="T121" s="134" t="s">
        <v>145</v>
      </c>
      <c r="U121" s="267" t="s">
        <v>351</v>
      </c>
      <c r="AA121" s="218"/>
    </row>
    <row r="122" spans="1:27" ht="24" x14ac:dyDescent="0.25">
      <c r="A122" s="405">
        <v>3000066</v>
      </c>
      <c r="B122" s="406">
        <v>42373</v>
      </c>
      <c r="C122" s="405" t="s">
        <v>159</v>
      </c>
      <c r="D122" s="401" t="s">
        <v>352</v>
      </c>
      <c r="E122" s="120">
        <v>65</v>
      </c>
      <c r="F122" s="133" t="s">
        <v>341</v>
      </c>
      <c r="G122" s="404" t="s">
        <v>45</v>
      </c>
      <c r="H122" s="411">
        <v>105.3</v>
      </c>
      <c r="I122" s="411">
        <v>0</v>
      </c>
      <c r="J122" s="90">
        <f>-((H122*0.019)+0.3)</f>
        <v>-2.3006999999999995</v>
      </c>
      <c r="K122" s="90">
        <f t="shared" si="18"/>
        <v>102.99929999999999</v>
      </c>
      <c r="L122" s="131">
        <v>850</v>
      </c>
      <c r="M122" s="158">
        <v>37.229999999999997</v>
      </c>
      <c r="N122" s="91">
        <f t="shared" si="17"/>
        <v>92.47999999999999</v>
      </c>
      <c r="O122" s="411">
        <f t="shared" si="9"/>
        <v>10.519300000000001</v>
      </c>
      <c r="P122" s="132" t="s">
        <v>52</v>
      </c>
      <c r="Q122" s="232"/>
      <c r="R122" s="411"/>
      <c r="T122" s="134" t="s">
        <v>145</v>
      </c>
      <c r="U122" s="267" t="s">
        <v>353</v>
      </c>
      <c r="W122" s="153" t="s">
        <v>354</v>
      </c>
      <c r="AA122" s="218"/>
    </row>
    <row r="123" spans="1:27" x14ac:dyDescent="0.25">
      <c r="A123" s="419">
        <v>3000067</v>
      </c>
      <c r="B123" s="421">
        <v>42373</v>
      </c>
      <c r="C123" s="419" t="s">
        <v>56</v>
      </c>
      <c r="D123" s="417" t="s">
        <v>355</v>
      </c>
      <c r="E123" s="120">
        <v>600</v>
      </c>
      <c r="F123" s="133" t="s">
        <v>356</v>
      </c>
      <c r="G123" s="434" t="s">
        <v>45</v>
      </c>
      <c r="H123" s="427">
        <v>4930.25</v>
      </c>
      <c r="I123" s="427">
        <v>0</v>
      </c>
      <c r="J123" s="427">
        <v>0</v>
      </c>
      <c r="K123" s="425">
        <f t="shared" si="18"/>
        <v>4930.25</v>
      </c>
      <c r="L123" s="158">
        <v>470</v>
      </c>
      <c r="M123" s="158">
        <v>110</v>
      </c>
      <c r="N123" s="91">
        <f t="shared" si="17"/>
        <v>392</v>
      </c>
      <c r="O123" s="411"/>
      <c r="P123" s="132" t="s">
        <v>183</v>
      </c>
      <c r="Q123" s="232"/>
      <c r="R123" s="411"/>
      <c r="T123" s="470" t="s">
        <v>357</v>
      </c>
      <c r="U123" s="505">
        <v>2035216429</v>
      </c>
      <c r="V123" s="133" t="s">
        <v>358</v>
      </c>
      <c r="W123" s="153" t="s">
        <v>359</v>
      </c>
      <c r="AA123" s="218"/>
    </row>
    <row r="124" spans="1:27" x14ac:dyDescent="0.25">
      <c r="A124" s="432"/>
      <c r="B124" s="433"/>
      <c r="C124" s="432"/>
      <c r="D124" s="454"/>
      <c r="E124" s="120">
        <v>500</v>
      </c>
      <c r="F124" s="133" t="s">
        <v>360</v>
      </c>
      <c r="G124" s="435"/>
      <c r="H124" s="438"/>
      <c r="I124" s="438"/>
      <c r="J124" s="438"/>
      <c r="K124" s="437"/>
      <c r="L124" s="158">
        <v>430</v>
      </c>
      <c r="M124" s="158"/>
      <c r="N124" s="91">
        <f t="shared" si="17"/>
        <v>215</v>
      </c>
      <c r="O124" s="411"/>
      <c r="P124" s="132" t="s">
        <v>183</v>
      </c>
      <c r="Q124" s="232"/>
      <c r="R124" s="411"/>
      <c r="T124" s="471"/>
      <c r="U124" s="506"/>
      <c r="AA124" s="218"/>
    </row>
    <row r="125" spans="1:27" x14ac:dyDescent="0.25">
      <c r="A125" s="432"/>
      <c r="B125" s="433"/>
      <c r="C125" s="432"/>
      <c r="D125" s="454"/>
      <c r="E125" s="120">
        <v>775</v>
      </c>
      <c r="F125" s="133" t="s">
        <v>361</v>
      </c>
      <c r="G125" s="435"/>
      <c r="H125" s="438"/>
      <c r="I125" s="438"/>
      <c r="J125" s="438"/>
      <c r="K125" s="437"/>
      <c r="L125" s="158">
        <v>580</v>
      </c>
      <c r="M125" s="158"/>
      <c r="N125" s="91">
        <f t="shared" si="17"/>
        <v>449.5</v>
      </c>
      <c r="O125" s="411"/>
      <c r="P125" s="132" t="s">
        <v>183</v>
      </c>
      <c r="Q125" s="232"/>
      <c r="R125" s="411"/>
      <c r="T125" s="472"/>
      <c r="U125" s="490"/>
      <c r="AA125" s="218"/>
    </row>
    <row r="126" spans="1:27" x14ac:dyDescent="0.25">
      <c r="A126" s="432"/>
      <c r="B126" s="433"/>
      <c r="C126" s="432"/>
      <c r="D126" s="454"/>
      <c r="E126" s="120">
        <v>300</v>
      </c>
      <c r="F126" s="133" t="s">
        <v>362</v>
      </c>
      <c r="G126" s="435"/>
      <c r="H126" s="438"/>
      <c r="I126" s="438"/>
      <c r="J126" s="438"/>
      <c r="K126" s="437"/>
      <c r="L126" s="158">
        <v>770</v>
      </c>
      <c r="N126" s="91">
        <f t="shared" si="17"/>
        <v>231</v>
      </c>
      <c r="O126" s="411"/>
      <c r="P126" s="132" t="s">
        <v>59</v>
      </c>
      <c r="Q126" s="232"/>
      <c r="R126" s="411"/>
      <c r="T126" s="134"/>
      <c r="U126" s="266"/>
      <c r="AA126" s="218"/>
    </row>
    <row r="127" spans="1:27" x14ac:dyDescent="0.25">
      <c r="A127" s="432"/>
      <c r="B127" s="433"/>
      <c r="C127" s="432"/>
      <c r="D127" s="454"/>
      <c r="E127" s="120">
        <v>450</v>
      </c>
      <c r="F127" s="133" t="s">
        <v>363</v>
      </c>
      <c r="G127" s="435"/>
      <c r="H127" s="438"/>
      <c r="I127" s="438"/>
      <c r="J127" s="438"/>
      <c r="K127" s="437"/>
      <c r="L127" s="158">
        <v>974</v>
      </c>
      <c r="N127" s="91">
        <f t="shared" si="17"/>
        <v>438.3</v>
      </c>
      <c r="O127" s="411"/>
      <c r="P127" s="132" t="s">
        <v>59</v>
      </c>
      <c r="Q127" s="232"/>
      <c r="R127" s="411"/>
      <c r="T127" s="470" t="s">
        <v>364</v>
      </c>
      <c r="U127" s="481" t="s">
        <v>365</v>
      </c>
      <c r="AA127" s="218"/>
    </row>
    <row r="128" spans="1:27" x14ac:dyDescent="0.25">
      <c r="A128" s="432"/>
      <c r="B128" s="433"/>
      <c r="C128" s="432"/>
      <c r="D128" s="454"/>
      <c r="E128" s="120">
        <v>200</v>
      </c>
      <c r="F128" s="133" t="s">
        <v>366</v>
      </c>
      <c r="G128" s="435"/>
      <c r="H128" s="438"/>
      <c r="I128" s="438"/>
      <c r="J128" s="438"/>
      <c r="K128" s="437"/>
      <c r="L128" s="158">
        <v>1350</v>
      </c>
      <c r="N128" s="91">
        <f t="shared" si="17"/>
        <v>270</v>
      </c>
      <c r="O128" s="411"/>
      <c r="P128" s="132" t="s">
        <v>59</v>
      </c>
      <c r="Q128" s="232"/>
      <c r="R128" s="411"/>
      <c r="T128" s="471"/>
      <c r="U128" s="482"/>
      <c r="AA128" s="218"/>
    </row>
    <row r="129" spans="1:27" x14ac:dyDescent="0.25">
      <c r="A129" s="432"/>
      <c r="B129" s="433"/>
      <c r="C129" s="432"/>
      <c r="D129" s="454"/>
      <c r="E129" s="120">
        <v>200</v>
      </c>
      <c r="F129" s="133" t="s">
        <v>367</v>
      </c>
      <c r="G129" s="435"/>
      <c r="H129" s="438"/>
      <c r="I129" s="438"/>
      <c r="J129" s="438"/>
      <c r="K129" s="437"/>
      <c r="L129" s="158">
        <v>1970</v>
      </c>
      <c r="N129" s="91">
        <f t="shared" si="17"/>
        <v>394</v>
      </c>
      <c r="O129" s="411"/>
      <c r="P129" s="132" t="s">
        <v>59</v>
      </c>
      <c r="Q129" s="232"/>
      <c r="R129" s="411"/>
      <c r="T129" s="471"/>
      <c r="U129" s="482"/>
      <c r="AA129" s="218"/>
    </row>
    <row r="130" spans="1:27" x14ac:dyDescent="0.25">
      <c r="A130" s="432"/>
      <c r="B130" s="433"/>
      <c r="C130" s="432"/>
      <c r="D130" s="454"/>
      <c r="E130" s="120">
        <v>50</v>
      </c>
      <c r="F130" s="133" t="s">
        <v>368</v>
      </c>
      <c r="G130" s="435"/>
      <c r="H130" s="438"/>
      <c r="I130" s="438"/>
      <c r="J130" s="438"/>
      <c r="K130" s="437"/>
      <c r="L130" s="158">
        <v>3754</v>
      </c>
      <c r="N130" s="91">
        <f t="shared" si="17"/>
        <v>187.70000000000002</v>
      </c>
      <c r="O130" s="411"/>
      <c r="P130" s="132" t="s">
        <v>59</v>
      </c>
      <c r="Q130" s="232"/>
      <c r="R130" s="411"/>
      <c r="T130" s="472"/>
      <c r="U130" s="483"/>
      <c r="AA130" s="218"/>
    </row>
    <row r="131" spans="1:27" ht="24" customHeight="1" x14ac:dyDescent="0.25">
      <c r="A131" s="432"/>
      <c r="B131" s="433"/>
      <c r="C131" s="432"/>
      <c r="D131" s="454"/>
      <c r="E131" s="120">
        <v>10</v>
      </c>
      <c r="F131" s="133" t="s">
        <v>369</v>
      </c>
      <c r="G131" s="435"/>
      <c r="H131" s="438"/>
      <c r="I131" s="438"/>
      <c r="J131" s="438"/>
      <c r="K131" s="437"/>
      <c r="L131" s="158">
        <v>30000</v>
      </c>
      <c r="M131" s="158">
        <v>17.71</v>
      </c>
      <c r="N131" s="91">
        <f t="shared" si="17"/>
        <v>317.70999999999998</v>
      </c>
      <c r="O131" s="411"/>
      <c r="P131" s="132" t="s">
        <v>313</v>
      </c>
      <c r="Q131" s="232"/>
      <c r="R131" s="411"/>
      <c r="T131" s="470" t="s">
        <v>370</v>
      </c>
      <c r="U131" s="505" t="s">
        <v>371</v>
      </c>
      <c r="AA131" s="218"/>
    </row>
    <row r="132" spans="1:27" x14ac:dyDescent="0.25">
      <c r="A132" s="432"/>
      <c r="B132" s="433"/>
      <c r="C132" s="432"/>
      <c r="D132" s="454"/>
      <c r="E132" s="120">
        <v>8</v>
      </c>
      <c r="F132" s="133" t="s">
        <v>372</v>
      </c>
      <c r="G132" s="435"/>
      <c r="H132" s="438"/>
      <c r="I132" s="438"/>
      <c r="J132" s="438"/>
      <c r="K132" s="437"/>
      <c r="L132" s="158">
        <v>44000</v>
      </c>
      <c r="M132" s="158"/>
      <c r="N132" s="91">
        <f t="shared" si="17"/>
        <v>352</v>
      </c>
      <c r="O132" s="411"/>
      <c r="P132" s="132" t="s">
        <v>313</v>
      </c>
      <c r="Q132" s="232"/>
      <c r="R132" s="411"/>
      <c r="T132" s="471"/>
      <c r="U132" s="506"/>
      <c r="AA132" s="218"/>
    </row>
    <row r="133" spans="1:27" x14ac:dyDescent="0.25">
      <c r="A133" s="420"/>
      <c r="B133" s="422"/>
      <c r="C133" s="420"/>
      <c r="D133" s="418"/>
      <c r="E133" s="120">
        <v>2</v>
      </c>
      <c r="F133" s="133" t="s">
        <v>373</v>
      </c>
      <c r="G133" s="436"/>
      <c r="H133" s="428"/>
      <c r="I133" s="428"/>
      <c r="J133" s="428"/>
      <c r="K133" s="426"/>
      <c r="L133" s="158">
        <v>54000</v>
      </c>
      <c r="M133" s="158"/>
      <c r="N133" s="91">
        <f t="shared" si="17"/>
        <v>108</v>
      </c>
      <c r="O133" s="411"/>
      <c r="P133" s="132" t="s">
        <v>313</v>
      </c>
      <c r="Q133" s="232"/>
      <c r="R133" s="411"/>
      <c r="T133" s="472"/>
      <c r="U133" s="490"/>
      <c r="AA133" s="218"/>
    </row>
    <row r="134" spans="1:27" ht="24" x14ac:dyDescent="0.25">
      <c r="A134" s="405">
        <v>3000068</v>
      </c>
      <c r="B134" s="406">
        <v>42373</v>
      </c>
      <c r="C134" s="405" t="s">
        <v>56</v>
      </c>
      <c r="D134" s="401" t="s">
        <v>374</v>
      </c>
      <c r="E134" s="120">
        <v>300</v>
      </c>
      <c r="F134" s="210" t="s">
        <v>375</v>
      </c>
      <c r="G134" s="404" t="s">
        <v>45</v>
      </c>
      <c r="H134" s="411">
        <v>442.5</v>
      </c>
      <c r="I134" s="411">
        <v>0</v>
      </c>
      <c r="J134" s="411">
        <v>0</v>
      </c>
      <c r="K134" s="90">
        <f>SUM(H134:J134)</f>
        <v>442.5</v>
      </c>
      <c r="L134" s="131">
        <v>0</v>
      </c>
      <c r="M134" s="131">
        <v>0</v>
      </c>
      <c r="N134" s="91">
        <f t="shared" si="17"/>
        <v>0</v>
      </c>
      <c r="O134" s="411"/>
      <c r="P134" s="132" t="s">
        <v>313</v>
      </c>
      <c r="Q134" s="232"/>
      <c r="R134" s="411"/>
      <c r="T134" s="134" t="s">
        <v>204</v>
      </c>
      <c r="U134" s="266" t="s">
        <v>376</v>
      </c>
      <c r="V134" s="133" t="s">
        <v>377</v>
      </c>
      <c r="W134" s="153" t="s">
        <v>378</v>
      </c>
      <c r="AA134" s="218"/>
    </row>
    <row r="135" spans="1:27" x14ac:dyDescent="0.25">
      <c r="A135" s="419">
        <v>3000069</v>
      </c>
      <c r="B135" s="421">
        <v>42373</v>
      </c>
      <c r="C135" s="419" t="s">
        <v>56</v>
      </c>
      <c r="D135" s="417" t="s">
        <v>355</v>
      </c>
      <c r="E135" s="120">
        <v>150</v>
      </c>
      <c r="F135" s="133" t="s">
        <v>367</v>
      </c>
      <c r="G135" s="434" t="s">
        <v>45</v>
      </c>
      <c r="H135" s="427">
        <v>1138.75</v>
      </c>
      <c r="I135" s="427">
        <v>0</v>
      </c>
      <c r="J135" s="427">
        <v>0</v>
      </c>
      <c r="K135" s="425">
        <f>SUM(H135:J135)</f>
        <v>1138.75</v>
      </c>
      <c r="L135" s="158">
        <v>1970</v>
      </c>
      <c r="M135" s="158">
        <v>268.83</v>
      </c>
      <c r="N135" s="91">
        <f t="shared" si="17"/>
        <v>564.32999999999993</v>
      </c>
      <c r="O135" s="411"/>
      <c r="P135" s="132" t="s">
        <v>59</v>
      </c>
      <c r="Q135" s="232"/>
      <c r="R135" s="411"/>
      <c r="T135" s="470" t="s">
        <v>364</v>
      </c>
      <c r="U135" s="481" t="s">
        <v>365</v>
      </c>
      <c r="V135" s="133" t="s">
        <v>379</v>
      </c>
      <c r="W135" s="153" t="s">
        <v>359</v>
      </c>
      <c r="AA135" s="218"/>
    </row>
    <row r="136" spans="1:27" x14ac:dyDescent="0.25">
      <c r="A136" s="420"/>
      <c r="B136" s="422"/>
      <c r="C136" s="420"/>
      <c r="D136" s="418"/>
      <c r="E136" s="120">
        <v>125</v>
      </c>
      <c r="F136" s="133" t="s">
        <v>368</v>
      </c>
      <c r="G136" s="436"/>
      <c r="H136" s="428"/>
      <c r="I136" s="428"/>
      <c r="J136" s="428"/>
      <c r="K136" s="426"/>
      <c r="L136" s="158">
        <v>3754</v>
      </c>
      <c r="M136" s="158"/>
      <c r="N136" s="91">
        <f t="shared" si="17"/>
        <v>469.25</v>
      </c>
      <c r="O136" s="411"/>
      <c r="P136" s="132" t="s">
        <v>59</v>
      </c>
      <c r="Q136" s="232"/>
      <c r="R136" s="411"/>
      <c r="T136" s="472"/>
      <c r="U136" s="483"/>
      <c r="AA136" s="218"/>
    </row>
    <row r="137" spans="1:27" x14ac:dyDescent="0.25">
      <c r="A137" s="405">
        <v>3000070</v>
      </c>
      <c r="B137" s="406">
        <v>42373</v>
      </c>
      <c r="C137" s="405" t="s">
        <v>63</v>
      </c>
      <c r="D137" s="401" t="s">
        <v>380</v>
      </c>
      <c r="E137" s="120">
        <v>1080</v>
      </c>
      <c r="F137" s="133" t="s">
        <v>381</v>
      </c>
      <c r="G137" s="404" t="s">
        <v>45</v>
      </c>
      <c r="H137" s="411">
        <v>1166.4000000000001</v>
      </c>
      <c r="I137" s="411">
        <v>0</v>
      </c>
      <c r="J137" s="90">
        <f>-((H137*0.022)+0.3)</f>
        <v>-25.960800000000003</v>
      </c>
      <c r="K137" s="90">
        <f t="shared" ref="K137:K144" si="20">SUM(H137:J137)</f>
        <v>1140.4392</v>
      </c>
      <c r="L137" s="158">
        <v>680</v>
      </c>
      <c r="M137" s="158">
        <v>105</v>
      </c>
      <c r="N137" s="91">
        <f t="shared" si="17"/>
        <v>839.40000000000009</v>
      </c>
      <c r="O137" s="411">
        <f t="shared" si="9"/>
        <v>301.03919999999994</v>
      </c>
      <c r="P137" s="132" t="s">
        <v>183</v>
      </c>
      <c r="Q137" s="232"/>
      <c r="R137" s="411"/>
      <c r="T137" s="134" t="s">
        <v>67</v>
      </c>
      <c r="U137" s="266">
        <v>308192150</v>
      </c>
      <c r="W137" s="153" t="s">
        <v>382</v>
      </c>
      <c r="AA137" s="218"/>
    </row>
    <row r="138" spans="1:27" x14ac:dyDescent="0.25">
      <c r="A138" s="405">
        <v>3000071</v>
      </c>
      <c r="B138" s="406">
        <v>42373</v>
      </c>
      <c r="C138" s="405" t="s">
        <v>63</v>
      </c>
      <c r="D138" s="401" t="s">
        <v>383</v>
      </c>
      <c r="E138" s="120">
        <v>3000</v>
      </c>
      <c r="F138" s="133" t="s">
        <v>384</v>
      </c>
      <c r="G138" s="404" t="s">
        <v>45</v>
      </c>
      <c r="H138" s="411">
        <v>1500</v>
      </c>
      <c r="I138" s="411">
        <v>0</v>
      </c>
      <c r="J138" s="90">
        <f>-((H138*0.022)+0.3)</f>
        <v>-33.299999999999997</v>
      </c>
      <c r="K138" s="90">
        <f t="shared" si="20"/>
        <v>1466.7</v>
      </c>
      <c r="L138" s="158">
        <v>320</v>
      </c>
      <c r="M138" s="158">
        <v>105</v>
      </c>
      <c r="N138" s="91">
        <f t="shared" si="17"/>
        <v>1065</v>
      </c>
      <c r="O138" s="411">
        <f t="shared" si="9"/>
        <v>401.70000000000005</v>
      </c>
      <c r="P138" s="132" t="s">
        <v>183</v>
      </c>
      <c r="Q138" s="232"/>
      <c r="R138" s="411"/>
      <c r="T138" s="134" t="s">
        <v>385</v>
      </c>
      <c r="U138" s="266">
        <v>337375356</v>
      </c>
      <c r="W138" s="153" t="s">
        <v>386</v>
      </c>
      <c r="AA138" s="218"/>
    </row>
    <row r="139" spans="1:27" x14ac:dyDescent="0.25">
      <c r="A139" s="405">
        <v>3000072</v>
      </c>
      <c r="B139" s="406">
        <v>42373</v>
      </c>
      <c r="C139" s="405" t="s">
        <v>63</v>
      </c>
      <c r="D139" s="401" t="s">
        <v>387</v>
      </c>
      <c r="E139" s="120">
        <v>100</v>
      </c>
      <c r="F139" s="133" t="s">
        <v>388</v>
      </c>
      <c r="G139" s="404" t="s">
        <v>45</v>
      </c>
      <c r="H139" s="411">
        <v>900</v>
      </c>
      <c r="I139" s="411">
        <v>0</v>
      </c>
      <c r="J139" s="90">
        <f>-((H139*0.022)+0.3)</f>
        <v>-20.099999999999998</v>
      </c>
      <c r="K139" s="90">
        <f t="shared" si="20"/>
        <v>879.9</v>
      </c>
      <c r="L139" s="158">
        <v>5700</v>
      </c>
      <c r="M139" s="158">
        <v>115</v>
      </c>
      <c r="N139" s="91">
        <f t="shared" si="17"/>
        <v>685</v>
      </c>
      <c r="O139" s="411">
        <f t="shared" ref="O139:O202" si="21">K139-N139</f>
        <v>194.89999999999998</v>
      </c>
      <c r="P139" s="132" t="s">
        <v>183</v>
      </c>
      <c r="Q139" s="232"/>
      <c r="R139" s="411"/>
      <c r="T139" s="134" t="s">
        <v>389</v>
      </c>
      <c r="U139" s="267" t="s">
        <v>390</v>
      </c>
      <c r="AA139" s="218"/>
    </row>
    <row r="140" spans="1:27" x14ac:dyDescent="0.25">
      <c r="A140" s="405">
        <v>3000073</v>
      </c>
      <c r="B140" s="406">
        <v>42373</v>
      </c>
      <c r="C140" s="405" t="s">
        <v>42</v>
      </c>
      <c r="D140" s="401" t="s">
        <v>391</v>
      </c>
      <c r="E140" s="120">
        <v>300</v>
      </c>
      <c r="F140" s="133" t="s">
        <v>182</v>
      </c>
      <c r="G140" s="404" t="s">
        <v>45</v>
      </c>
      <c r="H140" s="411">
        <v>651.36</v>
      </c>
      <c r="I140" s="89">
        <f t="shared" ref="I140:I143" si="22">-(H140*0.09)</f>
        <v>-58.622399999999999</v>
      </c>
      <c r="J140" s="90">
        <f>-((H140*0.019)+0.3)</f>
        <v>-12.675840000000001</v>
      </c>
      <c r="K140" s="90">
        <f t="shared" si="20"/>
        <v>580.06176000000005</v>
      </c>
      <c r="L140" s="158">
        <v>1310</v>
      </c>
      <c r="M140" s="158">
        <v>115</v>
      </c>
      <c r="N140" s="91">
        <f t="shared" si="17"/>
        <v>508</v>
      </c>
      <c r="O140" s="411">
        <f t="shared" si="21"/>
        <v>72.061760000000049</v>
      </c>
      <c r="P140" s="132" t="s">
        <v>183</v>
      </c>
      <c r="Q140" s="232"/>
      <c r="R140" s="411"/>
      <c r="T140" s="134" t="s">
        <v>314</v>
      </c>
      <c r="U140" s="266">
        <v>3649827871</v>
      </c>
      <c r="AA140" s="218"/>
    </row>
    <row r="141" spans="1:27" ht="24" x14ac:dyDescent="0.25">
      <c r="A141" s="405">
        <v>3000074</v>
      </c>
      <c r="B141" s="406">
        <v>42373</v>
      </c>
      <c r="C141" s="405" t="s">
        <v>42</v>
      </c>
      <c r="D141" s="401" t="s">
        <v>392</v>
      </c>
      <c r="E141" s="120">
        <v>250</v>
      </c>
      <c r="F141" s="133" t="s">
        <v>393</v>
      </c>
      <c r="G141" s="404" t="s">
        <v>45</v>
      </c>
      <c r="H141" s="411">
        <v>209.85</v>
      </c>
      <c r="I141" s="89">
        <f t="shared" si="22"/>
        <v>-18.886499999999998</v>
      </c>
      <c r="J141" s="90">
        <f>-((H141*0.019)+0.3)</f>
        <v>-4.2871499999999996</v>
      </c>
      <c r="K141" s="90">
        <f t="shared" si="20"/>
        <v>186.67635000000001</v>
      </c>
      <c r="L141" s="131">
        <v>399</v>
      </c>
      <c r="M141" s="158">
        <v>42.83</v>
      </c>
      <c r="N141" s="91">
        <f t="shared" si="17"/>
        <v>142.57999999999998</v>
      </c>
      <c r="O141" s="411">
        <f t="shared" si="21"/>
        <v>44.096350000000029</v>
      </c>
      <c r="P141" s="132" t="s">
        <v>52</v>
      </c>
      <c r="Q141" s="232"/>
      <c r="R141" s="411"/>
      <c r="T141" s="134" t="s">
        <v>145</v>
      </c>
      <c r="U141" s="267" t="s">
        <v>394</v>
      </c>
      <c r="AA141" s="218"/>
    </row>
    <row r="142" spans="1:27" ht="24" x14ac:dyDescent="0.25">
      <c r="A142" s="405">
        <v>3000075</v>
      </c>
      <c r="B142" s="406">
        <v>42373</v>
      </c>
      <c r="C142" s="405" t="s">
        <v>42</v>
      </c>
      <c r="D142" s="401" t="s">
        <v>395</v>
      </c>
      <c r="E142" s="120">
        <v>100</v>
      </c>
      <c r="F142" s="133" t="s">
        <v>161</v>
      </c>
      <c r="G142" s="404" t="s">
        <v>45</v>
      </c>
      <c r="H142" s="411">
        <v>235</v>
      </c>
      <c r="I142" s="89">
        <f t="shared" si="22"/>
        <v>-21.15</v>
      </c>
      <c r="J142" s="90">
        <f>-((H142*0.019)+0.3)</f>
        <v>-4.7649999999999997</v>
      </c>
      <c r="K142" s="90">
        <f t="shared" si="20"/>
        <v>209.08500000000001</v>
      </c>
      <c r="L142" s="131">
        <v>1450</v>
      </c>
      <c r="M142" s="158">
        <v>45.92</v>
      </c>
      <c r="N142" s="91">
        <f t="shared" si="17"/>
        <v>190.92000000000002</v>
      </c>
      <c r="O142" s="411">
        <f t="shared" si="21"/>
        <v>18.164999999999992</v>
      </c>
      <c r="P142" s="132" t="s">
        <v>52</v>
      </c>
      <c r="Q142" s="232"/>
      <c r="R142" s="411"/>
      <c r="T142" s="134" t="s">
        <v>145</v>
      </c>
      <c r="U142" s="266" t="s">
        <v>396</v>
      </c>
      <c r="AA142" s="218"/>
    </row>
    <row r="143" spans="1:27" x14ac:dyDescent="0.25">
      <c r="A143" s="405">
        <v>3000076</v>
      </c>
      <c r="B143" s="406">
        <v>42373</v>
      </c>
      <c r="C143" s="405" t="s">
        <v>42</v>
      </c>
      <c r="D143" s="401" t="s">
        <v>397</v>
      </c>
      <c r="E143" s="120">
        <v>500</v>
      </c>
      <c r="F143" s="133" t="s">
        <v>398</v>
      </c>
      <c r="G143" s="404" t="s">
        <v>45</v>
      </c>
      <c r="H143" s="411">
        <v>2200</v>
      </c>
      <c r="I143" s="89">
        <f t="shared" si="22"/>
        <v>-198</v>
      </c>
      <c r="J143" s="90">
        <f>-((H143*0.019)+0.3)</f>
        <v>-42.099999999999994</v>
      </c>
      <c r="K143" s="90">
        <f t="shared" si="20"/>
        <v>1959.9</v>
      </c>
      <c r="L143" s="158">
        <v>2268</v>
      </c>
      <c r="M143" s="131">
        <v>0</v>
      </c>
      <c r="N143" s="91">
        <f t="shared" si="17"/>
        <v>1134</v>
      </c>
      <c r="O143" s="411">
        <f t="shared" si="21"/>
        <v>825.90000000000009</v>
      </c>
      <c r="P143" s="132" t="s">
        <v>59</v>
      </c>
      <c r="Q143" s="232"/>
      <c r="R143" s="411"/>
      <c r="T143" s="134" t="s">
        <v>399</v>
      </c>
      <c r="U143" s="267" t="s">
        <v>400</v>
      </c>
      <c r="AA143" s="218"/>
    </row>
    <row r="144" spans="1:27" x14ac:dyDescent="0.25">
      <c r="A144" s="419">
        <v>3000077</v>
      </c>
      <c r="B144" s="421">
        <v>42373</v>
      </c>
      <c r="C144" s="419" t="s">
        <v>63</v>
      </c>
      <c r="D144" s="417" t="s">
        <v>401</v>
      </c>
      <c r="E144" s="120">
        <v>370</v>
      </c>
      <c r="F144" s="133" t="s">
        <v>402</v>
      </c>
      <c r="G144" s="434" t="s">
        <v>45</v>
      </c>
      <c r="H144" s="427">
        <v>240</v>
      </c>
      <c r="I144" s="427">
        <v>0</v>
      </c>
      <c r="J144" s="425">
        <f>-((H144*0.022)+0.3)</f>
        <v>-5.5799999999999992</v>
      </c>
      <c r="K144" s="425">
        <f t="shared" si="20"/>
        <v>234.42</v>
      </c>
      <c r="L144" s="131">
        <v>0</v>
      </c>
      <c r="M144" s="131">
        <v>0</v>
      </c>
      <c r="N144" s="91">
        <f t="shared" si="17"/>
        <v>0</v>
      </c>
      <c r="O144" s="411">
        <f t="shared" si="21"/>
        <v>234.42</v>
      </c>
      <c r="P144" s="132" t="s">
        <v>52</v>
      </c>
      <c r="Q144" s="232"/>
      <c r="R144" s="411"/>
      <c r="T144" s="134"/>
      <c r="U144" s="266"/>
      <c r="V144" s="133" t="s">
        <v>55</v>
      </c>
      <c r="W144" s="153" t="s">
        <v>403</v>
      </c>
      <c r="AA144" s="218"/>
    </row>
    <row r="145" spans="1:27" x14ac:dyDescent="0.25">
      <c r="A145" s="420"/>
      <c r="B145" s="422"/>
      <c r="C145" s="420"/>
      <c r="D145" s="418"/>
      <c r="E145" s="120">
        <v>385</v>
      </c>
      <c r="F145" s="133" t="s">
        <v>404</v>
      </c>
      <c r="G145" s="436"/>
      <c r="H145" s="428"/>
      <c r="I145" s="428"/>
      <c r="J145" s="426"/>
      <c r="K145" s="426"/>
      <c r="L145" s="131">
        <v>0</v>
      </c>
      <c r="M145" s="131">
        <v>0</v>
      </c>
      <c r="N145" s="91">
        <f t="shared" si="17"/>
        <v>0</v>
      </c>
      <c r="O145" s="411">
        <f t="shared" si="21"/>
        <v>0</v>
      </c>
      <c r="P145" s="132" t="s">
        <v>52</v>
      </c>
      <c r="Q145" s="232"/>
      <c r="R145" s="411"/>
      <c r="T145" s="134"/>
      <c r="U145" s="266"/>
      <c r="AA145" s="218"/>
    </row>
    <row r="146" spans="1:27" ht="24" x14ac:dyDescent="0.25">
      <c r="A146" s="405">
        <v>3000078</v>
      </c>
      <c r="B146" s="406">
        <v>42373</v>
      </c>
      <c r="C146" s="405" t="s">
        <v>159</v>
      </c>
      <c r="D146" s="401" t="s">
        <v>405</v>
      </c>
      <c r="E146" s="120">
        <v>25</v>
      </c>
      <c r="F146" s="133" t="s">
        <v>176</v>
      </c>
      <c r="G146" s="404" t="s">
        <v>45</v>
      </c>
      <c r="H146" s="411">
        <v>74.75</v>
      </c>
      <c r="I146" s="411">
        <v>0</v>
      </c>
      <c r="J146" s="90">
        <f>-((H146*0.019)+0.3)</f>
        <v>-1.7202500000000001</v>
      </c>
      <c r="K146" s="90">
        <f t="shared" ref="K146:K152" si="23">SUM(H146:J146)</f>
        <v>73.029750000000007</v>
      </c>
      <c r="L146" s="131">
        <v>1700</v>
      </c>
      <c r="M146" s="158">
        <v>32.159999999999997</v>
      </c>
      <c r="N146" s="91">
        <f t="shared" si="17"/>
        <v>74.66</v>
      </c>
      <c r="O146" s="411">
        <f t="shared" si="21"/>
        <v>-1.6302499999999895</v>
      </c>
      <c r="P146" s="132" t="s">
        <v>52</v>
      </c>
      <c r="Q146" s="232"/>
      <c r="R146" s="411"/>
      <c r="T146" s="134" t="s">
        <v>145</v>
      </c>
      <c r="U146" s="267" t="s">
        <v>406</v>
      </c>
      <c r="W146" s="153" t="s">
        <v>407</v>
      </c>
      <c r="AA146" s="218"/>
    </row>
    <row r="147" spans="1:27" ht="24" x14ac:dyDescent="0.25">
      <c r="A147" s="405">
        <v>3000079</v>
      </c>
      <c r="B147" s="406">
        <v>42373</v>
      </c>
      <c r="C147" s="405" t="s">
        <v>237</v>
      </c>
      <c r="D147" s="160" t="s">
        <v>408</v>
      </c>
      <c r="E147" s="120">
        <v>200</v>
      </c>
      <c r="F147" s="133" t="s">
        <v>409</v>
      </c>
      <c r="G147" s="404" t="s">
        <v>45</v>
      </c>
      <c r="H147" s="411">
        <v>323.87</v>
      </c>
      <c r="I147" s="89">
        <f t="shared" ref="I147:I150" si="24">-(H147*0.15)</f>
        <v>-48.580500000000001</v>
      </c>
      <c r="J147" s="411">
        <v>0</v>
      </c>
      <c r="K147" s="90">
        <f t="shared" si="23"/>
        <v>275.28949999999998</v>
      </c>
      <c r="L147" s="158">
        <v>690</v>
      </c>
      <c r="M147" s="158">
        <v>17.22</v>
      </c>
      <c r="N147" s="91">
        <f t="shared" si="17"/>
        <v>155.22</v>
      </c>
      <c r="O147" s="411">
        <f t="shared" si="21"/>
        <v>120.06949999999998</v>
      </c>
      <c r="P147" s="132" t="s">
        <v>183</v>
      </c>
      <c r="Q147" s="232"/>
      <c r="R147" s="411"/>
      <c r="T147" s="134" t="s">
        <v>145</v>
      </c>
      <c r="U147" s="267" t="s">
        <v>410</v>
      </c>
      <c r="AA147" s="218"/>
    </row>
    <row r="148" spans="1:27" ht="24" x14ac:dyDescent="0.25">
      <c r="A148" s="405">
        <v>3000080</v>
      </c>
      <c r="B148" s="406">
        <v>42373</v>
      </c>
      <c r="C148" s="405" t="s">
        <v>237</v>
      </c>
      <c r="D148" s="401" t="s">
        <v>411</v>
      </c>
      <c r="E148" s="120">
        <v>50</v>
      </c>
      <c r="F148" s="133" t="s">
        <v>161</v>
      </c>
      <c r="G148" s="404" t="s">
        <v>45</v>
      </c>
      <c r="H148" s="411">
        <v>97.64</v>
      </c>
      <c r="I148" s="89">
        <f t="shared" si="24"/>
        <v>-14.645999999999999</v>
      </c>
      <c r="J148" s="411">
        <v>0</v>
      </c>
      <c r="K148" s="90">
        <f t="shared" si="23"/>
        <v>82.994</v>
      </c>
      <c r="L148" s="131">
        <v>1450</v>
      </c>
      <c r="M148" s="158">
        <v>19.63</v>
      </c>
      <c r="N148" s="91">
        <f t="shared" si="17"/>
        <v>92.13</v>
      </c>
      <c r="O148" s="411">
        <f t="shared" si="21"/>
        <v>-9.1359999999999957</v>
      </c>
      <c r="P148" s="132" t="s">
        <v>52</v>
      </c>
      <c r="Q148" s="232"/>
      <c r="R148" s="411"/>
      <c r="T148" s="134" t="s">
        <v>145</v>
      </c>
      <c r="U148" s="267" t="s">
        <v>412</v>
      </c>
      <c r="AA148" s="218"/>
    </row>
    <row r="149" spans="1:27" ht="24" x14ac:dyDescent="0.25">
      <c r="A149" s="405">
        <v>3000081</v>
      </c>
      <c r="B149" s="406">
        <v>42373</v>
      </c>
      <c r="C149" s="405" t="s">
        <v>237</v>
      </c>
      <c r="D149" s="401" t="s">
        <v>413</v>
      </c>
      <c r="E149" s="120">
        <v>30</v>
      </c>
      <c r="F149" s="133" t="s">
        <v>161</v>
      </c>
      <c r="G149" s="404" t="s">
        <v>45</v>
      </c>
      <c r="H149" s="411">
        <v>88.21</v>
      </c>
      <c r="I149" s="89">
        <f t="shared" si="24"/>
        <v>-13.231499999999999</v>
      </c>
      <c r="J149" s="411">
        <v>0</v>
      </c>
      <c r="K149" s="90">
        <f t="shared" si="23"/>
        <v>74.978499999999997</v>
      </c>
      <c r="L149" s="131">
        <v>1450</v>
      </c>
      <c r="M149" s="158">
        <v>17.09</v>
      </c>
      <c r="N149" s="91">
        <f t="shared" si="17"/>
        <v>60.59</v>
      </c>
      <c r="O149" s="411">
        <f t="shared" si="21"/>
        <v>14.388499999999993</v>
      </c>
      <c r="P149" s="132" t="s">
        <v>52</v>
      </c>
      <c r="Q149" s="232"/>
      <c r="R149" s="411"/>
      <c r="T149" s="134" t="s">
        <v>145</v>
      </c>
      <c r="U149" s="267" t="s">
        <v>414</v>
      </c>
      <c r="AA149" s="218"/>
    </row>
    <row r="150" spans="1:27" ht="24" x14ac:dyDescent="0.25">
      <c r="A150" s="405">
        <v>3000082</v>
      </c>
      <c r="B150" s="406">
        <v>42373</v>
      </c>
      <c r="C150" s="405" t="s">
        <v>237</v>
      </c>
      <c r="D150" s="401" t="s">
        <v>415</v>
      </c>
      <c r="E150" s="120">
        <v>50</v>
      </c>
      <c r="F150" s="133" t="s">
        <v>161</v>
      </c>
      <c r="G150" s="404" t="s">
        <v>45</v>
      </c>
      <c r="H150" s="411">
        <v>97.64</v>
      </c>
      <c r="I150" s="89">
        <f t="shared" si="24"/>
        <v>-14.645999999999999</v>
      </c>
      <c r="J150" s="411">
        <v>0</v>
      </c>
      <c r="K150" s="90">
        <f t="shared" si="23"/>
        <v>82.994</v>
      </c>
      <c r="L150" s="131">
        <v>1450</v>
      </c>
      <c r="M150" s="158">
        <v>33.26</v>
      </c>
      <c r="N150" s="91">
        <f t="shared" si="17"/>
        <v>105.75999999999999</v>
      </c>
      <c r="O150" s="411">
        <f t="shared" si="21"/>
        <v>-22.765999999999991</v>
      </c>
      <c r="P150" s="132" t="s">
        <v>52</v>
      </c>
      <c r="Q150" s="232"/>
      <c r="R150" s="411"/>
      <c r="T150" s="134" t="s">
        <v>145</v>
      </c>
      <c r="U150" s="267" t="s">
        <v>416</v>
      </c>
      <c r="AA150" s="218"/>
    </row>
    <row r="151" spans="1:27" ht="24" x14ac:dyDescent="0.25">
      <c r="A151" s="405">
        <v>3000083</v>
      </c>
      <c r="B151" s="406">
        <v>42373</v>
      </c>
      <c r="C151" s="405" t="s">
        <v>63</v>
      </c>
      <c r="D151" s="401" t="s">
        <v>417</v>
      </c>
      <c r="E151" s="120">
        <v>1000</v>
      </c>
      <c r="F151" s="133" t="s">
        <v>418</v>
      </c>
      <c r="G151" s="404" t="s">
        <v>45</v>
      </c>
      <c r="H151" s="411">
        <v>382</v>
      </c>
      <c r="I151" s="411">
        <v>0</v>
      </c>
      <c r="J151" s="90">
        <f>-((H151*0.022)+0.3)</f>
        <v>-8.7040000000000006</v>
      </c>
      <c r="K151" s="90">
        <f t="shared" si="23"/>
        <v>373.29599999999999</v>
      </c>
      <c r="L151" s="158">
        <v>215</v>
      </c>
      <c r="M151" s="158">
        <v>30.36</v>
      </c>
      <c r="N151" s="91">
        <f t="shared" si="17"/>
        <v>245.36</v>
      </c>
      <c r="O151" s="411">
        <f t="shared" si="21"/>
        <v>127.93599999999998</v>
      </c>
      <c r="P151" s="132" t="s">
        <v>183</v>
      </c>
      <c r="Q151" s="232"/>
      <c r="R151" s="411"/>
      <c r="T151" s="134" t="s">
        <v>145</v>
      </c>
      <c r="U151" s="267" t="s">
        <v>419</v>
      </c>
      <c r="W151" s="153" t="s">
        <v>420</v>
      </c>
      <c r="AA151" s="218"/>
    </row>
    <row r="152" spans="1:27" x14ac:dyDescent="0.25">
      <c r="A152" s="419">
        <v>3000084</v>
      </c>
      <c r="B152" s="421">
        <v>42373</v>
      </c>
      <c r="C152" s="419" t="s">
        <v>63</v>
      </c>
      <c r="D152" s="417" t="s">
        <v>421</v>
      </c>
      <c r="E152" s="120">
        <v>330</v>
      </c>
      <c r="F152" s="133" t="s">
        <v>422</v>
      </c>
      <c r="G152" s="434" t="s">
        <v>45</v>
      </c>
      <c r="H152" s="427">
        <v>730</v>
      </c>
      <c r="I152" s="427">
        <v>0</v>
      </c>
      <c r="J152" s="425">
        <f>-((H152*0.022)+0.3)</f>
        <v>-16.36</v>
      </c>
      <c r="K152" s="425">
        <f t="shared" si="23"/>
        <v>713.64</v>
      </c>
      <c r="L152" s="158">
        <v>1029</v>
      </c>
      <c r="M152" s="158">
        <v>115</v>
      </c>
      <c r="N152" s="91">
        <f t="shared" si="17"/>
        <v>454.57</v>
      </c>
      <c r="O152" s="411">
        <f t="shared" si="21"/>
        <v>259.07</v>
      </c>
      <c r="P152" s="132" t="s">
        <v>183</v>
      </c>
      <c r="Q152" s="232"/>
      <c r="R152" s="411"/>
      <c r="T152" s="439" t="s">
        <v>314</v>
      </c>
      <c r="U152" s="481" t="s">
        <v>423</v>
      </c>
      <c r="W152" s="153" t="s">
        <v>424</v>
      </c>
      <c r="AA152" s="218"/>
    </row>
    <row r="153" spans="1:27" x14ac:dyDescent="0.25">
      <c r="A153" s="420"/>
      <c r="B153" s="422"/>
      <c r="C153" s="420"/>
      <c r="D153" s="418"/>
      <c r="E153" s="120">
        <v>330</v>
      </c>
      <c r="F153" s="133" t="s">
        <v>425</v>
      </c>
      <c r="G153" s="436"/>
      <c r="H153" s="428"/>
      <c r="I153" s="428"/>
      <c r="J153" s="426"/>
      <c r="K153" s="426"/>
      <c r="L153" s="158">
        <v>154</v>
      </c>
      <c r="M153" s="158"/>
      <c r="N153" s="91">
        <f t="shared" si="17"/>
        <v>50.82</v>
      </c>
      <c r="O153" s="411">
        <f t="shared" si="21"/>
        <v>-50.82</v>
      </c>
      <c r="P153" s="132" t="s">
        <v>183</v>
      </c>
      <c r="Q153" s="232"/>
      <c r="R153" s="411"/>
      <c r="T153" s="441"/>
      <c r="U153" s="483"/>
      <c r="AA153" s="218"/>
    </row>
    <row r="154" spans="1:27" ht="24" x14ac:dyDescent="0.25">
      <c r="A154" s="405">
        <v>3000085</v>
      </c>
      <c r="B154" s="406">
        <v>42373</v>
      </c>
      <c r="C154" s="405" t="s">
        <v>141</v>
      </c>
      <c r="D154" s="401" t="s">
        <v>426</v>
      </c>
      <c r="E154" s="120">
        <v>500</v>
      </c>
      <c r="F154" s="133" t="s">
        <v>427</v>
      </c>
      <c r="G154" s="404" t="s">
        <v>45</v>
      </c>
      <c r="H154" s="411">
        <v>220</v>
      </c>
      <c r="I154" s="411">
        <v>0</v>
      </c>
      <c r="J154" s="90">
        <f>-((H154*0.0325)+0.3)</f>
        <v>-7.45</v>
      </c>
      <c r="K154" s="90">
        <f t="shared" ref="K154:K175" si="25">SUM(H154:J154)</f>
        <v>212.55</v>
      </c>
      <c r="L154" s="158">
        <v>210</v>
      </c>
      <c r="M154" s="158">
        <v>22.78</v>
      </c>
      <c r="N154" s="91">
        <f t="shared" si="17"/>
        <v>127.78</v>
      </c>
      <c r="O154" s="411">
        <f t="shared" si="21"/>
        <v>84.77000000000001</v>
      </c>
      <c r="P154" s="132" t="s">
        <v>183</v>
      </c>
      <c r="Q154" s="232"/>
      <c r="R154" s="411"/>
      <c r="T154" s="134" t="s">
        <v>324</v>
      </c>
      <c r="U154" s="266" t="s">
        <v>428</v>
      </c>
      <c r="W154" s="153" t="s">
        <v>429</v>
      </c>
      <c r="AA154" s="218"/>
    </row>
    <row r="155" spans="1:27" ht="24" x14ac:dyDescent="0.25">
      <c r="A155" s="405">
        <v>3000086</v>
      </c>
      <c r="B155" s="406">
        <v>42373</v>
      </c>
      <c r="C155" s="405" t="s">
        <v>42</v>
      </c>
      <c r="D155" s="401" t="s">
        <v>430</v>
      </c>
      <c r="E155" s="120">
        <v>100</v>
      </c>
      <c r="F155" s="133" t="s">
        <v>431</v>
      </c>
      <c r="G155" s="404" t="s">
        <v>45</v>
      </c>
      <c r="H155" s="411">
        <v>248</v>
      </c>
      <c r="I155" s="89">
        <f t="shared" ref="I155:I171" si="26">-(H155*0.09)</f>
        <v>-22.32</v>
      </c>
      <c r="J155" s="90">
        <f t="shared" ref="J155:J171" si="27">-((H155*0.019)+0.3)</f>
        <v>-5.0119999999999996</v>
      </c>
      <c r="K155" s="90">
        <f t="shared" si="25"/>
        <v>220.66800000000001</v>
      </c>
      <c r="L155" s="131">
        <v>1050</v>
      </c>
      <c r="M155" s="158">
        <v>26.5</v>
      </c>
      <c r="N155" s="91">
        <f t="shared" si="17"/>
        <v>131.5</v>
      </c>
      <c r="O155" s="411">
        <f t="shared" si="21"/>
        <v>89.168000000000006</v>
      </c>
      <c r="P155" s="132" t="s">
        <v>52</v>
      </c>
      <c r="Q155" s="232"/>
      <c r="R155" s="411"/>
      <c r="T155" s="134" t="s">
        <v>145</v>
      </c>
      <c r="U155" s="267" t="s">
        <v>432</v>
      </c>
      <c r="AA155" s="218"/>
    </row>
    <row r="156" spans="1:27" ht="24" x14ac:dyDescent="0.25">
      <c r="A156" s="405">
        <v>3000087</v>
      </c>
      <c r="B156" s="406">
        <v>42373</v>
      </c>
      <c r="C156" s="405" t="s">
        <v>42</v>
      </c>
      <c r="D156" s="401" t="s">
        <v>395</v>
      </c>
      <c r="E156" s="120">
        <v>100</v>
      </c>
      <c r="F156" s="133" t="s">
        <v>161</v>
      </c>
      <c r="G156" s="404" t="s">
        <v>45</v>
      </c>
      <c r="H156" s="411">
        <v>235</v>
      </c>
      <c r="I156" s="89">
        <f t="shared" si="26"/>
        <v>-21.15</v>
      </c>
      <c r="J156" s="90">
        <f t="shared" si="27"/>
        <v>-4.7649999999999997</v>
      </c>
      <c r="K156" s="90">
        <f t="shared" si="25"/>
        <v>209.08500000000001</v>
      </c>
      <c r="L156" s="131">
        <v>1450</v>
      </c>
      <c r="M156" s="158">
        <v>45.92</v>
      </c>
      <c r="N156" s="91">
        <f t="shared" si="17"/>
        <v>190.92000000000002</v>
      </c>
      <c r="O156" s="411">
        <f t="shared" si="21"/>
        <v>18.164999999999992</v>
      </c>
      <c r="P156" s="132" t="s">
        <v>52</v>
      </c>
      <c r="Q156" s="232"/>
      <c r="R156" s="411"/>
      <c r="T156" s="134" t="s">
        <v>145</v>
      </c>
      <c r="U156" s="266" t="s">
        <v>433</v>
      </c>
      <c r="AA156" s="218"/>
    </row>
    <row r="157" spans="1:27" x14ac:dyDescent="0.25">
      <c r="A157" s="405">
        <v>3000088</v>
      </c>
      <c r="B157" s="406">
        <v>42373</v>
      </c>
      <c r="C157" s="405" t="s">
        <v>42</v>
      </c>
      <c r="D157" s="401" t="s">
        <v>434</v>
      </c>
      <c r="E157" s="120">
        <v>325</v>
      </c>
      <c r="F157" s="133" t="s">
        <v>51</v>
      </c>
      <c r="G157" s="404" t="s">
        <v>45</v>
      </c>
      <c r="H157" s="411">
        <v>757.73</v>
      </c>
      <c r="I157" s="89">
        <f t="shared" si="26"/>
        <v>-68.195700000000002</v>
      </c>
      <c r="J157" s="90">
        <f t="shared" si="27"/>
        <v>-14.696870000000001</v>
      </c>
      <c r="K157" s="90">
        <f t="shared" si="25"/>
        <v>674.83743000000004</v>
      </c>
      <c r="L157" s="131">
        <v>1015</v>
      </c>
      <c r="M157" s="158">
        <v>155.85</v>
      </c>
      <c r="N157" s="91">
        <f t="shared" si="17"/>
        <v>485.72500000000002</v>
      </c>
      <c r="O157" s="411">
        <f t="shared" si="21"/>
        <v>189.11243000000002</v>
      </c>
      <c r="P157" s="132" t="s">
        <v>52</v>
      </c>
      <c r="Q157" s="232"/>
      <c r="R157" s="411">
        <v>56.13</v>
      </c>
      <c r="S157" s="133" t="s">
        <v>435</v>
      </c>
      <c r="T157" s="134" t="s">
        <v>97</v>
      </c>
      <c r="U157" s="267" t="s">
        <v>436</v>
      </c>
      <c r="V157" s="133" t="s">
        <v>55</v>
      </c>
      <c r="AA157" s="218"/>
    </row>
    <row r="158" spans="1:27" ht="24" x14ac:dyDescent="0.25">
      <c r="A158" s="405">
        <v>3000089</v>
      </c>
      <c r="B158" s="406">
        <v>42373</v>
      </c>
      <c r="C158" s="405" t="s">
        <v>42</v>
      </c>
      <c r="D158" s="401" t="s">
        <v>437</v>
      </c>
      <c r="E158" s="120">
        <v>250</v>
      </c>
      <c r="F158" s="133" t="s">
        <v>438</v>
      </c>
      <c r="G158" s="404" t="s">
        <v>45</v>
      </c>
      <c r="H158" s="411">
        <v>174.8</v>
      </c>
      <c r="I158" s="89">
        <f t="shared" si="26"/>
        <v>-15.732000000000001</v>
      </c>
      <c r="J158" s="90">
        <f t="shared" si="27"/>
        <v>-3.6212</v>
      </c>
      <c r="K158" s="90">
        <f t="shared" si="25"/>
        <v>155.44680000000002</v>
      </c>
      <c r="M158" s="158">
        <v>37.61</v>
      </c>
      <c r="N158" s="91">
        <f t="shared" si="17"/>
        <v>37.61</v>
      </c>
      <c r="O158" s="411">
        <f t="shared" si="21"/>
        <v>117.83680000000003</v>
      </c>
      <c r="P158" s="132" t="s">
        <v>52</v>
      </c>
      <c r="Q158" s="232"/>
      <c r="R158" s="411"/>
      <c r="T158" s="134" t="s">
        <v>145</v>
      </c>
      <c r="U158" s="267" t="s">
        <v>439</v>
      </c>
      <c r="AA158" s="218"/>
    </row>
    <row r="159" spans="1:27" ht="24" x14ac:dyDescent="0.25">
      <c r="A159" s="405">
        <v>3000090</v>
      </c>
      <c r="B159" s="406">
        <v>42373</v>
      </c>
      <c r="C159" s="405" t="s">
        <v>42</v>
      </c>
      <c r="D159" s="401" t="s">
        <v>440</v>
      </c>
      <c r="E159" s="120">
        <v>200</v>
      </c>
      <c r="F159" s="133" t="s">
        <v>441</v>
      </c>
      <c r="G159" s="404" t="s">
        <v>45</v>
      </c>
      <c r="H159" s="411">
        <v>249.46</v>
      </c>
      <c r="I159" s="89">
        <f t="shared" si="26"/>
        <v>-22.4514</v>
      </c>
      <c r="J159" s="90">
        <f t="shared" si="27"/>
        <v>-5.0397400000000001</v>
      </c>
      <c r="K159" s="90">
        <f t="shared" si="25"/>
        <v>221.96886000000001</v>
      </c>
      <c r="L159" s="131">
        <v>510</v>
      </c>
      <c r="M159" s="158">
        <v>68.94</v>
      </c>
      <c r="N159" s="91">
        <f t="shared" si="17"/>
        <v>170.94</v>
      </c>
      <c r="O159" s="411">
        <f t="shared" si="21"/>
        <v>51.028860000000009</v>
      </c>
      <c r="P159" s="132" t="s">
        <v>52</v>
      </c>
      <c r="Q159" s="232"/>
      <c r="R159" s="411"/>
      <c r="T159" s="134" t="s">
        <v>145</v>
      </c>
      <c r="U159" s="267" t="s">
        <v>442</v>
      </c>
      <c r="V159" s="157" t="s">
        <v>443</v>
      </c>
      <c r="AA159" s="218"/>
    </row>
    <row r="160" spans="1:27" ht="24" x14ac:dyDescent="0.25">
      <c r="A160" s="405">
        <v>3000091</v>
      </c>
      <c r="B160" s="406">
        <v>42373</v>
      </c>
      <c r="C160" s="405" t="s">
        <v>42</v>
      </c>
      <c r="D160" s="401" t="s">
        <v>444</v>
      </c>
      <c r="E160" s="120">
        <v>100</v>
      </c>
      <c r="F160" s="133" t="s">
        <v>445</v>
      </c>
      <c r="G160" s="404" t="s">
        <v>45</v>
      </c>
      <c r="H160" s="411">
        <v>223.44</v>
      </c>
      <c r="I160" s="89">
        <f t="shared" si="26"/>
        <v>-20.1096</v>
      </c>
      <c r="J160" s="90">
        <f t="shared" si="27"/>
        <v>-4.5453599999999996</v>
      </c>
      <c r="K160" s="90">
        <f t="shared" si="25"/>
        <v>198.78504000000001</v>
      </c>
      <c r="L160" s="131">
        <v>1450</v>
      </c>
      <c r="M160" s="158">
        <v>54.76</v>
      </c>
      <c r="N160" s="91">
        <f t="shared" si="17"/>
        <v>199.76</v>
      </c>
      <c r="O160" s="411">
        <f t="shared" si="21"/>
        <v>-0.97495999999998162</v>
      </c>
      <c r="P160" s="132" t="s">
        <v>52</v>
      </c>
      <c r="Q160" s="232"/>
      <c r="R160" s="411"/>
      <c r="T160" s="134" t="s">
        <v>145</v>
      </c>
      <c r="U160" s="267" t="s">
        <v>446</v>
      </c>
      <c r="AA160" s="218"/>
    </row>
    <row r="161" spans="1:27" ht="24" x14ac:dyDescent="0.25">
      <c r="A161" s="405">
        <v>3000092</v>
      </c>
      <c r="B161" s="406">
        <v>42373</v>
      </c>
      <c r="C161" s="405" t="s">
        <v>42</v>
      </c>
      <c r="D161" s="401" t="s">
        <v>447</v>
      </c>
      <c r="E161" s="120">
        <v>50</v>
      </c>
      <c r="F161" s="133" t="s">
        <v>448</v>
      </c>
      <c r="G161" s="404" t="s">
        <v>45</v>
      </c>
      <c r="H161" s="411">
        <v>292.89999999999998</v>
      </c>
      <c r="I161" s="89">
        <f t="shared" si="26"/>
        <v>-26.360999999999997</v>
      </c>
      <c r="J161" s="90">
        <f t="shared" si="27"/>
        <v>-5.8650999999999991</v>
      </c>
      <c r="K161" s="90">
        <f t="shared" si="25"/>
        <v>260.6739</v>
      </c>
      <c r="L161" s="158">
        <v>3600</v>
      </c>
      <c r="M161" s="158">
        <v>31.88</v>
      </c>
      <c r="N161" s="91">
        <f t="shared" si="17"/>
        <v>211.88</v>
      </c>
      <c r="O161" s="411">
        <f t="shared" si="21"/>
        <v>48.793900000000008</v>
      </c>
      <c r="P161" s="132" t="s">
        <v>183</v>
      </c>
      <c r="Q161" s="232"/>
      <c r="R161" s="411"/>
      <c r="T161" s="134" t="s">
        <v>324</v>
      </c>
      <c r="U161" s="266" t="s">
        <v>449</v>
      </c>
      <c r="AA161" s="218"/>
    </row>
    <row r="162" spans="1:27" ht="24" x14ac:dyDescent="0.25">
      <c r="A162" s="405">
        <v>3000093</v>
      </c>
      <c r="B162" s="406">
        <v>42373</v>
      </c>
      <c r="C162" s="405" t="s">
        <v>42</v>
      </c>
      <c r="D162" s="401" t="s">
        <v>450</v>
      </c>
      <c r="E162" s="120">
        <v>500</v>
      </c>
      <c r="F162" s="133" t="s">
        <v>451</v>
      </c>
      <c r="G162" s="404" t="s">
        <v>45</v>
      </c>
      <c r="H162" s="411">
        <v>305.38</v>
      </c>
      <c r="I162" s="89">
        <f t="shared" si="26"/>
        <v>-27.484199999999998</v>
      </c>
      <c r="J162" s="90">
        <f t="shared" si="27"/>
        <v>-6.10222</v>
      </c>
      <c r="K162" s="90">
        <f t="shared" si="25"/>
        <v>271.79358000000002</v>
      </c>
      <c r="L162" s="131">
        <v>350</v>
      </c>
      <c r="M162" s="158">
        <v>29.79</v>
      </c>
      <c r="N162" s="91">
        <f t="shared" si="17"/>
        <v>204.79</v>
      </c>
      <c r="O162" s="411">
        <f t="shared" si="21"/>
        <v>67.003580000000028</v>
      </c>
      <c r="P162" s="132" t="s">
        <v>52</v>
      </c>
      <c r="Q162" s="232"/>
      <c r="R162" s="411"/>
      <c r="T162" s="134" t="s">
        <v>145</v>
      </c>
      <c r="U162" s="267" t="s">
        <v>452</v>
      </c>
      <c r="AA162" s="218"/>
    </row>
    <row r="163" spans="1:27" ht="24" x14ac:dyDescent="0.25">
      <c r="A163" s="405">
        <v>3000094</v>
      </c>
      <c r="B163" s="406">
        <v>42373</v>
      </c>
      <c r="C163" s="405" t="s">
        <v>42</v>
      </c>
      <c r="D163" s="401" t="s">
        <v>453</v>
      </c>
      <c r="E163" s="120">
        <v>50</v>
      </c>
      <c r="F163" s="133" t="s">
        <v>445</v>
      </c>
      <c r="G163" s="404" t="s">
        <v>45</v>
      </c>
      <c r="H163" s="411">
        <v>111.72</v>
      </c>
      <c r="I163" s="89">
        <f t="shared" si="26"/>
        <v>-10.0548</v>
      </c>
      <c r="J163" s="90">
        <f t="shared" si="27"/>
        <v>-2.4226799999999997</v>
      </c>
      <c r="K163" s="90">
        <f t="shared" si="25"/>
        <v>99.242519999999999</v>
      </c>
      <c r="L163" s="131">
        <v>1450</v>
      </c>
      <c r="M163" s="158">
        <v>23.25</v>
      </c>
      <c r="N163" s="91">
        <f t="shared" si="17"/>
        <v>95.75</v>
      </c>
      <c r="O163" s="411">
        <f t="shared" si="21"/>
        <v>3.492519999999999</v>
      </c>
      <c r="P163" s="132" t="s">
        <v>52</v>
      </c>
      <c r="Q163" s="232"/>
      <c r="R163" s="411"/>
      <c r="T163" s="134" t="s">
        <v>145</v>
      </c>
      <c r="U163" s="267" t="s">
        <v>454</v>
      </c>
      <c r="AA163" s="218"/>
    </row>
    <row r="164" spans="1:27" ht="24" x14ac:dyDescent="0.25">
      <c r="A164" s="405">
        <v>3000095</v>
      </c>
      <c r="B164" s="406">
        <v>42373</v>
      </c>
      <c r="C164" s="405" t="s">
        <v>42</v>
      </c>
      <c r="D164" s="401" t="s">
        <v>455</v>
      </c>
      <c r="E164" s="120">
        <v>250</v>
      </c>
      <c r="F164" s="133" t="s">
        <v>234</v>
      </c>
      <c r="G164" s="404" t="s">
        <v>45</v>
      </c>
      <c r="H164" s="411">
        <v>158.69999999999999</v>
      </c>
      <c r="I164" s="89">
        <f t="shared" si="26"/>
        <v>-14.282999999999998</v>
      </c>
      <c r="J164" s="90">
        <f t="shared" si="27"/>
        <v>-3.3152999999999997</v>
      </c>
      <c r="K164" s="90">
        <f t="shared" si="25"/>
        <v>141.10169999999999</v>
      </c>
      <c r="L164" s="158">
        <v>370</v>
      </c>
      <c r="M164" s="158">
        <v>32.479999999999997</v>
      </c>
      <c r="N164" s="91">
        <f t="shared" si="17"/>
        <v>124.97999999999999</v>
      </c>
      <c r="O164" s="411">
        <f t="shared" si="21"/>
        <v>16.121700000000004</v>
      </c>
      <c r="P164" s="132" t="s">
        <v>183</v>
      </c>
      <c r="Q164" s="232"/>
      <c r="R164" s="411"/>
      <c r="T164" s="134" t="s">
        <v>145</v>
      </c>
      <c r="U164" s="267" t="s">
        <v>456</v>
      </c>
      <c r="AA164" s="218"/>
    </row>
    <row r="165" spans="1:27" x14ac:dyDescent="0.25">
      <c r="A165" s="405">
        <v>3000096</v>
      </c>
      <c r="B165" s="406">
        <v>42373</v>
      </c>
      <c r="C165" s="405" t="s">
        <v>42</v>
      </c>
      <c r="D165" s="401" t="s">
        <v>457</v>
      </c>
      <c r="E165" s="120">
        <v>700</v>
      </c>
      <c r="F165" s="133" t="s">
        <v>165</v>
      </c>
      <c r="G165" s="404" t="s">
        <v>45</v>
      </c>
      <c r="H165" s="411">
        <v>697.45</v>
      </c>
      <c r="I165" s="89">
        <f t="shared" si="26"/>
        <v>-62.770499999999998</v>
      </c>
      <c r="J165" s="90">
        <f t="shared" si="27"/>
        <v>-13.551550000000001</v>
      </c>
      <c r="K165" s="90">
        <f t="shared" si="25"/>
        <v>621.12795000000006</v>
      </c>
      <c r="L165" s="131">
        <v>480</v>
      </c>
      <c r="M165" s="158">
        <v>168.28</v>
      </c>
      <c r="N165" s="91">
        <f t="shared" si="17"/>
        <v>504.28000000000009</v>
      </c>
      <c r="O165" s="411">
        <f t="shared" si="21"/>
        <v>116.84794999999997</v>
      </c>
      <c r="P165" s="132" t="s">
        <v>52</v>
      </c>
      <c r="Q165" s="232"/>
      <c r="R165" s="411"/>
      <c r="T165" s="134" t="s">
        <v>97</v>
      </c>
      <c r="U165" s="267" t="s">
        <v>458</v>
      </c>
      <c r="V165" s="133" t="s">
        <v>55</v>
      </c>
      <c r="AA165" s="218"/>
    </row>
    <row r="166" spans="1:27" ht="24" x14ac:dyDescent="0.25">
      <c r="A166" s="405">
        <v>3000097</v>
      </c>
      <c r="B166" s="406">
        <v>42373</v>
      </c>
      <c r="C166" s="405" t="s">
        <v>42</v>
      </c>
      <c r="D166" s="401" t="s">
        <v>459</v>
      </c>
      <c r="E166" s="120">
        <v>50</v>
      </c>
      <c r="F166" s="133" t="s">
        <v>448</v>
      </c>
      <c r="G166" s="404" t="s">
        <v>45</v>
      </c>
      <c r="H166" s="411">
        <v>292.89999999999998</v>
      </c>
      <c r="I166" s="89">
        <f t="shared" si="26"/>
        <v>-26.360999999999997</v>
      </c>
      <c r="J166" s="90">
        <f t="shared" si="27"/>
        <v>-5.8650999999999991</v>
      </c>
      <c r="K166" s="90">
        <f t="shared" si="25"/>
        <v>260.6739</v>
      </c>
      <c r="L166" s="158">
        <v>3600</v>
      </c>
      <c r="M166" s="158">
        <v>13.68</v>
      </c>
      <c r="N166" s="91">
        <f t="shared" si="17"/>
        <v>193.68</v>
      </c>
      <c r="O166" s="411">
        <f t="shared" si="21"/>
        <v>66.993899999999996</v>
      </c>
      <c r="P166" s="132" t="s">
        <v>183</v>
      </c>
      <c r="Q166" s="232"/>
      <c r="R166" s="411"/>
      <c r="T166" s="134" t="s">
        <v>145</v>
      </c>
      <c r="U166" s="267" t="s">
        <v>460</v>
      </c>
      <c r="AA166" s="218"/>
    </row>
    <row r="167" spans="1:27" x14ac:dyDescent="0.25">
      <c r="A167" s="405">
        <v>3000098</v>
      </c>
      <c r="B167" s="406">
        <v>42373</v>
      </c>
      <c r="C167" s="405" t="s">
        <v>42</v>
      </c>
      <c r="D167" s="401" t="s">
        <v>461</v>
      </c>
      <c r="E167" s="120">
        <v>1000</v>
      </c>
      <c r="F167" s="133" t="s">
        <v>462</v>
      </c>
      <c r="G167" s="404" t="s">
        <v>45</v>
      </c>
      <c r="H167" s="411">
        <f>788.5+30</f>
        <v>818.5</v>
      </c>
      <c r="I167" s="89">
        <f t="shared" si="26"/>
        <v>-73.664999999999992</v>
      </c>
      <c r="J167" s="90">
        <f t="shared" si="27"/>
        <v>-15.8515</v>
      </c>
      <c r="K167" s="90">
        <f t="shared" si="25"/>
        <v>728.98350000000005</v>
      </c>
      <c r="L167" s="158">
        <v>451</v>
      </c>
      <c r="M167" s="158">
        <v>99.15</v>
      </c>
      <c r="N167" s="91">
        <f t="shared" si="17"/>
        <v>550.15</v>
      </c>
      <c r="O167" s="411">
        <f t="shared" si="21"/>
        <v>178.83350000000007</v>
      </c>
      <c r="P167" s="132" t="s">
        <v>46</v>
      </c>
      <c r="Q167" s="232"/>
      <c r="R167" s="411"/>
      <c r="T167" s="134" t="s">
        <v>463</v>
      </c>
      <c r="U167" s="267" t="s">
        <v>464</v>
      </c>
      <c r="AA167" s="218"/>
    </row>
    <row r="168" spans="1:27" ht="24" x14ac:dyDescent="0.25">
      <c r="A168" s="405">
        <v>3000099</v>
      </c>
      <c r="B168" s="406">
        <v>42373</v>
      </c>
      <c r="C168" s="405" t="s">
        <v>42</v>
      </c>
      <c r="D168" s="401" t="s">
        <v>465</v>
      </c>
      <c r="E168" s="120">
        <v>250</v>
      </c>
      <c r="F168" s="119" t="s">
        <v>466</v>
      </c>
      <c r="G168" s="404" t="s">
        <v>45</v>
      </c>
      <c r="H168" s="411">
        <v>106.35</v>
      </c>
      <c r="I168" s="89">
        <f t="shared" si="26"/>
        <v>-9.5714999999999986</v>
      </c>
      <c r="J168" s="90">
        <f t="shared" si="27"/>
        <v>-2.3206499999999997</v>
      </c>
      <c r="K168" s="90">
        <f t="shared" si="25"/>
        <v>94.457849999999993</v>
      </c>
      <c r="L168" s="158">
        <v>240</v>
      </c>
      <c r="M168" s="158">
        <v>21.58</v>
      </c>
      <c r="N168" s="91">
        <f t="shared" si="17"/>
        <v>81.58</v>
      </c>
      <c r="O168" s="411">
        <f t="shared" si="21"/>
        <v>12.877849999999995</v>
      </c>
      <c r="P168" s="132" t="s">
        <v>313</v>
      </c>
      <c r="Q168" s="232"/>
      <c r="R168" s="411"/>
      <c r="T168" s="134" t="s">
        <v>314</v>
      </c>
      <c r="U168" s="267" t="s">
        <v>467</v>
      </c>
      <c r="V168" s="164"/>
      <c r="AA168" s="218"/>
    </row>
    <row r="169" spans="1:27" ht="24" x14ac:dyDescent="0.25">
      <c r="A169" s="405">
        <v>3000100</v>
      </c>
      <c r="B169" s="406">
        <v>42373</v>
      </c>
      <c r="C169" s="405" t="s">
        <v>42</v>
      </c>
      <c r="D169" s="401" t="s">
        <v>468</v>
      </c>
      <c r="E169" s="120">
        <v>50</v>
      </c>
      <c r="F169" s="133" t="s">
        <v>469</v>
      </c>
      <c r="G169" s="404" t="s">
        <v>45</v>
      </c>
      <c r="H169" s="411">
        <v>154.38</v>
      </c>
      <c r="I169" s="89">
        <f t="shared" si="26"/>
        <v>-13.8942</v>
      </c>
      <c r="J169" s="90">
        <f t="shared" si="27"/>
        <v>-3.2332199999999998</v>
      </c>
      <c r="K169" s="90">
        <f t="shared" si="25"/>
        <v>137.25257999999999</v>
      </c>
      <c r="L169" s="158">
        <v>2100</v>
      </c>
      <c r="M169" s="158">
        <v>24.28</v>
      </c>
      <c r="N169" s="91">
        <f t="shared" si="17"/>
        <v>129.28</v>
      </c>
      <c r="O169" s="411">
        <f t="shared" si="21"/>
        <v>7.9725799999999936</v>
      </c>
      <c r="P169" s="132" t="s">
        <v>183</v>
      </c>
      <c r="Q169" s="232"/>
      <c r="R169" s="411"/>
      <c r="T169" s="134" t="s">
        <v>145</v>
      </c>
      <c r="U169" s="267" t="s">
        <v>470</v>
      </c>
      <c r="AA169" s="218"/>
    </row>
    <row r="170" spans="1:27" ht="24" x14ac:dyDescent="0.25">
      <c r="A170" s="405">
        <v>3000101</v>
      </c>
      <c r="B170" s="406">
        <v>42373</v>
      </c>
      <c r="C170" s="405" t="s">
        <v>42</v>
      </c>
      <c r="D170" s="401" t="s">
        <v>471</v>
      </c>
      <c r="E170" s="120">
        <v>514</v>
      </c>
      <c r="F170" s="133" t="s">
        <v>472</v>
      </c>
      <c r="G170" s="404" t="s">
        <v>45</v>
      </c>
      <c r="H170" s="411">
        <v>413.08</v>
      </c>
      <c r="I170" s="89">
        <f t="shared" si="26"/>
        <v>-37.177199999999999</v>
      </c>
      <c r="J170" s="90">
        <f t="shared" si="27"/>
        <v>-8.1485199999999995</v>
      </c>
      <c r="K170" s="90">
        <f t="shared" si="25"/>
        <v>367.75427999999994</v>
      </c>
      <c r="L170" s="131">
        <v>200</v>
      </c>
      <c r="M170" s="187">
        <v>224.28</v>
      </c>
      <c r="N170" s="91">
        <f t="shared" si="17"/>
        <v>327.08</v>
      </c>
      <c r="O170" s="411">
        <f t="shared" si="21"/>
        <v>40.674279999999953</v>
      </c>
      <c r="P170" s="132" t="s">
        <v>86</v>
      </c>
      <c r="Q170" s="232"/>
      <c r="R170" s="411"/>
      <c r="T170" s="134" t="s">
        <v>473</v>
      </c>
      <c r="U170" s="267" t="s">
        <v>474</v>
      </c>
      <c r="V170" s="133" t="s">
        <v>55</v>
      </c>
      <c r="AA170" s="218"/>
    </row>
    <row r="171" spans="1:27" ht="24" x14ac:dyDescent="0.25">
      <c r="A171" s="405">
        <v>3000102</v>
      </c>
      <c r="B171" s="406">
        <v>42373</v>
      </c>
      <c r="C171" s="405" t="s">
        <v>42</v>
      </c>
      <c r="D171" s="401" t="s">
        <v>475</v>
      </c>
      <c r="E171" s="120">
        <v>50</v>
      </c>
      <c r="F171" s="133" t="s">
        <v>448</v>
      </c>
      <c r="G171" s="404" t="s">
        <v>45</v>
      </c>
      <c r="H171" s="411">
        <v>292.89999999999998</v>
      </c>
      <c r="I171" s="89">
        <f t="shared" si="26"/>
        <v>-26.360999999999997</v>
      </c>
      <c r="J171" s="90">
        <f t="shared" si="27"/>
        <v>-5.8650999999999991</v>
      </c>
      <c r="K171" s="90">
        <f t="shared" si="25"/>
        <v>260.6739</v>
      </c>
      <c r="L171" s="158">
        <v>3600</v>
      </c>
      <c r="M171" s="158">
        <v>22.49</v>
      </c>
      <c r="N171" s="91">
        <f t="shared" si="17"/>
        <v>202.49</v>
      </c>
      <c r="O171" s="411">
        <f t="shared" si="21"/>
        <v>58.183899999999994</v>
      </c>
      <c r="P171" s="132" t="s">
        <v>183</v>
      </c>
      <c r="Q171" s="232"/>
      <c r="R171" s="411"/>
      <c r="T171" s="134" t="s">
        <v>145</v>
      </c>
      <c r="U171" s="267" t="s">
        <v>476</v>
      </c>
      <c r="AA171" s="218"/>
    </row>
    <row r="172" spans="1:27" x14ac:dyDescent="0.25">
      <c r="A172" s="405">
        <v>3000103</v>
      </c>
      <c r="B172" s="406">
        <v>42373</v>
      </c>
      <c r="C172" s="405" t="s">
        <v>237</v>
      </c>
      <c r="D172" s="401" t="s">
        <v>477</v>
      </c>
      <c r="E172" s="120">
        <v>500</v>
      </c>
      <c r="F172" s="133" t="s">
        <v>478</v>
      </c>
      <c r="G172" s="404" t="s">
        <v>45</v>
      </c>
      <c r="H172" s="411">
        <v>167.05</v>
      </c>
      <c r="I172" s="89">
        <f t="shared" ref="I172" si="28">-(H172*0.15)</f>
        <v>-25.057500000000001</v>
      </c>
      <c r="J172" s="411">
        <v>0</v>
      </c>
      <c r="K172" s="90">
        <f t="shared" si="25"/>
        <v>141.99250000000001</v>
      </c>
      <c r="L172" s="158">
        <v>190.57</v>
      </c>
      <c r="M172" s="158">
        <v>18.93</v>
      </c>
      <c r="N172" s="91">
        <f t="shared" si="17"/>
        <v>114.215</v>
      </c>
      <c r="O172" s="411">
        <f t="shared" si="21"/>
        <v>27.777500000000003</v>
      </c>
      <c r="P172" s="132" t="s">
        <v>330</v>
      </c>
      <c r="Q172" s="232"/>
      <c r="R172" s="411"/>
      <c r="T172" s="134" t="s">
        <v>314</v>
      </c>
      <c r="U172" s="267" t="s">
        <v>479</v>
      </c>
      <c r="V172" s="164"/>
      <c r="AA172" s="218"/>
    </row>
    <row r="173" spans="1:27" ht="24" x14ac:dyDescent="0.25">
      <c r="A173" s="405">
        <v>3000104</v>
      </c>
      <c r="B173" s="406">
        <v>42373</v>
      </c>
      <c r="C173" s="405" t="s">
        <v>159</v>
      </c>
      <c r="D173" s="401" t="s">
        <v>480</v>
      </c>
      <c r="E173" s="120">
        <v>30</v>
      </c>
      <c r="F173" s="133" t="s">
        <v>481</v>
      </c>
      <c r="G173" s="404" t="s">
        <v>45</v>
      </c>
      <c r="H173" s="411">
        <v>34.799999999999997</v>
      </c>
      <c r="I173" s="411">
        <v>0</v>
      </c>
      <c r="J173" s="90">
        <f>-((H173*0.019)+0.3)</f>
        <v>-0.96119999999999983</v>
      </c>
      <c r="K173" s="90">
        <f t="shared" si="25"/>
        <v>33.838799999999999</v>
      </c>
      <c r="L173" s="158">
        <v>900</v>
      </c>
      <c r="M173" s="158">
        <v>8.48</v>
      </c>
      <c r="N173" s="91">
        <f t="shared" si="17"/>
        <v>35.480000000000004</v>
      </c>
      <c r="O173" s="411">
        <f t="shared" si="21"/>
        <v>-1.6412000000000049</v>
      </c>
      <c r="P173" s="132" t="s">
        <v>235</v>
      </c>
      <c r="Q173" s="232"/>
      <c r="R173" s="411"/>
      <c r="T173" s="134" t="s">
        <v>145</v>
      </c>
      <c r="U173" s="267" t="s">
        <v>482</v>
      </c>
      <c r="W173" s="153" t="s">
        <v>483</v>
      </c>
      <c r="AA173" s="218"/>
    </row>
    <row r="174" spans="1:27" ht="24" x14ac:dyDescent="0.25">
      <c r="A174" s="405">
        <v>3000105</v>
      </c>
      <c r="B174" s="406">
        <v>42373</v>
      </c>
      <c r="C174" s="405" t="s">
        <v>159</v>
      </c>
      <c r="D174" s="401" t="s">
        <v>484</v>
      </c>
      <c r="E174" s="120">
        <v>150</v>
      </c>
      <c r="F174" s="133" t="s">
        <v>485</v>
      </c>
      <c r="G174" s="404" t="s">
        <v>45</v>
      </c>
      <c r="H174" s="411">
        <v>180</v>
      </c>
      <c r="I174" s="411">
        <v>0</v>
      </c>
      <c r="J174" s="90">
        <f>-((H174*0.019)+0.3)</f>
        <v>-3.7199999999999998</v>
      </c>
      <c r="K174" s="90">
        <f t="shared" si="25"/>
        <v>176.28</v>
      </c>
      <c r="L174" s="131">
        <v>510</v>
      </c>
      <c r="M174" s="158">
        <v>42.08</v>
      </c>
      <c r="N174" s="91">
        <f t="shared" ref="N174:N237" si="29">((L174)*(E174*0.001))+M174</f>
        <v>118.58</v>
      </c>
      <c r="O174" s="411">
        <f t="shared" si="21"/>
        <v>57.7</v>
      </c>
      <c r="P174" s="132" t="s">
        <v>52</v>
      </c>
      <c r="Q174" s="232"/>
      <c r="R174" s="411"/>
      <c r="T174" s="134" t="s">
        <v>145</v>
      </c>
      <c r="U174" s="267" t="s">
        <v>486</v>
      </c>
      <c r="W174" s="153" t="s">
        <v>487</v>
      </c>
      <c r="AA174" s="218"/>
    </row>
    <row r="175" spans="1:27" ht="24" customHeight="1" x14ac:dyDescent="0.25">
      <c r="A175" s="419">
        <v>3000106</v>
      </c>
      <c r="B175" s="421">
        <v>42373</v>
      </c>
      <c r="C175" s="419" t="s">
        <v>159</v>
      </c>
      <c r="D175" s="417" t="s">
        <v>488</v>
      </c>
      <c r="E175" s="120">
        <v>50</v>
      </c>
      <c r="F175" s="133" t="s">
        <v>489</v>
      </c>
      <c r="G175" s="434" t="s">
        <v>45</v>
      </c>
      <c r="H175" s="427">
        <v>191</v>
      </c>
      <c r="I175" s="427">
        <v>0</v>
      </c>
      <c r="J175" s="425">
        <f>-((H175*0.019)+0.3)</f>
        <v>-3.9289999999999998</v>
      </c>
      <c r="K175" s="425">
        <f t="shared" si="25"/>
        <v>187.071</v>
      </c>
      <c r="L175" s="158">
        <v>828</v>
      </c>
      <c r="M175" s="158">
        <v>21.68</v>
      </c>
      <c r="N175" s="91">
        <f t="shared" si="29"/>
        <v>63.080000000000005</v>
      </c>
      <c r="O175" s="411">
        <f t="shared" si="21"/>
        <v>123.99099999999999</v>
      </c>
      <c r="P175" s="132" t="s">
        <v>183</v>
      </c>
      <c r="Q175" s="232"/>
      <c r="R175" s="411"/>
      <c r="T175" s="470" t="s">
        <v>145</v>
      </c>
      <c r="U175" s="267" t="s">
        <v>490</v>
      </c>
      <c r="W175" s="153" t="s">
        <v>491</v>
      </c>
      <c r="AA175" s="218"/>
    </row>
    <row r="176" spans="1:27" x14ac:dyDescent="0.25">
      <c r="A176" s="420"/>
      <c r="B176" s="422"/>
      <c r="C176" s="420"/>
      <c r="D176" s="418"/>
      <c r="E176" s="120">
        <v>50</v>
      </c>
      <c r="F176" s="133" t="s">
        <v>492</v>
      </c>
      <c r="G176" s="436"/>
      <c r="H176" s="428"/>
      <c r="I176" s="428"/>
      <c r="J176" s="426"/>
      <c r="K176" s="426"/>
      <c r="L176" s="131">
        <v>675</v>
      </c>
      <c r="M176" s="158">
        <v>26.17</v>
      </c>
      <c r="N176" s="91">
        <f t="shared" si="29"/>
        <v>59.92</v>
      </c>
      <c r="O176" s="411">
        <f t="shared" si="21"/>
        <v>-59.92</v>
      </c>
      <c r="P176" s="132" t="s">
        <v>52</v>
      </c>
      <c r="Q176" s="232"/>
      <c r="R176" s="411"/>
      <c r="T176" s="472"/>
      <c r="U176" s="267" t="s">
        <v>493</v>
      </c>
      <c r="V176" s="133" t="s">
        <v>494</v>
      </c>
      <c r="AA176" s="218"/>
    </row>
    <row r="177" spans="1:27" ht="24" x14ac:dyDescent="0.25">
      <c r="A177" s="405">
        <v>3000107</v>
      </c>
      <c r="B177" s="406">
        <v>42373</v>
      </c>
      <c r="C177" s="405" t="s">
        <v>159</v>
      </c>
      <c r="D177" s="401" t="s">
        <v>495</v>
      </c>
      <c r="E177" s="120">
        <v>12</v>
      </c>
      <c r="F177" s="133" t="s">
        <v>496</v>
      </c>
      <c r="G177" s="404" t="s">
        <v>45</v>
      </c>
      <c r="H177" s="411">
        <v>22.08</v>
      </c>
      <c r="I177" s="411">
        <v>0</v>
      </c>
      <c r="J177" s="90">
        <f>-((H177*0.019)+0.3)</f>
        <v>-0.71951999999999994</v>
      </c>
      <c r="K177" s="90">
        <f>SUM(H177:J177)</f>
        <v>21.360479999999999</v>
      </c>
      <c r="L177" s="158">
        <v>1650</v>
      </c>
      <c r="M177" s="158">
        <v>16.75</v>
      </c>
      <c r="N177" s="91">
        <f t="shared" si="29"/>
        <v>36.549999999999997</v>
      </c>
      <c r="O177" s="411">
        <f t="shared" si="21"/>
        <v>-15.189519999999998</v>
      </c>
      <c r="P177" s="132" t="s">
        <v>183</v>
      </c>
      <c r="Q177" s="232"/>
      <c r="R177" s="411"/>
      <c r="T177" s="134" t="s">
        <v>145</v>
      </c>
      <c r="U177" s="267" t="s">
        <v>497</v>
      </c>
      <c r="W177" s="153" t="s">
        <v>498</v>
      </c>
      <c r="AA177" s="218"/>
    </row>
    <row r="178" spans="1:27" ht="24" x14ac:dyDescent="0.25">
      <c r="A178" s="405">
        <v>3000108</v>
      </c>
      <c r="B178" s="406">
        <v>42373</v>
      </c>
      <c r="C178" s="405" t="s">
        <v>78</v>
      </c>
      <c r="D178" s="401" t="s">
        <v>499</v>
      </c>
      <c r="E178" s="120">
        <v>150</v>
      </c>
      <c r="F178" s="133" t="s">
        <v>431</v>
      </c>
      <c r="G178" s="404" t="s">
        <v>45</v>
      </c>
      <c r="H178" s="411">
        <v>392</v>
      </c>
      <c r="I178" s="411">
        <v>0</v>
      </c>
      <c r="J178" s="90">
        <f>-((H178*0.019)+0.3)</f>
        <v>-7.7479999999999993</v>
      </c>
      <c r="K178" s="90">
        <f>SUM(H178:J178)</f>
        <v>384.25200000000001</v>
      </c>
      <c r="L178" s="131">
        <v>1050</v>
      </c>
      <c r="M178" s="158">
        <v>37.6</v>
      </c>
      <c r="N178" s="91">
        <f t="shared" si="29"/>
        <v>195.1</v>
      </c>
      <c r="O178" s="411">
        <f t="shared" si="21"/>
        <v>189.15200000000002</v>
      </c>
      <c r="P178" s="132" t="s">
        <v>52</v>
      </c>
      <c r="Q178" s="232"/>
      <c r="R178" s="411"/>
      <c r="T178" s="134" t="s">
        <v>145</v>
      </c>
      <c r="U178" s="267" t="s">
        <v>500</v>
      </c>
      <c r="AA178" s="218"/>
    </row>
    <row r="179" spans="1:27" x14ac:dyDescent="0.25">
      <c r="A179" s="419">
        <v>3000109</v>
      </c>
      <c r="B179" s="421">
        <v>42373</v>
      </c>
      <c r="C179" s="419" t="s">
        <v>141</v>
      </c>
      <c r="D179" s="417" t="s">
        <v>501</v>
      </c>
      <c r="E179" s="120">
        <v>330</v>
      </c>
      <c r="F179" s="133" t="s">
        <v>161</v>
      </c>
      <c r="G179" s="434" t="s">
        <v>45</v>
      </c>
      <c r="H179" s="427">
        <v>1501.38</v>
      </c>
      <c r="I179" s="427">
        <v>0</v>
      </c>
      <c r="J179" s="425">
        <f>-((H179*0.0325)+0.3)</f>
        <v>-49.094850000000001</v>
      </c>
      <c r="K179" s="425">
        <f>SUM(H179:J179)</f>
        <v>1452.2851500000002</v>
      </c>
      <c r="L179" s="131">
        <v>1450</v>
      </c>
      <c r="M179" s="555">
        <v>103.18</v>
      </c>
      <c r="N179" s="91">
        <f t="shared" si="29"/>
        <v>581.68000000000006</v>
      </c>
      <c r="O179" s="411">
        <f t="shared" si="21"/>
        <v>870.60515000000009</v>
      </c>
      <c r="P179" s="132" t="s">
        <v>52</v>
      </c>
      <c r="Q179" s="232"/>
      <c r="R179" s="411">
        <v>122.38</v>
      </c>
      <c r="S179" s="133" t="s">
        <v>502</v>
      </c>
      <c r="T179" s="439" t="s">
        <v>503</v>
      </c>
      <c r="U179" s="481">
        <v>19249273</v>
      </c>
      <c r="V179" s="133" t="s">
        <v>55</v>
      </c>
      <c r="W179" s="153" t="s">
        <v>504</v>
      </c>
      <c r="AA179" s="218"/>
    </row>
    <row r="180" spans="1:27" x14ac:dyDescent="0.25">
      <c r="A180" s="420"/>
      <c r="B180" s="422"/>
      <c r="C180" s="420"/>
      <c r="D180" s="418"/>
      <c r="E180" s="120">
        <v>310</v>
      </c>
      <c r="F180" s="133" t="s">
        <v>431</v>
      </c>
      <c r="G180" s="436"/>
      <c r="H180" s="428"/>
      <c r="I180" s="428"/>
      <c r="J180" s="426"/>
      <c r="K180" s="426"/>
      <c r="L180" s="131">
        <v>1050</v>
      </c>
      <c r="M180" s="557"/>
      <c r="N180" s="91">
        <f t="shared" si="29"/>
        <v>325.5</v>
      </c>
      <c r="O180" s="411">
        <f t="shared" si="21"/>
        <v>-325.5</v>
      </c>
      <c r="P180" s="132" t="s">
        <v>52</v>
      </c>
      <c r="Q180" s="232"/>
      <c r="R180" s="411"/>
      <c r="T180" s="441"/>
      <c r="U180" s="483"/>
      <c r="AA180" s="218"/>
    </row>
    <row r="181" spans="1:27" ht="24" x14ac:dyDescent="0.25">
      <c r="A181" s="405">
        <v>3000110</v>
      </c>
      <c r="B181" s="406">
        <v>42373</v>
      </c>
      <c r="C181" s="405" t="s">
        <v>42</v>
      </c>
      <c r="D181" s="401" t="s">
        <v>505</v>
      </c>
      <c r="E181" s="120">
        <v>250</v>
      </c>
      <c r="F181" s="133" t="s">
        <v>506</v>
      </c>
      <c r="G181" s="404" t="s">
        <v>45</v>
      </c>
      <c r="H181" s="411">
        <v>357.9</v>
      </c>
      <c r="I181" s="89">
        <f t="shared" ref="I181" si="30">-(H181*0.09)</f>
        <v>-32.210999999999999</v>
      </c>
      <c r="J181" s="90">
        <f>-((H181*0.019)+0.3)</f>
        <v>-7.1000999999999994</v>
      </c>
      <c r="K181" s="90">
        <f t="shared" ref="K181:K195" si="31">SUM(H181:J181)</f>
        <v>318.58889999999997</v>
      </c>
      <c r="L181" s="131">
        <v>731</v>
      </c>
      <c r="M181" s="158">
        <v>37.549999999999997</v>
      </c>
      <c r="N181" s="91">
        <f t="shared" si="29"/>
        <v>220.3</v>
      </c>
      <c r="O181" s="411">
        <f t="shared" si="21"/>
        <v>98.288899999999956</v>
      </c>
      <c r="P181" s="132" t="s">
        <v>52</v>
      </c>
      <c r="Q181" s="232"/>
      <c r="R181" s="411"/>
      <c r="T181" s="134" t="s">
        <v>145</v>
      </c>
      <c r="U181" s="267" t="s">
        <v>507</v>
      </c>
      <c r="AA181" s="218"/>
    </row>
    <row r="182" spans="1:27" ht="24" x14ac:dyDescent="0.25">
      <c r="A182" s="405">
        <v>3000111</v>
      </c>
      <c r="B182" s="406">
        <v>42373</v>
      </c>
      <c r="C182" s="405" t="s">
        <v>63</v>
      </c>
      <c r="D182" s="401" t="s">
        <v>508</v>
      </c>
      <c r="E182" s="120">
        <v>32</v>
      </c>
      <c r="F182" s="133" t="s">
        <v>509</v>
      </c>
      <c r="G182" s="404" t="s">
        <v>45</v>
      </c>
      <c r="H182" s="411">
        <v>184</v>
      </c>
      <c r="I182" s="411">
        <v>0</v>
      </c>
      <c r="J182" s="90">
        <f>-((H182*0.022)+0.3)</f>
        <v>-4.3479999999999999</v>
      </c>
      <c r="K182" s="90">
        <f t="shared" si="31"/>
        <v>179.65199999999999</v>
      </c>
      <c r="L182" s="158">
        <v>650</v>
      </c>
      <c r="M182" s="158">
        <v>17.07</v>
      </c>
      <c r="N182" s="91">
        <f t="shared" si="29"/>
        <v>37.870000000000005</v>
      </c>
      <c r="O182" s="411">
        <f t="shared" si="21"/>
        <v>141.78199999999998</v>
      </c>
      <c r="P182" s="132" t="s">
        <v>183</v>
      </c>
      <c r="Q182" s="232"/>
      <c r="R182" s="411"/>
      <c r="T182" s="134" t="s">
        <v>204</v>
      </c>
      <c r="U182" s="266" t="s">
        <v>510</v>
      </c>
      <c r="W182" s="153" t="s">
        <v>511</v>
      </c>
      <c r="AA182" s="218"/>
    </row>
    <row r="183" spans="1:27" x14ac:dyDescent="0.25">
      <c r="A183" s="405">
        <v>3000112</v>
      </c>
      <c r="B183" s="406">
        <v>42373</v>
      </c>
      <c r="C183" s="405" t="s">
        <v>141</v>
      </c>
      <c r="D183" s="401" t="s">
        <v>512</v>
      </c>
      <c r="E183" s="120">
        <v>1000</v>
      </c>
      <c r="F183" s="133" t="s">
        <v>254</v>
      </c>
      <c r="G183" s="404" t="s">
        <v>45</v>
      </c>
      <c r="H183" s="411">
        <v>6150</v>
      </c>
      <c r="I183" s="411">
        <v>0</v>
      </c>
      <c r="J183" s="90">
        <f>-((H183*0.0325)+0.3)</f>
        <v>-200.17500000000001</v>
      </c>
      <c r="K183" s="90">
        <f t="shared" si="31"/>
        <v>5949.8249999999998</v>
      </c>
      <c r="L183" s="131">
        <v>4238</v>
      </c>
      <c r="M183" s="131">
        <v>0</v>
      </c>
      <c r="N183" s="91">
        <f t="shared" si="29"/>
        <v>4238</v>
      </c>
      <c r="O183" s="411">
        <f t="shared" si="21"/>
        <v>1711.8249999999998</v>
      </c>
      <c r="P183" s="132" t="s">
        <v>46</v>
      </c>
      <c r="Q183" s="232"/>
      <c r="R183" s="411"/>
      <c r="T183" s="134" t="s">
        <v>47</v>
      </c>
      <c r="U183" s="267" t="s">
        <v>255</v>
      </c>
      <c r="W183" s="153" t="s">
        <v>257</v>
      </c>
      <c r="AA183" s="218"/>
    </row>
    <row r="184" spans="1:27" ht="24" x14ac:dyDescent="0.25">
      <c r="A184" s="405">
        <v>3000113</v>
      </c>
      <c r="B184" s="406">
        <v>42373</v>
      </c>
      <c r="C184" s="405" t="s">
        <v>327</v>
      </c>
      <c r="D184" s="401" t="s">
        <v>513</v>
      </c>
      <c r="E184" s="120">
        <v>50</v>
      </c>
      <c r="F184" s="133" t="s">
        <v>288</v>
      </c>
      <c r="G184" s="404" t="s">
        <v>45</v>
      </c>
      <c r="H184" s="411">
        <v>99.18</v>
      </c>
      <c r="I184" s="411">
        <v>0</v>
      </c>
      <c r="J184" s="90">
        <f>-((H184*0.022)+0.3)</f>
        <v>-2.4819599999999999</v>
      </c>
      <c r="K184" s="90">
        <f t="shared" si="31"/>
        <v>96.698040000000006</v>
      </c>
      <c r="L184" s="131">
        <v>1069</v>
      </c>
      <c r="M184" s="158">
        <v>22.81</v>
      </c>
      <c r="N184" s="91">
        <f t="shared" si="29"/>
        <v>76.260000000000005</v>
      </c>
      <c r="O184" s="411">
        <f t="shared" si="21"/>
        <v>20.438040000000001</v>
      </c>
      <c r="P184" s="132" t="s">
        <v>52</v>
      </c>
      <c r="Q184" s="232"/>
      <c r="R184" s="411"/>
      <c r="T184" s="134" t="s">
        <v>145</v>
      </c>
      <c r="U184" s="267" t="s">
        <v>514</v>
      </c>
      <c r="W184" s="153" t="s">
        <v>515</v>
      </c>
      <c r="AA184" s="218"/>
    </row>
    <row r="185" spans="1:27" ht="24" x14ac:dyDescent="0.25">
      <c r="A185" s="405">
        <v>3000114</v>
      </c>
      <c r="B185" s="406">
        <v>42373</v>
      </c>
      <c r="C185" s="405" t="s">
        <v>141</v>
      </c>
      <c r="D185" s="401" t="s">
        <v>516</v>
      </c>
      <c r="E185" s="120">
        <v>200</v>
      </c>
      <c r="F185" s="133" t="s">
        <v>517</v>
      </c>
      <c r="G185" s="404" t="s">
        <v>45</v>
      </c>
      <c r="H185" s="411">
        <v>529</v>
      </c>
      <c r="I185" s="411">
        <v>0</v>
      </c>
      <c r="J185" s="90">
        <f>-((H185*0.0325)+0.3)</f>
        <v>-17.4925</v>
      </c>
      <c r="K185" s="90">
        <f t="shared" si="31"/>
        <v>511.50749999999999</v>
      </c>
      <c r="L185" s="158">
        <v>1500</v>
      </c>
      <c r="N185" s="91">
        <f t="shared" si="29"/>
        <v>300</v>
      </c>
      <c r="O185" s="411">
        <f t="shared" si="21"/>
        <v>211.50749999999999</v>
      </c>
      <c r="P185" s="132" t="s">
        <v>183</v>
      </c>
      <c r="Q185" s="232"/>
      <c r="R185" s="411"/>
      <c r="T185" s="134" t="s">
        <v>204</v>
      </c>
      <c r="U185" s="266" t="s">
        <v>518</v>
      </c>
      <c r="W185" s="153" t="s">
        <v>519</v>
      </c>
      <c r="AA185" s="218"/>
    </row>
    <row r="186" spans="1:27" ht="24" x14ac:dyDescent="0.25">
      <c r="A186" s="405">
        <v>3000115</v>
      </c>
      <c r="B186" s="406">
        <v>42374</v>
      </c>
      <c r="C186" s="405" t="s">
        <v>63</v>
      </c>
      <c r="D186" s="401" t="s">
        <v>520</v>
      </c>
      <c r="E186" s="120">
        <v>55</v>
      </c>
      <c r="F186" s="133" t="s">
        <v>521</v>
      </c>
      <c r="G186" s="404" t="s">
        <v>45</v>
      </c>
      <c r="H186" s="411">
        <v>434.5</v>
      </c>
      <c r="I186" s="411">
        <v>0</v>
      </c>
      <c r="J186" s="90">
        <f>-((H186*0.022)+0.3)</f>
        <v>-9.859</v>
      </c>
      <c r="K186" s="90">
        <f t="shared" si="31"/>
        <v>424.64100000000002</v>
      </c>
      <c r="L186" s="158">
        <v>4400</v>
      </c>
      <c r="M186" s="158">
        <v>17.07</v>
      </c>
      <c r="N186" s="91">
        <f t="shared" si="29"/>
        <v>259.07</v>
      </c>
      <c r="O186" s="411">
        <f t="shared" si="21"/>
        <v>165.57100000000003</v>
      </c>
      <c r="P186" s="132" t="s">
        <v>183</v>
      </c>
      <c r="Q186" s="232"/>
      <c r="R186" s="411"/>
      <c r="T186" s="134" t="s">
        <v>145</v>
      </c>
      <c r="U186" s="267" t="s">
        <v>522</v>
      </c>
      <c r="W186" s="153" t="s">
        <v>523</v>
      </c>
      <c r="AA186" s="218"/>
    </row>
    <row r="187" spans="1:27" ht="24" x14ac:dyDescent="0.25">
      <c r="A187" s="405">
        <v>3000116</v>
      </c>
      <c r="B187" s="406">
        <v>42374</v>
      </c>
      <c r="C187" s="405" t="s">
        <v>78</v>
      </c>
      <c r="D187" s="401" t="s">
        <v>524</v>
      </c>
      <c r="E187" s="120">
        <v>500</v>
      </c>
      <c r="F187" s="133" t="s">
        <v>525</v>
      </c>
      <c r="G187" s="404" t="s">
        <v>45</v>
      </c>
      <c r="H187" s="411">
        <v>2100</v>
      </c>
      <c r="I187" s="411">
        <v>0</v>
      </c>
      <c r="J187" s="90">
        <f>-((H187*0.019)+0.3)</f>
        <v>-40.199999999999996</v>
      </c>
      <c r="K187" s="90">
        <f t="shared" si="31"/>
        <v>2059.8000000000002</v>
      </c>
      <c r="L187" s="158">
        <v>3529</v>
      </c>
      <c r="M187" s="131">
        <v>0</v>
      </c>
      <c r="N187" s="91">
        <f t="shared" si="29"/>
        <v>1764.5</v>
      </c>
      <c r="O187" s="411">
        <f t="shared" si="21"/>
        <v>295.30000000000018</v>
      </c>
      <c r="P187" s="132" t="s">
        <v>59</v>
      </c>
      <c r="Q187" s="232"/>
      <c r="R187" s="411"/>
      <c r="T187" s="134" t="s">
        <v>260</v>
      </c>
      <c r="U187" s="266">
        <v>3512638964</v>
      </c>
      <c r="W187" s="153" t="s">
        <v>526</v>
      </c>
      <c r="AA187" s="218"/>
    </row>
    <row r="188" spans="1:27" x14ac:dyDescent="0.25">
      <c r="A188" s="405">
        <v>3000117</v>
      </c>
      <c r="B188" s="406">
        <v>42374</v>
      </c>
      <c r="C188" s="405" t="s">
        <v>159</v>
      </c>
      <c r="D188" s="401" t="s">
        <v>527</v>
      </c>
      <c r="E188" s="120">
        <v>251</v>
      </c>
      <c r="F188" s="133" t="s">
        <v>528</v>
      </c>
      <c r="G188" s="404" t="s">
        <v>45</v>
      </c>
      <c r="H188" s="411">
        <v>499.49</v>
      </c>
      <c r="I188" s="411">
        <v>0</v>
      </c>
      <c r="J188" s="90">
        <f>-((H188*0.019)+0.3)</f>
        <v>-9.7903099999999998</v>
      </c>
      <c r="K188" s="90">
        <f t="shared" si="31"/>
        <v>489.69969000000003</v>
      </c>
      <c r="L188" s="131">
        <v>1021</v>
      </c>
      <c r="M188" s="158">
        <v>155.86000000000001</v>
      </c>
      <c r="N188" s="91">
        <f t="shared" si="29"/>
        <v>412.13100000000003</v>
      </c>
      <c r="O188" s="411">
        <f t="shared" si="21"/>
        <v>77.568690000000004</v>
      </c>
      <c r="P188" s="132" t="s">
        <v>52</v>
      </c>
      <c r="Q188" s="232"/>
      <c r="R188" s="411"/>
      <c r="T188" s="134" t="s">
        <v>97</v>
      </c>
      <c r="U188" s="267" t="s">
        <v>529</v>
      </c>
      <c r="V188" s="133" t="s">
        <v>530</v>
      </c>
      <c r="W188" s="153" t="s">
        <v>531</v>
      </c>
      <c r="AA188" s="218"/>
    </row>
    <row r="189" spans="1:27" ht="24" x14ac:dyDescent="0.25">
      <c r="A189" s="405">
        <v>3000118</v>
      </c>
      <c r="B189" s="406">
        <v>42374</v>
      </c>
      <c r="C189" s="405" t="s">
        <v>63</v>
      </c>
      <c r="D189" s="401" t="s">
        <v>532</v>
      </c>
      <c r="E189" s="120">
        <v>200</v>
      </c>
      <c r="F189" s="133" t="s">
        <v>533</v>
      </c>
      <c r="G189" s="404" t="s">
        <v>45</v>
      </c>
      <c r="H189" s="411">
        <v>390</v>
      </c>
      <c r="I189" s="411">
        <v>0</v>
      </c>
      <c r="J189" s="90">
        <f>-((H189*0.022)+0.3)</f>
        <v>-8.8800000000000008</v>
      </c>
      <c r="K189" s="90">
        <f t="shared" si="31"/>
        <v>381.12</v>
      </c>
      <c r="M189" s="158">
        <v>58.55</v>
      </c>
      <c r="N189" s="91">
        <f t="shared" si="29"/>
        <v>58.55</v>
      </c>
      <c r="O189" s="411">
        <f t="shared" si="21"/>
        <v>322.57</v>
      </c>
      <c r="P189" s="132" t="s">
        <v>52</v>
      </c>
      <c r="Q189" s="232"/>
      <c r="R189" s="411"/>
      <c r="T189" s="134" t="s">
        <v>145</v>
      </c>
      <c r="U189" s="267" t="s">
        <v>534</v>
      </c>
      <c r="W189" s="153" t="s">
        <v>535</v>
      </c>
      <c r="AA189" s="218"/>
    </row>
    <row r="190" spans="1:27" ht="24" x14ac:dyDescent="0.25">
      <c r="A190" s="405">
        <v>3000119</v>
      </c>
      <c r="B190" s="406">
        <v>42374</v>
      </c>
      <c r="C190" s="405" t="s">
        <v>327</v>
      </c>
      <c r="D190" s="401" t="s">
        <v>536</v>
      </c>
      <c r="E190" s="120">
        <v>250</v>
      </c>
      <c r="F190" s="133" t="s">
        <v>537</v>
      </c>
      <c r="G190" s="404" t="s">
        <v>45</v>
      </c>
      <c r="H190" s="411">
        <v>120</v>
      </c>
      <c r="I190" s="411">
        <v>0</v>
      </c>
      <c r="J190" s="90">
        <f>-((H190*0.022)+0.3)</f>
        <v>-2.9399999999999995</v>
      </c>
      <c r="K190" s="90">
        <f t="shared" si="31"/>
        <v>117.06</v>
      </c>
      <c r="L190" s="158">
        <v>264</v>
      </c>
      <c r="M190" s="158">
        <v>31.05</v>
      </c>
      <c r="N190" s="91">
        <f t="shared" si="29"/>
        <v>97.05</v>
      </c>
      <c r="O190" s="411">
        <f t="shared" si="21"/>
        <v>20.010000000000005</v>
      </c>
      <c r="P190" s="132" t="s">
        <v>183</v>
      </c>
      <c r="Q190" s="232"/>
      <c r="R190" s="411"/>
      <c r="T190" s="134" t="s">
        <v>145</v>
      </c>
      <c r="U190" s="267" t="s">
        <v>538</v>
      </c>
      <c r="W190" s="153" t="s">
        <v>539</v>
      </c>
      <c r="AA190" s="218"/>
    </row>
    <row r="191" spans="1:27" ht="24" x14ac:dyDescent="0.25">
      <c r="A191" s="405">
        <v>3000120</v>
      </c>
      <c r="B191" s="406">
        <v>42374</v>
      </c>
      <c r="C191" s="405" t="s">
        <v>42</v>
      </c>
      <c r="D191" s="401" t="s">
        <v>540</v>
      </c>
      <c r="E191" s="120">
        <v>100</v>
      </c>
      <c r="F191" s="133" t="s">
        <v>161</v>
      </c>
      <c r="G191" s="404" t="s">
        <v>45</v>
      </c>
      <c r="H191" s="411">
        <v>235</v>
      </c>
      <c r="I191" s="89">
        <f t="shared" ref="I191:I194" si="32">-(H191*0.09)</f>
        <v>-21.15</v>
      </c>
      <c r="J191" s="90">
        <f>-((H191*0.019)+0.3)</f>
        <v>-4.7649999999999997</v>
      </c>
      <c r="K191" s="90">
        <f t="shared" si="31"/>
        <v>209.08500000000001</v>
      </c>
      <c r="L191" s="131">
        <v>1450</v>
      </c>
      <c r="M191" s="158">
        <v>45.58</v>
      </c>
      <c r="N191" s="91">
        <f t="shared" si="29"/>
        <v>190.57999999999998</v>
      </c>
      <c r="O191" s="411">
        <f t="shared" si="21"/>
        <v>18.505000000000024</v>
      </c>
      <c r="P191" s="132" t="s">
        <v>52</v>
      </c>
      <c r="Q191" s="232"/>
      <c r="R191" s="411"/>
      <c r="T191" s="134" t="s">
        <v>145</v>
      </c>
      <c r="U191" s="267" t="s">
        <v>541</v>
      </c>
      <c r="AA191" s="218"/>
    </row>
    <row r="192" spans="1:27" ht="24" x14ac:dyDescent="0.25">
      <c r="A192" s="405">
        <v>3000121</v>
      </c>
      <c r="B192" s="406">
        <v>42374</v>
      </c>
      <c r="C192" s="405" t="s">
        <v>42</v>
      </c>
      <c r="D192" s="401" t="s">
        <v>542</v>
      </c>
      <c r="E192" s="120">
        <v>250</v>
      </c>
      <c r="F192" s="133" t="s">
        <v>543</v>
      </c>
      <c r="G192" s="404" t="s">
        <v>45</v>
      </c>
      <c r="H192" s="411">
        <v>299</v>
      </c>
      <c r="I192" s="89">
        <f t="shared" si="32"/>
        <v>-26.91</v>
      </c>
      <c r="J192" s="90">
        <f>-((H192*0.019)+0.3)</f>
        <v>-5.9809999999999999</v>
      </c>
      <c r="K192" s="90">
        <f t="shared" si="31"/>
        <v>266.10899999999998</v>
      </c>
      <c r="L192" s="158">
        <v>390.13</v>
      </c>
      <c r="M192" s="158">
        <v>29.05</v>
      </c>
      <c r="N192" s="91">
        <f t="shared" si="29"/>
        <v>126.5825</v>
      </c>
      <c r="O192" s="411">
        <f t="shared" si="21"/>
        <v>139.5265</v>
      </c>
      <c r="P192" s="132" t="s">
        <v>330</v>
      </c>
      <c r="Q192" s="232"/>
      <c r="R192" s="411"/>
      <c r="T192" s="134" t="s">
        <v>324</v>
      </c>
      <c r="U192" s="266" t="s">
        <v>544</v>
      </c>
      <c r="AA192" s="218"/>
    </row>
    <row r="193" spans="1:27" ht="24" x14ac:dyDescent="0.25">
      <c r="A193" s="405">
        <v>3000122</v>
      </c>
      <c r="B193" s="406">
        <v>42374</v>
      </c>
      <c r="C193" s="405" t="s">
        <v>42</v>
      </c>
      <c r="D193" s="401" t="s">
        <v>545</v>
      </c>
      <c r="E193" s="120">
        <v>100</v>
      </c>
      <c r="F193" s="133" t="s">
        <v>546</v>
      </c>
      <c r="G193" s="404" t="s">
        <v>45</v>
      </c>
      <c r="H193" s="411">
        <v>266.8</v>
      </c>
      <c r="I193" s="89">
        <f t="shared" si="32"/>
        <v>-24.012</v>
      </c>
      <c r="J193" s="90">
        <f>-((H193*0.019)+0.3)</f>
        <v>-5.3692000000000002</v>
      </c>
      <c r="K193" s="90">
        <f t="shared" si="31"/>
        <v>237.4188</v>
      </c>
      <c r="L193" s="131">
        <v>950</v>
      </c>
      <c r="M193" s="158">
        <v>33.42</v>
      </c>
      <c r="N193" s="91">
        <f t="shared" si="29"/>
        <v>128.42000000000002</v>
      </c>
      <c r="O193" s="411">
        <f t="shared" si="21"/>
        <v>108.99879999999999</v>
      </c>
      <c r="P193" s="132" t="s">
        <v>52</v>
      </c>
      <c r="Q193" s="232"/>
      <c r="R193" s="411"/>
      <c r="T193" s="134" t="s">
        <v>145</v>
      </c>
      <c r="U193" s="267" t="s">
        <v>547</v>
      </c>
      <c r="AA193" s="218"/>
    </row>
    <row r="194" spans="1:27" ht="24" x14ac:dyDescent="0.25">
      <c r="A194" s="405">
        <v>3000123</v>
      </c>
      <c r="B194" s="406">
        <v>42374</v>
      </c>
      <c r="C194" s="405" t="s">
        <v>42</v>
      </c>
      <c r="D194" s="401" t="s">
        <v>548</v>
      </c>
      <c r="E194" s="120">
        <v>25</v>
      </c>
      <c r="F194" s="133" t="s">
        <v>549</v>
      </c>
      <c r="G194" s="404" t="s">
        <v>45</v>
      </c>
      <c r="H194" s="411">
        <v>167.91</v>
      </c>
      <c r="I194" s="89">
        <f t="shared" si="32"/>
        <v>-15.111899999999999</v>
      </c>
      <c r="J194" s="90">
        <f>-((H194*0.019)+0.3)</f>
        <v>-3.4902899999999999</v>
      </c>
      <c r="K194" s="90">
        <f t="shared" si="31"/>
        <v>149.30781000000002</v>
      </c>
      <c r="L194" s="158">
        <v>3340</v>
      </c>
      <c r="M194" s="158">
        <v>14.14</v>
      </c>
      <c r="N194" s="91">
        <f t="shared" si="29"/>
        <v>97.64</v>
      </c>
      <c r="O194" s="411">
        <f t="shared" si="21"/>
        <v>51.667810000000017</v>
      </c>
      <c r="P194" s="132" t="s">
        <v>183</v>
      </c>
      <c r="Q194" s="232"/>
      <c r="R194" s="411"/>
      <c r="T194" s="134" t="s">
        <v>145</v>
      </c>
      <c r="U194" s="267" t="s">
        <v>550</v>
      </c>
      <c r="AA194" s="218"/>
    </row>
    <row r="195" spans="1:27" x14ac:dyDescent="0.25">
      <c r="A195" s="419">
        <v>3000124</v>
      </c>
      <c r="B195" s="421">
        <v>42374</v>
      </c>
      <c r="C195" s="419" t="s">
        <v>56</v>
      </c>
      <c r="D195" s="417" t="s">
        <v>57</v>
      </c>
      <c r="E195" s="120">
        <v>1900</v>
      </c>
      <c r="F195" s="133" t="s">
        <v>70</v>
      </c>
      <c r="G195" s="434" t="s">
        <v>45</v>
      </c>
      <c r="H195" s="427">
        <v>10948.55</v>
      </c>
      <c r="I195" s="427">
        <v>0</v>
      </c>
      <c r="J195" s="427">
        <v>0</v>
      </c>
      <c r="K195" s="425">
        <f t="shared" si="31"/>
        <v>10948.55</v>
      </c>
      <c r="L195" s="131">
        <v>1540</v>
      </c>
      <c r="M195" s="553">
        <v>533.46</v>
      </c>
      <c r="N195" s="91">
        <f t="shared" si="29"/>
        <v>3459.46</v>
      </c>
      <c r="O195" s="411"/>
      <c r="P195" s="132" t="s">
        <v>52</v>
      </c>
      <c r="Q195" s="232"/>
      <c r="R195" s="411"/>
      <c r="T195" s="439" t="s">
        <v>364</v>
      </c>
      <c r="U195" s="446" t="s">
        <v>551</v>
      </c>
      <c r="V195" s="133" t="s">
        <v>55</v>
      </c>
      <c r="W195" s="153" t="s">
        <v>552</v>
      </c>
      <c r="AA195" s="218"/>
    </row>
    <row r="196" spans="1:27" x14ac:dyDescent="0.25">
      <c r="A196" s="432"/>
      <c r="B196" s="433"/>
      <c r="C196" s="432"/>
      <c r="D196" s="454"/>
      <c r="E196" s="120">
        <v>2200</v>
      </c>
      <c r="F196" s="133" t="s">
        <v>165</v>
      </c>
      <c r="G196" s="435"/>
      <c r="H196" s="438"/>
      <c r="I196" s="438"/>
      <c r="J196" s="438"/>
      <c r="K196" s="437"/>
      <c r="L196" s="131">
        <v>480</v>
      </c>
      <c r="M196" s="564"/>
      <c r="N196" s="91">
        <f t="shared" si="29"/>
        <v>1056</v>
      </c>
      <c r="O196" s="411"/>
      <c r="P196" s="132" t="s">
        <v>52</v>
      </c>
      <c r="Q196" s="232"/>
      <c r="R196" s="411"/>
      <c r="T196" s="440"/>
      <c r="U196" s="448"/>
      <c r="V196" s="133" t="s">
        <v>553</v>
      </c>
      <c r="AA196" s="218"/>
    </row>
    <row r="197" spans="1:27" x14ac:dyDescent="0.25">
      <c r="A197" s="420"/>
      <c r="B197" s="422"/>
      <c r="C197" s="420"/>
      <c r="D197" s="418"/>
      <c r="E197" s="120">
        <v>2857</v>
      </c>
      <c r="F197" s="133" t="s">
        <v>554</v>
      </c>
      <c r="G197" s="436"/>
      <c r="H197" s="428"/>
      <c r="I197" s="428"/>
      <c r="J197" s="428"/>
      <c r="K197" s="426"/>
      <c r="L197" s="131">
        <v>835</v>
      </c>
      <c r="M197" s="554"/>
      <c r="N197" s="91">
        <f t="shared" si="29"/>
        <v>2385.5950000000003</v>
      </c>
      <c r="O197" s="411"/>
      <c r="P197" s="132" t="s">
        <v>52</v>
      </c>
      <c r="Q197" s="232"/>
      <c r="R197" s="411"/>
      <c r="T197" s="441"/>
      <c r="U197" s="447"/>
      <c r="AA197" s="218"/>
    </row>
    <row r="198" spans="1:27" x14ac:dyDescent="0.25">
      <c r="A198" s="419">
        <v>3000125</v>
      </c>
      <c r="B198" s="421">
        <v>42374</v>
      </c>
      <c r="C198" s="419" t="s">
        <v>555</v>
      </c>
      <c r="D198" s="417" t="s">
        <v>556</v>
      </c>
      <c r="E198" s="120">
        <v>821</v>
      </c>
      <c r="F198" s="133" t="s">
        <v>557</v>
      </c>
      <c r="G198" s="434" t="s">
        <v>45</v>
      </c>
      <c r="H198" s="427">
        <v>3990.83</v>
      </c>
      <c r="I198" s="427">
        <v>0</v>
      </c>
      <c r="J198" s="427">
        <v>0</v>
      </c>
      <c r="K198" s="425">
        <f>SUM(H198:J198)</f>
        <v>3990.83</v>
      </c>
      <c r="L198" s="158">
        <v>1050</v>
      </c>
      <c r="M198" s="158">
        <v>104.75</v>
      </c>
      <c r="N198" s="91">
        <f t="shared" si="29"/>
        <v>966.80000000000007</v>
      </c>
      <c r="O198" s="411">
        <f t="shared" si="21"/>
        <v>3024.0299999999997</v>
      </c>
      <c r="P198" s="132" t="s">
        <v>235</v>
      </c>
      <c r="Q198" s="232"/>
      <c r="R198" s="411"/>
      <c r="T198" s="169" t="s">
        <v>558</v>
      </c>
      <c r="U198" s="301">
        <v>735768297</v>
      </c>
      <c r="V198" s="133" t="s">
        <v>55</v>
      </c>
      <c r="AA198" s="218"/>
    </row>
    <row r="199" spans="1:27" x14ac:dyDescent="0.25">
      <c r="A199" s="432"/>
      <c r="B199" s="433"/>
      <c r="C199" s="432"/>
      <c r="D199" s="454"/>
      <c r="E199" s="120">
        <v>985</v>
      </c>
      <c r="F199" s="133" t="s">
        <v>559</v>
      </c>
      <c r="G199" s="435"/>
      <c r="H199" s="438"/>
      <c r="I199" s="438"/>
      <c r="J199" s="438"/>
      <c r="K199" s="437"/>
      <c r="L199" s="158">
        <v>712</v>
      </c>
      <c r="M199" s="555">
        <v>91.97</v>
      </c>
      <c r="N199" s="91">
        <f t="shared" si="29"/>
        <v>793.29</v>
      </c>
      <c r="O199" s="411">
        <f t="shared" si="21"/>
        <v>-793.29</v>
      </c>
      <c r="P199" s="132" t="s">
        <v>313</v>
      </c>
      <c r="Q199" s="232"/>
      <c r="R199" s="411"/>
      <c r="T199" s="439" t="s">
        <v>244</v>
      </c>
      <c r="U199" s="446" t="s">
        <v>560</v>
      </c>
      <c r="AA199" s="218"/>
    </row>
    <row r="200" spans="1:27" x14ac:dyDescent="0.25">
      <c r="A200" s="432"/>
      <c r="B200" s="433"/>
      <c r="C200" s="432"/>
      <c r="D200" s="454"/>
      <c r="E200" s="120">
        <v>328</v>
      </c>
      <c r="F200" s="133" t="s">
        <v>561</v>
      </c>
      <c r="G200" s="435"/>
      <c r="H200" s="438"/>
      <c r="I200" s="438"/>
      <c r="J200" s="438"/>
      <c r="K200" s="437"/>
      <c r="L200" s="158">
        <v>2832</v>
      </c>
      <c r="M200" s="556"/>
      <c r="N200" s="91">
        <f t="shared" si="29"/>
        <v>928.89600000000007</v>
      </c>
      <c r="O200" s="411">
        <f t="shared" si="21"/>
        <v>-928.89600000000007</v>
      </c>
      <c r="P200" s="132" t="s">
        <v>313</v>
      </c>
      <c r="Q200" s="232"/>
      <c r="R200" s="411"/>
      <c r="T200" s="440"/>
      <c r="U200" s="448"/>
      <c r="AA200" s="218"/>
    </row>
    <row r="201" spans="1:27" x14ac:dyDescent="0.25">
      <c r="A201" s="432"/>
      <c r="B201" s="433"/>
      <c r="C201" s="432"/>
      <c r="D201" s="454"/>
      <c r="E201" s="120">
        <v>164</v>
      </c>
      <c r="F201" s="133" t="s">
        <v>562</v>
      </c>
      <c r="G201" s="435"/>
      <c r="H201" s="438"/>
      <c r="I201" s="438"/>
      <c r="J201" s="438"/>
      <c r="K201" s="437"/>
      <c r="L201" s="158">
        <v>1456</v>
      </c>
      <c r="M201" s="556"/>
      <c r="N201" s="91">
        <f t="shared" si="29"/>
        <v>238.78400000000002</v>
      </c>
      <c r="O201" s="411">
        <f t="shared" si="21"/>
        <v>-238.78400000000002</v>
      </c>
      <c r="P201" s="132" t="s">
        <v>313</v>
      </c>
      <c r="Q201" s="232"/>
      <c r="R201" s="411"/>
      <c r="T201" s="440"/>
      <c r="U201" s="448"/>
      <c r="AA201" s="218"/>
    </row>
    <row r="202" spans="1:27" x14ac:dyDescent="0.25">
      <c r="A202" s="420"/>
      <c r="B202" s="422"/>
      <c r="C202" s="420"/>
      <c r="D202" s="418"/>
      <c r="E202" s="120">
        <v>164</v>
      </c>
      <c r="F202" s="133" t="s">
        <v>563</v>
      </c>
      <c r="G202" s="436"/>
      <c r="H202" s="428"/>
      <c r="I202" s="428"/>
      <c r="J202" s="428"/>
      <c r="K202" s="426"/>
      <c r="L202" s="158">
        <v>1072</v>
      </c>
      <c r="M202" s="557"/>
      <c r="N202" s="91">
        <f t="shared" si="29"/>
        <v>175.80800000000002</v>
      </c>
      <c r="O202" s="411">
        <f t="shared" si="21"/>
        <v>-175.80800000000002</v>
      </c>
      <c r="P202" s="132" t="s">
        <v>313</v>
      </c>
      <c r="Q202" s="232"/>
      <c r="R202" s="411"/>
      <c r="T202" s="441"/>
      <c r="U202" s="447"/>
      <c r="AA202" s="218"/>
    </row>
    <row r="203" spans="1:27" x14ac:dyDescent="0.25">
      <c r="A203" s="405">
        <v>3000126</v>
      </c>
      <c r="B203" s="406">
        <v>42374</v>
      </c>
      <c r="C203" s="405" t="s">
        <v>42</v>
      </c>
      <c r="D203" s="401" t="s">
        <v>564</v>
      </c>
      <c r="E203" s="120">
        <v>350</v>
      </c>
      <c r="F203" s="133" t="s">
        <v>51</v>
      </c>
      <c r="G203" s="404" t="s">
        <v>45</v>
      </c>
      <c r="H203" s="411">
        <v>755.58</v>
      </c>
      <c r="I203" s="89">
        <f t="shared" ref="I203:I204" si="33">-(H203*0.09)</f>
        <v>-68.002200000000002</v>
      </c>
      <c r="J203" s="90">
        <f>-((H203*0.019)+0.3)</f>
        <v>-14.656020000000002</v>
      </c>
      <c r="K203" s="90">
        <f>SUM(H203:J203)</f>
        <v>672.92178000000001</v>
      </c>
      <c r="L203" s="131">
        <v>1015</v>
      </c>
      <c r="M203" s="158">
        <v>104.73</v>
      </c>
      <c r="N203" s="91">
        <f t="shared" si="29"/>
        <v>459.98000000000008</v>
      </c>
      <c r="O203" s="411">
        <f t="shared" ref="O203:O266" si="34">K203-N203</f>
        <v>212.94177999999994</v>
      </c>
      <c r="P203" s="132" t="s">
        <v>52</v>
      </c>
      <c r="Q203" s="232"/>
      <c r="R203" s="411"/>
      <c r="T203" s="134" t="s">
        <v>565</v>
      </c>
      <c r="U203" s="267" t="s">
        <v>566</v>
      </c>
      <c r="AA203" s="218"/>
    </row>
    <row r="204" spans="1:27" ht="24" x14ac:dyDescent="0.25">
      <c r="A204" s="405">
        <v>3000127</v>
      </c>
      <c r="B204" s="406">
        <v>42374</v>
      </c>
      <c r="C204" s="405" t="s">
        <v>42</v>
      </c>
      <c r="D204" s="401" t="s">
        <v>567</v>
      </c>
      <c r="E204" s="120">
        <v>100</v>
      </c>
      <c r="F204" s="133" t="s">
        <v>485</v>
      </c>
      <c r="G204" s="404" t="s">
        <v>45</v>
      </c>
      <c r="H204" s="411">
        <v>124.73</v>
      </c>
      <c r="I204" s="89">
        <f t="shared" si="33"/>
        <v>-11.2257</v>
      </c>
      <c r="J204" s="90">
        <f>-((H204*0.019)+0.3)</f>
        <v>-2.66987</v>
      </c>
      <c r="K204" s="90">
        <f>SUM(H204:J204)</f>
        <v>110.83443</v>
      </c>
      <c r="L204" s="131">
        <v>510</v>
      </c>
      <c r="M204" s="158">
        <v>32.72</v>
      </c>
      <c r="N204" s="91">
        <f t="shared" si="29"/>
        <v>83.72</v>
      </c>
      <c r="O204" s="411">
        <f t="shared" si="34"/>
        <v>27.114429999999999</v>
      </c>
      <c r="P204" s="132" t="s">
        <v>52</v>
      </c>
      <c r="Q204" s="232"/>
      <c r="R204" s="411"/>
      <c r="T204" s="134" t="s">
        <v>145</v>
      </c>
      <c r="U204" s="267" t="s">
        <v>568</v>
      </c>
      <c r="AA204" s="218"/>
    </row>
    <row r="205" spans="1:27" ht="24" x14ac:dyDescent="0.25">
      <c r="A205" s="405">
        <v>3000128</v>
      </c>
      <c r="B205" s="406">
        <v>42374</v>
      </c>
      <c r="C205" s="405" t="s">
        <v>159</v>
      </c>
      <c r="D205" s="401" t="s">
        <v>569</v>
      </c>
      <c r="E205" s="120">
        <v>100</v>
      </c>
      <c r="F205" s="133" t="s">
        <v>570</v>
      </c>
      <c r="G205" s="404" t="s">
        <v>45</v>
      </c>
      <c r="H205" s="411">
        <v>154</v>
      </c>
      <c r="I205" s="411">
        <v>0</v>
      </c>
      <c r="J205" s="90">
        <f>-((H205*0.019)+0.3)</f>
        <v>-3.2259999999999995</v>
      </c>
      <c r="K205" s="90">
        <f>SUM(H205:J205)</f>
        <v>150.774</v>
      </c>
      <c r="L205" s="158">
        <v>876</v>
      </c>
      <c r="M205" s="158">
        <v>40.58</v>
      </c>
      <c r="N205" s="91">
        <f t="shared" si="29"/>
        <v>128.18</v>
      </c>
      <c r="O205" s="411">
        <f t="shared" si="34"/>
        <v>22.593999999999994</v>
      </c>
      <c r="P205" s="132" t="s">
        <v>183</v>
      </c>
      <c r="Q205" s="232"/>
      <c r="R205" s="411"/>
      <c r="T205" s="134" t="s">
        <v>145</v>
      </c>
      <c r="U205" s="267" t="s">
        <v>571</v>
      </c>
      <c r="W205" s="153" t="s">
        <v>572</v>
      </c>
      <c r="AA205" s="218"/>
    </row>
    <row r="206" spans="1:27" x14ac:dyDescent="0.25">
      <c r="A206" s="419">
        <v>3000129</v>
      </c>
      <c r="B206" s="421">
        <v>42374</v>
      </c>
      <c r="C206" s="419" t="s">
        <v>573</v>
      </c>
      <c r="D206" s="417" t="s">
        <v>574</v>
      </c>
      <c r="E206" s="120">
        <v>1400</v>
      </c>
      <c r="F206" s="133" t="s">
        <v>575</v>
      </c>
      <c r="G206" s="434" t="s">
        <v>45</v>
      </c>
      <c r="H206" s="427">
        <v>3718.4</v>
      </c>
      <c r="I206" s="427">
        <v>0</v>
      </c>
      <c r="J206" s="427">
        <v>0</v>
      </c>
      <c r="K206" s="425">
        <f>SUM(H206:J206)</f>
        <v>3718.4</v>
      </c>
      <c r="L206" s="158">
        <v>857</v>
      </c>
      <c r="M206" s="553">
        <v>224.7</v>
      </c>
      <c r="N206" s="91">
        <f t="shared" si="29"/>
        <v>1424.5000000000002</v>
      </c>
      <c r="O206" s="411">
        <f t="shared" si="34"/>
        <v>2293.8999999999996</v>
      </c>
      <c r="P206" s="132" t="s">
        <v>183</v>
      </c>
      <c r="Q206" s="232"/>
      <c r="R206" s="411"/>
      <c r="T206" s="439" t="s">
        <v>576</v>
      </c>
      <c r="U206" s="505">
        <v>887918167</v>
      </c>
      <c r="W206" s="153" t="s">
        <v>577</v>
      </c>
      <c r="AA206" s="218"/>
    </row>
    <row r="207" spans="1:27" x14ac:dyDescent="0.25">
      <c r="A207" s="432"/>
      <c r="B207" s="433"/>
      <c r="C207" s="432"/>
      <c r="D207" s="454"/>
      <c r="E207" s="120">
        <v>1200</v>
      </c>
      <c r="F207" s="133" t="s">
        <v>290</v>
      </c>
      <c r="G207" s="435"/>
      <c r="H207" s="438"/>
      <c r="I207" s="438"/>
      <c r="J207" s="438"/>
      <c r="K207" s="437"/>
      <c r="L207" s="158">
        <v>368</v>
      </c>
      <c r="M207" s="564"/>
      <c r="N207" s="91">
        <f t="shared" si="29"/>
        <v>441.59999999999997</v>
      </c>
      <c r="O207" s="411">
        <f t="shared" si="34"/>
        <v>-441.59999999999997</v>
      </c>
      <c r="P207" s="132" t="s">
        <v>183</v>
      </c>
      <c r="Q207" s="232"/>
      <c r="R207" s="411"/>
      <c r="T207" s="440"/>
      <c r="U207" s="506"/>
      <c r="V207" s="133" t="s">
        <v>578</v>
      </c>
      <c r="AA207" s="218"/>
    </row>
    <row r="208" spans="1:27" x14ac:dyDescent="0.25">
      <c r="A208" s="432"/>
      <c r="B208" s="433"/>
      <c r="C208" s="432"/>
      <c r="D208" s="454"/>
      <c r="E208" s="120">
        <v>1500</v>
      </c>
      <c r="F208" s="133" t="s">
        <v>472</v>
      </c>
      <c r="G208" s="435"/>
      <c r="H208" s="438"/>
      <c r="I208" s="438"/>
      <c r="J208" s="438"/>
      <c r="K208" s="437"/>
      <c r="L208" s="158">
        <v>457</v>
      </c>
      <c r="M208" s="564"/>
      <c r="N208" s="91">
        <f t="shared" si="29"/>
        <v>685.5</v>
      </c>
      <c r="O208" s="411">
        <f t="shared" si="34"/>
        <v>-685.5</v>
      </c>
      <c r="P208" s="132" t="s">
        <v>183</v>
      </c>
      <c r="Q208" s="232"/>
      <c r="R208" s="411"/>
      <c r="T208" s="440"/>
      <c r="U208" s="506"/>
      <c r="V208" s="133" t="s">
        <v>579</v>
      </c>
      <c r="AA208" s="218"/>
    </row>
    <row r="209" spans="1:27" x14ac:dyDescent="0.25">
      <c r="A209" s="420"/>
      <c r="B209" s="422"/>
      <c r="C209" s="420"/>
      <c r="D209" s="418"/>
      <c r="E209" s="120">
        <v>1820</v>
      </c>
      <c r="F209" s="133" t="s">
        <v>580</v>
      </c>
      <c r="G209" s="436"/>
      <c r="H209" s="428"/>
      <c r="I209" s="428"/>
      <c r="J209" s="428"/>
      <c r="K209" s="426"/>
      <c r="L209" s="158">
        <v>177</v>
      </c>
      <c r="M209" s="554"/>
      <c r="N209" s="91">
        <f t="shared" si="29"/>
        <v>322.14</v>
      </c>
      <c r="O209" s="411">
        <f t="shared" si="34"/>
        <v>-322.14</v>
      </c>
      <c r="P209" s="132" t="s">
        <v>183</v>
      </c>
      <c r="Q209" s="232"/>
      <c r="R209" s="411"/>
      <c r="T209" s="441"/>
      <c r="U209" s="490"/>
      <c r="AA209" s="218"/>
    </row>
    <row r="210" spans="1:27" ht="24" customHeight="1" x14ac:dyDescent="0.25">
      <c r="A210" s="419">
        <v>3000130</v>
      </c>
      <c r="B210" s="421">
        <v>42374</v>
      </c>
      <c r="C210" s="419" t="s">
        <v>327</v>
      </c>
      <c r="D210" s="417" t="s">
        <v>581</v>
      </c>
      <c r="E210" s="120">
        <v>125</v>
      </c>
      <c r="F210" s="133" t="s">
        <v>582</v>
      </c>
      <c r="G210" s="434" t="s">
        <v>45</v>
      </c>
      <c r="H210" s="427">
        <v>215</v>
      </c>
      <c r="I210" s="427">
        <v>0</v>
      </c>
      <c r="J210" s="425">
        <f>-((H210*0.022)+0.3)</f>
        <v>-5.0299999999999994</v>
      </c>
      <c r="K210" s="425">
        <f>SUM(H210:J210)</f>
        <v>209.97</v>
      </c>
      <c r="L210" s="131">
        <v>161</v>
      </c>
      <c r="M210" s="158">
        <v>21.4</v>
      </c>
      <c r="N210" s="91">
        <f t="shared" si="29"/>
        <v>41.524999999999999</v>
      </c>
      <c r="O210" s="411">
        <f t="shared" si="34"/>
        <v>168.44499999999999</v>
      </c>
      <c r="P210" s="132" t="s">
        <v>52</v>
      </c>
      <c r="Q210" s="232"/>
      <c r="R210" s="411"/>
      <c r="T210" s="470" t="s">
        <v>145</v>
      </c>
      <c r="U210" s="267" t="s">
        <v>583</v>
      </c>
      <c r="W210" s="153" t="s">
        <v>584</v>
      </c>
      <c r="AA210" s="218"/>
    </row>
    <row r="211" spans="1:27" x14ac:dyDescent="0.25">
      <c r="A211" s="432"/>
      <c r="B211" s="433"/>
      <c r="C211" s="432"/>
      <c r="D211" s="454"/>
      <c r="E211" s="120">
        <v>125</v>
      </c>
      <c r="F211" s="133" t="s">
        <v>585</v>
      </c>
      <c r="G211" s="435"/>
      <c r="H211" s="438"/>
      <c r="I211" s="438"/>
      <c r="J211" s="437"/>
      <c r="K211" s="437"/>
      <c r="M211" s="158">
        <v>21.4</v>
      </c>
      <c r="N211" s="91">
        <f t="shared" si="29"/>
        <v>21.4</v>
      </c>
      <c r="O211" s="411">
        <f t="shared" si="34"/>
        <v>-21.4</v>
      </c>
      <c r="P211" s="132" t="s">
        <v>52</v>
      </c>
      <c r="Q211" s="232"/>
      <c r="R211" s="411"/>
      <c r="T211" s="471"/>
      <c r="U211" s="267" t="s">
        <v>586</v>
      </c>
      <c r="AA211" s="218"/>
    </row>
    <row r="212" spans="1:27" x14ac:dyDescent="0.25">
      <c r="A212" s="420"/>
      <c r="B212" s="422"/>
      <c r="C212" s="420"/>
      <c r="D212" s="418"/>
      <c r="E212" s="120">
        <v>125</v>
      </c>
      <c r="F212" s="133" t="s">
        <v>587</v>
      </c>
      <c r="G212" s="436"/>
      <c r="H212" s="428"/>
      <c r="I212" s="428"/>
      <c r="J212" s="426"/>
      <c r="K212" s="426"/>
      <c r="M212" s="158">
        <v>30.08</v>
      </c>
      <c r="N212" s="91">
        <f t="shared" si="29"/>
        <v>30.08</v>
      </c>
      <c r="O212" s="411">
        <f t="shared" si="34"/>
        <v>-30.08</v>
      </c>
      <c r="P212" s="132" t="s">
        <v>52</v>
      </c>
      <c r="Q212" s="232"/>
      <c r="R212" s="411"/>
      <c r="T212" s="472"/>
      <c r="U212" s="267" t="s">
        <v>588</v>
      </c>
      <c r="AA212" s="218"/>
    </row>
    <row r="213" spans="1:27" ht="24" x14ac:dyDescent="0.25">
      <c r="A213" s="419">
        <v>3000131</v>
      </c>
      <c r="B213" s="421">
        <v>42374</v>
      </c>
      <c r="C213" s="419" t="s">
        <v>141</v>
      </c>
      <c r="D213" s="417" t="s">
        <v>589</v>
      </c>
      <c r="E213" s="120">
        <v>100</v>
      </c>
      <c r="F213" s="133" t="s">
        <v>590</v>
      </c>
      <c r="G213" s="434" t="s">
        <v>45</v>
      </c>
      <c r="H213" s="427">
        <v>771.65</v>
      </c>
      <c r="I213" s="427">
        <v>0</v>
      </c>
      <c r="J213" s="425">
        <f>-((H213*0.0325)+0.3)</f>
        <v>-25.378625</v>
      </c>
      <c r="K213" s="425">
        <f>SUM(H213:J213)</f>
        <v>746.27137500000003</v>
      </c>
      <c r="L213" s="131">
        <v>620</v>
      </c>
      <c r="M213" s="158">
        <v>27.13</v>
      </c>
      <c r="N213" s="91">
        <f t="shared" si="29"/>
        <v>89.13</v>
      </c>
      <c r="O213" s="411">
        <f t="shared" si="34"/>
        <v>657.14137500000004</v>
      </c>
      <c r="P213" s="132" t="s">
        <v>52</v>
      </c>
      <c r="Q213" s="232"/>
      <c r="R213" s="411"/>
      <c r="T213" s="134" t="s">
        <v>145</v>
      </c>
      <c r="U213" s="446" t="s">
        <v>591</v>
      </c>
      <c r="W213" s="153" t="s">
        <v>592</v>
      </c>
      <c r="AA213" s="218"/>
    </row>
    <row r="214" spans="1:27" ht="24" x14ac:dyDescent="0.25">
      <c r="A214" s="432"/>
      <c r="B214" s="433"/>
      <c r="C214" s="432"/>
      <c r="D214" s="454"/>
      <c r="E214" s="120">
        <v>50</v>
      </c>
      <c r="F214" s="133" t="s">
        <v>593</v>
      </c>
      <c r="G214" s="435"/>
      <c r="H214" s="438"/>
      <c r="I214" s="438"/>
      <c r="J214" s="437"/>
      <c r="K214" s="437"/>
      <c r="L214" s="131">
        <v>690</v>
      </c>
      <c r="N214" s="91">
        <f t="shared" si="29"/>
        <v>34.5</v>
      </c>
      <c r="O214" s="411">
        <f t="shared" si="34"/>
        <v>-34.5</v>
      </c>
      <c r="P214" s="132" t="s">
        <v>52</v>
      </c>
      <c r="Q214" s="232"/>
      <c r="R214" s="411"/>
      <c r="T214" s="134" t="s">
        <v>145</v>
      </c>
      <c r="U214" s="447"/>
      <c r="AA214" s="218"/>
    </row>
    <row r="215" spans="1:27" ht="24" x14ac:dyDescent="0.25">
      <c r="A215" s="432"/>
      <c r="B215" s="433"/>
      <c r="C215" s="432"/>
      <c r="D215" s="454"/>
      <c r="E215" s="120">
        <v>50</v>
      </c>
      <c r="F215" s="133" t="s">
        <v>594</v>
      </c>
      <c r="G215" s="435"/>
      <c r="H215" s="438"/>
      <c r="I215" s="438"/>
      <c r="J215" s="437"/>
      <c r="K215" s="437"/>
      <c r="L215" s="158">
        <v>1717.9</v>
      </c>
      <c r="M215" s="158">
        <v>16.22</v>
      </c>
      <c r="N215" s="91">
        <f t="shared" si="29"/>
        <v>102.11500000000001</v>
      </c>
      <c r="O215" s="411">
        <f t="shared" si="34"/>
        <v>-102.11500000000001</v>
      </c>
      <c r="P215" s="132" t="s">
        <v>46</v>
      </c>
      <c r="Q215" s="232"/>
      <c r="R215" s="411"/>
      <c r="T215" s="134" t="s">
        <v>324</v>
      </c>
      <c r="U215" s="266" t="s">
        <v>595</v>
      </c>
      <c r="V215" s="133" t="s">
        <v>596</v>
      </c>
      <c r="AA215" s="218"/>
    </row>
    <row r="216" spans="1:27" ht="24" x14ac:dyDescent="0.25">
      <c r="A216" s="420"/>
      <c r="B216" s="422"/>
      <c r="C216" s="420"/>
      <c r="D216" s="418"/>
      <c r="E216" s="120">
        <v>100</v>
      </c>
      <c r="F216" s="133" t="s">
        <v>597</v>
      </c>
      <c r="G216" s="436"/>
      <c r="H216" s="428"/>
      <c r="I216" s="428"/>
      <c r="J216" s="426"/>
      <c r="K216" s="426"/>
      <c r="L216" s="131">
        <v>2200</v>
      </c>
      <c r="M216" s="187">
        <v>5</v>
      </c>
      <c r="N216" s="91">
        <f t="shared" si="29"/>
        <v>225</v>
      </c>
      <c r="O216" s="411">
        <f t="shared" si="34"/>
        <v>-225</v>
      </c>
      <c r="P216" s="132" t="s">
        <v>86</v>
      </c>
      <c r="Q216" s="232"/>
      <c r="R216" s="411"/>
      <c r="T216" s="134" t="s">
        <v>324</v>
      </c>
      <c r="U216" s="267" t="s">
        <v>598</v>
      </c>
      <c r="V216" s="133" t="s">
        <v>599</v>
      </c>
      <c r="AA216" s="218"/>
    </row>
    <row r="217" spans="1:27" ht="24" x14ac:dyDescent="0.25">
      <c r="A217" s="405">
        <v>3000132</v>
      </c>
      <c r="B217" s="406">
        <v>42375</v>
      </c>
      <c r="C217" s="405" t="s">
        <v>63</v>
      </c>
      <c r="D217" s="401" t="s">
        <v>600</v>
      </c>
      <c r="E217" s="120">
        <v>500</v>
      </c>
      <c r="F217" s="133" t="s">
        <v>445</v>
      </c>
      <c r="G217" s="404" t="s">
        <v>45</v>
      </c>
      <c r="H217" s="411">
        <v>1099</v>
      </c>
      <c r="I217" s="411">
        <v>0</v>
      </c>
      <c r="J217" s="90">
        <f>-((H217*0.022)+0.3)</f>
        <v>-24.477999999999998</v>
      </c>
      <c r="K217" s="90">
        <f>SUM(H217:J217)</f>
        <v>1074.5219999999999</v>
      </c>
      <c r="L217" s="158">
        <v>1390</v>
      </c>
      <c r="M217" s="131">
        <v>0</v>
      </c>
      <c r="N217" s="91">
        <f t="shared" si="29"/>
        <v>695</v>
      </c>
      <c r="O217" s="411">
        <f t="shared" si="34"/>
        <v>379.52199999999993</v>
      </c>
      <c r="P217" s="132" t="s">
        <v>601</v>
      </c>
      <c r="Q217" s="232"/>
      <c r="R217" s="411"/>
      <c r="T217" s="134" t="s">
        <v>602</v>
      </c>
      <c r="U217" s="266">
        <v>21589918834</v>
      </c>
      <c r="W217" s="153" t="s">
        <v>603</v>
      </c>
      <c r="AA217" s="218"/>
    </row>
    <row r="218" spans="1:27" ht="24" x14ac:dyDescent="0.25">
      <c r="A218" s="405">
        <v>3000133</v>
      </c>
      <c r="B218" s="406">
        <v>42375</v>
      </c>
      <c r="C218" s="405" t="s">
        <v>42</v>
      </c>
      <c r="D218" s="401" t="s">
        <v>604</v>
      </c>
      <c r="E218" s="120">
        <v>200</v>
      </c>
      <c r="F218" s="133" t="s">
        <v>605</v>
      </c>
      <c r="G218" s="404" t="s">
        <v>45</v>
      </c>
      <c r="H218" s="411">
        <v>351.82</v>
      </c>
      <c r="I218" s="89">
        <f t="shared" ref="I218:I231" si="35">-(H218*0.09)</f>
        <v>-31.663799999999998</v>
      </c>
      <c r="J218" s="90">
        <f>-((H218*0.019)+0.3)</f>
        <v>-6.9845799999999993</v>
      </c>
      <c r="K218" s="90">
        <f>SUM(H218:J218)</f>
        <v>313.17162000000002</v>
      </c>
      <c r="L218" s="131">
        <v>690</v>
      </c>
      <c r="M218" s="158">
        <v>51.52</v>
      </c>
      <c r="N218" s="91">
        <f t="shared" si="29"/>
        <v>189.52</v>
      </c>
      <c r="O218" s="411">
        <f t="shared" si="34"/>
        <v>123.65162000000001</v>
      </c>
      <c r="P218" s="132" t="s">
        <v>52</v>
      </c>
      <c r="Q218" s="232"/>
      <c r="R218" s="411">
        <v>23.02</v>
      </c>
      <c r="S218" s="133" t="s">
        <v>606</v>
      </c>
      <c r="T218" s="134" t="s">
        <v>145</v>
      </c>
      <c r="U218" s="267" t="s">
        <v>607</v>
      </c>
      <c r="AA218" s="218"/>
    </row>
    <row r="219" spans="1:27" ht="24" x14ac:dyDescent="0.25">
      <c r="A219" s="419">
        <v>3000134</v>
      </c>
      <c r="B219" s="421">
        <v>42375</v>
      </c>
      <c r="C219" s="419" t="s">
        <v>42</v>
      </c>
      <c r="D219" s="417" t="s">
        <v>608</v>
      </c>
      <c r="E219" s="120">
        <v>1000</v>
      </c>
      <c r="F219" s="133" t="s">
        <v>609</v>
      </c>
      <c r="G219" s="434" t="s">
        <v>45</v>
      </c>
      <c r="H219" s="427">
        <v>729.03</v>
      </c>
      <c r="I219" s="452">
        <f t="shared" si="35"/>
        <v>-65.61269999999999</v>
      </c>
      <c r="J219" s="425">
        <f>-((H219*0.019)+0.3)</f>
        <v>-14.15157</v>
      </c>
      <c r="K219" s="425">
        <f>SUM(H219:J219)</f>
        <v>649.26572999999996</v>
      </c>
      <c r="L219" s="158">
        <v>295</v>
      </c>
      <c r="N219" s="91">
        <f t="shared" si="29"/>
        <v>295</v>
      </c>
      <c r="O219" s="411">
        <f t="shared" si="34"/>
        <v>354.26572999999996</v>
      </c>
      <c r="P219" s="132" t="s">
        <v>66</v>
      </c>
      <c r="Q219" s="232"/>
      <c r="R219" s="411"/>
      <c r="T219" s="134" t="s">
        <v>145</v>
      </c>
      <c r="U219" s="267" t="s">
        <v>610</v>
      </c>
      <c r="AA219" s="218"/>
    </row>
    <row r="220" spans="1:27" ht="24" x14ac:dyDescent="0.25">
      <c r="A220" s="420"/>
      <c r="B220" s="422"/>
      <c r="C220" s="420"/>
      <c r="D220" s="418"/>
      <c r="E220" s="120">
        <v>100</v>
      </c>
      <c r="F220" s="133" t="s">
        <v>161</v>
      </c>
      <c r="G220" s="436"/>
      <c r="H220" s="428"/>
      <c r="I220" s="453"/>
      <c r="J220" s="426"/>
      <c r="K220" s="426"/>
      <c r="L220" s="131">
        <v>1450</v>
      </c>
      <c r="M220" s="158">
        <v>67.33</v>
      </c>
      <c r="N220" s="91">
        <f t="shared" si="29"/>
        <v>212.32999999999998</v>
      </c>
      <c r="O220" s="411">
        <f t="shared" si="34"/>
        <v>-212.32999999999998</v>
      </c>
      <c r="P220" s="132" t="s">
        <v>86</v>
      </c>
      <c r="Q220" s="232"/>
      <c r="R220" s="411"/>
      <c r="T220" s="134" t="s">
        <v>145</v>
      </c>
      <c r="U220" s="267" t="s">
        <v>611</v>
      </c>
      <c r="V220" s="133" t="s">
        <v>612</v>
      </c>
      <c r="AA220" s="218"/>
    </row>
    <row r="221" spans="1:27" ht="24" x14ac:dyDescent="0.25">
      <c r="A221" s="405">
        <v>3000135</v>
      </c>
      <c r="B221" s="406">
        <v>42375</v>
      </c>
      <c r="C221" s="405" t="s">
        <v>42</v>
      </c>
      <c r="D221" s="401" t="s">
        <v>613</v>
      </c>
      <c r="E221" s="120">
        <v>100</v>
      </c>
      <c r="F221" s="133" t="s">
        <v>614</v>
      </c>
      <c r="G221" s="404" t="s">
        <v>45</v>
      </c>
      <c r="H221" s="411">
        <v>107</v>
      </c>
      <c r="I221" s="89">
        <f t="shared" si="35"/>
        <v>-9.629999999999999</v>
      </c>
      <c r="J221" s="90">
        <f t="shared" ref="J221:J226" si="36">-((H221*0.019)+0.3)</f>
        <v>-2.3329999999999997</v>
      </c>
      <c r="K221" s="90">
        <f t="shared" ref="K221:K232" si="37">SUM(H221:J221)</f>
        <v>95.037000000000006</v>
      </c>
      <c r="L221" s="158">
        <v>992</v>
      </c>
      <c r="M221" s="158">
        <v>34.33</v>
      </c>
      <c r="N221" s="91">
        <f t="shared" si="29"/>
        <v>133.53</v>
      </c>
      <c r="O221" s="411">
        <f t="shared" si="34"/>
        <v>-38.492999999999995</v>
      </c>
      <c r="P221" s="132" t="s">
        <v>183</v>
      </c>
      <c r="Q221" s="232"/>
      <c r="R221" s="411"/>
      <c r="T221" s="134" t="s">
        <v>145</v>
      </c>
      <c r="U221" s="267" t="s">
        <v>615</v>
      </c>
      <c r="AA221" s="218"/>
    </row>
    <row r="222" spans="1:27" ht="24" x14ac:dyDescent="0.25">
      <c r="A222" s="405">
        <v>3000136</v>
      </c>
      <c r="B222" s="406">
        <v>42375</v>
      </c>
      <c r="C222" s="405" t="s">
        <v>42</v>
      </c>
      <c r="D222" s="401" t="s">
        <v>616</v>
      </c>
      <c r="E222" s="120">
        <v>25</v>
      </c>
      <c r="F222" s="133" t="s">
        <v>617</v>
      </c>
      <c r="G222" s="404" t="s">
        <v>45</v>
      </c>
      <c r="H222" s="411">
        <v>331.3</v>
      </c>
      <c r="I222" s="89">
        <f t="shared" si="35"/>
        <v>-29.817</v>
      </c>
      <c r="J222" s="90">
        <f t="shared" si="36"/>
        <v>-6.5946999999999996</v>
      </c>
      <c r="K222" s="90">
        <f t="shared" si="37"/>
        <v>294.88830000000002</v>
      </c>
      <c r="L222" s="158">
        <v>8000</v>
      </c>
      <c r="M222" s="158">
        <v>18.829999999999998</v>
      </c>
      <c r="N222" s="91">
        <f t="shared" si="29"/>
        <v>218.82999999999998</v>
      </c>
      <c r="O222" s="411">
        <f t="shared" si="34"/>
        <v>76.058300000000031</v>
      </c>
      <c r="P222" s="132" t="s">
        <v>183</v>
      </c>
      <c r="Q222" s="232"/>
      <c r="R222" s="411"/>
      <c r="T222" s="134" t="s">
        <v>145</v>
      </c>
      <c r="U222" s="267" t="s">
        <v>618</v>
      </c>
      <c r="AA222" s="218"/>
    </row>
    <row r="223" spans="1:27" ht="24" x14ac:dyDescent="0.25">
      <c r="A223" s="405">
        <v>3000137</v>
      </c>
      <c r="B223" s="406">
        <v>42375</v>
      </c>
      <c r="C223" s="405" t="s">
        <v>42</v>
      </c>
      <c r="D223" s="401" t="s">
        <v>619</v>
      </c>
      <c r="E223" s="120">
        <v>175</v>
      </c>
      <c r="F223" s="133" t="s">
        <v>620</v>
      </c>
      <c r="G223" s="404" t="s">
        <v>45</v>
      </c>
      <c r="H223" s="411">
        <v>340</v>
      </c>
      <c r="I223" s="89">
        <f t="shared" si="35"/>
        <v>-30.599999999999998</v>
      </c>
      <c r="J223" s="90">
        <f t="shared" si="36"/>
        <v>-6.76</v>
      </c>
      <c r="K223" s="90">
        <f t="shared" si="37"/>
        <v>302.64</v>
      </c>
      <c r="L223" s="158">
        <v>810.54</v>
      </c>
      <c r="M223" s="158">
        <v>30</v>
      </c>
      <c r="N223" s="91">
        <f t="shared" si="29"/>
        <v>171.84450000000001</v>
      </c>
      <c r="O223" s="411">
        <f t="shared" si="34"/>
        <v>130.79549999999998</v>
      </c>
      <c r="P223" s="132" t="s">
        <v>621</v>
      </c>
      <c r="Q223" s="232"/>
      <c r="R223" s="411"/>
      <c r="T223" s="134" t="s">
        <v>145</v>
      </c>
      <c r="U223" s="267" t="s">
        <v>622</v>
      </c>
      <c r="AA223" s="218"/>
    </row>
    <row r="224" spans="1:27" ht="24" x14ac:dyDescent="0.25">
      <c r="A224" s="405">
        <v>3000138</v>
      </c>
      <c r="B224" s="406">
        <v>42375</v>
      </c>
      <c r="C224" s="405" t="s">
        <v>42</v>
      </c>
      <c r="D224" s="401" t="s">
        <v>623</v>
      </c>
      <c r="E224" s="120">
        <v>50</v>
      </c>
      <c r="F224" s="133" t="s">
        <v>161</v>
      </c>
      <c r="G224" s="404" t="s">
        <v>45</v>
      </c>
      <c r="H224" s="411">
        <v>152.69999999999999</v>
      </c>
      <c r="I224" s="89">
        <f t="shared" si="35"/>
        <v>-13.742999999999999</v>
      </c>
      <c r="J224" s="90">
        <f t="shared" si="36"/>
        <v>-3.2012999999999994</v>
      </c>
      <c r="K224" s="90">
        <f t="shared" si="37"/>
        <v>135.75569999999999</v>
      </c>
      <c r="L224" s="131">
        <v>1450</v>
      </c>
      <c r="M224" s="158">
        <v>45.5</v>
      </c>
      <c r="N224" s="91">
        <f t="shared" si="29"/>
        <v>118</v>
      </c>
      <c r="O224" s="411">
        <f t="shared" si="34"/>
        <v>17.75569999999999</v>
      </c>
      <c r="P224" s="132" t="s">
        <v>52</v>
      </c>
      <c r="Q224" s="232"/>
      <c r="R224" s="411"/>
      <c r="T224" s="134" t="s">
        <v>145</v>
      </c>
      <c r="U224" s="267" t="s">
        <v>624</v>
      </c>
      <c r="AA224" s="218"/>
    </row>
    <row r="225" spans="1:27" ht="24" x14ac:dyDescent="0.25">
      <c r="A225" s="405">
        <v>3000139</v>
      </c>
      <c r="B225" s="406">
        <v>42375</v>
      </c>
      <c r="C225" s="405" t="s">
        <v>42</v>
      </c>
      <c r="D225" s="401" t="s">
        <v>625</v>
      </c>
      <c r="E225" s="120">
        <v>50</v>
      </c>
      <c r="F225" s="133" t="s">
        <v>626</v>
      </c>
      <c r="G225" s="404" t="s">
        <v>45</v>
      </c>
      <c r="H225" s="411">
        <v>250</v>
      </c>
      <c r="I225" s="89">
        <f t="shared" si="35"/>
        <v>-22.5</v>
      </c>
      <c r="J225" s="90">
        <f t="shared" si="36"/>
        <v>-5.05</v>
      </c>
      <c r="K225" s="90">
        <f t="shared" si="37"/>
        <v>222.45</v>
      </c>
      <c r="L225" s="131">
        <v>1880</v>
      </c>
      <c r="M225" s="158">
        <v>17.989999999999998</v>
      </c>
      <c r="N225" s="91">
        <f t="shared" si="29"/>
        <v>111.99</v>
      </c>
      <c r="O225" s="411">
        <f t="shared" si="34"/>
        <v>110.46</v>
      </c>
      <c r="P225" s="132" t="s">
        <v>52</v>
      </c>
      <c r="Q225" s="232"/>
      <c r="R225" s="411"/>
      <c r="T225" s="134" t="s">
        <v>145</v>
      </c>
      <c r="U225" s="267" t="s">
        <v>627</v>
      </c>
      <c r="AA225" s="218"/>
    </row>
    <row r="226" spans="1:27" ht="24" x14ac:dyDescent="0.25">
      <c r="A226" s="405">
        <v>3000140</v>
      </c>
      <c r="B226" s="406">
        <v>42375</v>
      </c>
      <c r="C226" s="405" t="s">
        <v>42</v>
      </c>
      <c r="D226" s="401" t="s">
        <v>628</v>
      </c>
      <c r="E226" s="120">
        <v>50</v>
      </c>
      <c r="F226" s="133" t="s">
        <v>629</v>
      </c>
      <c r="G226" s="404" t="s">
        <v>45</v>
      </c>
      <c r="H226" s="411">
        <v>114.19</v>
      </c>
      <c r="I226" s="89">
        <f t="shared" si="35"/>
        <v>-10.277099999999999</v>
      </c>
      <c r="J226" s="90">
        <f t="shared" si="36"/>
        <v>-2.4696099999999999</v>
      </c>
      <c r="K226" s="90">
        <f t="shared" si="37"/>
        <v>101.44328999999999</v>
      </c>
      <c r="M226" s="131">
        <v>34.36</v>
      </c>
      <c r="N226" s="91">
        <f t="shared" si="29"/>
        <v>34.36</v>
      </c>
      <c r="O226" s="411">
        <f t="shared" si="34"/>
        <v>67.083289999999991</v>
      </c>
      <c r="P226" s="132" t="s">
        <v>52</v>
      </c>
      <c r="Q226" s="232"/>
      <c r="R226" s="411">
        <v>7.47</v>
      </c>
      <c r="S226" s="133" t="s">
        <v>630</v>
      </c>
      <c r="T226" s="134" t="s">
        <v>145</v>
      </c>
      <c r="U226" s="267" t="s">
        <v>631</v>
      </c>
      <c r="AA226" s="218"/>
    </row>
    <row r="227" spans="1:27" x14ac:dyDescent="0.25">
      <c r="A227" s="405">
        <v>3000141</v>
      </c>
      <c r="B227" s="406">
        <v>42375</v>
      </c>
      <c r="C227" s="405" t="s">
        <v>327</v>
      </c>
      <c r="D227" s="401" t="s">
        <v>632</v>
      </c>
      <c r="E227" s="120">
        <v>1000</v>
      </c>
      <c r="F227" s="133" t="s">
        <v>633</v>
      </c>
      <c r="G227" s="404" t="s">
        <v>45</v>
      </c>
      <c r="H227" s="411">
        <v>2065</v>
      </c>
      <c r="I227" s="411">
        <v>0</v>
      </c>
      <c r="J227" s="90">
        <f>-((H227*0.022)+0.3)</f>
        <v>-45.73</v>
      </c>
      <c r="K227" s="90">
        <f t="shared" si="37"/>
        <v>2019.27</v>
      </c>
      <c r="L227" s="158">
        <v>1520.65</v>
      </c>
      <c r="M227" s="158">
        <v>185.2</v>
      </c>
      <c r="N227" s="91">
        <f t="shared" si="29"/>
        <v>1705.8500000000001</v>
      </c>
      <c r="O227" s="411">
        <f t="shared" si="34"/>
        <v>313.41999999999985</v>
      </c>
      <c r="P227" s="132" t="s">
        <v>76</v>
      </c>
      <c r="Q227" s="232"/>
      <c r="R227" s="411"/>
      <c r="T227" s="134" t="s">
        <v>565</v>
      </c>
      <c r="U227" s="267" t="s">
        <v>634</v>
      </c>
      <c r="V227" s="133" t="s">
        <v>55</v>
      </c>
      <c r="W227" s="153" t="s">
        <v>635</v>
      </c>
      <c r="AA227" s="218"/>
    </row>
    <row r="228" spans="1:27" x14ac:dyDescent="0.25">
      <c r="A228" s="405">
        <v>3000142</v>
      </c>
      <c r="B228" s="406">
        <v>42375</v>
      </c>
      <c r="C228" s="405" t="s">
        <v>237</v>
      </c>
      <c r="D228" s="401" t="s">
        <v>636</v>
      </c>
      <c r="E228" s="120">
        <v>2000</v>
      </c>
      <c r="F228" s="133" t="s">
        <v>637</v>
      </c>
      <c r="G228" s="404" t="s">
        <v>45</v>
      </c>
      <c r="H228" s="411">
        <v>829.94</v>
      </c>
      <c r="I228" s="89">
        <f>-(H228*0.15)</f>
        <v>-124.491</v>
      </c>
      <c r="J228" s="90">
        <v>0</v>
      </c>
      <c r="K228" s="90">
        <f t="shared" si="37"/>
        <v>705.44900000000007</v>
      </c>
      <c r="L228" s="158">
        <v>275</v>
      </c>
      <c r="M228" s="158">
        <v>130.55000000000001</v>
      </c>
      <c r="N228" s="91">
        <f t="shared" si="29"/>
        <v>680.55</v>
      </c>
      <c r="O228" s="411">
        <f t="shared" si="34"/>
        <v>24.899000000000115</v>
      </c>
      <c r="P228" s="132" t="s">
        <v>638</v>
      </c>
      <c r="Q228" s="232"/>
      <c r="R228" s="411"/>
      <c r="T228" s="134" t="s">
        <v>639</v>
      </c>
      <c r="U228" s="267" t="s">
        <v>640</v>
      </c>
      <c r="V228" s="133" t="s">
        <v>55</v>
      </c>
      <c r="AA228" s="218"/>
    </row>
    <row r="229" spans="1:27" ht="24" x14ac:dyDescent="0.25">
      <c r="A229" s="405">
        <v>3000143</v>
      </c>
      <c r="B229" s="406">
        <v>42375</v>
      </c>
      <c r="C229" s="405" t="s">
        <v>237</v>
      </c>
      <c r="D229" s="401" t="s">
        <v>641</v>
      </c>
      <c r="E229" s="120">
        <v>1000</v>
      </c>
      <c r="F229" s="133" t="s">
        <v>642</v>
      </c>
      <c r="G229" s="404" t="s">
        <v>45</v>
      </c>
      <c r="H229" s="411">
        <v>210</v>
      </c>
      <c r="I229" s="89">
        <f>-(H229*0.15)</f>
        <v>-31.5</v>
      </c>
      <c r="J229" s="90">
        <v>0</v>
      </c>
      <c r="K229" s="90">
        <f t="shared" si="37"/>
        <v>178.5</v>
      </c>
      <c r="L229" s="158">
        <v>146</v>
      </c>
      <c r="M229" s="158">
        <v>19.48</v>
      </c>
      <c r="N229" s="91">
        <f t="shared" si="29"/>
        <v>165.48</v>
      </c>
      <c r="O229" s="411">
        <f t="shared" si="34"/>
        <v>13.02000000000001</v>
      </c>
      <c r="P229" s="132" t="s">
        <v>643</v>
      </c>
      <c r="Q229" s="232"/>
      <c r="R229" s="411"/>
      <c r="T229" s="134" t="s">
        <v>145</v>
      </c>
      <c r="U229" s="267" t="s">
        <v>644</v>
      </c>
      <c r="AA229" s="218"/>
    </row>
    <row r="230" spans="1:27" ht="24" x14ac:dyDescent="0.25">
      <c r="A230" s="405">
        <v>3000144</v>
      </c>
      <c r="B230" s="406">
        <v>42375</v>
      </c>
      <c r="C230" s="405" t="s">
        <v>42</v>
      </c>
      <c r="D230" s="401" t="s">
        <v>645</v>
      </c>
      <c r="E230" s="120">
        <v>100</v>
      </c>
      <c r="F230" s="133" t="s">
        <v>646</v>
      </c>
      <c r="G230" s="404" t="s">
        <v>45</v>
      </c>
      <c r="H230" s="411">
        <v>299</v>
      </c>
      <c r="I230" s="89">
        <f t="shared" si="35"/>
        <v>-26.91</v>
      </c>
      <c r="J230" s="90">
        <f>-((H230*0.019)+0.3)</f>
        <v>-5.9809999999999999</v>
      </c>
      <c r="K230" s="90">
        <f t="shared" si="37"/>
        <v>266.10899999999998</v>
      </c>
      <c r="L230" s="158">
        <v>1830</v>
      </c>
      <c r="M230" s="158">
        <v>42.2</v>
      </c>
      <c r="N230" s="91">
        <f t="shared" si="29"/>
        <v>225.2</v>
      </c>
      <c r="O230" s="411">
        <f t="shared" si="34"/>
        <v>40.908999999999992</v>
      </c>
      <c r="P230" s="132" t="s">
        <v>235</v>
      </c>
      <c r="Q230" s="232"/>
      <c r="R230" s="411"/>
      <c r="T230" s="134" t="s">
        <v>145</v>
      </c>
      <c r="U230" s="267" t="s">
        <v>647</v>
      </c>
      <c r="AA230" s="218"/>
    </row>
    <row r="231" spans="1:27" ht="24" x14ac:dyDescent="0.25">
      <c r="A231" s="405">
        <v>3000145</v>
      </c>
      <c r="B231" s="406">
        <v>42375</v>
      </c>
      <c r="C231" s="405" t="s">
        <v>42</v>
      </c>
      <c r="D231" s="401" t="s">
        <v>648</v>
      </c>
      <c r="E231" s="120">
        <v>200</v>
      </c>
      <c r="F231" s="133" t="s">
        <v>422</v>
      </c>
      <c r="G231" s="404" t="s">
        <v>45</v>
      </c>
      <c r="H231" s="411">
        <v>374.35</v>
      </c>
      <c r="I231" s="89">
        <f t="shared" si="35"/>
        <v>-33.691499999999998</v>
      </c>
      <c r="J231" s="90">
        <f>-((H231*0.019)+0.3)</f>
        <v>-7.4126500000000002</v>
      </c>
      <c r="K231" s="90">
        <f t="shared" si="37"/>
        <v>333.24585000000002</v>
      </c>
      <c r="L231" s="158">
        <v>1019</v>
      </c>
      <c r="M231" s="158">
        <v>47.86</v>
      </c>
      <c r="N231" s="91">
        <f t="shared" si="29"/>
        <v>251.66000000000003</v>
      </c>
      <c r="O231" s="411">
        <f t="shared" si="34"/>
        <v>81.585849999999994</v>
      </c>
      <c r="P231" s="132" t="s">
        <v>183</v>
      </c>
      <c r="Q231" s="232"/>
      <c r="R231" s="411"/>
      <c r="T231" s="134" t="s">
        <v>145</v>
      </c>
      <c r="U231" s="267" t="s">
        <v>649</v>
      </c>
      <c r="AA231" s="218"/>
    </row>
    <row r="232" spans="1:27" x14ac:dyDescent="0.25">
      <c r="A232" s="419">
        <v>3000146</v>
      </c>
      <c r="B232" s="421">
        <v>42375</v>
      </c>
      <c r="C232" s="419" t="s">
        <v>573</v>
      </c>
      <c r="D232" s="417" t="s">
        <v>650</v>
      </c>
      <c r="E232" s="120">
        <v>500</v>
      </c>
      <c r="F232" s="133" t="s">
        <v>161</v>
      </c>
      <c r="G232" s="434" t="s">
        <v>45</v>
      </c>
      <c r="H232" s="427">
        <v>5258.94</v>
      </c>
      <c r="I232" s="427">
        <v>0</v>
      </c>
      <c r="J232" s="427">
        <v>0</v>
      </c>
      <c r="K232" s="425">
        <f t="shared" si="37"/>
        <v>5258.94</v>
      </c>
      <c r="L232" s="131">
        <v>1450</v>
      </c>
      <c r="M232" s="158">
        <v>145.75</v>
      </c>
      <c r="N232" s="91">
        <f t="shared" si="29"/>
        <v>870.75</v>
      </c>
      <c r="O232" s="411"/>
      <c r="P232" s="132" t="s">
        <v>52</v>
      </c>
      <c r="Q232" s="232"/>
      <c r="R232" s="411"/>
      <c r="T232" s="470" t="s">
        <v>503</v>
      </c>
      <c r="U232" s="505">
        <v>18956144</v>
      </c>
      <c r="V232" s="133" t="s">
        <v>55</v>
      </c>
      <c r="AA232" s="218"/>
    </row>
    <row r="233" spans="1:27" x14ac:dyDescent="0.25">
      <c r="A233" s="432"/>
      <c r="B233" s="433"/>
      <c r="C233" s="432"/>
      <c r="D233" s="454"/>
      <c r="E233" s="120">
        <v>540</v>
      </c>
      <c r="F233" s="133" t="s">
        <v>431</v>
      </c>
      <c r="G233" s="435"/>
      <c r="H233" s="438"/>
      <c r="I233" s="438"/>
      <c r="J233" s="438"/>
      <c r="K233" s="437"/>
      <c r="L233" s="131">
        <v>1050</v>
      </c>
      <c r="M233" s="158"/>
      <c r="N233" s="91">
        <f t="shared" si="29"/>
        <v>567</v>
      </c>
      <c r="O233" s="411"/>
      <c r="P233" s="132" t="s">
        <v>52</v>
      </c>
      <c r="Q233" s="232"/>
      <c r="R233" s="411"/>
      <c r="T233" s="471"/>
      <c r="U233" s="506"/>
      <c r="V233" s="133" t="s">
        <v>651</v>
      </c>
      <c r="AA233" s="218"/>
    </row>
    <row r="234" spans="1:27" x14ac:dyDescent="0.25">
      <c r="A234" s="432"/>
      <c r="B234" s="433"/>
      <c r="C234" s="432"/>
      <c r="D234" s="454"/>
      <c r="E234" s="120">
        <v>750</v>
      </c>
      <c r="F234" s="133" t="s">
        <v>652</v>
      </c>
      <c r="G234" s="435"/>
      <c r="H234" s="438"/>
      <c r="I234" s="438"/>
      <c r="J234" s="438"/>
      <c r="K234" s="437"/>
      <c r="L234" s="131">
        <v>350</v>
      </c>
      <c r="M234" s="158"/>
      <c r="N234" s="91">
        <f t="shared" si="29"/>
        <v>262.5</v>
      </c>
      <c r="O234" s="411"/>
      <c r="P234" s="132" t="s">
        <v>52</v>
      </c>
      <c r="Q234" s="232"/>
      <c r="R234" s="411"/>
      <c r="T234" s="471"/>
      <c r="U234" s="506"/>
      <c r="AA234" s="218"/>
    </row>
    <row r="235" spans="1:27" x14ac:dyDescent="0.25">
      <c r="A235" s="432"/>
      <c r="B235" s="433"/>
      <c r="C235" s="432"/>
      <c r="D235" s="454"/>
      <c r="E235" s="120">
        <v>1500</v>
      </c>
      <c r="F235" s="133" t="s">
        <v>653</v>
      </c>
      <c r="G235" s="435"/>
      <c r="H235" s="438"/>
      <c r="I235" s="438"/>
      <c r="J235" s="438"/>
      <c r="K235" s="437"/>
      <c r="L235" s="131">
        <v>250</v>
      </c>
      <c r="M235" s="158"/>
      <c r="N235" s="91">
        <f t="shared" si="29"/>
        <v>375</v>
      </c>
      <c r="O235" s="411"/>
      <c r="P235" s="132" t="s">
        <v>52</v>
      </c>
      <c r="Q235" s="232"/>
      <c r="R235" s="411"/>
      <c r="T235" s="472"/>
      <c r="U235" s="490"/>
      <c r="AA235" s="218"/>
    </row>
    <row r="236" spans="1:27" ht="18" customHeight="1" x14ac:dyDescent="0.25">
      <c r="A236" s="432"/>
      <c r="B236" s="433"/>
      <c r="C236" s="432"/>
      <c r="D236" s="454"/>
      <c r="E236" s="120">
        <v>1000</v>
      </c>
      <c r="F236" s="133" t="s">
        <v>654</v>
      </c>
      <c r="G236" s="435"/>
      <c r="H236" s="438"/>
      <c r="I236" s="438"/>
      <c r="J236" s="438"/>
      <c r="K236" s="437"/>
      <c r="L236" s="158">
        <v>280</v>
      </c>
      <c r="M236" s="158">
        <v>87.88</v>
      </c>
      <c r="N236" s="91">
        <f t="shared" si="29"/>
        <v>367.88</v>
      </c>
      <c r="O236" s="411"/>
      <c r="P236" s="132" t="s">
        <v>66</v>
      </c>
      <c r="Q236" s="232"/>
      <c r="R236" s="411"/>
      <c r="T236" s="134" t="s">
        <v>204</v>
      </c>
      <c r="U236" s="266" t="s">
        <v>655</v>
      </c>
      <c r="V236" s="133" t="s">
        <v>656</v>
      </c>
      <c r="AA236" s="218"/>
    </row>
    <row r="237" spans="1:27" x14ac:dyDescent="0.25">
      <c r="A237" s="432"/>
      <c r="B237" s="433"/>
      <c r="C237" s="432"/>
      <c r="D237" s="454"/>
      <c r="E237" s="120">
        <v>750</v>
      </c>
      <c r="F237" s="133" t="s">
        <v>657</v>
      </c>
      <c r="G237" s="435"/>
      <c r="H237" s="438"/>
      <c r="I237" s="438"/>
      <c r="J237" s="438"/>
      <c r="K237" s="437"/>
      <c r="L237" s="131">
        <v>660</v>
      </c>
      <c r="M237" s="158"/>
      <c r="N237" s="91">
        <f t="shared" si="29"/>
        <v>495</v>
      </c>
      <c r="O237" s="411"/>
      <c r="P237" s="132" t="s">
        <v>52</v>
      </c>
      <c r="Q237" s="232"/>
      <c r="R237" s="411"/>
      <c r="T237" s="470" t="s">
        <v>503</v>
      </c>
      <c r="U237" s="481" t="s">
        <v>658</v>
      </c>
      <c r="AA237" s="218"/>
    </row>
    <row r="238" spans="1:27" x14ac:dyDescent="0.25">
      <c r="A238" s="432"/>
      <c r="B238" s="433"/>
      <c r="C238" s="432"/>
      <c r="D238" s="454"/>
      <c r="E238" s="120">
        <v>750</v>
      </c>
      <c r="F238" s="133" t="s">
        <v>659</v>
      </c>
      <c r="G238" s="435"/>
      <c r="H238" s="438"/>
      <c r="I238" s="438"/>
      <c r="J238" s="438"/>
      <c r="K238" s="437"/>
      <c r="M238" s="158"/>
      <c r="N238" s="91">
        <f t="shared" ref="N238:N301" si="38">((L238)*(E238*0.001))+M238</f>
        <v>0</v>
      </c>
      <c r="O238" s="411"/>
      <c r="P238" s="132" t="s">
        <v>52</v>
      </c>
      <c r="Q238" s="232"/>
      <c r="R238" s="411"/>
      <c r="T238" s="472"/>
      <c r="U238" s="483"/>
      <c r="AA238" s="218"/>
    </row>
    <row r="239" spans="1:27" ht="24" x14ac:dyDescent="0.25">
      <c r="A239" s="432"/>
      <c r="B239" s="433"/>
      <c r="C239" s="432"/>
      <c r="D239" s="454"/>
      <c r="E239" s="120">
        <v>750</v>
      </c>
      <c r="F239" s="133" t="s">
        <v>660</v>
      </c>
      <c r="G239" s="435"/>
      <c r="H239" s="438"/>
      <c r="I239" s="438"/>
      <c r="J239" s="438"/>
      <c r="K239" s="437"/>
      <c r="L239" s="131">
        <v>227</v>
      </c>
      <c r="N239" s="91">
        <f t="shared" si="38"/>
        <v>170.25</v>
      </c>
      <c r="O239" s="411"/>
      <c r="P239" s="132" t="s">
        <v>86</v>
      </c>
      <c r="Q239" s="232"/>
      <c r="R239" s="411"/>
      <c r="T239" s="134" t="s">
        <v>661</v>
      </c>
      <c r="U239" s="266" t="s">
        <v>662</v>
      </c>
      <c r="V239" s="133" t="s">
        <v>663</v>
      </c>
      <c r="AA239" s="218"/>
    </row>
    <row r="240" spans="1:27" x14ac:dyDescent="0.25">
      <c r="A240" s="432"/>
      <c r="B240" s="433"/>
      <c r="C240" s="432"/>
      <c r="D240" s="454"/>
      <c r="E240" s="120">
        <v>750</v>
      </c>
      <c r="F240" s="133" t="s">
        <v>664</v>
      </c>
      <c r="G240" s="435"/>
      <c r="H240" s="438"/>
      <c r="I240" s="438"/>
      <c r="J240" s="438"/>
      <c r="K240" s="437"/>
      <c r="M240" s="158"/>
      <c r="N240" s="91">
        <f t="shared" si="38"/>
        <v>0</v>
      </c>
      <c r="O240" s="411"/>
      <c r="P240" s="132" t="s">
        <v>52</v>
      </c>
      <c r="Q240" s="232"/>
      <c r="R240" s="411"/>
      <c r="T240" s="470" t="s">
        <v>503</v>
      </c>
      <c r="U240" s="505">
        <v>18956144</v>
      </c>
      <c r="AA240" s="218"/>
    </row>
    <row r="241" spans="1:27" x14ac:dyDescent="0.25">
      <c r="A241" s="432"/>
      <c r="B241" s="433"/>
      <c r="C241" s="432"/>
      <c r="D241" s="454"/>
      <c r="E241" s="120">
        <v>500</v>
      </c>
      <c r="F241" s="133" t="s">
        <v>665</v>
      </c>
      <c r="G241" s="435"/>
      <c r="H241" s="438"/>
      <c r="I241" s="438"/>
      <c r="J241" s="438"/>
      <c r="K241" s="437"/>
      <c r="M241" s="158"/>
      <c r="N241" s="91">
        <f t="shared" si="38"/>
        <v>0</v>
      </c>
      <c r="O241" s="411"/>
      <c r="P241" s="132" t="s">
        <v>52</v>
      </c>
      <c r="Q241" s="232"/>
      <c r="R241" s="411"/>
      <c r="T241" s="471"/>
      <c r="U241" s="506"/>
      <c r="AA241" s="218"/>
    </row>
    <row r="242" spans="1:27" x14ac:dyDescent="0.25">
      <c r="A242" s="432"/>
      <c r="B242" s="433"/>
      <c r="C242" s="432"/>
      <c r="D242" s="454"/>
      <c r="E242" s="120">
        <v>1000</v>
      </c>
      <c r="F242" s="133" t="s">
        <v>666</v>
      </c>
      <c r="G242" s="435"/>
      <c r="H242" s="438"/>
      <c r="I242" s="438"/>
      <c r="J242" s="438"/>
      <c r="K242" s="437"/>
      <c r="M242" s="158"/>
      <c r="N242" s="91">
        <f t="shared" si="38"/>
        <v>0</v>
      </c>
      <c r="O242" s="411"/>
      <c r="P242" s="132" t="s">
        <v>52</v>
      </c>
      <c r="Q242" s="232"/>
      <c r="R242" s="411"/>
      <c r="T242" s="471"/>
      <c r="U242" s="506"/>
      <c r="AA242" s="218"/>
    </row>
    <row r="243" spans="1:27" x14ac:dyDescent="0.25">
      <c r="A243" s="432"/>
      <c r="B243" s="433"/>
      <c r="C243" s="432"/>
      <c r="D243" s="454"/>
      <c r="E243" s="120">
        <v>257</v>
      </c>
      <c r="F243" s="133" t="s">
        <v>667</v>
      </c>
      <c r="G243" s="435"/>
      <c r="H243" s="438"/>
      <c r="I243" s="438"/>
      <c r="J243" s="438"/>
      <c r="K243" s="437"/>
      <c r="L243" s="131">
        <v>922</v>
      </c>
      <c r="M243" s="158"/>
      <c r="N243" s="91">
        <f t="shared" si="38"/>
        <v>236.95400000000001</v>
      </c>
      <c r="O243" s="411"/>
      <c r="P243" s="132" t="s">
        <v>52</v>
      </c>
      <c r="Q243" s="232"/>
      <c r="R243" s="411"/>
      <c r="T243" s="472"/>
      <c r="U243" s="490"/>
      <c r="AA243" s="218"/>
    </row>
    <row r="244" spans="1:27" ht="24" x14ac:dyDescent="0.25">
      <c r="A244" s="420"/>
      <c r="B244" s="422"/>
      <c r="C244" s="420"/>
      <c r="D244" s="418"/>
      <c r="E244" s="120">
        <v>409</v>
      </c>
      <c r="F244" s="133" t="s">
        <v>668</v>
      </c>
      <c r="G244" s="436"/>
      <c r="H244" s="428"/>
      <c r="I244" s="428"/>
      <c r="J244" s="428"/>
      <c r="K244" s="426"/>
      <c r="L244" s="131">
        <v>4868</v>
      </c>
      <c r="N244" s="91">
        <f t="shared" si="38"/>
        <v>1991.0120000000002</v>
      </c>
      <c r="O244" s="411"/>
      <c r="P244" s="132" t="s">
        <v>86</v>
      </c>
      <c r="Q244" s="232"/>
      <c r="R244" s="411"/>
      <c r="T244" s="134" t="s">
        <v>669</v>
      </c>
      <c r="U244" s="266" t="s">
        <v>669</v>
      </c>
      <c r="V244" s="133" t="s">
        <v>663</v>
      </c>
      <c r="AA244" s="218"/>
    </row>
    <row r="245" spans="1:27" ht="24" x14ac:dyDescent="0.25">
      <c r="A245" s="405">
        <v>3000147</v>
      </c>
      <c r="B245" s="406">
        <v>42375</v>
      </c>
      <c r="C245" s="405" t="s">
        <v>141</v>
      </c>
      <c r="D245" s="401" t="s">
        <v>670</v>
      </c>
      <c r="E245" s="120">
        <v>250</v>
      </c>
      <c r="F245" s="133" t="s">
        <v>671</v>
      </c>
      <c r="G245" s="404" t="s">
        <v>45</v>
      </c>
      <c r="H245" s="411">
        <v>119</v>
      </c>
      <c r="I245" s="411">
        <v>0</v>
      </c>
      <c r="J245" s="90">
        <f>-((H245*0.0325)+0.3)</f>
        <v>-4.1675000000000004</v>
      </c>
      <c r="K245" s="90">
        <f>SUM(H245:J245)</f>
        <v>114.8325</v>
      </c>
      <c r="L245" s="131">
        <v>227</v>
      </c>
      <c r="M245" s="131">
        <v>13.69</v>
      </c>
      <c r="N245" s="91">
        <f t="shared" si="38"/>
        <v>70.44</v>
      </c>
      <c r="O245" s="411">
        <f t="shared" si="34"/>
        <v>44.392499999999998</v>
      </c>
      <c r="P245" s="132" t="s">
        <v>86</v>
      </c>
      <c r="Q245" s="232"/>
      <c r="R245" s="411"/>
      <c r="T245" s="134" t="s">
        <v>324</v>
      </c>
      <c r="U245" s="267" t="s">
        <v>672</v>
      </c>
      <c r="W245" s="153" t="s">
        <v>673</v>
      </c>
      <c r="AA245" s="218"/>
    </row>
    <row r="246" spans="1:27" ht="24" x14ac:dyDescent="0.25">
      <c r="A246" s="405">
        <v>3000148</v>
      </c>
      <c r="B246" s="406">
        <v>42375</v>
      </c>
      <c r="C246" s="405" t="s">
        <v>141</v>
      </c>
      <c r="D246" s="401" t="s">
        <v>674</v>
      </c>
      <c r="E246" s="120">
        <v>258</v>
      </c>
      <c r="F246" s="133" t="s">
        <v>675</v>
      </c>
      <c r="G246" s="404" t="s">
        <v>45</v>
      </c>
      <c r="H246" s="411">
        <v>258</v>
      </c>
      <c r="I246" s="411">
        <v>0</v>
      </c>
      <c r="J246" s="90">
        <f>-((H246*0.0325)+0.3)</f>
        <v>-8.6850000000000005</v>
      </c>
      <c r="K246" s="90">
        <f>SUM(H246:J246)</f>
        <v>249.315</v>
      </c>
      <c r="L246" s="158">
        <v>310</v>
      </c>
      <c r="M246" s="158">
        <v>23.01</v>
      </c>
      <c r="N246" s="91">
        <f t="shared" si="38"/>
        <v>102.99000000000001</v>
      </c>
      <c r="O246" s="411">
        <f t="shared" si="34"/>
        <v>146.32499999999999</v>
      </c>
      <c r="P246" s="132" t="s">
        <v>183</v>
      </c>
      <c r="Q246" s="232"/>
      <c r="R246" s="411"/>
      <c r="T246" s="134" t="s">
        <v>145</v>
      </c>
      <c r="U246" s="266" t="s">
        <v>676</v>
      </c>
      <c r="W246" s="153" t="s">
        <v>677</v>
      </c>
      <c r="AA246" s="218"/>
    </row>
    <row r="247" spans="1:27" ht="24" x14ac:dyDescent="0.25">
      <c r="A247" s="405">
        <v>3000149</v>
      </c>
      <c r="B247" s="406">
        <v>42376</v>
      </c>
      <c r="C247" s="405" t="s">
        <v>141</v>
      </c>
      <c r="D247" s="401" t="s">
        <v>678</v>
      </c>
      <c r="E247" s="120">
        <v>420</v>
      </c>
      <c r="F247" s="133" t="s">
        <v>679</v>
      </c>
      <c r="G247" s="404" t="s">
        <v>45</v>
      </c>
      <c r="H247" s="411">
        <v>1596</v>
      </c>
      <c r="I247" s="411">
        <v>0</v>
      </c>
      <c r="J247" s="90">
        <f>-((H247*0.0325)+0.3)</f>
        <v>-52.17</v>
      </c>
      <c r="K247" s="90">
        <f>SUM(H247:J247)</f>
        <v>1543.83</v>
      </c>
      <c r="L247" s="158">
        <v>276.89760000000001</v>
      </c>
      <c r="M247" s="158">
        <v>70.819999999999993</v>
      </c>
      <c r="N247" s="91">
        <f t="shared" si="38"/>
        <v>187.11699199999998</v>
      </c>
      <c r="O247" s="411">
        <f t="shared" si="34"/>
        <v>1356.7130079999999</v>
      </c>
      <c r="P247" s="132" t="s">
        <v>46</v>
      </c>
      <c r="Q247" s="232"/>
      <c r="R247" s="411"/>
      <c r="T247" s="134" t="s">
        <v>680</v>
      </c>
      <c r="U247" s="266" t="s">
        <v>681</v>
      </c>
      <c r="W247" s="153" t="s">
        <v>682</v>
      </c>
      <c r="AA247" s="218"/>
    </row>
    <row r="248" spans="1:27" ht="24" x14ac:dyDescent="0.25">
      <c r="A248" s="405">
        <v>3000150</v>
      </c>
      <c r="B248" s="406">
        <v>42376</v>
      </c>
      <c r="C248" s="405" t="s">
        <v>63</v>
      </c>
      <c r="D248" s="401" t="s">
        <v>683</v>
      </c>
      <c r="E248" s="120">
        <v>41</v>
      </c>
      <c r="F248" s="133" t="s">
        <v>684</v>
      </c>
      <c r="G248" s="404" t="s">
        <v>45</v>
      </c>
      <c r="H248" s="411">
        <v>120</v>
      </c>
      <c r="I248" s="411">
        <v>0</v>
      </c>
      <c r="J248" s="90">
        <f>-((H248*0.022)+0.3)</f>
        <v>-2.9399999999999995</v>
      </c>
      <c r="K248" s="90">
        <f>SUM(H248:J248)</f>
        <v>117.06</v>
      </c>
      <c r="L248" s="175">
        <v>500</v>
      </c>
      <c r="M248" s="158">
        <v>16.7</v>
      </c>
      <c r="N248" s="91">
        <f t="shared" si="38"/>
        <v>37.200000000000003</v>
      </c>
      <c r="O248" s="411">
        <f t="shared" si="34"/>
        <v>79.86</v>
      </c>
      <c r="P248" s="132" t="s">
        <v>183</v>
      </c>
      <c r="Q248" s="232"/>
      <c r="R248" s="411"/>
      <c r="T248" s="134" t="s">
        <v>145</v>
      </c>
      <c r="U248" s="267" t="s">
        <v>685</v>
      </c>
      <c r="W248" s="153" t="s">
        <v>686</v>
      </c>
      <c r="AA248" s="218"/>
    </row>
    <row r="249" spans="1:27" x14ac:dyDescent="0.25">
      <c r="A249" s="419">
        <v>3000151</v>
      </c>
      <c r="B249" s="421">
        <v>42376</v>
      </c>
      <c r="C249" s="419" t="s">
        <v>63</v>
      </c>
      <c r="D249" s="417" t="s">
        <v>687</v>
      </c>
      <c r="E249" s="120">
        <v>1000</v>
      </c>
      <c r="F249" s="133" t="s">
        <v>688</v>
      </c>
      <c r="G249" s="434" t="s">
        <v>45</v>
      </c>
      <c r="H249" s="427">
        <v>4200</v>
      </c>
      <c r="I249" s="427">
        <v>0</v>
      </c>
      <c r="J249" s="425">
        <f>-((H249*0.022)+0.3)</f>
        <v>-92.699999999999989</v>
      </c>
      <c r="K249" s="425">
        <f>SUM(H249:J249)</f>
        <v>4107.3</v>
      </c>
      <c r="L249" s="167"/>
      <c r="M249" s="158">
        <v>170.09</v>
      </c>
      <c r="N249" s="91">
        <f t="shared" si="38"/>
        <v>170.09</v>
      </c>
      <c r="O249" s="411">
        <f t="shared" si="34"/>
        <v>3937.21</v>
      </c>
      <c r="P249" s="132" t="s">
        <v>52</v>
      </c>
      <c r="Q249" s="232"/>
      <c r="R249" s="411"/>
      <c r="T249" s="134" t="s">
        <v>97</v>
      </c>
      <c r="U249" s="267" t="s">
        <v>689</v>
      </c>
      <c r="V249" s="133" t="s">
        <v>55</v>
      </c>
      <c r="W249" s="153" t="s">
        <v>690</v>
      </c>
      <c r="AA249" s="218"/>
    </row>
    <row r="250" spans="1:27" x14ac:dyDescent="0.25">
      <c r="A250" s="420"/>
      <c r="B250" s="422"/>
      <c r="C250" s="420"/>
      <c r="D250" s="418"/>
      <c r="E250" s="120">
        <v>1002</v>
      </c>
      <c r="F250" s="133" t="s">
        <v>691</v>
      </c>
      <c r="G250" s="436"/>
      <c r="H250" s="428"/>
      <c r="I250" s="428"/>
      <c r="J250" s="426"/>
      <c r="K250" s="426"/>
      <c r="L250" s="167">
        <v>1562.68</v>
      </c>
      <c r="M250" s="180">
        <v>380.07</v>
      </c>
      <c r="N250" s="91">
        <f t="shared" si="38"/>
        <v>1945.87536</v>
      </c>
      <c r="O250" s="411">
        <f t="shared" si="34"/>
        <v>-1945.87536</v>
      </c>
      <c r="P250" s="132" t="s">
        <v>46</v>
      </c>
      <c r="Q250" s="232"/>
      <c r="R250" s="411"/>
      <c r="T250" s="134" t="s">
        <v>97</v>
      </c>
      <c r="U250" s="267" t="s">
        <v>692</v>
      </c>
      <c r="V250" s="133" t="s">
        <v>693</v>
      </c>
      <c r="AA250" s="218"/>
    </row>
    <row r="251" spans="1:27" ht="24" x14ac:dyDescent="0.25">
      <c r="A251" s="405">
        <v>3000152</v>
      </c>
      <c r="B251" s="406">
        <v>42376</v>
      </c>
      <c r="C251" s="405" t="s">
        <v>694</v>
      </c>
      <c r="D251" s="401" t="s">
        <v>695</v>
      </c>
      <c r="E251" s="120">
        <v>330</v>
      </c>
      <c r="F251" s="133" t="s">
        <v>696</v>
      </c>
      <c r="G251" s="404" t="s">
        <v>45</v>
      </c>
      <c r="H251" s="411">
        <v>544.5</v>
      </c>
      <c r="I251" s="411">
        <v>0</v>
      </c>
      <c r="J251" s="90">
        <f>-((H251*0.019)+0.3)</f>
        <v>-10.6455</v>
      </c>
      <c r="K251" s="90">
        <f>SUM(H251:J251)</f>
        <v>533.85450000000003</v>
      </c>
      <c r="L251" s="167"/>
      <c r="M251" s="158">
        <v>71.8</v>
      </c>
      <c r="N251" s="91">
        <f t="shared" si="38"/>
        <v>71.8</v>
      </c>
      <c r="O251" s="411">
        <f t="shared" si="34"/>
        <v>462.05450000000002</v>
      </c>
      <c r="P251" s="132" t="s">
        <v>52</v>
      </c>
      <c r="Q251" s="232"/>
      <c r="R251" s="411"/>
      <c r="T251" s="134" t="s">
        <v>145</v>
      </c>
      <c r="U251" s="267" t="s">
        <v>697</v>
      </c>
      <c r="W251" s="153" t="s">
        <v>698</v>
      </c>
      <c r="AA251" s="218"/>
    </row>
    <row r="252" spans="1:27" ht="24" x14ac:dyDescent="0.25">
      <c r="A252" s="405">
        <v>3000153</v>
      </c>
      <c r="B252" s="406">
        <v>42376</v>
      </c>
      <c r="C252" s="405" t="s">
        <v>42</v>
      </c>
      <c r="D252" s="401" t="s">
        <v>699</v>
      </c>
      <c r="E252" s="120">
        <v>100</v>
      </c>
      <c r="F252" s="133" t="s">
        <v>700</v>
      </c>
      <c r="G252" s="404" t="s">
        <v>45</v>
      </c>
      <c r="H252" s="411">
        <v>103.69</v>
      </c>
      <c r="I252" s="89">
        <f t="shared" ref="I252" si="39">-(H252*0.09)</f>
        <v>-9.3320999999999987</v>
      </c>
      <c r="J252" s="90">
        <f>-((H252*0.019)+0.3)</f>
        <v>-2.2701099999999999</v>
      </c>
      <c r="K252" s="90">
        <f>SUM(H252:J252)</f>
        <v>92.087789999999998</v>
      </c>
      <c r="L252" s="175">
        <v>945</v>
      </c>
      <c r="N252" s="91">
        <f t="shared" si="38"/>
        <v>94.5</v>
      </c>
      <c r="O252" s="411">
        <f t="shared" si="34"/>
        <v>-2.4122100000000017</v>
      </c>
      <c r="P252" s="132" t="s">
        <v>601</v>
      </c>
      <c r="Q252" s="232"/>
      <c r="R252" s="411"/>
      <c r="T252" s="134" t="s">
        <v>204</v>
      </c>
      <c r="U252" s="266" t="s">
        <v>701</v>
      </c>
      <c r="AA252" s="218"/>
    </row>
    <row r="253" spans="1:27" x14ac:dyDescent="0.25">
      <c r="A253" s="405">
        <v>3000154</v>
      </c>
      <c r="B253" s="406">
        <v>42376</v>
      </c>
      <c r="C253" s="405" t="s">
        <v>702</v>
      </c>
      <c r="D253" s="401" t="s">
        <v>703</v>
      </c>
      <c r="E253" s="120">
        <v>250</v>
      </c>
      <c r="F253" s="133" t="s">
        <v>704</v>
      </c>
      <c r="G253" s="404" t="s">
        <v>45</v>
      </c>
      <c r="H253" s="411">
        <v>320</v>
      </c>
      <c r="I253" s="411">
        <v>0</v>
      </c>
      <c r="J253" s="396">
        <f>-((H253*0.022)+0.3)</f>
        <v>-7.339999999999999</v>
      </c>
      <c r="K253" s="90">
        <f>SUM(H253:J253)</f>
        <v>312.66000000000003</v>
      </c>
      <c r="L253" s="175">
        <v>773.54</v>
      </c>
      <c r="M253" s="158">
        <v>7.74</v>
      </c>
      <c r="N253" s="91">
        <f t="shared" si="38"/>
        <v>201.125</v>
      </c>
      <c r="O253" s="411">
        <f t="shared" si="34"/>
        <v>111.53500000000003</v>
      </c>
      <c r="P253" s="132" t="s">
        <v>621</v>
      </c>
      <c r="Q253" s="232"/>
      <c r="R253" s="411"/>
      <c r="T253" s="134" t="s">
        <v>314</v>
      </c>
      <c r="U253" s="267" t="s">
        <v>705</v>
      </c>
      <c r="W253" s="153" t="s">
        <v>706</v>
      </c>
      <c r="AA253" s="218"/>
    </row>
    <row r="254" spans="1:27" x14ac:dyDescent="0.25">
      <c r="A254" s="405">
        <v>3000155</v>
      </c>
      <c r="B254" s="406">
        <v>42376</v>
      </c>
      <c r="C254" s="405" t="s">
        <v>63</v>
      </c>
      <c r="D254" s="401" t="s">
        <v>707</v>
      </c>
      <c r="E254" s="120">
        <v>670</v>
      </c>
      <c r="F254" s="133" t="s">
        <v>708</v>
      </c>
      <c r="G254" s="404" t="s">
        <v>45</v>
      </c>
      <c r="H254" s="411">
        <v>2800</v>
      </c>
      <c r="I254" s="411">
        <v>0</v>
      </c>
      <c r="J254" s="396">
        <f>-((H254*0.022)+0.3)</f>
        <v>-61.899999999999991</v>
      </c>
      <c r="K254" s="90">
        <f>SUM(H254:J254)</f>
        <v>2738.1</v>
      </c>
      <c r="L254" s="131">
        <v>2515</v>
      </c>
      <c r="M254" s="158">
        <v>400</v>
      </c>
      <c r="N254" s="91">
        <f t="shared" si="38"/>
        <v>2085.0500000000002</v>
      </c>
      <c r="O254" s="411">
        <f t="shared" si="34"/>
        <v>653.04999999999973</v>
      </c>
      <c r="P254" s="132" t="s">
        <v>52</v>
      </c>
      <c r="Q254" s="232"/>
      <c r="R254" s="411"/>
      <c r="T254" s="134" t="s">
        <v>709</v>
      </c>
      <c r="U254" s="266" t="s">
        <v>709</v>
      </c>
      <c r="AA254" s="218"/>
    </row>
    <row r="255" spans="1:27" x14ac:dyDescent="0.25">
      <c r="A255" s="419">
        <v>3000156</v>
      </c>
      <c r="B255" s="421">
        <v>42376</v>
      </c>
      <c r="C255" s="419" t="s">
        <v>141</v>
      </c>
      <c r="D255" s="417" t="s">
        <v>710</v>
      </c>
      <c r="E255" s="120">
        <v>1600</v>
      </c>
      <c r="F255" s="133" t="s">
        <v>711</v>
      </c>
      <c r="G255" s="434" t="s">
        <v>45</v>
      </c>
      <c r="H255" s="427">
        <v>36756</v>
      </c>
      <c r="I255" s="427">
        <v>0</v>
      </c>
      <c r="J255" s="425">
        <f>-((H255*0.035)+0.3)</f>
        <v>-1286.76</v>
      </c>
      <c r="K255" s="425">
        <f>SUM(H255:J255)</f>
        <v>35469.24</v>
      </c>
      <c r="L255" s="158">
        <v>6000</v>
      </c>
      <c r="M255" s="158">
        <v>0</v>
      </c>
      <c r="N255" s="91">
        <f t="shared" si="38"/>
        <v>9600</v>
      </c>
      <c r="O255" s="411">
        <f t="shared" si="34"/>
        <v>25869.239999999998</v>
      </c>
      <c r="P255" s="132" t="s">
        <v>66</v>
      </c>
      <c r="Q255" s="232"/>
      <c r="R255" s="411"/>
      <c r="T255" s="134" t="s">
        <v>712</v>
      </c>
      <c r="U255" s="266">
        <v>318398906</v>
      </c>
      <c r="AA255" s="218"/>
    </row>
    <row r="256" spans="1:27" x14ac:dyDescent="0.25">
      <c r="A256" s="432"/>
      <c r="B256" s="433"/>
      <c r="C256" s="432"/>
      <c r="D256" s="454"/>
      <c r="E256" s="120">
        <v>772</v>
      </c>
      <c r="F256" s="133" t="s">
        <v>713</v>
      </c>
      <c r="G256" s="435"/>
      <c r="H256" s="438"/>
      <c r="I256" s="438"/>
      <c r="J256" s="437"/>
      <c r="K256" s="437"/>
      <c r="L256" s="158">
        <v>18000</v>
      </c>
      <c r="M256" s="158">
        <v>0</v>
      </c>
      <c r="N256" s="91">
        <f t="shared" si="38"/>
        <v>13896</v>
      </c>
      <c r="O256" s="411">
        <f t="shared" si="34"/>
        <v>-13896</v>
      </c>
      <c r="P256" s="132" t="s">
        <v>66</v>
      </c>
      <c r="Q256" s="232"/>
      <c r="R256" s="411"/>
      <c r="T256" s="134" t="s">
        <v>714</v>
      </c>
      <c r="U256" s="266">
        <v>4493103100</v>
      </c>
      <c r="V256" s="133" t="s">
        <v>715</v>
      </c>
      <c r="AA256" s="218"/>
    </row>
    <row r="257" spans="1:27" x14ac:dyDescent="0.25">
      <c r="A257" s="432"/>
      <c r="B257" s="433"/>
      <c r="C257" s="432"/>
      <c r="D257" s="454"/>
      <c r="E257" s="120">
        <v>450</v>
      </c>
      <c r="F257" s="133" t="s">
        <v>716</v>
      </c>
      <c r="G257" s="435"/>
      <c r="H257" s="438"/>
      <c r="I257" s="438"/>
      <c r="J257" s="437"/>
      <c r="K257" s="437"/>
      <c r="L257" s="158">
        <v>890</v>
      </c>
      <c r="M257" s="158">
        <v>131</v>
      </c>
      <c r="N257" s="91">
        <f t="shared" si="38"/>
        <v>531.5</v>
      </c>
      <c r="O257" s="411">
        <f t="shared" si="34"/>
        <v>-531.5</v>
      </c>
      <c r="P257" s="132" t="s">
        <v>76</v>
      </c>
      <c r="Q257" s="232"/>
      <c r="R257" s="411"/>
      <c r="T257" s="134" t="s">
        <v>717</v>
      </c>
      <c r="U257" s="266">
        <v>16326544</v>
      </c>
      <c r="V257" s="168" t="s">
        <v>718</v>
      </c>
      <c r="AA257" s="218"/>
    </row>
    <row r="258" spans="1:27" ht="24" x14ac:dyDescent="0.25">
      <c r="A258" s="432"/>
      <c r="B258" s="433"/>
      <c r="C258" s="432"/>
      <c r="D258" s="454"/>
      <c r="E258" s="120">
        <v>1000</v>
      </c>
      <c r="F258" s="133" t="s">
        <v>719</v>
      </c>
      <c r="G258" s="435"/>
      <c r="H258" s="438"/>
      <c r="I258" s="438"/>
      <c r="J258" s="437"/>
      <c r="K258" s="437"/>
      <c r="L258" s="131">
        <v>180</v>
      </c>
      <c r="M258" s="158">
        <v>56.48</v>
      </c>
      <c r="N258" s="91">
        <f t="shared" si="38"/>
        <v>236.48</v>
      </c>
      <c r="O258" s="411">
        <f t="shared" si="34"/>
        <v>-236.48</v>
      </c>
      <c r="P258" s="132" t="s">
        <v>52</v>
      </c>
      <c r="Q258" s="232"/>
      <c r="R258" s="411"/>
      <c r="T258" s="134" t="s">
        <v>145</v>
      </c>
      <c r="U258" s="302" t="s">
        <v>720</v>
      </c>
      <c r="V258" s="133" t="s">
        <v>721</v>
      </c>
      <c r="AA258" s="218"/>
    </row>
    <row r="259" spans="1:27" ht="21.75" customHeight="1" x14ac:dyDescent="0.25">
      <c r="A259" s="420"/>
      <c r="B259" s="422"/>
      <c r="C259" s="420"/>
      <c r="D259" s="418"/>
      <c r="E259" s="120">
        <v>1000</v>
      </c>
      <c r="F259" s="133" t="s">
        <v>722</v>
      </c>
      <c r="G259" s="436"/>
      <c r="H259" s="428"/>
      <c r="I259" s="428"/>
      <c r="J259" s="426"/>
      <c r="K259" s="426"/>
      <c r="L259" s="158">
        <v>4900</v>
      </c>
      <c r="M259" s="177">
        <v>340</v>
      </c>
      <c r="N259" s="91">
        <f t="shared" si="38"/>
        <v>5240</v>
      </c>
      <c r="O259" s="411">
        <f t="shared" si="34"/>
        <v>-5240</v>
      </c>
      <c r="P259" s="132" t="s">
        <v>723</v>
      </c>
      <c r="Q259" s="232"/>
      <c r="R259" s="411"/>
      <c r="T259" s="134" t="s">
        <v>639</v>
      </c>
      <c r="U259" s="302" t="s">
        <v>724</v>
      </c>
      <c r="V259" s="133" t="s">
        <v>55</v>
      </c>
      <c r="AA259" s="218"/>
    </row>
    <row r="260" spans="1:27" x14ac:dyDescent="0.25">
      <c r="A260" s="405">
        <v>3000157</v>
      </c>
      <c r="B260" s="406">
        <v>42376</v>
      </c>
      <c r="C260" s="405" t="s">
        <v>694</v>
      </c>
      <c r="D260" s="401" t="s">
        <v>725</v>
      </c>
      <c r="E260" s="120">
        <v>200</v>
      </c>
      <c r="F260" s="133" t="s">
        <v>222</v>
      </c>
      <c r="G260" s="404" t="s">
        <v>45</v>
      </c>
      <c r="H260" s="411">
        <v>443.19</v>
      </c>
      <c r="I260" s="411">
        <v>0</v>
      </c>
      <c r="J260" s="90">
        <f>-((H260*0.019)+0.3)</f>
        <v>-8.7206100000000006</v>
      </c>
      <c r="K260" s="90">
        <f t="shared" ref="K260:K273" si="40">SUM(H260:J260)</f>
        <v>434.46938999999998</v>
      </c>
      <c r="N260" s="91">
        <f t="shared" si="38"/>
        <v>0</v>
      </c>
      <c r="O260" s="411">
        <f t="shared" si="34"/>
        <v>434.46938999999998</v>
      </c>
      <c r="P260" s="132" t="s">
        <v>86</v>
      </c>
      <c r="Q260" s="232"/>
      <c r="R260" s="411"/>
      <c r="T260" s="134" t="s">
        <v>717</v>
      </c>
      <c r="U260" s="267" t="s">
        <v>726</v>
      </c>
      <c r="V260" s="133" t="s">
        <v>727</v>
      </c>
      <c r="W260" s="153" t="s">
        <v>728</v>
      </c>
      <c r="AA260" s="218"/>
    </row>
    <row r="261" spans="1:27" ht="24" x14ac:dyDescent="0.25">
      <c r="A261" s="405">
        <v>3000158</v>
      </c>
      <c r="B261" s="406">
        <v>42377</v>
      </c>
      <c r="C261" s="405" t="s">
        <v>159</v>
      </c>
      <c r="D261" s="401" t="s">
        <v>729</v>
      </c>
      <c r="E261" s="120">
        <v>100</v>
      </c>
      <c r="F261" s="133" t="s">
        <v>161</v>
      </c>
      <c r="G261" s="404" t="s">
        <v>45</v>
      </c>
      <c r="H261" s="411">
        <v>296</v>
      </c>
      <c r="I261" s="411">
        <v>0</v>
      </c>
      <c r="J261" s="90">
        <f>-((H261*0.019)+0.3)</f>
        <v>-5.9239999999999995</v>
      </c>
      <c r="K261" s="90">
        <f t="shared" si="40"/>
        <v>290.07600000000002</v>
      </c>
      <c r="L261" s="131">
        <v>1450</v>
      </c>
      <c r="M261" s="158">
        <v>27.53</v>
      </c>
      <c r="N261" s="91">
        <f t="shared" si="38"/>
        <v>172.53</v>
      </c>
      <c r="O261" s="411">
        <f t="shared" si="34"/>
        <v>117.54600000000002</v>
      </c>
      <c r="P261" s="132" t="s">
        <v>52</v>
      </c>
      <c r="Q261" s="232"/>
      <c r="R261" s="411"/>
      <c r="T261" s="134" t="s">
        <v>145</v>
      </c>
      <c r="U261" s="267" t="s">
        <v>730</v>
      </c>
      <c r="W261" s="153" t="s">
        <v>731</v>
      </c>
      <c r="AA261" s="218"/>
    </row>
    <row r="262" spans="1:27" x14ac:dyDescent="0.25">
      <c r="A262" s="405">
        <v>3000159</v>
      </c>
      <c r="B262" s="406">
        <v>42377</v>
      </c>
      <c r="C262" s="405" t="s">
        <v>63</v>
      </c>
      <c r="D262" s="401" t="s">
        <v>732</v>
      </c>
      <c r="E262" s="120">
        <v>500</v>
      </c>
      <c r="F262" s="133" t="s">
        <v>288</v>
      </c>
      <c r="G262" s="404" t="s">
        <v>45</v>
      </c>
      <c r="H262" s="411">
        <v>772</v>
      </c>
      <c r="I262" s="411">
        <v>0</v>
      </c>
      <c r="J262" s="396">
        <f>-((H262*0.022)+0.3)</f>
        <v>-17.283999999999999</v>
      </c>
      <c r="K262" s="90">
        <f t="shared" si="40"/>
        <v>754.71600000000001</v>
      </c>
      <c r="L262" s="131">
        <v>1069</v>
      </c>
      <c r="M262" s="158">
        <v>124.32</v>
      </c>
      <c r="N262" s="91">
        <f t="shared" si="38"/>
        <v>658.81999999999994</v>
      </c>
      <c r="O262" s="411">
        <f t="shared" si="34"/>
        <v>95.896000000000072</v>
      </c>
      <c r="P262" s="132" t="s">
        <v>52</v>
      </c>
      <c r="Q262" s="232"/>
      <c r="R262" s="411"/>
      <c r="T262" s="134" t="s">
        <v>97</v>
      </c>
      <c r="U262" s="267" t="s">
        <v>733</v>
      </c>
      <c r="V262" s="133" t="s">
        <v>55</v>
      </c>
      <c r="W262" s="153" t="s">
        <v>734</v>
      </c>
      <c r="AA262" s="218"/>
    </row>
    <row r="263" spans="1:27" ht="24" x14ac:dyDescent="0.25">
      <c r="A263" s="405">
        <v>3000160</v>
      </c>
      <c r="B263" s="406">
        <v>42377</v>
      </c>
      <c r="C263" s="405" t="s">
        <v>42</v>
      </c>
      <c r="D263" s="401" t="s">
        <v>735</v>
      </c>
      <c r="E263" s="120">
        <v>100</v>
      </c>
      <c r="F263" s="133" t="s">
        <v>161</v>
      </c>
      <c r="G263" s="404" t="s">
        <v>45</v>
      </c>
      <c r="H263" s="411">
        <v>235</v>
      </c>
      <c r="I263" s="89">
        <f t="shared" ref="I263:I265" si="41">-(H263*0.09)</f>
        <v>-21.15</v>
      </c>
      <c r="J263" s="90">
        <f>-((H263*0.019)+0.3)</f>
        <v>-4.7649999999999997</v>
      </c>
      <c r="K263" s="90">
        <f t="shared" si="40"/>
        <v>209.08500000000001</v>
      </c>
      <c r="L263" s="131">
        <v>1450</v>
      </c>
      <c r="M263" s="158">
        <v>26.75</v>
      </c>
      <c r="N263" s="91">
        <f t="shared" si="38"/>
        <v>171.75</v>
      </c>
      <c r="O263" s="411">
        <f t="shared" si="34"/>
        <v>37.335000000000008</v>
      </c>
      <c r="P263" s="132" t="s">
        <v>52</v>
      </c>
      <c r="Q263" s="232"/>
      <c r="R263" s="411"/>
      <c r="T263" s="134" t="s">
        <v>145</v>
      </c>
      <c r="U263" s="267" t="s">
        <v>736</v>
      </c>
      <c r="AA263" s="218"/>
    </row>
    <row r="264" spans="1:27" ht="24" x14ac:dyDescent="0.25">
      <c r="A264" s="405">
        <v>3000161</v>
      </c>
      <c r="B264" s="406">
        <v>42377</v>
      </c>
      <c r="C264" s="405" t="s">
        <v>42</v>
      </c>
      <c r="D264" s="401" t="s">
        <v>737</v>
      </c>
      <c r="E264" s="120">
        <v>250</v>
      </c>
      <c r="F264" s="133" t="s">
        <v>288</v>
      </c>
      <c r="G264" s="404" t="s">
        <v>45</v>
      </c>
      <c r="H264" s="411">
        <v>420.79</v>
      </c>
      <c r="I264" s="89">
        <f t="shared" si="41"/>
        <v>-37.871099999999998</v>
      </c>
      <c r="J264" s="90">
        <f>-((H264*0.019)+0.3)</f>
        <v>-8.2950100000000013</v>
      </c>
      <c r="K264" s="90">
        <f t="shared" si="40"/>
        <v>374.62389000000002</v>
      </c>
      <c r="L264" s="131">
        <v>1069</v>
      </c>
      <c r="M264" s="158">
        <v>74.13</v>
      </c>
      <c r="N264" s="91">
        <f t="shared" si="38"/>
        <v>341.38</v>
      </c>
      <c r="O264" s="411">
        <f t="shared" si="34"/>
        <v>33.243890000000022</v>
      </c>
      <c r="P264" s="132" t="s">
        <v>52</v>
      </c>
      <c r="Q264" s="232"/>
      <c r="R264" s="411"/>
      <c r="T264" s="134" t="s">
        <v>145</v>
      </c>
      <c r="U264" s="267" t="s">
        <v>738</v>
      </c>
      <c r="AA264" s="218"/>
    </row>
    <row r="265" spans="1:27" ht="24" x14ac:dyDescent="0.25">
      <c r="A265" s="405">
        <v>3000162</v>
      </c>
      <c r="B265" s="406">
        <v>42377</v>
      </c>
      <c r="C265" s="405" t="s">
        <v>42</v>
      </c>
      <c r="D265" s="401" t="s">
        <v>739</v>
      </c>
      <c r="E265" s="120">
        <v>5</v>
      </c>
      <c r="F265" s="133" t="s">
        <v>161</v>
      </c>
      <c r="G265" s="404" t="s">
        <v>45</v>
      </c>
      <c r="H265" s="411">
        <v>17.5</v>
      </c>
      <c r="I265" s="89">
        <f t="shared" si="41"/>
        <v>-1.575</v>
      </c>
      <c r="J265" s="90">
        <f>-((H265*0.019)+0.3)</f>
        <v>-0.63250000000000006</v>
      </c>
      <c r="K265" s="90">
        <f t="shared" si="40"/>
        <v>15.2925</v>
      </c>
      <c r="L265" s="131">
        <v>1450</v>
      </c>
      <c r="M265" s="158">
        <v>18.62</v>
      </c>
      <c r="N265" s="91">
        <f t="shared" si="38"/>
        <v>25.87</v>
      </c>
      <c r="O265" s="411">
        <f t="shared" si="34"/>
        <v>-10.577500000000001</v>
      </c>
      <c r="P265" s="132" t="s">
        <v>52</v>
      </c>
      <c r="Q265" s="232"/>
      <c r="R265" s="411"/>
      <c r="T265" s="134" t="s">
        <v>145</v>
      </c>
      <c r="U265" s="267" t="s">
        <v>740</v>
      </c>
      <c r="AA265" s="218"/>
    </row>
    <row r="266" spans="1:27" ht="24" x14ac:dyDescent="0.25">
      <c r="A266" s="405">
        <v>3000163</v>
      </c>
      <c r="B266" s="406">
        <v>42377</v>
      </c>
      <c r="C266" s="405" t="s">
        <v>237</v>
      </c>
      <c r="D266" s="401" t="s">
        <v>741</v>
      </c>
      <c r="E266" s="120">
        <v>100</v>
      </c>
      <c r="F266" s="133" t="s">
        <v>431</v>
      </c>
      <c r="G266" s="404" t="s">
        <v>45</v>
      </c>
      <c r="H266" s="411">
        <v>292.35000000000002</v>
      </c>
      <c r="I266" s="89">
        <f>-(H266*0.15)</f>
        <v>-43.852499999999999</v>
      </c>
      <c r="J266" s="90">
        <v>0</v>
      </c>
      <c r="K266" s="90">
        <f t="shared" si="40"/>
        <v>248.49750000000003</v>
      </c>
      <c r="L266" s="131">
        <v>1050</v>
      </c>
      <c r="M266" s="158">
        <v>40.799999999999997</v>
      </c>
      <c r="N266" s="91">
        <f t="shared" si="38"/>
        <v>145.80000000000001</v>
      </c>
      <c r="O266" s="411">
        <f t="shared" si="34"/>
        <v>102.69750000000002</v>
      </c>
      <c r="P266" s="132" t="s">
        <v>52</v>
      </c>
      <c r="Q266" s="232"/>
      <c r="R266" s="411"/>
      <c r="T266" s="134" t="s">
        <v>145</v>
      </c>
      <c r="U266" s="267" t="s">
        <v>742</v>
      </c>
      <c r="AA266" s="218"/>
    </row>
    <row r="267" spans="1:27" ht="24" x14ac:dyDescent="0.25">
      <c r="A267" s="405">
        <v>3000164</v>
      </c>
      <c r="B267" s="406">
        <v>42377</v>
      </c>
      <c r="C267" s="405" t="s">
        <v>237</v>
      </c>
      <c r="D267" s="401" t="s">
        <v>743</v>
      </c>
      <c r="E267" s="120">
        <v>500</v>
      </c>
      <c r="F267" s="133" t="s">
        <v>451</v>
      </c>
      <c r="G267" s="404" t="s">
        <v>45</v>
      </c>
      <c r="H267" s="411">
        <v>330</v>
      </c>
      <c r="I267" s="89">
        <f>-(H267*0.15)</f>
        <v>-49.5</v>
      </c>
      <c r="J267" s="411">
        <v>0</v>
      </c>
      <c r="K267" s="90">
        <f t="shared" si="40"/>
        <v>280.5</v>
      </c>
      <c r="M267" s="158">
        <v>59.29</v>
      </c>
      <c r="N267" s="91">
        <f t="shared" si="38"/>
        <v>59.29</v>
      </c>
      <c r="O267" s="411">
        <f t="shared" ref="O267:O328" si="42">K267-N267</f>
        <v>221.21</v>
      </c>
      <c r="P267" s="132" t="s">
        <v>52</v>
      </c>
      <c r="Q267" s="232"/>
      <c r="R267" s="411"/>
      <c r="T267" s="134" t="s">
        <v>145</v>
      </c>
      <c r="U267" s="267" t="s">
        <v>744</v>
      </c>
      <c r="AA267" s="218"/>
    </row>
    <row r="268" spans="1:27" ht="24" x14ac:dyDescent="0.25">
      <c r="A268" s="405">
        <v>3000165</v>
      </c>
      <c r="B268" s="406">
        <v>42377</v>
      </c>
      <c r="C268" s="405" t="s">
        <v>237</v>
      </c>
      <c r="D268" s="401" t="s">
        <v>745</v>
      </c>
      <c r="E268" s="120">
        <v>100</v>
      </c>
      <c r="F268" s="133" t="s">
        <v>288</v>
      </c>
      <c r="G268" s="404" t="s">
        <v>45</v>
      </c>
      <c r="H268" s="411">
        <v>150.94999999999999</v>
      </c>
      <c r="I268" s="89">
        <f>-(H268*0.15)</f>
        <v>-22.642499999999998</v>
      </c>
      <c r="J268" s="411">
        <v>0</v>
      </c>
      <c r="K268" s="90">
        <f t="shared" si="40"/>
        <v>128.3075</v>
      </c>
      <c r="L268" s="131">
        <v>1069</v>
      </c>
      <c r="M268" s="158">
        <v>34.380000000000003</v>
      </c>
      <c r="N268" s="91">
        <f t="shared" si="38"/>
        <v>141.28</v>
      </c>
      <c r="O268" s="411">
        <f t="shared" si="42"/>
        <v>-12.972499999999997</v>
      </c>
      <c r="P268" s="132" t="s">
        <v>52</v>
      </c>
      <c r="Q268" s="232"/>
      <c r="R268" s="411"/>
      <c r="T268" s="134" t="s">
        <v>145</v>
      </c>
      <c r="U268" s="267" t="s">
        <v>746</v>
      </c>
      <c r="AA268" s="218"/>
    </row>
    <row r="269" spans="1:27" ht="24" x14ac:dyDescent="0.25">
      <c r="A269" s="405">
        <v>3000166</v>
      </c>
      <c r="B269" s="406">
        <v>42377</v>
      </c>
      <c r="C269" s="405" t="s">
        <v>237</v>
      </c>
      <c r="D269" s="401" t="s">
        <v>747</v>
      </c>
      <c r="E269" s="120">
        <v>100</v>
      </c>
      <c r="F269" s="133" t="s">
        <v>161</v>
      </c>
      <c r="G269" s="404" t="s">
        <v>45</v>
      </c>
      <c r="H269" s="411">
        <v>270.10000000000002</v>
      </c>
      <c r="I269" s="89">
        <f>-(H269*0.15)</f>
        <v>-40.515000000000001</v>
      </c>
      <c r="J269" s="411">
        <v>0</v>
      </c>
      <c r="K269" s="90">
        <f t="shared" si="40"/>
        <v>229.58500000000004</v>
      </c>
      <c r="L269" s="131">
        <v>1450</v>
      </c>
      <c r="M269" s="158">
        <v>45.53</v>
      </c>
      <c r="N269" s="91">
        <f t="shared" si="38"/>
        <v>190.53</v>
      </c>
      <c r="O269" s="411">
        <f t="shared" si="42"/>
        <v>39.055000000000035</v>
      </c>
      <c r="P269" s="132" t="s">
        <v>52</v>
      </c>
      <c r="Q269" s="232"/>
      <c r="R269" s="411"/>
      <c r="T269" s="134" t="s">
        <v>145</v>
      </c>
      <c r="U269" s="267" t="s">
        <v>748</v>
      </c>
      <c r="AA269" s="218"/>
    </row>
    <row r="270" spans="1:27" ht="24" x14ac:dyDescent="0.25">
      <c r="A270" s="405">
        <v>3000167</v>
      </c>
      <c r="B270" s="406">
        <v>42377</v>
      </c>
      <c r="C270" s="405" t="s">
        <v>237</v>
      </c>
      <c r="D270" s="401" t="s">
        <v>749</v>
      </c>
      <c r="E270" s="120">
        <v>15</v>
      </c>
      <c r="F270" s="133" t="s">
        <v>176</v>
      </c>
      <c r="G270" s="404" t="s">
        <v>45</v>
      </c>
      <c r="H270" s="411">
        <v>91.17</v>
      </c>
      <c r="I270" s="89">
        <f>-(H270*0.15)</f>
        <v>-13.6755</v>
      </c>
      <c r="J270" s="411">
        <v>0</v>
      </c>
      <c r="K270" s="90">
        <f t="shared" si="40"/>
        <v>77.494500000000002</v>
      </c>
      <c r="L270" s="131">
        <v>1700</v>
      </c>
      <c r="M270" s="158">
        <v>16.559999999999999</v>
      </c>
      <c r="N270" s="91">
        <f t="shared" si="38"/>
        <v>42.06</v>
      </c>
      <c r="O270" s="411">
        <f t="shared" si="42"/>
        <v>35.4345</v>
      </c>
      <c r="P270" s="132" t="s">
        <v>52</v>
      </c>
      <c r="Q270" s="232"/>
      <c r="R270" s="411"/>
      <c r="T270" s="134" t="s">
        <v>145</v>
      </c>
      <c r="U270" s="267" t="s">
        <v>750</v>
      </c>
      <c r="AA270" s="218"/>
    </row>
    <row r="271" spans="1:27" ht="24" x14ac:dyDescent="0.25">
      <c r="A271" s="405">
        <v>3000168</v>
      </c>
      <c r="B271" s="406">
        <v>42377</v>
      </c>
      <c r="C271" s="405" t="s">
        <v>42</v>
      </c>
      <c r="D271" s="401" t="s">
        <v>751</v>
      </c>
      <c r="E271" s="120">
        <v>250</v>
      </c>
      <c r="F271" s="133" t="s">
        <v>752</v>
      </c>
      <c r="G271" s="404" t="s">
        <v>45</v>
      </c>
      <c r="H271" s="411">
        <v>166.57</v>
      </c>
      <c r="I271" s="89">
        <f t="shared" ref="I271" si="43">-(H271*0.09)</f>
        <v>-14.991299999999999</v>
      </c>
      <c r="J271" s="90">
        <f>-((H271*0.019)+0.3)</f>
        <v>-3.4648299999999996</v>
      </c>
      <c r="K271" s="90">
        <f t="shared" si="40"/>
        <v>148.11386999999999</v>
      </c>
      <c r="L271" s="158">
        <v>380</v>
      </c>
      <c r="M271" s="158">
        <v>37.61</v>
      </c>
      <c r="N271" s="91">
        <f t="shared" si="38"/>
        <v>132.61000000000001</v>
      </c>
      <c r="O271" s="411">
        <f t="shared" si="42"/>
        <v>15.503869999999978</v>
      </c>
      <c r="P271" s="132" t="s">
        <v>46</v>
      </c>
      <c r="Q271" s="232"/>
      <c r="R271" s="411"/>
      <c r="T271" s="134" t="s">
        <v>324</v>
      </c>
      <c r="U271" s="267" t="s">
        <v>753</v>
      </c>
      <c r="AA271" s="218"/>
    </row>
    <row r="272" spans="1:27" x14ac:dyDescent="0.25">
      <c r="A272" s="405">
        <v>3000169</v>
      </c>
      <c r="B272" s="406">
        <v>42377</v>
      </c>
      <c r="C272" s="405" t="s">
        <v>327</v>
      </c>
      <c r="D272" s="401" t="s">
        <v>754</v>
      </c>
      <c r="E272" s="120">
        <v>130</v>
      </c>
      <c r="F272" s="133" t="s">
        <v>85</v>
      </c>
      <c r="G272" s="404" t="s">
        <v>45</v>
      </c>
      <c r="H272" s="411">
        <v>387.3</v>
      </c>
      <c r="I272" s="411">
        <v>0</v>
      </c>
      <c r="J272" s="396">
        <f>-((H272*0.022)+0.3)</f>
        <v>-8.8206000000000007</v>
      </c>
      <c r="K272" s="90">
        <f t="shared" si="40"/>
        <v>378.4794</v>
      </c>
      <c r="L272" s="158">
        <v>1880</v>
      </c>
      <c r="M272" s="131">
        <v>0</v>
      </c>
      <c r="N272" s="91">
        <f t="shared" si="38"/>
        <v>244.4</v>
      </c>
      <c r="O272" s="411">
        <f t="shared" si="42"/>
        <v>134.07939999999999</v>
      </c>
      <c r="P272" s="132" t="s">
        <v>313</v>
      </c>
      <c r="Q272" s="232"/>
      <c r="R272" s="411">
        <v>23.38</v>
      </c>
      <c r="T272" s="134" t="s">
        <v>755</v>
      </c>
      <c r="U272" s="266" t="s">
        <v>756</v>
      </c>
      <c r="W272" s="153" t="s">
        <v>757</v>
      </c>
      <c r="AA272" s="218"/>
    </row>
    <row r="273" spans="1:27" x14ac:dyDescent="0.25">
      <c r="A273" s="419">
        <v>3000170</v>
      </c>
      <c r="B273" s="421">
        <v>42377</v>
      </c>
      <c r="C273" s="419" t="s">
        <v>573</v>
      </c>
      <c r="D273" s="417" t="s">
        <v>758</v>
      </c>
      <c r="E273" s="120">
        <v>80</v>
      </c>
      <c r="F273" s="133" t="s">
        <v>759</v>
      </c>
      <c r="G273" s="434" t="s">
        <v>45</v>
      </c>
      <c r="H273" s="427">
        <v>18600</v>
      </c>
      <c r="I273" s="427">
        <v>0</v>
      </c>
      <c r="J273" s="427">
        <v>0</v>
      </c>
      <c r="K273" s="425">
        <f t="shared" si="40"/>
        <v>18600</v>
      </c>
      <c r="L273" s="131">
        <v>3800</v>
      </c>
      <c r="M273" s="131">
        <v>0</v>
      </c>
      <c r="N273" s="91">
        <f t="shared" si="38"/>
        <v>304</v>
      </c>
      <c r="O273" s="411">
        <f t="shared" si="42"/>
        <v>18296</v>
      </c>
      <c r="P273" s="132" t="s">
        <v>601</v>
      </c>
      <c r="Q273" s="232"/>
      <c r="R273" s="411"/>
      <c r="T273" s="470" t="s">
        <v>760</v>
      </c>
      <c r="U273" s="565" t="s">
        <v>761</v>
      </c>
      <c r="V273" s="567" t="s">
        <v>762</v>
      </c>
      <c r="AA273" s="218"/>
    </row>
    <row r="274" spans="1:27" ht="24.75" customHeight="1" x14ac:dyDescent="0.25">
      <c r="A274" s="420"/>
      <c r="B274" s="422"/>
      <c r="C274" s="420"/>
      <c r="D274" s="418"/>
      <c r="E274" s="120">
        <v>1000</v>
      </c>
      <c r="F274" s="170" t="s">
        <v>763</v>
      </c>
      <c r="G274" s="436"/>
      <c r="H274" s="428"/>
      <c r="I274" s="428"/>
      <c r="J274" s="428"/>
      <c r="K274" s="426"/>
      <c r="L274" s="131">
        <v>11400</v>
      </c>
      <c r="N274" s="91">
        <f t="shared" si="38"/>
        <v>11400</v>
      </c>
      <c r="O274" s="411">
        <f t="shared" si="42"/>
        <v>-11400</v>
      </c>
      <c r="P274" s="132" t="s">
        <v>601</v>
      </c>
      <c r="Q274" s="232"/>
      <c r="R274" s="411"/>
      <c r="T274" s="472"/>
      <c r="U274" s="566"/>
      <c r="V274" s="568"/>
      <c r="AA274" s="218"/>
    </row>
    <row r="275" spans="1:27" ht="24" x14ac:dyDescent="0.25">
      <c r="A275" s="405">
        <v>3000171</v>
      </c>
      <c r="B275" s="406">
        <v>42380</v>
      </c>
      <c r="C275" s="405" t="s">
        <v>159</v>
      </c>
      <c r="D275" s="401" t="s">
        <v>764</v>
      </c>
      <c r="E275" s="120">
        <v>50</v>
      </c>
      <c r="F275" s="133" t="s">
        <v>472</v>
      </c>
      <c r="G275" s="404" t="s">
        <v>45</v>
      </c>
      <c r="H275" s="411">
        <v>35</v>
      </c>
      <c r="I275" s="411">
        <v>0</v>
      </c>
      <c r="J275" s="90">
        <f>-((H275*0.019)+0.3)</f>
        <v>-0.96500000000000008</v>
      </c>
      <c r="K275" s="90">
        <f t="shared" ref="K275:K281" si="44">SUM(H275:J275)</f>
        <v>34.034999999999997</v>
      </c>
      <c r="L275" s="131">
        <v>200</v>
      </c>
      <c r="N275" s="91">
        <f t="shared" si="38"/>
        <v>10</v>
      </c>
      <c r="O275" s="411">
        <f t="shared" si="42"/>
        <v>24.034999999999997</v>
      </c>
      <c r="P275" s="132" t="s">
        <v>86</v>
      </c>
      <c r="Q275" s="232"/>
      <c r="R275" s="411"/>
      <c r="T275" s="134" t="s">
        <v>324</v>
      </c>
      <c r="U275" s="267" t="s">
        <v>765</v>
      </c>
      <c r="W275" s="153" t="s">
        <v>766</v>
      </c>
      <c r="AA275" s="218"/>
    </row>
    <row r="276" spans="1:27" ht="36" x14ac:dyDescent="0.25">
      <c r="A276" s="405">
        <v>3000172</v>
      </c>
      <c r="B276" s="406">
        <v>42380</v>
      </c>
      <c r="C276" s="405" t="s">
        <v>159</v>
      </c>
      <c r="D276" s="401" t="s">
        <v>767</v>
      </c>
      <c r="E276" s="120">
        <v>105</v>
      </c>
      <c r="F276" s="133" t="s">
        <v>549</v>
      </c>
      <c r="G276" s="404" t="s">
        <v>45</v>
      </c>
      <c r="H276" s="411">
        <v>742.35</v>
      </c>
      <c r="I276" s="411">
        <v>0</v>
      </c>
      <c r="J276" s="90">
        <f>-((H276*0.019)+0.3)</f>
        <v>-14.40465</v>
      </c>
      <c r="K276" s="90">
        <f t="shared" si="44"/>
        <v>727.94535000000008</v>
      </c>
      <c r="L276" s="158">
        <v>3921</v>
      </c>
      <c r="M276" s="158">
        <v>0</v>
      </c>
      <c r="N276" s="91">
        <f t="shared" si="38"/>
        <v>411.70499999999998</v>
      </c>
      <c r="O276" s="411">
        <f t="shared" si="42"/>
        <v>316.24035000000009</v>
      </c>
      <c r="P276" s="132" t="s">
        <v>59</v>
      </c>
      <c r="Q276" s="232"/>
      <c r="R276" s="411"/>
      <c r="T276" s="134" t="s">
        <v>60</v>
      </c>
      <c r="U276" s="266">
        <v>3491466226</v>
      </c>
      <c r="W276" s="153" t="s">
        <v>768</v>
      </c>
      <c r="AA276" s="218"/>
    </row>
    <row r="277" spans="1:27" ht="24" x14ac:dyDescent="0.25">
      <c r="A277" s="405">
        <v>3000173</v>
      </c>
      <c r="B277" s="406">
        <v>42380</v>
      </c>
      <c r="C277" s="405" t="s">
        <v>159</v>
      </c>
      <c r="D277" s="401" t="s">
        <v>769</v>
      </c>
      <c r="E277" s="120">
        <v>142</v>
      </c>
      <c r="F277" s="133" t="s">
        <v>51</v>
      </c>
      <c r="G277" s="404" t="s">
        <v>45</v>
      </c>
      <c r="H277" s="411">
        <v>248.5</v>
      </c>
      <c r="I277" s="411">
        <v>0</v>
      </c>
      <c r="J277" s="90">
        <f>-((H277*0.019)+0.3)</f>
        <v>-5.0214999999999996</v>
      </c>
      <c r="K277" s="90">
        <f t="shared" si="44"/>
        <v>243.4785</v>
      </c>
      <c r="L277" s="131">
        <v>1015</v>
      </c>
      <c r="M277" s="158">
        <v>64.09</v>
      </c>
      <c r="N277" s="91">
        <f t="shared" si="38"/>
        <v>208.22000000000003</v>
      </c>
      <c r="O277" s="411">
        <f t="shared" si="42"/>
        <v>35.25849999999997</v>
      </c>
      <c r="P277" s="132" t="s">
        <v>52</v>
      </c>
      <c r="Q277" s="232"/>
      <c r="R277" s="411"/>
      <c r="T277" s="134" t="s">
        <v>145</v>
      </c>
      <c r="U277" s="267" t="s">
        <v>770</v>
      </c>
      <c r="W277" s="153" t="s">
        <v>771</v>
      </c>
      <c r="AA277" s="218"/>
    </row>
    <row r="278" spans="1:27" ht="24" x14ac:dyDescent="0.25">
      <c r="A278" s="405">
        <v>3000174</v>
      </c>
      <c r="B278" s="406">
        <v>42380</v>
      </c>
      <c r="C278" s="405" t="s">
        <v>159</v>
      </c>
      <c r="D278" s="401" t="s">
        <v>772</v>
      </c>
      <c r="E278" s="120">
        <v>50</v>
      </c>
      <c r="F278" s="133" t="s">
        <v>247</v>
      </c>
      <c r="G278" s="404" t="s">
        <v>45</v>
      </c>
      <c r="H278" s="411">
        <v>56</v>
      </c>
      <c r="I278" s="411">
        <v>0</v>
      </c>
      <c r="J278" s="90">
        <f>-((H278*0.019)+0.3)</f>
        <v>-1.3640000000000001</v>
      </c>
      <c r="K278" s="90">
        <f t="shared" si="44"/>
        <v>54.636000000000003</v>
      </c>
      <c r="L278" s="131">
        <v>580</v>
      </c>
      <c r="M278" s="158">
        <v>34.67</v>
      </c>
      <c r="N278" s="91">
        <f t="shared" si="38"/>
        <v>63.67</v>
      </c>
      <c r="O278" s="411">
        <f t="shared" si="42"/>
        <v>-9.0339999999999989</v>
      </c>
      <c r="P278" s="132" t="s">
        <v>52</v>
      </c>
      <c r="Q278" s="232"/>
      <c r="R278" s="411"/>
      <c r="T278" s="134" t="s">
        <v>145</v>
      </c>
      <c r="U278" s="267" t="s">
        <v>773</v>
      </c>
      <c r="W278" s="153" t="s">
        <v>774</v>
      </c>
      <c r="AA278" s="218"/>
    </row>
    <row r="279" spans="1:27" x14ac:dyDescent="0.25">
      <c r="A279" s="405">
        <v>3000175</v>
      </c>
      <c r="B279" s="406">
        <v>42380</v>
      </c>
      <c r="C279" s="405" t="s">
        <v>327</v>
      </c>
      <c r="D279" s="401" t="s">
        <v>775</v>
      </c>
      <c r="E279" s="120">
        <v>250</v>
      </c>
      <c r="F279" s="133" t="s">
        <v>481</v>
      </c>
      <c r="G279" s="404" t="s">
        <v>45</v>
      </c>
      <c r="H279" s="411">
        <v>482.5</v>
      </c>
      <c r="I279" s="411">
        <v>0</v>
      </c>
      <c r="J279" s="396">
        <f>-((H279*0.022)+0.3)</f>
        <v>-10.915000000000001</v>
      </c>
      <c r="K279" s="90">
        <f t="shared" si="44"/>
        <v>471.58499999999998</v>
      </c>
      <c r="L279" s="158">
        <v>680.34</v>
      </c>
      <c r="M279" s="158">
        <v>77</v>
      </c>
      <c r="N279" s="91">
        <f t="shared" si="38"/>
        <v>247.08500000000001</v>
      </c>
      <c r="O279" s="411">
        <f t="shared" si="42"/>
        <v>224.49999999999997</v>
      </c>
      <c r="P279" s="132" t="s">
        <v>46</v>
      </c>
      <c r="Q279" s="232"/>
      <c r="R279" s="411"/>
      <c r="T279" s="134" t="s">
        <v>463</v>
      </c>
      <c r="U279" s="267" t="s">
        <v>776</v>
      </c>
      <c r="W279" s="153" t="s">
        <v>777</v>
      </c>
      <c r="AA279" s="218"/>
    </row>
    <row r="280" spans="1:27" x14ac:dyDescent="0.25">
      <c r="A280" s="405">
        <v>3000176</v>
      </c>
      <c r="B280" s="406">
        <v>42380</v>
      </c>
      <c r="C280" s="405" t="s">
        <v>573</v>
      </c>
      <c r="D280" s="401" t="s">
        <v>778</v>
      </c>
      <c r="E280" s="120">
        <v>1476</v>
      </c>
      <c r="F280" s="119" t="s">
        <v>779</v>
      </c>
      <c r="G280" s="404" t="s">
        <v>45</v>
      </c>
      <c r="H280" s="411">
        <v>6587</v>
      </c>
      <c r="I280" s="411">
        <v>0</v>
      </c>
      <c r="J280" s="411">
        <v>0</v>
      </c>
      <c r="K280" s="90">
        <f t="shared" si="44"/>
        <v>6587</v>
      </c>
      <c r="L280" s="131">
        <v>4860</v>
      </c>
      <c r="M280" s="187">
        <v>395.51</v>
      </c>
      <c r="N280" s="91">
        <f t="shared" si="38"/>
        <v>7568.87</v>
      </c>
      <c r="O280" s="411"/>
      <c r="P280" s="132" t="s">
        <v>86</v>
      </c>
      <c r="Q280" s="232"/>
      <c r="R280" s="411"/>
      <c r="T280" s="134" t="s">
        <v>53</v>
      </c>
      <c r="U280" s="267" t="s">
        <v>780</v>
      </c>
      <c r="V280" s="119" t="s">
        <v>781</v>
      </c>
      <c r="W280" s="153" t="s">
        <v>782</v>
      </c>
      <c r="AA280" s="218"/>
    </row>
    <row r="281" spans="1:27" ht="15" customHeight="1" x14ac:dyDescent="0.25">
      <c r="A281" s="419">
        <v>3000177</v>
      </c>
      <c r="B281" s="421">
        <v>42380</v>
      </c>
      <c r="C281" s="419" t="s">
        <v>573</v>
      </c>
      <c r="D281" s="417" t="s">
        <v>783</v>
      </c>
      <c r="E281" s="120">
        <v>900</v>
      </c>
      <c r="F281" s="133" t="s">
        <v>784</v>
      </c>
      <c r="G281" s="434" t="s">
        <v>45</v>
      </c>
      <c r="H281" s="427">
        <v>15750.65</v>
      </c>
      <c r="I281" s="427">
        <v>0</v>
      </c>
      <c r="J281" s="427">
        <v>0</v>
      </c>
      <c r="K281" s="425">
        <f t="shared" si="44"/>
        <v>15750.65</v>
      </c>
      <c r="L281" s="131">
        <v>4760</v>
      </c>
      <c r="M281" s="555">
        <v>399</v>
      </c>
      <c r="N281" s="91">
        <f t="shared" si="38"/>
        <v>4683</v>
      </c>
      <c r="O281" s="411"/>
      <c r="P281" s="132" t="s">
        <v>52</v>
      </c>
      <c r="Q281" s="232"/>
      <c r="R281" s="411"/>
      <c r="T281" s="569" t="s">
        <v>785</v>
      </c>
      <c r="U281" s="481" t="s">
        <v>786</v>
      </c>
      <c r="V281" s="133" t="s">
        <v>55</v>
      </c>
      <c r="AA281" s="218"/>
    </row>
    <row r="282" spans="1:27" x14ac:dyDescent="0.25">
      <c r="A282" s="432"/>
      <c r="B282" s="433"/>
      <c r="C282" s="432"/>
      <c r="D282" s="454"/>
      <c r="E282" s="120">
        <v>2170</v>
      </c>
      <c r="F282" s="133" t="s">
        <v>161</v>
      </c>
      <c r="G282" s="435"/>
      <c r="H282" s="438"/>
      <c r="I282" s="438"/>
      <c r="J282" s="438"/>
      <c r="K282" s="437"/>
      <c r="L282" s="131">
        <v>1450</v>
      </c>
      <c r="M282" s="556"/>
      <c r="N282" s="91">
        <f t="shared" si="38"/>
        <v>3146.5</v>
      </c>
      <c r="O282" s="411"/>
      <c r="P282" s="132" t="s">
        <v>52</v>
      </c>
      <c r="Q282" s="232"/>
      <c r="R282" s="411"/>
      <c r="T282" s="570"/>
      <c r="U282" s="482"/>
      <c r="V282" s="133" t="s">
        <v>787</v>
      </c>
      <c r="AA282" s="218"/>
    </row>
    <row r="283" spans="1:27" x14ac:dyDescent="0.25">
      <c r="A283" s="432"/>
      <c r="B283" s="433"/>
      <c r="C283" s="432"/>
      <c r="D283" s="454"/>
      <c r="E283" s="120">
        <v>950</v>
      </c>
      <c r="F283" s="133" t="s">
        <v>626</v>
      </c>
      <c r="G283" s="435"/>
      <c r="H283" s="438"/>
      <c r="I283" s="438"/>
      <c r="J283" s="438"/>
      <c r="K283" s="437"/>
      <c r="L283" s="131">
        <v>1880</v>
      </c>
      <c r="M283" s="556"/>
      <c r="N283" s="91">
        <f t="shared" si="38"/>
        <v>1786.0000000000002</v>
      </c>
      <c r="O283" s="411"/>
      <c r="P283" s="132" t="s">
        <v>52</v>
      </c>
      <c r="Q283" s="232"/>
      <c r="R283" s="411"/>
      <c r="T283" s="570"/>
      <c r="U283" s="482"/>
      <c r="AA283" s="218"/>
    </row>
    <row r="284" spans="1:27" x14ac:dyDescent="0.25">
      <c r="A284" s="432"/>
      <c r="B284" s="433"/>
      <c r="C284" s="432"/>
      <c r="D284" s="454"/>
      <c r="E284" s="120">
        <v>500</v>
      </c>
      <c r="F284" s="133" t="s">
        <v>288</v>
      </c>
      <c r="G284" s="435"/>
      <c r="H284" s="438"/>
      <c r="I284" s="438"/>
      <c r="J284" s="438"/>
      <c r="K284" s="437"/>
      <c r="L284" s="131">
        <v>1069</v>
      </c>
      <c r="M284" s="556"/>
      <c r="N284" s="91">
        <f t="shared" si="38"/>
        <v>534.5</v>
      </c>
      <c r="O284" s="411"/>
      <c r="P284" s="132" t="s">
        <v>52</v>
      </c>
      <c r="Q284" s="232"/>
      <c r="R284" s="411"/>
      <c r="T284" s="570"/>
      <c r="U284" s="482"/>
      <c r="AA284" s="218"/>
    </row>
    <row r="285" spans="1:27" x14ac:dyDescent="0.25">
      <c r="A285" s="432"/>
      <c r="B285" s="433"/>
      <c r="C285" s="432"/>
      <c r="D285" s="454"/>
      <c r="E285" s="120">
        <v>788</v>
      </c>
      <c r="F285" s="133" t="s">
        <v>788</v>
      </c>
      <c r="G285" s="435"/>
      <c r="H285" s="438"/>
      <c r="I285" s="438"/>
      <c r="J285" s="438"/>
      <c r="K285" s="437"/>
      <c r="L285" s="131">
        <v>635</v>
      </c>
      <c r="M285" s="556"/>
      <c r="N285" s="91">
        <f t="shared" si="38"/>
        <v>500.38</v>
      </c>
      <c r="O285" s="411"/>
      <c r="P285" s="132" t="s">
        <v>52</v>
      </c>
      <c r="Q285" s="232"/>
      <c r="R285" s="411"/>
      <c r="T285" s="570"/>
      <c r="U285" s="482"/>
      <c r="AA285" s="218"/>
    </row>
    <row r="286" spans="1:27" x14ac:dyDescent="0.25">
      <c r="A286" s="432"/>
      <c r="B286" s="433"/>
      <c r="C286" s="432"/>
      <c r="D286" s="454"/>
      <c r="E286" s="120">
        <v>450</v>
      </c>
      <c r="F286" s="133" t="s">
        <v>789</v>
      </c>
      <c r="G286" s="435"/>
      <c r="H286" s="438"/>
      <c r="I286" s="438"/>
      <c r="J286" s="438"/>
      <c r="K286" s="437"/>
      <c r="L286" s="131">
        <v>563</v>
      </c>
      <c r="M286" s="556"/>
      <c r="N286" s="91">
        <f t="shared" si="38"/>
        <v>253.35</v>
      </c>
      <c r="O286" s="411"/>
      <c r="P286" s="132" t="s">
        <v>52</v>
      </c>
      <c r="Q286" s="232"/>
      <c r="R286" s="411"/>
      <c r="T286" s="570"/>
      <c r="U286" s="482"/>
      <c r="AA286" s="218"/>
    </row>
    <row r="287" spans="1:27" x14ac:dyDescent="0.25">
      <c r="A287" s="432"/>
      <c r="B287" s="433"/>
      <c r="C287" s="432"/>
      <c r="D287" s="454"/>
      <c r="E287" s="120">
        <v>710</v>
      </c>
      <c r="F287" s="133" t="s">
        <v>790</v>
      </c>
      <c r="G287" s="435"/>
      <c r="H287" s="438"/>
      <c r="I287" s="438"/>
      <c r="J287" s="438"/>
      <c r="K287" s="437"/>
      <c r="L287" s="131">
        <v>718</v>
      </c>
      <c r="M287" s="556"/>
      <c r="N287" s="91">
        <f t="shared" si="38"/>
        <v>509.78</v>
      </c>
      <c r="O287" s="411"/>
      <c r="P287" s="132" t="s">
        <v>52</v>
      </c>
      <c r="Q287" s="232"/>
      <c r="R287" s="411"/>
      <c r="T287" s="570"/>
      <c r="U287" s="482"/>
      <c r="AA287" s="218"/>
    </row>
    <row r="288" spans="1:27" x14ac:dyDescent="0.25">
      <c r="A288" s="432"/>
      <c r="B288" s="433"/>
      <c r="C288" s="432"/>
      <c r="D288" s="454"/>
      <c r="E288" s="120">
        <v>1163</v>
      </c>
      <c r="F288" s="133" t="s">
        <v>791</v>
      </c>
      <c r="G288" s="435"/>
      <c r="H288" s="438"/>
      <c r="I288" s="438"/>
      <c r="J288" s="438"/>
      <c r="K288" s="437"/>
      <c r="L288" s="131">
        <v>812</v>
      </c>
      <c r="M288" s="556"/>
      <c r="N288" s="91">
        <f t="shared" si="38"/>
        <v>944.35599999999999</v>
      </c>
      <c r="O288" s="411"/>
      <c r="P288" s="132" t="s">
        <v>52</v>
      </c>
      <c r="Q288" s="232"/>
      <c r="R288" s="411"/>
      <c r="T288" s="570"/>
      <c r="U288" s="482"/>
      <c r="AA288" s="218"/>
    </row>
    <row r="289" spans="1:27" x14ac:dyDescent="0.25">
      <c r="A289" s="432"/>
      <c r="B289" s="433"/>
      <c r="C289" s="432"/>
      <c r="D289" s="454"/>
      <c r="E289" s="120">
        <v>438</v>
      </c>
      <c r="F289" s="133" t="s">
        <v>792</v>
      </c>
      <c r="G289" s="435"/>
      <c r="H289" s="438"/>
      <c r="I289" s="438"/>
      <c r="J289" s="438"/>
      <c r="K289" s="437"/>
      <c r="M289" s="556"/>
      <c r="N289" s="91">
        <f t="shared" si="38"/>
        <v>0</v>
      </c>
      <c r="O289" s="411"/>
      <c r="P289" s="132" t="s">
        <v>52</v>
      </c>
      <c r="Q289" s="232"/>
      <c r="R289" s="411"/>
      <c r="T289" s="570"/>
      <c r="U289" s="482"/>
      <c r="AA289" s="218"/>
    </row>
    <row r="290" spans="1:27" x14ac:dyDescent="0.25">
      <c r="A290" s="420"/>
      <c r="B290" s="422"/>
      <c r="C290" s="420"/>
      <c r="D290" s="418"/>
      <c r="E290" s="120">
        <v>370</v>
      </c>
      <c r="F290" s="133" t="s">
        <v>793</v>
      </c>
      <c r="G290" s="436"/>
      <c r="H290" s="428"/>
      <c r="I290" s="428"/>
      <c r="J290" s="428"/>
      <c r="K290" s="426"/>
      <c r="L290" s="131">
        <v>385</v>
      </c>
      <c r="M290" s="557"/>
      <c r="N290" s="91">
        <f t="shared" si="38"/>
        <v>142.44999999999999</v>
      </c>
      <c r="O290" s="411"/>
      <c r="P290" s="132" t="s">
        <v>52</v>
      </c>
      <c r="Q290" s="232"/>
      <c r="R290" s="411"/>
      <c r="T290" s="571"/>
      <c r="U290" s="483"/>
      <c r="AA290" s="218"/>
    </row>
    <row r="291" spans="1:27" ht="24" x14ac:dyDescent="0.25">
      <c r="A291" s="405">
        <v>3000178</v>
      </c>
      <c r="B291" s="406">
        <v>42380</v>
      </c>
      <c r="C291" s="405" t="s">
        <v>327</v>
      </c>
      <c r="D291" s="401" t="s">
        <v>794</v>
      </c>
      <c r="E291" s="120">
        <v>260</v>
      </c>
      <c r="F291" s="133" t="s">
        <v>795</v>
      </c>
      <c r="G291" s="404" t="s">
        <v>45</v>
      </c>
      <c r="H291" s="411">
        <v>395.46</v>
      </c>
      <c r="I291" s="411">
        <v>0</v>
      </c>
      <c r="J291" s="396">
        <f>-((H291*0.022)+0.3)</f>
        <v>-9.000119999999999</v>
      </c>
      <c r="K291" s="90">
        <f t="shared" ref="K291:K319" si="45">SUM(H291:J291)</f>
        <v>386.45988</v>
      </c>
      <c r="L291" s="131">
        <v>240</v>
      </c>
      <c r="M291" s="158">
        <v>59.76</v>
      </c>
      <c r="N291" s="91">
        <f t="shared" si="38"/>
        <v>122.16</v>
      </c>
      <c r="O291" s="411">
        <f t="shared" si="42"/>
        <v>264.29988000000003</v>
      </c>
      <c r="P291" s="132" t="s">
        <v>52</v>
      </c>
      <c r="Q291" s="232"/>
      <c r="R291" s="411"/>
      <c r="T291" s="134" t="s">
        <v>145</v>
      </c>
      <c r="U291" s="267" t="s">
        <v>796</v>
      </c>
      <c r="W291" s="153" t="s">
        <v>797</v>
      </c>
      <c r="AA291" s="218"/>
    </row>
    <row r="292" spans="1:27" ht="24" x14ac:dyDescent="0.25">
      <c r="A292" s="405">
        <v>3000179</v>
      </c>
      <c r="B292" s="406">
        <v>42380</v>
      </c>
      <c r="C292" s="405" t="s">
        <v>237</v>
      </c>
      <c r="D292" s="401" t="s">
        <v>798</v>
      </c>
      <c r="E292" s="120">
        <v>50</v>
      </c>
      <c r="F292" s="133" t="s">
        <v>161</v>
      </c>
      <c r="G292" s="404" t="s">
        <v>45</v>
      </c>
      <c r="H292" s="411">
        <v>130</v>
      </c>
      <c r="I292" s="89">
        <f>-(H292*0.15)</f>
        <v>-19.5</v>
      </c>
      <c r="J292" s="411">
        <v>0</v>
      </c>
      <c r="K292" s="90">
        <f t="shared" si="45"/>
        <v>110.5</v>
      </c>
      <c r="L292" s="131">
        <v>1450</v>
      </c>
      <c r="M292" s="158">
        <v>22.38</v>
      </c>
      <c r="N292" s="91">
        <f t="shared" si="38"/>
        <v>94.88</v>
      </c>
      <c r="O292" s="411">
        <f t="shared" si="42"/>
        <v>15.620000000000005</v>
      </c>
      <c r="P292" s="132" t="s">
        <v>52</v>
      </c>
      <c r="Q292" s="232"/>
      <c r="R292" s="411"/>
      <c r="T292" s="134" t="s">
        <v>145</v>
      </c>
      <c r="U292" s="267" t="s">
        <v>799</v>
      </c>
      <c r="AA292" s="218"/>
    </row>
    <row r="293" spans="1:27" ht="24" x14ac:dyDescent="0.25">
      <c r="A293" s="405">
        <v>3000180</v>
      </c>
      <c r="B293" s="406">
        <v>42380</v>
      </c>
      <c r="C293" s="405" t="s">
        <v>237</v>
      </c>
      <c r="D293" s="401" t="s">
        <v>800</v>
      </c>
      <c r="E293" s="120">
        <v>100</v>
      </c>
      <c r="F293" s="133" t="s">
        <v>431</v>
      </c>
      <c r="G293" s="404" t="s">
        <v>45</v>
      </c>
      <c r="H293" s="411">
        <v>292.35000000000002</v>
      </c>
      <c r="I293" s="89">
        <f>-(H293*0.15)</f>
        <v>-43.852499999999999</v>
      </c>
      <c r="J293" s="411">
        <v>0</v>
      </c>
      <c r="K293" s="90">
        <f t="shared" si="45"/>
        <v>248.49750000000003</v>
      </c>
      <c r="L293" s="131">
        <v>1050</v>
      </c>
      <c r="M293" s="158">
        <v>44.71</v>
      </c>
      <c r="N293" s="91">
        <f t="shared" si="38"/>
        <v>149.71</v>
      </c>
      <c r="O293" s="411">
        <f t="shared" si="42"/>
        <v>98.787500000000023</v>
      </c>
      <c r="P293" s="132" t="s">
        <v>52</v>
      </c>
      <c r="Q293" s="232"/>
      <c r="R293" s="411"/>
      <c r="T293" s="134" t="s">
        <v>145</v>
      </c>
      <c r="U293" s="267" t="s">
        <v>801</v>
      </c>
      <c r="AA293" s="218"/>
    </row>
    <row r="294" spans="1:27" ht="24" x14ac:dyDescent="0.25">
      <c r="A294" s="405">
        <v>3000181</v>
      </c>
      <c r="B294" s="406">
        <v>42380</v>
      </c>
      <c r="C294" s="405" t="s">
        <v>237</v>
      </c>
      <c r="D294" s="401" t="s">
        <v>802</v>
      </c>
      <c r="E294" s="120">
        <v>250</v>
      </c>
      <c r="F294" s="133" t="s">
        <v>609</v>
      </c>
      <c r="G294" s="404" t="s">
        <v>45</v>
      </c>
      <c r="H294" s="411">
        <v>157</v>
      </c>
      <c r="I294" s="89">
        <f>-(H294*0.15)</f>
        <v>-23.55</v>
      </c>
      <c r="J294" s="411">
        <v>0</v>
      </c>
      <c r="K294" s="90">
        <f t="shared" si="45"/>
        <v>133.44999999999999</v>
      </c>
      <c r="L294" s="158">
        <v>309.18</v>
      </c>
      <c r="M294" s="158">
        <v>25.67</v>
      </c>
      <c r="N294" s="91">
        <f t="shared" si="38"/>
        <v>102.965</v>
      </c>
      <c r="O294" s="411">
        <f t="shared" si="42"/>
        <v>30.484999999999985</v>
      </c>
      <c r="P294" s="132" t="s">
        <v>46</v>
      </c>
      <c r="Q294" s="232"/>
      <c r="R294" s="411"/>
      <c r="T294" s="134" t="s">
        <v>324</v>
      </c>
      <c r="U294" s="267" t="s">
        <v>803</v>
      </c>
      <c r="AA294" s="218"/>
    </row>
    <row r="295" spans="1:27" ht="24" x14ac:dyDescent="0.25">
      <c r="A295" s="405">
        <v>3000182</v>
      </c>
      <c r="B295" s="406">
        <v>42380</v>
      </c>
      <c r="C295" s="405" t="s">
        <v>237</v>
      </c>
      <c r="D295" s="401" t="s">
        <v>804</v>
      </c>
      <c r="E295" s="120">
        <v>250</v>
      </c>
      <c r="F295" s="133" t="s">
        <v>247</v>
      </c>
      <c r="G295" s="404" t="s">
        <v>45</v>
      </c>
      <c r="H295" s="411">
        <v>353.39</v>
      </c>
      <c r="I295" s="89">
        <f>-(H295*0.15)</f>
        <v>-53.008499999999998</v>
      </c>
      <c r="J295" s="411">
        <v>0</v>
      </c>
      <c r="K295" s="90">
        <f t="shared" si="45"/>
        <v>300.38149999999996</v>
      </c>
      <c r="L295" s="131">
        <v>580</v>
      </c>
      <c r="M295" s="158">
        <v>45.45</v>
      </c>
      <c r="N295" s="91">
        <f t="shared" si="38"/>
        <v>190.45</v>
      </c>
      <c r="O295" s="411">
        <f t="shared" si="42"/>
        <v>109.93149999999997</v>
      </c>
      <c r="P295" s="132" t="s">
        <v>52</v>
      </c>
      <c r="Q295" s="232"/>
      <c r="R295" s="411"/>
      <c r="T295" s="134" t="s">
        <v>145</v>
      </c>
      <c r="U295" s="267" t="s">
        <v>805</v>
      </c>
      <c r="AA295" s="218"/>
    </row>
    <row r="296" spans="1:27" ht="24" x14ac:dyDescent="0.25">
      <c r="A296" s="405">
        <v>3000183</v>
      </c>
      <c r="B296" s="406">
        <v>42380</v>
      </c>
      <c r="C296" s="405" t="s">
        <v>237</v>
      </c>
      <c r="D296" s="401" t="s">
        <v>806</v>
      </c>
      <c r="E296" s="120">
        <v>200</v>
      </c>
      <c r="F296" s="133" t="s">
        <v>807</v>
      </c>
      <c r="G296" s="404" t="s">
        <v>45</v>
      </c>
      <c r="H296" s="411">
        <v>197</v>
      </c>
      <c r="I296" s="89">
        <f>-(H296*0.15)</f>
        <v>-29.549999999999997</v>
      </c>
      <c r="J296" s="411">
        <v>0</v>
      </c>
      <c r="K296" s="90">
        <f t="shared" si="45"/>
        <v>167.45</v>
      </c>
      <c r="L296" s="175">
        <v>410</v>
      </c>
      <c r="M296" s="158">
        <v>21.63</v>
      </c>
      <c r="N296" s="91">
        <f t="shared" si="38"/>
        <v>103.63</v>
      </c>
      <c r="O296" s="411">
        <f t="shared" si="42"/>
        <v>63.819999999999993</v>
      </c>
      <c r="P296" s="132" t="s">
        <v>183</v>
      </c>
      <c r="Q296" s="232"/>
      <c r="R296" s="411"/>
      <c r="T296" s="134" t="s">
        <v>145</v>
      </c>
      <c r="U296" s="267" t="s">
        <v>808</v>
      </c>
      <c r="AA296" s="218"/>
    </row>
    <row r="297" spans="1:27" ht="24" x14ac:dyDescent="0.25">
      <c r="A297" s="405">
        <v>3000184</v>
      </c>
      <c r="B297" s="406">
        <v>42380</v>
      </c>
      <c r="C297" s="405" t="s">
        <v>42</v>
      </c>
      <c r="D297" s="401" t="s">
        <v>809</v>
      </c>
      <c r="E297" s="120">
        <v>1000</v>
      </c>
      <c r="F297" s="133" t="s">
        <v>427</v>
      </c>
      <c r="G297" s="404" t="s">
        <v>45</v>
      </c>
      <c r="H297" s="411">
        <v>322</v>
      </c>
      <c r="I297" s="89">
        <f t="shared" ref="I297:I311" si="46">-(H297*0.09)</f>
        <v>-28.98</v>
      </c>
      <c r="J297" s="90">
        <f t="shared" ref="J297:J312" si="47">-((H297*0.019)+0.3)</f>
        <v>-6.4179999999999993</v>
      </c>
      <c r="K297" s="90">
        <f t="shared" si="45"/>
        <v>286.60199999999998</v>
      </c>
      <c r="L297" s="175">
        <v>210</v>
      </c>
      <c r="M297" s="158">
        <v>37.6</v>
      </c>
      <c r="N297" s="91">
        <f t="shared" si="38"/>
        <v>247.6</v>
      </c>
      <c r="O297" s="411">
        <f t="shared" si="42"/>
        <v>39.001999999999981</v>
      </c>
      <c r="P297" s="132" t="s">
        <v>183</v>
      </c>
      <c r="Q297" s="232"/>
      <c r="R297" s="411"/>
      <c r="T297" s="134" t="s">
        <v>145</v>
      </c>
      <c r="U297" s="267" t="s">
        <v>810</v>
      </c>
      <c r="AA297" s="218"/>
    </row>
    <row r="298" spans="1:27" ht="24" x14ac:dyDescent="0.25">
      <c r="A298" s="405">
        <v>3000185</v>
      </c>
      <c r="B298" s="406">
        <v>42380</v>
      </c>
      <c r="C298" s="405" t="s">
        <v>42</v>
      </c>
      <c r="D298" s="401" t="s">
        <v>811</v>
      </c>
      <c r="E298" s="120">
        <v>175</v>
      </c>
      <c r="F298" s="133" t="s">
        <v>247</v>
      </c>
      <c r="G298" s="404" t="s">
        <v>45</v>
      </c>
      <c r="H298" s="411">
        <v>254</v>
      </c>
      <c r="I298" s="89">
        <f t="shared" si="46"/>
        <v>-22.86</v>
      </c>
      <c r="J298" s="90">
        <f t="shared" si="47"/>
        <v>-5.1259999999999994</v>
      </c>
      <c r="K298" s="90">
        <f t="shared" si="45"/>
        <v>226.01399999999998</v>
      </c>
      <c r="L298" s="167">
        <v>580</v>
      </c>
      <c r="M298" s="158">
        <v>32.06</v>
      </c>
      <c r="N298" s="91">
        <f t="shared" si="38"/>
        <v>133.56</v>
      </c>
      <c r="O298" s="411">
        <f t="shared" si="42"/>
        <v>92.453999999999979</v>
      </c>
      <c r="P298" s="132" t="s">
        <v>52</v>
      </c>
      <c r="Q298" s="232"/>
      <c r="R298" s="411"/>
      <c r="T298" s="134" t="s">
        <v>145</v>
      </c>
      <c r="U298" s="267" t="s">
        <v>812</v>
      </c>
      <c r="AA298" s="218"/>
    </row>
    <row r="299" spans="1:27" ht="24" x14ac:dyDescent="0.25">
      <c r="A299" s="405">
        <v>3000186</v>
      </c>
      <c r="B299" s="406">
        <v>42380</v>
      </c>
      <c r="C299" s="405" t="s">
        <v>42</v>
      </c>
      <c r="D299" s="401" t="s">
        <v>813</v>
      </c>
      <c r="E299" s="120">
        <v>100</v>
      </c>
      <c r="F299" s="133" t="s">
        <v>431</v>
      </c>
      <c r="G299" s="404" t="s">
        <v>45</v>
      </c>
      <c r="H299" s="411">
        <v>228</v>
      </c>
      <c r="I299" s="89">
        <f t="shared" si="46"/>
        <v>-20.52</v>
      </c>
      <c r="J299" s="90">
        <f t="shared" si="47"/>
        <v>-4.6319999999999997</v>
      </c>
      <c r="K299" s="90">
        <f t="shared" si="45"/>
        <v>202.84799999999998</v>
      </c>
      <c r="L299" s="167">
        <v>1050</v>
      </c>
      <c r="M299" s="158">
        <v>50.28</v>
      </c>
      <c r="N299" s="91">
        <f t="shared" si="38"/>
        <v>155.28</v>
      </c>
      <c r="O299" s="411">
        <f t="shared" si="42"/>
        <v>47.567999999999984</v>
      </c>
      <c r="P299" s="132" t="s">
        <v>52</v>
      </c>
      <c r="Q299" s="232"/>
      <c r="R299" s="411"/>
      <c r="T299" s="134" t="s">
        <v>145</v>
      </c>
      <c r="U299" s="267" t="s">
        <v>814</v>
      </c>
      <c r="AA299" s="218"/>
    </row>
    <row r="300" spans="1:27" ht="24" x14ac:dyDescent="0.25">
      <c r="A300" s="405">
        <v>3000187</v>
      </c>
      <c r="B300" s="406">
        <v>42380</v>
      </c>
      <c r="C300" s="405" t="s">
        <v>42</v>
      </c>
      <c r="D300" s="401" t="s">
        <v>815</v>
      </c>
      <c r="E300" s="120">
        <v>25</v>
      </c>
      <c r="F300" s="133" t="s">
        <v>448</v>
      </c>
      <c r="G300" s="404" t="s">
        <v>45</v>
      </c>
      <c r="H300" s="411">
        <v>144.16</v>
      </c>
      <c r="I300" s="89">
        <f t="shared" si="46"/>
        <v>-12.974399999999999</v>
      </c>
      <c r="J300" s="90">
        <f t="shared" si="47"/>
        <v>-3.0390399999999995</v>
      </c>
      <c r="K300" s="90">
        <f t="shared" si="45"/>
        <v>128.14655999999999</v>
      </c>
      <c r="L300" s="175">
        <v>3600</v>
      </c>
      <c r="M300" s="158">
        <v>29.11</v>
      </c>
      <c r="N300" s="91">
        <f t="shared" si="38"/>
        <v>119.11</v>
      </c>
      <c r="O300" s="411">
        <f t="shared" si="42"/>
        <v>9.0365599999999944</v>
      </c>
      <c r="P300" s="132" t="s">
        <v>183</v>
      </c>
      <c r="Q300" s="232"/>
      <c r="R300" s="411"/>
      <c r="T300" s="134" t="s">
        <v>324</v>
      </c>
      <c r="U300" s="267" t="s">
        <v>816</v>
      </c>
      <c r="AA300" s="218"/>
    </row>
    <row r="301" spans="1:27" ht="24" x14ac:dyDescent="0.25">
      <c r="A301" s="405">
        <v>3000188</v>
      </c>
      <c r="B301" s="406">
        <v>42380</v>
      </c>
      <c r="C301" s="405" t="s">
        <v>42</v>
      </c>
      <c r="D301" s="401" t="s">
        <v>817</v>
      </c>
      <c r="E301" s="120">
        <v>100</v>
      </c>
      <c r="F301" s="133" t="s">
        <v>161</v>
      </c>
      <c r="G301" s="404" t="s">
        <v>45</v>
      </c>
      <c r="H301" s="411">
        <v>235</v>
      </c>
      <c r="I301" s="89">
        <f t="shared" si="46"/>
        <v>-21.15</v>
      </c>
      <c r="J301" s="90">
        <f t="shared" si="47"/>
        <v>-4.7649999999999997</v>
      </c>
      <c r="K301" s="90">
        <f t="shared" si="45"/>
        <v>209.08500000000001</v>
      </c>
      <c r="L301" s="131">
        <v>1450</v>
      </c>
      <c r="M301" s="158">
        <v>40.369999999999997</v>
      </c>
      <c r="N301" s="91">
        <f t="shared" si="38"/>
        <v>185.37</v>
      </c>
      <c r="O301" s="411">
        <f t="shared" si="42"/>
        <v>23.715000000000003</v>
      </c>
      <c r="P301" s="132" t="s">
        <v>52</v>
      </c>
      <c r="Q301" s="232"/>
      <c r="R301" s="411"/>
      <c r="T301" s="134" t="s">
        <v>145</v>
      </c>
      <c r="U301" s="267" t="s">
        <v>818</v>
      </c>
      <c r="AA301" s="218"/>
    </row>
    <row r="302" spans="1:27" ht="24" x14ac:dyDescent="0.25">
      <c r="A302" s="405">
        <v>3000189</v>
      </c>
      <c r="B302" s="406">
        <v>42380</v>
      </c>
      <c r="C302" s="405" t="s">
        <v>42</v>
      </c>
      <c r="D302" s="401" t="s">
        <v>819</v>
      </c>
      <c r="E302" s="120">
        <v>175</v>
      </c>
      <c r="F302" s="133" t="s">
        <v>605</v>
      </c>
      <c r="G302" s="404" t="s">
        <v>45</v>
      </c>
      <c r="H302" s="411">
        <v>287.7</v>
      </c>
      <c r="I302" s="89">
        <f t="shared" si="46"/>
        <v>-25.892999999999997</v>
      </c>
      <c r="J302" s="90">
        <f t="shared" si="47"/>
        <v>-5.7662999999999993</v>
      </c>
      <c r="K302" s="90">
        <f t="shared" si="45"/>
        <v>256.04070000000002</v>
      </c>
      <c r="L302" s="131">
        <v>600</v>
      </c>
      <c r="M302" s="158">
        <v>52.86</v>
      </c>
      <c r="N302" s="91">
        <f t="shared" ref="N302:N328" si="48">((L302)*(E302*0.001))+M302</f>
        <v>157.86000000000001</v>
      </c>
      <c r="O302" s="411">
        <f t="shared" si="42"/>
        <v>98.180700000000002</v>
      </c>
      <c r="P302" s="132" t="s">
        <v>52</v>
      </c>
      <c r="Q302" s="232"/>
      <c r="R302" s="411"/>
      <c r="T302" s="134" t="s">
        <v>145</v>
      </c>
      <c r="U302" s="267" t="s">
        <v>820</v>
      </c>
      <c r="AA302" s="218"/>
    </row>
    <row r="303" spans="1:27" ht="24" x14ac:dyDescent="0.25">
      <c r="A303" s="405">
        <v>3000190</v>
      </c>
      <c r="B303" s="406">
        <v>42380</v>
      </c>
      <c r="C303" s="405" t="s">
        <v>42</v>
      </c>
      <c r="D303" s="401" t="s">
        <v>821</v>
      </c>
      <c r="E303" s="120">
        <v>100</v>
      </c>
      <c r="F303" s="133" t="s">
        <v>161</v>
      </c>
      <c r="G303" s="404" t="s">
        <v>45</v>
      </c>
      <c r="H303" s="411">
        <v>235</v>
      </c>
      <c r="I303" s="89">
        <f t="shared" si="46"/>
        <v>-21.15</v>
      </c>
      <c r="J303" s="90">
        <f t="shared" si="47"/>
        <v>-4.7649999999999997</v>
      </c>
      <c r="K303" s="90">
        <f t="shared" si="45"/>
        <v>209.08500000000001</v>
      </c>
      <c r="L303" s="131">
        <v>1450</v>
      </c>
      <c r="M303" s="158">
        <v>35.42</v>
      </c>
      <c r="N303" s="91">
        <f t="shared" si="48"/>
        <v>180.42000000000002</v>
      </c>
      <c r="O303" s="411">
        <f t="shared" si="42"/>
        <v>28.664999999999992</v>
      </c>
      <c r="P303" s="132" t="s">
        <v>52</v>
      </c>
      <c r="Q303" s="232"/>
      <c r="R303" s="411"/>
      <c r="T303" s="134" t="s">
        <v>145</v>
      </c>
      <c r="U303" s="267" t="s">
        <v>822</v>
      </c>
      <c r="AA303" s="218"/>
    </row>
    <row r="304" spans="1:27" ht="24" x14ac:dyDescent="0.25">
      <c r="A304" s="405">
        <v>3000191</v>
      </c>
      <c r="B304" s="406">
        <v>42380</v>
      </c>
      <c r="C304" s="405" t="s">
        <v>42</v>
      </c>
      <c r="D304" s="401" t="s">
        <v>823</v>
      </c>
      <c r="E304" s="120">
        <v>250</v>
      </c>
      <c r="F304" s="133" t="s">
        <v>824</v>
      </c>
      <c r="G304" s="404" t="s">
        <v>45</v>
      </c>
      <c r="H304" s="411">
        <v>97.95</v>
      </c>
      <c r="I304" s="89">
        <f t="shared" si="46"/>
        <v>-8.8155000000000001</v>
      </c>
      <c r="J304" s="90">
        <f t="shared" si="47"/>
        <v>-2.1610499999999999</v>
      </c>
      <c r="K304" s="90">
        <f t="shared" si="45"/>
        <v>86.97345</v>
      </c>
      <c r="M304" s="158">
        <v>22.99</v>
      </c>
      <c r="N304" s="91">
        <f t="shared" si="48"/>
        <v>22.99</v>
      </c>
      <c r="O304" s="411"/>
      <c r="P304" s="132" t="s">
        <v>52</v>
      </c>
      <c r="Q304" s="232"/>
      <c r="R304" s="411"/>
      <c r="T304" s="134" t="s">
        <v>145</v>
      </c>
      <c r="U304" s="267" t="s">
        <v>825</v>
      </c>
      <c r="AA304" s="218"/>
    </row>
    <row r="305" spans="1:27" ht="24" x14ac:dyDescent="0.25">
      <c r="A305" s="405">
        <v>3000192</v>
      </c>
      <c r="B305" s="406">
        <v>42380</v>
      </c>
      <c r="C305" s="405" t="s">
        <v>42</v>
      </c>
      <c r="D305" s="401" t="s">
        <v>826</v>
      </c>
      <c r="E305" s="120">
        <v>100</v>
      </c>
      <c r="F305" s="133" t="s">
        <v>161</v>
      </c>
      <c r="G305" s="404" t="s">
        <v>45</v>
      </c>
      <c r="H305" s="411">
        <v>235</v>
      </c>
      <c r="I305" s="89">
        <f t="shared" si="46"/>
        <v>-21.15</v>
      </c>
      <c r="J305" s="90">
        <f t="shared" si="47"/>
        <v>-4.7649999999999997</v>
      </c>
      <c r="K305" s="90">
        <f t="shared" si="45"/>
        <v>209.08500000000001</v>
      </c>
      <c r="L305" s="131">
        <v>1450</v>
      </c>
      <c r="M305" s="158">
        <v>27.46</v>
      </c>
      <c r="N305" s="91">
        <f t="shared" si="48"/>
        <v>172.46</v>
      </c>
      <c r="O305" s="411">
        <f t="shared" si="42"/>
        <v>36.625</v>
      </c>
      <c r="P305" s="132" t="s">
        <v>52</v>
      </c>
      <c r="Q305" s="232"/>
      <c r="R305" s="411"/>
      <c r="T305" s="134" t="s">
        <v>145</v>
      </c>
      <c r="U305" s="267" t="s">
        <v>827</v>
      </c>
      <c r="AA305" s="218"/>
    </row>
    <row r="306" spans="1:27" ht="24" x14ac:dyDescent="0.25">
      <c r="A306" s="405">
        <v>3000193</v>
      </c>
      <c r="B306" s="406">
        <v>42380</v>
      </c>
      <c r="C306" s="405" t="s">
        <v>42</v>
      </c>
      <c r="D306" s="401" t="s">
        <v>828</v>
      </c>
      <c r="E306" s="120">
        <v>100</v>
      </c>
      <c r="F306" s="133" t="s">
        <v>829</v>
      </c>
      <c r="G306" s="404" t="s">
        <v>45</v>
      </c>
      <c r="H306" s="411">
        <v>124.73</v>
      </c>
      <c r="I306" s="89">
        <f t="shared" si="46"/>
        <v>-11.2257</v>
      </c>
      <c r="J306" s="90">
        <f t="shared" si="47"/>
        <v>-2.66987</v>
      </c>
      <c r="K306" s="90">
        <f t="shared" si="45"/>
        <v>110.83443</v>
      </c>
      <c r="L306" s="131">
        <v>510</v>
      </c>
      <c r="M306" s="158">
        <v>25.43</v>
      </c>
      <c r="N306" s="91">
        <f t="shared" si="48"/>
        <v>76.430000000000007</v>
      </c>
      <c r="O306" s="411">
        <f t="shared" si="42"/>
        <v>34.404429999999991</v>
      </c>
      <c r="P306" s="132" t="s">
        <v>52</v>
      </c>
      <c r="Q306" s="232"/>
      <c r="R306" s="411"/>
      <c r="T306" s="134" t="s">
        <v>145</v>
      </c>
      <c r="U306" s="267" t="s">
        <v>830</v>
      </c>
      <c r="AA306" s="218"/>
    </row>
    <row r="307" spans="1:27" ht="24" x14ac:dyDescent="0.25">
      <c r="A307" s="405">
        <v>3000194</v>
      </c>
      <c r="B307" s="406">
        <v>42380</v>
      </c>
      <c r="C307" s="405" t="s">
        <v>42</v>
      </c>
      <c r="D307" s="401" t="s">
        <v>831</v>
      </c>
      <c r="E307" s="120">
        <v>250</v>
      </c>
      <c r="F307" s="133" t="s">
        <v>832</v>
      </c>
      <c r="G307" s="404" t="s">
        <v>45</v>
      </c>
      <c r="H307" s="411">
        <v>235.46</v>
      </c>
      <c r="I307" s="89">
        <f t="shared" si="46"/>
        <v>-21.191400000000002</v>
      </c>
      <c r="J307" s="90">
        <f t="shared" si="47"/>
        <v>-4.7737400000000001</v>
      </c>
      <c r="K307" s="90">
        <f t="shared" si="45"/>
        <v>209.49485999999999</v>
      </c>
      <c r="L307" s="131">
        <v>400</v>
      </c>
      <c r="M307" s="158">
        <v>44.05</v>
      </c>
      <c r="N307" s="91">
        <f t="shared" si="48"/>
        <v>144.05000000000001</v>
      </c>
      <c r="O307" s="411">
        <f t="shared" si="42"/>
        <v>65.444859999999977</v>
      </c>
      <c r="P307" s="132" t="s">
        <v>52</v>
      </c>
      <c r="Q307" s="232"/>
      <c r="R307" s="411"/>
      <c r="T307" s="134" t="s">
        <v>145</v>
      </c>
      <c r="U307" s="267" t="s">
        <v>833</v>
      </c>
      <c r="AA307" s="218"/>
    </row>
    <row r="308" spans="1:27" x14ac:dyDescent="0.25">
      <c r="A308" s="405">
        <v>3000195</v>
      </c>
      <c r="B308" s="406">
        <v>42380</v>
      </c>
      <c r="C308" s="405" t="s">
        <v>42</v>
      </c>
      <c r="D308" s="401" t="s">
        <v>834</v>
      </c>
      <c r="E308" s="120">
        <v>496</v>
      </c>
      <c r="F308" s="133" t="s">
        <v>835</v>
      </c>
      <c r="G308" s="404" t="s">
        <v>45</v>
      </c>
      <c r="H308" s="411">
        <v>1511.67</v>
      </c>
      <c r="I308" s="89">
        <f t="shared" si="46"/>
        <v>-136.05029999999999</v>
      </c>
      <c r="J308" s="90">
        <f t="shared" si="47"/>
        <v>-29.021730000000002</v>
      </c>
      <c r="K308" s="90">
        <f t="shared" si="45"/>
        <v>1346.5979700000003</v>
      </c>
      <c r="L308" s="131">
        <v>1765</v>
      </c>
      <c r="M308" s="187">
        <v>111.29</v>
      </c>
      <c r="N308" s="91">
        <f t="shared" si="48"/>
        <v>986.7299999999999</v>
      </c>
      <c r="O308" s="411">
        <f t="shared" si="42"/>
        <v>359.86797000000035</v>
      </c>
      <c r="P308" s="132" t="s">
        <v>86</v>
      </c>
      <c r="Q308" s="232"/>
      <c r="R308" s="411"/>
      <c r="T308" s="134" t="s">
        <v>244</v>
      </c>
      <c r="U308" s="267" t="s">
        <v>836</v>
      </c>
      <c r="V308" s="171"/>
      <c r="AA308" s="218"/>
    </row>
    <row r="309" spans="1:27" ht="24" x14ac:dyDescent="0.25">
      <c r="A309" s="405">
        <v>3000196</v>
      </c>
      <c r="B309" s="406">
        <v>42380</v>
      </c>
      <c r="C309" s="405" t="s">
        <v>42</v>
      </c>
      <c r="D309" s="401" t="s">
        <v>837</v>
      </c>
      <c r="E309" s="120">
        <v>2000</v>
      </c>
      <c r="F309" s="133" t="s">
        <v>838</v>
      </c>
      <c r="G309" s="404" t="s">
        <v>45</v>
      </c>
      <c r="H309" s="411">
        <v>998</v>
      </c>
      <c r="I309" s="89">
        <f t="shared" si="46"/>
        <v>-89.82</v>
      </c>
      <c r="J309" s="90">
        <f t="shared" si="47"/>
        <v>-19.262</v>
      </c>
      <c r="K309" s="90">
        <f t="shared" si="45"/>
        <v>888.91800000000012</v>
      </c>
      <c r="L309" s="131">
        <v>250</v>
      </c>
      <c r="M309" s="158">
        <v>61.68</v>
      </c>
      <c r="N309" s="91">
        <f t="shared" si="48"/>
        <v>561.67999999999995</v>
      </c>
      <c r="O309" s="411">
        <f t="shared" si="42"/>
        <v>327.23800000000017</v>
      </c>
      <c r="P309" s="132" t="s">
        <v>52</v>
      </c>
      <c r="Q309" s="232"/>
      <c r="R309" s="411"/>
      <c r="T309" s="134" t="s">
        <v>145</v>
      </c>
      <c r="U309" s="267" t="s">
        <v>839</v>
      </c>
      <c r="V309" s="157" t="s">
        <v>840</v>
      </c>
      <c r="AA309" s="218"/>
    </row>
    <row r="310" spans="1:27" ht="24" x14ac:dyDescent="0.25">
      <c r="A310" s="405">
        <v>3000197</v>
      </c>
      <c r="B310" s="406">
        <v>42380</v>
      </c>
      <c r="C310" s="405" t="s">
        <v>42</v>
      </c>
      <c r="D310" s="401" t="s">
        <v>841</v>
      </c>
      <c r="E310" s="120">
        <v>150</v>
      </c>
      <c r="F310" s="133" t="s">
        <v>341</v>
      </c>
      <c r="G310" s="404" t="s">
        <v>45</v>
      </c>
      <c r="H310" s="411">
        <v>228.34</v>
      </c>
      <c r="I310" s="89">
        <f t="shared" si="46"/>
        <v>-20.550599999999999</v>
      </c>
      <c r="J310" s="90">
        <f t="shared" si="47"/>
        <v>-4.6384599999999994</v>
      </c>
      <c r="K310" s="90">
        <f t="shared" si="45"/>
        <v>203.15093999999999</v>
      </c>
      <c r="L310" s="131">
        <v>850</v>
      </c>
      <c r="M310" s="158">
        <v>46.26</v>
      </c>
      <c r="N310" s="91">
        <f t="shared" si="48"/>
        <v>173.76</v>
      </c>
      <c r="O310" s="411">
        <f t="shared" si="42"/>
        <v>29.390940000000001</v>
      </c>
      <c r="P310" s="132" t="s">
        <v>52</v>
      </c>
      <c r="Q310" s="232"/>
      <c r="R310" s="411"/>
      <c r="T310" s="134" t="s">
        <v>145</v>
      </c>
      <c r="U310" s="267" t="s">
        <v>842</v>
      </c>
      <c r="AA310" s="218"/>
    </row>
    <row r="311" spans="1:27" ht="24" x14ac:dyDescent="0.25">
      <c r="A311" s="405">
        <v>3000198</v>
      </c>
      <c r="B311" s="406">
        <v>42380</v>
      </c>
      <c r="C311" s="405" t="s">
        <v>42</v>
      </c>
      <c r="D311" s="401" t="s">
        <v>843</v>
      </c>
      <c r="E311" s="120">
        <v>1000</v>
      </c>
      <c r="F311" s="160" t="s">
        <v>844</v>
      </c>
      <c r="G311" s="404" t="s">
        <v>45</v>
      </c>
      <c r="H311" s="411">
        <v>259.62</v>
      </c>
      <c r="I311" s="89">
        <f t="shared" si="46"/>
        <v>-23.3658</v>
      </c>
      <c r="J311" s="90">
        <f t="shared" si="47"/>
        <v>-5.23278</v>
      </c>
      <c r="K311" s="90">
        <f t="shared" si="45"/>
        <v>231.02142000000001</v>
      </c>
      <c r="L311" s="175">
        <v>119</v>
      </c>
      <c r="M311" s="158">
        <v>19.27</v>
      </c>
      <c r="N311" s="91">
        <f t="shared" si="48"/>
        <v>138.27000000000001</v>
      </c>
      <c r="O311" s="411">
        <f t="shared" si="42"/>
        <v>92.751419999999996</v>
      </c>
      <c r="P311" s="132" t="s">
        <v>183</v>
      </c>
      <c r="Q311" s="232"/>
      <c r="R311" s="411"/>
      <c r="T311" s="134" t="s">
        <v>324</v>
      </c>
      <c r="U311" s="267" t="s">
        <v>845</v>
      </c>
      <c r="AA311" s="218"/>
    </row>
    <row r="312" spans="1:27" ht="24" x14ac:dyDescent="0.25">
      <c r="A312" s="405">
        <v>3000199</v>
      </c>
      <c r="B312" s="406">
        <v>42380</v>
      </c>
      <c r="C312" s="405" t="s">
        <v>159</v>
      </c>
      <c r="D312" s="401" t="s">
        <v>846</v>
      </c>
      <c r="E312" s="120">
        <v>13</v>
      </c>
      <c r="F312" s="133" t="s">
        <v>448</v>
      </c>
      <c r="G312" s="404" t="s">
        <v>45</v>
      </c>
      <c r="H312" s="411">
        <v>78.91</v>
      </c>
      <c r="I312" s="411">
        <v>0</v>
      </c>
      <c r="J312" s="90">
        <f t="shared" si="47"/>
        <v>-1.7992899999999998</v>
      </c>
      <c r="K312" s="90">
        <f t="shared" si="45"/>
        <v>77.110709999999997</v>
      </c>
      <c r="L312" s="175">
        <v>3600</v>
      </c>
      <c r="M312" s="158">
        <v>13.51</v>
      </c>
      <c r="N312" s="91">
        <f t="shared" si="48"/>
        <v>60.31</v>
      </c>
      <c r="O312" s="411">
        <f t="shared" si="42"/>
        <v>16.800709999999995</v>
      </c>
      <c r="P312" s="132" t="s">
        <v>183</v>
      </c>
      <c r="Q312" s="232"/>
      <c r="R312" s="411"/>
      <c r="T312" s="134" t="s">
        <v>145</v>
      </c>
      <c r="U312" s="267" t="s">
        <v>847</v>
      </c>
      <c r="W312" s="153" t="s">
        <v>848</v>
      </c>
      <c r="AA312" s="218"/>
    </row>
    <row r="313" spans="1:27" x14ac:dyDescent="0.25">
      <c r="A313" s="405">
        <v>3000200</v>
      </c>
      <c r="B313" s="406">
        <v>42380</v>
      </c>
      <c r="C313" s="405" t="s">
        <v>327</v>
      </c>
      <c r="D313" s="401" t="s">
        <v>849</v>
      </c>
      <c r="E313" s="120">
        <v>1000</v>
      </c>
      <c r="F313" s="133" t="s">
        <v>850</v>
      </c>
      <c r="G313" s="404" t="s">
        <v>45</v>
      </c>
      <c r="H313" s="411">
        <v>880</v>
      </c>
      <c r="I313" s="411">
        <v>0</v>
      </c>
      <c r="J313" s="396">
        <f>-((H313*0.022)+0.3)</f>
        <v>-19.66</v>
      </c>
      <c r="K313" s="90">
        <f t="shared" si="45"/>
        <v>860.34</v>
      </c>
      <c r="L313" s="158">
        <v>561</v>
      </c>
      <c r="M313" s="158">
        <v>99.92</v>
      </c>
      <c r="N313" s="91">
        <f t="shared" si="48"/>
        <v>660.92</v>
      </c>
      <c r="O313" s="411">
        <f t="shared" si="42"/>
        <v>199.42000000000007</v>
      </c>
      <c r="P313" s="132" t="s">
        <v>46</v>
      </c>
      <c r="Q313" s="232"/>
      <c r="R313" s="411"/>
      <c r="T313" s="134" t="s">
        <v>851</v>
      </c>
      <c r="U313" s="266" t="s">
        <v>852</v>
      </c>
      <c r="W313" s="153" t="s">
        <v>853</v>
      </c>
      <c r="AA313" s="218"/>
    </row>
    <row r="314" spans="1:27" ht="24" x14ac:dyDescent="0.25">
      <c r="A314" s="405">
        <v>3000201</v>
      </c>
      <c r="B314" s="406">
        <v>42381</v>
      </c>
      <c r="C314" s="405" t="s">
        <v>63</v>
      </c>
      <c r="D314" s="401" t="s">
        <v>854</v>
      </c>
      <c r="E314" s="120">
        <v>500</v>
      </c>
      <c r="F314" s="133" t="s">
        <v>855</v>
      </c>
      <c r="G314" s="404" t="s">
        <v>45</v>
      </c>
      <c r="H314" s="411">
        <v>465</v>
      </c>
      <c r="I314" s="411">
        <v>0</v>
      </c>
      <c r="J314" s="396">
        <f>-((H314*0.022)+0.3)</f>
        <v>-10.53</v>
      </c>
      <c r="K314" s="90">
        <f t="shared" si="45"/>
        <v>454.47</v>
      </c>
      <c r="L314" s="158">
        <v>575</v>
      </c>
      <c r="M314" s="158">
        <v>41.2</v>
      </c>
      <c r="N314" s="91">
        <f t="shared" si="48"/>
        <v>328.7</v>
      </c>
      <c r="O314" s="411">
        <f t="shared" si="42"/>
        <v>125.77000000000004</v>
      </c>
      <c r="P314" s="132" t="s">
        <v>856</v>
      </c>
      <c r="Q314" s="232"/>
      <c r="R314" s="411"/>
      <c r="T314" s="134" t="s">
        <v>324</v>
      </c>
      <c r="U314" s="266" t="s">
        <v>857</v>
      </c>
      <c r="V314" s="133" t="s">
        <v>579</v>
      </c>
      <c r="W314" s="153" t="s">
        <v>858</v>
      </c>
      <c r="AA314" s="218"/>
    </row>
    <row r="315" spans="1:27" ht="24" x14ac:dyDescent="0.25">
      <c r="A315" s="405">
        <v>3000202</v>
      </c>
      <c r="B315" s="406">
        <v>42381</v>
      </c>
      <c r="C315" s="405" t="s">
        <v>141</v>
      </c>
      <c r="D315" s="401" t="s">
        <v>859</v>
      </c>
      <c r="E315" s="120">
        <v>38</v>
      </c>
      <c r="F315" s="133" t="s">
        <v>860</v>
      </c>
      <c r="G315" s="404" t="s">
        <v>45</v>
      </c>
      <c r="H315" s="411">
        <v>259.16000000000003</v>
      </c>
      <c r="I315" s="411">
        <v>0</v>
      </c>
      <c r="J315" s="396">
        <f>-((H315*0.0325)+0.3)</f>
        <v>-8.7227000000000015</v>
      </c>
      <c r="K315" s="90">
        <f t="shared" si="45"/>
        <v>250.43730000000002</v>
      </c>
      <c r="L315" s="131">
        <v>3700</v>
      </c>
      <c r="M315" s="158">
        <v>45.36</v>
      </c>
      <c r="N315" s="91">
        <f t="shared" si="48"/>
        <v>185.95999999999998</v>
      </c>
      <c r="O315" s="411">
        <f t="shared" si="42"/>
        <v>64.477300000000042</v>
      </c>
      <c r="P315" s="132" t="s">
        <v>52</v>
      </c>
      <c r="Q315" s="232"/>
      <c r="R315" s="411"/>
      <c r="T315" s="134" t="s">
        <v>145</v>
      </c>
      <c r="U315" s="267" t="s">
        <v>861</v>
      </c>
      <c r="W315" s="153" t="s">
        <v>862</v>
      </c>
      <c r="AA315" s="218"/>
    </row>
    <row r="316" spans="1:27" x14ac:dyDescent="0.25">
      <c r="A316" s="405">
        <v>3000203</v>
      </c>
      <c r="B316" s="406">
        <v>42381</v>
      </c>
      <c r="C316" s="405" t="s">
        <v>141</v>
      </c>
      <c r="D316" s="401" t="s">
        <v>863</v>
      </c>
      <c r="E316" s="120">
        <v>140</v>
      </c>
      <c r="F316" s="133" t="s">
        <v>549</v>
      </c>
      <c r="G316" s="404" t="s">
        <v>45</v>
      </c>
      <c r="H316" s="411">
        <v>952</v>
      </c>
      <c r="I316" s="411">
        <v>0</v>
      </c>
      <c r="J316" s="396">
        <f>-((H316*0.0325)+0.3)</f>
        <v>-31.240000000000002</v>
      </c>
      <c r="K316" s="90">
        <f t="shared" si="45"/>
        <v>920.76</v>
      </c>
      <c r="L316" s="158">
        <v>3452</v>
      </c>
      <c r="M316" s="158">
        <v>0</v>
      </c>
      <c r="N316" s="91">
        <f t="shared" si="48"/>
        <v>483.28000000000003</v>
      </c>
      <c r="O316" s="411">
        <f t="shared" si="42"/>
        <v>437.47999999999996</v>
      </c>
      <c r="P316" s="132" t="s">
        <v>59</v>
      </c>
      <c r="Q316" s="232"/>
      <c r="R316" s="411"/>
      <c r="T316" s="134" t="s">
        <v>389</v>
      </c>
      <c r="U316" s="267" t="s">
        <v>864</v>
      </c>
      <c r="W316" s="153" t="s">
        <v>865</v>
      </c>
      <c r="AA316" s="218"/>
    </row>
    <row r="317" spans="1:27" ht="24" x14ac:dyDescent="0.25">
      <c r="A317" s="405">
        <v>3000204</v>
      </c>
      <c r="B317" s="406">
        <v>42381</v>
      </c>
      <c r="C317" s="405" t="s">
        <v>63</v>
      </c>
      <c r="D317" s="401" t="s">
        <v>866</v>
      </c>
      <c r="E317" s="120">
        <v>25</v>
      </c>
      <c r="F317" s="133" t="s">
        <v>448</v>
      </c>
      <c r="G317" s="404" t="s">
        <v>45</v>
      </c>
      <c r="H317" s="411">
        <v>144.16</v>
      </c>
      <c r="I317" s="411">
        <v>0</v>
      </c>
      <c r="J317" s="396">
        <f>-((H317*0.022)+0.3)</f>
        <v>-3.4715199999999995</v>
      </c>
      <c r="K317" s="90">
        <f t="shared" si="45"/>
        <v>140.68848</v>
      </c>
      <c r="L317" s="158">
        <v>3600</v>
      </c>
      <c r="M317" s="158">
        <v>31.44</v>
      </c>
      <c r="N317" s="91">
        <f t="shared" si="48"/>
        <v>121.44</v>
      </c>
      <c r="O317" s="411">
        <f t="shared" si="42"/>
        <v>19.248480000000001</v>
      </c>
      <c r="P317" s="132" t="s">
        <v>183</v>
      </c>
      <c r="Q317" s="232"/>
      <c r="R317" s="411"/>
      <c r="T317" s="134" t="s">
        <v>145</v>
      </c>
      <c r="U317" s="267" t="s">
        <v>867</v>
      </c>
      <c r="W317" s="153" t="s">
        <v>868</v>
      </c>
      <c r="AA317" s="218"/>
    </row>
    <row r="318" spans="1:27" ht="24" x14ac:dyDescent="0.25">
      <c r="A318" s="405">
        <v>3000205</v>
      </c>
      <c r="B318" s="406">
        <v>42381</v>
      </c>
      <c r="C318" s="405" t="s">
        <v>78</v>
      </c>
      <c r="D318" s="401" t="s">
        <v>869</v>
      </c>
      <c r="E318" s="120">
        <v>67</v>
      </c>
      <c r="F318" s="133" t="s">
        <v>870</v>
      </c>
      <c r="G318" s="404" t="s">
        <v>45</v>
      </c>
      <c r="H318" s="411">
        <v>506.4</v>
      </c>
      <c r="I318" s="411">
        <v>0</v>
      </c>
      <c r="J318" s="90">
        <f>-((H318*0.019)+0.3)</f>
        <v>-9.9215999999999998</v>
      </c>
      <c r="K318" s="90">
        <f t="shared" si="45"/>
        <v>496.47839999999997</v>
      </c>
      <c r="L318" s="158">
        <v>4740</v>
      </c>
      <c r="M318" s="158">
        <v>85.28</v>
      </c>
      <c r="N318" s="91">
        <f t="shared" si="48"/>
        <v>402.86</v>
      </c>
      <c r="O318" s="411">
        <f t="shared" si="42"/>
        <v>93.618399999999951</v>
      </c>
      <c r="P318" s="132" t="s">
        <v>183</v>
      </c>
      <c r="Q318" s="232"/>
      <c r="R318" s="411"/>
      <c r="T318" s="134" t="s">
        <v>324</v>
      </c>
      <c r="U318" s="267" t="s">
        <v>871</v>
      </c>
      <c r="W318" s="153" t="s">
        <v>872</v>
      </c>
      <c r="AA318" s="218"/>
    </row>
    <row r="319" spans="1:27" x14ac:dyDescent="0.25">
      <c r="A319" s="419">
        <v>3000206</v>
      </c>
      <c r="B319" s="421">
        <v>42381</v>
      </c>
      <c r="C319" s="419" t="s">
        <v>327</v>
      </c>
      <c r="D319" s="417" t="s">
        <v>873</v>
      </c>
      <c r="E319" s="120">
        <v>225</v>
      </c>
      <c r="F319" s="133" t="s">
        <v>874</v>
      </c>
      <c r="G319" s="434" t="s">
        <v>45</v>
      </c>
      <c r="H319" s="427">
        <v>945</v>
      </c>
      <c r="I319" s="427">
        <v>0</v>
      </c>
      <c r="J319" s="425">
        <f>-((H319*0.022)+0.3)</f>
        <v>-21.09</v>
      </c>
      <c r="K319" s="425">
        <f t="shared" si="45"/>
        <v>923.91</v>
      </c>
      <c r="L319" s="131">
        <v>1750</v>
      </c>
      <c r="N319" s="91">
        <f t="shared" si="48"/>
        <v>393.75</v>
      </c>
      <c r="O319" s="411">
        <f t="shared" si="42"/>
        <v>530.16</v>
      </c>
      <c r="P319" s="132" t="s">
        <v>52</v>
      </c>
      <c r="Q319" s="232"/>
      <c r="R319" s="411"/>
      <c r="T319" s="470" t="s">
        <v>875</v>
      </c>
      <c r="U319" s="505">
        <v>5009917858</v>
      </c>
      <c r="V319" s="133" t="s">
        <v>55</v>
      </c>
      <c r="W319" s="153" t="s">
        <v>876</v>
      </c>
      <c r="AA319" s="218"/>
    </row>
    <row r="320" spans="1:27" x14ac:dyDescent="0.25">
      <c r="A320" s="432"/>
      <c r="B320" s="433"/>
      <c r="C320" s="432"/>
      <c r="D320" s="454"/>
      <c r="E320" s="120">
        <v>225</v>
      </c>
      <c r="F320" s="133" t="s">
        <v>877</v>
      </c>
      <c r="G320" s="435"/>
      <c r="H320" s="438"/>
      <c r="I320" s="438"/>
      <c r="J320" s="437"/>
      <c r="K320" s="437"/>
      <c r="L320" s="131">
        <v>235</v>
      </c>
      <c r="M320" s="555">
        <v>136.13</v>
      </c>
      <c r="N320" s="91">
        <f t="shared" si="48"/>
        <v>189.005</v>
      </c>
      <c r="O320" s="411">
        <f t="shared" si="42"/>
        <v>-189.005</v>
      </c>
      <c r="P320" s="132" t="s">
        <v>52</v>
      </c>
      <c r="Q320" s="232"/>
      <c r="R320" s="411"/>
      <c r="T320" s="471"/>
      <c r="U320" s="506"/>
      <c r="AA320" s="218"/>
    </row>
    <row r="321" spans="1:27" x14ac:dyDescent="0.25">
      <c r="A321" s="420"/>
      <c r="B321" s="422"/>
      <c r="C321" s="420"/>
      <c r="D321" s="418"/>
      <c r="E321" s="120">
        <v>300</v>
      </c>
      <c r="F321" s="133" t="s">
        <v>587</v>
      </c>
      <c r="G321" s="436"/>
      <c r="H321" s="428"/>
      <c r="I321" s="428"/>
      <c r="J321" s="426"/>
      <c r="K321" s="426"/>
      <c r="M321" s="557"/>
      <c r="N321" s="91">
        <f t="shared" si="48"/>
        <v>0</v>
      </c>
      <c r="O321" s="411">
        <f t="shared" si="42"/>
        <v>0</v>
      </c>
      <c r="P321" s="132" t="s">
        <v>52</v>
      </c>
      <c r="Q321" s="232"/>
      <c r="R321" s="411"/>
      <c r="T321" s="472"/>
      <c r="U321" s="490"/>
      <c r="AA321" s="218"/>
    </row>
    <row r="322" spans="1:27" ht="24" x14ac:dyDescent="0.25">
      <c r="A322" s="405">
        <v>3000207</v>
      </c>
      <c r="B322" s="406">
        <v>42381</v>
      </c>
      <c r="C322" s="405" t="s">
        <v>42</v>
      </c>
      <c r="D322" s="401" t="s">
        <v>878</v>
      </c>
      <c r="E322" s="120">
        <v>175</v>
      </c>
      <c r="F322" s="133" t="s">
        <v>877</v>
      </c>
      <c r="G322" s="404" t="s">
        <v>45</v>
      </c>
      <c r="H322" s="411">
        <v>120</v>
      </c>
      <c r="I322" s="89">
        <f t="shared" ref="I322:I324" si="49">-(H322*0.09)</f>
        <v>-10.799999999999999</v>
      </c>
      <c r="J322" s="90">
        <f>-((H322*0.019)+0.3)</f>
        <v>-2.5799999999999996</v>
      </c>
      <c r="K322" s="90">
        <f>SUM(H322:J322)</f>
        <v>106.62</v>
      </c>
      <c r="L322" s="131">
        <v>235</v>
      </c>
      <c r="M322" s="158">
        <v>26.13</v>
      </c>
      <c r="N322" s="91">
        <f t="shared" si="48"/>
        <v>67.25500000000001</v>
      </c>
      <c r="O322" s="411">
        <f t="shared" si="42"/>
        <v>39.364999999999995</v>
      </c>
      <c r="P322" s="132" t="s">
        <v>52</v>
      </c>
      <c r="Q322" s="232"/>
      <c r="R322" s="411"/>
      <c r="T322" s="134" t="s">
        <v>145</v>
      </c>
      <c r="U322" s="267" t="s">
        <v>879</v>
      </c>
      <c r="AA322" s="218"/>
    </row>
    <row r="323" spans="1:27" ht="24" x14ac:dyDescent="0.25">
      <c r="A323" s="405">
        <v>3000208</v>
      </c>
      <c r="B323" s="406">
        <v>42381</v>
      </c>
      <c r="C323" s="405" t="s">
        <v>42</v>
      </c>
      <c r="D323" s="401" t="s">
        <v>880</v>
      </c>
      <c r="E323" s="120">
        <v>150</v>
      </c>
      <c r="F323" s="133" t="s">
        <v>165</v>
      </c>
      <c r="G323" s="404" t="s">
        <v>45</v>
      </c>
      <c r="H323" s="411">
        <v>144.05000000000001</v>
      </c>
      <c r="I323" s="89">
        <f t="shared" si="49"/>
        <v>-12.964500000000001</v>
      </c>
      <c r="J323" s="90">
        <f>-((H323*0.019)+0.3)</f>
        <v>-3.03695</v>
      </c>
      <c r="K323" s="90">
        <f>SUM(H323:J323)</f>
        <v>128.04855000000003</v>
      </c>
      <c r="L323" s="131">
        <v>480</v>
      </c>
      <c r="M323" s="158">
        <v>47.7</v>
      </c>
      <c r="N323" s="91">
        <f t="shared" si="48"/>
        <v>119.7</v>
      </c>
      <c r="O323" s="411">
        <f t="shared" si="42"/>
        <v>8.3485500000000314</v>
      </c>
      <c r="P323" s="132" t="s">
        <v>52</v>
      </c>
      <c r="Q323" s="232"/>
      <c r="R323" s="411"/>
      <c r="T323" s="134" t="s">
        <v>145</v>
      </c>
      <c r="U323" s="267" t="s">
        <v>881</v>
      </c>
      <c r="AA323" s="218"/>
    </row>
    <row r="324" spans="1:27" x14ac:dyDescent="0.25">
      <c r="A324" s="419">
        <v>3000209</v>
      </c>
      <c r="B324" s="421">
        <v>42381</v>
      </c>
      <c r="C324" s="419" t="s">
        <v>42</v>
      </c>
      <c r="D324" s="417" t="s">
        <v>882</v>
      </c>
      <c r="E324" s="120">
        <v>200</v>
      </c>
      <c r="F324" s="133" t="s">
        <v>605</v>
      </c>
      <c r="G324" s="434" t="s">
        <v>45</v>
      </c>
      <c r="H324" s="427">
        <v>537.46</v>
      </c>
      <c r="I324" s="452">
        <f t="shared" si="49"/>
        <v>-48.371400000000001</v>
      </c>
      <c r="J324" s="425">
        <f>-((H324*0.019)+0.3)</f>
        <v>-10.511740000000001</v>
      </c>
      <c r="K324" s="425">
        <f>SUM(H324:J324)</f>
        <v>478.57686000000007</v>
      </c>
      <c r="L324" s="131">
        <v>600</v>
      </c>
      <c r="M324" s="158">
        <v>45.51</v>
      </c>
      <c r="N324" s="91">
        <f t="shared" si="48"/>
        <v>165.51</v>
      </c>
      <c r="O324" s="411">
        <f t="shared" si="42"/>
        <v>313.06686000000008</v>
      </c>
      <c r="P324" s="132" t="s">
        <v>52</v>
      </c>
      <c r="Q324" s="232"/>
      <c r="R324" s="411"/>
      <c r="T324" s="470" t="s">
        <v>145</v>
      </c>
      <c r="U324" s="267" t="s">
        <v>883</v>
      </c>
      <c r="AA324" s="218"/>
    </row>
    <row r="325" spans="1:27" x14ac:dyDescent="0.25">
      <c r="A325" s="420"/>
      <c r="B325" s="422"/>
      <c r="C325" s="420"/>
      <c r="D325" s="418"/>
      <c r="E325" s="120">
        <v>100</v>
      </c>
      <c r="F325" s="133" t="s">
        <v>182</v>
      </c>
      <c r="G325" s="436"/>
      <c r="H325" s="428"/>
      <c r="I325" s="453"/>
      <c r="J325" s="426"/>
      <c r="K325" s="426"/>
      <c r="L325" s="158">
        <v>1374</v>
      </c>
      <c r="M325" s="158">
        <v>54.09</v>
      </c>
      <c r="N325" s="91">
        <f t="shared" si="48"/>
        <v>191.49</v>
      </c>
      <c r="O325" s="411">
        <f t="shared" si="42"/>
        <v>-191.49</v>
      </c>
      <c r="P325" s="132" t="s">
        <v>183</v>
      </c>
      <c r="Q325" s="232"/>
      <c r="R325" s="411"/>
      <c r="T325" s="472"/>
      <c r="U325" s="267" t="s">
        <v>884</v>
      </c>
      <c r="V325" s="133" t="s">
        <v>885</v>
      </c>
      <c r="AA325" s="218"/>
    </row>
    <row r="326" spans="1:27" ht="24" x14ac:dyDescent="0.25">
      <c r="A326" s="405">
        <v>3000210</v>
      </c>
      <c r="B326" s="406">
        <v>42381</v>
      </c>
      <c r="C326" s="405" t="s">
        <v>63</v>
      </c>
      <c r="D326" s="401" t="s">
        <v>886</v>
      </c>
      <c r="E326" s="120">
        <v>75</v>
      </c>
      <c r="F326" s="133" t="s">
        <v>887</v>
      </c>
      <c r="G326" s="404" t="s">
        <v>45</v>
      </c>
      <c r="H326" s="411">
        <v>248.4</v>
      </c>
      <c r="I326" s="411">
        <v>0</v>
      </c>
      <c r="J326" s="396">
        <f>-((H326*0.022)+0.3)</f>
        <v>-5.7647999999999993</v>
      </c>
      <c r="K326" s="90">
        <f t="shared" ref="K326:K331" si="50">SUM(H326:J326)</f>
        <v>242.6352</v>
      </c>
      <c r="L326" s="158">
        <v>1800</v>
      </c>
      <c r="M326" s="131">
        <v>30</v>
      </c>
      <c r="N326" s="91">
        <f t="shared" si="48"/>
        <v>165</v>
      </c>
      <c r="O326" s="411">
        <f t="shared" si="42"/>
        <v>77.635199999999998</v>
      </c>
      <c r="P326" s="132" t="s">
        <v>888</v>
      </c>
      <c r="Q326" s="232"/>
      <c r="R326" s="411">
        <v>28.4</v>
      </c>
      <c r="S326" s="133" t="s">
        <v>52</v>
      </c>
      <c r="T326" s="134" t="s">
        <v>889</v>
      </c>
      <c r="U326" s="266" t="s">
        <v>889</v>
      </c>
      <c r="W326" s="153" t="s">
        <v>890</v>
      </c>
      <c r="AA326" s="218"/>
    </row>
    <row r="327" spans="1:27" ht="24" x14ac:dyDescent="0.25">
      <c r="A327" s="405">
        <v>3000211</v>
      </c>
      <c r="B327" s="406">
        <v>42381</v>
      </c>
      <c r="C327" s="405" t="s">
        <v>63</v>
      </c>
      <c r="D327" s="401" t="s">
        <v>891</v>
      </c>
      <c r="E327" s="120">
        <v>61</v>
      </c>
      <c r="F327" s="133" t="s">
        <v>892</v>
      </c>
      <c r="G327" s="404" t="s">
        <v>45</v>
      </c>
      <c r="H327" s="411">
        <v>234</v>
      </c>
      <c r="I327" s="411">
        <v>0</v>
      </c>
      <c r="J327" s="396">
        <f>-((H327*0.022)+0.3)</f>
        <v>-5.4479999999999995</v>
      </c>
      <c r="K327" s="90">
        <f t="shared" si="50"/>
        <v>228.55199999999999</v>
      </c>
      <c r="L327" s="131">
        <v>1700</v>
      </c>
      <c r="M327" s="158">
        <v>42.14</v>
      </c>
      <c r="N327" s="91">
        <f t="shared" si="48"/>
        <v>145.84</v>
      </c>
      <c r="O327" s="411">
        <f t="shared" si="42"/>
        <v>82.711999999999989</v>
      </c>
      <c r="P327" s="132" t="s">
        <v>52</v>
      </c>
      <c r="Q327" s="232"/>
      <c r="R327" s="411"/>
      <c r="T327" s="134" t="s">
        <v>145</v>
      </c>
      <c r="U327" s="267" t="s">
        <v>893</v>
      </c>
      <c r="V327" s="157" t="s">
        <v>894</v>
      </c>
      <c r="W327" s="153" t="s">
        <v>895</v>
      </c>
      <c r="AA327" s="218"/>
    </row>
    <row r="328" spans="1:27" ht="24" x14ac:dyDescent="0.25">
      <c r="A328" s="405">
        <v>3000212</v>
      </c>
      <c r="B328" s="406">
        <v>42381</v>
      </c>
      <c r="C328" s="405" t="s">
        <v>159</v>
      </c>
      <c r="D328" s="401" t="s">
        <v>896</v>
      </c>
      <c r="E328" s="120">
        <v>120</v>
      </c>
      <c r="F328" s="133" t="s">
        <v>829</v>
      </c>
      <c r="G328" s="404" t="s">
        <v>45</v>
      </c>
      <c r="H328" s="411">
        <v>115.2</v>
      </c>
      <c r="I328" s="411">
        <v>0</v>
      </c>
      <c r="J328" s="90">
        <f>-((H328*0.019)+0.3)</f>
        <v>-2.4887999999999999</v>
      </c>
      <c r="K328" s="90">
        <f t="shared" si="50"/>
        <v>112.71120000000001</v>
      </c>
      <c r="L328" s="131">
        <v>510</v>
      </c>
      <c r="M328" s="158">
        <v>39.24</v>
      </c>
      <c r="N328" s="91">
        <f t="shared" si="48"/>
        <v>100.44</v>
      </c>
      <c r="O328" s="411">
        <f t="shared" si="42"/>
        <v>12.271200000000007</v>
      </c>
      <c r="P328" s="132" t="s">
        <v>52</v>
      </c>
      <c r="Q328" s="232"/>
      <c r="R328" s="411"/>
      <c r="T328" s="134" t="s">
        <v>145</v>
      </c>
      <c r="U328" s="267" t="s">
        <v>897</v>
      </c>
      <c r="AA328" s="218"/>
    </row>
    <row r="329" spans="1:27" ht="24" x14ac:dyDescent="0.25">
      <c r="A329" s="405">
        <v>3000213</v>
      </c>
      <c r="B329" s="406">
        <v>42382</v>
      </c>
      <c r="C329" s="405" t="s">
        <v>63</v>
      </c>
      <c r="D329" s="401" t="s">
        <v>898</v>
      </c>
      <c r="E329" s="120">
        <v>125</v>
      </c>
      <c r="F329" s="133" t="s">
        <v>899</v>
      </c>
      <c r="G329" s="404" t="s">
        <v>45</v>
      </c>
      <c r="H329" s="411">
        <v>860</v>
      </c>
      <c r="I329" s="411">
        <v>0</v>
      </c>
      <c r="J329" s="396">
        <f>-((H329*0.022)+0.3)</f>
        <v>-19.22</v>
      </c>
      <c r="K329" s="90">
        <f t="shared" si="50"/>
        <v>840.78</v>
      </c>
      <c r="L329" s="158">
        <v>2820</v>
      </c>
      <c r="M329" s="158">
        <v>135</v>
      </c>
      <c r="N329" s="91">
        <f t="shared" ref="N329:N392" si="51">((L329)*(E329*0.001))+M329</f>
        <v>487.5</v>
      </c>
      <c r="O329" s="411">
        <f t="shared" ref="O329:O392" si="52">K329-N329</f>
        <v>353.28</v>
      </c>
      <c r="P329" s="132" t="s">
        <v>183</v>
      </c>
      <c r="Q329" s="232"/>
      <c r="R329" s="411"/>
      <c r="T329" s="134" t="s">
        <v>473</v>
      </c>
      <c r="U329" s="266">
        <v>3612513634</v>
      </c>
      <c r="W329" s="153" t="s">
        <v>900</v>
      </c>
      <c r="AA329" s="218"/>
    </row>
    <row r="330" spans="1:27" ht="24" x14ac:dyDescent="0.25">
      <c r="A330" s="405">
        <v>3000214</v>
      </c>
      <c r="B330" s="406">
        <v>42382</v>
      </c>
      <c r="C330" s="405" t="s">
        <v>159</v>
      </c>
      <c r="D330" s="401" t="s">
        <v>901</v>
      </c>
      <c r="E330" s="120">
        <v>50</v>
      </c>
      <c r="F330" s="133" t="s">
        <v>549</v>
      </c>
      <c r="G330" s="404" t="s">
        <v>45</v>
      </c>
      <c r="H330" s="411">
        <v>353.5</v>
      </c>
      <c r="I330" s="411">
        <v>0</v>
      </c>
      <c r="J330" s="90">
        <f>-((H330*0.019)+0.3)</f>
        <v>-7.0164999999999997</v>
      </c>
      <c r="K330" s="90">
        <f t="shared" si="50"/>
        <v>346.48349999999999</v>
      </c>
      <c r="L330" s="158">
        <v>3600</v>
      </c>
      <c r="M330" s="158">
        <v>25.23</v>
      </c>
      <c r="N330" s="91">
        <f t="shared" si="51"/>
        <v>205.23</v>
      </c>
      <c r="O330" s="411">
        <f t="shared" si="52"/>
        <v>141.2535</v>
      </c>
      <c r="P330" s="132" t="s">
        <v>183</v>
      </c>
      <c r="Q330" s="232"/>
      <c r="R330" s="411"/>
      <c r="T330" s="134" t="s">
        <v>145</v>
      </c>
      <c r="U330" s="267" t="s">
        <v>902</v>
      </c>
      <c r="W330" s="153" t="s">
        <v>903</v>
      </c>
      <c r="AA330" s="218"/>
    </row>
    <row r="331" spans="1:27" ht="24" x14ac:dyDescent="0.25">
      <c r="A331" s="419">
        <v>3000215</v>
      </c>
      <c r="B331" s="421">
        <v>42382</v>
      </c>
      <c r="C331" s="419" t="s">
        <v>555</v>
      </c>
      <c r="D331" s="417" t="s">
        <v>904</v>
      </c>
      <c r="E331" s="120">
        <v>1500</v>
      </c>
      <c r="F331" s="133" t="s">
        <v>905</v>
      </c>
      <c r="G331" s="434" t="s">
        <v>45</v>
      </c>
      <c r="H331" s="427">
        <v>2641</v>
      </c>
      <c r="I331" s="427">
        <v>0</v>
      </c>
      <c r="J331" s="427">
        <v>0</v>
      </c>
      <c r="K331" s="425">
        <f t="shared" si="50"/>
        <v>2641</v>
      </c>
      <c r="L331" s="158">
        <v>230</v>
      </c>
      <c r="M331" s="158">
        <v>124.29</v>
      </c>
      <c r="N331" s="91">
        <f t="shared" si="51"/>
        <v>469.29</v>
      </c>
      <c r="O331" s="411">
        <f t="shared" si="52"/>
        <v>2171.71</v>
      </c>
      <c r="P331" s="132" t="s">
        <v>66</v>
      </c>
      <c r="Q331" s="232"/>
      <c r="R331" s="411"/>
      <c r="T331" s="134" t="s">
        <v>906</v>
      </c>
      <c r="U331" s="267" t="s">
        <v>907</v>
      </c>
      <c r="V331" s="133" t="s">
        <v>908</v>
      </c>
      <c r="W331" s="153" t="s">
        <v>909</v>
      </c>
      <c r="AA331" s="218"/>
    </row>
    <row r="332" spans="1:27" ht="24" x14ac:dyDescent="0.25">
      <c r="A332" s="432"/>
      <c r="B332" s="433"/>
      <c r="C332" s="432"/>
      <c r="D332" s="454"/>
      <c r="E332" s="120">
        <v>1312</v>
      </c>
      <c r="F332" s="133" t="s">
        <v>910</v>
      </c>
      <c r="G332" s="435"/>
      <c r="H332" s="438"/>
      <c r="I332" s="438"/>
      <c r="J332" s="438"/>
      <c r="K332" s="437"/>
      <c r="L332" s="158">
        <v>500</v>
      </c>
      <c r="M332" s="158"/>
      <c r="N332" s="91">
        <f t="shared" si="51"/>
        <v>656</v>
      </c>
      <c r="O332" s="411">
        <f t="shared" si="52"/>
        <v>-656</v>
      </c>
      <c r="P332" s="132" t="s">
        <v>235</v>
      </c>
      <c r="Q332" s="232"/>
      <c r="R332" s="411"/>
      <c r="T332" s="134" t="s">
        <v>145</v>
      </c>
      <c r="U332" s="267" t="s">
        <v>911</v>
      </c>
      <c r="V332" s="157" t="s">
        <v>912</v>
      </c>
      <c r="AA332" s="218"/>
    </row>
    <row r="333" spans="1:27" ht="24" x14ac:dyDescent="0.25">
      <c r="A333" s="432"/>
      <c r="B333" s="433"/>
      <c r="C333" s="432"/>
      <c r="D333" s="454"/>
      <c r="E333" s="120">
        <v>1312</v>
      </c>
      <c r="F333" s="133" t="s">
        <v>913</v>
      </c>
      <c r="G333" s="435"/>
      <c r="H333" s="438"/>
      <c r="I333" s="438"/>
      <c r="J333" s="438"/>
      <c r="K333" s="437"/>
      <c r="L333" s="158">
        <v>580</v>
      </c>
      <c r="M333" s="158">
        <v>88.42</v>
      </c>
      <c r="N333" s="91">
        <f t="shared" si="51"/>
        <v>849.38</v>
      </c>
      <c r="O333" s="411">
        <f t="shared" si="52"/>
        <v>-849.38</v>
      </c>
      <c r="P333" s="132" t="s">
        <v>914</v>
      </c>
      <c r="Q333" s="232"/>
      <c r="R333" s="411"/>
      <c r="T333" s="134" t="s">
        <v>915</v>
      </c>
      <c r="U333" s="267" t="s">
        <v>916</v>
      </c>
      <c r="V333" s="133" t="s">
        <v>917</v>
      </c>
      <c r="AA333" s="218"/>
    </row>
    <row r="334" spans="1:27" ht="24" x14ac:dyDescent="0.25">
      <c r="A334" s="420"/>
      <c r="B334" s="422"/>
      <c r="C334" s="420"/>
      <c r="D334" s="418"/>
      <c r="E334" s="120">
        <v>492</v>
      </c>
      <c r="F334" s="133" t="s">
        <v>918</v>
      </c>
      <c r="G334" s="436"/>
      <c r="H334" s="428"/>
      <c r="I334" s="428"/>
      <c r="J334" s="428"/>
      <c r="K334" s="426"/>
      <c r="L334" s="158">
        <v>1050</v>
      </c>
      <c r="M334" s="158">
        <v>72.61</v>
      </c>
      <c r="N334" s="91">
        <f t="shared" si="51"/>
        <v>589.21</v>
      </c>
      <c r="O334" s="411">
        <f t="shared" si="52"/>
        <v>-589.21</v>
      </c>
      <c r="P334" s="132" t="s">
        <v>66</v>
      </c>
      <c r="Q334" s="232"/>
      <c r="R334" s="411"/>
      <c r="T334" s="134" t="s">
        <v>906</v>
      </c>
      <c r="U334" s="267" t="s">
        <v>907</v>
      </c>
      <c r="V334" s="133" t="s">
        <v>919</v>
      </c>
      <c r="AA334" s="218"/>
    </row>
    <row r="335" spans="1:27" ht="24" x14ac:dyDescent="0.25">
      <c r="A335" s="405">
        <v>3000216</v>
      </c>
      <c r="B335" s="406">
        <v>42382</v>
      </c>
      <c r="C335" s="405" t="s">
        <v>42</v>
      </c>
      <c r="D335" s="401" t="s">
        <v>920</v>
      </c>
      <c r="E335" s="120">
        <v>50</v>
      </c>
      <c r="F335" s="133" t="s">
        <v>288</v>
      </c>
      <c r="G335" s="404" t="s">
        <v>45</v>
      </c>
      <c r="H335" s="411">
        <v>99.18</v>
      </c>
      <c r="I335" s="89">
        <f t="shared" ref="I335:I339" si="53">-(H335*0.09)</f>
        <v>-8.9261999999999997</v>
      </c>
      <c r="J335" s="90">
        <f>-((H335*0.019)+0.3)</f>
        <v>-2.1844199999999998</v>
      </c>
      <c r="K335" s="90">
        <f t="shared" ref="K335:K346" si="54">SUM(H335:J335)</f>
        <v>88.06938000000001</v>
      </c>
      <c r="L335" s="131">
        <v>1069</v>
      </c>
      <c r="M335" s="158">
        <v>31.47</v>
      </c>
      <c r="N335" s="91">
        <f t="shared" si="51"/>
        <v>84.92</v>
      </c>
      <c r="O335" s="411">
        <f t="shared" si="52"/>
        <v>3.1493800000000078</v>
      </c>
      <c r="P335" s="132" t="s">
        <v>52</v>
      </c>
      <c r="Q335" s="232"/>
      <c r="R335" s="411"/>
      <c r="T335" s="134" t="s">
        <v>145</v>
      </c>
      <c r="U335" s="267" t="s">
        <v>921</v>
      </c>
      <c r="AA335" s="218"/>
    </row>
    <row r="336" spans="1:27" ht="24" x14ac:dyDescent="0.25">
      <c r="A336" s="405">
        <v>3000217</v>
      </c>
      <c r="B336" s="406">
        <v>42382</v>
      </c>
      <c r="C336" s="405" t="s">
        <v>42</v>
      </c>
      <c r="D336" s="401" t="s">
        <v>922</v>
      </c>
      <c r="E336" s="120">
        <v>250</v>
      </c>
      <c r="F336" s="133" t="s">
        <v>752</v>
      </c>
      <c r="G336" s="404" t="s">
        <v>45</v>
      </c>
      <c r="H336" s="411">
        <v>166.57</v>
      </c>
      <c r="I336" s="89">
        <f t="shared" si="53"/>
        <v>-14.991299999999999</v>
      </c>
      <c r="J336" s="90">
        <f>-((H336*0.019)+0.3)</f>
        <v>-3.4648299999999996</v>
      </c>
      <c r="K336" s="90">
        <f t="shared" si="54"/>
        <v>148.11386999999999</v>
      </c>
      <c r="L336" s="158">
        <v>380</v>
      </c>
      <c r="M336" s="158">
        <v>19.64</v>
      </c>
      <c r="N336" s="91">
        <f t="shared" si="51"/>
        <v>114.64</v>
      </c>
      <c r="O336" s="411">
        <f t="shared" si="52"/>
        <v>33.473869999999991</v>
      </c>
      <c r="P336" s="132" t="s">
        <v>46</v>
      </c>
      <c r="Q336" s="232"/>
      <c r="R336" s="411"/>
      <c r="T336" s="134" t="s">
        <v>324</v>
      </c>
      <c r="U336" s="267" t="s">
        <v>923</v>
      </c>
      <c r="AA336" s="218"/>
    </row>
    <row r="337" spans="1:27" ht="24" x14ac:dyDescent="0.25">
      <c r="A337" s="405">
        <v>3000218</v>
      </c>
      <c r="B337" s="406">
        <v>42382</v>
      </c>
      <c r="C337" s="405" t="s">
        <v>42</v>
      </c>
      <c r="D337" s="401" t="s">
        <v>924</v>
      </c>
      <c r="E337" s="120">
        <v>50</v>
      </c>
      <c r="F337" s="133" t="s">
        <v>925</v>
      </c>
      <c r="G337" s="404" t="s">
        <v>45</v>
      </c>
      <c r="H337" s="411">
        <v>105.16</v>
      </c>
      <c r="I337" s="89">
        <f t="shared" si="53"/>
        <v>-9.4643999999999995</v>
      </c>
      <c r="J337" s="90">
        <f>-((H337*0.019)+0.3)</f>
        <v>-2.2980399999999999</v>
      </c>
      <c r="K337" s="90">
        <f t="shared" si="54"/>
        <v>93.397559999999999</v>
      </c>
      <c r="L337" s="158">
        <v>858</v>
      </c>
      <c r="N337" s="91">
        <f t="shared" si="51"/>
        <v>42.900000000000006</v>
      </c>
      <c r="O337" s="411">
        <f t="shared" si="52"/>
        <v>50.497559999999993</v>
      </c>
      <c r="P337" s="132" t="s">
        <v>926</v>
      </c>
      <c r="Q337" s="232"/>
      <c r="R337" s="411"/>
      <c r="T337" s="134" t="s">
        <v>145</v>
      </c>
      <c r="U337" s="267" t="s">
        <v>927</v>
      </c>
      <c r="AA337" s="218"/>
    </row>
    <row r="338" spans="1:27" ht="24" x14ac:dyDescent="0.25">
      <c r="A338" s="405">
        <v>3000219</v>
      </c>
      <c r="B338" s="406">
        <v>42382</v>
      </c>
      <c r="C338" s="405" t="s">
        <v>42</v>
      </c>
      <c r="D338" s="401" t="s">
        <v>928</v>
      </c>
      <c r="E338" s="120">
        <v>150</v>
      </c>
      <c r="F338" s="133" t="s">
        <v>877</v>
      </c>
      <c r="G338" s="404" t="s">
        <v>45</v>
      </c>
      <c r="H338" s="411">
        <v>121</v>
      </c>
      <c r="I338" s="89">
        <f t="shared" si="53"/>
        <v>-10.889999999999999</v>
      </c>
      <c r="J338" s="90">
        <f>-((H338*0.019)+0.3)</f>
        <v>-2.5989999999999998</v>
      </c>
      <c r="K338" s="90">
        <f t="shared" si="54"/>
        <v>107.511</v>
      </c>
      <c r="L338" s="131">
        <v>235</v>
      </c>
      <c r="M338" s="158">
        <v>23.66</v>
      </c>
      <c r="N338" s="91">
        <f t="shared" si="51"/>
        <v>58.91</v>
      </c>
      <c r="O338" s="411">
        <f t="shared" si="52"/>
        <v>48.600999999999999</v>
      </c>
      <c r="P338" s="132" t="s">
        <v>52</v>
      </c>
      <c r="Q338" s="232"/>
      <c r="R338" s="411"/>
      <c r="T338" s="134" t="s">
        <v>145</v>
      </c>
      <c r="U338" s="267" t="s">
        <v>929</v>
      </c>
      <c r="AA338" s="218"/>
    </row>
    <row r="339" spans="1:27" ht="24" x14ac:dyDescent="0.25">
      <c r="A339" s="405">
        <v>3000220</v>
      </c>
      <c r="B339" s="406">
        <v>42382</v>
      </c>
      <c r="C339" s="405" t="s">
        <v>42</v>
      </c>
      <c r="D339" s="401" t="s">
        <v>930</v>
      </c>
      <c r="E339" s="120">
        <v>100</v>
      </c>
      <c r="F339" s="133" t="s">
        <v>247</v>
      </c>
      <c r="G339" s="404" t="s">
        <v>45</v>
      </c>
      <c r="H339" s="411">
        <v>136.72</v>
      </c>
      <c r="I339" s="89">
        <f t="shared" si="53"/>
        <v>-12.3048</v>
      </c>
      <c r="J339" s="90">
        <f>-((H339*0.019)+0.3)</f>
        <v>-2.8976799999999998</v>
      </c>
      <c r="K339" s="90">
        <f t="shared" si="54"/>
        <v>121.51752</v>
      </c>
      <c r="L339" s="131">
        <v>580</v>
      </c>
      <c r="M339" s="158">
        <v>39.49</v>
      </c>
      <c r="N339" s="91">
        <f t="shared" si="51"/>
        <v>97.490000000000009</v>
      </c>
      <c r="O339" s="411">
        <f t="shared" si="52"/>
        <v>24.027519999999996</v>
      </c>
      <c r="P339" s="132" t="s">
        <v>52</v>
      </c>
      <c r="Q339" s="232"/>
      <c r="R339" s="411"/>
      <c r="T339" s="134" t="s">
        <v>145</v>
      </c>
      <c r="U339" s="267" t="s">
        <v>931</v>
      </c>
      <c r="AA339" s="218"/>
    </row>
    <row r="340" spans="1:27" ht="24" x14ac:dyDescent="0.25">
      <c r="A340" s="405">
        <v>3000221</v>
      </c>
      <c r="B340" s="406">
        <v>42382</v>
      </c>
      <c r="C340" s="405" t="s">
        <v>237</v>
      </c>
      <c r="D340" s="401" t="s">
        <v>932</v>
      </c>
      <c r="E340" s="120">
        <v>75</v>
      </c>
      <c r="F340" s="133" t="s">
        <v>161</v>
      </c>
      <c r="G340" s="404" t="s">
        <v>45</v>
      </c>
      <c r="H340" s="411">
        <v>221.5</v>
      </c>
      <c r="I340" s="89">
        <f>-(H340*0.15)</f>
        <v>-33.225000000000001</v>
      </c>
      <c r="J340" s="411">
        <v>0</v>
      </c>
      <c r="K340" s="90">
        <f t="shared" si="54"/>
        <v>188.27500000000001</v>
      </c>
      <c r="L340" s="131">
        <v>1450</v>
      </c>
      <c r="M340" s="158">
        <v>42.89</v>
      </c>
      <c r="N340" s="91">
        <f t="shared" si="51"/>
        <v>151.63999999999999</v>
      </c>
      <c r="O340" s="411">
        <f t="shared" si="52"/>
        <v>36.635000000000019</v>
      </c>
      <c r="P340" s="132" t="s">
        <v>52</v>
      </c>
      <c r="Q340" s="232"/>
      <c r="R340" s="411"/>
      <c r="T340" s="134" t="s">
        <v>145</v>
      </c>
      <c r="U340" s="267" t="s">
        <v>933</v>
      </c>
      <c r="AA340" s="218"/>
    </row>
    <row r="341" spans="1:27" ht="24" x14ac:dyDescent="0.25">
      <c r="A341" s="405">
        <v>3000222</v>
      </c>
      <c r="B341" s="406">
        <v>42382</v>
      </c>
      <c r="C341" s="405" t="s">
        <v>237</v>
      </c>
      <c r="D341" s="401" t="s">
        <v>934</v>
      </c>
      <c r="E341" s="120">
        <v>275</v>
      </c>
      <c r="F341" s="133" t="s">
        <v>247</v>
      </c>
      <c r="G341" s="404" t="s">
        <v>45</v>
      </c>
      <c r="H341" s="411">
        <v>327.24</v>
      </c>
      <c r="I341" s="89">
        <f>-(H341*0.15)</f>
        <v>-49.085999999999999</v>
      </c>
      <c r="J341" s="411">
        <v>0</v>
      </c>
      <c r="K341" s="90">
        <f t="shared" si="54"/>
        <v>278.154</v>
      </c>
      <c r="L341" s="131">
        <v>580</v>
      </c>
      <c r="M341" s="158">
        <v>50.9</v>
      </c>
      <c r="N341" s="91">
        <f t="shared" si="51"/>
        <v>210.4</v>
      </c>
      <c r="O341" s="411">
        <f t="shared" si="52"/>
        <v>67.753999999999991</v>
      </c>
      <c r="P341" s="132" t="s">
        <v>52</v>
      </c>
      <c r="Q341" s="232"/>
      <c r="R341" s="411"/>
      <c r="T341" s="134" t="s">
        <v>145</v>
      </c>
      <c r="U341" s="267" t="s">
        <v>935</v>
      </c>
      <c r="AA341" s="218"/>
    </row>
    <row r="342" spans="1:27" ht="24" x14ac:dyDescent="0.25">
      <c r="A342" s="405">
        <v>3000223</v>
      </c>
      <c r="B342" s="406">
        <v>42382</v>
      </c>
      <c r="C342" s="405" t="s">
        <v>237</v>
      </c>
      <c r="D342" s="401" t="s">
        <v>936</v>
      </c>
      <c r="E342" s="120">
        <v>50</v>
      </c>
      <c r="F342" s="133" t="s">
        <v>431</v>
      </c>
      <c r="G342" s="404" t="s">
        <v>45</v>
      </c>
      <c r="H342" s="411">
        <v>140</v>
      </c>
      <c r="I342" s="89">
        <f>-(H342*0.15)</f>
        <v>-21</v>
      </c>
      <c r="J342" s="411">
        <v>0</v>
      </c>
      <c r="K342" s="90">
        <f t="shared" si="54"/>
        <v>119</v>
      </c>
      <c r="L342" s="131">
        <v>1050</v>
      </c>
      <c r="M342" s="158">
        <v>23.88</v>
      </c>
      <c r="N342" s="91">
        <f t="shared" si="51"/>
        <v>76.38</v>
      </c>
      <c r="O342" s="411">
        <f t="shared" si="52"/>
        <v>42.620000000000005</v>
      </c>
      <c r="P342" s="132" t="s">
        <v>52</v>
      </c>
      <c r="Q342" s="232"/>
      <c r="R342" s="411"/>
      <c r="T342" s="134" t="s">
        <v>145</v>
      </c>
      <c r="U342" s="267" t="s">
        <v>937</v>
      </c>
      <c r="AA342" s="218"/>
    </row>
    <row r="343" spans="1:27" ht="24" x14ac:dyDescent="0.25">
      <c r="A343" s="405">
        <v>3000224</v>
      </c>
      <c r="B343" s="406">
        <v>42382</v>
      </c>
      <c r="C343" s="405" t="s">
        <v>42</v>
      </c>
      <c r="D343" s="401" t="s">
        <v>938</v>
      </c>
      <c r="E343" s="120">
        <v>250</v>
      </c>
      <c r="F343" s="133" t="s">
        <v>939</v>
      </c>
      <c r="G343" s="404" t="s">
        <v>45</v>
      </c>
      <c r="H343" s="411">
        <v>256.95999999999998</v>
      </c>
      <c r="I343" s="89">
        <f t="shared" ref="I343" si="55">-(H343*0.09)</f>
        <v>-23.126399999999997</v>
      </c>
      <c r="J343" s="90">
        <f>-((H343*0.019)+0.3)</f>
        <v>-5.1822399999999993</v>
      </c>
      <c r="K343" s="90">
        <f t="shared" si="54"/>
        <v>228.65135999999998</v>
      </c>
      <c r="L343" s="158">
        <v>616</v>
      </c>
      <c r="M343" s="158">
        <v>28.09</v>
      </c>
      <c r="N343" s="91">
        <f t="shared" si="51"/>
        <v>182.09</v>
      </c>
      <c r="O343" s="411">
        <f t="shared" si="52"/>
        <v>46.561359999999979</v>
      </c>
      <c r="P343" s="132" t="s">
        <v>183</v>
      </c>
      <c r="Q343" s="232"/>
      <c r="R343" s="411"/>
      <c r="T343" s="134" t="s">
        <v>145</v>
      </c>
      <c r="U343" s="267" t="s">
        <v>940</v>
      </c>
      <c r="AA343" s="218"/>
    </row>
    <row r="344" spans="1:27" x14ac:dyDescent="0.25">
      <c r="A344" s="405">
        <v>3000225</v>
      </c>
      <c r="B344" s="406">
        <v>42382</v>
      </c>
      <c r="C344" s="405" t="s">
        <v>63</v>
      </c>
      <c r="D344" s="401" t="s">
        <v>941</v>
      </c>
      <c r="E344" s="120">
        <v>500</v>
      </c>
      <c r="F344" s="133" t="s">
        <v>925</v>
      </c>
      <c r="G344" s="404" t="s">
        <v>45</v>
      </c>
      <c r="H344" s="411">
        <v>800</v>
      </c>
      <c r="I344" s="411">
        <v>0</v>
      </c>
      <c r="J344" s="396">
        <f>-((H344*0.022)+0.3)</f>
        <v>-17.899999999999999</v>
      </c>
      <c r="K344" s="90">
        <f t="shared" si="54"/>
        <v>782.1</v>
      </c>
      <c r="L344" s="158">
        <v>858</v>
      </c>
      <c r="N344" s="91">
        <f t="shared" si="51"/>
        <v>429</v>
      </c>
      <c r="O344" s="411">
        <f t="shared" si="52"/>
        <v>353.1</v>
      </c>
      <c r="P344" s="132" t="s">
        <v>926</v>
      </c>
      <c r="Q344" s="232"/>
      <c r="R344" s="411"/>
      <c r="T344" s="134" t="s">
        <v>942</v>
      </c>
      <c r="U344" s="267" t="s">
        <v>943</v>
      </c>
      <c r="W344" s="153" t="s">
        <v>944</v>
      </c>
      <c r="AA344" s="218"/>
    </row>
    <row r="345" spans="1:27" ht="24" x14ac:dyDescent="0.25">
      <c r="A345" s="405">
        <v>3000226</v>
      </c>
      <c r="B345" s="406">
        <v>42382</v>
      </c>
      <c r="C345" s="405" t="s">
        <v>141</v>
      </c>
      <c r="D345" s="401" t="s">
        <v>142</v>
      </c>
      <c r="E345" s="120">
        <v>150</v>
      </c>
      <c r="F345" s="133" t="s">
        <v>143</v>
      </c>
      <c r="G345" s="404" t="s">
        <v>45</v>
      </c>
      <c r="H345" s="411">
        <v>429</v>
      </c>
      <c r="I345" s="411">
        <v>0</v>
      </c>
      <c r="J345" s="396">
        <f>-((H345*0.0325)+0.3)</f>
        <v>-14.242500000000001</v>
      </c>
      <c r="K345" s="90">
        <f t="shared" si="54"/>
        <v>414.75749999999999</v>
      </c>
      <c r="L345" s="158">
        <v>1250</v>
      </c>
      <c r="M345" s="158">
        <v>19.04</v>
      </c>
      <c r="N345" s="91">
        <f t="shared" si="51"/>
        <v>206.54</v>
      </c>
      <c r="O345" s="411">
        <f t="shared" si="52"/>
        <v>208.2175</v>
      </c>
      <c r="P345" s="132" t="s">
        <v>144</v>
      </c>
      <c r="Q345" s="232"/>
      <c r="R345" s="411"/>
      <c r="T345" s="134" t="s">
        <v>145</v>
      </c>
      <c r="U345" s="267" t="s">
        <v>945</v>
      </c>
      <c r="W345" s="153" t="s">
        <v>147</v>
      </c>
      <c r="AA345" s="218"/>
    </row>
    <row r="346" spans="1:27" ht="24" x14ac:dyDescent="0.25">
      <c r="A346" s="419">
        <v>3000227</v>
      </c>
      <c r="B346" s="421">
        <v>42382</v>
      </c>
      <c r="C346" s="419" t="s">
        <v>141</v>
      </c>
      <c r="D346" s="417" t="s">
        <v>946</v>
      </c>
      <c r="E346" s="120">
        <v>500</v>
      </c>
      <c r="F346" s="133" t="s">
        <v>590</v>
      </c>
      <c r="G346" s="434" t="s">
        <v>45</v>
      </c>
      <c r="H346" s="427">
        <v>1550</v>
      </c>
      <c r="I346" s="427">
        <v>0</v>
      </c>
      <c r="J346" s="425">
        <f>-((H346*0.0325)+0.3)</f>
        <v>-50.674999999999997</v>
      </c>
      <c r="K346" s="425">
        <f t="shared" si="54"/>
        <v>1499.325</v>
      </c>
      <c r="L346" s="131">
        <v>620</v>
      </c>
      <c r="M346" s="158">
        <v>80.31</v>
      </c>
      <c r="N346" s="91">
        <f t="shared" si="51"/>
        <v>390.31</v>
      </c>
      <c r="O346" s="411">
        <f t="shared" si="52"/>
        <v>1109.0150000000001</v>
      </c>
      <c r="P346" s="132" t="s">
        <v>52</v>
      </c>
      <c r="Q346" s="232"/>
      <c r="R346" s="411"/>
      <c r="T346" s="134" t="s">
        <v>947</v>
      </c>
      <c r="U346" s="267" t="s">
        <v>948</v>
      </c>
      <c r="V346" s="133" t="s">
        <v>55</v>
      </c>
      <c r="W346" s="153" t="s">
        <v>949</v>
      </c>
      <c r="AA346" s="218"/>
    </row>
    <row r="347" spans="1:27" x14ac:dyDescent="0.25">
      <c r="A347" s="420"/>
      <c r="B347" s="422"/>
      <c r="C347" s="420"/>
      <c r="D347" s="418"/>
      <c r="E347" s="120">
        <v>500</v>
      </c>
      <c r="F347" s="133" t="s">
        <v>950</v>
      </c>
      <c r="G347" s="436"/>
      <c r="H347" s="428"/>
      <c r="I347" s="428"/>
      <c r="J347" s="426"/>
      <c r="K347" s="426"/>
      <c r="L347" s="158">
        <v>850</v>
      </c>
      <c r="M347" s="158">
        <v>105</v>
      </c>
      <c r="N347" s="91">
        <f t="shared" si="51"/>
        <v>530</v>
      </c>
      <c r="O347" s="411">
        <f t="shared" si="52"/>
        <v>-530</v>
      </c>
      <c r="P347" s="132" t="s">
        <v>183</v>
      </c>
      <c r="Q347" s="232"/>
      <c r="R347" s="411"/>
      <c r="T347" s="134" t="s">
        <v>67</v>
      </c>
      <c r="U347" s="267" t="s">
        <v>951</v>
      </c>
      <c r="V347" s="133" t="s">
        <v>952</v>
      </c>
      <c r="AA347" s="218"/>
    </row>
    <row r="348" spans="1:27" ht="24" x14ac:dyDescent="0.25">
      <c r="A348" s="405">
        <v>3000228</v>
      </c>
      <c r="B348" s="406">
        <v>42382</v>
      </c>
      <c r="C348" s="405" t="s">
        <v>63</v>
      </c>
      <c r="D348" s="401" t="s">
        <v>953</v>
      </c>
      <c r="E348" s="120">
        <v>175</v>
      </c>
      <c r="F348" s="133" t="s">
        <v>954</v>
      </c>
      <c r="G348" s="404" t="s">
        <v>45</v>
      </c>
      <c r="H348" s="411">
        <v>81</v>
      </c>
      <c r="I348" s="411">
        <v>0</v>
      </c>
      <c r="J348" s="396">
        <f>-((H348*0.022)+0.3)</f>
        <v>-2.0819999999999999</v>
      </c>
      <c r="K348" s="90">
        <f>SUM(H348:J348)</f>
        <v>78.918000000000006</v>
      </c>
      <c r="M348" s="158">
        <v>27.41</v>
      </c>
      <c r="N348" s="91">
        <f t="shared" si="51"/>
        <v>27.41</v>
      </c>
      <c r="O348" s="411">
        <f t="shared" si="52"/>
        <v>51.50800000000001</v>
      </c>
      <c r="P348" s="132" t="s">
        <v>52</v>
      </c>
      <c r="Q348" s="232"/>
      <c r="R348" s="411"/>
      <c r="T348" s="134" t="s">
        <v>145</v>
      </c>
      <c r="U348" s="267" t="s">
        <v>955</v>
      </c>
      <c r="AA348" s="218"/>
    </row>
    <row r="349" spans="1:27" x14ac:dyDescent="0.25">
      <c r="A349" s="419">
        <v>3000229</v>
      </c>
      <c r="B349" s="421">
        <v>42382</v>
      </c>
      <c r="C349" s="419" t="s">
        <v>63</v>
      </c>
      <c r="D349" s="417" t="s">
        <v>956</v>
      </c>
      <c r="E349" s="120">
        <v>165</v>
      </c>
      <c r="F349" s="133" t="s">
        <v>957</v>
      </c>
      <c r="G349" s="434" t="s">
        <v>45</v>
      </c>
      <c r="H349" s="427">
        <v>1002.25</v>
      </c>
      <c r="I349" s="427">
        <v>0</v>
      </c>
      <c r="J349" s="425">
        <f>-((H349*0.022)+0.3)</f>
        <v>-22.349499999999999</v>
      </c>
      <c r="K349" s="425">
        <f>SUM(H349:J349)</f>
        <v>979.90049999999997</v>
      </c>
      <c r="L349" s="158">
        <v>1550</v>
      </c>
      <c r="M349" s="158">
        <v>88.9</v>
      </c>
      <c r="N349" s="91">
        <f t="shared" si="51"/>
        <v>344.65</v>
      </c>
      <c r="O349" s="411">
        <f t="shared" si="52"/>
        <v>635.25049999999999</v>
      </c>
      <c r="P349" s="132" t="s">
        <v>183</v>
      </c>
      <c r="Q349" s="232"/>
      <c r="R349" s="411"/>
      <c r="T349" s="439" t="s">
        <v>145</v>
      </c>
      <c r="U349" s="267" t="s">
        <v>958</v>
      </c>
      <c r="V349" s="133" t="s">
        <v>959</v>
      </c>
      <c r="W349" s="153" t="s">
        <v>960</v>
      </c>
      <c r="AA349" s="218"/>
    </row>
    <row r="350" spans="1:27" x14ac:dyDescent="0.25">
      <c r="A350" s="432"/>
      <c r="B350" s="433"/>
      <c r="C350" s="432"/>
      <c r="D350" s="454"/>
      <c r="E350" s="120">
        <v>200</v>
      </c>
      <c r="F350" s="133" t="s">
        <v>961</v>
      </c>
      <c r="G350" s="435"/>
      <c r="H350" s="438"/>
      <c r="I350" s="438"/>
      <c r="J350" s="437"/>
      <c r="K350" s="437"/>
      <c r="L350" s="158">
        <v>1150</v>
      </c>
      <c r="M350" s="158"/>
      <c r="N350" s="91">
        <f t="shared" si="51"/>
        <v>230</v>
      </c>
      <c r="O350" s="411">
        <f t="shared" si="52"/>
        <v>-230</v>
      </c>
      <c r="P350" s="132" t="s">
        <v>183</v>
      </c>
      <c r="Q350" s="232"/>
      <c r="R350" s="411"/>
      <c r="T350" s="440"/>
      <c r="U350" s="267" t="s">
        <v>962</v>
      </c>
      <c r="AA350" s="218"/>
    </row>
    <row r="351" spans="1:27" x14ac:dyDescent="0.25">
      <c r="A351" s="420"/>
      <c r="B351" s="422"/>
      <c r="C351" s="420"/>
      <c r="D351" s="418"/>
      <c r="E351" s="120">
        <v>165</v>
      </c>
      <c r="F351" s="133" t="s">
        <v>963</v>
      </c>
      <c r="G351" s="436"/>
      <c r="H351" s="428"/>
      <c r="I351" s="428"/>
      <c r="J351" s="426"/>
      <c r="K351" s="426"/>
      <c r="L351" s="158">
        <v>800</v>
      </c>
      <c r="M351" s="158"/>
      <c r="N351" s="91">
        <f t="shared" si="51"/>
        <v>132</v>
      </c>
      <c r="O351" s="411">
        <f t="shared" si="52"/>
        <v>-132</v>
      </c>
      <c r="P351" s="132" t="s">
        <v>183</v>
      </c>
      <c r="Q351" s="232"/>
      <c r="R351" s="411"/>
      <c r="T351" s="441"/>
      <c r="U351" s="267" t="s">
        <v>964</v>
      </c>
      <c r="AA351" s="218"/>
    </row>
    <row r="352" spans="1:27" x14ac:dyDescent="0.25">
      <c r="A352" s="405">
        <v>3000230</v>
      </c>
      <c r="B352" s="406">
        <v>42382</v>
      </c>
      <c r="C352" s="405" t="s">
        <v>141</v>
      </c>
      <c r="D352" s="401" t="s">
        <v>965</v>
      </c>
      <c r="E352" s="120">
        <v>200</v>
      </c>
      <c r="F352" s="133" t="s">
        <v>899</v>
      </c>
      <c r="G352" s="404" t="s">
        <v>45</v>
      </c>
      <c r="H352" s="411">
        <v>780</v>
      </c>
      <c r="I352" s="411">
        <v>0</v>
      </c>
      <c r="J352" s="396">
        <f>-((H352*0.0325)+0.3)</f>
        <v>-25.650000000000002</v>
      </c>
      <c r="K352" s="90">
        <f>SUM(H352:J352)</f>
        <v>754.35</v>
      </c>
      <c r="L352" s="158">
        <v>2620</v>
      </c>
      <c r="M352" s="158">
        <v>105</v>
      </c>
      <c r="N352" s="91">
        <f t="shared" si="51"/>
        <v>629</v>
      </c>
      <c r="O352" s="411">
        <f t="shared" si="52"/>
        <v>125.35000000000002</v>
      </c>
      <c r="P352" s="132" t="s">
        <v>183</v>
      </c>
      <c r="Q352" s="232"/>
      <c r="R352" s="411"/>
      <c r="T352" s="134" t="s">
        <v>67</v>
      </c>
      <c r="U352" s="267" t="s">
        <v>966</v>
      </c>
      <c r="W352" s="153" t="s">
        <v>967</v>
      </c>
      <c r="AA352" s="218"/>
    </row>
    <row r="353" spans="1:27" ht="24" x14ac:dyDescent="0.25">
      <c r="A353" s="405">
        <v>3000231</v>
      </c>
      <c r="B353" s="406">
        <v>42382</v>
      </c>
      <c r="C353" s="405" t="s">
        <v>78</v>
      </c>
      <c r="D353" s="401" t="s">
        <v>968</v>
      </c>
      <c r="E353" s="120">
        <v>175</v>
      </c>
      <c r="F353" s="133" t="s">
        <v>605</v>
      </c>
      <c r="G353" s="404" t="s">
        <v>45</v>
      </c>
      <c r="H353" s="411">
        <v>278</v>
      </c>
      <c r="I353" s="411">
        <v>0</v>
      </c>
      <c r="J353" s="90">
        <f>-((H353*0.019)+0.3)</f>
        <v>-5.5819999999999999</v>
      </c>
      <c r="K353" s="90">
        <f>SUM(H353:J353)</f>
        <v>272.41800000000001</v>
      </c>
      <c r="M353" s="158">
        <v>48.7</v>
      </c>
      <c r="N353" s="91">
        <f t="shared" si="51"/>
        <v>48.7</v>
      </c>
      <c r="O353" s="411">
        <f t="shared" si="52"/>
        <v>223.71800000000002</v>
      </c>
      <c r="P353" s="132" t="s">
        <v>52</v>
      </c>
      <c r="Q353" s="232"/>
      <c r="R353" s="411"/>
      <c r="T353" s="134" t="s">
        <v>145</v>
      </c>
      <c r="U353" s="267" t="s">
        <v>969</v>
      </c>
      <c r="W353" s="153" t="s">
        <v>970</v>
      </c>
      <c r="AA353" s="218"/>
    </row>
    <row r="354" spans="1:27" ht="24" x14ac:dyDescent="0.25">
      <c r="A354" s="405">
        <v>3000232</v>
      </c>
      <c r="B354" s="406">
        <v>42382</v>
      </c>
      <c r="C354" s="405" t="s">
        <v>42</v>
      </c>
      <c r="D354" s="401" t="s">
        <v>971</v>
      </c>
      <c r="E354" s="120">
        <v>250</v>
      </c>
      <c r="F354" s="133" t="s">
        <v>972</v>
      </c>
      <c r="G354" s="404" t="s">
        <v>45</v>
      </c>
      <c r="H354" s="411">
        <v>122.5</v>
      </c>
      <c r="I354" s="89">
        <f t="shared" ref="I354:I355" si="56">-(H354*0.09)</f>
        <v>-11.025</v>
      </c>
      <c r="J354" s="90">
        <f>-((H354*0.019)+0.3)</f>
        <v>-2.6274999999999999</v>
      </c>
      <c r="K354" s="90">
        <f>SUM(H354:J354)</f>
        <v>108.8475</v>
      </c>
      <c r="M354" s="158">
        <v>27.29</v>
      </c>
      <c r="N354" s="91">
        <f t="shared" si="51"/>
        <v>27.29</v>
      </c>
      <c r="O354" s="411">
        <f t="shared" si="52"/>
        <v>81.557500000000005</v>
      </c>
      <c r="P354" s="132" t="s">
        <v>52</v>
      </c>
      <c r="Q354" s="232"/>
      <c r="R354" s="411"/>
      <c r="T354" s="134" t="s">
        <v>145</v>
      </c>
      <c r="U354" s="267" t="s">
        <v>973</v>
      </c>
      <c r="AA354" s="218"/>
    </row>
    <row r="355" spans="1:27" ht="24" x14ac:dyDescent="0.25">
      <c r="A355" s="405">
        <v>3000233</v>
      </c>
      <c r="B355" s="406">
        <v>42382</v>
      </c>
      <c r="C355" s="405" t="s">
        <v>42</v>
      </c>
      <c r="D355" s="401" t="s">
        <v>974</v>
      </c>
      <c r="E355" s="120">
        <v>50</v>
      </c>
      <c r="F355" s="133" t="s">
        <v>975</v>
      </c>
      <c r="G355" s="404" t="s">
        <v>45</v>
      </c>
      <c r="H355" s="411">
        <v>126.35</v>
      </c>
      <c r="I355" s="89">
        <f t="shared" si="56"/>
        <v>-11.371499999999999</v>
      </c>
      <c r="J355" s="90">
        <f>-((H355*0.019)+0.3)</f>
        <v>-2.7006499999999996</v>
      </c>
      <c r="K355" s="90">
        <f>SUM(H355:J355)</f>
        <v>112.27785</v>
      </c>
      <c r="M355" s="158">
        <v>37.29</v>
      </c>
      <c r="N355" s="91">
        <f t="shared" si="51"/>
        <v>37.29</v>
      </c>
      <c r="O355" s="411">
        <f t="shared" si="52"/>
        <v>74.987850000000009</v>
      </c>
      <c r="P355" s="132" t="s">
        <v>52</v>
      </c>
      <c r="Q355" s="232"/>
      <c r="R355" s="411"/>
      <c r="T355" s="134" t="s">
        <v>145</v>
      </c>
      <c r="U355" s="267" t="s">
        <v>976</v>
      </c>
      <c r="AA355" s="218"/>
    </row>
    <row r="356" spans="1:27" ht="24" x14ac:dyDescent="0.25">
      <c r="A356" s="405">
        <v>3000234</v>
      </c>
      <c r="B356" s="406">
        <v>42382</v>
      </c>
      <c r="C356" s="405" t="s">
        <v>977</v>
      </c>
      <c r="D356" s="401" t="s">
        <v>978</v>
      </c>
      <c r="E356" s="120">
        <v>1300</v>
      </c>
      <c r="F356" s="133" t="s">
        <v>979</v>
      </c>
      <c r="G356" s="404" t="s">
        <v>45</v>
      </c>
      <c r="H356" s="411">
        <v>2340</v>
      </c>
      <c r="I356" s="411">
        <v>0</v>
      </c>
      <c r="J356" s="396">
        <f>-((H356*0.022)+0.3)</f>
        <v>-51.779999999999994</v>
      </c>
      <c r="K356" s="90">
        <f>SUM(H356:J356)</f>
        <v>2288.2199999999998</v>
      </c>
      <c r="L356" s="158">
        <v>1000</v>
      </c>
      <c r="M356" s="158">
        <v>240.09</v>
      </c>
      <c r="N356" s="91">
        <f t="shared" si="51"/>
        <v>1540.09</v>
      </c>
      <c r="O356" s="411">
        <f t="shared" si="52"/>
        <v>748.12999999999988</v>
      </c>
      <c r="P356" s="132" t="s">
        <v>59</v>
      </c>
      <c r="Q356" s="232"/>
      <c r="R356" s="411"/>
      <c r="T356" s="134" t="s">
        <v>473</v>
      </c>
      <c r="U356" s="266">
        <v>3491458902</v>
      </c>
      <c r="W356" s="153" t="s">
        <v>980</v>
      </c>
      <c r="AA356" s="218"/>
    </row>
    <row r="357" spans="1:27" x14ac:dyDescent="0.25">
      <c r="A357" s="405">
        <v>3000235</v>
      </c>
      <c r="B357" s="406">
        <v>42382</v>
      </c>
      <c r="C357" s="405" t="s">
        <v>63</v>
      </c>
      <c r="D357" s="401" t="s">
        <v>981</v>
      </c>
      <c r="E357" s="120">
        <v>3000</v>
      </c>
      <c r="F357" s="133" t="s">
        <v>954</v>
      </c>
      <c r="G357" s="404" t="s">
        <v>45</v>
      </c>
      <c r="H357" s="411">
        <v>810</v>
      </c>
      <c r="I357" s="411">
        <v>0</v>
      </c>
      <c r="J357" s="396">
        <f>-((H357*0.022)+0.3)</f>
        <v>-18.12</v>
      </c>
      <c r="K357" s="90">
        <f t="shared" ref="K357:K368" si="57">SUM(H357:J357)</f>
        <v>791.88</v>
      </c>
      <c r="L357" s="158">
        <v>145</v>
      </c>
      <c r="M357" s="158">
        <v>105</v>
      </c>
      <c r="N357" s="91">
        <f t="shared" si="51"/>
        <v>540</v>
      </c>
      <c r="O357" s="411">
        <f t="shared" si="52"/>
        <v>251.88</v>
      </c>
      <c r="P357" s="132" t="s">
        <v>183</v>
      </c>
      <c r="Q357" s="232"/>
      <c r="R357" s="411"/>
      <c r="T357" s="172" t="s">
        <v>67</v>
      </c>
      <c r="U357" s="259">
        <v>308197984</v>
      </c>
      <c r="W357" s="153" t="s">
        <v>982</v>
      </c>
      <c r="AA357" s="218"/>
    </row>
    <row r="358" spans="1:27" x14ac:dyDescent="0.25">
      <c r="A358" s="419">
        <v>3000236</v>
      </c>
      <c r="B358" s="421">
        <v>42383</v>
      </c>
      <c r="C358" s="419" t="s">
        <v>141</v>
      </c>
      <c r="D358" s="417" t="s">
        <v>678</v>
      </c>
      <c r="E358" s="120">
        <v>500</v>
      </c>
      <c r="F358" s="133" t="s">
        <v>983</v>
      </c>
      <c r="G358" s="434" t="s">
        <v>45</v>
      </c>
      <c r="H358" s="427">
        <v>640</v>
      </c>
      <c r="I358" s="427">
        <v>0</v>
      </c>
      <c r="J358" s="425">
        <f>-((H358*0.0325)+0.3)</f>
        <v>-21.1</v>
      </c>
      <c r="K358" s="425">
        <f t="shared" si="57"/>
        <v>618.9</v>
      </c>
      <c r="L358" s="131">
        <v>350</v>
      </c>
      <c r="M358" s="158">
        <v>135</v>
      </c>
      <c r="N358" s="91">
        <f t="shared" si="51"/>
        <v>310</v>
      </c>
      <c r="O358" s="411">
        <f t="shared" si="52"/>
        <v>308.89999999999998</v>
      </c>
      <c r="P358" s="132" t="s">
        <v>52</v>
      </c>
      <c r="Q358" s="232"/>
      <c r="R358" s="411"/>
      <c r="T358" s="439" t="s">
        <v>984</v>
      </c>
      <c r="U358" s="481" t="s">
        <v>985</v>
      </c>
      <c r="W358" s="153" t="s">
        <v>682</v>
      </c>
      <c r="AA358" s="218"/>
    </row>
    <row r="359" spans="1:27" x14ac:dyDescent="0.25">
      <c r="A359" s="420"/>
      <c r="B359" s="422"/>
      <c r="C359" s="420"/>
      <c r="D359" s="418"/>
      <c r="E359" s="120">
        <v>50</v>
      </c>
      <c r="F359" s="133" t="s">
        <v>860</v>
      </c>
      <c r="G359" s="436"/>
      <c r="H359" s="428"/>
      <c r="I359" s="428"/>
      <c r="J359" s="426"/>
      <c r="K359" s="426"/>
      <c r="L359" s="131">
        <v>3700</v>
      </c>
      <c r="M359" s="158"/>
      <c r="N359" s="91">
        <f t="shared" si="51"/>
        <v>185</v>
      </c>
      <c r="O359" s="411">
        <f t="shared" si="52"/>
        <v>-185</v>
      </c>
      <c r="P359" s="132" t="s">
        <v>52</v>
      </c>
      <c r="Q359" s="232"/>
      <c r="R359" s="411"/>
      <c r="T359" s="441"/>
      <c r="U359" s="483"/>
      <c r="AA359" s="218"/>
    </row>
    <row r="360" spans="1:27" ht="24" x14ac:dyDescent="0.25">
      <c r="A360" s="405">
        <v>3000237</v>
      </c>
      <c r="B360" s="406">
        <v>42383</v>
      </c>
      <c r="C360" s="405" t="s">
        <v>159</v>
      </c>
      <c r="D360" s="401" t="s">
        <v>986</v>
      </c>
      <c r="E360" s="120">
        <v>210</v>
      </c>
      <c r="F360" s="133" t="s">
        <v>165</v>
      </c>
      <c r="G360" s="404" t="s">
        <v>45</v>
      </c>
      <c r="H360" s="411">
        <v>193.2</v>
      </c>
      <c r="I360" s="411">
        <v>0</v>
      </c>
      <c r="J360" s="90">
        <f>-((H360*0.019)+0.3)</f>
        <v>-3.9707999999999997</v>
      </c>
      <c r="K360" s="90">
        <f t="shared" si="57"/>
        <v>189.22919999999999</v>
      </c>
      <c r="L360" s="131">
        <v>480</v>
      </c>
      <c r="M360" s="158">
        <v>34.520000000000003</v>
      </c>
      <c r="N360" s="91">
        <f t="shared" si="51"/>
        <v>135.32</v>
      </c>
      <c r="O360" s="411">
        <f t="shared" si="52"/>
        <v>53.909199999999998</v>
      </c>
      <c r="P360" s="132" t="s">
        <v>52</v>
      </c>
      <c r="Q360" s="232"/>
      <c r="R360" s="411"/>
      <c r="T360" s="134" t="s">
        <v>145</v>
      </c>
      <c r="U360" s="267" t="s">
        <v>987</v>
      </c>
      <c r="W360" s="153" t="s">
        <v>988</v>
      </c>
      <c r="AA360" s="218"/>
    </row>
    <row r="361" spans="1:27" ht="24" x14ac:dyDescent="0.25">
      <c r="A361" s="405">
        <v>3000238</v>
      </c>
      <c r="B361" s="406">
        <v>42383</v>
      </c>
      <c r="C361" s="405" t="s">
        <v>42</v>
      </c>
      <c r="D361" s="401" t="s">
        <v>989</v>
      </c>
      <c r="E361" s="120">
        <v>50</v>
      </c>
      <c r="F361" s="133" t="s">
        <v>288</v>
      </c>
      <c r="G361" s="404" t="s">
        <v>45</v>
      </c>
      <c r="H361" s="411">
        <v>98.1</v>
      </c>
      <c r="I361" s="89">
        <f t="shared" ref="I361:I366" si="58">-(H361*0.09)</f>
        <v>-8.8289999999999988</v>
      </c>
      <c r="J361" s="90">
        <f>-((H361*0.019)+0.3)</f>
        <v>-2.1638999999999999</v>
      </c>
      <c r="K361" s="90">
        <f t="shared" si="57"/>
        <v>87.107100000000003</v>
      </c>
      <c r="L361" s="131">
        <v>1069</v>
      </c>
      <c r="M361" s="158">
        <v>30.92</v>
      </c>
      <c r="N361" s="91">
        <f t="shared" si="51"/>
        <v>84.37</v>
      </c>
      <c r="O361" s="411">
        <f t="shared" si="52"/>
        <v>2.7370999999999981</v>
      </c>
      <c r="P361" s="132" t="s">
        <v>52</v>
      </c>
      <c r="Q361" s="232"/>
      <c r="R361" s="411"/>
      <c r="T361" s="134" t="s">
        <v>145</v>
      </c>
      <c r="U361" s="267" t="s">
        <v>990</v>
      </c>
      <c r="AA361" s="218"/>
    </row>
    <row r="362" spans="1:27" ht="24" x14ac:dyDescent="0.25">
      <c r="A362" s="405">
        <v>3000239</v>
      </c>
      <c r="B362" s="406">
        <v>42383</v>
      </c>
      <c r="C362" s="405" t="s">
        <v>42</v>
      </c>
      <c r="D362" s="401" t="s">
        <v>991</v>
      </c>
      <c r="E362" s="120">
        <v>100</v>
      </c>
      <c r="F362" s="133" t="s">
        <v>431</v>
      </c>
      <c r="G362" s="404" t="s">
        <v>45</v>
      </c>
      <c r="H362" s="411">
        <v>207.48</v>
      </c>
      <c r="I362" s="89">
        <f t="shared" si="58"/>
        <v>-18.673199999999998</v>
      </c>
      <c r="J362" s="90">
        <f>-((H362*0.019)+0.3)</f>
        <v>-4.2421199999999999</v>
      </c>
      <c r="K362" s="90">
        <f t="shared" si="57"/>
        <v>184.56467999999998</v>
      </c>
      <c r="L362" s="131">
        <v>1050</v>
      </c>
      <c r="M362" s="158">
        <v>24.91</v>
      </c>
      <c r="N362" s="91">
        <f t="shared" si="51"/>
        <v>129.91</v>
      </c>
      <c r="O362" s="411">
        <f t="shared" si="52"/>
        <v>54.654679999999985</v>
      </c>
      <c r="P362" s="132" t="s">
        <v>52</v>
      </c>
      <c r="Q362" s="232"/>
      <c r="R362" s="411"/>
      <c r="T362" s="134" t="s">
        <v>145</v>
      </c>
      <c r="U362" s="267" t="s">
        <v>992</v>
      </c>
      <c r="AA362" s="218"/>
    </row>
    <row r="363" spans="1:27" ht="24" x14ac:dyDescent="0.25">
      <c r="A363" s="405">
        <v>3000240</v>
      </c>
      <c r="B363" s="406">
        <v>42383</v>
      </c>
      <c r="C363" s="405" t="s">
        <v>42</v>
      </c>
      <c r="D363" s="401" t="s">
        <v>993</v>
      </c>
      <c r="E363" s="120">
        <v>500</v>
      </c>
      <c r="F363" s="119" t="s">
        <v>994</v>
      </c>
      <c r="G363" s="404" t="s">
        <v>45</v>
      </c>
      <c r="H363" s="411">
        <v>110.75</v>
      </c>
      <c r="I363" s="89">
        <f t="shared" si="58"/>
        <v>-9.9674999999999994</v>
      </c>
      <c r="J363" s="90">
        <f>-((H363*0.019)+0.3)</f>
        <v>-2.4042499999999998</v>
      </c>
      <c r="K363" s="90">
        <f t="shared" si="57"/>
        <v>98.378249999999994</v>
      </c>
      <c r="L363" s="158">
        <v>110</v>
      </c>
      <c r="M363" s="158">
        <v>17.32</v>
      </c>
      <c r="N363" s="91">
        <f t="shared" si="51"/>
        <v>72.319999999999993</v>
      </c>
      <c r="O363" s="411">
        <f t="shared" si="52"/>
        <v>26.058250000000001</v>
      </c>
      <c r="P363" s="132" t="s">
        <v>183</v>
      </c>
      <c r="Q363" s="232"/>
      <c r="R363" s="411"/>
      <c r="T363" s="134" t="s">
        <v>145</v>
      </c>
      <c r="U363" s="267" t="s">
        <v>995</v>
      </c>
      <c r="AA363" s="218"/>
    </row>
    <row r="364" spans="1:27" ht="24" x14ac:dyDescent="0.25">
      <c r="A364" s="405">
        <v>3000241</v>
      </c>
      <c r="B364" s="406">
        <v>42383</v>
      </c>
      <c r="C364" s="405" t="s">
        <v>42</v>
      </c>
      <c r="D364" s="401" t="s">
        <v>996</v>
      </c>
      <c r="E364" s="120">
        <v>1000</v>
      </c>
      <c r="F364" s="119" t="s">
        <v>997</v>
      </c>
      <c r="G364" s="404" t="s">
        <v>45</v>
      </c>
      <c r="H364" s="411">
        <v>399.98</v>
      </c>
      <c r="I364" s="89">
        <f t="shared" si="58"/>
        <v>-35.998199999999997</v>
      </c>
      <c r="J364" s="90">
        <f>-((H364*0.019)+0.3)</f>
        <v>-7.8996199999999996</v>
      </c>
      <c r="K364" s="90">
        <f t="shared" si="57"/>
        <v>356.08217999999999</v>
      </c>
      <c r="L364" s="158">
        <v>210</v>
      </c>
      <c r="M364" s="158">
        <v>14.83</v>
      </c>
      <c r="N364" s="91">
        <f t="shared" si="51"/>
        <v>224.83</v>
      </c>
      <c r="O364" s="411">
        <f t="shared" si="52"/>
        <v>131.25217999999998</v>
      </c>
      <c r="P364" s="132" t="s">
        <v>183</v>
      </c>
      <c r="Q364" s="232"/>
      <c r="R364" s="411">
        <v>29.63</v>
      </c>
      <c r="S364" s="133" t="s">
        <v>52</v>
      </c>
      <c r="T364" s="134" t="s">
        <v>145</v>
      </c>
      <c r="U364" s="267" t="s">
        <v>998</v>
      </c>
      <c r="AA364" s="218"/>
    </row>
    <row r="365" spans="1:27" ht="24" x14ac:dyDescent="0.25">
      <c r="A365" s="405">
        <v>3000242</v>
      </c>
      <c r="B365" s="406">
        <v>42383</v>
      </c>
      <c r="C365" s="405" t="s">
        <v>237</v>
      </c>
      <c r="D365" s="401" t="s">
        <v>999</v>
      </c>
      <c r="E365" s="120">
        <v>100</v>
      </c>
      <c r="F365" s="133" t="s">
        <v>161</v>
      </c>
      <c r="G365" s="404" t="s">
        <v>45</v>
      </c>
      <c r="H365" s="411">
        <v>270.11</v>
      </c>
      <c r="I365" s="89">
        <f>-(H365*0.15)</f>
        <v>-40.516500000000001</v>
      </c>
      <c r="J365" s="411">
        <v>0</v>
      </c>
      <c r="K365" s="90">
        <f t="shared" si="57"/>
        <v>229.59350000000001</v>
      </c>
      <c r="L365" s="131">
        <v>1450</v>
      </c>
      <c r="M365" s="158">
        <v>51.9</v>
      </c>
      <c r="N365" s="91">
        <f t="shared" si="51"/>
        <v>196.9</v>
      </c>
      <c r="O365" s="411">
        <f t="shared" si="52"/>
        <v>32.6935</v>
      </c>
      <c r="P365" s="132" t="s">
        <v>52</v>
      </c>
      <c r="Q365" s="232"/>
      <c r="R365" s="411"/>
      <c r="T365" s="134" t="s">
        <v>145</v>
      </c>
      <c r="U365" s="267" t="s">
        <v>1000</v>
      </c>
      <c r="AA365" s="218"/>
    </row>
    <row r="366" spans="1:27" ht="24" x14ac:dyDescent="0.25">
      <c r="A366" s="405">
        <v>3000243</v>
      </c>
      <c r="B366" s="406">
        <v>42383</v>
      </c>
      <c r="C366" s="405" t="s">
        <v>42</v>
      </c>
      <c r="D366" s="401" t="s">
        <v>1001</v>
      </c>
      <c r="E366" s="120">
        <v>250</v>
      </c>
      <c r="F366" s="133" t="s">
        <v>1002</v>
      </c>
      <c r="G366" s="404" t="s">
        <v>45</v>
      </c>
      <c r="H366" s="411">
        <v>184.28</v>
      </c>
      <c r="I366" s="89">
        <f t="shared" si="58"/>
        <v>-16.5852</v>
      </c>
      <c r="J366" s="90">
        <f>-((H366*0.019)+0.3)</f>
        <v>-3.8013199999999996</v>
      </c>
      <c r="K366" s="90">
        <f t="shared" si="57"/>
        <v>163.89347999999998</v>
      </c>
      <c r="L366" s="158">
        <v>340</v>
      </c>
      <c r="M366" s="158">
        <v>15.17</v>
      </c>
      <c r="N366" s="91">
        <f t="shared" si="51"/>
        <v>100.17</v>
      </c>
      <c r="O366" s="411">
        <f t="shared" si="52"/>
        <v>63.723479999999981</v>
      </c>
      <c r="P366" s="132" t="s">
        <v>183</v>
      </c>
      <c r="Q366" s="232"/>
      <c r="R366" s="411"/>
      <c r="T366" s="134" t="s">
        <v>145</v>
      </c>
      <c r="U366" s="267" t="s">
        <v>1003</v>
      </c>
      <c r="AA366" s="218"/>
    </row>
    <row r="367" spans="1:27" x14ac:dyDescent="0.25">
      <c r="A367" s="405">
        <v>3000244</v>
      </c>
      <c r="B367" s="406">
        <v>42383</v>
      </c>
      <c r="C367" s="405" t="s">
        <v>280</v>
      </c>
      <c r="D367" s="401" t="s">
        <v>1004</v>
      </c>
      <c r="E367" s="120">
        <v>275</v>
      </c>
      <c r="F367" s="133" t="s">
        <v>198</v>
      </c>
      <c r="G367" s="404" t="s">
        <v>45</v>
      </c>
      <c r="H367" s="411">
        <v>750.75</v>
      </c>
      <c r="I367" s="411">
        <v>0</v>
      </c>
      <c r="J367" s="396">
        <f>-((H367*0.022)+0.3)</f>
        <v>-16.816500000000001</v>
      </c>
      <c r="K367" s="90">
        <f t="shared" si="57"/>
        <v>733.93349999999998</v>
      </c>
      <c r="L367" s="131">
        <v>1693</v>
      </c>
      <c r="M367" s="158">
        <v>123.31</v>
      </c>
      <c r="N367" s="91">
        <f t="shared" si="51"/>
        <v>588.88499999999999</v>
      </c>
      <c r="O367" s="411">
        <f t="shared" si="52"/>
        <v>145.04849999999999</v>
      </c>
      <c r="P367" s="132" t="s">
        <v>52</v>
      </c>
      <c r="Q367" s="232"/>
      <c r="R367" s="411"/>
      <c r="T367" s="134" t="s">
        <v>97</v>
      </c>
      <c r="U367" s="266">
        <v>2709560114</v>
      </c>
      <c r="V367" s="133" t="s">
        <v>55</v>
      </c>
      <c r="W367" s="153" t="s">
        <v>1005</v>
      </c>
      <c r="AA367" s="218"/>
    </row>
    <row r="368" spans="1:27" x14ac:dyDescent="0.25">
      <c r="A368" s="419">
        <v>3000245</v>
      </c>
      <c r="B368" s="421">
        <v>42383</v>
      </c>
      <c r="C368" s="419" t="s">
        <v>327</v>
      </c>
      <c r="D368" s="417" t="s">
        <v>1006</v>
      </c>
      <c r="E368" s="120">
        <v>275</v>
      </c>
      <c r="F368" s="133" t="s">
        <v>1007</v>
      </c>
      <c r="G368" s="434" t="s">
        <v>45</v>
      </c>
      <c r="H368" s="427">
        <v>1580</v>
      </c>
      <c r="I368" s="427">
        <v>0</v>
      </c>
      <c r="J368" s="425">
        <f>-((H368*0.022)+0.3)</f>
        <v>-35.059999999999995</v>
      </c>
      <c r="K368" s="425">
        <f t="shared" si="57"/>
        <v>1544.94</v>
      </c>
      <c r="L368" s="158">
        <v>940.11</v>
      </c>
      <c r="M368" s="555">
        <v>152.26</v>
      </c>
      <c r="N368" s="91">
        <f t="shared" si="51"/>
        <v>410.79025000000001</v>
      </c>
      <c r="O368" s="411">
        <f t="shared" si="52"/>
        <v>1134.14975</v>
      </c>
      <c r="P368" s="173" t="s">
        <v>76</v>
      </c>
      <c r="Q368" s="232"/>
      <c r="R368" s="411"/>
      <c r="T368" s="470" t="s">
        <v>97</v>
      </c>
      <c r="U368" s="505">
        <v>3653243101</v>
      </c>
      <c r="W368" s="153" t="s">
        <v>1008</v>
      </c>
      <c r="AA368" s="218"/>
    </row>
    <row r="369" spans="1:27" x14ac:dyDescent="0.25">
      <c r="A369" s="432"/>
      <c r="B369" s="433"/>
      <c r="C369" s="432"/>
      <c r="D369" s="454"/>
      <c r="E369" s="120">
        <v>275</v>
      </c>
      <c r="F369" s="133" t="s">
        <v>1009</v>
      </c>
      <c r="G369" s="435"/>
      <c r="H369" s="438"/>
      <c r="I369" s="438"/>
      <c r="J369" s="437"/>
      <c r="K369" s="437"/>
      <c r="L369" s="158">
        <v>940.11</v>
      </c>
      <c r="M369" s="556"/>
      <c r="N369" s="91">
        <f t="shared" si="51"/>
        <v>258.53025000000002</v>
      </c>
      <c r="O369" s="411">
        <f t="shared" si="52"/>
        <v>-258.53025000000002</v>
      </c>
      <c r="P369" s="173" t="s">
        <v>76</v>
      </c>
      <c r="Q369" s="232"/>
      <c r="R369" s="411"/>
      <c r="T369" s="471"/>
      <c r="U369" s="506"/>
      <c r="AA369" s="218"/>
    </row>
    <row r="370" spans="1:27" x14ac:dyDescent="0.25">
      <c r="A370" s="432"/>
      <c r="B370" s="433"/>
      <c r="C370" s="432"/>
      <c r="D370" s="454"/>
      <c r="E370" s="120">
        <v>275</v>
      </c>
      <c r="F370" s="133" t="s">
        <v>667</v>
      </c>
      <c r="G370" s="435"/>
      <c r="H370" s="438"/>
      <c r="I370" s="438"/>
      <c r="J370" s="437"/>
      <c r="K370" s="437"/>
      <c r="L370" s="158">
        <v>940.11</v>
      </c>
      <c r="M370" s="556"/>
      <c r="N370" s="91">
        <f t="shared" si="51"/>
        <v>258.53025000000002</v>
      </c>
      <c r="O370" s="411">
        <f t="shared" si="52"/>
        <v>-258.53025000000002</v>
      </c>
      <c r="P370" s="173" t="s">
        <v>76</v>
      </c>
      <c r="Q370" s="232"/>
      <c r="R370" s="411"/>
      <c r="T370" s="471"/>
      <c r="U370" s="506"/>
      <c r="AA370" s="218"/>
    </row>
    <row r="371" spans="1:27" x14ac:dyDescent="0.25">
      <c r="A371" s="420"/>
      <c r="B371" s="422"/>
      <c r="C371" s="420"/>
      <c r="D371" s="418"/>
      <c r="E371" s="120">
        <v>275</v>
      </c>
      <c r="F371" s="133" t="s">
        <v>1010</v>
      </c>
      <c r="G371" s="436"/>
      <c r="H371" s="428"/>
      <c r="I371" s="428"/>
      <c r="J371" s="426"/>
      <c r="K371" s="426"/>
      <c r="L371" s="158">
        <v>940.11</v>
      </c>
      <c r="M371" s="557"/>
      <c r="N371" s="91">
        <f t="shared" si="51"/>
        <v>258.53025000000002</v>
      </c>
      <c r="O371" s="411">
        <f t="shared" si="52"/>
        <v>-258.53025000000002</v>
      </c>
      <c r="P371" s="173" t="s">
        <v>76</v>
      </c>
      <c r="Q371" s="232"/>
      <c r="R371" s="411"/>
      <c r="T371" s="472"/>
      <c r="U371" s="490"/>
      <c r="AA371" s="218"/>
    </row>
    <row r="372" spans="1:27" x14ac:dyDescent="0.25">
      <c r="A372" s="405">
        <v>3000246</v>
      </c>
      <c r="B372" s="406">
        <v>42383</v>
      </c>
      <c r="C372" s="405" t="s">
        <v>63</v>
      </c>
      <c r="D372" s="401" t="s">
        <v>69</v>
      </c>
      <c r="E372" s="120">
        <v>500</v>
      </c>
      <c r="F372" s="133" t="s">
        <v>1011</v>
      </c>
      <c r="G372" s="404" t="s">
        <v>45</v>
      </c>
      <c r="H372" s="411">
        <v>2425</v>
      </c>
      <c r="I372" s="411">
        <v>0</v>
      </c>
      <c r="J372" s="396">
        <f>-((H372*0.022)+0.3)</f>
        <v>-53.649999999999991</v>
      </c>
      <c r="K372" s="90">
        <f t="shared" ref="K372:K385" si="59">SUM(H372:J372)</f>
        <v>2371.35</v>
      </c>
      <c r="L372" s="131">
        <v>4350</v>
      </c>
      <c r="M372" s="158">
        <v>122.26</v>
      </c>
      <c r="N372" s="91">
        <f t="shared" si="51"/>
        <v>2297.2600000000002</v>
      </c>
      <c r="O372" s="411">
        <f t="shared" si="52"/>
        <v>74.089999999999691</v>
      </c>
      <c r="P372" s="132" t="s">
        <v>86</v>
      </c>
      <c r="Q372" s="232"/>
      <c r="R372" s="411"/>
      <c r="T372" s="134" t="s">
        <v>244</v>
      </c>
      <c r="U372" s="266" t="s">
        <v>1012</v>
      </c>
      <c r="V372" s="133" t="s">
        <v>55</v>
      </c>
      <c r="W372" s="153" t="s">
        <v>73</v>
      </c>
      <c r="AA372" s="218"/>
    </row>
    <row r="373" spans="1:27" ht="24" x14ac:dyDescent="0.25">
      <c r="A373" s="405">
        <v>3000247</v>
      </c>
      <c r="B373" s="406">
        <v>42383</v>
      </c>
      <c r="C373" s="405" t="s">
        <v>78</v>
      </c>
      <c r="D373" s="401" t="s">
        <v>1013</v>
      </c>
      <c r="E373" s="120">
        <v>140</v>
      </c>
      <c r="F373" s="133" t="s">
        <v>247</v>
      </c>
      <c r="G373" s="404" t="s">
        <v>45</v>
      </c>
      <c r="H373" s="411">
        <v>154</v>
      </c>
      <c r="I373" s="411">
        <v>0</v>
      </c>
      <c r="J373" s="90">
        <f>-((H373*0.019)+0.3)</f>
        <v>-3.2259999999999995</v>
      </c>
      <c r="K373" s="90">
        <f t="shared" si="59"/>
        <v>150.774</v>
      </c>
      <c r="L373" s="131">
        <v>580</v>
      </c>
      <c r="M373" s="158">
        <v>44.36</v>
      </c>
      <c r="N373" s="91">
        <f t="shared" si="51"/>
        <v>125.56</v>
      </c>
      <c r="O373" s="411">
        <f t="shared" si="52"/>
        <v>25.213999999999999</v>
      </c>
      <c r="P373" s="132" t="s">
        <v>52</v>
      </c>
      <c r="Q373" s="232"/>
      <c r="R373" s="411"/>
      <c r="T373" s="134" t="s">
        <v>145</v>
      </c>
      <c r="U373" s="267" t="s">
        <v>1014</v>
      </c>
      <c r="W373" s="153" t="s">
        <v>1015</v>
      </c>
      <c r="AA373" s="218"/>
    </row>
    <row r="374" spans="1:27" x14ac:dyDescent="0.25">
      <c r="A374" s="405">
        <v>3000248</v>
      </c>
      <c r="B374" s="406">
        <v>42384</v>
      </c>
      <c r="C374" s="405" t="s">
        <v>327</v>
      </c>
      <c r="D374" s="401" t="s">
        <v>1016</v>
      </c>
      <c r="E374" s="120">
        <v>150</v>
      </c>
      <c r="F374" s="133" t="s">
        <v>300</v>
      </c>
      <c r="G374" s="404" t="s">
        <v>45</v>
      </c>
      <c r="H374" s="411">
        <v>600</v>
      </c>
      <c r="I374" s="411">
        <v>0</v>
      </c>
      <c r="J374" s="396">
        <f>-((H374*0.022)+0.3)</f>
        <v>-13.5</v>
      </c>
      <c r="K374" s="90">
        <f t="shared" si="59"/>
        <v>586.5</v>
      </c>
      <c r="L374" s="131">
        <v>2200</v>
      </c>
      <c r="M374" s="158">
        <v>180.1</v>
      </c>
      <c r="N374" s="91">
        <f t="shared" si="51"/>
        <v>510.1</v>
      </c>
      <c r="O374" s="411">
        <f t="shared" si="52"/>
        <v>76.399999999999977</v>
      </c>
      <c r="P374" s="132" t="s">
        <v>52</v>
      </c>
      <c r="Q374" s="232"/>
      <c r="R374" s="411"/>
      <c r="T374" s="134" t="s">
        <v>97</v>
      </c>
      <c r="U374" s="267" t="s">
        <v>1017</v>
      </c>
      <c r="V374" s="133" t="s">
        <v>55</v>
      </c>
      <c r="W374" s="153" t="s">
        <v>1018</v>
      </c>
      <c r="AA374" s="218"/>
    </row>
    <row r="375" spans="1:27" ht="24" x14ac:dyDescent="0.25">
      <c r="A375" s="419">
        <v>3000249</v>
      </c>
      <c r="B375" s="421">
        <v>42384</v>
      </c>
      <c r="C375" s="419" t="s">
        <v>141</v>
      </c>
      <c r="D375" s="417" t="s">
        <v>1019</v>
      </c>
      <c r="E375" s="120">
        <v>780</v>
      </c>
      <c r="F375" s="119" t="s">
        <v>1020</v>
      </c>
      <c r="G375" s="434" t="s">
        <v>45</v>
      </c>
      <c r="H375" s="427">
        <v>9144</v>
      </c>
      <c r="I375" s="427">
        <v>0</v>
      </c>
      <c r="J375" s="425">
        <f>-((H375*0.0325)+0.3)</f>
        <v>-297.48</v>
      </c>
      <c r="K375" s="425">
        <f t="shared" si="59"/>
        <v>8846.52</v>
      </c>
      <c r="L375" s="158">
        <v>1670</v>
      </c>
      <c r="M375" s="158">
        <v>175</v>
      </c>
      <c r="N375" s="91">
        <f t="shared" si="51"/>
        <v>1477.6000000000001</v>
      </c>
      <c r="O375" s="411"/>
      <c r="P375" s="132" t="s">
        <v>183</v>
      </c>
      <c r="Q375" s="232"/>
      <c r="R375" s="411"/>
      <c r="T375" s="134" t="s">
        <v>760</v>
      </c>
      <c r="U375" s="267" t="s">
        <v>1021</v>
      </c>
      <c r="W375" s="153" t="s">
        <v>1022</v>
      </c>
      <c r="AA375" s="218"/>
    </row>
    <row r="376" spans="1:27" ht="36" x14ac:dyDescent="0.25">
      <c r="A376" s="420"/>
      <c r="B376" s="422"/>
      <c r="C376" s="420"/>
      <c r="D376" s="418"/>
      <c r="E376" s="120">
        <v>3600</v>
      </c>
      <c r="F376" s="119" t="s">
        <v>1023</v>
      </c>
      <c r="G376" s="436"/>
      <c r="H376" s="428"/>
      <c r="I376" s="428"/>
      <c r="J376" s="426"/>
      <c r="K376" s="426"/>
      <c r="L376" s="158">
        <v>1625</v>
      </c>
      <c r="M376" s="158">
        <v>102.73</v>
      </c>
      <c r="N376" s="91">
        <f t="shared" si="51"/>
        <v>5952.73</v>
      </c>
      <c r="O376" s="411"/>
      <c r="P376" s="132" t="s">
        <v>1024</v>
      </c>
      <c r="Q376" s="232"/>
      <c r="R376" s="411"/>
      <c r="T376" s="134" t="s">
        <v>503</v>
      </c>
      <c r="U376" s="303">
        <v>18956268</v>
      </c>
      <c r="AA376" s="218"/>
    </row>
    <row r="377" spans="1:27" x14ac:dyDescent="0.25">
      <c r="A377" s="405">
        <v>3000250</v>
      </c>
      <c r="B377" s="406">
        <v>42384</v>
      </c>
      <c r="C377" s="405" t="s">
        <v>63</v>
      </c>
      <c r="D377" s="401" t="s">
        <v>1025</v>
      </c>
      <c r="E377" s="120">
        <v>100</v>
      </c>
      <c r="F377" s="133" t="s">
        <v>1026</v>
      </c>
      <c r="G377" s="404" t="s">
        <v>45</v>
      </c>
      <c r="H377" s="411">
        <v>1220</v>
      </c>
      <c r="I377" s="411">
        <v>0</v>
      </c>
      <c r="J377" s="396">
        <f>-((H377*0.022)+0.3)</f>
        <v>-27.14</v>
      </c>
      <c r="K377" s="90">
        <f t="shared" si="59"/>
        <v>1192.8599999999999</v>
      </c>
      <c r="L377" s="158">
        <v>9019</v>
      </c>
      <c r="M377" s="158">
        <v>0</v>
      </c>
      <c r="N377" s="91">
        <f t="shared" si="51"/>
        <v>901.90000000000009</v>
      </c>
      <c r="O377" s="411">
        <f t="shared" si="52"/>
        <v>290.95999999999981</v>
      </c>
      <c r="P377" s="132" t="s">
        <v>59</v>
      </c>
      <c r="Q377" s="232"/>
      <c r="R377" s="411"/>
      <c r="T377" s="134" t="s">
        <v>1027</v>
      </c>
      <c r="U377" s="301">
        <v>2926434048</v>
      </c>
      <c r="W377" s="153" t="s">
        <v>1028</v>
      </c>
      <c r="AA377" s="218"/>
    </row>
    <row r="378" spans="1:27" x14ac:dyDescent="0.25">
      <c r="A378" s="405">
        <v>3000251</v>
      </c>
      <c r="B378" s="406">
        <v>42384</v>
      </c>
      <c r="C378" s="405" t="s">
        <v>63</v>
      </c>
      <c r="D378" s="401" t="s">
        <v>1029</v>
      </c>
      <c r="E378" s="120">
        <v>363</v>
      </c>
      <c r="F378" s="133" t="s">
        <v>1030</v>
      </c>
      <c r="G378" s="404" t="s">
        <v>45</v>
      </c>
      <c r="H378" s="411">
        <v>653.4</v>
      </c>
      <c r="I378" s="411">
        <v>0</v>
      </c>
      <c r="J378" s="396">
        <f>-((H378*0.022)+0.3)</f>
        <v>-14.674799999999999</v>
      </c>
      <c r="K378" s="90">
        <f t="shared" si="59"/>
        <v>638.72519999999997</v>
      </c>
      <c r="L378" s="158">
        <v>690</v>
      </c>
      <c r="M378" s="158">
        <v>145.94999999999999</v>
      </c>
      <c r="N378" s="91">
        <f t="shared" si="51"/>
        <v>396.41999999999996</v>
      </c>
      <c r="O378" s="411">
        <f t="shared" si="52"/>
        <v>242.30520000000001</v>
      </c>
      <c r="P378" s="132" t="s">
        <v>183</v>
      </c>
      <c r="Q378" s="232"/>
      <c r="R378" s="411"/>
      <c r="T378" s="134" t="s">
        <v>314</v>
      </c>
      <c r="U378" s="267" t="s">
        <v>1031</v>
      </c>
      <c r="W378" s="153" t="s">
        <v>1032</v>
      </c>
      <c r="AA378" s="218"/>
    </row>
    <row r="379" spans="1:27" ht="24" x14ac:dyDescent="0.25">
      <c r="A379" s="405">
        <v>3000252</v>
      </c>
      <c r="B379" s="406">
        <v>42384</v>
      </c>
      <c r="C379" s="405" t="s">
        <v>42</v>
      </c>
      <c r="D379" s="401" t="s">
        <v>1033</v>
      </c>
      <c r="E379" s="120">
        <v>50</v>
      </c>
      <c r="F379" s="133" t="s">
        <v>288</v>
      </c>
      <c r="G379" s="404" t="s">
        <v>45</v>
      </c>
      <c r="H379" s="411">
        <v>98.1</v>
      </c>
      <c r="I379" s="89">
        <f t="shared" ref="I379:I383" si="60">-(H379*0.09)</f>
        <v>-8.8289999999999988</v>
      </c>
      <c r="J379" s="90">
        <f>-((H379*0.019)+0.3)</f>
        <v>-2.1638999999999999</v>
      </c>
      <c r="K379" s="90">
        <f t="shared" si="59"/>
        <v>87.107100000000003</v>
      </c>
      <c r="L379" s="131">
        <v>1069</v>
      </c>
      <c r="M379" s="158">
        <v>13.9</v>
      </c>
      <c r="N379" s="91">
        <f t="shared" si="51"/>
        <v>67.350000000000009</v>
      </c>
      <c r="O379" s="411">
        <f t="shared" si="52"/>
        <v>19.757099999999994</v>
      </c>
      <c r="P379" s="132" t="s">
        <v>52</v>
      </c>
      <c r="Q379" s="232"/>
      <c r="R379" s="411"/>
      <c r="T379" s="134" t="s">
        <v>145</v>
      </c>
      <c r="U379" s="267" t="s">
        <v>1034</v>
      </c>
      <c r="AA379" s="218"/>
    </row>
    <row r="380" spans="1:27" ht="24" x14ac:dyDescent="0.25">
      <c r="A380" s="405">
        <v>3000253</v>
      </c>
      <c r="B380" s="406">
        <v>42384</v>
      </c>
      <c r="C380" s="405" t="s">
        <v>42</v>
      </c>
      <c r="D380" s="401" t="s">
        <v>1035</v>
      </c>
      <c r="E380" s="120">
        <v>150</v>
      </c>
      <c r="F380" s="133" t="s">
        <v>227</v>
      </c>
      <c r="G380" s="404" t="s">
        <v>45</v>
      </c>
      <c r="H380" s="411">
        <v>121.64</v>
      </c>
      <c r="I380" s="89">
        <f t="shared" si="60"/>
        <v>-10.9476</v>
      </c>
      <c r="J380" s="90">
        <f>-((H380*0.019)+0.3)</f>
        <v>-2.6111599999999999</v>
      </c>
      <c r="K380" s="90">
        <f t="shared" si="59"/>
        <v>108.08124000000001</v>
      </c>
      <c r="L380" s="131">
        <v>350</v>
      </c>
      <c r="M380" s="158">
        <v>23.71</v>
      </c>
      <c r="N380" s="91">
        <f t="shared" si="51"/>
        <v>76.210000000000008</v>
      </c>
      <c r="O380" s="411">
        <f t="shared" si="52"/>
        <v>31.87124</v>
      </c>
      <c r="P380" s="132" t="s">
        <v>52</v>
      </c>
      <c r="Q380" s="232"/>
      <c r="R380" s="411"/>
      <c r="T380" s="134" t="s">
        <v>145</v>
      </c>
      <c r="U380" s="267" t="s">
        <v>1036</v>
      </c>
      <c r="AA380" s="218"/>
    </row>
    <row r="381" spans="1:27" ht="24" x14ac:dyDescent="0.25">
      <c r="A381" s="405">
        <v>3000254</v>
      </c>
      <c r="B381" s="406">
        <v>42384</v>
      </c>
      <c r="C381" s="405" t="s">
        <v>42</v>
      </c>
      <c r="D381" s="401" t="s">
        <v>1037</v>
      </c>
      <c r="E381" s="120">
        <v>100</v>
      </c>
      <c r="F381" s="133" t="s">
        <v>431</v>
      </c>
      <c r="G381" s="404" t="s">
        <v>45</v>
      </c>
      <c r="H381" s="411">
        <v>227.48</v>
      </c>
      <c r="I381" s="89">
        <f t="shared" si="60"/>
        <v>-20.473199999999999</v>
      </c>
      <c r="J381" s="90">
        <f>-((H381*0.019)+0.3)</f>
        <v>-4.6221199999999998</v>
      </c>
      <c r="K381" s="90">
        <f t="shared" si="59"/>
        <v>202.38468</v>
      </c>
      <c r="L381" s="131">
        <v>1050</v>
      </c>
      <c r="M381" s="158">
        <v>34.020000000000003</v>
      </c>
      <c r="N381" s="91">
        <f t="shared" si="51"/>
        <v>139.02000000000001</v>
      </c>
      <c r="O381" s="411">
        <f t="shared" si="52"/>
        <v>63.364679999999993</v>
      </c>
      <c r="P381" s="132" t="s">
        <v>52</v>
      </c>
      <c r="Q381" s="232"/>
      <c r="R381" s="411"/>
      <c r="T381" s="134" t="s">
        <v>145</v>
      </c>
      <c r="U381" s="267" t="s">
        <v>1038</v>
      </c>
      <c r="AA381" s="218"/>
    </row>
    <row r="382" spans="1:27" ht="24" x14ac:dyDescent="0.25">
      <c r="A382" s="405">
        <v>3000255</v>
      </c>
      <c r="B382" s="406">
        <v>42384</v>
      </c>
      <c r="C382" s="405" t="s">
        <v>42</v>
      </c>
      <c r="D382" s="401" t="s">
        <v>1039</v>
      </c>
      <c r="E382" s="120">
        <v>100</v>
      </c>
      <c r="F382" s="133" t="s">
        <v>829</v>
      </c>
      <c r="G382" s="404" t="s">
        <v>45</v>
      </c>
      <c r="H382" s="411">
        <v>102.42</v>
      </c>
      <c r="I382" s="89">
        <f t="shared" si="60"/>
        <v>-9.2178000000000004</v>
      </c>
      <c r="J382" s="90">
        <f>-((H382*0.019)+0.3)</f>
        <v>-2.2459799999999999</v>
      </c>
      <c r="K382" s="90">
        <f t="shared" si="59"/>
        <v>90.956220000000002</v>
      </c>
      <c r="L382" s="131">
        <v>510</v>
      </c>
      <c r="M382" s="158">
        <v>27.87</v>
      </c>
      <c r="N382" s="91">
        <f t="shared" si="51"/>
        <v>78.87</v>
      </c>
      <c r="O382" s="411">
        <f t="shared" si="52"/>
        <v>12.086219999999997</v>
      </c>
      <c r="P382" s="132" t="s">
        <v>52</v>
      </c>
      <c r="Q382" s="232"/>
      <c r="R382" s="411"/>
      <c r="T382" s="134" t="s">
        <v>145</v>
      </c>
      <c r="U382" s="267" t="s">
        <v>1040</v>
      </c>
      <c r="AA382" s="218"/>
    </row>
    <row r="383" spans="1:27" ht="24" x14ac:dyDescent="0.25">
      <c r="A383" s="405">
        <v>3000256</v>
      </c>
      <c r="B383" s="406">
        <v>42384</v>
      </c>
      <c r="C383" s="405" t="s">
        <v>42</v>
      </c>
      <c r="D383" s="401" t="s">
        <v>1041</v>
      </c>
      <c r="E383" s="120">
        <v>250</v>
      </c>
      <c r="F383" s="133" t="s">
        <v>1042</v>
      </c>
      <c r="G383" s="404" t="s">
        <v>45</v>
      </c>
      <c r="H383" s="411">
        <v>74</v>
      </c>
      <c r="I383" s="89">
        <f t="shared" si="60"/>
        <v>-6.66</v>
      </c>
      <c r="J383" s="90">
        <f>-((H383*0.019)+0.3)</f>
        <v>-1.706</v>
      </c>
      <c r="K383" s="90">
        <f t="shared" si="59"/>
        <v>65.634</v>
      </c>
      <c r="L383" s="131">
        <v>195</v>
      </c>
      <c r="M383" s="158">
        <v>13.11</v>
      </c>
      <c r="N383" s="91">
        <f t="shared" si="51"/>
        <v>61.86</v>
      </c>
      <c r="O383" s="411">
        <f t="shared" si="52"/>
        <v>3.7740000000000009</v>
      </c>
      <c r="P383" s="132" t="s">
        <v>52</v>
      </c>
      <c r="Q383" s="232"/>
      <c r="R383" s="411"/>
      <c r="T383" s="134" t="s">
        <v>145</v>
      </c>
      <c r="U383" s="267" t="s">
        <v>1043</v>
      </c>
      <c r="AA383" s="218"/>
    </row>
    <row r="384" spans="1:27" ht="24" x14ac:dyDescent="0.25">
      <c r="A384" s="405">
        <v>3000257</v>
      </c>
      <c r="B384" s="406">
        <v>42384</v>
      </c>
      <c r="C384" s="405" t="s">
        <v>237</v>
      </c>
      <c r="D384" s="401" t="s">
        <v>1044</v>
      </c>
      <c r="E384" s="120">
        <v>500</v>
      </c>
      <c r="F384" s="133" t="s">
        <v>832</v>
      </c>
      <c r="G384" s="404" t="s">
        <v>45</v>
      </c>
      <c r="H384" s="411">
        <v>480.97</v>
      </c>
      <c r="I384" s="89">
        <f>-(H384*0.15)</f>
        <v>-72.145499999999998</v>
      </c>
      <c r="J384" s="411">
        <v>0</v>
      </c>
      <c r="K384" s="90">
        <f t="shared" si="59"/>
        <v>408.82450000000006</v>
      </c>
      <c r="L384" s="131">
        <v>400</v>
      </c>
      <c r="M384" s="158">
        <v>53.58</v>
      </c>
      <c r="N384" s="91">
        <f t="shared" si="51"/>
        <v>253.57999999999998</v>
      </c>
      <c r="O384" s="411">
        <f t="shared" si="52"/>
        <v>155.24450000000007</v>
      </c>
      <c r="P384" s="132" t="s">
        <v>52</v>
      </c>
      <c r="Q384" s="232"/>
      <c r="R384" s="411"/>
      <c r="T384" s="134" t="s">
        <v>145</v>
      </c>
      <c r="U384" s="267" t="s">
        <v>1045</v>
      </c>
      <c r="AA384" s="218"/>
    </row>
    <row r="385" spans="1:27" x14ac:dyDescent="0.25">
      <c r="A385" s="419">
        <v>3000258</v>
      </c>
      <c r="B385" s="421">
        <v>42384</v>
      </c>
      <c r="C385" s="419" t="s">
        <v>56</v>
      </c>
      <c r="D385" s="417" t="s">
        <v>1046</v>
      </c>
      <c r="E385" s="120">
        <v>1250</v>
      </c>
      <c r="F385" s="133" t="s">
        <v>1047</v>
      </c>
      <c r="G385" s="434" t="s">
        <v>45</v>
      </c>
      <c r="H385" s="427">
        <v>3397.4</v>
      </c>
      <c r="I385" s="427">
        <v>0</v>
      </c>
      <c r="J385" s="427">
        <v>0</v>
      </c>
      <c r="K385" s="425">
        <f t="shared" si="59"/>
        <v>3397.4</v>
      </c>
      <c r="L385" s="131">
        <v>250</v>
      </c>
      <c r="M385" s="555">
        <v>102.73</v>
      </c>
      <c r="N385" s="91">
        <f t="shared" si="51"/>
        <v>415.23</v>
      </c>
      <c r="O385" s="411">
        <f t="shared" si="52"/>
        <v>2982.17</v>
      </c>
      <c r="P385" s="132" t="s">
        <v>52</v>
      </c>
      <c r="Q385" s="232"/>
      <c r="R385" s="411"/>
      <c r="T385" s="470" t="s">
        <v>503</v>
      </c>
      <c r="U385" s="505">
        <v>18956269</v>
      </c>
      <c r="V385" s="133" t="s">
        <v>377</v>
      </c>
      <c r="AA385" s="218"/>
    </row>
    <row r="386" spans="1:27" x14ac:dyDescent="0.25">
      <c r="A386" s="432"/>
      <c r="B386" s="433"/>
      <c r="C386" s="432"/>
      <c r="D386" s="454"/>
      <c r="E386" s="120">
        <v>2500</v>
      </c>
      <c r="F386" s="133" t="s">
        <v>1048</v>
      </c>
      <c r="G386" s="435"/>
      <c r="H386" s="438"/>
      <c r="I386" s="438"/>
      <c r="J386" s="438"/>
      <c r="K386" s="437"/>
      <c r="L386" s="131">
        <v>350</v>
      </c>
      <c r="M386" s="556"/>
      <c r="N386" s="91">
        <f t="shared" si="51"/>
        <v>875</v>
      </c>
      <c r="O386" s="411">
        <f t="shared" si="52"/>
        <v>-875</v>
      </c>
      <c r="P386" s="132" t="s">
        <v>52</v>
      </c>
      <c r="Q386" s="232"/>
      <c r="R386" s="411"/>
      <c r="T386" s="472"/>
      <c r="U386" s="490"/>
      <c r="AA386" s="218"/>
    </row>
    <row r="387" spans="1:27" ht="24" x14ac:dyDescent="0.25">
      <c r="A387" s="432"/>
      <c r="B387" s="433"/>
      <c r="C387" s="432"/>
      <c r="D387" s="454"/>
      <c r="E387" s="120">
        <v>750</v>
      </c>
      <c r="F387" s="133" t="s">
        <v>1049</v>
      </c>
      <c r="G387" s="435"/>
      <c r="H387" s="438"/>
      <c r="I387" s="438"/>
      <c r="J387" s="438"/>
      <c r="K387" s="437"/>
      <c r="L387" s="158">
        <v>280</v>
      </c>
      <c r="M387" s="556"/>
      <c r="N387" s="91">
        <f t="shared" si="51"/>
        <v>210</v>
      </c>
      <c r="O387" s="411">
        <f t="shared" si="52"/>
        <v>-210</v>
      </c>
      <c r="P387" s="132" t="s">
        <v>46</v>
      </c>
      <c r="Q387" s="232"/>
      <c r="R387" s="411"/>
      <c r="T387" s="134" t="s">
        <v>324</v>
      </c>
      <c r="U387" s="266" t="s">
        <v>1050</v>
      </c>
      <c r="V387" s="133" t="s">
        <v>1051</v>
      </c>
      <c r="AA387" s="218"/>
    </row>
    <row r="388" spans="1:27" x14ac:dyDescent="0.25">
      <c r="A388" s="432"/>
      <c r="B388" s="433"/>
      <c r="C388" s="432"/>
      <c r="D388" s="454"/>
      <c r="E388" s="120">
        <v>500</v>
      </c>
      <c r="F388" s="133" t="s">
        <v>1052</v>
      </c>
      <c r="G388" s="435"/>
      <c r="H388" s="438"/>
      <c r="I388" s="438"/>
      <c r="J388" s="438"/>
      <c r="K388" s="437"/>
      <c r="L388" s="131">
        <v>210</v>
      </c>
      <c r="M388" s="556"/>
      <c r="N388" s="91">
        <f t="shared" si="51"/>
        <v>105</v>
      </c>
      <c r="O388" s="411">
        <f t="shared" si="52"/>
        <v>-105</v>
      </c>
      <c r="P388" s="132" t="s">
        <v>52</v>
      </c>
      <c r="Q388" s="232"/>
      <c r="R388" s="411"/>
      <c r="T388" s="470" t="s">
        <v>503</v>
      </c>
      <c r="U388" s="505">
        <v>18956269</v>
      </c>
      <c r="AA388" s="218"/>
    </row>
    <row r="389" spans="1:27" x14ac:dyDescent="0.25">
      <c r="A389" s="432"/>
      <c r="B389" s="433"/>
      <c r="C389" s="432"/>
      <c r="D389" s="454"/>
      <c r="E389" s="120">
        <v>1000</v>
      </c>
      <c r="F389" s="133" t="s">
        <v>1053</v>
      </c>
      <c r="G389" s="435"/>
      <c r="H389" s="438"/>
      <c r="I389" s="438"/>
      <c r="J389" s="438"/>
      <c r="K389" s="437"/>
      <c r="L389" s="131">
        <v>570</v>
      </c>
      <c r="M389" s="556"/>
      <c r="N389" s="91">
        <f t="shared" si="51"/>
        <v>570</v>
      </c>
      <c r="O389" s="411">
        <f t="shared" si="52"/>
        <v>-570</v>
      </c>
      <c r="P389" s="132" t="s">
        <v>52</v>
      </c>
      <c r="Q389" s="232"/>
      <c r="R389" s="411"/>
      <c r="T389" s="471"/>
      <c r="U389" s="506"/>
      <c r="AA389" s="218"/>
    </row>
    <row r="390" spans="1:27" x14ac:dyDescent="0.25">
      <c r="A390" s="432"/>
      <c r="B390" s="433"/>
      <c r="C390" s="432"/>
      <c r="D390" s="454"/>
      <c r="E390" s="120">
        <v>500</v>
      </c>
      <c r="F390" s="133" t="s">
        <v>1054</v>
      </c>
      <c r="G390" s="435"/>
      <c r="H390" s="438"/>
      <c r="I390" s="438"/>
      <c r="J390" s="438"/>
      <c r="K390" s="437"/>
      <c r="L390" s="131">
        <v>660</v>
      </c>
      <c r="M390" s="556"/>
      <c r="N390" s="91">
        <f t="shared" si="51"/>
        <v>330</v>
      </c>
      <c r="O390" s="411">
        <f t="shared" si="52"/>
        <v>-330</v>
      </c>
      <c r="P390" s="132" t="s">
        <v>52</v>
      </c>
      <c r="Q390" s="232"/>
      <c r="R390" s="411"/>
      <c r="T390" s="472"/>
      <c r="U390" s="490"/>
      <c r="AA390" s="218"/>
    </row>
    <row r="391" spans="1:27" ht="24" x14ac:dyDescent="0.25">
      <c r="A391" s="420"/>
      <c r="B391" s="422"/>
      <c r="C391" s="420"/>
      <c r="D391" s="418"/>
      <c r="E391" s="120">
        <v>250</v>
      </c>
      <c r="F391" s="133" t="s">
        <v>1055</v>
      </c>
      <c r="G391" s="436"/>
      <c r="H391" s="428"/>
      <c r="I391" s="428"/>
      <c r="J391" s="428"/>
      <c r="K391" s="426"/>
      <c r="L391" s="158">
        <v>719</v>
      </c>
      <c r="M391" s="557"/>
      <c r="N391" s="91">
        <f t="shared" si="51"/>
        <v>179.75</v>
      </c>
      <c r="O391" s="411">
        <f t="shared" si="52"/>
        <v>-179.75</v>
      </c>
      <c r="P391" s="132" t="s">
        <v>926</v>
      </c>
      <c r="Q391" s="232"/>
      <c r="R391" s="411"/>
      <c r="T391" s="134" t="s">
        <v>145</v>
      </c>
      <c r="U391" s="267" t="s">
        <v>1056</v>
      </c>
      <c r="V391" s="133" t="s">
        <v>1057</v>
      </c>
      <c r="AA391" s="218"/>
    </row>
    <row r="392" spans="1:27" ht="24" x14ac:dyDescent="0.25">
      <c r="A392" s="405">
        <v>3000259</v>
      </c>
      <c r="B392" s="406">
        <v>42387</v>
      </c>
      <c r="C392" s="405" t="s">
        <v>159</v>
      </c>
      <c r="D392" s="401" t="s">
        <v>1058</v>
      </c>
      <c r="E392" s="120">
        <v>170</v>
      </c>
      <c r="F392" s="133" t="s">
        <v>247</v>
      </c>
      <c r="G392" s="404" t="s">
        <v>45</v>
      </c>
      <c r="H392" s="411">
        <v>181.9</v>
      </c>
      <c r="I392" s="411">
        <v>0</v>
      </c>
      <c r="J392" s="90">
        <f>-((H392*0.019)+0.3)</f>
        <v>-3.7561</v>
      </c>
      <c r="K392" s="90">
        <f t="shared" ref="K392:K393" si="61">SUM(H392:J392)</f>
        <v>178.1439</v>
      </c>
      <c r="M392" s="158">
        <v>56.08</v>
      </c>
      <c r="N392" s="91">
        <f t="shared" si="51"/>
        <v>56.08</v>
      </c>
      <c r="O392" s="411">
        <f t="shared" si="52"/>
        <v>122.0639</v>
      </c>
      <c r="P392" s="132" t="s">
        <v>52</v>
      </c>
      <c r="Q392" s="232"/>
      <c r="R392" s="411"/>
      <c r="T392" s="134" t="s">
        <v>145</v>
      </c>
      <c r="U392" s="267" t="s">
        <v>1059</v>
      </c>
      <c r="W392" s="153" t="s">
        <v>1060</v>
      </c>
      <c r="AA392" s="218"/>
    </row>
    <row r="393" spans="1:27" ht="48" x14ac:dyDescent="0.25">
      <c r="A393" s="419">
        <v>3000260</v>
      </c>
      <c r="B393" s="421">
        <v>42387</v>
      </c>
      <c r="C393" s="419" t="s">
        <v>555</v>
      </c>
      <c r="D393" s="417" t="s">
        <v>1061</v>
      </c>
      <c r="E393" s="120">
        <v>300</v>
      </c>
      <c r="F393" s="119" t="s">
        <v>1062</v>
      </c>
      <c r="G393" s="434" t="s">
        <v>45</v>
      </c>
      <c r="H393" s="427">
        <v>32154.25</v>
      </c>
      <c r="I393" s="427">
        <v>0</v>
      </c>
      <c r="J393" s="427">
        <v>0</v>
      </c>
      <c r="K393" s="425">
        <f t="shared" si="61"/>
        <v>32154.25</v>
      </c>
      <c r="L393" s="158">
        <v>5630</v>
      </c>
      <c r="M393" s="158"/>
      <c r="N393" s="91">
        <f t="shared" ref="N393:N456" si="62">((L393)*(E393*0.001))+M393</f>
        <v>1689</v>
      </c>
      <c r="O393" s="411">
        <f t="shared" ref="O393:O457" si="63">K393-N393</f>
        <v>30465.25</v>
      </c>
      <c r="P393" s="132" t="s">
        <v>1063</v>
      </c>
      <c r="Q393" s="232"/>
      <c r="R393" s="411"/>
      <c r="T393" s="470" t="s">
        <v>1064</v>
      </c>
      <c r="U393" s="505" t="s">
        <v>1065</v>
      </c>
      <c r="V393" s="133" t="s">
        <v>1066</v>
      </c>
      <c r="W393" s="153" t="s">
        <v>1067</v>
      </c>
      <c r="AA393" s="218"/>
    </row>
    <row r="394" spans="1:27" ht="48" x14ac:dyDescent="0.25">
      <c r="A394" s="432"/>
      <c r="B394" s="433"/>
      <c r="C394" s="432"/>
      <c r="D394" s="454"/>
      <c r="E394" s="120">
        <v>300</v>
      </c>
      <c r="F394" s="119" t="s">
        <v>1068</v>
      </c>
      <c r="G394" s="435"/>
      <c r="H394" s="438"/>
      <c r="I394" s="438"/>
      <c r="J394" s="438"/>
      <c r="K394" s="437"/>
      <c r="L394" s="158">
        <v>15240</v>
      </c>
      <c r="M394" s="158"/>
      <c r="N394" s="91">
        <f t="shared" si="62"/>
        <v>4572</v>
      </c>
      <c r="O394" s="411">
        <f t="shared" si="63"/>
        <v>-4572</v>
      </c>
      <c r="P394" s="132" t="s">
        <v>1063</v>
      </c>
      <c r="Q394" s="232"/>
      <c r="R394" s="411"/>
      <c r="T394" s="471"/>
      <c r="U394" s="506"/>
      <c r="AA394" s="218"/>
    </row>
    <row r="395" spans="1:27" ht="48" x14ac:dyDescent="0.25">
      <c r="A395" s="432"/>
      <c r="B395" s="433"/>
      <c r="C395" s="432"/>
      <c r="D395" s="454"/>
      <c r="E395" s="120">
        <v>300</v>
      </c>
      <c r="F395" s="119" t="s">
        <v>1069</v>
      </c>
      <c r="G395" s="435"/>
      <c r="H395" s="438"/>
      <c r="I395" s="438"/>
      <c r="J395" s="438"/>
      <c r="K395" s="437"/>
      <c r="L395" s="158">
        <v>19390</v>
      </c>
      <c r="M395" s="158">
        <v>362.67</v>
      </c>
      <c r="N395" s="91">
        <f t="shared" si="62"/>
        <v>6179.67</v>
      </c>
      <c r="O395" s="411">
        <f t="shared" si="63"/>
        <v>-6179.67</v>
      </c>
      <c r="P395" s="132" t="s">
        <v>1063</v>
      </c>
      <c r="Q395" s="232"/>
      <c r="R395" s="411"/>
      <c r="T395" s="471"/>
      <c r="U395" s="506"/>
      <c r="AA395" s="218"/>
    </row>
    <row r="396" spans="1:27" ht="48" x14ac:dyDescent="0.25">
      <c r="A396" s="432"/>
      <c r="B396" s="433"/>
      <c r="C396" s="432"/>
      <c r="D396" s="454"/>
      <c r="E396" s="120">
        <v>300</v>
      </c>
      <c r="F396" s="176" t="s">
        <v>1070</v>
      </c>
      <c r="G396" s="435"/>
      <c r="H396" s="438"/>
      <c r="I396" s="438"/>
      <c r="J396" s="438"/>
      <c r="K396" s="437"/>
      <c r="L396" s="158">
        <v>25250</v>
      </c>
      <c r="M396" s="158"/>
      <c r="N396" s="91">
        <f t="shared" si="62"/>
        <v>7575</v>
      </c>
      <c r="O396" s="411">
        <f t="shared" si="63"/>
        <v>-7575</v>
      </c>
      <c r="P396" s="132" t="s">
        <v>1063</v>
      </c>
      <c r="Q396" s="232"/>
      <c r="R396" s="411"/>
      <c r="T396" s="471"/>
      <c r="U396" s="506"/>
      <c r="AA396" s="218"/>
    </row>
    <row r="397" spans="1:27" ht="36" x14ac:dyDescent="0.25">
      <c r="A397" s="420"/>
      <c r="B397" s="422"/>
      <c r="C397" s="420"/>
      <c r="D397" s="418"/>
      <c r="E397" s="120">
        <v>25</v>
      </c>
      <c r="F397" s="119" t="s">
        <v>1071</v>
      </c>
      <c r="G397" s="436"/>
      <c r="H397" s="428"/>
      <c r="I397" s="428"/>
      <c r="J397" s="428"/>
      <c r="K397" s="426"/>
      <c r="L397" s="158">
        <v>6510</v>
      </c>
      <c r="M397" s="158"/>
      <c r="N397" s="91">
        <f t="shared" si="62"/>
        <v>162.75</v>
      </c>
      <c r="O397" s="411">
        <f t="shared" si="63"/>
        <v>-162.75</v>
      </c>
      <c r="P397" s="132" t="s">
        <v>1063</v>
      </c>
      <c r="Q397" s="232"/>
      <c r="R397" s="411"/>
      <c r="T397" s="472"/>
      <c r="U397" s="490"/>
      <c r="AA397" s="218"/>
    </row>
    <row r="398" spans="1:27" ht="24" x14ac:dyDescent="0.25">
      <c r="A398" s="405">
        <v>3000261</v>
      </c>
      <c r="B398" s="406">
        <v>42387</v>
      </c>
      <c r="C398" s="405" t="s">
        <v>159</v>
      </c>
      <c r="D398" s="401" t="s">
        <v>1072</v>
      </c>
      <c r="E398" s="120">
        <v>50</v>
      </c>
      <c r="F398" s="133" t="s">
        <v>161</v>
      </c>
      <c r="G398" s="404" t="s">
        <v>45</v>
      </c>
      <c r="H398" s="411">
        <v>148</v>
      </c>
      <c r="I398" s="411">
        <v>0</v>
      </c>
      <c r="J398" s="90">
        <f>-((H398*0.019)+0.3)</f>
        <v>-3.1119999999999997</v>
      </c>
      <c r="K398" s="90">
        <f t="shared" ref="K398:K400" si="64">SUM(H398:J398)</f>
        <v>144.88800000000001</v>
      </c>
      <c r="L398" s="131">
        <v>1450</v>
      </c>
      <c r="M398" s="158">
        <v>37.61</v>
      </c>
      <c r="N398" s="91">
        <f t="shared" si="62"/>
        <v>110.11</v>
      </c>
      <c r="O398" s="411">
        <f t="shared" si="63"/>
        <v>34.778000000000006</v>
      </c>
      <c r="P398" s="132" t="s">
        <v>52</v>
      </c>
      <c r="Q398" s="232"/>
      <c r="R398" s="411"/>
      <c r="T398" s="134" t="s">
        <v>145</v>
      </c>
      <c r="U398" s="267" t="s">
        <v>1073</v>
      </c>
      <c r="W398" s="153" t="s">
        <v>1074</v>
      </c>
      <c r="AA398" s="218"/>
    </row>
    <row r="399" spans="1:27" ht="24" x14ac:dyDescent="0.25">
      <c r="A399" s="405">
        <v>3000262</v>
      </c>
      <c r="B399" s="406">
        <v>42387</v>
      </c>
      <c r="C399" s="405" t="s">
        <v>159</v>
      </c>
      <c r="D399" s="401" t="s">
        <v>1075</v>
      </c>
      <c r="E399" s="120">
        <v>11</v>
      </c>
      <c r="F399" s="133" t="s">
        <v>549</v>
      </c>
      <c r="G399" s="404" t="s">
        <v>45</v>
      </c>
      <c r="H399" s="411">
        <v>77.77</v>
      </c>
      <c r="I399" s="411">
        <v>0</v>
      </c>
      <c r="J399" s="90">
        <f>-((H399*0.019)+0.3)</f>
        <v>-1.7776299999999998</v>
      </c>
      <c r="K399" s="90">
        <f t="shared" si="64"/>
        <v>75.992369999999994</v>
      </c>
      <c r="L399" s="158">
        <v>3600</v>
      </c>
      <c r="M399" s="158">
        <v>15.61</v>
      </c>
      <c r="N399" s="91">
        <f t="shared" si="62"/>
        <v>55.209999999999994</v>
      </c>
      <c r="O399" s="411">
        <f t="shared" si="63"/>
        <v>20.78237</v>
      </c>
      <c r="P399" s="132" t="s">
        <v>183</v>
      </c>
      <c r="Q399" s="232"/>
      <c r="R399" s="411"/>
      <c r="T399" s="134" t="s">
        <v>145</v>
      </c>
      <c r="U399" s="267" t="s">
        <v>1076</v>
      </c>
      <c r="W399" s="153" t="s">
        <v>1077</v>
      </c>
      <c r="AA399" s="218"/>
    </row>
    <row r="400" spans="1:27" x14ac:dyDescent="0.25">
      <c r="A400" s="419">
        <v>3000263</v>
      </c>
      <c r="B400" s="421">
        <v>42387</v>
      </c>
      <c r="C400" s="419" t="s">
        <v>159</v>
      </c>
      <c r="D400" s="417" t="s">
        <v>1078</v>
      </c>
      <c r="E400" s="120">
        <v>15</v>
      </c>
      <c r="F400" s="133" t="s">
        <v>850</v>
      </c>
      <c r="G400" s="434" t="s">
        <v>45</v>
      </c>
      <c r="H400" s="427">
        <v>99.45</v>
      </c>
      <c r="I400" s="427">
        <v>0</v>
      </c>
      <c r="J400" s="425">
        <f>-((H400*0.019)+0.3)</f>
        <v>-2.1895500000000001</v>
      </c>
      <c r="K400" s="523">
        <f t="shared" si="64"/>
        <v>97.260450000000006</v>
      </c>
      <c r="L400" s="158">
        <v>1300</v>
      </c>
      <c r="M400" s="553">
        <v>33.090000000000003</v>
      </c>
      <c r="N400" s="91">
        <f t="shared" si="62"/>
        <v>52.59</v>
      </c>
      <c r="O400" s="411">
        <f t="shared" si="63"/>
        <v>44.670450000000002</v>
      </c>
      <c r="P400" s="132" t="s">
        <v>235</v>
      </c>
      <c r="Q400" s="232"/>
      <c r="R400" s="411"/>
      <c r="T400" s="470" t="s">
        <v>145</v>
      </c>
      <c r="U400" s="481" t="s">
        <v>1079</v>
      </c>
      <c r="W400" s="153" t="s">
        <v>1080</v>
      </c>
      <c r="AA400" s="218"/>
    </row>
    <row r="401" spans="1:27" x14ac:dyDescent="0.25">
      <c r="A401" s="432"/>
      <c r="B401" s="433"/>
      <c r="C401" s="432"/>
      <c r="D401" s="454"/>
      <c r="E401" s="120">
        <v>10</v>
      </c>
      <c r="F401" s="133" t="s">
        <v>1081</v>
      </c>
      <c r="G401" s="435"/>
      <c r="H401" s="438"/>
      <c r="I401" s="438"/>
      <c r="J401" s="437"/>
      <c r="K401" s="534"/>
      <c r="L401" s="158">
        <v>2000</v>
      </c>
      <c r="M401" s="564"/>
      <c r="N401" s="91">
        <f t="shared" si="62"/>
        <v>20</v>
      </c>
      <c r="O401" s="411">
        <f t="shared" si="63"/>
        <v>-20</v>
      </c>
      <c r="P401" s="132" t="s">
        <v>235</v>
      </c>
      <c r="Q401" s="232"/>
      <c r="R401" s="411"/>
      <c r="T401" s="471"/>
      <c r="U401" s="482"/>
      <c r="AA401" s="218"/>
    </row>
    <row r="402" spans="1:27" x14ac:dyDescent="0.25">
      <c r="A402" s="432"/>
      <c r="B402" s="433"/>
      <c r="C402" s="432"/>
      <c r="D402" s="454"/>
      <c r="E402" s="120">
        <v>15</v>
      </c>
      <c r="F402" s="133" t="s">
        <v>1082</v>
      </c>
      <c r="G402" s="435"/>
      <c r="H402" s="438"/>
      <c r="I402" s="438"/>
      <c r="J402" s="437"/>
      <c r="K402" s="534"/>
      <c r="L402" s="158">
        <v>2000</v>
      </c>
      <c r="M402" s="564"/>
      <c r="N402" s="91">
        <f t="shared" si="62"/>
        <v>30</v>
      </c>
      <c r="O402" s="411">
        <f t="shared" si="63"/>
        <v>-30</v>
      </c>
      <c r="P402" s="132" t="s">
        <v>235</v>
      </c>
      <c r="Q402" s="232"/>
      <c r="R402" s="411"/>
      <c r="T402" s="471"/>
      <c r="U402" s="482"/>
      <c r="AA402" s="218"/>
    </row>
    <row r="403" spans="1:27" x14ac:dyDescent="0.25">
      <c r="A403" s="420"/>
      <c r="B403" s="422"/>
      <c r="C403" s="420"/>
      <c r="D403" s="418"/>
      <c r="E403" s="120">
        <v>15</v>
      </c>
      <c r="F403" s="133" t="s">
        <v>1083</v>
      </c>
      <c r="G403" s="436"/>
      <c r="H403" s="428"/>
      <c r="I403" s="428"/>
      <c r="J403" s="426"/>
      <c r="K403" s="524"/>
      <c r="L403" s="158">
        <v>2000</v>
      </c>
      <c r="M403" s="554"/>
      <c r="N403" s="91">
        <f t="shared" si="62"/>
        <v>30</v>
      </c>
      <c r="O403" s="411">
        <f t="shared" si="63"/>
        <v>-30</v>
      </c>
      <c r="P403" s="132" t="s">
        <v>235</v>
      </c>
      <c r="Q403" s="232"/>
      <c r="R403" s="411"/>
      <c r="T403" s="472"/>
      <c r="U403" s="483"/>
      <c r="AA403" s="218"/>
    </row>
    <row r="404" spans="1:27" ht="24" x14ac:dyDescent="0.25">
      <c r="A404" s="405">
        <v>3000264</v>
      </c>
      <c r="B404" s="406">
        <v>42387</v>
      </c>
      <c r="C404" s="405" t="s">
        <v>159</v>
      </c>
      <c r="D404" s="401" t="s">
        <v>1084</v>
      </c>
      <c r="E404" s="120">
        <v>34</v>
      </c>
      <c r="F404" s="133" t="s">
        <v>1085</v>
      </c>
      <c r="G404" s="404" t="s">
        <v>45</v>
      </c>
      <c r="H404" s="411">
        <v>302.26</v>
      </c>
      <c r="I404" s="411">
        <v>0</v>
      </c>
      <c r="J404" s="90">
        <f>-((H404*0.019)+0.3)</f>
        <v>-6.0429399999999998</v>
      </c>
      <c r="K404" s="90">
        <f t="shared" ref="K404:K451" si="65">SUM(H404:J404)</f>
        <v>296.21706</v>
      </c>
      <c r="L404" s="158">
        <v>4690</v>
      </c>
      <c r="M404" s="158">
        <v>28.88</v>
      </c>
      <c r="N404" s="91">
        <f t="shared" si="62"/>
        <v>188.34</v>
      </c>
      <c r="O404" s="411">
        <f t="shared" si="63"/>
        <v>107.87706</v>
      </c>
      <c r="P404" s="132" t="s">
        <v>183</v>
      </c>
      <c r="Q404" s="232"/>
      <c r="R404" s="411"/>
      <c r="T404" s="134" t="s">
        <v>145</v>
      </c>
      <c r="U404" s="267" t="s">
        <v>1086</v>
      </c>
      <c r="W404" s="153" t="s">
        <v>1087</v>
      </c>
      <c r="AA404" s="218"/>
    </row>
    <row r="405" spans="1:27" ht="24" customHeight="1" x14ac:dyDescent="0.25">
      <c r="A405" s="419">
        <v>3000265</v>
      </c>
      <c r="B405" s="421">
        <v>42387</v>
      </c>
      <c r="C405" s="419" t="s">
        <v>78</v>
      </c>
      <c r="D405" s="417" t="s">
        <v>1088</v>
      </c>
      <c r="E405" s="120">
        <v>250</v>
      </c>
      <c r="F405" s="133" t="s">
        <v>1089</v>
      </c>
      <c r="G405" s="434" t="s">
        <v>45</v>
      </c>
      <c r="H405" s="427">
        <v>3137.5</v>
      </c>
      <c r="I405" s="427">
        <v>0</v>
      </c>
      <c r="J405" s="425">
        <f>-((H405*0.019)+0.3)</f>
        <v>-59.912499999999994</v>
      </c>
      <c r="K405" s="425">
        <f t="shared" si="65"/>
        <v>3077.5875000000001</v>
      </c>
      <c r="L405" s="131">
        <v>4868</v>
      </c>
      <c r="M405" s="555">
        <v>165.31</v>
      </c>
      <c r="N405" s="91">
        <f t="shared" si="62"/>
        <v>1382.31</v>
      </c>
      <c r="O405" s="411">
        <f t="shared" si="63"/>
        <v>1695.2775000000001</v>
      </c>
      <c r="P405" s="132" t="s">
        <v>86</v>
      </c>
      <c r="Q405" s="232"/>
      <c r="R405" s="411"/>
      <c r="T405" s="470" t="s">
        <v>1090</v>
      </c>
      <c r="U405" s="481" t="s">
        <v>1091</v>
      </c>
      <c r="V405" s="133" t="s">
        <v>55</v>
      </c>
      <c r="W405" s="153" t="s">
        <v>1092</v>
      </c>
      <c r="AA405" s="218"/>
    </row>
    <row r="406" spans="1:27" x14ac:dyDescent="0.25">
      <c r="A406" s="420"/>
      <c r="B406" s="422"/>
      <c r="C406" s="420"/>
      <c r="D406" s="418"/>
      <c r="E406" s="120">
        <v>250</v>
      </c>
      <c r="F406" s="133" t="s">
        <v>1093</v>
      </c>
      <c r="G406" s="436"/>
      <c r="H406" s="428"/>
      <c r="I406" s="428"/>
      <c r="J406" s="426"/>
      <c r="K406" s="426"/>
      <c r="L406" s="131">
        <v>4000</v>
      </c>
      <c r="M406" s="557"/>
      <c r="N406" s="91">
        <f t="shared" si="62"/>
        <v>1000</v>
      </c>
      <c r="O406" s="411">
        <f t="shared" si="63"/>
        <v>-1000</v>
      </c>
      <c r="P406" s="132" t="s">
        <v>86</v>
      </c>
      <c r="Q406" s="232"/>
      <c r="R406" s="411"/>
      <c r="T406" s="472"/>
      <c r="U406" s="483"/>
      <c r="AA406" s="218"/>
    </row>
    <row r="407" spans="1:27" ht="36" x14ac:dyDescent="0.25">
      <c r="A407" s="405">
        <v>3000266</v>
      </c>
      <c r="B407" s="406">
        <v>42387</v>
      </c>
      <c r="C407" s="405" t="s">
        <v>63</v>
      </c>
      <c r="D407" s="401" t="s">
        <v>318</v>
      </c>
      <c r="E407" s="120">
        <v>1000</v>
      </c>
      <c r="F407" s="133" t="s">
        <v>1094</v>
      </c>
      <c r="G407" s="404" t="s">
        <v>45</v>
      </c>
      <c r="H407" s="411">
        <v>2396.36</v>
      </c>
      <c r="I407" s="411">
        <v>0</v>
      </c>
      <c r="J407" s="396">
        <f>-((H407*0.022)+0.3)</f>
        <v>-53.019919999999999</v>
      </c>
      <c r="K407" s="90">
        <f t="shared" si="65"/>
        <v>2343.3400799999999</v>
      </c>
      <c r="L407" s="158">
        <v>1307</v>
      </c>
      <c r="M407" s="158">
        <v>234.18</v>
      </c>
      <c r="N407" s="91">
        <f t="shared" si="62"/>
        <v>1541.18</v>
      </c>
      <c r="O407" s="411">
        <f t="shared" si="63"/>
        <v>802.16007999999988</v>
      </c>
      <c r="P407" s="132" t="s">
        <v>59</v>
      </c>
      <c r="Q407" s="232"/>
      <c r="R407" s="411"/>
      <c r="T407" s="134" t="s">
        <v>60</v>
      </c>
      <c r="U407" s="266">
        <v>3512642582</v>
      </c>
      <c r="W407" s="153" t="s">
        <v>321</v>
      </c>
      <c r="AA407" s="218"/>
    </row>
    <row r="408" spans="1:27" x14ac:dyDescent="0.25">
      <c r="A408" s="405">
        <v>3000267</v>
      </c>
      <c r="B408" s="406">
        <v>42387</v>
      </c>
      <c r="C408" s="405" t="s">
        <v>63</v>
      </c>
      <c r="D408" s="401" t="s">
        <v>1095</v>
      </c>
      <c r="E408" s="120">
        <v>330</v>
      </c>
      <c r="F408" s="133" t="s">
        <v>708</v>
      </c>
      <c r="G408" s="404" t="s">
        <v>45</v>
      </c>
      <c r="H408" s="411">
        <v>1320</v>
      </c>
      <c r="I408" s="411">
        <v>0</v>
      </c>
      <c r="J408" s="396">
        <f>-((H408*0.022)+0.3)</f>
        <v>-29.34</v>
      </c>
      <c r="K408" s="90">
        <f t="shared" si="65"/>
        <v>1290.6600000000001</v>
      </c>
      <c r="L408" s="131">
        <v>2515</v>
      </c>
      <c r="M408" s="158">
        <v>216.28</v>
      </c>
      <c r="N408" s="91">
        <f t="shared" si="62"/>
        <v>1046.23</v>
      </c>
      <c r="O408" s="411">
        <f t="shared" si="63"/>
        <v>244.43000000000006</v>
      </c>
      <c r="P408" s="132" t="s">
        <v>52</v>
      </c>
      <c r="Q408" s="232"/>
      <c r="R408" s="411"/>
      <c r="T408" s="134" t="s">
        <v>875</v>
      </c>
      <c r="U408" s="266">
        <v>5009917872</v>
      </c>
      <c r="V408" s="133" t="s">
        <v>55</v>
      </c>
      <c r="W408" s="153" t="s">
        <v>1096</v>
      </c>
      <c r="AA408" s="218"/>
    </row>
    <row r="409" spans="1:27" ht="24" x14ac:dyDescent="0.25">
      <c r="A409" s="405">
        <v>3000268</v>
      </c>
      <c r="B409" s="406">
        <v>42387</v>
      </c>
      <c r="C409" s="405" t="s">
        <v>63</v>
      </c>
      <c r="D409" s="401" t="s">
        <v>1097</v>
      </c>
      <c r="E409" s="120">
        <v>5</v>
      </c>
      <c r="F409" s="133" t="s">
        <v>1098</v>
      </c>
      <c r="G409" s="404" t="s">
        <v>45</v>
      </c>
      <c r="H409" s="411">
        <v>40</v>
      </c>
      <c r="I409" s="411">
        <v>0</v>
      </c>
      <c r="J409" s="396">
        <f>-((H409*0.022)+0.3)</f>
        <v>-1.18</v>
      </c>
      <c r="K409" s="90">
        <f t="shared" si="65"/>
        <v>38.82</v>
      </c>
      <c r="L409" s="131">
        <v>0</v>
      </c>
      <c r="M409" s="131">
        <v>0</v>
      </c>
      <c r="N409" s="91">
        <f t="shared" si="62"/>
        <v>0</v>
      </c>
      <c r="O409" s="411"/>
      <c r="P409" s="132" t="s">
        <v>183</v>
      </c>
      <c r="Q409" s="232"/>
      <c r="R409" s="411"/>
      <c r="T409" s="134" t="s">
        <v>145</v>
      </c>
      <c r="U409" s="267" t="s">
        <v>1099</v>
      </c>
      <c r="W409" s="153" t="s">
        <v>1100</v>
      </c>
      <c r="AA409" s="218"/>
    </row>
    <row r="410" spans="1:27" ht="24" x14ac:dyDescent="0.25">
      <c r="A410" s="405">
        <v>3000269</v>
      </c>
      <c r="B410" s="406">
        <v>42387</v>
      </c>
      <c r="C410" s="405" t="s">
        <v>159</v>
      </c>
      <c r="D410" s="401" t="s">
        <v>1101</v>
      </c>
      <c r="E410" s="120">
        <v>130</v>
      </c>
      <c r="F410" s="133" t="s">
        <v>247</v>
      </c>
      <c r="G410" s="404" t="s">
        <v>45</v>
      </c>
      <c r="H410" s="411">
        <v>139.1</v>
      </c>
      <c r="I410" s="411">
        <v>0</v>
      </c>
      <c r="J410" s="90">
        <f t="shared" ref="J410:J429" si="66">-((H410*0.019)+0.3)</f>
        <v>-2.9428999999999998</v>
      </c>
      <c r="K410" s="90">
        <f t="shared" si="65"/>
        <v>136.15709999999999</v>
      </c>
      <c r="L410" s="131">
        <v>580</v>
      </c>
      <c r="M410" s="131">
        <v>20.96</v>
      </c>
      <c r="N410" s="91">
        <f t="shared" si="62"/>
        <v>96.360000000000014</v>
      </c>
      <c r="O410" s="411">
        <f t="shared" si="63"/>
        <v>39.797099999999972</v>
      </c>
      <c r="P410" s="132" t="s">
        <v>86</v>
      </c>
      <c r="Q410" s="232"/>
      <c r="R410" s="411"/>
      <c r="T410" s="134" t="s">
        <v>324</v>
      </c>
      <c r="U410" s="267" t="s">
        <v>1102</v>
      </c>
      <c r="W410" s="153" t="s">
        <v>1103</v>
      </c>
      <c r="AA410" s="218"/>
    </row>
    <row r="411" spans="1:27" ht="24" x14ac:dyDescent="0.25">
      <c r="A411" s="405">
        <v>3000270</v>
      </c>
      <c r="B411" s="406">
        <v>42387</v>
      </c>
      <c r="C411" s="405" t="s">
        <v>42</v>
      </c>
      <c r="D411" s="401" t="s">
        <v>1104</v>
      </c>
      <c r="E411" s="120">
        <v>500</v>
      </c>
      <c r="F411" s="133" t="s">
        <v>427</v>
      </c>
      <c r="G411" s="404" t="s">
        <v>45</v>
      </c>
      <c r="H411" s="411">
        <v>154.69999999999999</v>
      </c>
      <c r="I411" s="89">
        <f t="shared" ref="I411:I428" si="67">-(H411*0.09)</f>
        <v>-13.922999999999998</v>
      </c>
      <c r="J411" s="90">
        <f t="shared" si="66"/>
        <v>-3.2392999999999996</v>
      </c>
      <c r="K411" s="90">
        <f t="shared" si="65"/>
        <v>137.5377</v>
      </c>
      <c r="L411" s="158">
        <v>210</v>
      </c>
      <c r="M411" s="158">
        <v>31.94</v>
      </c>
      <c r="N411" s="91">
        <f t="shared" si="62"/>
        <v>136.94</v>
      </c>
      <c r="O411" s="411">
        <f t="shared" si="63"/>
        <v>0.59770000000000323</v>
      </c>
      <c r="P411" s="132" t="s">
        <v>183</v>
      </c>
      <c r="Q411" s="232"/>
      <c r="R411" s="411"/>
      <c r="T411" s="134" t="s">
        <v>145</v>
      </c>
      <c r="U411" s="267" t="s">
        <v>1105</v>
      </c>
      <c r="AA411" s="218"/>
    </row>
    <row r="412" spans="1:27" ht="24" x14ac:dyDescent="0.25">
      <c r="A412" s="405">
        <v>3000271</v>
      </c>
      <c r="B412" s="406">
        <v>42387</v>
      </c>
      <c r="C412" s="405" t="s">
        <v>42</v>
      </c>
      <c r="D412" s="401" t="s">
        <v>1106</v>
      </c>
      <c r="E412" s="120">
        <v>100</v>
      </c>
      <c r="F412" s="133" t="s">
        <v>288</v>
      </c>
      <c r="G412" s="404" t="s">
        <v>45</v>
      </c>
      <c r="H412" s="411">
        <v>179.27</v>
      </c>
      <c r="I412" s="89">
        <f t="shared" si="67"/>
        <v>-16.1343</v>
      </c>
      <c r="J412" s="90">
        <f t="shared" si="66"/>
        <v>-3.7061299999999999</v>
      </c>
      <c r="K412" s="90">
        <f t="shared" si="65"/>
        <v>159.42957000000001</v>
      </c>
      <c r="L412" s="131">
        <v>1069</v>
      </c>
      <c r="M412" s="158">
        <v>45.86</v>
      </c>
      <c r="N412" s="91">
        <f t="shared" si="62"/>
        <v>152.76</v>
      </c>
      <c r="O412" s="411">
        <f t="shared" si="63"/>
        <v>6.6695700000000215</v>
      </c>
      <c r="P412" s="132" t="s">
        <v>52</v>
      </c>
      <c r="Q412" s="232"/>
      <c r="R412" s="411"/>
      <c r="T412" s="134" t="s">
        <v>145</v>
      </c>
      <c r="U412" s="267" t="s">
        <v>1107</v>
      </c>
      <c r="AA412" s="218"/>
    </row>
    <row r="413" spans="1:27" ht="24" x14ac:dyDescent="0.25">
      <c r="A413" s="405">
        <v>3000272</v>
      </c>
      <c r="B413" s="406">
        <v>42387</v>
      </c>
      <c r="C413" s="405" t="s">
        <v>42</v>
      </c>
      <c r="D413" s="401" t="s">
        <v>1108</v>
      </c>
      <c r="E413" s="120">
        <v>500</v>
      </c>
      <c r="F413" s="133" t="s">
        <v>451</v>
      </c>
      <c r="G413" s="404" t="s">
        <v>45</v>
      </c>
      <c r="H413" s="411">
        <v>277.89999999999998</v>
      </c>
      <c r="I413" s="89">
        <f t="shared" si="67"/>
        <v>-25.010999999999996</v>
      </c>
      <c r="J413" s="90">
        <f t="shared" si="66"/>
        <v>-5.5800999999999989</v>
      </c>
      <c r="K413" s="90">
        <f t="shared" si="65"/>
        <v>247.30889999999999</v>
      </c>
      <c r="L413" s="131">
        <v>350</v>
      </c>
      <c r="M413" s="158">
        <v>58.7</v>
      </c>
      <c r="N413" s="91">
        <f t="shared" si="62"/>
        <v>233.7</v>
      </c>
      <c r="O413" s="411">
        <f t="shared" si="63"/>
        <v>13.608900000000006</v>
      </c>
      <c r="P413" s="132" t="s">
        <v>52</v>
      </c>
      <c r="Q413" s="232"/>
      <c r="R413" s="411"/>
      <c r="T413" s="134" t="s">
        <v>145</v>
      </c>
      <c r="U413" s="267" t="s">
        <v>1109</v>
      </c>
      <c r="AA413" s="218"/>
    </row>
    <row r="414" spans="1:27" ht="24" x14ac:dyDescent="0.25">
      <c r="A414" s="405">
        <v>3000273</v>
      </c>
      <c r="B414" s="406">
        <v>42387</v>
      </c>
      <c r="C414" s="405" t="s">
        <v>42</v>
      </c>
      <c r="D414" s="401" t="s">
        <v>1110</v>
      </c>
      <c r="E414" s="120">
        <v>200</v>
      </c>
      <c r="F414" s="133" t="s">
        <v>161</v>
      </c>
      <c r="G414" s="404" t="s">
        <v>45</v>
      </c>
      <c r="H414" s="411">
        <v>409.5</v>
      </c>
      <c r="I414" s="89">
        <f t="shared" si="67"/>
        <v>-36.854999999999997</v>
      </c>
      <c r="J414" s="90">
        <f t="shared" si="66"/>
        <v>-8.0805000000000007</v>
      </c>
      <c r="K414" s="90">
        <f t="shared" si="65"/>
        <v>364.56449999999995</v>
      </c>
      <c r="L414" s="131">
        <v>1450</v>
      </c>
      <c r="M414" s="158">
        <v>72.39</v>
      </c>
      <c r="N414" s="91">
        <f t="shared" si="62"/>
        <v>362.39</v>
      </c>
      <c r="O414" s="411">
        <f t="shared" si="63"/>
        <v>2.1744999999999663</v>
      </c>
      <c r="P414" s="132" t="s">
        <v>52</v>
      </c>
      <c r="Q414" s="232"/>
      <c r="R414" s="411"/>
      <c r="T414" s="134" t="s">
        <v>145</v>
      </c>
      <c r="U414" s="267" t="s">
        <v>1111</v>
      </c>
      <c r="AA414" s="218"/>
    </row>
    <row r="415" spans="1:27" ht="24" x14ac:dyDescent="0.25">
      <c r="A415" s="405">
        <v>3000274</v>
      </c>
      <c r="B415" s="406">
        <v>42387</v>
      </c>
      <c r="C415" s="405" t="s">
        <v>42</v>
      </c>
      <c r="D415" s="401" t="s">
        <v>1112</v>
      </c>
      <c r="E415" s="120">
        <v>250</v>
      </c>
      <c r="F415" s="133" t="s">
        <v>972</v>
      </c>
      <c r="G415" s="404" t="s">
        <v>45</v>
      </c>
      <c r="H415" s="411">
        <v>111.48</v>
      </c>
      <c r="I415" s="89">
        <f t="shared" si="67"/>
        <v>-10.033200000000001</v>
      </c>
      <c r="J415" s="90">
        <f t="shared" si="66"/>
        <v>-2.41812</v>
      </c>
      <c r="K415" s="90">
        <f t="shared" si="65"/>
        <v>99.028679999999994</v>
      </c>
      <c r="M415" s="158">
        <v>28.82</v>
      </c>
      <c r="N415" s="91">
        <f t="shared" si="62"/>
        <v>28.82</v>
      </c>
      <c r="O415" s="411">
        <f t="shared" si="63"/>
        <v>70.208679999999987</v>
      </c>
      <c r="P415" s="132" t="s">
        <v>52</v>
      </c>
      <c r="Q415" s="232"/>
      <c r="R415" s="411"/>
      <c r="T415" s="134" t="s">
        <v>145</v>
      </c>
      <c r="U415" s="267" t="s">
        <v>1113</v>
      </c>
      <c r="AA415" s="218"/>
    </row>
    <row r="416" spans="1:27" ht="24" x14ac:dyDescent="0.25">
      <c r="A416" s="405">
        <v>3000275</v>
      </c>
      <c r="B416" s="406">
        <v>42387</v>
      </c>
      <c r="C416" s="405" t="s">
        <v>42</v>
      </c>
      <c r="D416" s="401" t="s">
        <v>1114</v>
      </c>
      <c r="E416" s="120">
        <v>150</v>
      </c>
      <c r="F416" s="133" t="s">
        <v>605</v>
      </c>
      <c r="G416" s="404" t="s">
        <v>45</v>
      </c>
      <c r="H416" s="411">
        <v>226.56</v>
      </c>
      <c r="I416" s="89">
        <f t="shared" si="67"/>
        <v>-20.3904</v>
      </c>
      <c r="J416" s="90">
        <f t="shared" si="66"/>
        <v>-4.6046399999999998</v>
      </c>
      <c r="K416" s="90">
        <f t="shared" si="65"/>
        <v>201.56496000000001</v>
      </c>
      <c r="L416" s="131">
        <v>600</v>
      </c>
      <c r="M416" s="158">
        <v>40.49</v>
      </c>
      <c r="N416" s="91">
        <f t="shared" si="62"/>
        <v>130.49</v>
      </c>
      <c r="O416" s="411">
        <f t="shared" si="63"/>
        <v>71.074960000000004</v>
      </c>
      <c r="P416" s="132" t="s">
        <v>52</v>
      </c>
      <c r="Q416" s="232"/>
      <c r="R416" s="411"/>
      <c r="T416" s="134" t="s">
        <v>145</v>
      </c>
      <c r="U416" s="267" t="s">
        <v>1115</v>
      </c>
      <c r="AA416" s="218"/>
    </row>
    <row r="417" spans="1:27" ht="24" x14ac:dyDescent="0.25">
      <c r="A417" s="405">
        <v>3000276</v>
      </c>
      <c r="B417" s="406">
        <v>42387</v>
      </c>
      <c r="C417" s="405" t="s">
        <v>42</v>
      </c>
      <c r="D417" s="401" t="s">
        <v>1116</v>
      </c>
      <c r="E417" s="120">
        <v>250</v>
      </c>
      <c r="F417" s="133" t="s">
        <v>752</v>
      </c>
      <c r="G417" s="404" t="s">
        <v>45</v>
      </c>
      <c r="H417" s="411">
        <v>185.33</v>
      </c>
      <c r="I417" s="89">
        <f t="shared" si="67"/>
        <v>-16.6797</v>
      </c>
      <c r="J417" s="90">
        <f t="shared" si="66"/>
        <v>-3.8212700000000002</v>
      </c>
      <c r="K417" s="90">
        <f t="shared" si="65"/>
        <v>164.82903000000002</v>
      </c>
      <c r="L417" s="158">
        <v>380</v>
      </c>
      <c r="M417" s="158">
        <v>19.170000000000002</v>
      </c>
      <c r="N417" s="91">
        <f t="shared" si="62"/>
        <v>114.17</v>
      </c>
      <c r="O417" s="411">
        <f t="shared" si="63"/>
        <v>50.659030000000016</v>
      </c>
      <c r="P417" s="132" t="s">
        <v>46</v>
      </c>
      <c r="Q417" s="232"/>
      <c r="R417" s="411">
        <v>185.33</v>
      </c>
      <c r="S417" s="133" t="s">
        <v>1117</v>
      </c>
      <c r="T417" s="134" t="s">
        <v>324</v>
      </c>
      <c r="U417" s="266" t="s">
        <v>1118</v>
      </c>
      <c r="AA417" s="218"/>
    </row>
    <row r="418" spans="1:27" ht="24" x14ac:dyDescent="0.25">
      <c r="A418" s="405">
        <v>3000277</v>
      </c>
      <c r="B418" s="406">
        <v>42387</v>
      </c>
      <c r="C418" s="405" t="s">
        <v>42</v>
      </c>
      <c r="D418" s="401" t="s">
        <v>1119</v>
      </c>
      <c r="E418" s="120">
        <v>100</v>
      </c>
      <c r="F418" s="133" t="s">
        <v>161</v>
      </c>
      <c r="G418" s="404" t="s">
        <v>45</v>
      </c>
      <c r="H418" s="411">
        <v>235</v>
      </c>
      <c r="I418" s="89">
        <f t="shared" si="67"/>
        <v>-21.15</v>
      </c>
      <c r="J418" s="90">
        <f t="shared" si="66"/>
        <v>-4.7649999999999997</v>
      </c>
      <c r="K418" s="90">
        <f t="shared" si="65"/>
        <v>209.08500000000001</v>
      </c>
      <c r="L418" s="131">
        <v>1450</v>
      </c>
      <c r="M418" s="158">
        <v>30.91</v>
      </c>
      <c r="N418" s="91">
        <f t="shared" si="62"/>
        <v>175.91</v>
      </c>
      <c r="O418" s="411">
        <f t="shared" si="63"/>
        <v>33.175000000000011</v>
      </c>
      <c r="P418" s="132" t="s">
        <v>52</v>
      </c>
      <c r="Q418" s="232"/>
      <c r="R418" s="411"/>
      <c r="T418" s="134" t="s">
        <v>145</v>
      </c>
      <c r="U418" s="267" t="s">
        <v>1120</v>
      </c>
      <c r="AA418" s="218"/>
    </row>
    <row r="419" spans="1:27" ht="24" x14ac:dyDescent="0.25">
      <c r="A419" s="405">
        <v>3000278</v>
      </c>
      <c r="B419" s="406">
        <v>42387</v>
      </c>
      <c r="C419" s="405" t="s">
        <v>42</v>
      </c>
      <c r="D419" s="401" t="s">
        <v>1121</v>
      </c>
      <c r="E419" s="120">
        <v>175</v>
      </c>
      <c r="F419" s="133" t="s">
        <v>247</v>
      </c>
      <c r="G419" s="404" t="s">
        <v>45</v>
      </c>
      <c r="H419" s="411">
        <v>212.43</v>
      </c>
      <c r="I419" s="89">
        <f t="shared" si="67"/>
        <v>-19.1187</v>
      </c>
      <c r="J419" s="90">
        <f t="shared" si="66"/>
        <v>-4.3361700000000001</v>
      </c>
      <c r="K419" s="90">
        <f t="shared" si="65"/>
        <v>188.97513000000001</v>
      </c>
      <c r="L419" s="131">
        <v>580</v>
      </c>
      <c r="M419" s="158">
        <v>46.72</v>
      </c>
      <c r="N419" s="91">
        <f t="shared" si="62"/>
        <v>148.22000000000003</v>
      </c>
      <c r="O419" s="411">
        <f t="shared" si="63"/>
        <v>40.75512999999998</v>
      </c>
      <c r="P419" s="132" t="s">
        <v>52</v>
      </c>
      <c r="Q419" s="232"/>
      <c r="R419" s="411"/>
      <c r="T419" s="134" t="s">
        <v>145</v>
      </c>
      <c r="U419" s="267" t="s">
        <v>1122</v>
      </c>
      <c r="AA419" s="218"/>
    </row>
    <row r="420" spans="1:27" ht="24" x14ac:dyDescent="0.25">
      <c r="A420" s="405">
        <v>3000279</v>
      </c>
      <c r="B420" s="406">
        <v>42387</v>
      </c>
      <c r="C420" s="405" t="s">
        <v>42</v>
      </c>
      <c r="D420" s="401" t="s">
        <v>1123</v>
      </c>
      <c r="E420" s="120">
        <v>125</v>
      </c>
      <c r="F420" s="133" t="s">
        <v>877</v>
      </c>
      <c r="G420" s="404" t="s">
        <v>45</v>
      </c>
      <c r="H420" s="411">
        <v>109.72</v>
      </c>
      <c r="I420" s="89">
        <f t="shared" si="67"/>
        <v>-9.8747999999999987</v>
      </c>
      <c r="J420" s="90">
        <f t="shared" si="66"/>
        <v>-2.3846799999999999</v>
      </c>
      <c r="K420" s="90">
        <f t="shared" si="65"/>
        <v>97.460520000000002</v>
      </c>
      <c r="L420" s="131">
        <v>235</v>
      </c>
      <c r="N420" s="91">
        <f t="shared" si="62"/>
        <v>29.375</v>
      </c>
      <c r="O420" s="411">
        <f t="shared" si="63"/>
        <v>68.085520000000002</v>
      </c>
      <c r="P420" s="132" t="s">
        <v>52</v>
      </c>
      <c r="Q420" s="232"/>
      <c r="R420" s="411"/>
      <c r="T420" s="134" t="s">
        <v>756</v>
      </c>
      <c r="U420" s="267" t="s">
        <v>756</v>
      </c>
      <c r="AA420" s="218"/>
    </row>
    <row r="421" spans="1:27" ht="24" x14ac:dyDescent="0.25">
      <c r="A421" s="405">
        <v>3000280</v>
      </c>
      <c r="B421" s="406">
        <v>42387</v>
      </c>
      <c r="C421" s="405" t="s">
        <v>42</v>
      </c>
      <c r="D421" s="401" t="s">
        <v>548</v>
      </c>
      <c r="E421" s="120">
        <v>25</v>
      </c>
      <c r="F421" s="133" t="s">
        <v>1124</v>
      </c>
      <c r="G421" s="404" t="s">
        <v>45</v>
      </c>
      <c r="H421" s="411">
        <v>160.84</v>
      </c>
      <c r="I421" s="89">
        <f t="shared" si="67"/>
        <v>-14.4756</v>
      </c>
      <c r="J421" s="90">
        <f t="shared" si="66"/>
        <v>-3.3559599999999996</v>
      </c>
      <c r="K421" s="90">
        <f t="shared" si="65"/>
        <v>143.00843999999998</v>
      </c>
      <c r="L421" s="158">
        <v>3600</v>
      </c>
      <c r="M421" s="158">
        <v>14.14</v>
      </c>
      <c r="N421" s="91">
        <f t="shared" si="62"/>
        <v>104.14</v>
      </c>
      <c r="O421" s="411">
        <f t="shared" si="63"/>
        <v>38.868439999999978</v>
      </c>
      <c r="P421" s="132" t="s">
        <v>183</v>
      </c>
      <c r="Q421" s="232"/>
      <c r="R421" s="411"/>
      <c r="T421" s="134" t="s">
        <v>145</v>
      </c>
      <c r="U421" s="267" t="s">
        <v>1125</v>
      </c>
      <c r="AA421" s="218"/>
    </row>
    <row r="422" spans="1:27" ht="24" x14ac:dyDescent="0.25">
      <c r="A422" s="405">
        <v>3000281</v>
      </c>
      <c r="B422" s="406">
        <v>42387</v>
      </c>
      <c r="C422" s="405" t="s">
        <v>42</v>
      </c>
      <c r="D422" s="401" t="s">
        <v>1126</v>
      </c>
      <c r="E422" s="120">
        <v>250</v>
      </c>
      <c r="F422" s="133" t="s">
        <v>877</v>
      </c>
      <c r="G422" s="404" t="s">
        <v>45</v>
      </c>
      <c r="H422" s="411">
        <v>162.18</v>
      </c>
      <c r="I422" s="89">
        <f t="shared" si="67"/>
        <v>-14.5962</v>
      </c>
      <c r="J422" s="90">
        <f t="shared" si="66"/>
        <v>-3.3814199999999999</v>
      </c>
      <c r="K422" s="90">
        <f t="shared" si="65"/>
        <v>144.20238000000001</v>
      </c>
      <c r="L422" s="131">
        <v>235</v>
      </c>
      <c r="M422" s="158">
        <v>35.96</v>
      </c>
      <c r="N422" s="91">
        <f t="shared" si="62"/>
        <v>94.710000000000008</v>
      </c>
      <c r="O422" s="411">
        <f t="shared" si="63"/>
        <v>49.492379999999997</v>
      </c>
      <c r="P422" s="132" t="s">
        <v>52</v>
      </c>
      <c r="Q422" s="232"/>
      <c r="R422" s="411"/>
      <c r="T422" s="134" t="s">
        <v>145</v>
      </c>
      <c r="U422" s="267" t="s">
        <v>1127</v>
      </c>
      <c r="AA422" s="218"/>
    </row>
    <row r="423" spans="1:27" ht="24" x14ac:dyDescent="0.25">
      <c r="A423" s="405">
        <v>3000282</v>
      </c>
      <c r="B423" s="406">
        <v>42387</v>
      </c>
      <c r="C423" s="405" t="s">
        <v>42</v>
      </c>
      <c r="D423" s="401" t="s">
        <v>1128</v>
      </c>
      <c r="E423" s="120">
        <v>500</v>
      </c>
      <c r="F423" s="133" t="s">
        <v>983</v>
      </c>
      <c r="G423" s="404" t="s">
        <v>45</v>
      </c>
      <c r="H423" s="411">
        <v>304.89999999999998</v>
      </c>
      <c r="I423" s="89">
        <f t="shared" si="67"/>
        <v>-27.440999999999995</v>
      </c>
      <c r="J423" s="90">
        <f t="shared" si="66"/>
        <v>-6.0930999999999989</v>
      </c>
      <c r="K423" s="90">
        <f t="shared" si="65"/>
        <v>271.36590000000001</v>
      </c>
      <c r="L423" s="131">
        <v>350</v>
      </c>
      <c r="M423" s="158">
        <v>62.9</v>
      </c>
      <c r="N423" s="91">
        <f t="shared" si="62"/>
        <v>237.9</v>
      </c>
      <c r="O423" s="411">
        <f t="shared" si="63"/>
        <v>33.465900000000005</v>
      </c>
      <c r="P423" s="132" t="s">
        <v>52</v>
      </c>
      <c r="Q423" s="232"/>
      <c r="R423" s="411"/>
      <c r="T423" s="134" t="s">
        <v>145</v>
      </c>
      <c r="U423" s="267" t="s">
        <v>1129</v>
      </c>
      <c r="AA423" s="218"/>
    </row>
    <row r="424" spans="1:27" ht="24" x14ac:dyDescent="0.25">
      <c r="A424" s="405">
        <v>3000283</v>
      </c>
      <c r="B424" s="406">
        <v>42387</v>
      </c>
      <c r="C424" s="405" t="s">
        <v>42</v>
      </c>
      <c r="D424" s="401" t="s">
        <v>1130</v>
      </c>
      <c r="E424" s="120">
        <v>50</v>
      </c>
      <c r="F424" s="133" t="s">
        <v>288</v>
      </c>
      <c r="G424" s="404" t="s">
        <v>45</v>
      </c>
      <c r="H424" s="411">
        <v>98.1</v>
      </c>
      <c r="I424" s="89">
        <f t="shared" si="67"/>
        <v>-8.8289999999999988</v>
      </c>
      <c r="J424" s="90">
        <f t="shared" si="66"/>
        <v>-2.1638999999999999</v>
      </c>
      <c r="K424" s="90">
        <f t="shared" si="65"/>
        <v>87.107100000000003</v>
      </c>
      <c r="L424" s="131">
        <v>1069</v>
      </c>
      <c r="M424" s="158">
        <v>77.569999999999993</v>
      </c>
      <c r="N424" s="91">
        <f t="shared" si="62"/>
        <v>131.01999999999998</v>
      </c>
      <c r="O424" s="411">
        <f t="shared" si="63"/>
        <v>-43.912899999999979</v>
      </c>
      <c r="P424" s="132" t="s">
        <v>52</v>
      </c>
      <c r="Q424" s="232"/>
      <c r="R424" s="411"/>
      <c r="T424" s="134" t="s">
        <v>145</v>
      </c>
      <c r="U424" s="267" t="s">
        <v>1131</v>
      </c>
      <c r="AA424" s="218"/>
    </row>
    <row r="425" spans="1:27" ht="24" x14ac:dyDescent="0.25">
      <c r="A425" s="405">
        <v>3000284</v>
      </c>
      <c r="B425" s="406">
        <v>42387</v>
      </c>
      <c r="C425" s="405" t="s">
        <v>42</v>
      </c>
      <c r="D425" s="401" t="s">
        <v>1132</v>
      </c>
      <c r="E425" s="120">
        <v>150</v>
      </c>
      <c r="F425" s="133" t="s">
        <v>307</v>
      </c>
      <c r="G425" s="404" t="s">
        <v>45</v>
      </c>
      <c r="H425" s="411">
        <v>196.2</v>
      </c>
      <c r="I425" s="89">
        <f t="shared" si="67"/>
        <v>-17.657999999999998</v>
      </c>
      <c r="J425" s="90">
        <f t="shared" si="66"/>
        <v>-4.0278</v>
      </c>
      <c r="K425" s="90">
        <f t="shared" si="65"/>
        <v>174.51419999999999</v>
      </c>
      <c r="L425" s="131">
        <v>690</v>
      </c>
      <c r="M425" s="158">
        <v>37.200000000000003</v>
      </c>
      <c r="N425" s="91">
        <f t="shared" si="62"/>
        <v>140.69999999999999</v>
      </c>
      <c r="O425" s="411">
        <f t="shared" si="63"/>
        <v>33.8142</v>
      </c>
      <c r="P425" s="132" t="s">
        <v>52</v>
      </c>
      <c r="Q425" s="232"/>
      <c r="R425" s="411"/>
      <c r="T425" s="134" t="s">
        <v>145</v>
      </c>
      <c r="U425" s="267" t="s">
        <v>1133</v>
      </c>
      <c r="AA425" s="218"/>
    </row>
    <row r="426" spans="1:27" ht="24" x14ac:dyDescent="0.25">
      <c r="A426" s="405">
        <v>3000285</v>
      </c>
      <c r="B426" s="406">
        <v>42387</v>
      </c>
      <c r="C426" s="405" t="s">
        <v>42</v>
      </c>
      <c r="D426" s="401" t="s">
        <v>1134</v>
      </c>
      <c r="E426" s="120">
        <v>250</v>
      </c>
      <c r="F426" s="133" t="s">
        <v>173</v>
      </c>
      <c r="G426" s="404" t="s">
        <v>45</v>
      </c>
      <c r="H426" s="411">
        <v>207.57</v>
      </c>
      <c r="I426" s="89">
        <f t="shared" si="67"/>
        <v>-18.6813</v>
      </c>
      <c r="J426" s="90">
        <f t="shared" si="66"/>
        <v>-4.24383</v>
      </c>
      <c r="K426" s="90">
        <f t="shared" si="65"/>
        <v>184.64487</v>
      </c>
      <c r="L426" s="131">
        <v>399</v>
      </c>
      <c r="M426" s="158">
        <v>51.89</v>
      </c>
      <c r="N426" s="91">
        <f t="shared" si="62"/>
        <v>151.63999999999999</v>
      </c>
      <c r="O426" s="411">
        <f t="shared" si="63"/>
        <v>33.004870000000011</v>
      </c>
      <c r="P426" s="132" t="s">
        <v>52</v>
      </c>
      <c r="Q426" s="232"/>
      <c r="R426" s="411"/>
      <c r="T426" s="134" t="s">
        <v>145</v>
      </c>
      <c r="U426" s="267" t="s">
        <v>1135</v>
      </c>
      <c r="AA426" s="218"/>
    </row>
    <row r="427" spans="1:27" ht="24" x14ac:dyDescent="0.25">
      <c r="A427" s="405">
        <v>3000286</v>
      </c>
      <c r="B427" s="406">
        <v>42387</v>
      </c>
      <c r="C427" s="405" t="s">
        <v>42</v>
      </c>
      <c r="D427" s="401" t="s">
        <v>1136</v>
      </c>
      <c r="E427" s="120">
        <v>250</v>
      </c>
      <c r="F427" s="133" t="s">
        <v>1137</v>
      </c>
      <c r="G427" s="404" t="s">
        <v>45</v>
      </c>
      <c r="H427" s="411">
        <v>120.12</v>
      </c>
      <c r="I427" s="89">
        <f t="shared" si="67"/>
        <v>-10.8108</v>
      </c>
      <c r="J427" s="90">
        <f t="shared" si="66"/>
        <v>-2.5822799999999999</v>
      </c>
      <c r="K427" s="90">
        <f t="shared" si="65"/>
        <v>106.72692000000001</v>
      </c>
      <c r="L427" s="131">
        <v>250</v>
      </c>
      <c r="M427" s="158">
        <v>55.35</v>
      </c>
      <c r="N427" s="91">
        <f t="shared" si="62"/>
        <v>117.85</v>
      </c>
      <c r="O427" s="411">
        <f t="shared" si="63"/>
        <v>-11.123079999999987</v>
      </c>
      <c r="P427" s="132" t="s">
        <v>52</v>
      </c>
      <c r="Q427" s="232"/>
      <c r="R427" s="411"/>
      <c r="T427" s="134" t="s">
        <v>145</v>
      </c>
      <c r="U427" s="267" t="s">
        <v>1138</v>
      </c>
      <c r="AA427" s="218"/>
    </row>
    <row r="428" spans="1:27" ht="24" x14ac:dyDescent="0.25">
      <c r="A428" s="405">
        <v>3000287</v>
      </c>
      <c r="B428" s="406">
        <v>42387</v>
      </c>
      <c r="C428" s="405" t="s">
        <v>42</v>
      </c>
      <c r="D428" s="401" t="s">
        <v>1139</v>
      </c>
      <c r="E428" s="120">
        <v>250</v>
      </c>
      <c r="F428" s="133" t="s">
        <v>173</v>
      </c>
      <c r="G428" s="404" t="s">
        <v>45</v>
      </c>
      <c r="H428" s="411">
        <v>207.57</v>
      </c>
      <c r="I428" s="89">
        <f t="shared" si="67"/>
        <v>-18.6813</v>
      </c>
      <c r="J428" s="90">
        <f t="shared" si="66"/>
        <v>-4.24383</v>
      </c>
      <c r="K428" s="90">
        <f t="shared" si="65"/>
        <v>184.64487</v>
      </c>
      <c r="L428" s="131">
        <v>399</v>
      </c>
      <c r="M428" s="158">
        <v>23.85</v>
      </c>
      <c r="N428" s="91">
        <f t="shared" si="62"/>
        <v>123.6</v>
      </c>
      <c r="O428" s="411">
        <f t="shared" si="63"/>
        <v>61.044870000000003</v>
      </c>
      <c r="P428" s="132" t="s">
        <v>52</v>
      </c>
      <c r="Q428" s="232"/>
      <c r="R428" s="411"/>
      <c r="T428" s="134" t="s">
        <v>145</v>
      </c>
      <c r="U428" s="267" t="s">
        <v>1140</v>
      </c>
      <c r="AA428" s="218"/>
    </row>
    <row r="429" spans="1:27" ht="36" x14ac:dyDescent="0.25">
      <c r="A429" s="405">
        <v>3000288</v>
      </c>
      <c r="B429" s="406">
        <v>42387</v>
      </c>
      <c r="C429" s="405" t="s">
        <v>78</v>
      </c>
      <c r="D429" s="401" t="s">
        <v>1141</v>
      </c>
      <c r="E429" s="120">
        <v>1200</v>
      </c>
      <c r="F429" s="133" t="s">
        <v>1142</v>
      </c>
      <c r="G429" s="404" t="s">
        <v>45</v>
      </c>
      <c r="H429" s="411">
        <v>480</v>
      </c>
      <c r="I429" s="411">
        <v>0</v>
      </c>
      <c r="J429" s="90">
        <f t="shared" si="66"/>
        <v>-9.42</v>
      </c>
      <c r="K429" s="90">
        <f t="shared" si="65"/>
        <v>470.58</v>
      </c>
      <c r="L429" s="158">
        <v>300</v>
      </c>
      <c r="M429" s="158">
        <v>100.47</v>
      </c>
      <c r="N429" s="91">
        <f t="shared" si="62"/>
        <v>460.47</v>
      </c>
      <c r="O429" s="411">
        <f t="shared" si="63"/>
        <v>10.109999999999957</v>
      </c>
      <c r="P429" s="132" t="s">
        <v>235</v>
      </c>
      <c r="Q429" s="232"/>
      <c r="R429" s="411"/>
      <c r="T429" s="134" t="s">
        <v>145</v>
      </c>
      <c r="U429" s="266" t="s">
        <v>1143</v>
      </c>
      <c r="W429" s="153" t="s">
        <v>1144</v>
      </c>
      <c r="AA429" s="218"/>
    </row>
    <row r="430" spans="1:27" ht="24" x14ac:dyDescent="0.25">
      <c r="A430" s="405">
        <v>3000289</v>
      </c>
      <c r="B430" s="406">
        <v>42387</v>
      </c>
      <c r="C430" s="405" t="s">
        <v>237</v>
      </c>
      <c r="D430" s="401" t="s">
        <v>1145</v>
      </c>
      <c r="E430" s="120">
        <v>100</v>
      </c>
      <c r="F430" s="133" t="s">
        <v>1146</v>
      </c>
      <c r="G430" s="404" t="s">
        <v>45</v>
      </c>
      <c r="H430" s="411">
        <v>146.91</v>
      </c>
      <c r="I430" s="89">
        <f>-(H430*0.15)</f>
        <v>-22.0365</v>
      </c>
      <c r="J430" s="411">
        <v>0</v>
      </c>
      <c r="K430" s="90">
        <f t="shared" si="65"/>
        <v>124.87349999999999</v>
      </c>
      <c r="L430" s="158">
        <v>670</v>
      </c>
      <c r="M430" s="158">
        <v>8.9</v>
      </c>
      <c r="N430" s="91">
        <f t="shared" si="62"/>
        <v>75.900000000000006</v>
      </c>
      <c r="O430" s="411">
        <f t="shared" si="63"/>
        <v>48.973499999999987</v>
      </c>
      <c r="P430" s="132" t="s">
        <v>235</v>
      </c>
      <c r="Q430" s="232"/>
      <c r="R430" s="411"/>
      <c r="T430" s="134" t="s">
        <v>145</v>
      </c>
      <c r="U430" s="267" t="s">
        <v>1147</v>
      </c>
      <c r="AA430" s="218"/>
    </row>
    <row r="431" spans="1:27" ht="24" x14ac:dyDescent="0.25">
      <c r="A431" s="405">
        <v>3000290</v>
      </c>
      <c r="B431" s="406">
        <v>42387</v>
      </c>
      <c r="C431" s="405" t="s">
        <v>237</v>
      </c>
      <c r="D431" s="401" t="s">
        <v>1148</v>
      </c>
      <c r="E431" s="120">
        <v>100</v>
      </c>
      <c r="F431" s="133" t="s">
        <v>161</v>
      </c>
      <c r="G431" s="404" t="s">
        <v>45</v>
      </c>
      <c r="H431" s="411">
        <v>270</v>
      </c>
      <c r="I431" s="89">
        <f>-(H431*0.15)</f>
        <v>-40.5</v>
      </c>
      <c r="J431" s="411">
        <v>0</v>
      </c>
      <c r="K431" s="90">
        <f t="shared" si="65"/>
        <v>229.5</v>
      </c>
      <c r="L431" s="131">
        <v>1450</v>
      </c>
      <c r="M431" s="158">
        <v>36.21</v>
      </c>
      <c r="N431" s="91">
        <f t="shared" si="62"/>
        <v>181.21</v>
      </c>
      <c r="O431" s="411">
        <f t="shared" si="63"/>
        <v>48.289999999999992</v>
      </c>
      <c r="P431" s="132" t="s">
        <v>52</v>
      </c>
      <c r="Q431" s="232"/>
      <c r="R431" s="411"/>
      <c r="T431" s="134" t="s">
        <v>145</v>
      </c>
      <c r="U431" s="267" t="s">
        <v>1149</v>
      </c>
      <c r="AA431" s="218"/>
    </row>
    <row r="432" spans="1:27" ht="24" x14ac:dyDescent="0.25">
      <c r="A432" s="405">
        <v>3000291</v>
      </c>
      <c r="B432" s="406">
        <v>42387</v>
      </c>
      <c r="C432" s="405" t="s">
        <v>237</v>
      </c>
      <c r="D432" s="401" t="s">
        <v>1150</v>
      </c>
      <c r="E432" s="120">
        <v>100</v>
      </c>
      <c r="F432" s="133" t="s">
        <v>161</v>
      </c>
      <c r="G432" s="404" t="s">
        <v>45</v>
      </c>
      <c r="H432" s="411">
        <v>270</v>
      </c>
      <c r="I432" s="89">
        <f>-(H432*0.15)</f>
        <v>-40.5</v>
      </c>
      <c r="J432" s="411">
        <v>0</v>
      </c>
      <c r="K432" s="90">
        <f t="shared" si="65"/>
        <v>229.5</v>
      </c>
      <c r="L432" s="131">
        <v>1450</v>
      </c>
      <c r="M432" s="158">
        <v>53.64</v>
      </c>
      <c r="N432" s="91">
        <f t="shared" si="62"/>
        <v>198.64</v>
      </c>
      <c r="O432" s="411">
        <f t="shared" si="63"/>
        <v>30.860000000000014</v>
      </c>
      <c r="P432" s="132" t="s">
        <v>52</v>
      </c>
      <c r="Q432" s="232"/>
      <c r="R432" s="411"/>
      <c r="T432" s="134" t="s">
        <v>145</v>
      </c>
      <c r="U432" s="267" t="s">
        <v>1151</v>
      </c>
      <c r="AA432" s="218"/>
    </row>
    <row r="433" spans="1:27" ht="24" x14ac:dyDescent="0.25">
      <c r="A433" s="405">
        <v>3000292</v>
      </c>
      <c r="B433" s="406">
        <v>42388</v>
      </c>
      <c r="C433" s="405" t="s">
        <v>42</v>
      </c>
      <c r="D433" s="401" t="s">
        <v>1152</v>
      </c>
      <c r="E433" s="120">
        <v>325</v>
      </c>
      <c r="F433" s="133" t="s">
        <v>829</v>
      </c>
      <c r="G433" s="404" t="s">
        <v>45</v>
      </c>
      <c r="H433" s="411">
        <v>312.55</v>
      </c>
      <c r="I433" s="89">
        <f t="shared" ref="I433:I435" si="68">-(H433*0.09)</f>
        <v>-28.1295</v>
      </c>
      <c r="J433" s="90">
        <f t="shared" ref="J433:J438" si="69">-((H433*0.019)+0.3)</f>
        <v>-6.2384500000000003</v>
      </c>
      <c r="K433" s="90">
        <f t="shared" si="65"/>
        <v>278.18205</v>
      </c>
      <c r="L433" s="131">
        <v>510</v>
      </c>
      <c r="M433" s="158">
        <v>70.790000000000006</v>
      </c>
      <c r="N433" s="91">
        <f t="shared" si="62"/>
        <v>236.54000000000002</v>
      </c>
      <c r="O433" s="411">
        <f t="shared" si="63"/>
        <v>41.642049999999983</v>
      </c>
      <c r="P433" s="132" t="s">
        <v>52</v>
      </c>
      <c r="Q433" s="232"/>
      <c r="R433" s="411"/>
      <c r="T433" s="134" t="s">
        <v>145</v>
      </c>
      <c r="U433" s="267" t="s">
        <v>1153</v>
      </c>
      <c r="AA433" s="218"/>
    </row>
    <row r="434" spans="1:27" ht="24" x14ac:dyDescent="0.25">
      <c r="A434" s="405">
        <v>3000293</v>
      </c>
      <c r="B434" s="406">
        <v>42388</v>
      </c>
      <c r="C434" s="405" t="s">
        <v>42</v>
      </c>
      <c r="D434" s="401" t="s">
        <v>1154</v>
      </c>
      <c r="E434" s="120">
        <v>300</v>
      </c>
      <c r="F434" s="133" t="s">
        <v>227</v>
      </c>
      <c r="G434" s="404" t="s">
        <v>45</v>
      </c>
      <c r="H434" s="411">
        <v>243.28</v>
      </c>
      <c r="I434" s="89">
        <f t="shared" si="68"/>
        <v>-21.895199999999999</v>
      </c>
      <c r="J434" s="90">
        <f t="shared" si="69"/>
        <v>-4.92232</v>
      </c>
      <c r="K434" s="90">
        <f t="shared" si="65"/>
        <v>216.46248</v>
      </c>
      <c r="L434" s="131">
        <v>350</v>
      </c>
      <c r="M434" s="158">
        <v>61.99</v>
      </c>
      <c r="N434" s="91">
        <f t="shared" si="62"/>
        <v>166.99</v>
      </c>
      <c r="O434" s="411">
        <f t="shared" si="63"/>
        <v>49.47247999999999</v>
      </c>
      <c r="P434" s="132" t="s">
        <v>52</v>
      </c>
      <c r="Q434" s="232"/>
      <c r="R434" s="411"/>
      <c r="T434" s="134" t="s">
        <v>145</v>
      </c>
      <c r="U434" s="267" t="s">
        <v>1155</v>
      </c>
      <c r="AA434" s="218"/>
    </row>
    <row r="435" spans="1:27" ht="24" x14ac:dyDescent="0.25">
      <c r="A435" s="405">
        <v>3000294</v>
      </c>
      <c r="B435" s="406">
        <v>42388</v>
      </c>
      <c r="C435" s="405" t="s">
        <v>42</v>
      </c>
      <c r="D435" s="401" t="s">
        <v>1156</v>
      </c>
      <c r="E435" s="120">
        <v>100</v>
      </c>
      <c r="F435" s="133" t="s">
        <v>431</v>
      </c>
      <c r="G435" s="404" t="s">
        <v>45</v>
      </c>
      <c r="H435" s="411">
        <v>227.48</v>
      </c>
      <c r="I435" s="89">
        <f t="shared" si="68"/>
        <v>-20.473199999999999</v>
      </c>
      <c r="J435" s="90">
        <f t="shared" si="69"/>
        <v>-4.6221199999999998</v>
      </c>
      <c r="K435" s="90">
        <f t="shared" si="65"/>
        <v>202.38468</v>
      </c>
      <c r="L435" s="131">
        <v>1050</v>
      </c>
      <c r="M435" s="158">
        <v>37.869999999999997</v>
      </c>
      <c r="N435" s="91">
        <f t="shared" si="62"/>
        <v>142.87</v>
      </c>
      <c r="O435" s="411">
        <f t="shared" si="63"/>
        <v>59.514679999999998</v>
      </c>
      <c r="P435" s="132" t="s">
        <v>52</v>
      </c>
      <c r="Q435" s="232"/>
      <c r="R435" s="411"/>
      <c r="T435" s="134" t="s">
        <v>145</v>
      </c>
      <c r="U435" s="267" t="s">
        <v>1157</v>
      </c>
      <c r="AA435" s="218"/>
    </row>
    <row r="436" spans="1:27" ht="24" x14ac:dyDescent="0.25">
      <c r="A436" s="405">
        <v>3000295</v>
      </c>
      <c r="B436" s="406">
        <v>42388</v>
      </c>
      <c r="C436" s="405" t="s">
        <v>159</v>
      </c>
      <c r="D436" s="401" t="s">
        <v>1158</v>
      </c>
      <c r="E436" s="120">
        <v>135</v>
      </c>
      <c r="F436" s="133" t="s">
        <v>528</v>
      </c>
      <c r="G436" s="404" t="s">
        <v>45</v>
      </c>
      <c r="H436" s="411">
        <v>249.75</v>
      </c>
      <c r="I436" s="411">
        <v>0</v>
      </c>
      <c r="J436" s="90">
        <f t="shared" si="69"/>
        <v>-5.0452499999999993</v>
      </c>
      <c r="K436" s="90">
        <f t="shared" si="65"/>
        <v>244.70474999999999</v>
      </c>
      <c r="L436" s="131">
        <v>1021</v>
      </c>
      <c r="M436" s="158">
        <v>61.24</v>
      </c>
      <c r="N436" s="91">
        <f t="shared" si="62"/>
        <v>199.07500000000002</v>
      </c>
      <c r="O436" s="411">
        <f t="shared" si="63"/>
        <v>45.629749999999973</v>
      </c>
      <c r="P436" s="132" t="s">
        <v>52</v>
      </c>
      <c r="Q436" s="232"/>
      <c r="R436" s="411"/>
      <c r="T436" s="134" t="s">
        <v>145</v>
      </c>
      <c r="U436" s="267" t="s">
        <v>1159</v>
      </c>
      <c r="W436" s="153" t="s">
        <v>1160</v>
      </c>
      <c r="AA436" s="218"/>
    </row>
    <row r="437" spans="1:27" ht="24" x14ac:dyDescent="0.25">
      <c r="A437" s="405">
        <v>3000296</v>
      </c>
      <c r="B437" s="406">
        <v>42388</v>
      </c>
      <c r="C437" s="405" t="s">
        <v>159</v>
      </c>
      <c r="D437" s="401" t="s">
        <v>1161</v>
      </c>
      <c r="E437" s="120">
        <v>200</v>
      </c>
      <c r="F437" s="133" t="s">
        <v>829</v>
      </c>
      <c r="G437" s="404" t="s">
        <v>45</v>
      </c>
      <c r="H437" s="411">
        <v>321.99</v>
      </c>
      <c r="I437" s="411">
        <v>0</v>
      </c>
      <c r="J437" s="90">
        <f t="shared" si="69"/>
        <v>-6.4178100000000002</v>
      </c>
      <c r="K437" s="90">
        <f t="shared" si="65"/>
        <v>315.57219000000003</v>
      </c>
      <c r="L437" s="131">
        <v>510</v>
      </c>
      <c r="M437" s="158">
        <v>38.56</v>
      </c>
      <c r="N437" s="91">
        <f t="shared" si="62"/>
        <v>140.56</v>
      </c>
      <c r="O437" s="411">
        <f t="shared" si="63"/>
        <v>175.01219000000003</v>
      </c>
      <c r="P437" s="132" t="s">
        <v>52</v>
      </c>
      <c r="Q437" s="232"/>
      <c r="R437" s="411"/>
      <c r="T437" s="134" t="s">
        <v>145</v>
      </c>
      <c r="U437" s="267" t="s">
        <v>1162</v>
      </c>
      <c r="W437" s="153" t="s">
        <v>1163</v>
      </c>
      <c r="AA437" s="218"/>
    </row>
    <row r="438" spans="1:27" ht="24" x14ac:dyDescent="0.25">
      <c r="A438" s="405">
        <v>3000297</v>
      </c>
      <c r="B438" s="406">
        <v>42388</v>
      </c>
      <c r="C438" s="405" t="s">
        <v>159</v>
      </c>
      <c r="D438" s="401" t="s">
        <v>1164</v>
      </c>
      <c r="E438" s="120">
        <v>40</v>
      </c>
      <c r="F438" s="133" t="s">
        <v>114</v>
      </c>
      <c r="G438" s="404" t="s">
        <v>45</v>
      </c>
      <c r="H438" s="411">
        <v>130</v>
      </c>
      <c r="I438" s="411">
        <v>0</v>
      </c>
      <c r="J438" s="90">
        <f t="shared" si="69"/>
        <v>-2.7699999999999996</v>
      </c>
      <c r="K438" s="90">
        <f t="shared" si="65"/>
        <v>127.23</v>
      </c>
      <c r="L438" s="131">
        <v>835</v>
      </c>
      <c r="M438" s="158">
        <v>30.32</v>
      </c>
      <c r="N438" s="91">
        <f t="shared" si="62"/>
        <v>63.72</v>
      </c>
      <c r="O438" s="411">
        <f t="shared" si="63"/>
        <v>63.510000000000005</v>
      </c>
      <c r="P438" s="132" t="s">
        <v>52</v>
      </c>
      <c r="Q438" s="232"/>
      <c r="R438" s="411"/>
      <c r="T438" s="134" t="s">
        <v>145</v>
      </c>
      <c r="U438" s="267" t="s">
        <v>1165</v>
      </c>
      <c r="W438" s="153" t="s">
        <v>1166</v>
      </c>
      <c r="AA438" s="218"/>
    </row>
    <row r="439" spans="1:27" x14ac:dyDescent="0.25">
      <c r="A439" s="405">
        <v>3000298</v>
      </c>
      <c r="B439" s="406">
        <v>42388</v>
      </c>
      <c r="C439" s="405" t="s">
        <v>141</v>
      </c>
      <c r="D439" s="401" t="s">
        <v>678</v>
      </c>
      <c r="E439" s="120">
        <v>1000</v>
      </c>
      <c r="F439" s="133" t="s">
        <v>161</v>
      </c>
      <c r="G439" s="404" t="s">
        <v>45</v>
      </c>
      <c r="H439" s="411">
        <v>2200</v>
      </c>
      <c r="I439" s="411">
        <v>0</v>
      </c>
      <c r="J439" s="396">
        <f>-((H439*0.0325)+0.3)</f>
        <v>-71.8</v>
      </c>
      <c r="K439" s="90">
        <f t="shared" si="65"/>
        <v>2128.1999999999998</v>
      </c>
      <c r="L439" s="131">
        <v>1450</v>
      </c>
      <c r="N439" s="91">
        <f t="shared" si="62"/>
        <v>1450</v>
      </c>
      <c r="O439" s="411">
        <f t="shared" si="63"/>
        <v>678.19999999999982</v>
      </c>
      <c r="P439" s="132" t="s">
        <v>86</v>
      </c>
      <c r="Q439" s="232"/>
      <c r="R439" s="411"/>
      <c r="T439" s="134" t="s">
        <v>717</v>
      </c>
      <c r="U439" s="267" t="s">
        <v>1167</v>
      </c>
      <c r="W439" s="153" t="s">
        <v>682</v>
      </c>
      <c r="AA439" s="218"/>
    </row>
    <row r="440" spans="1:27" ht="24" x14ac:dyDescent="0.25">
      <c r="A440" s="405">
        <v>3000299</v>
      </c>
      <c r="B440" s="406">
        <v>42388</v>
      </c>
      <c r="C440" s="405" t="s">
        <v>42</v>
      </c>
      <c r="D440" s="401" t="s">
        <v>1168</v>
      </c>
      <c r="E440" s="120">
        <v>50</v>
      </c>
      <c r="F440" s="133" t="s">
        <v>300</v>
      </c>
      <c r="G440" s="404" t="s">
        <v>45</v>
      </c>
      <c r="H440" s="411">
        <v>210.09</v>
      </c>
      <c r="I440" s="89">
        <f t="shared" ref="I440:I447" si="70">-(H440*0.09)</f>
        <v>-18.908100000000001</v>
      </c>
      <c r="J440" s="90">
        <f t="shared" ref="J440:J447" si="71">-((H440*0.019)+0.3)</f>
        <v>-4.2917100000000001</v>
      </c>
      <c r="K440" s="90">
        <f t="shared" si="65"/>
        <v>186.89019000000002</v>
      </c>
      <c r="L440" s="131">
        <v>2320</v>
      </c>
      <c r="M440" s="158">
        <v>20.58</v>
      </c>
      <c r="N440" s="91">
        <f t="shared" si="62"/>
        <v>136.57999999999998</v>
      </c>
      <c r="O440" s="411">
        <f t="shared" si="63"/>
        <v>50.310190000000034</v>
      </c>
      <c r="P440" s="132" t="s">
        <v>52</v>
      </c>
      <c r="Q440" s="232"/>
      <c r="R440" s="411">
        <v>15.56</v>
      </c>
      <c r="S440" s="133" t="s">
        <v>1169</v>
      </c>
      <c r="T440" s="134" t="s">
        <v>145</v>
      </c>
      <c r="U440" s="267" t="s">
        <v>1170</v>
      </c>
      <c r="AA440" s="218"/>
    </row>
    <row r="441" spans="1:27" ht="24" x14ac:dyDescent="0.25">
      <c r="A441" s="405">
        <v>3000300</v>
      </c>
      <c r="B441" s="406">
        <v>42388</v>
      </c>
      <c r="C441" s="405" t="s">
        <v>42</v>
      </c>
      <c r="D441" s="401" t="s">
        <v>1171</v>
      </c>
      <c r="E441" s="120">
        <v>100</v>
      </c>
      <c r="F441" s="133" t="s">
        <v>1172</v>
      </c>
      <c r="G441" s="404" t="s">
        <v>45</v>
      </c>
      <c r="H441" s="411">
        <v>124.84</v>
      </c>
      <c r="I441" s="89">
        <f t="shared" si="70"/>
        <v>-11.2356</v>
      </c>
      <c r="J441" s="90">
        <f t="shared" si="71"/>
        <v>-2.6719599999999999</v>
      </c>
      <c r="K441" s="90">
        <f t="shared" si="65"/>
        <v>110.93244</v>
      </c>
      <c r="L441" s="158">
        <v>737</v>
      </c>
      <c r="M441" s="158">
        <v>14.3</v>
      </c>
      <c r="N441" s="91">
        <f t="shared" si="62"/>
        <v>88</v>
      </c>
      <c r="O441" s="411">
        <f t="shared" si="63"/>
        <v>22.93244</v>
      </c>
      <c r="P441" s="132" t="s">
        <v>601</v>
      </c>
      <c r="Q441" s="232"/>
      <c r="R441" s="411"/>
      <c r="T441" s="134" t="s">
        <v>145</v>
      </c>
      <c r="U441" s="266" t="s">
        <v>1173</v>
      </c>
      <c r="AA441" s="218"/>
    </row>
    <row r="442" spans="1:27" ht="24" x14ac:dyDescent="0.25">
      <c r="A442" s="405">
        <v>3000301</v>
      </c>
      <c r="B442" s="406">
        <v>42388</v>
      </c>
      <c r="C442" s="405" t="s">
        <v>42</v>
      </c>
      <c r="D442" s="401" t="s">
        <v>1174</v>
      </c>
      <c r="E442" s="120">
        <v>175</v>
      </c>
      <c r="F442" s="133" t="s">
        <v>247</v>
      </c>
      <c r="G442" s="404" t="s">
        <v>45</v>
      </c>
      <c r="H442" s="411">
        <v>212.43</v>
      </c>
      <c r="I442" s="89">
        <f t="shared" si="70"/>
        <v>-19.1187</v>
      </c>
      <c r="J442" s="90">
        <f t="shared" si="71"/>
        <v>-4.3361700000000001</v>
      </c>
      <c r="K442" s="90">
        <f t="shared" si="65"/>
        <v>188.97513000000001</v>
      </c>
      <c r="L442" s="131">
        <v>580</v>
      </c>
      <c r="M442" s="131">
        <v>53.08</v>
      </c>
      <c r="N442" s="91">
        <f t="shared" si="62"/>
        <v>154.58000000000001</v>
      </c>
      <c r="O442" s="411">
        <f t="shared" si="63"/>
        <v>34.395129999999995</v>
      </c>
      <c r="P442" s="132" t="s">
        <v>86</v>
      </c>
      <c r="Q442" s="232"/>
      <c r="R442" s="411"/>
      <c r="T442" s="134" t="s">
        <v>324</v>
      </c>
      <c r="U442" s="266" t="s">
        <v>1175</v>
      </c>
      <c r="AA442" s="218"/>
    </row>
    <row r="443" spans="1:27" x14ac:dyDescent="0.25">
      <c r="A443" s="405">
        <v>3000302</v>
      </c>
      <c r="B443" s="406">
        <v>42388</v>
      </c>
      <c r="C443" s="405" t="s">
        <v>42</v>
      </c>
      <c r="D443" s="401" t="s">
        <v>1176</v>
      </c>
      <c r="E443" s="120">
        <v>300</v>
      </c>
      <c r="F443" s="133" t="s">
        <v>222</v>
      </c>
      <c r="G443" s="404" t="s">
        <v>45</v>
      </c>
      <c r="H443" s="411">
        <v>646.35</v>
      </c>
      <c r="I443" s="89">
        <f t="shared" si="70"/>
        <v>-58.171500000000002</v>
      </c>
      <c r="J443" s="90">
        <f t="shared" si="71"/>
        <v>-12.58065</v>
      </c>
      <c r="K443" s="90">
        <f t="shared" si="65"/>
        <v>575.59784999999999</v>
      </c>
      <c r="L443" s="131">
        <v>840</v>
      </c>
      <c r="M443" s="187">
        <v>193.4</v>
      </c>
      <c r="N443" s="91">
        <f t="shared" si="62"/>
        <v>445.4</v>
      </c>
      <c r="O443" s="411">
        <f t="shared" si="63"/>
        <v>130.19785000000002</v>
      </c>
      <c r="P443" s="132" t="s">
        <v>52</v>
      </c>
      <c r="Q443" s="232"/>
      <c r="R443" s="411"/>
      <c r="T443" s="134" t="s">
        <v>244</v>
      </c>
      <c r="U443" s="266" t="s">
        <v>1177</v>
      </c>
      <c r="V443" s="133" t="s">
        <v>55</v>
      </c>
      <c r="AA443" s="218"/>
    </row>
    <row r="444" spans="1:27" ht="24" x14ac:dyDescent="0.25">
      <c r="A444" s="405">
        <v>3000303</v>
      </c>
      <c r="B444" s="406">
        <v>42388</v>
      </c>
      <c r="C444" s="405" t="s">
        <v>42</v>
      </c>
      <c r="D444" s="401" t="s">
        <v>1178</v>
      </c>
      <c r="E444" s="120">
        <v>100</v>
      </c>
      <c r="F444" s="133" t="s">
        <v>288</v>
      </c>
      <c r="G444" s="404" t="s">
        <v>45</v>
      </c>
      <c r="H444" s="411">
        <v>199.27</v>
      </c>
      <c r="I444" s="89">
        <f t="shared" si="70"/>
        <v>-17.9343</v>
      </c>
      <c r="J444" s="90">
        <f t="shared" si="71"/>
        <v>-4.0861299999999998</v>
      </c>
      <c r="K444" s="90">
        <f t="shared" si="65"/>
        <v>177.24957000000001</v>
      </c>
      <c r="L444" s="131">
        <v>1069</v>
      </c>
      <c r="M444" s="158">
        <v>53.82</v>
      </c>
      <c r="N444" s="91">
        <f t="shared" si="62"/>
        <v>160.72</v>
      </c>
      <c r="O444" s="411">
        <f t="shared" si="63"/>
        <v>16.529570000000007</v>
      </c>
      <c r="P444" s="132" t="s">
        <v>52</v>
      </c>
      <c r="Q444" s="232"/>
      <c r="R444" s="411"/>
      <c r="T444" s="134" t="s">
        <v>145</v>
      </c>
      <c r="U444" s="267" t="s">
        <v>1179</v>
      </c>
      <c r="AA444" s="218"/>
    </row>
    <row r="445" spans="1:27" ht="24" x14ac:dyDescent="0.25">
      <c r="A445" s="379">
        <v>3000304</v>
      </c>
      <c r="B445" s="381">
        <v>42388</v>
      </c>
      <c r="C445" s="379" t="s">
        <v>42</v>
      </c>
      <c r="D445" s="377" t="s">
        <v>1180</v>
      </c>
      <c r="E445" s="412">
        <v>50</v>
      </c>
      <c r="F445" s="393" t="s">
        <v>288</v>
      </c>
      <c r="G445" s="386" t="s">
        <v>45</v>
      </c>
      <c r="H445" s="399">
        <v>98.1</v>
      </c>
      <c r="I445" s="388">
        <f t="shared" si="70"/>
        <v>-8.8289999999999988</v>
      </c>
      <c r="J445" s="396">
        <f t="shared" si="71"/>
        <v>-2.1638999999999999</v>
      </c>
      <c r="K445" s="396">
        <f t="shared" si="65"/>
        <v>87.107100000000003</v>
      </c>
      <c r="L445" s="142">
        <v>1069</v>
      </c>
      <c r="M445" s="166">
        <v>19.87</v>
      </c>
      <c r="N445" s="91">
        <f t="shared" si="62"/>
        <v>73.320000000000007</v>
      </c>
      <c r="O445" s="411">
        <f t="shared" si="63"/>
        <v>13.787099999999995</v>
      </c>
      <c r="P445" s="132" t="s">
        <v>52</v>
      </c>
      <c r="Q445" s="232"/>
      <c r="R445" s="411"/>
      <c r="T445" s="134" t="s">
        <v>145</v>
      </c>
      <c r="U445" s="267" t="s">
        <v>1181</v>
      </c>
      <c r="AA445" s="218"/>
    </row>
    <row r="446" spans="1:27" ht="24" x14ac:dyDescent="0.25">
      <c r="A446" s="405">
        <v>3000305</v>
      </c>
      <c r="B446" s="406">
        <v>42388</v>
      </c>
      <c r="C446" s="405" t="s">
        <v>42</v>
      </c>
      <c r="D446" s="401" t="s">
        <v>1182</v>
      </c>
      <c r="E446" s="120">
        <v>70</v>
      </c>
      <c r="F446" s="133" t="s">
        <v>860</v>
      </c>
      <c r="G446" s="404" t="s">
        <v>45</v>
      </c>
      <c r="H446" s="411">
        <v>347.8</v>
      </c>
      <c r="I446" s="89">
        <f t="shared" si="70"/>
        <v>-31.302</v>
      </c>
      <c r="J446" s="90">
        <f t="shared" si="71"/>
        <v>-6.9081999999999999</v>
      </c>
      <c r="K446" s="90">
        <f t="shared" si="65"/>
        <v>309.58979999999997</v>
      </c>
      <c r="L446" s="131">
        <v>3700</v>
      </c>
      <c r="M446" s="158">
        <v>48.81</v>
      </c>
      <c r="N446" s="91">
        <f t="shared" si="62"/>
        <v>307.81</v>
      </c>
      <c r="O446" s="411">
        <f t="shared" si="63"/>
        <v>1.7797999999999661</v>
      </c>
      <c r="P446" s="132" t="s">
        <v>52</v>
      </c>
      <c r="Q446" s="232"/>
      <c r="R446" s="411"/>
      <c r="T446" s="134" t="s">
        <v>145</v>
      </c>
      <c r="U446" s="267" t="s">
        <v>1183</v>
      </c>
      <c r="AA446" s="218"/>
    </row>
    <row r="447" spans="1:27" ht="24" x14ac:dyDescent="0.25">
      <c r="A447" s="405">
        <v>3000306</v>
      </c>
      <c r="B447" s="406">
        <v>42388</v>
      </c>
      <c r="C447" s="405" t="s">
        <v>42</v>
      </c>
      <c r="D447" s="401" t="s">
        <v>1184</v>
      </c>
      <c r="E447" s="120">
        <v>500</v>
      </c>
      <c r="F447" s="133" t="s">
        <v>1185</v>
      </c>
      <c r="G447" s="404" t="s">
        <v>45</v>
      </c>
      <c r="H447" s="411">
        <v>304.83999999999997</v>
      </c>
      <c r="I447" s="89">
        <f t="shared" si="70"/>
        <v>-27.435599999999997</v>
      </c>
      <c r="J447" s="90">
        <f t="shared" si="71"/>
        <v>-6.0919599999999994</v>
      </c>
      <c r="K447" s="90">
        <f t="shared" si="65"/>
        <v>271.31243999999998</v>
      </c>
      <c r="L447" s="158">
        <v>340</v>
      </c>
      <c r="M447" s="158">
        <v>31.78</v>
      </c>
      <c r="N447" s="91">
        <f t="shared" si="62"/>
        <v>201.78</v>
      </c>
      <c r="O447" s="411">
        <f t="shared" si="63"/>
        <v>69.53243999999998</v>
      </c>
      <c r="P447" s="132" t="s">
        <v>183</v>
      </c>
      <c r="Q447" s="232"/>
      <c r="R447" s="411"/>
      <c r="T447" s="134" t="s">
        <v>145</v>
      </c>
      <c r="U447" s="266" t="s">
        <v>1186</v>
      </c>
      <c r="AA447" s="218"/>
    </row>
    <row r="448" spans="1:27" ht="24" x14ac:dyDescent="0.25">
      <c r="A448" s="405">
        <v>3000307</v>
      </c>
      <c r="B448" s="406">
        <v>42388</v>
      </c>
      <c r="C448" s="405" t="s">
        <v>237</v>
      </c>
      <c r="D448" s="401" t="s">
        <v>1187</v>
      </c>
      <c r="E448" s="120">
        <v>100</v>
      </c>
      <c r="F448" s="133" t="s">
        <v>247</v>
      </c>
      <c r="G448" s="404" t="s">
        <v>45</v>
      </c>
      <c r="H448" s="411">
        <v>150</v>
      </c>
      <c r="I448" s="89">
        <f>-(H448*0.15)</f>
        <v>-22.5</v>
      </c>
      <c r="J448" s="411">
        <v>0</v>
      </c>
      <c r="K448" s="90">
        <f t="shared" si="65"/>
        <v>127.5</v>
      </c>
      <c r="L448" s="131">
        <v>580</v>
      </c>
      <c r="M448" s="131">
        <v>45.09</v>
      </c>
      <c r="N448" s="91">
        <f t="shared" si="62"/>
        <v>103.09</v>
      </c>
      <c r="O448" s="411">
        <f t="shared" si="63"/>
        <v>24.409999999999997</v>
      </c>
      <c r="P448" s="132" t="s">
        <v>86</v>
      </c>
      <c r="Q448" s="232"/>
      <c r="R448" s="411"/>
      <c r="T448" s="134" t="s">
        <v>324</v>
      </c>
      <c r="U448" s="267" t="s">
        <v>1188</v>
      </c>
      <c r="AA448" s="218"/>
    </row>
    <row r="449" spans="1:27" ht="24" x14ac:dyDescent="0.25">
      <c r="A449" s="405">
        <v>3000308</v>
      </c>
      <c r="B449" s="406">
        <v>42388</v>
      </c>
      <c r="C449" s="405" t="s">
        <v>63</v>
      </c>
      <c r="D449" s="401" t="s">
        <v>1189</v>
      </c>
      <c r="E449" s="120">
        <v>54</v>
      </c>
      <c r="F449" s="133" t="s">
        <v>448</v>
      </c>
      <c r="G449" s="404" t="s">
        <v>45</v>
      </c>
      <c r="H449" s="411">
        <v>327.78</v>
      </c>
      <c r="I449" s="411">
        <v>0</v>
      </c>
      <c r="J449" s="90">
        <f>-((H449*0.022)+0.3)</f>
        <v>-7.5111599999999985</v>
      </c>
      <c r="K449" s="90">
        <f t="shared" si="65"/>
        <v>320.26883999999995</v>
      </c>
      <c r="L449" s="158">
        <v>3350</v>
      </c>
      <c r="M449" s="158">
        <v>22.77</v>
      </c>
      <c r="N449" s="91">
        <f t="shared" si="62"/>
        <v>203.67000000000002</v>
      </c>
      <c r="O449" s="411">
        <f t="shared" si="63"/>
        <v>116.59883999999994</v>
      </c>
      <c r="P449" s="132" t="s">
        <v>183</v>
      </c>
      <c r="Q449" s="232"/>
      <c r="R449" s="411"/>
      <c r="T449" s="134" t="s">
        <v>145</v>
      </c>
      <c r="U449" s="267" t="s">
        <v>1190</v>
      </c>
      <c r="W449" s="153" t="s">
        <v>1191</v>
      </c>
      <c r="AA449" s="218"/>
    </row>
    <row r="450" spans="1:27" x14ac:dyDescent="0.25">
      <c r="A450" s="405">
        <v>3000309</v>
      </c>
      <c r="B450" s="406">
        <v>42389</v>
      </c>
      <c r="C450" s="405" t="s">
        <v>327</v>
      </c>
      <c r="D450" s="401" t="s">
        <v>1192</v>
      </c>
      <c r="E450" s="120">
        <v>700</v>
      </c>
      <c r="F450" s="133" t="s">
        <v>688</v>
      </c>
      <c r="G450" s="404" t="s">
        <v>45</v>
      </c>
      <c r="H450" s="411">
        <v>1120</v>
      </c>
      <c r="I450" s="411">
        <v>0</v>
      </c>
      <c r="J450" s="90">
        <f>-((H450*0.022)+0.3)</f>
        <v>-24.939999999999998</v>
      </c>
      <c r="K450" s="90">
        <f t="shared" si="65"/>
        <v>1095.06</v>
      </c>
      <c r="L450" s="131">
        <v>984</v>
      </c>
      <c r="M450" s="158">
        <v>123.21</v>
      </c>
      <c r="N450" s="91">
        <f t="shared" si="62"/>
        <v>812.0100000000001</v>
      </c>
      <c r="O450" s="411">
        <f t="shared" si="63"/>
        <v>283.04999999999984</v>
      </c>
      <c r="P450" s="132" t="s">
        <v>86</v>
      </c>
      <c r="Q450" s="232"/>
      <c r="R450" s="411"/>
      <c r="T450" s="134" t="s">
        <v>97</v>
      </c>
      <c r="U450" s="266">
        <v>3653243145</v>
      </c>
      <c r="V450" s="133" t="s">
        <v>55</v>
      </c>
      <c r="W450" s="153" t="s">
        <v>1193</v>
      </c>
      <c r="AA450" s="218"/>
    </row>
    <row r="451" spans="1:27" ht="24" customHeight="1" x14ac:dyDescent="0.25">
      <c r="A451" s="419">
        <v>3000310</v>
      </c>
      <c r="B451" s="421">
        <v>42389</v>
      </c>
      <c r="C451" s="419" t="s">
        <v>56</v>
      </c>
      <c r="D451" s="417" t="s">
        <v>574</v>
      </c>
      <c r="E451" s="413">
        <v>5000</v>
      </c>
      <c r="F451" s="394" t="s">
        <v>1194</v>
      </c>
      <c r="G451" s="434" t="s">
        <v>45</v>
      </c>
      <c r="H451" s="427">
        <v>1260</v>
      </c>
      <c r="I451" s="427">
        <v>0</v>
      </c>
      <c r="J451" s="427">
        <v>0</v>
      </c>
      <c r="K451" s="425">
        <f t="shared" si="65"/>
        <v>1260</v>
      </c>
      <c r="L451" s="148"/>
      <c r="M451" s="555">
        <v>120.31</v>
      </c>
      <c r="N451" s="91">
        <f t="shared" si="62"/>
        <v>120.31</v>
      </c>
      <c r="O451" s="411"/>
      <c r="P451" s="132" t="s">
        <v>52</v>
      </c>
      <c r="Q451" s="232"/>
      <c r="R451" s="411"/>
      <c r="T451" s="470" t="s">
        <v>947</v>
      </c>
      <c r="U451" s="505" t="s">
        <v>1195</v>
      </c>
      <c r="V451" s="133" t="s">
        <v>55</v>
      </c>
      <c r="AA451" s="218"/>
    </row>
    <row r="452" spans="1:27" x14ac:dyDescent="0.25">
      <c r="A452" s="432"/>
      <c r="B452" s="433"/>
      <c r="C452" s="432"/>
      <c r="D452" s="454"/>
      <c r="E452" s="120">
        <v>5000</v>
      </c>
      <c r="F452" s="133" t="s">
        <v>1196</v>
      </c>
      <c r="G452" s="435"/>
      <c r="H452" s="438"/>
      <c r="I452" s="438"/>
      <c r="J452" s="438"/>
      <c r="K452" s="437"/>
      <c r="M452" s="556"/>
      <c r="N452" s="91">
        <f t="shared" si="62"/>
        <v>0</v>
      </c>
      <c r="O452" s="411"/>
      <c r="P452" s="132" t="s">
        <v>52</v>
      </c>
      <c r="Q452" s="232"/>
      <c r="R452" s="411"/>
      <c r="T452" s="471"/>
      <c r="U452" s="506"/>
      <c r="V452" s="133" t="s">
        <v>1197</v>
      </c>
      <c r="AA452" s="218"/>
    </row>
    <row r="453" spans="1:27" x14ac:dyDescent="0.25">
      <c r="A453" s="432"/>
      <c r="B453" s="433"/>
      <c r="C453" s="432"/>
      <c r="D453" s="454"/>
      <c r="E453" s="120">
        <v>5000</v>
      </c>
      <c r="F453" s="133" t="s">
        <v>1198</v>
      </c>
      <c r="G453" s="435"/>
      <c r="H453" s="438"/>
      <c r="I453" s="438"/>
      <c r="J453" s="438"/>
      <c r="K453" s="437"/>
      <c r="M453" s="556"/>
      <c r="N453" s="91">
        <f t="shared" si="62"/>
        <v>0</v>
      </c>
      <c r="O453" s="411"/>
      <c r="P453" s="132" t="s">
        <v>52</v>
      </c>
      <c r="Q453" s="232"/>
      <c r="R453" s="411"/>
      <c r="T453" s="471"/>
      <c r="U453" s="506"/>
      <c r="V453" s="133" t="s">
        <v>1199</v>
      </c>
      <c r="AA453" s="218"/>
    </row>
    <row r="454" spans="1:27" x14ac:dyDescent="0.25">
      <c r="A454" s="432"/>
      <c r="B454" s="433"/>
      <c r="C454" s="432"/>
      <c r="D454" s="454"/>
      <c r="E454" s="120">
        <v>2500</v>
      </c>
      <c r="F454" s="133" t="s">
        <v>1200</v>
      </c>
      <c r="G454" s="435"/>
      <c r="H454" s="438"/>
      <c r="I454" s="438"/>
      <c r="J454" s="438"/>
      <c r="K454" s="437"/>
      <c r="M454" s="556"/>
      <c r="N454" s="91">
        <f t="shared" si="62"/>
        <v>0</v>
      </c>
      <c r="O454" s="411"/>
      <c r="P454" s="132" t="s">
        <v>52</v>
      </c>
      <c r="Q454" s="232"/>
      <c r="R454" s="411"/>
      <c r="T454" s="471"/>
      <c r="U454" s="506"/>
      <c r="AA454" s="218"/>
    </row>
    <row r="455" spans="1:27" x14ac:dyDescent="0.25">
      <c r="A455" s="420"/>
      <c r="B455" s="422"/>
      <c r="C455" s="420"/>
      <c r="D455" s="418"/>
      <c r="E455" s="120">
        <v>2500</v>
      </c>
      <c r="F455" s="133" t="s">
        <v>1201</v>
      </c>
      <c r="G455" s="436"/>
      <c r="H455" s="428"/>
      <c r="I455" s="428"/>
      <c r="J455" s="428"/>
      <c r="K455" s="426"/>
      <c r="M455" s="557"/>
      <c r="N455" s="91">
        <f t="shared" si="62"/>
        <v>0</v>
      </c>
      <c r="O455" s="411"/>
      <c r="P455" s="132" t="s">
        <v>52</v>
      </c>
      <c r="Q455" s="232"/>
      <c r="R455" s="411"/>
      <c r="T455" s="472"/>
      <c r="U455" s="490"/>
      <c r="AA455" s="218"/>
    </row>
    <row r="456" spans="1:27" x14ac:dyDescent="0.25">
      <c r="A456" s="405">
        <v>3000311</v>
      </c>
      <c r="B456" s="406">
        <v>42389</v>
      </c>
      <c r="C456" s="405" t="s">
        <v>42</v>
      </c>
      <c r="D456" s="401" t="s">
        <v>1202</v>
      </c>
      <c r="E456" s="120">
        <v>275</v>
      </c>
      <c r="F456" s="133" t="s">
        <v>247</v>
      </c>
      <c r="G456" s="404" t="s">
        <v>45</v>
      </c>
      <c r="H456" s="411">
        <v>313.5</v>
      </c>
      <c r="I456" s="89">
        <f t="shared" ref="I456" si="72">-(H456*0.09)</f>
        <v>-28.215</v>
      </c>
      <c r="J456" s="90">
        <f>-((H456*0.019)+0.3)</f>
        <v>-6.2565</v>
      </c>
      <c r="K456" s="90">
        <f t="shared" ref="K456:K457" si="73">SUM(H456:J456)</f>
        <v>279.02850000000001</v>
      </c>
      <c r="L456" s="131">
        <v>580</v>
      </c>
      <c r="M456" s="158">
        <v>103.8</v>
      </c>
      <c r="N456" s="91">
        <f t="shared" si="62"/>
        <v>263.3</v>
      </c>
      <c r="O456" s="411">
        <f t="shared" si="63"/>
        <v>15.728499999999997</v>
      </c>
      <c r="P456" s="132" t="s">
        <v>86</v>
      </c>
      <c r="Q456" s="232"/>
      <c r="R456" s="411"/>
      <c r="T456" s="134" t="s">
        <v>244</v>
      </c>
      <c r="U456" s="267" t="s">
        <v>1203</v>
      </c>
      <c r="AA456" s="218"/>
    </row>
    <row r="457" spans="1:27" ht="24" x14ac:dyDescent="0.25">
      <c r="A457" s="419">
        <v>3000312</v>
      </c>
      <c r="B457" s="421">
        <v>42389</v>
      </c>
      <c r="C457" s="419" t="s">
        <v>56</v>
      </c>
      <c r="D457" s="417" t="s">
        <v>1204</v>
      </c>
      <c r="E457" s="120">
        <v>25000</v>
      </c>
      <c r="F457" s="133" t="s">
        <v>1205</v>
      </c>
      <c r="G457" s="434" t="s">
        <v>45</v>
      </c>
      <c r="H457" s="427">
        <v>11872.52</v>
      </c>
      <c r="I457" s="502">
        <v>0</v>
      </c>
      <c r="J457" s="502">
        <v>0</v>
      </c>
      <c r="K457" s="425">
        <f t="shared" si="73"/>
        <v>11872.52</v>
      </c>
      <c r="L457" s="158">
        <v>135</v>
      </c>
      <c r="M457" s="131">
        <v>0</v>
      </c>
      <c r="N457" s="91">
        <f t="shared" ref="N457:N521" si="74">((L457)*(E457*0.001))+M457</f>
        <v>3375</v>
      </c>
      <c r="O457" s="411">
        <f t="shared" si="63"/>
        <v>8497.52</v>
      </c>
      <c r="P457" s="132" t="s">
        <v>183</v>
      </c>
      <c r="Q457" s="232"/>
      <c r="R457" s="411"/>
      <c r="T457" s="134" t="s">
        <v>260</v>
      </c>
      <c r="U457" s="267" t="s">
        <v>1206</v>
      </c>
      <c r="V457" s="133" t="s">
        <v>1207</v>
      </c>
      <c r="W457" s="153" t="s">
        <v>1208</v>
      </c>
      <c r="AA457" s="218"/>
    </row>
    <row r="458" spans="1:27" ht="24" x14ac:dyDescent="0.25">
      <c r="A458" s="432"/>
      <c r="B458" s="433"/>
      <c r="C458" s="432"/>
      <c r="D458" s="454"/>
      <c r="E458" s="120">
        <v>2500</v>
      </c>
      <c r="F458" s="133" t="s">
        <v>829</v>
      </c>
      <c r="G458" s="435"/>
      <c r="H458" s="438"/>
      <c r="I458" s="503"/>
      <c r="J458" s="503"/>
      <c r="K458" s="437"/>
      <c r="L458" s="131">
        <v>510</v>
      </c>
      <c r="N458" s="91">
        <f t="shared" si="74"/>
        <v>1275</v>
      </c>
      <c r="O458" s="411">
        <f t="shared" ref="O458:O463" si="75">K458-N458</f>
        <v>-1275</v>
      </c>
      <c r="P458" s="132" t="s">
        <v>52</v>
      </c>
      <c r="Q458" s="232"/>
      <c r="R458" s="411"/>
      <c r="T458" s="134" t="s">
        <v>1209</v>
      </c>
      <c r="U458" s="301">
        <v>389760059</v>
      </c>
      <c r="V458" s="133" t="s">
        <v>55</v>
      </c>
      <c r="AA458" s="218"/>
    </row>
    <row r="459" spans="1:27" ht="24" x14ac:dyDescent="0.25">
      <c r="A459" s="432"/>
      <c r="B459" s="433"/>
      <c r="C459" s="432"/>
      <c r="D459" s="454"/>
      <c r="E459" s="120">
        <v>1000</v>
      </c>
      <c r="F459" s="133" t="s">
        <v>489</v>
      </c>
      <c r="G459" s="435"/>
      <c r="H459" s="438"/>
      <c r="I459" s="503"/>
      <c r="J459" s="503"/>
      <c r="K459" s="437"/>
      <c r="L459" s="158">
        <v>740</v>
      </c>
      <c r="M459" s="131">
        <v>0</v>
      </c>
      <c r="N459" s="91">
        <f t="shared" si="74"/>
        <v>740</v>
      </c>
      <c r="O459" s="411">
        <f t="shared" si="75"/>
        <v>-740</v>
      </c>
      <c r="P459" s="132" t="s">
        <v>183</v>
      </c>
      <c r="Q459" s="232"/>
      <c r="R459" s="411"/>
      <c r="T459" s="134" t="s">
        <v>260</v>
      </c>
      <c r="U459" s="301">
        <v>2827467333</v>
      </c>
      <c r="V459" s="133" t="s">
        <v>1207</v>
      </c>
      <c r="AA459" s="218"/>
    </row>
    <row r="460" spans="1:27" ht="24" x14ac:dyDescent="0.25">
      <c r="A460" s="432"/>
      <c r="B460" s="433"/>
      <c r="C460" s="432"/>
      <c r="D460" s="454"/>
      <c r="E460" s="120">
        <v>1000</v>
      </c>
      <c r="F460" s="133" t="s">
        <v>165</v>
      </c>
      <c r="G460" s="435"/>
      <c r="H460" s="438"/>
      <c r="I460" s="503"/>
      <c r="J460" s="503"/>
      <c r="K460" s="437"/>
      <c r="L460" s="131">
        <v>480</v>
      </c>
      <c r="N460" s="91">
        <f t="shared" si="74"/>
        <v>480</v>
      </c>
      <c r="O460" s="411">
        <f t="shared" si="75"/>
        <v>-480</v>
      </c>
      <c r="P460" s="132" t="s">
        <v>52</v>
      </c>
      <c r="Q460" s="232"/>
      <c r="R460" s="411"/>
      <c r="T460" s="134" t="s">
        <v>1209</v>
      </c>
      <c r="U460" s="301">
        <v>389760059</v>
      </c>
      <c r="V460" s="133" t="s">
        <v>1210</v>
      </c>
      <c r="AA460" s="218"/>
    </row>
    <row r="461" spans="1:27" ht="24" x14ac:dyDescent="0.25">
      <c r="A461" s="432"/>
      <c r="B461" s="433"/>
      <c r="C461" s="432"/>
      <c r="D461" s="454"/>
      <c r="E461" s="120">
        <v>2500</v>
      </c>
      <c r="F461" s="133" t="s">
        <v>1211</v>
      </c>
      <c r="G461" s="435"/>
      <c r="H461" s="438"/>
      <c r="I461" s="503"/>
      <c r="J461" s="503"/>
      <c r="K461" s="437"/>
      <c r="L461" s="158">
        <v>400</v>
      </c>
      <c r="M461" s="131">
        <v>0</v>
      </c>
      <c r="N461" s="91">
        <f t="shared" si="74"/>
        <v>1000</v>
      </c>
      <c r="O461" s="411">
        <f t="shared" si="75"/>
        <v>-1000</v>
      </c>
      <c r="P461" s="132" t="s">
        <v>183</v>
      </c>
      <c r="Q461" s="232"/>
      <c r="R461" s="411"/>
      <c r="T461" s="134" t="s">
        <v>260</v>
      </c>
      <c r="U461" s="301">
        <v>2827467333</v>
      </c>
      <c r="V461" s="133" t="s">
        <v>1207</v>
      </c>
      <c r="AA461" s="218"/>
    </row>
    <row r="462" spans="1:27" ht="24" x14ac:dyDescent="0.25">
      <c r="A462" s="432"/>
      <c r="B462" s="433"/>
      <c r="C462" s="432"/>
      <c r="D462" s="454"/>
      <c r="E462" s="120">
        <v>859</v>
      </c>
      <c r="F462" s="119" t="s">
        <v>1212</v>
      </c>
      <c r="G462" s="435"/>
      <c r="H462" s="438"/>
      <c r="I462" s="503"/>
      <c r="J462" s="503"/>
      <c r="K462" s="437"/>
      <c r="L462" s="131">
        <v>1000</v>
      </c>
      <c r="M462" s="158">
        <v>329.02</v>
      </c>
      <c r="N462" s="91">
        <f t="shared" si="74"/>
        <v>1188.02</v>
      </c>
      <c r="O462" s="411">
        <f t="shared" si="75"/>
        <v>-1188.02</v>
      </c>
      <c r="P462" s="132" t="s">
        <v>52</v>
      </c>
      <c r="Q462" s="232"/>
      <c r="R462" s="411"/>
      <c r="T462" s="134" t="s">
        <v>1209</v>
      </c>
      <c r="U462" s="301">
        <v>389760059</v>
      </c>
      <c r="AA462" s="218"/>
    </row>
    <row r="463" spans="1:27" x14ac:dyDescent="0.25">
      <c r="A463" s="420"/>
      <c r="B463" s="422"/>
      <c r="C463" s="420"/>
      <c r="D463" s="418"/>
      <c r="E463" s="120">
        <v>240</v>
      </c>
      <c r="F463" s="119" t="s">
        <v>1213</v>
      </c>
      <c r="G463" s="436"/>
      <c r="H463" s="428"/>
      <c r="I463" s="504"/>
      <c r="J463" s="504"/>
      <c r="K463" s="426"/>
      <c r="L463" s="131">
        <v>0</v>
      </c>
      <c r="M463" s="131">
        <v>0</v>
      </c>
      <c r="N463" s="91">
        <f t="shared" si="74"/>
        <v>0</v>
      </c>
      <c r="O463" s="411">
        <f t="shared" si="75"/>
        <v>0</v>
      </c>
      <c r="P463" s="132" t="s">
        <v>52</v>
      </c>
      <c r="Q463" s="232"/>
      <c r="R463" s="411"/>
      <c r="V463" s="133" t="s">
        <v>1207</v>
      </c>
      <c r="AA463" s="218"/>
    </row>
    <row r="464" spans="1:27" ht="24" x14ac:dyDescent="0.25">
      <c r="A464" s="405">
        <v>3000313</v>
      </c>
      <c r="B464" s="406">
        <v>42389</v>
      </c>
      <c r="C464" s="405" t="s">
        <v>327</v>
      </c>
      <c r="D464" s="401" t="s">
        <v>1214</v>
      </c>
      <c r="E464" s="120">
        <v>1000</v>
      </c>
      <c r="F464" s="133" t="s">
        <v>1215</v>
      </c>
      <c r="G464" s="404" t="s">
        <v>45</v>
      </c>
      <c r="H464" s="411">
        <v>684</v>
      </c>
      <c r="I464" s="411">
        <v>0</v>
      </c>
      <c r="J464" s="90">
        <f>-((H464*0.022)+0.3)</f>
        <v>-15.347999999999999</v>
      </c>
      <c r="K464" s="90">
        <f t="shared" ref="K464:K495" si="76">SUM(H464:J464)</f>
        <v>668.65200000000004</v>
      </c>
      <c r="L464" s="158">
        <v>360</v>
      </c>
      <c r="M464" s="158">
        <v>42.44</v>
      </c>
      <c r="N464" s="91">
        <f t="shared" si="74"/>
        <v>402.44</v>
      </c>
      <c r="O464" s="411">
        <f t="shared" ref="O464:O519" si="77">K464-N464</f>
        <v>266.21200000000005</v>
      </c>
      <c r="P464" s="132" t="s">
        <v>46</v>
      </c>
      <c r="Q464" s="232"/>
      <c r="R464" s="411"/>
      <c r="T464" s="134" t="s">
        <v>324</v>
      </c>
      <c r="U464" s="267" t="s">
        <v>1216</v>
      </c>
      <c r="V464" s="133" t="s">
        <v>55</v>
      </c>
      <c r="W464" s="153" t="s">
        <v>1217</v>
      </c>
      <c r="AA464" s="218"/>
    </row>
    <row r="465" spans="1:27" ht="24" x14ac:dyDescent="0.25">
      <c r="A465" s="405">
        <v>3000314</v>
      </c>
      <c r="B465" s="406">
        <v>42389</v>
      </c>
      <c r="C465" s="405" t="s">
        <v>42</v>
      </c>
      <c r="D465" s="401" t="s">
        <v>1218</v>
      </c>
      <c r="E465" s="120">
        <v>50</v>
      </c>
      <c r="F465" s="133" t="s">
        <v>300</v>
      </c>
      <c r="G465" s="404" t="s">
        <v>45</v>
      </c>
      <c r="H465" s="411">
        <v>194.53</v>
      </c>
      <c r="I465" s="89">
        <f t="shared" ref="I465:I468" si="78">-(H465*0.09)</f>
        <v>-17.5077</v>
      </c>
      <c r="J465" s="90">
        <f>-((H465*0.019)+0.3)</f>
        <v>-3.9960699999999996</v>
      </c>
      <c r="K465" s="90">
        <f t="shared" si="76"/>
        <v>173.02623</v>
      </c>
      <c r="L465" s="131">
        <v>2320</v>
      </c>
      <c r="M465" s="158">
        <v>50.03</v>
      </c>
      <c r="N465" s="91">
        <f t="shared" si="74"/>
        <v>166.03</v>
      </c>
      <c r="O465" s="411">
        <f t="shared" si="77"/>
        <v>6.9962299999999971</v>
      </c>
      <c r="P465" s="132" t="s">
        <v>52</v>
      </c>
      <c r="Q465" s="232"/>
      <c r="R465" s="411"/>
      <c r="T465" s="134" t="s">
        <v>145</v>
      </c>
      <c r="U465" s="267" t="s">
        <v>1219</v>
      </c>
      <c r="AA465" s="218"/>
    </row>
    <row r="466" spans="1:27" ht="24" x14ac:dyDescent="0.25">
      <c r="A466" s="405">
        <v>3000315</v>
      </c>
      <c r="B466" s="406">
        <v>42389</v>
      </c>
      <c r="C466" s="405" t="s">
        <v>42</v>
      </c>
      <c r="D466" s="401" t="s">
        <v>1220</v>
      </c>
      <c r="E466" s="120">
        <v>100</v>
      </c>
      <c r="F466" s="133" t="s">
        <v>161</v>
      </c>
      <c r="G466" s="404" t="s">
        <v>45</v>
      </c>
      <c r="H466" s="411">
        <v>235</v>
      </c>
      <c r="I466" s="89">
        <f t="shared" si="78"/>
        <v>-21.15</v>
      </c>
      <c r="J466" s="90">
        <f>-((H466*0.019)+0.3)</f>
        <v>-4.7649999999999997</v>
      </c>
      <c r="K466" s="90">
        <f t="shared" si="76"/>
        <v>209.08500000000001</v>
      </c>
      <c r="L466" s="131">
        <v>1450</v>
      </c>
      <c r="M466" s="158">
        <v>30.88</v>
      </c>
      <c r="N466" s="91">
        <f t="shared" si="74"/>
        <v>175.88</v>
      </c>
      <c r="O466" s="411">
        <f t="shared" si="77"/>
        <v>33.205000000000013</v>
      </c>
      <c r="P466" s="132" t="s">
        <v>52</v>
      </c>
      <c r="Q466" s="232"/>
      <c r="R466" s="411"/>
      <c r="T466" s="134" t="s">
        <v>145</v>
      </c>
      <c r="U466" s="267" t="s">
        <v>1221</v>
      </c>
      <c r="AA466" s="218"/>
    </row>
    <row r="467" spans="1:27" x14ac:dyDescent="0.25">
      <c r="A467" s="405">
        <v>3000316</v>
      </c>
      <c r="B467" s="406">
        <v>42389</v>
      </c>
      <c r="C467" s="405" t="s">
        <v>42</v>
      </c>
      <c r="D467" s="401" t="s">
        <v>316</v>
      </c>
      <c r="E467" s="120">
        <v>1000</v>
      </c>
      <c r="F467" s="133" t="s">
        <v>451</v>
      </c>
      <c r="G467" s="404" t="s">
        <v>45</v>
      </c>
      <c r="H467" s="411">
        <v>582.4</v>
      </c>
      <c r="I467" s="89">
        <f t="shared" si="78"/>
        <v>-52.415999999999997</v>
      </c>
      <c r="J467" s="90">
        <f>-((H467*0.019)+0.3)</f>
        <v>-11.365600000000001</v>
      </c>
      <c r="K467" s="90">
        <f t="shared" si="76"/>
        <v>518.61839999999995</v>
      </c>
      <c r="L467" s="131">
        <v>350</v>
      </c>
      <c r="M467" s="158">
        <v>123.2</v>
      </c>
      <c r="N467" s="91">
        <f t="shared" si="74"/>
        <v>473.2</v>
      </c>
      <c r="O467" s="411">
        <f t="shared" si="77"/>
        <v>45.418399999999963</v>
      </c>
      <c r="P467" s="132" t="s">
        <v>52</v>
      </c>
      <c r="Q467" s="232"/>
      <c r="R467" s="411"/>
      <c r="T467" s="134" t="s">
        <v>97</v>
      </c>
      <c r="U467" s="267" t="s">
        <v>1222</v>
      </c>
      <c r="V467" s="133" t="s">
        <v>55</v>
      </c>
      <c r="AA467" s="218"/>
    </row>
    <row r="468" spans="1:27" ht="24" x14ac:dyDescent="0.25">
      <c r="A468" s="405">
        <v>3000317</v>
      </c>
      <c r="B468" s="406">
        <v>42389</v>
      </c>
      <c r="C468" s="405" t="s">
        <v>42</v>
      </c>
      <c r="D468" s="401" t="s">
        <v>1223</v>
      </c>
      <c r="E468" s="120">
        <v>150</v>
      </c>
      <c r="F468" s="133" t="s">
        <v>307</v>
      </c>
      <c r="G468" s="404" t="s">
        <v>45</v>
      </c>
      <c r="H468" s="411">
        <v>196.2</v>
      </c>
      <c r="I468" s="89">
        <f t="shared" si="78"/>
        <v>-17.657999999999998</v>
      </c>
      <c r="J468" s="90">
        <f>-((H468*0.019)+0.3)</f>
        <v>-4.0278</v>
      </c>
      <c r="K468" s="90">
        <f t="shared" si="76"/>
        <v>174.51419999999999</v>
      </c>
      <c r="L468" s="131">
        <v>690</v>
      </c>
      <c r="M468" s="158">
        <v>27.7</v>
      </c>
      <c r="N468" s="91">
        <f t="shared" si="74"/>
        <v>131.19999999999999</v>
      </c>
      <c r="O468" s="411">
        <f t="shared" si="77"/>
        <v>43.3142</v>
      </c>
      <c r="P468" s="132" t="s">
        <v>52</v>
      </c>
      <c r="Q468" s="232"/>
      <c r="R468" s="411"/>
      <c r="T468" s="134" t="s">
        <v>145</v>
      </c>
      <c r="U468" s="267" t="s">
        <v>1224</v>
      </c>
      <c r="AA468" s="218"/>
    </row>
    <row r="469" spans="1:27" ht="24" x14ac:dyDescent="0.25">
      <c r="A469" s="405">
        <v>3000318</v>
      </c>
      <c r="B469" s="406">
        <v>42389</v>
      </c>
      <c r="C469" s="405" t="s">
        <v>237</v>
      </c>
      <c r="D469" s="401" t="s">
        <v>1225</v>
      </c>
      <c r="E469" s="120">
        <v>100</v>
      </c>
      <c r="F469" s="133" t="s">
        <v>288</v>
      </c>
      <c r="G469" s="404" t="s">
        <v>45</v>
      </c>
      <c r="H469" s="411">
        <v>221.74</v>
      </c>
      <c r="I469" s="89">
        <f>-(H469*0.15)</f>
        <v>-33.261000000000003</v>
      </c>
      <c r="J469" s="411">
        <v>0</v>
      </c>
      <c r="K469" s="90">
        <f t="shared" si="76"/>
        <v>188.47900000000001</v>
      </c>
      <c r="L469" s="131">
        <v>1069</v>
      </c>
      <c r="M469" s="158">
        <v>27.66</v>
      </c>
      <c r="N469" s="91">
        <f t="shared" si="74"/>
        <v>134.56</v>
      </c>
      <c r="O469" s="411">
        <f t="shared" si="77"/>
        <v>53.919000000000011</v>
      </c>
      <c r="P469" s="132" t="s">
        <v>52</v>
      </c>
      <c r="Q469" s="232"/>
      <c r="R469" s="411"/>
      <c r="T469" s="134" t="s">
        <v>145</v>
      </c>
      <c r="U469" s="267" t="s">
        <v>1226</v>
      </c>
      <c r="AA469" s="218"/>
    </row>
    <row r="470" spans="1:27" x14ac:dyDescent="0.25">
      <c r="A470" s="405">
        <v>3000319</v>
      </c>
      <c r="B470" s="406">
        <v>42389</v>
      </c>
      <c r="C470" s="405" t="s">
        <v>1227</v>
      </c>
      <c r="D470" s="401" t="s">
        <v>756</v>
      </c>
      <c r="E470" s="120">
        <v>482</v>
      </c>
      <c r="F470" s="133" t="s">
        <v>1228</v>
      </c>
      <c r="G470" s="404" t="s">
        <v>45</v>
      </c>
      <c r="H470" s="411">
        <v>588.04</v>
      </c>
      <c r="I470" s="411">
        <v>0</v>
      </c>
      <c r="J470" s="411">
        <v>0</v>
      </c>
      <c r="K470" s="90">
        <f t="shared" si="76"/>
        <v>588.04</v>
      </c>
      <c r="L470" s="131">
        <v>500</v>
      </c>
      <c r="M470" s="131">
        <v>0</v>
      </c>
      <c r="N470" s="91">
        <f t="shared" si="74"/>
        <v>241</v>
      </c>
      <c r="O470" s="411">
        <f t="shared" si="77"/>
        <v>347.03999999999996</v>
      </c>
      <c r="P470" s="132" t="s">
        <v>52</v>
      </c>
      <c r="Q470" s="232"/>
      <c r="R470" s="411"/>
      <c r="T470" s="134" t="s">
        <v>1229</v>
      </c>
      <c r="U470" s="266" t="s">
        <v>1229</v>
      </c>
      <c r="AA470" s="218"/>
    </row>
    <row r="471" spans="1:27" ht="24" x14ac:dyDescent="0.25">
      <c r="A471" s="405">
        <v>3000320</v>
      </c>
      <c r="B471" s="406">
        <v>42389</v>
      </c>
      <c r="C471" s="405" t="s">
        <v>42</v>
      </c>
      <c r="D471" s="401" t="s">
        <v>1230</v>
      </c>
      <c r="E471" s="120">
        <v>175</v>
      </c>
      <c r="F471" s="133" t="s">
        <v>829</v>
      </c>
      <c r="G471" s="404" t="s">
        <v>45</v>
      </c>
      <c r="H471" s="411">
        <v>184.48</v>
      </c>
      <c r="I471" s="89">
        <f t="shared" ref="I471:I472" si="79">-(H471*0.09)</f>
        <v>-16.603199999999998</v>
      </c>
      <c r="J471" s="90">
        <f>-((H471*0.019)+0.3)</f>
        <v>-3.8051199999999996</v>
      </c>
      <c r="K471" s="90">
        <f t="shared" si="76"/>
        <v>164.07168000000001</v>
      </c>
      <c r="L471" s="131">
        <v>510</v>
      </c>
      <c r="M471" s="158">
        <v>30.29</v>
      </c>
      <c r="N471" s="91">
        <f t="shared" si="74"/>
        <v>119.54000000000002</v>
      </c>
      <c r="O471" s="411">
        <f t="shared" si="77"/>
        <v>44.531679999999994</v>
      </c>
      <c r="P471" s="132" t="s">
        <v>52</v>
      </c>
      <c r="Q471" s="232"/>
      <c r="R471" s="411"/>
      <c r="T471" s="134" t="s">
        <v>145</v>
      </c>
      <c r="U471" s="267" t="s">
        <v>1231</v>
      </c>
      <c r="AA471" s="218"/>
    </row>
    <row r="472" spans="1:27" ht="24" x14ac:dyDescent="0.25">
      <c r="A472" s="405">
        <v>3000321</v>
      </c>
      <c r="B472" s="406">
        <v>42389</v>
      </c>
      <c r="C472" s="405" t="s">
        <v>42</v>
      </c>
      <c r="D472" s="401" t="s">
        <v>1232</v>
      </c>
      <c r="E472" s="120">
        <v>500</v>
      </c>
      <c r="F472" s="133" t="s">
        <v>1233</v>
      </c>
      <c r="G472" s="404" t="s">
        <v>45</v>
      </c>
      <c r="H472" s="411">
        <v>673.4</v>
      </c>
      <c r="I472" s="89">
        <f t="shared" si="79"/>
        <v>-60.605999999999995</v>
      </c>
      <c r="J472" s="90">
        <f>-((H472*0.019)+0.3)</f>
        <v>-13.0946</v>
      </c>
      <c r="K472" s="90">
        <f t="shared" si="76"/>
        <v>599.69939999999997</v>
      </c>
      <c r="L472" s="131">
        <v>690</v>
      </c>
      <c r="M472" s="158">
        <v>134.1</v>
      </c>
      <c r="N472" s="91">
        <f t="shared" si="74"/>
        <v>479.1</v>
      </c>
      <c r="O472" s="411">
        <f t="shared" si="77"/>
        <v>120.59939999999995</v>
      </c>
      <c r="P472" s="132" t="s">
        <v>52</v>
      </c>
      <c r="Q472" s="232"/>
      <c r="R472" s="411"/>
      <c r="T472" s="134" t="s">
        <v>145</v>
      </c>
      <c r="U472" s="266" t="s">
        <v>1234</v>
      </c>
      <c r="AA472" s="218"/>
    </row>
    <row r="473" spans="1:27" ht="24" x14ac:dyDescent="0.25">
      <c r="A473" s="405">
        <v>3000322</v>
      </c>
      <c r="B473" s="406">
        <v>42389</v>
      </c>
      <c r="C473" s="405" t="s">
        <v>280</v>
      </c>
      <c r="D473" s="401" t="s">
        <v>1235</v>
      </c>
      <c r="E473" s="120">
        <v>940</v>
      </c>
      <c r="F473" s="133" t="s">
        <v>1236</v>
      </c>
      <c r="G473" s="404" t="s">
        <v>45</v>
      </c>
      <c r="H473" s="411">
        <v>285</v>
      </c>
      <c r="I473" s="411">
        <v>0</v>
      </c>
      <c r="J473" s="90">
        <f>-((H473*0.022)+0.3)</f>
        <v>-6.5699999999999994</v>
      </c>
      <c r="K473" s="90">
        <f t="shared" si="76"/>
        <v>278.43</v>
      </c>
      <c r="L473" s="131">
        <v>70</v>
      </c>
      <c r="M473" s="158">
        <v>54.84</v>
      </c>
      <c r="N473" s="91">
        <f t="shared" si="74"/>
        <v>120.64</v>
      </c>
      <c r="O473" s="411">
        <f t="shared" si="77"/>
        <v>157.79000000000002</v>
      </c>
      <c r="P473" s="132" t="s">
        <v>52</v>
      </c>
      <c r="Q473" s="232"/>
      <c r="R473" s="411"/>
      <c r="T473" s="134" t="s">
        <v>145</v>
      </c>
      <c r="U473" s="267" t="s">
        <v>1237</v>
      </c>
      <c r="W473" s="153" t="s">
        <v>1238</v>
      </c>
      <c r="AA473" s="218"/>
    </row>
    <row r="474" spans="1:27" x14ac:dyDescent="0.25">
      <c r="A474" s="419">
        <v>3000323</v>
      </c>
      <c r="B474" s="421">
        <v>42389</v>
      </c>
      <c r="C474" s="419" t="s">
        <v>141</v>
      </c>
      <c r="D474" s="417" t="s">
        <v>1239</v>
      </c>
      <c r="E474" s="120">
        <v>1250</v>
      </c>
      <c r="F474" s="133" t="s">
        <v>1240</v>
      </c>
      <c r="G474" s="434" t="s">
        <v>45</v>
      </c>
      <c r="H474" s="427">
        <v>2075</v>
      </c>
      <c r="I474" s="427">
        <v>0</v>
      </c>
      <c r="J474" s="425">
        <f>-((H474*0.0325)+0.3)</f>
        <v>-67.737499999999997</v>
      </c>
      <c r="K474" s="425">
        <f t="shared" si="76"/>
        <v>2007.2625</v>
      </c>
      <c r="L474" s="158">
        <v>820</v>
      </c>
      <c r="M474" s="158">
        <v>139.55000000000001</v>
      </c>
      <c r="N474" s="91">
        <f t="shared" si="74"/>
        <v>1164.55</v>
      </c>
      <c r="O474" s="411">
        <f t="shared" si="77"/>
        <v>842.71250000000009</v>
      </c>
      <c r="P474" s="132" t="s">
        <v>235</v>
      </c>
      <c r="Q474" s="232"/>
      <c r="R474" s="411"/>
      <c r="T474" s="470" t="s">
        <v>717</v>
      </c>
      <c r="U474" s="505">
        <v>18688953</v>
      </c>
      <c r="W474" s="153" t="s">
        <v>1241</v>
      </c>
      <c r="AA474" s="218"/>
    </row>
    <row r="475" spans="1:27" x14ac:dyDescent="0.25">
      <c r="A475" s="420"/>
      <c r="B475" s="422"/>
      <c r="C475" s="420"/>
      <c r="D475" s="418"/>
      <c r="E475" s="120">
        <v>250</v>
      </c>
      <c r="F475" s="133" t="s">
        <v>1242</v>
      </c>
      <c r="G475" s="436"/>
      <c r="H475" s="428"/>
      <c r="I475" s="428"/>
      <c r="J475" s="426"/>
      <c r="K475" s="426"/>
      <c r="L475" s="158">
        <v>1100</v>
      </c>
      <c r="M475" s="158"/>
      <c r="N475" s="91">
        <f t="shared" si="74"/>
        <v>275</v>
      </c>
      <c r="O475" s="411">
        <f t="shared" si="77"/>
        <v>-275</v>
      </c>
      <c r="P475" s="132" t="s">
        <v>235</v>
      </c>
      <c r="Q475" s="232"/>
      <c r="R475" s="411"/>
      <c r="T475" s="472"/>
      <c r="U475" s="490"/>
      <c r="AA475" s="218"/>
    </row>
    <row r="476" spans="1:27" x14ac:dyDescent="0.25">
      <c r="A476" s="405">
        <v>3000324</v>
      </c>
      <c r="B476" s="406">
        <v>42389</v>
      </c>
      <c r="C476" s="405" t="s">
        <v>56</v>
      </c>
      <c r="D476" s="401" t="s">
        <v>1243</v>
      </c>
      <c r="E476" s="120">
        <v>400</v>
      </c>
      <c r="F476" s="133" t="s">
        <v>1244</v>
      </c>
      <c r="G476" s="404" t="s">
        <v>45</v>
      </c>
      <c r="H476" s="411">
        <v>4400</v>
      </c>
      <c r="I476" s="411">
        <v>0</v>
      </c>
      <c r="J476" s="411">
        <v>0</v>
      </c>
      <c r="K476" s="90">
        <f t="shared" si="76"/>
        <v>4400</v>
      </c>
      <c r="L476" s="158">
        <v>7500</v>
      </c>
      <c r="M476" s="158">
        <v>105</v>
      </c>
      <c r="N476" s="91">
        <f t="shared" si="74"/>
        <v>3105</v>
      </c>
      <c r="O476" s="411"/>
      <c r="P476" s="132" t="s">
        <v>183</v>
      </c>
      <c r="Q476" s="232"/>
      <c r="R476" s="411"/>
      <c r="T476" s="134" t="s">
        <v>717</v>
      </c>
      <c r="U476" s="267" t="s">
        <v>1245</v>
      </c>
      <c r="V476" s="133" t="s">
        <v>1246</v>
      </c>
      <c r="W476" s="153" t="s">
        <v>1247</v>
      </c>
      <c r="AA476" s="218"/>
    </row>
    <row r="477" spans="1:27" ht="24" x14ac:dyDescent="0.25">
      <c r="A477" s="405">
        <v>3000325</v>
      </c>
      <c r="B477" s="406">
        <v>42390</v>
      </c>
      <c r="C477" s="405" t="s">
        <v>159</v>
      </c>
      <c r="D477" s="401" t="s">
        <v>1248</v>
      </c>
      <c r="E477" s="120">
        <v>1000</v>
      </c>
      <c r="F477" s="133" t="s">
        <v>438</v>
      </c>
      <c r="G477" s="404" t="s">
        <v>45</v>
      </c>
      <c r="H477" s="411">
        <v>530</v>
      </c>
      <c r="I477" s="411">
        <v>0</v>
      </c>
      <c r="J477" s="90">
        <f>-((H477*0.019)+0.3)</f>
        <v>-10.370000000000001</v>
      </c>
      <c r="K477" s="90">
        <f t="shared" si="76"/>
        <v>519.63</v>
      </c>
      <c r="M477" s="158">
        <v>81.83</v>
      </c>
      <c r="N477" s="91">
        <f t="shared" si="74"/>
        <v>81.83</v>
      </c>
      <c r="O477" s="411">
        <f t="shared" si="77"/>
        <v>437.8</v>
      </c>
      <c r="P477" s="132" t="s">
        <v>52</v>
      </c>
      <c r="Q477" s="232"/>
      <c r="R477" s="411"/>
      <c r="T477" s="134" t="s">
        <v>145</v>
      </c>
      <c r="U477" s="267" t="s">
        <v>1249</v>
      </c>
      <c r="W477" s="153" t="s">
        <v>1250</v>
      </c>
      <c r="AA477" s="218"/>
    </row>
    <row r="478" spans="1:27" ht="24" x14ac:dyDescent="0.25">
      <c r="A478" s="419">
        <v>3000326</v>
      </c>
      <c r="B478" s="421">
        <v>42390</v>
      </c>
      <c r="C478" s="419" t="s">
        <v>56</v>
      </c>
      <c r="D478" s="417" t="s">
        <v>1251</v>
      </c>
      <c r="E478" s="120">
        <v>17500</v>
      </c>
      <c r="F478" s="133" t="s">
        <v>1252</v>
      </c>
      <c r="G478" s="434" t="s">
        <v>45</v>
      </c>
      <c r="H478" s="427">
        <v>21100</v>
      </c>
      <c r="I478" s="427">
        <v>0</v>
      </c>
      <c r="J478" s="427">
        <v>0</v>
      </c>
      <c r="K478" s="425">
        <f t="shared" si="76"/>
        <v>21100</v>
      </c>
      <c r="L478" s="158">
        <v>655</v>
      </c>
      <c r="M478" s="158">
        <v>0</v>
      </c>
      <c r="N478" s="91">
        <f t="shared" si="74"/>
        <v>11462.5</v>
      </c>
      <c r="O478" s="411"/>
      <c r="P478" s="132" t="s">
        <v>1253</v>
      </c>
      <c r="Q478" s="232"/>
      <c r="R478" s="411"/>
      <c r="T478" s="134" t="s">
        <v>1254</v>
      </c>
      <c r="U478" s="266" t="s">
        <v>1255</v>
      </c>
      <c r="V478" s="133" t="s">
        <v>358</v>
      </c>
      <c r="AA478" s="218"/>
    </row>
    <row r="479" spans="1:27" x14ac:dyDescent="0.25">
      <c r="A479" s="420"/>
      <c r="B479" s="422"/>
      <c r="C479" s="420"/>
      <c r="D479" s="418"/>
      <c r="E479" s="120">
        <v>5000</v>
      </c>
      <c r="F479" s="133" t="s">
        <v>1256</v>
      </c>
      <c r="G479" s="436"/>
      <c r="H479" s="428"/>
      <c r="I479" s="428"/>
      <c r="J479" s="428"/>
      <c r="K479" s="426"/>
      <c r="L479" s="158">
        <v>725</v>
      </c>
      <c r="M479" s="158">
        <v>0</v>
      </c>
      <c r="N479" s="91">
        <f t="shared" si="74"/>
        <v>3625</v>
      </c>
      <c r="O479" s="411"/>
      <c r="P479" s="132" t="s">
        <v>1257</v>
      </c>
      <c r="Q479" s="232"/>
      <c r="R479" s="411"/>
      <c r="T479" s="134" t="s">
        <v>1258</v>
      </c>
      <c r="U479" s="267" t="s">
        <v>1259</v>
      </c>
      <c r="AA479" s="218"/>
    </row>
    <row r="480" spans="1:27" ht="24" x14ac:dyDescent="0.25">
      <c r="A480" s="405">
        <v>3000327</v>
      </c>
      <c r="B480" s="406">
        <v>42390</v>
      </c>
      <c r="C480" s="405" t="s">
        <v>42</v>
      </c>
      <c r="D480" s="401" t="s">
        <v>1260</v>
      </c>
      <c r="E480" s="120">
        <v>50</v>
      </c>
      <c r="F480" s="133" t="s">
        <v>549</v>
      </c>
      <c r="G480" s="404" t="s">
        <v>45</v>
      </c>
      <c r="H480" s="411">
        <v>347.41</v>
      </c>
      <c r="I480" s="89">
        <f t="shared" ref="I480:I485" si="80">-(H480*0.09)</f>
        <v>-31.2669</v>
      </c>
      <c r="J480" s="90">
        <f t="shared" ref="J480:J485" si="81">-((H480*0.019)+0.3)</f>
        <v>-6.9007899999999998</v>
      </c>
      <c r="K480" s="90">
        <f t="shared" si="76"/>
        <v>309.24231000000003</v>
      </c>
      <c r="L480" s="158">
        <v>3600</v>
      </c>
      <c r="M480" s="158">
        <v>14.55</v>
      </c>
      <c r="N480" s="91">
        <f t="shared" si="74"/>
        <v>194.55</v>
      </c>
      <c r="O480" s="411">
        <f t="shared" si="77"/>
        <v>114.69231000000002</v>
      </c>
      <c r="P480" s="132" t="s">
        <v>183</v>
      </c>
      <c r="Q480" s="232"/>
      <c r="R480" s="411">
        <v>25.73</v>
      </c>
      <c r="S480" s="133" t="s">
        <v>52</v>
      </c>
      <c r="T480" s="134" t="s">
        <v>145</v>
      </c>
      <c r="U480" s="267" t="s">
        <v>1261</v>
      </c>
      <c r="AA480" s="218"/>
    </row>
    <row r="481" spans="1:27" ht="24" x14ac:dyDescent="0.25">
      <c r="A481" s="405">
        <v>3000328</v>
      </c>
      <c r="B481" s="406">
        <v>42390</v>
      </c>
      <c r="C481" s="405" t="s">
        <v>42</v>
      </c>
      <c r="D481" s="401" t="s">
        <v>1262</v>
      </c>
      <c r="E481" s="120">
        <v>250</v>
      </c>
      <c r="F481" s="133" t="s">
        <v>207</v>
      </c>
      <c r="G481" s="404" t="s">
        <v>45</v>
      </c>
      <c r="H481" s="411">
        <v>239.33</v>
      </c>
      <c r="I481" s="89">
        <f t="shared" si="80"/>
        <v>-21.5397</v>
      </c>
      <c r="J481" s="90">
        <f t="shared" si="81"/>
        <v>-4.84727</v>
      </c>
      <c r="K481" s="90">
        <f t="shared" si="76"/>
        <v>212.94302999999999</v>
      </c>
      <c r="L481" s="131">
        <v>570</v>
      </c>
      <c r="M481" s="158">
        <v>28.43</v>
      </c>
      <c r="N481" s="91">
        <f t="shared" si="74"/>
        <v>170.93</v>
      </c>
      <c r="O481" s="411">
        <f t="shared" si="77"/>
        <v>42.013029999999986</v>
      </c>
      <c r="P481" s="132" t="s">
        <v>52</v>
      </c>
      <c r="Q481" s="232"/>
      <c r="R481" s="411"/>
      <c r="T481" s="134" t="s">
        <v>145</v>
      </c>
      <c r="U481" s="267" t="s">
        <v>1263</v>
      </c>
      <c r="AA481" s="218"/>
    </row>
    <row r="482" spans="1:27" ht="24" x14ac:dyDescent="0.25">
      <c r="A482" s="405">
        <v>3000329</v>
      </c>
      <c r="B482" s="406">
        <v>42390</v>
      </c>
      <c r="C482" s="405" t="s">
        <v>42</v>
      </c>
      <c r="D482" s="401" t="s">
        <v>1264</v>
      </c>
      <c r="E482" s="120">
        <v>250</v>
      </c>
      <c r="F482" s="133" t="s">
        <v>1265</v>
      </c>
      <c r="G482" s="404" t="s">
        <v>45</v>
      </c>
      <c r="H482" s="411">
        <v>250.25</v>
      </c>
      <c r="I482" s="89">
        <f t="shared" si="80"/>
        <v>-22.522500000000001</v>
      </c>
      <c r="J482" s="90">
        <f t="shared" si="81"/>
        <v>-5.0547499999999994</v>
      </c>
      <c r="K482" s="90">
        <f t="shared" si="76"/>
        <v>222.67274999999998</v>
      </c>
      <c r="L482" s="158">
        <v>550</v>
      </c>
      <c r="M482" s="158">
        <v>25.48</v>
      </c>
      <c r="N482" s="91">
        <f t="shared" si="74"/>
        <v>162.97999999999999</v>
      </c>
      <c r="O482" s="411">
        <f t="shared" si="77"/>
        <v>59.69274999999999</v>
      </c>
      <c r="P482" s="132" t="s">
        <v>183</v>
      </c>
      <c r="Q482" s="232"/>
      <c r="R482" s="411"/>
      <c r="T482" s="134" t="s">
        <v>145</v>
      </c>
      <c r="U482" s="267" t="s">
        <v>1266</v>
      </c>
      <c r="AA482" s="218"/>
    </row>
    <row r="483" spans="1:27" ht="24" x14ac:dyDescent="0.25">
      <c r="A483" s="405">
        <v>3000330</v>
      </c>
      <c r="B483" s="406">
        <v>42390</v>
      </c>
      <c r="C483" s="405" t="s">
        <v>42</v>
      </c>
      <c r="D483" s="401" t="s">
        <v>1267</v>
      </c>
      <c r="E483" s="120">
        <v>120</v>
      </c>
      <c r="F483" s="133" t="s">
        <v>247</v>
      </c>
      <c r="G483" s="404" t="s">
        <v>45</v>
      </c>
      <c r="H483" s="411">
        <v>136.80000000000001</v>
      </c>
      <c r="I483" s="89">
        <f t="shared" si="80"/>
        <v>-12.312000000000001</v>
      </c>
      <c r="J483" s="90">
        <f t="shared" si="81"/>
        <v>-2.8992</v>
      </c>
      <c r="K483" s="90">
        <f t="shared" si="76"/>
        <v>121.58880000000002</v>
      </c>
      <c r="L483" s="131">
        <v>580</v>
      </c>
      <c r="M483" s="131">
        <v>35.409999999999997</v>
      </c>
      <c r="N483" s="91">
        <f t="shared" si="74"/>
        <v>105.00999999999999</v>
      </c>
      <c r="O483" s="411">
        <f t="shared" si="77"/>
        <v>16.57880000000003</v>
      </c>
      <c r="P483" s="132" t="s">
        <v>86</v>
      </c>
      <c r="Q483" s="232"/>
      <c r="R483" s="411"/>
      <c r="T483" s="134" t="s">
        <v>324</v>
      </c>
      <c r="U483" s="267" t="s">
        <v>1268</v>
      </c>
      <c r="AA483" s="218"/>
    </row>
    <row r="484" spans="1:27" ht="24" x14ac:dyDescent="0.25">
      <c r="A484" s="405">
        <v>3000331</v>
      </c>
      <c r="B484" s="406">
        <v>42390</v>
      </c>
      <c r="C484" s="405" t="s">
        <v>42</v>
      </c>
      <c r="D484" s="401" t="s">
        <v>1269</v>
      </c>
      <c r="E484" s="120">
        <v>50</v>
      </c>
      <c r="F484" s="133" t="s">
        <v>1270</v>
      </c>
      <c r="G484" s="404" t="s">
        <v>45</v>
      </c>
      <c r="H484" s="411">
        <v>172.5</v>
      </c>
      <c r="I484" s="89">
        <f t="shared" si="80"/>
        <v>-15.524999999999999</v>
      </c>
      <c r="J484" s="90">
        <f t="shared" si="81"/>
        <v>-3.5774999999999997</v>
      </c>
      <c r="K484" s="90">
        <f t="shared" si="76"/>
        <v>153.39750000000001</v>
      </c>
      <c r="L484" s="158">
        <v>2000</v>
      </c>
      <c r="M484" s="158">
        <v>14.02</v>
      </c>
      <c r="N484" s="91">
        <f t="shared" si="74"/>
        <v>114.02</v>
      </c>
      <c r="O484" s="411"/>
      <c r="P484" s="132" t="s">
        <v>183</v>
      </c>
      <c r="Q484" s="232"/>
      <c r="R484" s="411"/>
      <c r="T484" s="134" t="s">
        <v>145</v>
      </c>
      <c r="U484" s="267" t="s">
        <v>1271</v>
      </c>
      <c r="AA484" s="218"/>
    </row>
    <row r="485" spans="1:27" ht="24" x14ac:dyDescent="0.25">
      <c r="A485" s="405">
        <v>3000332</v>
      </c>
      <c r="B485" s="406">
        <v>42390</v>
      </c>
      <c r="C485" s="405" t="s">
        <v>42</v>
      </c>
      <c r="D485" s="401" t="s">
        <v>1272</v>
      </c>
      <c r="E485" s="120">
        <v>75</v>
      </c>
      <c r="F485" s="133" t="s">
        <v>1273</v>
      </c>
      <c r="G485" s="404" t="s">
        <v>45</v>
      </c>
      <c r="H485" s="411">
        <v>205.99</v>
      </c>
      <c r="I485" s="89">
        <f t="shared" si="80"/>
        <v>-18.539100000000001</v>
      </c>
      <c r="J485" s="90">
        <f t="shared" si="81"/>
        <v>-4.2138100000000005</v>
      </c>
      <c r="K485" s="90">
        <f t="shared" si="76"/>
        <v>183.23709000000002</v>
      </c>
      <c r="L485" s="131">
        <v>1051</v>
      </c>
      <c r="M485" s="158">
        <v>28.03</v>
      </c>
      <c r="N485" s="91">
        <f t="shared" si="74"/>
        <v>106.855</v>
      </c>
      <c r="O485" s="411">
        <f t="shared" si="77"/>
        <v>76.382090000000019</v>
      </c>
      <c r="P485" s="132" t="s">
        <v>52</v>
      </c>
      <c r="Q485" s="232"/>
      <c r="R485" s="411"/>
      <c r="T485" s="134" t="s">
        <v>145</v>
      </c>
      <c r="U485" s="267" t="s">
        <v>1274</v>
      </c>
      <c r="AA485" s="218"/>
    </row>
    <row r="486" spans="1:27" ht="24" x14ac:dyDescent="0.25">
      <c r="A486" s="405">
        <v>3000333</v>
      </c>
      <c r="B486" s="406">
        <v>42390</v>
      </c>
      <c r="C486" s="405" t="s">
        <v>327</v>
      </c>
      <c r="D486" s="401" t="s">
        <v>1275</v>
      </c>
      <c r="E486" s="120">
        <v>1000</v>
      </c>
      <c r="F486" s="133" t="s">
        <v>1276</v>
      </c>
      <c r="G486" s="404" t="s">
        <v>45</v>
      </c>
      <c r="H486" s="411">
        <v>1012</v>
      </c>
      <c r="I486" s="411">
        <v>0</v>
      </c>
      <c r="J486" s="90">
        <f>-((H486*0.022)+0.3)</f>
        <v>-22.564</v>
      </c>
      <c r="K486" s="90">
        <f t="shared" si="76"/>
        <v>989.43600000000004</v>
      </c>
      <c r="L486" s="158">
        <v>349</v>
      </c>
      <c r="M486" s="158">
        <v>89.99</v>
      </c>
      <c r="N486" s="91">
        <f t="shared" si="74"/>
        <v>438.99</v>
      </c>
      <c r="O486" s="411"/>
      <c r="P486" s="132" t="s">
        <v>1277</v>
      </c>
      <c r="Q486" s="232"/>
      <c r="R486" s="411"/>
      <c r="T486" s="135" t="s">
        <v>1278</v>
      </c>
      <c r="V486" s="133" t="s">
        <v>1279</v>
      </c>
      <c r="W486" s="153" t="s">
        <v>1280</v>
      </c>
      <c r="AA486" s="218"/>
    </row>
    <row r="487" spans="1:27" ht="24" x14ac:dyDescent="0.25">
      <c r="A487" s="405">
        <v>3000334</v>
      </c>
      <c r="B487" s="406">
        <v>42390</v>
      </c>
      <c r="C487" s="405" t="s">
        <v>280</v>
      </c>
      <c r="D487" s="401" t="s">
        <v>1281</v>
      </c>
      <c r="E487" s="120">
        <v>100</v>
      </c>
      <c r="F487" s="133" t="s">
        <v>288</v>
      </c>
      <c r="G487" s="404" t="s">
        <v>45</v>
      </c>
      <c r="H487" s="411">
        <v>251</v>
      </c>
      <c r="I487" s="411">
        <v>0</v>
      </c>
      <c r="J487" s="90">
        <f>-((H487*0.022)+0.3)</f>
        <v>-5.8219999999999992</v>
      </c>
      <c r="K487" s="90">
        <f t="shared" si="76"/>
        <v>245.178</v>
      </c>
      <c r="L487" s="158">
        <v>1376</v>
      </c>
      <c r="M487" s="158">
        <v>22.97</v>
      </c>
      <c r="N487" s="91">
        <f t="shared" si="74"/>
        <v>160.57</v>
      </c>
      <c r="O487" s="411">
        <f t="shared" si="77"/>
        <v>84.608000000000004</v>
      </c>
      <c r="P487" s="132" t="s">
        <v>183</v>
      </c>
      <c r="Q487" s="232"/>
      <c r="R487" s="411"/>
      <c r="T487" s="134" t="s">
        <v>145</v>
      </c>
      <c r="U487" s="267" t="s">
        <v>1282</v>
      </c>
      <c r="W487" s="153" t="s">
        <v>1283</v>
      </c>
      <c r="AA487" s="218"/>
    </row>
    <row r="488" spans="1:27" ht="24" x14ac:dyDescent="0.25">
      <c r="A488" s="405">
        <v>3000335</v>
      </c>
      <c r="B488" s="406">
        <v>42390</v>
      </c>
      <c r="C488" s="405" t="s">
        <v>159</v>
      </c>
      <c r="D488" s="401" t="s">
        <v>1284</v>
      </c>
      <c r="E488" s="120">
        <v>50</v>
      </c>
      <c r="F488" s="133" t="s">
        <v>222</v>
      </c>
      <c r="G488" s="404" t="s">
        <v>45</v>
      </c>
      <c r="H488" s="411">
        <v>79.5</v>
      </c>
      <c r="I488" s="411">
        <v>0</v>
      </c>
      <c r="J488" s="90">
        <f>-((H488*0.019)+0.3)</f>
        <v>-1.8105</v>
      </c>
      <c r="K488" s="90">
        <f t="shared" si="76"/>
        <v>77.689499999999995</v>
      </c>
      <c r="L488" s="131">
        <v>840</v>
      </c>
      <c r="M488" s="158">
        <v>26.13</v>
      </c>
      <c r="N488" s="91">
        <f t="shared" si="74"/>
        <v>68.13</v>
      </c>
      <c r="O488" s="411">
        <f t="shared" si="77"/>
        <v>9.5594999999999999</v>
      </c>
      <c r="P488" s="132" t="s">
        <v>52</v>
      </c>
      <c r="Q488" s="232"/>
      <c r="R488" s="411"/>
      <c r="T488" s="134" t="s">
        <v>145</v>
      </c>
      <c r="U488" s="267" t="s">
        <v>1285</v>
      </c>
      <c r="W488" s="59" t="s">
        <v>1286</v>
      </c>
      <c r="X488" s="59"/>
      <c r="AA488" s="218"/>
    </row>
    <row r="489" spans="1:27" ht="24" x14ac:dyDescent="0.25">
      <c r="A489" s="405">
        <v>3000336</v>
      </c>
      <c r="B489" s="406">
        <v>42390</v>
      </c>
      <c r="C489" s="405" t="s">
        <v>42</v>
      </c>
      <c r="D489" s="401" t="s">
        <v>1287</v>
      </c>
      <c r="E489" s="120">
        <v>50</v>
      </c>
      <c r="F489" s="133" t="s">
        <v>300</v>
      </c>
      <c r="G489" s="404" t="s">
        <v>45</v>
      </c>
      <c r="H489" s="411">
        <v>213.77</v>
      </c>
      <c r="I489" s="89">
        <f t="shared" ref="I489" si="82">-(H489*0.09)</f>
        <v>-19.2393</v>
      </c>
      <c r="J489" s="90">
        <f>-((H489*0.019)+0.3)</f>
        <v>-4.3616299999999999</v>
      </c>
      <c r="K489" s="90">
        <f t="shared" si="76"/>
        <v>190.16907000000003</v>
      </c>
      <c r="L489" s="131">
        <v>2320</v>
      </c>
      <c r="M489" s="158">
        <v>29.36</v>
      </c>
      <c r="N489" s="91">
        <f t="shared" si="74"/>
        <v>145.36000000000001</v>
      </c>
      <c r="O489" s="411">
        <f t="shared" si="77"/>
        <v>44.80907000000002</v>
      </c>
      <c r="P489" s="132" t="s">
        <v>52</v>
      </c>
      <c r="Q489" s="232"/>
      <c r="R489" s="411"/>
      <c r="T489" s="134" t="s">
        <v>145</v>
      </c>
      <c r="U489" s="267" t="s">
        <v>1288</v>
      </c>
      <c r="AA489" s="218"/>
    </row>
    <row r="490" spans="1:27" ht="24" x14ac:dyDescent="0.25">
      <c r="A490" s="405">
        <v>3000337</v>
      </c>
      <c r="B490" s="406">
        <v>42390</v>
      </c>
      <c r="C490" s="405" t="s">
        <v>63</v>
      </c>
      <c r="D490" s="401" t="s">
        <v>1289</v>
      </c>
      <c r="E490" s="120">
        <v>100</v>
      </c>
      <c r="F490" s="133" t="s">
        <v>1290</v>
      </c>
      <c r="G490" s="404" t="s">
        <v>45</v>
      </c>
      <c r="H490" s="411">
        <v>110</v>
      </c>
      <c r="I490" s="411">
        <v>0</v>
      </c>
      <c r="J490" s="90">
        <f>-((H490*0.022)+0.3)</f>
        <v>-2.7199999999999998</v>
      </c>
      <c r="K490" s="90">
        <f t="shared" si="76"/>
        <v>107.28</v>
      </c>
      <c r="L490" s="158">
        <v>200</v>
      </c>
      <c r="M490" s="158">
        <v>22.21</v>
      </c>
      <c r="N490" s="91">
        <f t="shared" si="74"/>
        <v>42.21</v>
      </c>
      <c r="O490" s="411">
        <f t="shared" si="77"/>
        <v>65.069999999999993</v>
      </c>
      <c r="P490" s="132" t="s">
        <v>183</v>
      </c>
      <c r="Q490" s="232"/>
      <c r="R490" s="411"/>
      <c r="T490" s="134" t="s">
        <v>145</v>
      </c>
      <c r="U490" s="267" t="s">
        <v>1291</v>
      </c>
      <c r="W490" s="153" t="s">
        <v>1028</v>
      </c>
      <c r="AA490" s="218"/>
    </row>
    <row r="491" spans="1:27" x14ac:dyDescent="0.25">
      <c r="A491" s="405">
        <v>3000338</v>
      </c>
      <c r="B491" s="406">
        <v>42390</v>
      </c>
      <c r="C491" s="405" t="s">
        <v>78</v>
      </c>
      <c r="D491" s="401" t="s">
        <v>1292</v>
      </c>
      <c r="E491" s="120">
        <v>500</v>
      </c>
      <c r="F491" s="133" t="s">
        <v>1293</v>
      </c>
      <c r="G491" s="404" t="s">
        <v>45</v>
      </c>
      <c r="H491" s="411">
        <v>445</v>
      </c>
      <c r="I491" s="411">
        <v>0</v>
      </c>
      <c r="J491" s="90">
        <f>-((H491*0.019)+0.3)</f>
        <v>-8.7550000000000008</v>
      </c>
      <c r="K491" s="90">
        <f t="shared" si="76"/>
        <v>436.245</v>
      </c>
      <c r="L491" s="131">
        <v>513</v>
      </c>
      <c r="M491" s="158">
        <v>103.8</v>
      </c>
      <c r="N491" s="91">
        <f t="shared" si="74"/>
        <v>360.3</v>
      </c>
      <c r="O491" s="411">
        <f t="shared" si="77"/>
        <v>75.944999999999993</v>
      </c>
      <c r="P491" s="132" t="s">
        <v>52</v>
      </c>
      <c r="Q491" s="232"/>
      <c r="R491" s="411"/>
      <c r="T491" s="134" t="s">
        <v>244</v>
      </c>
      <c r="U491" s="267" t="s">
        <v>1294</v>
      </c>
      <c r="V491" s="133" t="s">
        <v>55</v>
      </c>
      <c r="AA491" s="218"/>
    </row>
    <row r="492" spans="1:27" ht="24" customHeight="1" x14ac:dyDescent="0.25">
      <c r="A492" s="419">
        <v>3000339</v>
      </c>
      <c r="B492" s="421">
        <v>42390</v>
      </c>
      <c r="C492" s="419" t="s">
        <v>63</v>
      </c>
      <c r="D492" s="417" t="s">
        <v>1295</v>
      </c>
      <c r="E492" s="120">
        <v>1650</v>
      </c>
      <c r="F492" s="133" t="s">
        <v>1296</v>
      </c>
      <c r="G492" s="434" t="s">
        <v>45</v>
      </c>
      <c r="H492" s="427">
        <v>7599.24</v>
      </c>
      <c r="I492" s="427">
        <v>0</v>
      </c>
      <c r="J492" s="425">
        <f>-((H492*0.022)+0.3)</f>
        <v>-167.48328000000001</v>
      </c>
      <c r="K492" s="425">
        <f t="shared" si="76"/>
        <v>7431.7567199999994</v>
      </c>
      <c r="L492" s="158">
        <v>3320</v>
      </c>
      <c r="M492" s="158">
        <v>239.54</v>
      </c>
      <c r="N492" s="91">
        <f t="shared" si="74"/>
        <v>5717.54</v>
      </c>
      <c r="O492" s="411">
        <f t="shared" si="77"/>
        <v>1714.2167199999994</v>
      </c>
      <c r="P492" s="132" t="s">
        <v>59</v>
      </c>
      <c r="Q492" s="232"/>
      <c r="R492" s="411"/>
      <c r="T492" s="470" t="s">
        <v>639</v>
      </c>
      <c r="U492" s="481" t="s">
        <v>1297</v>
      </c>
      <c r="W492" s="153" t="s">
        <v>1298</v>
      </c>
      <c r="AA492" s="218"/>
    </row>
    <row r="493" spans="1:27" x14ac:dyDescent="0.25">
      <c r="A493" s="420"/>
      <c r="B493" s="422"/>
      <c r="C493" s="420"/>
      <c r="D493" s="418"/>
      <c r="E493" s="120">
        <v>1650</v>
      </c>
      <c r="F493" s="133" t="s">
        <v>1299</v>
      </c>
      <c r="G493" s="436"/>
      <c r="H493" s="428"/>
      <c r="I493" s="428"/>
      <c r="J493" s="426"/>
      <c r="K493" s="426"/>
      <c r="L493" s="158">
        <v>364</v>
      </c>
      <c r="M493" s="158"/>
      <c r="N493" s="91">
        <f t="shared" si="74"/>
        <v>600.6</v>
      </c>
      <c r="O493" s="411">
        <f t="shared" si="77"/>
        <v>-600.6</v>
      </c>
      <c r="P493" s="132" t="s">
        <v>59</v>
      </c>
      <c r="Q493" s="232"/>
      <c r="R493" s="411"/>
      <c r="T493" s="472"/>
      <c r="U493" s="483"/>
      <c r="AA493" s="218"/>
    </row>
    <row r="494" spans="1:27" x14ac:dyDescent="0.25">
      <c r="A494" s="405">
        <v>3000340</v>
      </c>
      <c r="B494" s="406">
        <v>42391</v>
      </c>
      <c r="C494" s="405" t="s">
        <v>56</v>
      </c>
      <c r="D494" s="401" t="s">
        <v>1300</v>
      </c>
      <c r="E494" s="120">
        <v>400</v>
      </c>
      <c r="F494" s="133" t="s">
        <v>1244</v>
      </c>
      <c r="G494" s="404" t="s">
        <v>45</v>
      </c>
      <c r="H494" s="411">
        <v>4200</v>
      </c>
      <c r="I494" s="411">
        <v>0</v>
      </c>
      <c r="J494" s="411">
        <v>0</v>
      </c>
      <c r="K494" s="90">
        <f t="shared" si="76"/>
        <v>4200</v>
      </c>
      <c r="L494" s="158">
        <v>7500</v>
      </c>
      <c r="M494" s="158">
        <v>105</v>
      </c>
      <c r="N494" s="91">
        <f t="shared" si="74"/>
        <v>3105</v>
      </c>
      <c r="O494" s="411">
        <f t="shared" si="77"/>
        <v>1095</v>
      </c>
      <c r="P494" s="132" t="s">
        <v>183</v>
      </c>
      <c r="Q494" s="232"/>
      <c r="R494" s="411"/>
      <c r="T494" s="134" t="s">
        <v>717</v>
      </c>
      <c r="U494" s="266" t="s">
        <v>1301</v>
      </c>
      <c r="V494" s="133" t="s">
        <v>1199</v>
      </c>
      <c r="W494" s="153" t="s">
        <v>1302</v>
      </c>
      <c r="AA494" s="218"/>
    </row>
    <row r="495" spans="1:27" x14ac:dyDescent="0.25">
      <c r="A495" s="419">
        <v>3000341</v>
      </c>
      <c r="B495" s="421">
        <v>42391</v>
      </c>
      <c r="C495" s="419" t="s">
        <v>56</v>
      </c>
      <c r="D495" s="417" t="s">
        <v>1303</v>
      </c>
      <c r="E495" s="120">
        <v>500</v>
      </c>
      <c r="F495" s="133" t="s">
        <v>1304</v>
      </c>
      <c r="G495" s="434" t="s">
        <v>45</v>
      </c>
      <c r="H495" s="427">
        <v>7573.28</v>
      </c>
      <c r="I495" s="427">
        <v>0</v>
      </c>
      <c r="J495" s="427">
        <v>0</v>
      </c>
      <c r="K495" s="425">
        <f t="shared" si="76"/>
        <v>7573.28</v>
      </c>
      <c r="L495" s="158">
        <v>442</v>
      </c>
      <c r="N495" s="91">
        <f t="shared" si="74"/>
        <v>221</v>
      </c>
      <c r="O495" s="411"/>
      <c r="P495" s="132" t="s">
        <v>46</v>
      </c>
      <c r="Q495" s="232"/>
      <c r="R495" s="411"/>
      <c r="T495" s="470" t="s">
        <v>47</v>
      </c>
      <c r="U495" s="481" t="s">
        <v>1305</v>
      </c>
      <c r="V495" s="133" t="s">
        <v>1306</v>
      </c>
      <c r="AA495" s="218"/>
    </row>
    <row r="496" spans="1:27" x14ac:dyDescent="0.25">
      <c r="A496" s="432"/>
      <c r="B496" s="433"/>
      <c r="C496" s="432"/>
      <c r="D496" s="454"/>
      <c r="E496" s="120">
        <v>500</v>
      </c>
      <c r="F496" s="133" t="s">
        <v>1307</v>
      </c>
      <c r="G496" s="435"/>
      <c r="H496" s="438"/>
      <c r="I496" s="438"/>
      <c r="J496" s="438"/>
      <c r="K496" s="437"/>
      <c r="L496" s="158">
        <v>2192</v>
      </c>
      <c r="N496" s="91">
        <f t="shared" si="74"/>
        <v>1096</v>
      </c>
      <c r="O496" s="411"/>
      <c r="P496" s="132" t="s">
        <v>46</v>
      </c>
      <c r="Q496" s="232"/>
      <c r="R496" s="411"/>
      <c r="T496" s="471"/>
      <c r="U496" s="482"/>
      <c r="V496" s="133" t="s">
        <v>1308</v>
      </c>
      <c r="AA496" s="218"/>
    </row>
    <row r="497" spans="1:27" x14ac:dyDescent="0.25">
      <c r="A497" s="432"/>
      <c r="B497" s="433"/>
      <c r="C497" s="432"/>
      <c r="D497" s="454"/>
      <c r="E497" s="120">
        <v>1500</v>
      </c>
      <c r="F497" s="133" t="s">
        <v>1309</v>
      </c>
      <c r="G497" s="435"/>
      <c r="H497" s="438"/>
      <c r="I497" s="438"/>
      <c r="J497" s="438"/>
      <c r="K497" s="437"/>
      <c r="L497" s="158">
        <v>1407</v>
      </c>
      <c r="M497" s="131">
        <v>0</v>
      </c>
      <c r="N497" s="91">
        <f t="shared" si="74"/>
        <v>2110.5</v>
      </c>
      <c r="O497" s="411"/>
      <c r="P497" s="132" t="s">
        <v>46</v>
      </c>
      <c r="Q497" s="232"/>
      <c r="R497" s="411"/>
      <c r="T497" s="472"/>
      <c r="U497" s="483"/>
      <c r="V497" s="171" t="s">
        <v>1310</v>
      </c>
      <c r="AA497" s="218"/>
    </row>
    <row r="498" spans="1:27" x14ac:dyDescent="0.25">
      <c r="A498" s="432"/>
      <c r="B498" s="433"/>
      <c r="C498" s="432"/>
      <c r="D498" s="454"/>
      <c r="E498" s="120">
        <v>1064</v>
      </c>
      <c r="F498" s="133" t="s">
        <v>1311</v>
      </c>
      <c r="G498" s="435"/>
      <c r="H498" s="438"/>
      <c r="I498" s="438"/>
      <c r="J498" s="438"/>
      <c r="K498" s="437"/>
      <c r="L498" s="158">
        <v>660</v>
      </c>
      <c r="M498" s="158">
        <v>108.44</v>
      </c>
      <c r="N498" s="91">
        <f t="shared" si="74"/>
        <v>810.68000000000006</v>
      </c>
      <c r="O498" s="411"/>
      <c r="P498" s="132" t="s">
        <v>183</v>
      </c>
      <c r="Q498" s="232"/>
      <c r="R498" s="411"/>
      <c r="T498" s="470" t="s">
        <v>67</v>
      </c>
      <c r="U498" s="481" t="s">
        <v>1312</v>
      </c>
      <c r="V498" s="133" t="s">
        <v>1313</v>
      </c>
      <c r="AA498" s="218"/>
    </row>
    <row r="499" spans="1:27" x14ac:dyDescent="0.25">
      <c r="A499" s="432"/>
      <c r="B499" s="433"/>
      <c r="C499" s="432"/>
      <c r="D499" s="454"/>
      <c r="E499" s="120">
        <v>1000</v>
      </c>
      <c r="F499" s="133" t="s">
        <v>1314</v>
      </c>
      <c r="G499" s="435"/>
      <c r="H499" s="438"/>
      <c r="I499" s="438"/>
      <c r="J499" s="438"/>
      <c r="K499" s="437"/>
      <c r="L499" s="158">
        <v>150</v>
      </c>
      <c r="M499" s="158"/>
      <c r="N499" s="91">
        <f t="shared" si="74"/>
        <v>150</v>
      </c>
      <c r="O499" s="411"/>
      <c r="P499" s="132" t="s">
        <v>183</v>
      </c>
      <c r="Q499" s="232"/>
      <c r="R499" s="411"/>
      <c r="T499" s="471"/>
      <c r="U499" s="482"/>
      <c r="V499" s="133" t="s">
        <v>1313</v>
      </c>
      <c r="AA499" s="218"/>
    </row>
    <row r="500" spans="1:27" x14ac:dyDescent="0.25">
      <c r="A500" s="432"/>
      <c r="B500" s="433"/>
      <c r="C500" s="432"/>
      <c r="D500" s="454"/>
      <c r="E500" s="120">
        <v>1000</v>
      </c>
      <c r="F500" s="133" t="s">
        <v>1315</v>
      </c>
      <c r="G500" s="435"/>
      <c r="H500" s="438"/>
      <c r="I500" s="438"/>
      <c r="J500" s="438"/>
      <c r="K500" s="437"/>
      <c r="L500" s="158">
        <v>230</v>
      </c>
      <c r="M500" s="158"/>
      <c r="N500" s="91">
        <f t="shared" si="74"/>
        <v>230</v>
      </c>
      <c r="O500" s="411"/>
      <c r="P500" s="132" t="s">
        <v>183</v>
      </c>
      <c r="Q500" s="232"/>
      <c r="R500" s="411"/>
      <c r="T500" s="472"/>
      <c r="U500" s="483"/>
      <c r="V500" s="133" t="s">
        <v>1313</v>
      </c>
      <c r="AA500" s="218"/>
    </row>
    <row r="501" spans="1:27" ht="24" x14ac:dyDescent="0.25">
      <c r="A501" s="432"/>
      <c r="B501" s="433"/>
      <c r="C501" s="432"/>
      <c r="D501" s="454"/>
      <c r="E501" s="120">
        <v>500</v>
      </c>
      <c r="F501" s="133" t="s">
        <v>1316</v>
      </c>
      <c r="G501" s="435"/>
      <c r="H501" s="438"/>
      <c r="I501" s="438"/>
      <c r="J501" s="438"/>
      <c r="K501" s="437"/>
      <c r="L501" s="158">
        <v>120</v>
      </c>
      <c r="M501" s="158">
        <v>70.95</v>
      </c>
      <c r="N501" s="91">
        <f t="shared" si="74"/>
        <v>130.94999999999999</v>
      </c>
      <c r="O501" s="411"/>
      <c r="P501" s="132" t="s">
        <v>235</v>
      </c>
      <c r="Q501" s="232"/>
      <c r="R501" s="411"/>
      <c r="T501" s="134" t="s">
        <v>145</v>
      </c>
      <c r="U501" s="267" t="s">
        <v>1317</v>
      </c>
      <c r="V501" s="133" t="s">
        <v>1318</v>
      </c>
      <c r="AA501" s="218"/>
    </row>
    <row r="502" spans="1:27" ht="24" x14ac:dyDescent="0.25">
      <c r="A502" s="432"/>
      <c r="B502" s="433"/>
      <c r="C502" s="432"/>
      <c r="D502" s="454"/>
      <c r="E502" s="120">
        <v>1500</v>
      </c>
      <c r="F502" s="133" t="s">
        <v>1319</v>
      </c>
      <c r="G502" s="435"/>
      <c r="H502" s="438"/>
      <c r="I502" s="438"/>
      <c r="J502" s="438"/>
      <c r="K502" s="437"/>
      <c r="L502" s="158">
        <v>80</v>
      </c>
      <c r="N502" s="91">
        <f t="shared" si="74"/>
        <v>120</v>
      </c>
      <c r="O502" s="411"/>
      <c r="P502" s="132" t="s">
        <v>235</v>
      </c>
      <c r="Q502" s="232"/>
      <c r="R502" s="411"/>
      <c r="T502" s="134" t="s">
        <v>145</v>
      </c>
      <c r="U502" s="267" t="s">
        <v>1320</v>
      </c>
      <c r="V502" s="133" t="s">
        <v>1318</v>
      </c>
      <c r="AA502" s="218"/>
    </row>
    <row r="503" spans="1:27" ht="24" x14ac:dyDescent="0.25">
      <c r="A503" s="432"/>
      <c r="B503" s="433"/>
      <c r="C503" s="432"/>
      <c r="D503" s="454"/>
      <c r="E503" s="120">
        <v>500</v>
      </c>
      <c r="F503" s="133" t="s">
        <v>1321</v>
      </c>
      <c r="G503" s="435"/>
      <c r="H503" s="438"/>
      <c r="I503" s="438"/>
      <c r="J503" s="438"/>
      <c r="K503" s="437"/>
      <c r="L503" s="158">
        <v>55</v>
      </c>
      <c r="N503" s="91">
        <f t="shared" si="74"/>
        <v>27.5</v>
      </c>
      <c r="O503" s="411"/>
      <c r="P503" s="132" t="s">
        <v>235</v>
      </c>
      <c r="Q503" s="232"/>
      <c r="R503" s="411"/>
      <c r="T503" s="134" t="s">
        <v>145</v>
      </c>
      <c r="U503" s="267" t="s">
        <v>1322</v>
      </c>
      <c r="V503" s="133" t="s">
        <v>1318</v>
      </c>
      <c r="AA503" s="218"/>
    </row>
    <row r="504" spans="1:27" ht="24" x14ac:dyDescent="0.25">
      <c r="A504" s="432"/>
      <c r="B504" s="433"/>
      <c r="C504" s="432"/>
      <c r="D504" s="454"/>
      <c r="E504" s="120">
        <v>1500</v>
      </c>
      <c r="F504" s="133" t="s">
        <v>1323</v>
      </c>
      <c r="G504" s="435"/>
      <c r="H504" s="438"/>
      <c r="I504" s="438"/>
      <c r="J504" s="438"/>
      <c r="K504" s="437"/>
      <c r="L504" s="158">
        <v>55</v>
      </c>
      <c r="N504" s="91">
        <f t="shared" si="74"/>
        <v>82.5</v>
      </c>
      <c r="O504" s="411"/>
      <c r="P504" s="132" t="s">
        <v>235</v>
      </c>
      <c r="Q504" s="232"/>
      <c r="R504" s="411"/>
      <c r="T504" s="134" t="s">
        <v>145</v>
      </c>
      <c r="U504" s="446" t="s">
        <v>1324</v>
      </c>
      <c r="V504" s="133" t="s">
        <v>1318</v>
      </c>
      <c r="AA504" s="218"/>
    </row>
    <row r="505" spans="1:27" ht="24" x14ac:dyDescent="0.25">
      <c r="A505" s="420"/>
      <c r="B505" s="422"/>
      <c r="C505" s="420"/>
      <c r="D505" s="418"/>
      <c r="E505" s="120">
        <v>1000</v>
      </c>
      <c r="F505" s="133" t="s">
        <v>1325</v>
      </c>
      <c r="G505" s="436"/>
      <c r="H505" s="428"/>
      <c r="I505" s="428"/>
      <c r="J505" s="428"/>
      <c r="K505" s="426"/>
      <c r="L505" s="158">
        <v>30</v>
      </c>
      <c r="N505" s="91">
        <f t="shared" si="74"/>
        <v>30</v>
      </c>
      <c r="O505" s="411"/>
      <c r="P505" s="132" t="s">
        <v>235</v>
      </c>
      <c r="Q505" s="232"/>
      <c r="R505" s="411"/>
      <c r="T505" s="134" t="s">
        <v>145</v>
      </c>
      <c r="U505" s="447"/>
      <c r="V505" s="133" t="s">
        <v>1318</v>
      </c>
      <c r="AA505" s="218"/>
    </row>
    <row r="506" spans="1:27" x14ac:dyDescent="0.25">
      <c r="A506" s="405">
        <v>3000342</v>
      </c>
      <c r="B506" s="406">
        <v>42391</v>
      </c>
      <c r="C506" s="405" t="s">
        <v>42</v>
      </c>
      <c r="D506" s="401" t="s">
        <v>1326</v>
      </c>
      <c r="E506" s="120">
        <v>500</v>
      </c>
      <c r="F506" s="133" t="s">
        <v>307</v>
      </c>
      <c r="G506" s="404" t="s">
        <v>45</v>
      </c>
      <c r="H506" s="411">
        <v>675.5</v>
      </c>
      <c r="I506" s="89">
        <f t="shared" ref="I506:I507" si="83">-(H506*0.09)</f>
        <v>-60.794999999999995</v>
      </c>
      <c r="J506" s="90">
        <f>-((H506*0.019)+0.3)</f>
        <v>-13.134500000000001</v>
      </c>
      <c r="K506" s="90">
        <f t="shared" ref="K506:K507" si="84">SUM(H506:J506)</f>
        <v>601.57050000000004</v>
      </c>
      <c r="L506" s="131">
        <v>690</v>
      </c>
      <c r="M506" s="158">
        <v>86.41</v>
      </c>
      <c r="N506" s="91">
        <f t="shared" si="74"/>
        <v>431.40999999999997</v>
      </c>
      <c r="O506" s="411">
        <f t="shared" si="77"/>
        <v>170.16050000000007</v>
      </c>
      <c r="P506" s="132" t="s">
        <v>52</v>
      </c>
      <c r="Q506" s="232"/>
      <c r="R506" s="411"/>
      <c r="T506" s="134" t="s">
        <v>1327</v>
      </c>
      <c r="U506" s="267" t="s">
        <v>1328</v>
      </c>
      <c r="V506" s="133" t="s">
        <v>55</v>
      </c>
      <c r="AA506" s="218"/>
    </row>
    <row r="507" spans="1:27" x14ac:dyDescent="0.25">
      <c r="A507" s="419">
        <v>3000343</v>
      </c>
      <c r="B507" s="421">
        <v>42391</v>
      </c>
      <c r="C507" s="419" t="s">
        <v>42</v>
      </c>
      <c r="D507" s="417" t="s">
        <v>1329</v>
      </c>
      <c r="E507" s="120">
        <v>250</v>
      </c>
      <c r="F507" s="133" t="s">
        <v>207</v>
      </c>
      <c r="G507" s="434" t="s">
        <v>45</v>
      </c>
      <c r="H507" s="427">
        <v>981.41</v>
      </c>
      <c r="I507" s="452">
        <f t="shared" si="83"/>
        <v>-88.326899999999995</v>
      </c>
      <c r="J507" s="425">
        <f>-((H507*0.019)+0.3)</f>
        <v>-18.94679</v>
      </c>
      <c r="K507" s="425">
        <f t="shared" si="84"/>
        <v>874.13630999999998</v>
      </c>
      <c r="L507" s="131">
        <v>570</v>
      </c>
      <c r="M507" s="555">
        <v>103.8</v>
      </c>
      <c r="N507" s="91">
        <f t="shared" si="74"/>
        <v>246.3</v>
      </c>
      <c r="O507" s="411">
        <f t="shared" si="77"/>
        <v>627.83630999999991</v>
      </c>
      <c r="P507" s="132" t="s">
        <v>52</v>
      </c>
      <c r="Q507" s="232"/>
      <c r="R507" s="411"/>
      <c r="T507" s="470" t="s">
        <v>244</v>
      </c>
      <c r="U507" s="505" t="s">
        <v>1330</v>
      </c>
      <c r="V507" s="133" t="s">
        <v>55</v>
      </c>
      <c r="AA507" s="218"/>
    </row>
    <row r="508" spans="1:27" x14ac:dyDescent="0.25">
      <c r="A508" s="432"/>
      <c r="B508" s="433"/>
      <c r="C508" s="432"/>
      <c r="D508" s="454"/>
      <c r="E508" s="120">
        <v>500</v>
      </c>
      <c r="F508" s="133" t="s">
        <v>393</v>
      </c>
      <c r="G508" s="435"/>
      <c r="H508" s="438"/>
      <c r="I508" s="484"/>
      <c r="J508" s="437"/>
      <c r="K508" s="437"/>
      <c r="L508" s="131">
        <v>399</v>
      </c>
      <c r="M508" s="556"/>
      <c r="N508" s="91">
        <f t="shared" si="74"/>
        <v>199.5</v>
      </c>
      <c r="O508" s="411">
        <f t="shared" si="77"/>
        <v>-199.5</v>
      </c>
      <c r="P508" s="132" t="s">
        <v>52</v>
      </c>
      <c r="Q508" s="232"/>
      <c r="R508" s="411"/>
      <c r="T508" s="471"/>
      <c r="U508" s="506"/>
      <c r="AA508" s="218"/>
    </row>
    <row r="509" spans="1:27" x14ac:dyDescent="0.25">
      <c r="A509" s="420"/>
      <c r="B509" s="422"/>
      <c r="C509" s="420"/>
      <c r="D509" s="418"/>
      <c r="E509" s="120">
        <v>500</v>
      </c>
      <c r="F509" s="133" t="s">
        <v>175</v>
      </c>
      <c r="G509" s="436"/>
      <c r="H509" s="428"/>
      <c r="I509" s="453"/>
      <c r="J509" s="426"/>
      <c r="K509" s="426"/>
      <c r="L509" s="131">
        <v>250</v>
      </c>
      <c r="M509" s="557"/>
      <c r="N509" s="91">
        <f t="shared" si="74"/>
        <v>125</v>
      </c>
      <c r="O509" s="411">
        <f t="shared" si="77"/>
        <v>-125</v>
      </c>
      <c r="P509" s="132" t="s">
        <v>52</v>
      </c>
      <c r="Q509" s="232"/>
      <c r="R509" s="411"/>
      <c r="T509" s="471"/>
      <c r="U509" s="490"/>
      <c r="AA509" s="218"/>
    </row>
    <row r="510" spans="1:27" ht="24" x14ac:dyDescent="0.25">
      <c r="A510" s="405">
        <v>3000344</v>
      </c>
      <c r="B510" s="406">
        <v>42391</v>
      </c>
      <c r="C510" s="405" t="s">
        <v>42</v>
      </c>
      <c r="D510" s="401" t="s">
        <v>1331</v>
      </c>
      <c r="E510" s="120">
        <v>450</v>
      </c>
      <c r="F510" s="133" t="s">
        <v>877</v>
      </c>
      <c r="G510" s="404" t="s">
        <v>45</v>
      </c>
      <c r="H510" s="411">
        <v>307.3</v>
      </c>
      <c r="I510" s="89">
        <f t="shared" ref="I510:I512" si="85">-(H510*0.09)</f>
        <v>-27.657</v>
      </c>
      <c r="J510" s="90">
        <f>-((H510*0.019)+0.3)</f>
        <v>-6.1387</v>
      </c>
      <c r="K510" s="90">
        <f t="shared" ref="K510:K521" si="86">SUM(H510:J510)</f>
        <v>273.50430000000006</v>
      </c>
      <c r="L510" s="131">
        <v>235</v>
      </c>
      <c r="M510" s="158">
        <v>42.3</v>
      </c>
      <c r="N510" s="91">
        <f t="shared" si="74"/>
        <v>148.05000000000001</v>
      </c>
      <c r="O510" s="411">
        <f t="shared" si="77"/>
        <v>125.45430000000005</v>
      </c>
      <c r="P510" s="132" t="s">
        <v>52</v>
      </c>
      <c r="Q510" s="232"/>
      <c r="R510" s="411"/>
      <c r="T510" s="409" t="s">
        <v>145</v>
      </c>
      <c r="U510" s="267" t="s">
        <v>1332</v>
      </c>
      <c r="AA510" s="218"/>
    </row>
    <row r="511" spans="1:27" ht="24" x14ac:dyDescent="0.25">
      <c r="A511" s="405">
        <v>3000345</v>
      </c>
      <c r="B511" s="406">
        <v>42391</v>
      </c>
      <c r="C511" s="405" t="s">
        <v>42</v>
      </c>
      <c r="D511" s="401" t="s">
        <v>1333</v>
      </c>
      <c r="E511" s="120">
        <v>175</v>
      </c>
      <c r="F511" s="133" t="s">
        <v>247</v>
      </c>
      <c r="G511" s="404" t="s">
        <v>45</v>
      </c>
      <c r="H511" s="411">
        <v>223.61</v>
      </c>
      <c r="I511" s="89">
        <f t="shared" si="85"/>
        <v>-20.1249</v>
      </c>
      <c r="J511" s="90">
        <f>-((H511*0.019)+0.3)</f>
        <v>-4.5485899999999999</v>
      </c>
      <c r="K511" s="90">
        <f t="shared" si="86"/>
        <v>198.93651000000003</v>
      </c>
      <c r="L511" s="131">
        <v>580</v>
      </c>
      <c r="M511" s="131">
        <v>39.06</v>
      </c>
      <c r="N511" s="91">
        <f t="shared" si="74"/>
        <v>140.56</v>
      </c>
      <c r="O511" s="411">
        <f t="shared" si="77"/>
        <v>58.376510000000025</v>
      </c>
      <c r="P511" s="132" t="s">
        <v>86</v>
      </c>
      <c r="Q511" s="232"/>
      <c r="R511" s="411"/>
      <c r="T511" s="134" t="s">
        <v>324</v>
      </c>
      <c r="U511" s="267" t="s">
        <v>1334</v>
      </c>
      <c r="AA511" s="218"/>
    </row>
    <row r="512" spans="1:27" ht="24" x14ac:dyDescent="0.25">
      <c r="A512" s="405">
        <v>3000346</v>
      </c>
      <c r="B512" s="406">
        <v>42391</v>
      </c>
      <c r="C512" s="405" t="s">
        <v>42</v>
      </c>
      <c r="D512" s="401" t="s">
        <v>1335</v>
      </c>
      <c r="E512" s="120">
        <v>100</v>
      </c>
      <c r="F512" s="133" t="s">
        <v>829</v>
      </c>
      <c r="G512" s="404" t="s">
        <v>45</v>
      </c>
      <c r="H512" s="411">
        <v>102.42</v>
      </c>
      <c r="I512" s="89">
        <f t="shared" si="85"/>
        <v>-9.2178000000000004</v>
      </c>
      <c r="J512" s="90">
        <f>-((H512*0.019)+0.3)</f>
        <v>-2.2459799999999999</v>
      </c>
      <c r="K512" s="90">
        <f t="shared" si="86"/>
        <v>90.956220000000002</v>
      </c>
      <c r="L512" s="131">
        <v>510</v>
      </c>
      <c r="M512" s="158">
        <v>22.72</v>
      </c>
      <c r="N512" s="91">
        <f t="shared" si="74"/>
        <v>73.72</v>
      </c>
      <c r="O512" s="411">
        <f t="shared" si="77"/>
        <v>17.236220000000003</v>
      </c>
      <c r="P512" s="132" t="s">
        <v>52</v>
      </c>
      <c r="Q512" s="232"/>
      <c r="R512" s="411"/>
      <c r="T512" s="134" t="s">
        <v>145</v>
      </c>
      <c r="U512" s="267" t="s">
        <v>1336</v>
      </c>
      <c r="AA512" s="218"/>
    </row>
    <row r="513" spans="1:27" ht="24" x14ac:dyDescent="0.25">
      <c r="A513" s="405">
        <v>3000347</v>
      </c>
      <c r="B513" s="406">
        <v>42391</v>
      </c>
      <c r="C513" s="405" t="s">
        <v>237</v>
      </c>
      <c r="D513" s="401" t="s">
        <v>1337</v>
      </c>
      <c r="E513" s="120">
        <v>125</v>
      </c>
      <c r="F513" s="133" t="s">
        <v>217</v>
      </c>
      <c r="G513" s="404" t="s">
        <v>45</v>
      </c>
      <c r="H513" s="411">
        <v>300</v>
      </c>
      <c r="I513" s="89">
        <f>-(H513*0.15)</f>
        <v>-45</v>
      </c>
      <c r="J513" s="411">
        <v>0</v>
      </c>
      <c r="K513" s="90">
        <f t="shared" si="86"/>
        <v>255</v>
      </c>
      <c r="L513" s="131">
        <v>1450</v>
      </c>
      <c r="M513" s="158">
        <v>40.78</v>
      </c>
      <c r="N513" s="91">
        <f t="shared" si="74"/>
        <v>222.03</v>
      </c>
      <c r="O513" s="411">
        <f t="shared" si="77"/>
        <v>32.97</v>
      </c>
      <c r="P513" s="132" t="s">
        <v>52</v>
      </c>
      <c r="Q513" s="232"/>
      <c r="R513" s="411"/>
      <c r="T513" s="134" t="s">
        <v>145</v>
      </c>
      <c r="U513" s="267" t="s">
        <v>1338</v>
      </c>
      <c r="AA513" s="218"/>
    </row>
    <row r="514" spans="1:27" ht="24" x14ac:dyDescent="0.25">
      <c r="A514" s="405">
        <v>3000348</v>
      </c>
      <c r="B514" s="406">
        <v>42391</v>
      </c>
      <c r="C514" s="405" t="s">
        <v>237</v>
      </c>
      <c r="D514" s="401" t="s">
        <v>1339</v>
      </c>
      <c r="E514" s="120">
        <v>500</v>
      </c>
      <c r="F514" s="133" t="s">
        <v>451</v>
      </c>
      <c r="G514" s="404" t="s">
        <v>45</v>
      </c>
      <c r="H514" s="411">
        <v>324.52</v>
      </c>
      <c r="I514" s="89">
        <f>-(H514*0.15)</f>
        <v>-48.677999999999997</v>
      </c>
      <c r="J514" s="411">
        <v>0</v>
      </c>
      <c r="K514" s="90">
        <f t="shared" si="86"/>
        <v>275.84199999999998</v>
      </c>
      <c r="L514" s="131">
        <v>350</v>
      </c>
      <c r="M514" s="158">
        <v>40.65</v>
      </c>
      <c r="N514" s="91">
        <f t="shared" si="74"/>
        <v>215.65</v>
      </c>
      <c r="O514" s="411">
        <f t="shared" si="77"/>
        <v>60.191999999999979</v>
      </c>
      <c r="P514" s="132" t="s">
        <v>52</v>
      </c>
      <c r="Q514" s="232"/>
      <c r="R514" s="411"/>
      <c r="T514" s="134" t="s">
        <v>145</v>
      </c>
      <c r="U514" s="267" t="s">
        <v>1340</v>
      </c>
      <c r="AA514" s="218"/>
    </row>
    <row r="515" spans="1:27" ht="24" x14ac:dyDescent="0.25">
      <c r="A515" s="405">
        <v>3000349</v>
      </c>
      <c r="B515" s="406">
        <v>42394</v>
      </c>
      <c r="C515" s="405" t="s">
        <v>63</v>
      </c>
      <c r="D515" s="401" t="s">
        <v>1341</v>
      </c>
      <c r="E515" s="120">
        <v>250</v>
      </c>
      <c r="F515" s="133" t="s">
        <v>1342</v>
      </c>
      <c r="G515" s="404" t="s">
        <v>45</v>
      </c>
      <c r="H515" s="411">
        <v>135</v>
      </c>
      <c r="I515" s="411">
        <v>0</v>
      </c>
      <c r="J515" s="90">
        <f>-((H515*0.022)+0.3)</f>
        <v>-3.2699999999999996</v>
      </c>
      <c r="K515" s="90">
        <f t="shared" si="86"/>
        <v>131.72999999999999</v>
      </c>
      <c r="L515" s="158">
        <v>239.11</v>
      </c>
      <c r="M515" s="158">
        <v>9.6300000000000008</v>
      </c>
      <c r="N515" s="91">
        <f t="shared" si="74"/>
        <v>69.407499999999999</v>
      </c>
      <c r="O515" s="411">
        <f t="shared" si="77"/>
        <v>62.322499999999991</v>
      </c>
      <c r="P515" s="132" t="s">
        <v>330</v>
      </c>
      <c r="Q515" s="232"/>
      <c r="R515" s="411"/>
      <c r="T515" s="134" t="s">
        <v>145</v>
      </c>
      <c r="U515" s="267" t="s">
        <v>1343</v>
      </c>
      <c r="W515" s="153" t="s">
        <v>1344</v>
      </c>
      <c r="AA515" s="218"/>
    </row>
    <row r="516" spans="1:27" x14ac:dyDescent="0.25">
      <c r="A516" s="405">
        <v>3000350</v>
      </c>
      <c r="B516" s="406">
        <v>42394</v>
      </c>
      <c r="C516" s="405" t="s">
        <v>63</v>
      </c>
      <c r="D516" s="401" t="s">
        <v>1345</v>
      </c>
      <c r="E516" s="120">
        <v>1000</v>
      </c>
      <c r="F516" s="133" t="s">
        <v>288</v>
      </c>
      <c r="G516" s="404" t="s">
        <v>45</v>
      </c>
      <c r="H516" s="411">
        <v>1690</v>
      </c>
      <c r="I516" s="411">
        <v>0</v>
      </c>
      <c r="J516" s="90">
        <f>-((H516*0.022)+0.3)</f>
        <v>-37.479999999999997</v>
      </c>
      <c r="K516" s="90">
        <f t="shared" si="86"/>
        <v>1652.52</v>
      </c>
      <c r="L516" s="131">
        <v>1069</v>
      </c>
      <c r="M516" s="158">
        <v>135.53</v>
      </c>
      <c r="N516" s="91">
        <f t="shared" si="74"/>
        <v>1204.53</v>
      </c>
      <c r="O516" s="411">
        <f t="shared" si="77"/>
        <v>447.99</v>
      </c>
      <c r="P516" s="132" t="s">
        <v>86</v>
      </c>
      <c r="Q516" s="232"/>
      <c r="R516" s="411"/>
      <c r="T516" s="134" t="s">
        <v>1346</v>
      </c>
      <c r="U516" s="266">
        <v>5009138392</v>
      </c>
      <c r="V516" s="133" t="s">
        <v>55</v>
      </c>
      <c r="W516" s="153" t="s">
        <v>1347</v>
      </c>
      <c r="AA516" s="218"/>
    </row>
    <row r="517" spans="1:27" ht="24" x14ac:dyDescent="0.25">
      <c r="A517" s="405">
        <v>3000351</v>
      </c>
      <c r="B517" s="406">
        <v>42394</v>
      </c>
      <c r="C517" s="405" t="s">
        <v>63</v>
      </c>
      <c r="D517" s="401" t="s">
        <v>1348</v>
      </c>
      <c r="E517" s="120">
        <v>135</v>
      </c>
      <c r="F517" s="133" t="s">
        <v>431</v>
      </c>
      <c r="G517" s="404" t="s">
        <v>45</v>
      </c>
      <c r="H517" s="411">
        <v>293.3</v>
      </c>
      <c r="I517" s="411">
        <v>0</v>
      </c>
      <c r="J517" s="90">
        <f>-((H517*0.022)+0.3)</f>
        <v>-6.7525999999999993</v>
      </c>
      <c r="K517" s="90">
        <f t="shared" si="86"/>
        <v>286.54740000000004</v>
      </c>
      <c r="L517" s="131">
        <v>1050</v>
      </c>
      <c r="M517" s="158">
        <v>21.31</v>
      </c>
      <c r="N517" s="91">
        <f t="shared" si="74"/>
        <v>163.06</v>
      </c>
      <c r="O517" s="411">
        <f t="shared" si="77"/>
        <v>123.48740000000004</v>
      </c>
      <c r="P517" s="132" t="s">
        <v>52</v>
      </c>
      <c r="Q517" s="232"/>
      <c r="R517" s="411">
        <v>23.3</v>
      </c>
      <c r="S517" s="133" t="s">
        <v>1169</v>
      </c>
      <c r="T517" s="134" t="s">
        <v>145</v>
      </c>
      <c r="U517" s="267" t="s">
        <v>1349</v>
      </c>
      <c r="W517" s="153" t="s">
        <v>1350</v>
      </c>
      <c r="AA517" s="218"/>
    </row>
    <row r="518" spans="1:27" x14ac:dyDescent="0.25">
      <c r="A518" s="405">
        <v>3000352</v>
      </c>
      <c r="B518" s="406">
        <v>42394</v>
      </c>
      <c r="C518" s="405" t="s">
        <v>555</v>
      </c>
      <c r="D518" s="160" t="s">
        <v>1351</v>
      </c>
      <c r="E518" s="120">
        <v>709</v>
      </c>
      <c r="F518" s="133" t="s">
        <v>1352</v>
      </c>
      <c r="G518" s="404" t="s">
        <v>45</v>
      </c>
      <c r="H518" s="411">
        <v>3240</v>
      </c>
      <c r="I518" s="411">
        <v>0</v>
      </c>
      <c r="J518" s="411">
        <v>0</v>
      </c>
      <c r="K518" s="90">
        <f t="shared" si="86"/>
        <v>3240</v>
      </c>
      <c r="L518" s="158">
        <v>2500</v>
      </c>
      <c r="M518" s="158">
        <v>105</v>
      </c>
      <c r="N518" s="91">
        <f t="shared" si="74"/>
        <v>1877.5</v>
      </c>
      <c r="O518" s="411">
        <f t="shared" si="77"/>
        <v>1362.5</v>
      </c>
      <c r="P518" s="132" t="s">
        <v>183</v>
      </c>
      <c r="Q518" s="232"/>
      <c r="R518" s="411"/>
      <c r="T518" s="134" t="s">
        <v>760</v>
      </c>
      <c r="U518" s="266">
        <v>31077060</v>
      </c>
      <c r="W518" s="153" t="s">
        <v>1353</v>
      </c>
      <c r="AA518" s="218"/>
    </row>
    <row r="519" spans="1:27" ht="24" x14ac:dyDescent="0.25">
      <c r="A519" s="405">
        <v>3000353</v>
      </c>
      <c r="B519" s="406">
        <v>42394</v>
      </c>
      <c r="C519" s="405" t="s">
        <v>327</v>
      </c>
      <c r="D519" s="401" t="s">
        <v>1354</v>
      </c>
      <c r="E519" s="120">
        <v>300</v>
      </c>
      <c r="F519" s="133" t="s">
        <v>165</v>
      </c>
      <c r="G519" s="404" t="s">
        <v>45</v>
      </c>
      <c r="H519" s="411">
        <v>270</v>
      </c>
      <c r="I519" s="411">
        <v>0</v>
      </c>
      <c r="J519" s="90">
        <f>-((H519*0.022)+0.3)</f>
        <v>-6.2399999999999993</v>
      </c>
      <c r="K519" s="90">
        <f t="shared" si="86"/>
        <v>263.76</v>
      </c>
      <c r="L519" s="131">
        <v>480</v>
      </c>
      <c r="M519" s="158">
        <v>42.16</v>
      </c>
      <c r="N519" s="91">
        <f t="shared" si="74"/>
        <v>186.16</v>
      </c>
      <c r="O519" s="411">
        <f t="shared" si="77"/>
        <v>77.599999999999994</v>
      </c>
      <c r="P519" s="132" t="s">
        <v>52</v>
      </c>
      <c r="Q519" s="232"/>
      <c r="R519" s="411"/>
      <c r="T519" s="134" t="s">
        <v>145</v>
      </c>
      <c r="U519" s="267" t="s">
        <v>1355</v>
      </c>
      <c r="W519" s="153" t="s">
        <v>1356</v>
      </c>
      <c r="AA519" s="218"/>
    </row>
    <row r="520" spans="1:27" ht="24" x14ac:dyDescent="0.25">
      <c r="A520" s="405">
        <v>3000354</v>
      </c>
      <c r="B520" s="406">
        <v>42394</v>
      </c>
      <c r="C520" s="405" t="s">
        <v>159</v>
      </c>
      <c r="D520" s="401" t="s">
        <v>1357</v>
      </c>
      <c r="E520" s="120">
        <v>140</v>
      </c>
      <c r="F520" s="133" t="s">
        <v>1358</v>
      </c>
      <c r="G520" s="404" t="s">
        <v>45</v>
      </c>
      <c r="H520" s="411">
        <v>317.8</v>
      </c>
      <c r="I520" s="411">
        <v>0</v>
      </c>
      <c r="J520" s="90">
        <f>-((H520*0.019)+0.3)</f>
        <v>-6.3381999999999996</v>
      </c>
      <c r="K520" s="90">
        <f t="shared" si="86"/>
        <v>311.46180000000004</v>
      </c>
      <c r="N520" s="91">
        <f t="shared" si="74"/>
        <v>0</v>
      </c>
      <c r="O520" s="411"/>
      <c r="P520" s="132" t="s">
        <v>52</v>
      </c>
      <c r="Q520" s="232"/>
      <c r="R520" s="411"/>
      <c r="T520" s="134" t="s">
        <v>145</v>
      </c>
      <c r="U520" s="267" t="s">
        <v>1359</v>
      </c>
      <c r="W520" s="153" t="s">
        <v>1360</v>
      </c>
      <c r="AA520" s="218"/>
    </row>
    <row r="521" spans="1:27" x14ac:dyDescent="0.25">
      <c r="A521" s="419">
        <v>3000355</v>
      </c>
      <c r="B521" s="421">
        <v>42394</v>
      </c>
      <c r="C521" s="419" t="s">
        <v>63</v>
      </c>
      <c r="D521" s="417" t="s">
        <v>1361</v>
      </c>
      <c r="E521" s="120">
        <v>1000</v>
      </c>
      <c r="F521" s="133" t="s">
        <v>1362</v>
      </c>
      <c r="G521" s="434" t="s">
        <v>45</v>
      </c>
      <c r="H521" s="502">
        <v>4639.6000000000004</v>
      </c>
      <c r="I521" s="427">
        <v>0</v>
      </c>
      <c r="J521" s="425">
        <f>-((H521*0.022)+0.3)</f>
        <v>-102.3712</v>
      </c>
      <c r="K521" s="425">
        <f t="shared" si="86"/>
        <v>4537.2288000000008</v>
      </c>
      <c r="L521" s="158">
        <v>1896</v>
      </c>
      <c r="M521" s="158"/>
      <c r="N521" s="91">
        <f t="shared" si="74"/>
        <v>1896</v>
      </c>
      <c r="O521" s="411">
        <f t="shared" ref="O521:O584" si="87">K521-N521</f>
        <v>2641.2288000000008</v>
      </c>
      <c r="P521" s="132" t="s">
        <v>183</v>
      </c>
      <c r="Q521" s="232"/>
      <c r="R521" s="411"/>
      <c r="T521" s="470" t="s">
        <v>760</v>
      </c>
      <c r="U521" s="505">
        <v>31077071</v>
      </c>
      <c r="W521" s="153" t="s">
        <v>1363</v>
      </c>
      <c r="AA521" s="218"/>
    </row>
    <row r="522" spans="1:27" x14ac:dyDescent="0.25">
      <c r="A522" s="432"/>
      <c r="B522" s="433"/>
      <c r="C522" s="432"/>
      <c r="D522" s="454"/>
      <c r="E522" s="120">
        <v>675</v>
      </c>
      <c r="F522" s="133" t="s">
        <v>117</v>
      </c>
      <c r="G522" s="435"/>
      <c r="H522" s="503"/>
      <c r="I522" s="438"/>
      <c r="J522" s="437"/>
      <c r="K522" s="437"/>
      <c r="L522" s="158">
        <v>1340</v>
      </c>
      <c r="M522" s="158"/>
      <c r="N522" s="91">
        <f t="shared" ref="N522:N585" si="88">((L522)*(E522*0.001))+M522</f>
        <v>904.50000000000011</v>
      </c>
      <c r="O522" s="411">
        <f t="shared" si="87"/>
        <v>-904.50000000000011</v>
      </c>
      <c r="P522" s="132" t="s">
        <v>183</v>
      </c>
      <c r="Q522" s="232"/>
      <c r="R522" s="411"/>
      <c r="T522" s="471"/>
      <c r="U522" s="506"/>
      <c r="AA522" s="218"/>
    </row>
    <row r="523" spans="1:27" x14ac:dyDescent="0.25">
      <c r="A523" s="420"/>
      <c r="B523" s="422"/>
      <c r="C523" s="420"/>
      <c r="D523" s="418"/>
      <c r="E523" s="120">
        <v>1800</v>
      </c>
      <c r="F523" s="133" t="s">
        <v>312</v>
      </c>
      <c r="G523" s="436"/>
      <c r="H523" s="504"/>
      <c r="I523" s="428"/>
      <c r="J523" s="426"/>
      <c r="K523" s="426"/>
      <c r="L523" s="158">
        <v>580</v>
      </c>
      <c r="M523" s="158">
        <v>0</v>
      </c>
      <c r="N523" s="91">
        <f t="shared" si="88"/>
        <v>1044</v>
      </c>
      <c r="O523" s="411">
        <f t="shared" si="87"/>
        <v>-1044</v>
      </c>
      <c r="P523" s="132" t="s">
        <v>183</v>
      </c>
      <c r="Q523" s="232"/>
      <c r="R523" s="411"/>
      <c r="T523" s="472"/>
      <c r="U523" s="490"/>
      <c r="AA523" s="218"/>
    </row>
    <row r="524" spans="1:27" ht="24" x14ac:dyDescent="0.25">
      <c r="A524" s="405">
        <v>3000356</v>
      </c>
      <c r="B524" s="406">
        <v>42394</v>
      </c>
      <c r="C524" s="405" t="s">
        <v>159</v>
      </c>
      <c r="D524" s="401" t="s">
        <v>1364</v>
      </c>
      <c r="E524" s="120">
        <v>88</v>
      </c>
      <c r="F524" s="133" t="s">
        <v>448</v>
      </c>
      <c r="G524" s="404" t="s">
        <v>45</v>
      </c>
      <c r="H524" s="411">
        <v>534.16</v>
      </c>
      <c r="I524" s="411">
        <v>0</v>
      </c>
      <c r="J524" s="90">
        <f t="shared" ref="J524:J537" si="89">-((H524*0.019)+0.3)</f>
        <v>-10.44904</v>
      </c>
      <c r="K524" s="90">
        <f t="shared" ref="K524:K543" si="90">SUM(H524:J524)</f>
        <v>523.71096</v>
      </c>
      <c r="L524" s="158">
        <v>3350</v>
      </c>
      <c r="M524" s="158">
        <v>32.39</v>
      </c>
      <c r="N524" s="91">
        <f t="shared" si="88"/>
        <v>327.18999999999994</v>
      </c>
      <c r="O524" s="411">
        <f t="shared" si="87"/>
        <v>196.52096000000006</v>
      </c>
      <c r="P524" s="132" t="s">
        <v>183</v>
      </c>
      <c r="Q524" s="232"/>
      <c r="R524" s="411"/>
      <c r="T524" s="134" t="s">
        <v>145</v>
      </c>
      <c r="U524" s="267" t="s">
        <v>1365</v>
      </c>
      <c r="V524" s="133">
        <v>300356</v>
      </c>
      <c r="W524" s="153" t="s">
        <v>1366</v>
      </c>
      <c r="AA524" s="218"/>
    </row>
    <row r="525" spans="1:27" ht="24" x14ac:dyDescent="0.25">
      <c r="A525" s="405">
        <v>3000357</v>
      </c>
      <c r="B525" s="406">
        <v>42394</v>
      </c>
      <c r="C525" s="405" t="s">
        <v>159</v>
      </c>
      <c r="D525" s="401" t="s">
        <v>1367</v>
      </c>
      <c r="E525" s="120">
        <v>93</v>
      </c>
      <c r="F525" s="133" t="s">
        <v>247</v>
      </c>
      <c r="G525" s="404" t="s">
        <v>45</v>
      </c>
      <c r="H525" s="411">
        <v>99.51</v>
      </c>
      <c r="I525" s="411">
        <v>0</v>
      </c>
      <c r="J525" s="90">
        <f t="shared" si="89"/>
        <v>-2.19069</v>
      </c>
      <c r="K525" s="90">
        <f t="shared" si="90"/>
        <v>97.319310000000002</v>
      </c>
      <c r="L525" s="131">
        <v>580</v>
      </c>
      <c r="M525" s="158">
        <v>43.68</v>
      </c>
      <c r="N525" s="91">
        <f t="shared" si="88"/>
        <v>97.62</v>
      </c>
      <c r="O525" s="411">
        <f t="shared" si="87"/>
        <v>-0.30069000000000301</v>
      </c>
      <c r="P525" s="132" t="s">
        <v>86</v>
      </c>
      <c r="Q525" s="232"/>
      <c r="R525" s="411"/>
      <c r="T525" s="134" t="s">
        <v>145</v>
      </c>
      <c r="U525" s="267" t="s">
        <v>1368</v>
      </c>
      <c r="W525" s="153" t="s">
        <v>1369</v>
      </c>
      <c r="AA525" s="218"/>
    </row>
    <row r="526" spans="1:27" ht="24" x14ac:dyDescent="0.25">
      <c r="A526" s="405">
        <v>3000358</v>
      </c>
      <c r="B526" s="406">
        <v>42394</v>
      </c>
      <c r="C526" s="405" t="s">
        <v>159</v>
      </c>
      <c r="D526" s="401" t="s">
        <v>1370</v>
      </c>
      <c r="E526" s="120">
        <v>20</v>
      </c>
      <c r="F526" s="133" t="s">
        <v>448</v>
      </c>
      <c r="G526" s="404" t="s">
        <v>45</v>
      </c>
      <c r="H526" s="411">
        <v>121.4</v>
      </c>
      <c r="I526" s="411">
        <v>0</v>
      </c>
      <c r="J526" s="90">
        <f t="shared" si="89"/>
        <v>-2.6065999999999998</v>
      </c>
      <c r="K526" s="90">
        <f t="shared" si="90"/>
        <v>118.79340000000001</v>
      </c>
      <c r="L526" s="158">
        <v>3350</v>
      </c>
      <c r="M526" s="158">
        <v>14.09</v>
      </c>
      <c r="N526" s="91">
        <f t="shared" si="88"/>
        <v>81.09</v>
      </c>
      <c r="O526" s="411">
        <f t="shared" si="87"/>
        <v>37.703400000000002</v>
      </c>
      <c r="P526" s="132" t="s">
        <v>183</v>
      </c>
      <c r="Q526" s="232"/>
      <c r="R526" s="411"/>
      <c r="T526" s="134" t="s">
        <v>145</v>
      </c>
      <c r="U526" s="267" t="s">
        <v>1371</v>
      </c>
      <c r="V526" s="178"/>
      <c r="W526" s="153" t="s">
        <v>1372</v>
      </c>
      <c r="AA526" s="218"/>
    </row>
    <row r="527" spans="1:27" ht="24" x14ac:dyDescent="0.25">
      <c r="A527" s="405">
        <v>3000359</v>
      </c>
      <c r="B527" s="406">
        <v>42394</v>
      </c>
      <c r="C527" s="405" t="s">
        <v>42</v>
      </c>
      <c r="D527" s="401" t="s">
        <v>1373</v>
      </c>
      <c r="E527" s="120">
        <v>50</v>
      </c>
      <c r="F527" s="133" t="s">
        <v>300</v>
      </c>
      <c r="G527" s="404" t="s">
        <v>45</v>
      </c>
      <c r="H527" s="411">
        <v>213.77</v>
      </c>
      <c r="I527" s="89">
        <f t="shared" ref="I527:I537" si="91">-(H527*0.09)</f>
        <v>-19.2393</v>
      </c>
      <c r="J527" s="90">
        <f t="shared" si="89"/>
        <v>-4.3616299999999999</v>
      </c>
      <c r="K527" s="90">
        <f t="shared" si="90"/>
        <v>190.16907000000003</v>
      </c>
      <c r="L527" s="131">
        <v>2320</v>
      </c>
      <c r="M527" s="158">
        <v>40.159999999999997</v>
      </c>
      <c r="N527" s="91">
        <f t="shared" si="88"/>
        <v>156.16</v>
      </c>
      <c r="O527" s="411">
        <f t="shared" si="87"/>
        <v>34.009070000000037</v>
      </c>
      <c r="P527" s="132" t="s">
        <v>52</v>
      </c>
      <c r="Q527" s="232"/>
      <c r="R527" s="411"/>
      <c r="T527" s="134" t="s">
        <v>145</v>
      </c>
      <c r="U527" s="267" t="s">
        <v>1374</v>
      </c>
      <c r="AA527" s="218"/>
    </row>
    <row r="528" spans="1:27" ht="24" x14ac:dyDescent="0.25">
      <c r="A528" s="405">
        <v>3000360</v>
      </c>
      <c r="B528" s="406">
        <v>42394</v>
      </c>
      <c r="C528" s="405" t="s">
        <v>42</v>
      </c>
      <c r="D528" s="401" t="s">
        <v>1375</v>
      </c>
      <c r="E528" s="120">
        <v>275</v>
      </c>
      <c r="F528" s="133" t="s">
        <v>829</v>
      </c>
      <c r="G528" s="404" t="s">
        <v>45</v>
      </c>
      <c r="H528" s="411">
        <v>274</v>
      </c>
      <c r="I528" s="89">
        <f t="shared" si="91"/>
        <v>-24.66</v>
      </c>
      <c r="J528" s="90">
        <f t="shared" si="89"/>
        <v>-5.5059999999999993</v>
      </c>
      <c r="K528" s="90">
        <f t="shared" si="90"/>
        <v>243.834</v>
      </c>
      <c r="L528" s="131">
        <v>510</v>
      </c>
      <c r="M528" s="158">
        <v>50.92</v>
      </c>
      <c r="N528" s="91">
        <f t="shared" si="88"/>
        <v>191.17000000000002</v>
      </c>
      <c r="O528" s="411">
        <f t="shared" si="87"/>
        <v>52.663999999999987</v>
      </c>
      <c r="P528" s="132" t="s">
        <v>52</v>
      </c>
      <c r="Q528" s="232"/>
      <c r="R528" s="411"/>
      <c r="T528" s="134" t="s">
        <v>145</v>
      </c>
      <c r="U528" s="267" t="s">
        <v>1376</v>
      </c>
      <c r="AA528" s="218"/>
    </row>
    <row r="529" spans="1:27" ht="24" x14ac:dyDescent="0.25">
      <c r="A529" s="405">
        <v>3000361</v>
      </c>
      <c r="B529" s="406">
        <v>42394</v>
      </c>
      <c r="C529" s="405" t="s">
        <v>42</v>
      </c>
      <c r="D529" s="401" t="s">
        <v>1377</v>
      </c>
      <c r="E529" s="120">
        <v>200</v>
      </c>
      <c r="F529" s="133" t="s">
        <v>877</v>
      </c>
      <c r="G529" s="404" t="s">
        <v>45</v>
      </c>
      <c r="H529" s="411">
        <v>137.5</v>
      </c>
      <c r="I529" s="89">
        <f t="shared" si="91"/>
        <v>-12.375</v>
      </c>
      <c r="J529" s="90">
        <f t="shared" si="89"/>
        <v>-2.9124999999999996</v>
      </c>
      <c r="K529" s="90">
        <f t="shared" si="90"/>
        <v>122.21250000000001</v>
      </c>
      <c r="L529" s="131">
        <v>235</v>
      </c>
      <c r="M529" s="158">
        <v>26.88</v>
      </c>
      <c r="N529" s="91">
        <f t="shared" si="88"/>
        <v>73.88</v>
      </c>
      <c r="O529" s="411">
        <f t="shared" si="87"/>
        <v>48.33250000000001</v>
      </c>
      <c r="P529" s="132" t="s">
        <v>52</v>
      </c>
      <c r="Q529" s="232"/>
      <c r="R529" s="411"/>
      <c r="T529" s="134" t="s">
        <v>145</v>
      </c>
      <c r="U529" s="267" t="s">
        <v>1378</v>
      </c>
      <c r="AA529" s="218"/>
    </row>
    <row r="530" spans="1:27" ht="24" x14ac:dyDescent="0.25">
      <c r="A530" s="405">
        <v>3000362</v>
      </c>
      <c r="B530" s="406">
        <v>42394</v>
      </c>
      <c r="C530" s="405" t="s">
        <v>42</v>
      </c>
      <c r="D530" s="401" t="s">
        <v>1379</v>
      </c>
      <c r="E530" s="120">
        <v>50</v>
      </c>
      <c r="F530" s="133" t="s">
        <v>431</v>
      </c>
      <c r="G530" s="404" t="s">
        <v>45</v>
      </c>
      <c r="H530" s="411">
        <v>142.19999999999999</v>
      </c>
      <c r="I530" s="89">
        <f t="shared" si="91"/>
        <v>-12.797999999999998</v>
      </c>
      <c r="J530" s="90">
        <f t="shared" si="89"/>
        <v>-3.0017999999999994</v>
      </c>
      <c r="K530" s="90">
        <f t="shared" si="90"/>
        <v>126.40019999999998</v>
      </c>
      <c r="L530" s="131">
        <v>1050</v>
      </c>
      <c r="M530" s="158">
        <v>36.81</v>
      </c>
      <c r="N530" s="91">
        <f t="shared" si="88"/>
        <v>89.31</v>
      </c>
      <c r="O530" s="411">
        <f t="shared" si="87"/>
        <v>37.090199999999982</v>
      </c>
      <c r="P530" s="132" t="s">
        <v>52</v>
      </c>
      <c r="Q530" s="232"/>
      <c r="R530" s="411"/>
      <c r="T530" s="134" t="s">
        <v>145</v>
      </c>
      <c r="U530" s="267" t="s">
        <v>1380</v>
      </c>
      <c r="AA530" s="218"/>
    </row>
    <row r="531" spans="1:27" ht="24" x14ac:dyDescent="0.25">
      <c r="A531" s="405">
        <v>3000363</v>
      </c>
      <c r="B531" s="406">
        <v>42394</v>
      </c>
      <c r="C531" s="405" t="s">
        <v>42</v>
      </c>
      <c r="D531" s="401" t="s">
        <v>1381</v>
      </c>
      <c r="E531" s="120">
        <v>500</v>
      </c>
      <c r="F531" s="133" t="s">
        <v>175</v>
      </c>
      <c r="G531" s="404" t="s">
        <v>45</v>
      </c>
      <c r="H531" s="411">
        <v>280.41000000000003</v>
      </c>
      <c r="I531" s="89">
        <f t="shared" si="91"/>
        <v>-25.236900000000002</v>
      </c>
      <c r="J531" s="90">
        <f t="shared" si="89"/>
        <v>-5.6277900000000001</v>
      </c>
      <c r="K531" s="90">
        <f t="shared" si="90"/>
        <v>249.54531000000003</v>
      </c>
      <c r="L531" s="131">
        <v>250</v>
      </c>
      <c r="M531" s="158">
        <v>55.2</v>
      </c>
      <c r="N531" s="91">
        <f t="shared" si="88"/>
        <v>180.2</v>
      </c>
      <c r="O531" s="411">
        <f t="shared" si="87"/>
        <v>69.34531000000004</v>
      </c>
      <c r="P531" s="132" t="s">
        <v>52</v>
      </c>
      <c r="Q531" s="232"/>
      <c r="R531" s="411"/>
      <c r="T531" s="134" t="s">
        <v>145</v>
      </c>
      <c r="U531" s="267" t="s">
        <v>1382</v>
      </c>
      <c r="AA531" s="218"/>
    </row>
    <row r="532" spans="1:27" ht="24" x14ac:dyDescent="0.25">
      <c r="A532" s="405">
        <v>3000364</v>
      </c>
      <c r="B532" s="406">
        <v>42394</v>
      </c>
      <c r="C532" s="405" t="s">
        <v>42</v>
      </c>
      <c r="D532" s="401" t="s">
        <v>1383</v>
      </c>
      <c r="E532" s="120">
        <v>100</v>
      </c>
      <c r="F532" s="133" t="s">
        <v>829</v>
      </c>
      <c r="G532" s="404" t="s">
        <v>45</v>
      </c>
      <c r="H532" s="411">
        <v>102.42</v>
      </c>
      <c r="I532" s="89">
        <f t="shared" si="91"/>
        <v>-9.2178000000000004</v>
      </c>
      <c r="J532" s="90">
        <f t="shared" si="89"/>
        <v>-2.2459799999999999</v>
      </c>
      <c r="K532" s="90">
        <f t="shared" si="90"/>
        <v>90.956220000000002</v>
      </c>
      <c r="L532" s="131">
        <v>510</v>
      </c>
      <c r="M532" s="158">
        <v>30.1</v>
      </c>
      <c r="N532" s="91">
        <f t="shared" si="88"/>
        <v>81.099999999999994</v>
      </c>
      <c r="O532" s="411">
        <f t="shared" si="87"/>
        <v>9.8562200000000075</v>
      </c>
      <c r="P532" s="132" t="s">
        <v>52</v>
      </c>
      <c r="Q532" s="232"/>
      <c r="R532" s="411"/>
      <c r="T532" s="134" t="s">
        <v>145</v>
      </c>
      <c r="U532" s="267" t="s">
        <v>1384</v>
      </c>
      <c r="AA532" s="218"/>
    </row>
    <row r="533" spans="1:27" ht="24" x14ac:dyDescent="0.25">
      <c r="A533" s="405">
        <v>3000365</v>
      </c>
      <c r="B533" s="406">
        <v>42394</v>
      </c>
      <c r="C533" s="405" t="s">
        <v>42</v>
      </c>
      <c r="D533" s="401" t="s">
        <v>1385</v>
      </c>
      <c r="E533" s="120">
        <v>250</v>
      </c>
      <c r="F533" s="133" t="s">
        <v>1386</v>
      </c>
      <c r="G533" s="404" t="s">
        <v>45</v>
      </c>
      <c r="H533" s="411">
        <v>202.5</v>
      </c>
      <c r="I533" s="89">
        <f t="shared" si="91"/>
        <v>-18.224999999999998</v>
      </c>
      <c r="J533" s="90">
        <f t="shared" si="89"/>
        <v>-4.1475</v>
      </c>
      <c r="K533" s="90">
        <f t="shared" si="90"/>
        <v>180.1275</v>
      </c>
      <c r="L533" s="158">
        <v>440</v>
      </c>
      <c r="M533" s="158">
        <v>43.98</v>
      </c>
      <c r="N533" s="91">
        <f t="shared" si="88"/>
        <v>153.97999999999999</v>
      </c>
      <c r="O533" s="411">
        <f t="shared" si="87"/>
        <v>26.147500000000008</v>
      </c>
      <c r="P533" s="132" t="s">
        <v>183</v>
      </c>
      <c r="Q533" s="232"/>
      <c r="R533" s="411"/>
      <c r="T533" s="134" t="s">
        <v>145</v>
      </c>
      <c r="U533" s="267" t="s">
        <v>1387</v>
      </c>
      <c r="V533" s="133" t="s">
        <v>1388</v>
      </c>
      <c r="AA533" s="218"/>
    </row>
    <row r="534" spans="1:27" ht="24" x14ac:dyDescent="0.25">
      <c r="A534" s="405">
        <v>3000366</v>
      </c>
      <c r="B534" s="406">
        <v>42394</v>
      </c>
      <c r="C534" s="405" t="s">
        <v>42</v>
      </c>
      <c r="D534" s="401" t="s">
        <v>1389</v>
      </c>
      <c r="E534" s="120">
        <v>175</v>
      </c>
      <c r="F534" s="133" t="s">
        <v>877</v>
      </c>
      <c r="G534" s="404" t="s">
        <v>45</v>
      </c>
      <c r="H534" s="411">
        <v>132</v>
      </c>
      <c r="I534" s="89">
        <f t="shared" si="91"/>
        <v>-11.879999999999999</v>
      </c>
      <c r="J534" s="90">
        <f t="shared" si="89"/>
        <v>-2.8079999999999998</v>
      </c>
      <c r="K534" s="90">
        <f t="shared" si="90"/>
        <v>117.31200000000001</v>
      </c>
      <c r="L534" s="131">
        <v>235</v>
      </c>
      <c r="M534" s="158">
        <v>43.29</v>
      </c>
      <c r="N534" s="91">
        <f t="shared" si="88"/>
        <v>84.415000000000006</v>
      </c>
      <c r="O534" s="411">
        <f t="shared" si="87"/>
        <v>32.897000000000006</v>
      </c>
      <c r="P534" s="132" t="s">
        <v>52</v>
      </c>
      <c r="Q534" s="232"/>
      <c r="R534" s="411"/>
      <c r="T534" s="134" t="s">
        <v>145</v>
      </c>
      <c r="U534" s="267" t="s">
        <v>1390</v>
      </c>
      <c r="AA534" s="218"/>
    </row>
    <row r="535" spans="1:27" ht="24" x14ac:dyDescent="0.25">
      <c r="A535" s="405">
        <v>3000367</v>
      </c>
      <c r="B535" s="406">
        <v>42394</v>
      </c>
      <c r="C535" s="405" t="s">
        <v>42</v>
      </c>
      <c r="D535" s="401" t="s">
        <v>1391</v>
      </c>
      <c r="E535" s="120">
        <v>500</v>
      </c>
      <c r="F535" s="133" t="s">
        <v>427</v>
      </c>
      <c r="G535" s="404" t="s">
        <v>45</v>
      </c>
      <c r="H535" s="411">
        <v>170</v>
      </c>
      <c r="I535" s="89">
        <f t="shared" si="91"/>
        <v>-15.299999999999999</v>
      </c>
      <c r="J535" s="90">
        <f t="shared" si="89"/>
        <v>-3.53</v>
      </c>
      <c r="K535" s="90">
        <f t="shared" si="90"/>
        <v>151.16999999999999</v>
      </c>
      <c r="L535" s="158">
        <v>210</v>
      </c>
      <c r="M535" s="158">
        <v>23.71</v>
      </c>
      <c r="N535" s="91">
        <f t="shared" si="88"/>
        <v>128.71</v>
      </c>
      <c r="O535" s="411">
        <f t="shared" si="87"/>
        <v>22.45999999999998</v>
      </c>
      <c r="P535" s="132" t="s">
        <v>183</v>
      </c>
      <c r="Q535" s="232"/>
      <c r="R535" s="411"/>
      <c r="T535" s="134" t="s">
        <v>145</v>
      </c>
      <c r="U535" s="267" t="s">
        <v>1392</v>
      </c>
      <c r="AA535" s="218"/>
    </row>
    <row r="536" spans="1:27" ht="24" x14ac:dyDescent="0.25">
      <c r="A536" s="405">
        <v>3000368</v>
      </c>
      <c r="B536" s="406">
        <v>42394</v>
      </c>
      <c r="C536" s="405" t="s">
        <v>42</v>
      </c>
      <c r="D536" s="401" t="s">
        <v>1393</v>
      </c>
      <c r="E536" s="120">
        <v>325</v>
      </c>
      <c r="F536" s="133" t="s">
        <v>165</v>
      </c>
      <c r="G536" s="404" t="s">
        <v>45</v>
      </c>
      <c r="H536" s="411">
        <v>320</v>
      </c>
      <c r="I536" s="89">
        <f t="shared" si="91"/>
        <v>-28.799999999999997</v>
      </c>
      <c r="J536" s="90">
        <f t="shared" si="89"/>
        <v>-6.38</v>
      </c>
      <c r="K536" s="90">
        <f t="shared" si="90"/>
        <v>284.82</v>
      </c>
      <c r="L536" s="131">
        <v>480</v>
      </c>
      <c r="M536" s="158">
        <v>52.48</v>
      </c>
      <c r="N536" s="91">
        <f t="shared" si="88"/>
        <v>208.48</v>
      </c>
      <c r="O536" s="411">
        <f t="shared" si="87"/>
        <v>76.34</v>
      </c>
      <c r="P536" s="132" t="s">
        <v>52</v>
      </c>
      <c r="Q536" s="232"/>
      <c r="R536" s="411"/>
      <c r="T536" s="134" t="s">
        <v>145</v>
      </c>
      <c r="U536" s="267" t="s">
        <v>1394</v>
      </c>
      <c r="AA536" s="218"/>
    </row>
    <row r="537" spans="1:27" ht="24" x14ac:dyDescent="0.25">
      <c r="A537" s="405">
        <v>3000369</v>
      </c>
      <c r="B537" s="406">
        <v>42394</v>
      </c>
      <c r="C537" s="405" t="s">
        <v>42</v>
      </c>
      <c r="D537" s="401" t="s">
        <v>1395</v>
      </c>
      <c r="E537" s="120">
        <v>100</v>
      </c>
      <c r="F537" s="133" t="s">
        <v>217</v>
      </c>
      <c r="G537" s="404" t="s">
        <v>45</v>
      </c>
      <c r="H537" s="411">
        <v>253.8</v>
      </c>
      <c r="I537" s="89">
        <f t="shared" si="91"/>
        <v>-22.841999999999999</v>
      </c>
      <c r="J537" s="90">
        <f t="shared" si="89"/>
        <v>-5.1222000000000003</v>
      </c>
      <c r="K537" s="90">
        <f t="shared" si="90"/>
        <v>225.83580000000003</v>
      </c>
      <c r="L537" s="131">
        <v>1350</v>
      </c>
      <c r="M537" s="158">
        <v>24.16</v>
      </c>
      <c r="N537" s="91">
        <f t="shared" si="88"/>
        <v>159.16</v>
      </c>
      <c r="O537" s="411">
        <f t="shared" si="87"/>
        <v>66.675800000000038</v>
      </c>
      <c r="P537" s="132" t="s">
        <v>52</v>
      </c>
      <c r="Q537" s="232"/>
      <c r="R537" s="411">
        <v>18.8</v>
      </c>
      <c r="S537" s="133" t="s">
        <v>1396</v>
      </c>
      <c r="T537" s="134" t="s">
        <v>145</v>
      </c>
      <c r="U537" s="267" t="s">
        <v>1397</v>
      </c>
      <c r="AA537" s="218"/>
    </row>
    <row r="538" spans="1:27" ht="24" x14ac:dyDescent="0.25">
      <c r="A538" s="405">
        <v>3000370</v>
      </c>
      <c r="B538" s="406">
        <v>42394</v>
      </c>
      <c r="C538" s="405" t="s">
        <v>237</v>
      </c>
      <c r="D538" s="401" t="s">
        <v>1398</v>
      </c>
      <c r="E538" s="120">
        <v>250</v>
      </c>
      <c r="F538" s="119" t="s">
        <v>1399</v>
      </c>
      <c r="G538" s="404" t="s">
        <v>45</v>
      </c>
      <c r="H538" s="411">
        <v>230</v>
      </c>
      <c r="I538" s="89">
        <f>-(H538*0.15)</f>
        <v>-34.5</v>
      </c>
      <c r="J538" s="411">
        <v>0</v>
      </c>
      <c r="K538" s="90">
        <f t="shared" si="90"/>
        <v>195.5</v>
      </c>
      <c r="L538" s="158">
        <v>556</v>
      </c>
      <c r="M538" s="158">
        <v>19.829999999999998</v>
      </c>
      <c r="N538" s="91">
        <f t="shared" si="88"/>
        <v>158.82999999999998</v>
      </c>
      <c r="O538" s="411">
        <f t="shared" si="87"/>
        <v>36.670000000000016</v>
      </c>
      <c r="P538" s="132" t="s">
        <v>313</v>
      </c>
      <c r="Q538" s="232"/>
      <c r="R538" s="411"/>
      <c r="T538" s="134" t="s">
        <v>314</v>
      </c>
      <c r="U538" s="267" t="s">
        <v>1400</v>
      </c>
      <c r="AA538" s="218"/>
    </row>
    <row r="539" spans="1:27" ht="24" x14ac:dyDescent="0.25">
      <c r="A539" s="405">
        <v>3000371</v>
      </c>
      <c r="B539" s="406">
        <v>42394</v>
      </c>
      <c r="C539" s="405" t="s">
        <v>237</v>
      </c>
      <c r="D539" s="401" t="s">
        <v>1401</v>
      </c>
      <c r="E539" s="120">
        <v>100</v>
      </c>
      <c r="F539" s="133" t="s">
        <v>217</v>
      </c>
      <c r="G539" s="404" t="s">
        <v>45</v>
      </c>
      <c r="H539" s="411">
        <v>298.14999999999998</v>
      </c>
      <c r="I539" s="89">
        <f>-(H539*0.15)</f>
        <v>-44.722499999999997</v>
      </c>
      <c r="J539" s="411">
        <v>0</v>
      </c>
      <c r="K539" s="90">
        <f t="shared" si="90"/>
        <v>253.42749999999998</v>
      </c>
      <c r="L539" s="131">
        <v>1350</v>
      </c>
      <c r="M539" s="158">
        <v>26.89</v>
      </c>
      <c r="N539" s="91">
        <f t="shared" si="88"/>
        <v>161.88999999999999</v>
      </c>
      <c r="O539" s="411">
        <f t="shared" si="87"/>
        <v>91.537499999999994</v>
      </c>
      <c r="P539" s="132" t="s">
        <v>52</v>
      </c>
      <c r="Q539" s="232"/>
      <c r="R539" s="411"/>
      <c r="T539" s="134" t="s">
        <v>145</v>
      </c>
      <c r="U539" s="267" t="s">
        <v>1402</v>
      </c>
      <c r="AA539" s="218"/>
    </row>
    <row r="540" spans="1:27" ht="36" x14ac:dyDescent="0.25">
      <c r="A540" s="405">
        <v>3000372</v>
      </c>
      <c r="B540" s="406">
        <v>42394</v>
      </c>
      <c r="C540" s="405" t="s">
        <v>237</v>
      </c>
      <c r="D540" s="401" t="s">
        <v>1403</v>
      </c>
      <c r="E540" s="120">
        <v>2000</v>
      </c>
      <c r="F540" s="133" t="s">
        <v>1404</v>
      </c>
      <c r="G540" s="404" t="s">
        <v>45</v>
      </c>
      <c r="H540" s="411">
        <v>780</v>
      </c>
      <c r="I540" s="89">
        <f>-(H540*0.15)</f>
        <v>-117</v>
      </c>
      <c r="J540" s="411">
        <v>0</v>
      </c>
      <c r="K540" s="90">
        <f t="shared" si="90"/>
        <v>663</v>
      </c>
      <c r="N540" s="91">
        <f t="shared" si="88"/>
        <v>0</v>
      </c>
      <c r="O540" s="411">
        <f t="shared" si="87"/>
        <v>663</v>
      </c>
      <c r="P540" s="132" t="s">
        <v>42</v>
      </c>
      <c r="Q540" s="232"/>
      <c r="R540" s="411"/>
      <c r="T540" s="134" t="s">
        <v>204</v>
      </c>
      <c r="U540" s="266" t="s">
        <v>1405</v>
      </c>
      <c r="AA540" s="218"/>
    </row>
    <row r="541" spans="1:27" ht="24" x14ac:dyDescent="0.25">
      <c r="A541" s="405">
        <v>3000373</v>
      </c>
      <c r="B541" s="406">
        <v>42394</v>
      </c>
      <c r="C541" s="405" t="s">
        <v>237</v>
      </c>
      <c r="D541" s="401" t="s">
        <v>1406</v>
      </c>
      <c r="E541" s="120">
        <v>100</v>
      </c>
      <c r="F541" s="133" t="s">
        <v>247</v>
      </c>
      <c r="G541" s="404" t="s">
        <v>45</v>
      </c>
      <c r="H541" s="411">
        <v>163.43</v>
      </c>
      <c r="I541" s="89">
        <f>-(H541*0.15)</f>
        <v>-24.514500000000002</v>
      </c>
      <c r="J541" s="411">
        <v>0</v>
      </c>
      <c r="K541" s="90">
        <f t="shared" si="90"/>
        <v>138.91550000000001</v>
      </c>
      <c r="L541" s="131">
        <v>580</v>
      </c>
      <c r="M541" s="158">
        <v>38.96</v>
      </c>
      <c r="N541" s="91">
        <f t="shared" si="88"/>
        <v>96.960000000000008</v>
      </c>
      <c r="O541" s="411">
        <f t="shared" si="87"/>
        <v>41.955500000000001</v>
      </c>
      <c r="P541" s="132" t="s">
        <v>86</v>
      </c>
      <c r="Q541" s="232"/>
      <c r="R541" s="411"/>
      <c r="T541" s="134" t="s">
        <v>145</v>
      </c>
      <c r="U541" s="267" t="s">
        <v>1407</v>
      </c>
      <c r="AA541" s="218"/>
    </row>
    <row r="542" spans="1:27" x14ac:dyDescent="0.25">
      <c r="A542" s="405">
        <v>3000374</v>
      </c>
      <c r="B542" s="406">
        <v>42394</v>
      </c>
      <c r="C542" s="405" t="s">
        <v>56</v>
      </c>
      <c r="D542" s="401" t="s">
        <v>1408</v>
      </c>
      <c r="E542" s="120">
        <v>600</v>
      </c>
      <c r="F542" s="133" t="s">
        <v>1409</v>
      </c>
      <c r="G542" s="404" t="s">
        <v>45</v>
      </c>
      <c r="H542" s="411">
        <v>1460</v>
      </c>
      <c r="I542" s="411">
        <v>0</v>
      </c>
      <c r="J542" s="411">
        <v>0</v>
      </c>
      <c r="K542" s="90">
        <f t="shared" si="90"/>
        <v>1460</v>
      </c>
      <c r="L542" s="158">
        <v>1878</v>
      </c>
      <c r="M542" s="158">
        <v>95.03</v>
      </c>
      <c r="N542" s="91">
        <f t="shared" si="88"/>
        <v>1221.83</v>
      </c>
      <c r="O542" s="411"/>
      <c r="P542" s="132" t="s">
        <v>1410</v>
      </c>
      <c r="Q542" s="232"/>
      <c r="R542" s="411"/>
      <c r="T542" s="134" t="s">
        <v>1411</v>
      </c>
      <c r="U542" s="267" t="s">
        <v>1412</v>
      </c>
      <c r="V542" s="119" t="s">
        <v>1413</v>
      </c>
      <c r="W542" s="153" t="s">
        <v>1414</v>
      </c>
      <c r="AA542" s="218"/>
    </row>
    <row r="543" spans="1:27" ht="24" customHeight="1" x14ac:dyDescent="0.25">
      <c r="A543" s="419">
        <v>3000375</v>
      </c>
      <c r="B543" s="421">
        <v>42394</v>
      </c>
      <c r="C543" s="419" t="s">
        <v>327</v>
      </c>
      <c r="D543" s="417" t="s">
        <v>1415</v>
      </c>
      <c r="E543" s="120">
        <v>97</v>
      </c>
      <c r="F543" s="133" t="s">
        <v>51</v>
      </c>
      <c r="G543" s="434" t="s">
        <v>45</v>
      </c>
      <c r="H543" s="427">
        <v>206</v>
      </c>
      <c r="I543" s="427">
        <v>0</v>
      </c>
      <c r="J543" s="425">
        <f>-((H543*0.022)+0.3)</f>
        <v>-4.8319999999999999</v>
      </c>
      <c r="K543" s="425">
        <f t="shared" si="90"/>
        <v>201.16800000000001</v>
      </c>
      <c r="L543" s="131">
        <v>1015</v>
      </c>
      <c r="M543" s="158">
        <v>17.59</v>
      </c>
      <c r="N543" s="91">
        <f t="shared" si="88"/>
        <v>116.045</v>
      </c>
      <c r="O543" s="411">
        <f t="shared" si="87"/>
        <v>85.123000000000005</v>
      </c>
      <c r="P543" s="132" t="s">
        <v>52</v>
      </c>
      <c r="Q543" s="232"/>
      <c r="R543" s="411"/>
      <c r="T543" s="470" t="s">
        <v>145</v>
      </c>
      <c r="U543" s="446" t="s">
        <v>1416</v>
      </c>
      <c r="W543" s="153" t="s">
        <v>1417</v>
      </c>
      <c r="AA543" s="218"/>
    </row>
    <row r="544" spans="1:27" x14ac:dyDescent="0.25">
      <c r="A544" s="432"/>
      <c r="B544" s="433"/>
      <c r="C544" s="432"/>
      <c r="D544" s="454"/>
      <c r="E544" s="120">
        <v>30</v>
      </c>
      <c r="F544" s="133" t="s">
        <v>1418</v>
      </c>
      <c r="G544" s="435"/>
      <c r="H544" s="438"/>
      <c r="I544" s="438"/>
      <c r="J544" s="437"/>
      <c r="K544" s="437"/>
      <c r="M544" s="158">
        <v>55.96</v>
      </c>
      <c r="N544" s="91">
        <f t="shared" si="88"/>
        <v>55.96</v>
      </c>
      <c r="O544" s="411">
        <f t="shared" si="87"/>
        <v>-55.96</v>
      </c>
      <c r="P544" s="132" t="s">
        <v>52</v>
      </c>
      <c r="Q544" s="232"/>
      <c r="R544" s="411"/>
      <c r="T544" s="471"/>
      <c r="U544" s="447"/>
      <c r="AA544" s="218"/>
    </row>
    <row r="545" spans="1:27" x14ac:dyDescent="0.25">
      <c r="A545" s="420"/>
      <c r="B545" s="422"/>
      <c r="C545" s="420"/>
      <c r="D545" s="418"/>
      <c r="E545" s="120">
        <v>20</v>
      </c>
      <c r="F545" s="133" t="s">
        <v>1419</v>
      </c>
      <c r="G545" s="436"/>
      <c r="H545" s="428"/>
      <c r="I545" s="428"/>
      <c r="J545" s="426"/>
      <c r="K545" s="426"/>
      <c r="N545" s="91">
        <f t="shared" si="88"/>
        <v>0</v>
      </c>
      <c r="O545" s="411">
        <f t="shared" si="87"/>
        <v>0</v>
      </c>
      <c r="P545" s="132" t="s">
        <v>52</v>
      </c>
      <c r="Q545" s="232"/>
      <c r="R545" s="411"/>
      <c r="T545" s="472"/>
      <c r="U545" s="267" t="s">
        <v>1420</v>
      </c>
      <c r="AA545" s="218"/>
    </row>
    <row r="546" spans="1:27" x14ac:dyDescent="0.25">
      <c r="A546" s="405">
        <v>3000376</v>
      </c>
      <c r="B546" s="406">
        <v>42394</v>
      </c>
      <c r="C546" s="405" t="s">
        <v>56</v>
      </c>
      <c r="D546" s="401" t="s">
        <v>1421</v>
      </c>
      <c r="E546" s="120">
        <v>100</v>
      </c>
      <c r="F546" s="133" t="s">
        <v>1422</v>
      </c>
      <c r="G546" s="404" t="s">
        <v>45</v>
      </c>
      <c r="H546" s="411">
        <v>580</v>
      </c>
      <c r="I546" s="411">
        <v>0</v>
      </c>
      <c r="J546" s="411">
        <v>0</v>
      </c>
      <c r="K546" s="90">
        <f t="shared" ref="K546:K556" si="92">SUM(H546:J546)</f>
        <v>580</v>
      </c>
      <c r="L546" s="158">
        <v>2620</v>
      </c>
      <c r="M546" s="180">
        <v>115</v>
      </c>
      <c r="N546" s="91">
        <f t="shared" si="88"/>
        <v>377</v>
      </c>
      <c r="O546" s="411"/>
      <c r="P546" s="132" t="s">
        <v>183</v>
      </c>
      <c r="Q546" s="232"/>
      <c r="R546" s="411"/>
      <c r="T546" s="134" t="s">
        <v>389</v>
      </c>
      <c r="U546" s="267" t="s">
        <v>1423</v>
      </c>
      <c r="V546" s="133" t="s">
        <v>358</v>
      </c>
      <c r="AA546" s="218"/>
    </row>
    <row r="547" spans="1:27" ht="24" x14ac:dyDescent="0.25">
      <c r="A547" s="419">
        <v>3000377</v>
      </c>
      <c r="B547" s="421">
        <v>42395</v>
      </c>
      <c r="C547" s="419" t="s">
        <v>63</v>
      </c>
      <c r="D547" s="417" t="s">
        <v>1424</v>
      </c>
      <c r="E547" s="120">
        <v>1000</v>
      </c>
      <c r="F547" s="133" t="s">
        <v>51</v>
      </c>
      <c r="G547" s="434" t="s">
        <v>45</v>
      </c>
      <c r="H547" s="427">
        <v>2070</v>
      </c>
      <c r="I547" s="427">
        <v>0</v>
      </c>
      <c r="J547" s="425">
        <f>-((H547*0.022)+0.3)</f>
        <v>-45.839999999999996</v>
      </c>
      <c r="K547" s="425">
        <f t="shared" si="92"/>
        <v>2024.16</v>
      </c>
      <c r="L547" s="131">
        <v>1015</v>
      </c>
      <c r="M547" s="158">
        <v>173.71</v>
      </c>
      <c r="N547" s="91">
        <f t="shared" si="88"/>
        <v>1188.71</v>
      </c>
      <c r="O547" s="411">
        <f t="shared" si="87"/>
        <v>835.45</v>
      </c>
      <c r="P547" s="132" t="s">
        <v>52</v>
      </c>
      <c r="Q547" s="232"/>
      <c r="R547" s="411"/>
      <c r="T547" s="134" t="s">
        <v>1209</v>
      </c>
      <c r="U547" s="267" t="s">
        <v>1425</v>
      </c>
      <c r="V547" s="133" t="s">
        <v>55</v>
      </c>
      <c r="W547" s="153" t="s">
        <v>1426</v>
      </c>
      <c r="AA547" s="218"/>
    </row>
    <row r="548" spans="1:27" ht="24" x14ac:dyDescent="0.25">
      <c r="A548" s="420"/>
      <c r="B548" s="422"/>
      <c r="C548" s="420"/>
      <c r="D548" s="418"/>
      <c r="E548" s="120">
        <v>1000</v>
      </c>
      <c r="F548" s="133" t="s">
        <v>1427</v>
      </c>
      <c r="G548" s="436"/>
      <c r="H548" s="428"/>
      <c r="I548" s="428"/>
      <c r="J548" s="426"/>
      <c r="K548" s="426"/>
      <c r="L548" s="158">
        <v>255</v>
      </c>
      <c r="M548" s="158">
        <v>58.45</v>
      </c>
      <c r="N548" s="91">
        <f t="shared" si="88"/>
        <v>313.45</v>
      </c>
      <c r="O548" s="411">
        <f t="shared" si="87"/>
        <v>-313.45</v>
      </c>
      <c r="P548" s="132" t="s">
        <v>1428</v>
      </c>
      <c r="Q548" s="232"/>
      <c r="R548" s="411"/>
      <c r="T548" s="134" t="s">
        <v>145</v>
      </c>
      <c r="U548" s="267" t="s">
        <v>1429</v>
      </c>
      <c r="V548" s="133" t="s">
        <v>1430</v>
      </c>
      <c r="AA548" s="218"/>
    </row>
    <row r="549" spans="1:27" ht="24" x14ac:dyDescent="0.25">
      <c r="A549" s="405">
        <v>3000378</v>
      </c>
      <c r="B549" s="406">
        <v>42395</v>
      </c>
      <c r="C549" s="405" t="s">
        <v>63</v>
      </c>
      <c r="D549" s="401" t="s">
        <v>1431</v>
      </c>
      <c r="E549" s="120">
        <v>100</v>
      </c>
      <c r="F549" s="133" t="s">
        <v>1432</v>
      </c>
      <c r="G549" s="404" t="s">
        <v>45</v>
      </c>
      <c r="H549" s="411">
        <v>160</v>
      </c>
      <c r="I549" s="411">
        <v>0</v>
      </c>
      <c r="J549" s="90">
        <f>-((H549*0.022)+0.3)</f>
        <v>-3.8199999999999994</v>
      </c>
      <c r="K549" s="90">
        <f t="shared" si="92"/>
        <v>156.18</v>
      </c>
      <c r="M549" s="158">
        <v>17.7</v>
      </c>
      <c r="N549" s="91">
        <f t="shared" si="88"/>
        <v>17.7</v>
      </c>
      <c r="O549" s="411">
        <f t="shared" si="87"/>
        <v>138.48000000000002</v>
      </c>
      <c r="P549" s="132" t="s">
        <v>52</v>
      </c>
      <c r="Q549" s="232"/>
      <c r="R549" s="411"/>
      <c r="T549" s="134" t="s">
        <v>145</v>
      </c>
      <c r="U549" s="267" t="s">
        <v>1433</v>
      </c>
      <c r="W549" s="153" t="s">
        <v>1434</v>
      </c>
      <c r="AA549" s="218"/>
    </row>
    <row r="550" spans="1:27" ht="24" customHeight="1" x14ac:dyDescent="0.25">
      <c r="A550" s="419">
        <v>3000379</v>
      </c>
      <c r="B550" s="421">
        <v>42395</v>
      </c>
      <c r="C550" s="419" t="s">
        <v>63</v>
      </c>
      <c r="D550" s="417" t="s">
        <v>1435</v>
      </c>
      <c r="E550" s="120">
        <v>55</v>
      </c>
      <c r="F550" s="133" t="s">
        <v>217</v>
      </c>
      <c r="G550" s="434" t="s">
        <v>45</v>
      </c>
      <c r="H550" s="427">
        <v>336.2</v>
      </c>
      <c r="I550" s="427">
        <v>0</v>
      </c>
      <c r="J550" s="425">
        <f>-((H550*0.022)+0.3)</f>
        <v>-7.6963999999999988</v>
      </c>
      <c r="K550" s="425">
        <f t="shared" si="92"/>
        <v>328.50360000000001</v>
      </c>
      <c r="L550" s="131">
        <v>1350</v>
      </c>
      <c r="M550" s="158">
        <v>40.67</v>
      </c>
      <c r="N550" s="91">
        <f t="shared" si="88"/>
        <v>114.92</v>
      </c>
      <c r="O550" s="411">
        <f t="shared" si="87"/>
        <v>213.58359999999999</v>
      </c>
      <c r="P550" s="132" t="s">
        <v>52</v>
      </c>
      <c r="Q550" s="232"/>
      <c r="R550" s="411"/>
      <c r="T550" s="470" t="s">
        <v>145</v>
      </c>
      <c r="U550" s="267" t="s">
        <v>1436</v>
      </c>
      <c r="W550" s="153" t="s">
        <v>1437</v>
      </c>
      <c r="AA550" s="218"/>
    </row>
    <row r="551" spans="1:27" x14ac:dyDescent="0.25">
      <c r="A551" s="420"/>
      <c r="B551" s="422"/>
      <c r="C551" s="420"/>
      <c r="D551" s="418"/>
      <c r="E551" s="120">
        <v>92</v>
      </c>
      <c r="F551" s="133" t="s">
        <v>178</v>
      </c>
      <c r="G551" s="436"/>
      <c r="H551" s="428"/>
      <c r="I551" s="428"/>
      <c r="J551" s="426"/>
      <c r="K551" s="426"/>
      <c r="L551" s="131">
        <v>1079</v>
      </c>
      <c r="M551" s="158">
        <v>38.69</v>
      </c>
      <c r="N551" s="91">
        <f t="shared" si="88"/>
        <v>137.958</v>
      </c>
      <c r="O551" s="411">
        <f t="shared" si="87"/>
        <v>-137.958</v>
      </c>
      <c r="P551" s="132" t="s">
        <v>52</v>
      </c>
      <c r="Q551" s="232"/>
      <c r="R551" s="411"/>
      <c r="T551" s="472"/>
      <c r="U551" s="267" t="s">
        <v>1438</v>
      </c>
      <c r="AA551" s="218"/>
    </row>
    <row r="552" spans="1:27" x14ac:dyDescent="0.25">
      <c r="A552" s="405">
        <v>3000380</v>
      </c>
      <c r="B552" s="406">
        <v>42395</v>
      </c>
      <c r="C552" s="405" t="s">
        <v>63</v>
      </c>
      <c r="D552" s="401" t="s">
        <v>1439</v>
      </c>
      <c r="E552" s="120">
        <v>3000</v>
      </c>
      <c r="F552" s="133" t="s">
        <v>1440</v>
      </c>
      <c r="G552" s="404" t="s">
        <v>45</v>
      </c>
      <c r="H552" s="411">
        <v>1050</v>
      </c>
      <c r="I552" s="411">
        <v>0</v>
      </c>
      <c r="J552" s="90">
        <f>-((H552*0.022)+0.3)</f>
        <v>-23.4</v>
      </c>
      <c r="K552" s="90">
        <f t="shared" si="92"/>
        <v>1026.5999999999999</v>
      </c>
      <c r="L552" s="158">
        <v>185.31</v>
      </c>
      <c r="N552" s="91">
        <f t="shared" si="88"/>
        <v>555.93000000000006</v>
      </c>
      <c r="O552" s="411">
        <f t="shared" si="87"/>
        <v>470.66999999999985</v>
      </c>
      <c r="P552" s="132" t="s">
        <v>46</v>
      </c>
      <c r="Q552" s="232"/>
      <c r="R552" s="411"/>
      <c r="T552" s="134" t="s">
        <v>314</v>
      </c>
      <c r="U552" s="266">
        <v>3850394052</v>
      </c>
      <c r="W552" s="153" t="s">
        <v>1441</v>
      </c>
      <c r="AA552" s="218"/>
    </row>
    <row r="553" spans="1:27" ht="24" x14ac:dyDescent="0.25">
      <c r="A553" s="405">
        <v>3000381</v>
      </c>
      <c r="B553" s="406">
        <v>42395</v>
      </c>
      <c r="C553" s="405" t="s">
        <v>159</v>
      </c>
      <c r="D553" s="401" t="s">
        <v>1442</v>
      </c>
      <c r="E553" s="120">
        <v>25</v>
      </c>
      <c r="F553" s="133" t="s">
        <v>176</v>
      </c>
      <c r="G553" s="404" t="s">
        <v>45</v>
      </c>
      <c r="H553" s="411">
        <v>74.75</v>
      </c>
      <c r="I553" s="411">
        <v>0</v>
      </c>
      <c r="J553" s="90">
        <f>-((H553*0.019)+0.3)</f>
        <v>-1.7202500000000001</v>
      </c>
      <c r="K553" s="90">
        <f t="shared" si="92"/>
        <v>73.029750000000007</v>
      </c>
      <c r="L553" s="131">
        <v>1700</v>
      </c>
      <c r="M553" s="158">
        <v>22.1</v>
      </c>
      <c r="N553" s="91">
        <f t="shared" si="88"/>
        <v>64.599999999999994</v>
      </c>
      <c r="O553" s="411">
        <f t="shared" si="87"/>
        <v>8.4297500000000127</v>
      </c>
      <c r="P553" s="132" t="s">
        <v>52</v>
      </c>
      <c r="Q553" s="232"/>
      <c r="R553" s="411"/>
      <c r="T553" s="134" t="s">
        <v>145</v>
      </c>
      <c r="U553" s="267" t="s">
        <v>1443</v>
      </c>
      <c r="W553" s="153" t="s">
        <v>1444</v>
      </c>
      <c r="AA553" s="218"/>
    </row>
    <row r="554" spans="1:27" x14ac:dyDescent="0.25">
      <c r="A554" s="405">
        <v>3000382</v>
      </c>
      <c r="B554" s="406">
        <v>42395</v>
      </c>
      <c r="C554" s="405" t="s">
        <v>63</v>
      </c>
      <c r="D554" s="401" t="s">
        <v>1445</v>
      </c>
      <c r="E554" s="120">
        <v>1650</v>
      </c>
      <c r="F554" s="133" t="s">
        <v>1446</v>
      </c>
      <c r="G554" s="404" t="s">
        <v>45</v>
      </c>
      <c r="H554" s="411">
        <v>2145</v>
      </c>
      <c r="I554" s="411">
        <v>0</v>
      </c>
      <c r="J554" s="90">
        <f>-((H554*0.022)+0.3)</f>
        <v>-47.489999999999995</v>
      </c>
      <c r="K554" s="90">
        <f t="shared" si="92"/>
        <v>2097.5100000000002</v>
      </c>
      <c r="L554" s="158">
        <v>885.45</v>
      </c>
      <c r="M554" s="158">
        <v>158.68</v>
      </c>
      <c r="N554" s="91">
        <f t="shared" si="88"/>
        <v>1619.6725000000004</v>
      </c>
      <c r="O554" s="411">
        <f t="shared" si="87"/>
        <v>477.83749999999986</v>
      </c>
      <c r="P554" s="132" t="s">
        <v>643</v>
      </c>
      <c r="Q554" s="232"/>
      <c r="R554" s="411"/>
      <c r="T554" s="134" t="s">
        <v>244</v>
      </c>
      <c r="U554" s="267" t="s">
        <v>1447</v>
      </c>
      <c r="V554" s="133" t="s">
        <v>55</v>
      </c>
      <c r="W554" s="153" t="s">
        <v>1448</v>
      </c>
      <c r="AA554" s="218"/>
    </row>
    <row r="555" spans="1:27" ht="24" x14ac:dyDescent="0.25">
      <c r="A555" s="405">
        <v>3000383</v>
      </c>
      <c r="B555" s="406">
        <v>42395</v>
      </c>
      <c r="C555" s="405" t="s">
        <v>63</v>
      </c>
      <c r="D555" s="401" t="s">
        <v>1449</v>
      </c>
      <c r="E555" s="120">
        <v>100</v>
      </c>
      <c r="F555" s="133" t="s">
        <v>217</v>
      </c>
      <c r="G555" s="404" t="s">
        <v>45</v>
      </c>
      <c r="H555" s="411">
        <v>235</v>
      </c>
      <c r="I555" s="411">
        <v>0</v>
      </c>
      <c r="J555" s="90">
        <f>-((H555*0.022)+0.3)</f>
        <v>-5.47</v>
      </c>
      <c r="K555" s="90">
        <f t="shared" si="92"/>
        <v>229.53</v>
      </c>
      <c r="L555" s="131">
        <v>1350</v>
      </c>
      <c r="M555" s="158">
        <v>53.45</v>
      </c>
      <c r="N555" s="91">
        <f t="shared" si="88"/>
        <v>188.45</v>
      </c>
      <c r="O555" s="411">
        <f t="shared" si="87"/>
        <v>41.080000000000013</v>
      </c>
      <c r="P555" s="132" t="s">
        <v>52</v>
      </c>
      <c r="Q555" s="232"/>
      <c r="R555" s="411"/>
      <c r="T555" s="134" t="s">
        <v>145</v>
      </c>
      <c r="U555" s="267" t="s">
        <v>1450</v>
      </c>
      <c r="W555" s="153" t="s">
        <v>1451</v>
      </c>
      <c r="AA555" s="218"/>
    </row>
    <row r="556" spans="1:27" x14ac:dyDescent="0.25">
      <c r="A556" s="419">
        <v>3000384</v>
      </c>
      <c r="B556" s="421">
        <v>42395</v>
      </c>
      <c r="C556" s="419" t="s">
        <v>56</v>
      </c>
      <c r="D556" s="417" t="s">
        <v>1452</v>
      </c>
      <c r="E556" s="120">
        <v>265</v>
      </c>
      <c r="F556" s="133" t="s">
        <v>1453</v>
      </c>
      <c r="G556" s="434" t="s">
        <v>45</v>
      </c>
      <c r="H556" s="427">
        <v>2386.19</v>
      </c>
      <c r="I556" s="427">
        <v>0</v>
      </c>
      <c r="J556" s="427">
        <v>0</v>
      </c>
      <c r="K556" s="425">
        <f t="shared" si="92"/>
        <v>2386.19</v>
      </c>
      <c r="N556" s="91">
        <f t="shared" si="88"/>
        <v>0</v>
      </c>
      <c r="O556" s="411"/>
      <c r="P556" s="132" t="s">
        <v>86</v>
      </c>
      <c r="Q556" s="232"/>
      <c r="R556" s="411"/>
      <c r="T556" s="439" t="s">
        <v>503</v>
      </c>
      <c r="U556" s="505">
        <v>16326356</v>
      </c>
      <c r="V556" s="133" t="s">
        <v>1454</v>
      </c>
      <c r="AA556" s="218"/>
    </row>
    <row r="557" spans="1:27" x14ac:dyDescent="0.25">
      <c r="A557" s="432"/>
      <c r="B557" s="433"/>
      <c r="C557" s="432"/>
      <c r="D557" s="454"/>
      <c r="E557" s="120">
        <v>196</v>
      </c>
      <c r="F557" s="133" t="s">
        <v>1455</v>
      </c>
      <c r="G557" s="435"/>
      <c r="H557" s="438"/>
      <c r="I557" s="438"/>
      <c r="J557" s="438"/>
      <c r="K557" s="437"/>
      <c r="N557" s="91">
        <f t="shared" si="88"/>
        <v>0</v>
      </c>
      <c r="O557" s="411"/>
      <c r="P557" s="132" t="s">
        <v>86</v>
      </c>
      <c r="Q557" s="232"/>
      <c r="R557" s="411"/>
      <c r="T557" s="440"/>
      <c r="U557" s="506"/>
      <c r="AA557" s="218"/>
    </row>
    <row r="558" spans="1:27" x14ac:dyDescent="0.25">
      <c r="A558" s="432"/>
      <c r="B558" s="433"/>
      <c r="C558" s="432"/>
      <c r="D558" s="454"/>
      <c r="E558" s="120">
        <v>500</v>
      </c>
      <c r="F558" s="133" t="s">
        <v>1456</v>
      </c>
      <c r="G558" s="435"/>
      <c r="H558" s="438"/>
      <c r="I558" s="438"/>
      <c r="J558" s="438"/>
      <c r="K558" s="437"/>
      <c r="N558" s="91">
        <f t="shared" si="88"/>
        <v>0</v>
      </c>
      <c r="O558" s="411"/>
      <c r="P558" s="132" t="s">
        <v>86</v>
      </c>
      <c r="Q558" s="232"/>
      <c r="R558" s="411"/>
      <c r="T558" s="441"/>
      <c r="U558" s="490"/>
      <c r="AA558" s="218"/>
    </row>
    <row r="559" spans="1:27" x14ac:dyDescent="0.25">
      <c r="A559" s="432"/>
      <c r="B559" s="433"/>
      <c r="C559" s="432"/>
      <c r="D559" s="454"/>
      <c r="E559" s="120">
        <v>327</v>
      </c>
      <c r="F559" s="133" t="s">
        <v>492</v>
      </c>
      <c r="G559" s="435"/>
      <c r="H559" s="438"/>
      <c r="I559" s="438"/>
      <c r="J559" s="438"/>
      <c r="K559" s="437"/>
      <c r="M559" s="555">
        <v>102.53</v>
      </c>
      <c r="N559" s="91">
        <f t="shared" si="88"/>
        <v>102.53</v>
      </c>
      <c r="O559" s="411"/>
      <c r="P559" s="132" t="s">
        <v>52</v>
      </c>
      <c r="Q559" s="232"/>
      <c r="R559" s="411"/>
      <c r="T559" s="439" t="s">
        <v>503</v>
      </c>
      <c r="U559" s="505">
        <v>18956291</v>
      </c>
      <c r="V559" s="133" t="s">
        <v>1457</v>
      </c>
      <c r="AA559" s="218"/>
    </row>
    <row r="560" spans="1:27" x14ac:dyDescent="0.25">
      <c r="A560" s="420"/>
      <c r="B560" s="422"/>
      <c r="C560" s="420"/>
      <c r="D560" s="418"/>
      <c r="E560" s="120">
        <v>1000</v>
      </c>
      <c r="F560" s="133" t="s">
        <v>51</v>
      </c>
      <c r="G560" s="436"/>
      <c r="H560" s="428"/>
      <c r="I560" s="428"/>
      <c r="J560" s="428"/>
      <c r="K560" s="426"/>
      <c r="M560" s="557"/>
      <c r="N560" s="91">
        <f t="shared" si="88"/>
        <v>0</v>
      </c>
      <c r="O560" s="411"/>
      <c r="P560" s="132" t="s">
        <v>52</v>
      </c>
      <c r="Q560" s="232"/>
      <c r="R560" s="411"/>
      <c r="T560" s="440"/>
      <c r="U560" s="490"/>
      <c r="V560" s="133" t="s">
        <v>1458</v>
      </c>
      <c r="AA560" s="218"/>
    </row>
    <row r="561" spans="1:27" ht="24" x14ac:dyDescent="0.25">
      <c r="A561" s="405">
        <v>3000385</v>
      </c>
      <c r="B561" s="406">
        <v>42395</v>
      </c>
      <c r="C561" s="405" t="s">
        <v>159</v>
      </c>
      <c r="D561" s="401" t="s">
        <v>1459</v>
      </c>
      <c r="E561" s="120">
        <v>10</v>
      </c>
      <c r="F561" s="133" t="s">
        <v>176</v>
      </c>
      <c r="G561" s="404" t="s">
        <v>45</v>
      </c>
      <c r="H561" s="411">
        <v>29.9</v>
      </c>
      <c r="I561" s="411">
        <v>0</v>
      </c>
      <c r="J561" s="90">
        <f t="shared" ref="J561:J566" si="93">-((H561*0.019)+0.3)</f>
        <v>-0.86809999999999987</v>
      </c>
      <c r="K561" s="90">
        <f t="shared" ref="K561:K585" si="94">SUM(H561:J561)</f>
        <v>29.0319</v>
      </c>
      <c r="L561" s="131">
        <v>1700</v>
      </c>
      <c r="M561" s="158">
        <v>21.47</v>
      </c>
      <c r="N561" s="91">
        <f t="shared" si="88"/>
        <v>38.47</v>
      </c>
      <c r="O561" s="411">
        <f t="shared" si="87"/>
        <v>-9.4380999999999986</v>
      </c>
      <c r="P561" s="132" t="s">
        <v>52</v>
      </c>
      <c r="Q561" s="232"/>
      <c r="R561" s="411"/>
      <c r="T561" s="409" t="s">
        <v>145</v>
      </c>
      <c r="U561" s="267" t="s">
        <v>1460</v>
      </c>
      <c r="W561" s="153" t="s">
        <v>1461</v>
      </c>
      <c r="AA561" s="218"/>
    </row>
    <row r="562" spans="1:27" ht="24" x14ac:dyDescent="0.25">
      <c r="A562" s="405">
        <v>3000386</v>
      </c>
      <c r="B562" s="406">
        <v>42395</v>
      </c>
      <c r="C562" s="405" t="s">
        <v>42</v>
      </c>
      <c r="D562" s="401" t="s">
        <v>1462</v>
      </c>
      <c r="E562" s="120">
        <v>250</v>
      </c>
      <c r="F562" s="133" t="s">
        <v>1463</v>
      </c>
      <c r="G562" s="404" t="s">
        <v>45</v>
      </c>
      <c r="H562" s="411">
        <v>174.84</v>
      </c>
      <c r="I562" s="89">
        <f t="shared" ref="I562:I572" si="95">-(H562*0.09)</f>
        <v>-15.7356</v>
      </c>
      <c r="J562" s="90">
        <f t="shared" si="93"/>
        <v>-3.6219599999999996</v>
      </c>
      <c r="K562" s="90">
        <f t="shared" si="94"/>
        <v>155.48244</v>
      </c>
      <c r="M562" s="158">
        <v>27.14</v>
      </c>
      <c r="N562" s="91">
        <f t="shared" si="88"/>
        <v>27.14</v>
      </c>
      <c r="O562" s="411">
        <f t="shared" si="87"/>
        <v>128.34244000000001</v>
      </c>
      <c r="P562" s="132" t="s">
        <v>86</v>
      </c>
      <c r="Q562" s="232"/>
      <c r="R562" s="411">
        <v>11.44</v>
      </c>
      <c r="S562" s="133" t="s">
        <v>1464</v>
      </c>
      <c r="T562" s="134" t="s">
        <v>145</v>
      </c>
      <c r="U562" s="267" t="s">
        <v>1465</v>
      </c>
      <c r="AA562" s="218"/>
    </row>
    <row r="563" spans="1:27" x14ac:dyDescent="0.25">
      <c r="A563" s="405">
        <v>3000387</v>
      </c>
      <c r="B563" s="406">
        <v>42395</v>
      </c>
      <c r="C563" s="405" t="s">
        <v>42</v>
      </c>
      <c r="D563" s="401" t="s">
        <v>1466</v>
      </c>
      <c r="E563" s="120">
        <v>500</v>
      </c>
      <c r="F563" s="133" t="s">
        <v>198</v>
      </c>
      <c r="G563" s="404" t="s">
        <v>45</v>
      </c>
      <c r="H563" s="411">
        <v>1300</v>
      </c>
      <c r="I563" s="89">
        <f t="shared" si="95"/>
        <v>-117</v>
      </c>
      <c r="J563" s="90">
        <f t="shared" si="93"/>
        <v>-25</v>
      </c>
      <c r="K563" s="90">
        <f t="shared" si="94"/>
        <v>1158</v>
      </c>
      <c r="L563" s="131">
        <v>1693</v>
      </c>
      <c r="M563" s="158">
        <v>183.56</v>
      </c>
      <c r="N563" s="91">
        <f t="shared" si="88"/>
        <v>1030.06</v>
      </c>
      <c r="O563" s="411">
        <f t="shared" si="87"/>
        <v>127.94000000000005</v>
      </c>
      <c r="P563" s="132" t="s">
        <v>52</v>
      </c>
      <c r="Q563" s="232"/>
      <c r="R563" s="411"/>
      <c r="T563" s="134" t="s">
        <v>1467</v>
      </c>
      <c r="U563" s="267" t="s">
        <v>1468</v>
      </c>
      <c r="V563" s="133" t="s">
        <v>55</v>
      </c>
      <c r="AA563" s="218"/>
    </row>
    <row r="564" spans="1:27" ht="24" x14ac:dyDescent="0.25">
      <c r="A564" s="405">
        <v>3000388</v>
      </c>
      <c r="B564" s="406">
        <v>42395</v>
      </c>
      <c r="C564" s="405" t="s">
        <v>42</v>
      </c>
      <c r="D564" s="401" t="s">
        <v>1469</v>
      </c>
      <c r="E564" s="120">
        <v>25</v>
      </c>
      <c r="F564" s="133" t="s">
        <v>448</v>
      </c>
      <c r="G564" s="404" t="s">
        <v>45</v>
      </c>
      <c r="H564" s="411">
        <v>151.75</v>
      </c>
      <c r="I564" s="89">
        <f t="shared" si="95"/>
        <v>-13.657499999999999</v>
      </c>
      <c r="J564" s="90">
        <f t="shared" si="93"/>
        <v>-3.1832499999999997</v>
      </c>
      <c r="K564" s="90">
        <f t="shared" si="94"/>
        <v>134.90925000000001</v>
      </c>
      <c r="L564" s="158">
        <v>3350</v>
      </c>
      <c r="M564" s="158">
        <v>15.35</v>
      </c>
      <c r="N564" s="91">
        <f t="shared" si="88"/>
        <v>99.1</v>
      </c>
      <c r="O564" s="411">
        <f t="shared" si="87"/>
        <v>35.80925000000002</v>
      </c>
      <c r="P564" s="132" t="s">
        <v>183</v>
      </c>
      <c r="Q564" s="232"/>
      <c r="R564" s="411"/>
      <c r="T564" s="134" t="s">
        <v>145</v>
      </c>
      <c r="U564" s="267" t="s">
        <v>1470</v>
      </c>
      <c r="AA564" s="218"/>
    </row>
    <row r="565" spans="1:27" ht="24" x14ac:dyDescent="0.25">
      <c r="A565" s="405">
        <v>3000389</v>
      </c>
      <c r="B565" s="406">
        <v>42395</v>
      </c>
      <c r="C565" s="405" t="s">
        <v>42</v>
      </c>
      <c r="D565" s="160" t="s">
        <v>1471</v>
      </c>
      <c r="E565" s="120">
        <v>500</v>
      </c>
      <c r="F565" s="133" t="s">
        <v>1472</v>
      </c>
      <c r="G565" s="404" t="s">
        <v>45</v>
      </c>
      <c r="H565" s="411">
        <v>321</v>
      </c>
      <c r="I565" s="89">
        <f t="shared" si="95"/>
        <v>-28.89</v>
      </c>
      <c r="J565" s="90">
        <f t="shared" si="93"/>
        <v>-6.399</v>
      </c>
      <c r="K565" s="90">
        <f t="shared" si="94"/>
        <v>285.71100000000001</v>
      </c>
      <c r="L565" s="131">
        <v>210</v>
      </c>
      <c r="M565" s="158">
        <v>52.39</v>
      </c>
      <c r="N565" s="91">
        <f t="shared" si="88"/>
        <v>157.38999999999999</v>
      </c>
      <c r="O565" s="411">
        <f t="shared" si="87"/>
        <v>128.32100000000003</v>
      </c>
      <c r="P565" s="132" t="s">
        <v>52</v>
      </c>
      <c r="Q565" s="232"/>
      <c r="R565" s="411"/>
      <c r="T565" s="134" t="s">
        <v>145</v>
      </c>
      <c r="U565" s="267" t="s">
        <v>1473</v>
      </c>
      <c r="AA565" s="218"/>
    </row>
    <row r="566" spans="1:27" ht="24" x14ac:dyDescent="0.25">
      <c r="A566" s="419">
        <v>3000390</v>
      </c>
      <c r="B566" s="421">
        <v>42395</v>
      </c>
      <c r="C566" s="419" t="s">
        <v>42</v>
      </c>
      <c r="D566" s="429" t="s">
        <v>1474</v>
      </c>
      <c r="E566" s="120">
        <v>100</v>
      </c>
      <c r="F566" s="133" t="s">
        <v>1475</v>
      </c>
      <c r="G566" s="434" t="s">
        <v>45</v>
      </c>
      <c r="H566" s="427">
        <v>251.79</v>
      </c>
      <c r="I566" s="452">
        <f t="shared" si="95"/>
        <v>-22.661099999999998</v>
      </c>
      <c r="J566" s="425">
        <f t="shared" si="93"/>
        <v>-5.0840099999999993</v>
      </c>
      <c r="K566" s="425">
        <f t="shared" si="94"/>
        <v>224.04488999999998</v>
      </c>
      <c r="M566" s="158">
        <v>24.05</v>
      </c>
      <c r="N566" s="91">
        <f t="shared" si="88"/>
        <v>24.05</v>
      </c>
      <c r="O566" s="411">
        <f t="shared" si="87"/>
        <v>199.99488999999997</v>
      </c>
      <c r="P566" s="132" t="s">
        <v>52</v>
      </c>
      <c r="Q566" s="232"/>
      <c r="R566" s="411"/>
      <c r="T566" s="134" t="s">
        <v>145</v>
      </c>
      <c r="U566" s="267" t="s">
        <v>1476</v>
      </c>
      <c r="AA566" s="218"/>
    </row>
    <row r="567" spans="1:27" ht="24" x14ac:dyDescent="0.25">
      <c r="A567" s="420"/>
      <c r="B567" s="422"/>
      <c r="C567" s="420"/>
      <c r="D567" s="431"/>
      <c r="E567" s="120">
        <v>150</v>
      </c>
      <c r="F567" s="133" t="s">
        <v>227</v>
      </c>
      <c r="G567" s="436"/>
      <c r="H567" s="428"/>
      <c r="I567" s="453"/>
      <c r="J567" s="426"/>
      <c r="K567" s="426"/>
      <c r="L567" s="131">
        <v>350</v>
      </c>
      <c r="M567" s="158">
        <v>25.28</v>
      </c>
      <c r="N567" s="91">
        <f t="shared" si="88"/>
        <v>77.78</v>
      </c>
      <c r="O567" s="411">
        <f t="shared" si="87"/>
        <v>-77.78</v>
      </c>
      <c r="P567" s="132" t="s">
        <v>52</v>
      </c>
      <c r="Q567" s="232"/>
      <c r="R567" s="411"/>
      <c r="T567" s="134" t="s">
        <v>145</v>
      </c>
      <c r="U567" s="267" t="s">
        <v>1477</v>
      </c>
      <c r="V567" s="133" t="s">
        <v>1478</v>
      </c>
      <c r="AA567" s="218"/>
    </row>
    <row r="568" spans="1:27" ht="24" x14ac:dyDescent="0.25">
      <c r="A568" s="405">
        <v>3000391</v>
      </c>
      <c r="B568" s="406">
        <v>42395</v>
      </c>
      <c r="C568" s="405" t="s">
        <v>42</v>
      </c>
      <c r="D568" s="401" t="s">
        <v>1479</v>
      </c>
      <c r="E568" s="120">
        <v>250</v>
      </c>
      <c r="F568" s="133" t="s">
        <v>609</v>
      </c>
      <c r="G568" s="404" t="s">
        <v>45</v>
      </c>
      <c r="H568" s="411">
        <v>166.59</v>
      </c>
      <c r="I568" s="89">
        <f t="shared" si="95"/>
        <v>-14.9931</v>
      </c>
      <c r="J568" s="90">
        <f>-((H568*0.019)+0.3)</f>
        <v>-3.4652099999999999</v>
      </c>
      <c r="K568" s="90">
        <f t="shared" si="94"/>
        <v>148.13168999999999</v>
      </c>
      <c r="L568" s="131">
        <v>280</v>
      </c>
      <c r="M568" s="158">
        <v>31.52</v>
      </c>
      <c r="N568" s="91">
        <f t="shared" si="88"/>
        <v>101.52</v>
      </c>
      <c r="O568" s="411">
        <f t="shared" si="87"/>
        <v>46.611689999999996</v>
      </c>
      <c r="P568" s="132" t="s">
        <v>52</v>
      </c>
      <c r="Q568" s="232"/>
      <c r="R568" s="411"/>
      <c r="T568" s="134" t="s">
        <v>145</v>
      </c>
      <c r="U568" s="267" t="s">
        <v>1480</v>
      </c>
      <c r="AA568" s="218"/>
    </row>
    <row r="569" spans="1:27" ht="24" x14ac:dyDescent="0.25">
      <c r="A569" s="405">
        <v>3000392</v>
      </c>
      <c r="B569" s="406">
        <v>42395</v>
      </c>
      <c r="C569" s="405" t="s">
        <v>42</v>
      </c>
      <c r="D569" s="401" t="s">
        <v>1481</v>
      </c>
      <c r="E569" s="120">
        <v>100</v>
      </c>
      <c r="F569" s="133" t="s">
        <v>431</v>
      </c>
      <c r="G569" s="404" t="s">
        <v>45</v>
      </c>
      <c r="H569" s="411">
        <v>245.68</v>
      </c>
      <c r="I569" s="89">
        <f t="shared" si="95"/>
        <v>-22.1112</v>
      </c>
      <c r="J569" s="90">
        <f>-((H569*0.019)+0.3)</f>
        <v>-4.9679199999999994</v>
      </c>
      <c r="K569" s="90">
        <f t="shared" si="94"/>
        <v>218.60088000000002</v>
      </c>
      <c r="L569" s="131">
        <v>1050</v>
      </c>
      <c r="M569" s="158">
        <v>16.71</v>
      </c>
      <c r="N569" s="91">
        <f t="shared" si="88"/>
        <v>121.71000000000001</v>
      </c>
      <c r="O569" s="411">
        <f t="shared" si="87"/>
        <v>96.89088000000001</v>
      </c>
      <c r="P569" s="132" t="s">
        <v>52</v>
      </c>
      <c r="Q569" s="232"/>
      <c r="R569" s="411">
        <v>18.2</v>
      </c>
      <c r="S569" s="133" t="s">
        <v>502</v>
      </c>
      <c r="T569" s="134" t="s">
        <v>145</v>
      </c>
      <c r="U569" s="267" t="s">
        <v>1482</v>
      </c>
      <c r="AA569" s="218"/>
    </row>
    <row r="570" spans="1:27" ht="24" x14ac:dyDescent="0.25">
      <c r="A570" s="405">
        <v>3000392</v>
      </c>
      <c r="B570" s="406">
        <v>42395</v>
      </c>
      <c r="C570" s="405" t="s">
        <v>42</v>
      </c>
      <c r="D570" s="401" t="s">
        <v>1483</v>
      </c>
      <c r="E570" s="120">
        <v>30</v>
      </c>
      <c r="F570" s="133" t="s">
        <v>860</v>
      </c>
      <c r="G570" s="404" t="s">
        <v>45</v>
      </c>
      <c r="H570" s="411">
        <v>227</v>
      </c>
      <c r="I570" s="89">
        <f t="shared" si="95"/>
        <v>-20.43</v>
      </c>
      <c r="J570" s="90">
        <f>-((H570*0.019)+0.3)</f>
        <v>-4.6129999999999995</v>
      </c>
      <c r="K570" s="90">
        <f t="shared" si="94"/>
        <v>201.95699999999999</v>
      </c>
      <c r="L570" s="131">
        <v>3700</v>
      </c>
      <c r="M570" s="158">
        <v>51.76</v>
      </c>
      <c r="N570" s="91">
        <f t="shared" si="88"/>
        <v>162.76</v>
      </c>
      <c r="O570" s="411">
        <f t="shared" si="87"/>
        <v>39.197000000000003</v>
      </c>
      <c r="P570" s="132" t="s">
        <v>52</v>
      </c>
      <c r="Q570" s="232"/>
      <c r="R570" s="411"/>
      <c r="T570" s="134" t="s">
        <v>145</v>
      </c>
      <c r="U570" s="267" t="s">
        <v>1484</v>
      </c>
      <c r="AA570" s="218"/>
    </row>
    <row r="571" spans="1:27" ht="24" x14ac:dyDescent="0.25">
      <c r="A571" s="405">
        <v>3000394</v>
      </c>
      <c r="B571" s="406">
        <v>42395</v>
      </c>
      <c r="C571" s="405" t="s">
        <v>42</v>
      </c>
      <c r="D571" s="401" t="s">
        <v>1485</v>
      </c>
      <c r="E571" s="120">
        <v>250</v>
      </c>
      <c r="F571" s="133" t="s">
        <v>1137</v>
      </c>
      <c r="G571" s="404" t="s">
        <v>45</v>
      </c>
      <c r="H571" s="411">
        <v>132</v>
      </c>
      <c r="I571" s="89">
        <f t="shared" si="95"/>
        <v>-11.879999999999999</v>
      </c>
      <c r="J571" s="90">
        <f>-((H571*0.019)+0.3)</f>
        <v>-2.8079999999999998</v>
      </c>
      <c r="K571" s="90">
        <f t="shared" si="94"/>
        <v>117.31200000000001</v>
      </c>
      <c r="L571" s="131">
        <v>250</v>
      </c>
      <c r="M571" s="158">
        <v>25.93</v>
      </c>
      <c r="N571" s="91">
        <f t="shared" si="88"/>
        <v>88.43</v>
      </c>
      <c r="O571" s="411">
        <f t="shared" si="87"/>
        <v>28.882000000000005</v>
      </c>
      <c r="P571" s="132" t="s">
        <v>52</v>
      </c>
      <c r="Q571" s="232"/>
      <c r="R571" s="411"/>
      <c r="T571" s="134" t="s">
        <v>145</v>
      </c>
      <c r="U571" s="267" t="s">
        <v>1486</v>
      </c>
      <c r="AA571" s="218"/>
    </row>
    <row r="572" spans="1:27" ht="24" x14ac:dyDescent="0.25">
      <c r="A572" s="405">
        <v>3000395</v>
      </c>
      <c r="B572" s="406">
        <v>42395</v>
      </c>
      <c r="C572" s="405" t="s">
        <v>42</v>
      </c>
      <c r="D572" s="401" t="s">
        <v>1487</v>
      </c>
      <c r="E572" s="120">
        <v>150</v>
      </c>
      <c r="F572" s="133" t="s">
        <v>85</v>
      </c>
      <c r="G572" s="404" t="s">
        <v>45</v>
      </c>
      <c r="H572" s="411">
        <v>338.66</v>
      </c>
      <c r="I572" s="89">
        <f t="shared" si="95"/>
        <v>-30.479400000000002</v>
      </c>
      <c r="J572" s="90">
        <f>-((H572*0.019)+0.3)</f>
        <v>-6.73454</v>
      </c>
      <c r="K572" s="90">
        <f t="shared" si="94"/>
        <v>301.44606000000005</v>
      </c>
      <c r="L572" s="131">
        <v>1296</v>
      </c>
      <c r="M572" s="158">
        <v>124.99</v>
      </c>
      <c r="N572" s="91">
        <f t="shared" si="88"/>
        <v>319.39</v>
      </c>
      <c r="O572" s="411">
        <f t="shared" si="87"/>
        <v>-17.943939999999941</v>
      </c>
      <c r="P572" s="132" t="s">
        <v>52</v>
      </c>
      <c r="Q572" s="232"/>
      <c r="R572" s="411"/>
      <c r="T572" s="134" t="s">
        <v>145</v>
      </c>
      <c r="U572" s="266">
        <v>231578107</v>
      </c>
      <c r="AA572" s="218"/>
    </row>
    <row r="573" spans="1:27" ht="24" x14ac:dyDescent="0.25">
      <c r="A573" s="405">
        <v>3000396</v>
      </c>
      <c r="B573" s="406">
        <v>42395</v>
      </c>
      <c r="C573" s="405" t="s">
        <v>237</v>
      </c>
      <c r="D573" s="401" t="s">
        <v>1488</v>
      </c>
      <c r="E573" s="120">
        <v>100</v>
      </c>
      <c r="F573" s="133" t="s">
        <v>217</v>
      </c>
      <c r="G573" s="404" t="s">
        <v>45</v>
      </c>
      <c r="H573" s="411">
        <v>270</v>
      </c>
      <c r="I573" s="89">
        <f>-(H573*0.15)</f>
        <v>-40.5</v>
      </c>
      <c r="J573" s="411">
        <v>0</v>
      </c>
      <c r="K573" s="90">
        <f t="shared" si="94"/>
        <v>229.5</v>
      </c>
      <c r="L573" s="131">
        <v>1350</v>
      </c>
      <c r="M573" s="158">
        <v>41.64</v>
      </c>
      <c r="N573" s="91">
        <f t="shared" si="88"/>
        <v>176.64</v>
      </c>
      <c r="O573" s="411">
        <f t="shared" si="87"/>
        <v>52.860000000000014</v>
      </c>
      <c r="P573" s="132" t="s">
        <v>52</v>
      </c>
      <c r="Q573" s="232"/>
      <c r="R573" s="411"/>
      <c r="T573" s="134" t="s">
        <v>145</v>
      </c>
      <c r="U573" s="267" t="s">
        <v>1489</v>
      </c>
      <c r="AA573" s="218"/>
    </row>
    <row r="574" spans="1:27" ht="24" x14ac:dyDescent="0.25">
      <c r="A574" s="405">
        <v>3000397</v>
      </c>
      <c r="B574" s="406">
        <v>42395</v>
      </c>
      <c r="C574" s="405" t="s">
        <v>237</v>
      </c>
      <c r="D574" s="401" t="s">
        <v>1490</v>
      </c>
      <c r="E574" s="120">
        <v>15</v>
      </c>
      <c r="F574" s="133" t="s">
        <v>626</v>
      </c>
      <c r="G574" s="404" t="s">
        <v>45</v>
      </c>
      <c r="H574" s="411">
        <v>209.11</v>
      </c>
      <c r="I574" s="89">
        <f>-(H574*0.15)</f>
        <v>-31.366500000000002</v>
      </c>
      <c r="J574" s="411">
        <v>0</v>
      </c>
      <c r="K574" s="90">
        <f t="shared" si="94"/>
        <v>177.74350000000001</v>
      </c>
      <c r="L574" s="131">
        <v>1880</v>
      </c>
      <c r="M574" s="158">
        <v>13.5</v>
      </c>
      <c r="N574" s="91">
        <f t="shared" si="88"/>
        <v>41.7</v>
      </c>
      <c r="O574" s="411">
        <f t="shared" si="87"/>
        <v>136.04349999999999</v>
      </c>
      <c r="P574" s="132" t="s">
        <v>52</v>
      </c>
      <c r="Q574" s="232"/>
      <c r="R574" s="411"/>
      <c r="T574" s="134" t="s">
        <v>145</v>
      </c>
      <c r="U574" s="267" t="s">
        <v>1491</v>
      </c>
      <c r="AA574" s="218"/>
    </row>
    <row r="575" spans="1:27" x14ac:dyDescent="0.25">
      <c r="A575" s="405">
        <v>3000398</v>
      </c>
      <c r="B575" s="406">
        <v>42395</v>
      </c>
      <c r="C575" s="405" t="s">
        <v>141</v>
      </c>
      <c r="D575" s="401" t="s">
        <v>1492</v>
      </c>
      <c r="E575" s="120">
        <v>500</v>
      </c>
      <c r="F575" s="133" t="s">
        <v>1493</v>
      </c>
      <c r="G575" s="404" t="s">
        <v>45</v>
      </c>
      <c r="H575" s="411">
        <v>850</v>
      </c>
      <c r="I575" s="411">
        <v>0</v>
      </c>
      <c r="J575" s="90">
        <f>-((H575*0.0325)+0.3)</f>
        <v>-27.925000000000001</v>
      </c>
      <c r="K575" s="90">
        <f t="shared" si="94"/>
        <v>822.07500000000005</v>
      </c>
      <c r="L575" s="158">
        <v>1079</v>
      </c>
      <c r="M575" s="158">
        <v>0</v>
      </c>
      <c r="N575" s="91">
        <f t="shared" si="88"/>
        <v>539.5</v>
      </c>
      <c r="O575" s="411">
        <f t="shared" si="87"/>
        <v>282.57500000000005</v>
      </c>
      <c r="P575" s="132" t="s">
        <v>59</v>
      </c>
      <c r="Q575" s="232"/>
      <c r="R575" s="411"/>
      <c r="T575" s="134" t="s">
        <v>1494</v>
      </c>
      <c r="U575" s="267" t="s">
        <v>1495</v>
      </c>
      <c r="W575" s="153" t="s">
        <v>1496</v>
      </c>
      <c r="AA575" s="218"/>
    </row>
    <row r="576" spans="1:27" ht="24" x14ac:dyDescent="0.25">
      <c r="A576" s="419">
        <v>3000399</v>
      </c>
      <c r="B576" s="421">
        <v>42396</v>
      </c>
      <c r="C576" s="419" t="s">
        <v>327</v>
      </c>
      <c r="D576" s="417" t="s">
        <v>1230</v>
      </c>
      <c r="E576" s="120">
        <v>65</v>
      </c>
      <c r="F576" s="133" t="s">
        <v>1273</v>
      </c>
      <c r="G576" s="434" t="s">
        <v>45</v>
      </c>
      <c r="H576" s="427">
        <v>225</v>
      </c>
      <c r="I576" s="427">
        <v>0</v>
      </c>
      <c r="J576" s="425">
        <f>-((H576*0.022)+0.3)</f>
        <v>-5.2499999999999991</v>
      </c>
      <c r="K576" s="425">
        <f t="shared" si="94"/>
        <v>219.75</v>
      </c>
      <c r="L576" s="131">
        <v>1051</v>
      </c>
      <c r="M576" s="158">
        <v>23.55</v>
      </c>
      <c r="N576" s="91">
        <f t="shared" si="88"/>
        <v>91.864999999999995</v>
      </c>
      <c r="O576" s="411">
        <f t="shared" si="87"/>
        <v>127.88500000000001</v>
      </c>
      <c r="P576" s="132" t="s">
        <v>86</v>
      </c>
      <c r="Q576" s="232"/>
      <c r="R576" s="411"/>
      <c r="T576" s="134" t="s">
        <v>145</v>
      </c>
      <c r="U576" s="267" t="s">
        <v>1497</v>
      </c>
      <c r="W576" s="153" t="s">
        <v>1498</v>
      </c>
      <c r="AA576" s="218"/>
    </row>
    <row r="577" spans="1:27" ht="24" x14ac:dyDescent="0.25">
      <c r="A577" s="420"/>
      <c r="B577" s="422"/>
      <c r="C577" s="420"/>
      <c r="D577" s="418"/>
      <c r="E577" s="120">
        <v>175</v>
      </c>
      <c r="F577" s="133" t="s">
        <v>954</v>
      </c>
      <c r="G577" s="436"/>
      <c r="H577" s="428"/>
      <c r="I577" s="428"/>
      <c r="J577" s="426"/>
      <c r="K577" s="426"/>
      <c r="M577" s="158">
        <v>22.88</v>
      </c>
      <c r="N577" s="91">
        <f t="shared" si="88"/>
        <v>22.88</v>
      </c>
      <c r="O577" s="411">
        <f t="shared" si="87"/>
        <v>-22.88</v>
      </c>
      <c r="P577" s="132" t="s">
        <v>52</v>
      </c>
      <c r="Q577" s="232"/>
      <c r="R577" s="411"/>
      <c r="T577" s="134" t="s">
        <v>145</v>
      </c>
      <c r="U577" s="267" t="s">
        <v>1499</v>
      </c>
      <c r="V577" s="133" t="s">
        <v>1500</v>
      </c>
      <c r="AA577" s="218"/>
    </row>
    <row r="578" spans="1:27" ht="24" x14ac:dyDescent="0.25">
      <c r="A578" s="405">
        <v>3000400</v>
      </c>
      <c r="B578" s="406">
        <v>42396</v>
      </c>
      <c r="C578" s="405" t="s">
        <v>42</v>
      </c>
      <c r="D578" s="401" t="s">
        <v>1501</v>
      </c>
      <c r="E578" s="120">
        <v>100</v>
      </c>
      <c r="F578" s="133" t="s">
        <v>431</v>
      </c>
      <c r="G578" s="404" t="s">
        <v>45</v>
      </c>
      <c r="H578" s="411">
        <v>227.48</v>
      </c>
      <c r="I578" s="89">
        <f t="shared" ref="I578:I581" si="96">-(H578*0.09)</f>
        <v>-20.473199999999999</v>
      </c>
      <c r="J578" s="90">
        <f>-((H578*0.019)+0.3)</f>
        <v>-4.6221199999999998</v>
      </c>
      <c r="K578" s="90">
        <f t="shared" si="94"/>
        <v>202.38468</v>
      </c>
      <c r="L578" s="131">
        <v>1050</v>
      </c>
      <c r="M578" s="158">
        <v>25.75</v>
      </c>
      <c r="N578" s="91">
        <f t="shared" si="88"/>
        <v>130.75</v>
      </c>
      <c r="O578" s="411">
        <f t="shared" si="87"/>
        <v>71.634680000000003</v>
      </c>
      <c r="P578" s="132" t="s">
        <v>52</v>
      </c>
      <c r="Q578" s="232"/>
      <c r="R578" s="411"/>
      <c r="T578" s="134" t="s">
        <v>145</v>
      </c>
      <c r="U578" s="267" t="s">
        <v>1502</v>
      </c>
      <c r="AA578" s="218"/>
    </row>
    <row r="579" spans="1:27" ht="24" x14ac:dyDescent="0.25">
      <c r="A579" s="419">
        <v>3000401</v>
      </c>
      <c r="B579" s="421">
        <v>42396</v>
      </c>
      <c r="C579" s="419" t="s">
        <v>42</v>
      </c>
      <c r="D579" s="417" t="s">
        <v>1503</v>
      </c>
      <c r="E579" s="120">
        <v>1000</v>
      </c>
      <c r="F579" s="119" t="s">
        <v>1504</v>
      </c>
      <c r="G579" s="434" t="s">
        <v>45</v>
      </c>
      <c r="H579" s="427">
        <v>726.7</v>
      </c>
      <c r="I579" s="452">
        <f t="shared" si="96"/>
        <v>-65.403000000000006</v>
      </c>
      <c r="J579" s="425">
        <f>-((H579*0.019)+0.3)</f>
        <v>-14.1073</v>
      </c>
      <c r="K579" s="425">
        <f t="shared" si="94"/>
        <v>647.18970000000002</v>
      </c>
      <c r="L579" s="158">
        <v>370</v>
      </c>
      <c r="M579" s="158">
        <v>60.59</v>
      </c>
      <c r="N579" s="91">
        <f t="shared" si="88"/>
        <v>430.59000000000003</v>
      </c>
      <c r="O579" s="411">
        <f t="shared" si="87"/>
        <v>216.59969999999998</v>
      </c>
      <c r="P579" s="132" t="s">
        <v>1505</v>
      </c>
      <c r="Q579" s="232"/>
      <c r="R579" s="411"/>
      <c r="T579" s="134" t="s">
        <v>145</v>
      </c>
      <c r="U579" s="267" t="s">
        <v>1506</v>
      </c>
      <c r="AA579" s="218"/>
    </row>
    <row r="580" spans="1:27" ht="24" x14ac:dyDescent="0.25">
      <c r="A580" s="420"/>
      <c r="B580" s="422"/>
      <c r="C580" s="420"/>
      <c r="D580" s="418"/>
      <c r="E580" s="120">
        <v>50</v>
      </c>
      <c r="F580" s="133" t="s">
        <v>1507</v>
      </c>
      <c r="G580" s="436"/>
      <c r="H580" s="428"/>
      <c r="I580" s="453"/>
      <c r="J580" s="426"/>
      <c r="K580" s="426"/>
      <c r="L580" s="158">
        <v>2260</v>
      </c>
      <c r="N580" s="91">
        <f t="shared" si="88"/>
        <v>113</v>
      </c>
      <c r="O580" s="411">
        <f t="shared" si="87"/>
        <v>-113</v>
      </c>
      <c r="P580" s="132" t="s">
        <v>926</v>
      </c>
      <c r="Q580" s="232"/>
      <c r="R580" s="411"/>
      <c r="T580" s="134" t="s">
        <v>145</v>
      </c>
      <c r="U580" s="266" t="s">
        <v>1508</v>
      </c>
      <c r="V580" s="133" t="s">
        <v>1509</v>
      </c>
      <c r="AA580" s="218"/>
    </row>
    <row r="581" spans="1:27" ht="24" x14ac:dyDescent="0.25">
      <c r="A581" s="405">
        <v>3000402</v>
      </c>
      <c r="B581" s="406">
        <v>42396</v>
      </c>
      <c r="C581" s="405" t="s">
        <v>42</v>
      </c>
      <c r="D581" s="401" t="s">
        <v>1510</v>
      </c>
      <c r="E581" s="120">
        <v>25</v>
      </c>
      <c r="F581" s="133" t="s">
        <v>1511</v>
      </c>
      <c r="G581" s="404" t="s">
        <v>45</v>
      </c>
      <c r="H581" s="411">
        <v>120.64</v>
      </c>
      <c r="I581" s="89">
        <f t="shared" si="96"/>
        <v>-10.8576</v>
      </c>
      <c r="J581" s="90">
        <f>-((H581*0.019)+0.3)</f>
        <v>-2.5921599999999998</v>
      </c>
      <c r="K581" s="90">
        <f t="shared" si="94"/>
        <v>107.19023999999999</v>
      </c>
      <c r="L581" s="158">
        <v>2700</v>
      </c>
      <c r="M581" s="158">
        <v>16.48</v>
      </c>
      <c r="N581" s="91">
        <f t="shared" si="88"/>
        <v>83.98</v>
      </c>
      <c r="O581" s="411">
        <f t="shared" si="87"/>
        <v>23.210239999999985</v>
      </c>
      <c r="P581" s="132" t="s">
        <v>183</v>
      </c>
      <c r="Q581" s="232"/>
      <c r="R581" s="411">
        <v>7.89</v>
      </c>
      <c r="S581" s="133" t="s">
        <v>1512</v>
      </c>
      <c r="T581" s="134" t="s">
        <v>145</v>
      </c>
      <c r="U581" s="267" t="s">
        <v>1513</v>
      </c>
      <c r="AA581" s="218"/>
    </row>
    <row r="582" spans="1:27" ht="24" x14ac:dyDescent="0.25">
      <c r="A582" s="405">
        <v>3000403</v>
      </c>
      <c r="B582" s="406">
        <v>42396</v>
      </c>
      <c r="C582" s="405" t="s">
        <v>159</v>
      </c>
      <c r="D582" s="401" t="s">
        <v>1514</v>
      </c>
      <c r="E582" s="120">
        <v>130</v>
      </c>
      <c r="F582" s="133" t="s">
        <v>247</v>
      </c>
      <c r="G582" s="404" t="s">
        <v>45</v>
      </c>
      <c r="H582" s="411">
        <v>145.6</v>
      </c>
      <c r="I582" s="411">
        <v>0</v>
      </c>
      <c r="J582" s="90">
        <f>-((H582*0.019)+0.3)</f>
        <v>-3.0663999999999998</v>
      </c>
      <c r="K582" s="90">
        <f t="shared" si="94"/>
        <v>142.53360000000001</v>
      </c>
      <c r="L582" s="131">
        <v>580</v>
      </c>
      <c r="N582" s="91">
        <f t="shared" si="88"/>
        <v>75.400000000000006</v>
      </c>
      <c r="O582" s="411">
        <f t="shared" si="87"/>
        <v>67.133600000000001</v>
      </c>
      <c r="P582" s="132" t="s">
        <v>86</v>
      </c>
      <c r="Q582" s="232"/>
      <c r="R582" s="411"/>
      <c r="T582" s="134" t="s">
        <v>145</v>
      </c>
      <c r="U582" s="267" t="s">
        <v>1515</v>
      </c>
      <c r="W582" s="153" t="s">
        <v>1516</v>
      </c>
      <c r="AA582" s="218"/>
    </row>
    <row r="583" spans="1:27" ht="24" x14ac:dyDescent="0.25">
      <c r="A583" s="405">
        <v>3000404</v>
      </c>
      <c r="B583" s="406">
        <v>42396</v>
      </c>
      <c r="C583" s="405" t="s">
        <v>63</v>
      </c>
      <c r="D583" s="401" t="s">
        <v>1517</v>
      </c>
      <c r="E583" s="120">
        <v>200</v>
      </c>
      <c r="F583" s="133" t="s">
        <v>247</v>
      </c>
      <c r="G583" s="404" t="s">
        <v>45</v>
      </c>
      <c r="H583" s="411">
        <v>241.92</v>
      </c>
      <c r="I583" s="411">
        <v>0</v>
      </c>
      <c r="J583" s="90">
        <f>-((H583*0.022)+0.3)</f>
        <v>-5.6222399999999988</v>
      </c>
      <c r="K583" s="90">
        <f t="shared" si="94"/>
        <v>236.29775999999998</v>
      </c>
      <c r="L583" s="131">
        <v>580</v>
      </c>
      <c r="N583" s="91">
        <f t="shared" si="88"/>
        <v>116</v>
      </c>
      <c r="O583" s="411">
        <f t="shared" si="87"/>
        <v>120.29775999999998</v>
      </c>
      <c r="P583" s="132" t="s">
        <v>86</v>
      </c>
      <c r="Q583" s="232"/>
      <c r="R583" s="411">
        <v>17.920000000000002</v>
      </c>
      <c r="S583" s="133" t="s">
        <v>1518</v>
      </c>
      <c r="T583" s="134" t="s">
        <v>145</v>
      </c>
      <c r="U583" s="267" t="s">
        <v>1519</v>
      </c>
      <c r="W583" s="153" t="s">
        <v>1520</v>
      </c>
      <c r="AA583" s="218"/>
    </row>
    <row r="584" spans="1:27" x14ac:dyDescent="0.25">
      <c r="A584" s="405">
        <v>3000405</v>
      </c>
      <c r="B584" s="406">
        <v>42396</v>
      </c>
      <c r="C584" s="405" t="s">
        <v>327</v>
      </c>
      <c r="D584" s="401" t="s">
        <v>1521</v>
      </c>
      <c r="E584" s="120">
        <v>150</v>
      </c>
      <c r="F584" s="133" t="s">
        <v>1522</v>
      </c>
      <c r="G584" s="404" t="s">
        <v>45</v>
      </c>
      <c r="H584" s="411">
        <v>325.89</v>
      </c>
      <c r="I584" s="411">
        <v>0</v>
      </c>
      <c r="J584" s="90">
        <f>-((H584*0.022)+0.3)</f>
        <v>-7.4695799999999988</v>
      </c>
      <c r="K584" s="90">
        <f t="shared" si="94"/>
        <v>318.42041999999998</v>
      </c>
      <c r="L584" s="158">
        <v>1180</v>
      </c>
      <c r="M584" s="158">
        <v>105</v>
      </c>
      <c r="N584" s="91">
        <f t="shared" si="88"/>
        <v>282</v>
      </c>
      <c r="O584" s="411">
        <f t="shared" si="87"/>
        <v>36.420419999999979</v>
      </c>
      <c r="P584" s="132" t="s">
        <v>183</v>
      </c>
      <c r="Q584" s="232"/>
      <c r="R584" s="411">
        <v>25.89</v>
      </c>
      <c r="S584" s="133" t="s">
        <v>52</v>
      </c>
      <c r="T584" s="134" t="s">
        <v>717</v>
      </c>
      <c r="U584" s="267" t="s">
        <v>1523</v>
      </c>
      <c r="W584" s="153" t="s">
        <v>1524</v>
      </c>
      <c r="AA584" s="218"/>
    </row>
    <row r="585" spans="1:27" ht="24" x14ac:dyDescent="0.25">
      <c r="A585" s="419">
        <v>3000406</v>
      </c>
      <c r="B585" s="421">
        <v>42396</v>
      </c>
      <c r="C585" s="419" t="s">
        <v>63</v>
      </c>
      <c r="D585" s="417" t="s">
        <v>1525</v>
      </c>
      <c r="E585" s="120">
        <v>340</v>
      </c>
      <c r="F585" s="119" t="s">
        <v>1526</v>
      </c>
      <c r="G585" s="434" t="s">
        <v>45</v>
      </c>
      <c r="H585" s="427">
        <v>6320</v>
      </c>
      <c r="I585" s="427">
        <v>0</v>
      </c>
      <c r="J585" s="425">
        <f>-((H585*0.022)+0.3)</f>
        <v>-139.34</v>
      </c>
      <c r="K585" s="425">
        <f t="shared" si="94"/>
        <v>6180.66</v>
      </c>
      <c r="L585" s="131">
        <v>4000</v>
      </c>
      <c r="M585" s="158">
        <v>750</v>
      </c>
      <c r="N585" s="91">
        <f t="shared" si="88"/>
        <v>2110</v>
      </c>
      <c r="O585" s="411">
        <f t="shared" ref="O585:O648" si="97">K585-N585</f>
        <v>4070.66</v>
      </c>
      <c r="P585" s="132" t="s">
        <v>52</v>
      </c>
      <c r="Q585" s="232"/>
      <c r="R585" s="411"/>
      <c r="T585" s="470" t="s">
        <v>1527</v>
      </c>
      <c r="U585" s="505" t="s">
        <v>1229</v>
      </c>
      <c r="V585" s="133" t="s">
        <v>1528</v>
      </c>
      <c r="W585" s="153" t="s">
        <v>1529</v>
      </c>
      <c r="AA585" s="218"/>
    </row>
    <row r="586" spans="1:27" ht="24" x14ac:dyDescent="0.25">
      <c r="A586" s="432"/>
      <c r="B586" s="433"/>
      <c r="C586" s="432"/>
      <c r="D586" s="454"/>
      <c r="E586" s="120">
        <v>340</v>
      </c>
      <c r="F586" s="119" t="s">
        <v>1526</v>
      </c>
      <c r="G586" s="435"/>
      <c r="H586" s="438"/>
      <c r="I586" s="438"/>
      <c r="J586" s="437"/>
      <c r="K586" s="437"/>
      <c r="L586" s="131">
        <v>4000</v>
      </c>
      <c r="M586" s="158"/>
      <c r="N586" s="91">
        <f t="shared" ref="N586:N650" si="98">((L586)*(E586*0.001))+M586</f>
        <v>1360</v>
      </c>
      <c r="O586" s="411">
        <f t="shared" si="97"/>
        <v>-1360</v>
      </c>
      <c r="P586" s="132" t="s">
        <v>52</v>
      </c>
      <c r="Q586" s="232"/>
      <c r="R586" s="411"/>
      <c r="T586" s="471"/>
      <c r="U586" s="506"/>
      <c r="AA586" s="218"/>
    </row>
    <row r="587" spans="1:27" ht="36" x14ac:dyDescent="0.25">
      <c r="A587" s="432"/>
      <c r="B587" s="433"/>
      <c r="C587" s="432"/>
      <c r="D587" s="454"/>
      <c r="E587" s="120">
        <v>340</v>
      </c>
      <c r="F587" s="119" t="s">
        <v>1530</v>
      </c>
      <c r="G587" s="435"/>
      <c r="H587" s="438"/>
      <c r="I587" s="438"/>
      <c r="J587" s="437"/>
      <c r="K587" s="437"/>
      <c r="L587" s="131">
        <v>4000</v>
      </c>
      <c r="M587" s="158"/>
      <c r="N587" s="91">
        <f t="shared" si="98"/>
        <v>1360</v>
      </c>
      <c r="O587" s="411">
        <f t="shared" si="97"/>
        <v>-1360</v>
      </c>
      <c r="P587" s="132" t="s">
        <v>52</v>
      </c>
      <c r="Q587" s="232"/>
      <c r="R587" s="411"/>
      <c r="T587" s="471"/>
      <c r="U587" s="506"/>
      <c r="AA587" s="218"/>
    </row>
    <row r="588" spans="1:27" x14ac:dyDescent="0.25">
      <c r="A588" s="420"/>
      <c r="B588" s="422"/>
      <c r="C588" s="420"/>
      <c r="D588" s="418"/>
      <c r="E588" s="120">
        <v>260</v>
      </c>
      <c r="F588" s="133" t="s">
        <v>667</v>
      </c>
      <c r="G588" s="436"/>
      <c r="H588" s="428"/>
      <c r="I588" s="428"/>
      <c r="J588" s="426"/>
      <c r="K588" s="426"/>
      <c r="L588" s="131">
        <v>922</v>
      </c>
      <c r="M588" s="158"/>
      <c r="N588" s="91">
        <f t="shared" si="98"/>
        <v>239.72</v>
      </c>
      <c r="O588" s="411">
        <f t="shared" si="97"/>
        <v>-239.72</v>
      </c>
      <c r="P588" s="132" t="s">
        <v>52</v>
      </c>
      <c r="Q588" s="232"/>
      <c r="R588" s="411"/>
      <c r="T588" s="472"/>
      <c r="U588" s="490"/>
      <c r="AA588" s="218"/>
    </row>
    <row r="589" spans="1:27" ht="24" x14ac:dyDescent="0.25">
      <c r="A589" s="405">
        <v>3000407</v>
      </c>
      <c r="B589" s="406">
        <v>42397</v>
      </c>
      <c r="C589" s="405" t="s">
        <v>141</v>
      </c>
      <c r="D589" s="401" t="s">
        <v>674</v>
      </c>
      <c r="E589" s="120">
        <v>100</v>
      </c>
      <c r="F589" s="133" t="s">
        <v>1531</v>
      </c>
      <c r="G589" s="404" t="s">
        <v>45</v>
      </c>
      <c r="H589" s="411">
        <v>190</v>
      </c>
      <c r="I589" s="411">
        <v>0</v>
      </c>
      <c r="J589" s="90">
        <f>-((H589*0.0325)+0.3)</f>
        <v>-6.4749999999999996</v>
      </c>
      <c r="K589" s="90">
        <f t="shared" ref="K589:K629" si="99">SUM(H589:J589)</f>
        <v>183.52500000000001</v>
      </c>
      <c r="L589" s="158">
        <v>960</v>
      </c>
      <c r="M589" s="158">
        <v>9.99</v>
      </c>
      <c r="N589" s="91">
        <f t="shared" si="98"/>
        <v>105.99</v>
      </c>
      <c r="O589" s="411">
        <f t="shared" si="97"/>
        <v>77.535000000000011</v>
      </c>
      <c r="P589" s="132" t="s">
        <v>926</v>
      </c>
      <c r="Q589" s="232"/>
      <c r="R589" s="411"/>
      <c r="T589" s="134" t="s">
        <v>145</v>
      </c>
      <c r="U589" s="267" t="s">
        <v>1532</v>
      </c>
      <c r="W589" s="153" t="s">
        <v>677</v>
      </c>
      <c r="AA589" s="218"/>
    </row>
    <row r="590" spans="1:27" ht="24" x14ac:dyDescent="0.25">
      <c r="A590" s="405">
        <v>3000408</v>
      </c>
      <c r="B590" s="406">
        <v>42397</v>
      </c>
      <c r="C590" s="405" t="s">
        <v>327</v>
      </c>
      <c r="D590" s="401" t="s">
        <v>1533</v>
      </c>
      <c r="E590" s="120">
        <v>75</v>
      </c>
      <c r="F590" s="133" t="s">
        <v>176</v>
      </c>
      <c r="G590" s="404" t="s">
        <v>45</v>
      </c>
      <c r="H590" s="411">
        <v>255</v>
      </c>
      <c r="I590" s="411">
        <v>0</v>
      </c>
      <c r="J590" s="90">
        <f>-((H590*0.022)+0.3)</f>
        <v>-5.9099999999999993</v>
      </c>
      <c r="K590" s="90">
        <f t="shared" si="99"/>
        <v>249.09</v>
      </c>
      <c r="L590" s="131">
        <v>1700</v>
      </c>
      <c r="M590" s="158">
        <v>22.75</v>
      </c>
      <c r="N590" s="91">
        <f t="shared" si="98"/>
        <v>150.25</v>
      </c>
      <c r="O590" s="411">
        <f t="shared" si="97"/>
        <v>98.84</v>
      </c>
      <c r="P590" s="132" t="s">
        <v>52</v>
      </c>
      <c r="Q590" s="232"/>
      <c r="R590" s="411"/>
      <c r="T590" s="134" t="s">
        <v>145</v>
      </c>
      <c r="U590" s="267" t="s">
        <v>1534</v>
      </c>
      <c r="W590" s="153" t="s">
        <v>1535</v>
      </c>
      <c r="AA590" s="218"/>
    </row>
    <row r="591" spans="1:27" ht="24" x14ac:dyDescent="0.25">
      <c r="A591" s="405">
        <v>3000409</v>
      </c>
      <c r="B591" s="406">
        <v>42397</v>
      </c>
      <c r="C591" s="405" t="s">
        <v>42</v>
      </c>
      <c r="D591" s="401" t="s">
        <v>1536</v>
      </c>
      <c r="E591" s="120">
        <v>400</v>
      </c>
      <c r="F591" s="133" t="s">
        <v>877</v>
      </c>
      <c r="G591" s="404" t="s">
        <v>45</v>
      </c>
      <c r="H591" s="411">
        <v>259.49</v>
      </c>
      <c r="I591" s="89">
        <f t="shared" ref="I591:I599" si="100">-(H591*0.09)</f>
        <v>-23.354099999999999</v>
      </c>
      <c r="J591" s="90">
        <f t="shared" ref="J591:J599" si="101">-((H591*0.019)+0.3)</f>
        <v>-5.2303100000000002</v>
      </c>
      <c r="K591" s="90">
        <f t="shared" si="99"/>
        <v>230.90559000000002</v>
      </c>
      <c r="L591" s="131">
        <v>235</v>
      </c>
      <c r="M591" s="158">
        <v>55.4</v>
      </c>
      <c r="N591" s="91">
        <f t="shared" si="98"/>
        <v>149.4</v>
      </c>
      <c r="O591" s="411">
        <f t="shared" si="97"/>
        <v>81.505590000000012</v>
      </c>
      <c r="P591" s="132" t="s">
        <v>52</v>
      </c>
      <c r="Q591" s="232"/>
      <c r="R591" s="411"/>
      <c r="T591" s="134" t="s">
        <v>145</v>
      </c>
      <c r="U591" s="267" t="s">
        <v>1537</v>
      </c>
      <c r="AA591" s="218"/>
    </row>
    <row r="592" spans="1:27" ht="24" x14ac:dyDescent="0.25">
      <c r="A592" s="405">
        <v>3000410</v>
      </c>
      <c r="B592" s="406">
        <v>42397</v>
      </c>
      <c r="C592" s="405" t="s">
        <v>42</v>
      </c>
      <c r="D592" s="401" t="s">
        <v>1538</v>
      </c>
      <c r="E592" s="120">
        <v>500</v>
      </c>
      <c r="F592" s="133" t="s">
        <v>1539</v>
      </c>
      <c r="G592" s="404" t="s">
        <v>45</v>
      </c>
      <c r="H592" s="411">
        <v>185.25</v>
      </c>
      <c r="I592" s="89">
        <f t="shared" si="100"/>
        <v>-16.672499999999999</v>
      </c>
      <c r="J592" s="90">
        <f t="shared" si="101"/>
        <v>-3.8197499999999995</v>
      </c>
      <c r="K592" s="90">
        <f t="shared" si="99"/>
        <v>164.75774999999999</v>
      </c>
      <c r="M592" s="158">
        <v>25.27</v>
      </c>
      <c r="N592" s="91">
        <f t="shared" si="98"/>
        <v>25.27</v>
      </c>
      <c r="O592" s="411">
        <f t="shared" si="97"/>
        <v>139.48774999999998</v>
      </c>
      <c r="P592" s="132" t="s">
        <v>52</v>
      </c>
      <c r="Q592" s="232"/>
      <c r="R592" s="411"/>
      <c r="T592" s="134" t="s">
        <v>145</v>
      </c>
      <c r="U592" s="267" t="s">
        <v>1540</v>
      </c>
      <c r="AA592" s="218"/>
    </row>
    <row r="593" spans="1:27" ht="24" x14ac:dyDescent="0.25">
      <c r="A593" s="405">
        <v>3000411</v>
      </c>
      <c r="B593" s="406">
        <v>42397</v>
      </c>
      <c r="C593" s="405" t="s">
        <v>42</v>
      </c>
      <c r="D593" s="401" t="s">
        <v>1541</v>
      </c>
      <c r="E593" s="120">
        <v>250</v>
      </c>
      <c r="F593" s="133" t="s">
        <v>1542</v>
      </c>
      <c r="G593" s="404" t="s">
        <v>45</v>
      </c>
      <c r="H593" s="411">
        <v>145</v>
      </c>
      <c r="I593" s="89">
        <f t="shared" si="100"/>
        <v>-13.049999999999999</v>
      </c>
      <c r="J593" s="90">
        <f t="shared" si="101"/>
        <v>-3.0549999999999997</v>
      </c>
      <c r="K593" s="90">
        <f t="shared" si="99"/>
        <v>128.89499999999998</v>
      </c>
      <c r="L593" s="158">
        <v>355</v>
      </c>
      <c r="M593" s="158">
        <v>7.22</v>
      </c>
      <c r="N593" s="91">
        <f t="shared" si="98"/>
        <v>95.97</v>
      </c>
      <c r="O593" s="411">
        <f t="shared" si="97"/>
        <v>32.924999999999983</v>
      </c>
      <c r="P593" s="132" t="s">
        <v>643</v>
      </c>
      <c r="Q593" s="232"/>
      <c r="R593" s="411"/>
      <c r="T593" s="134" t="s">
        <v>145</v>
      </c>
      <c r="U593" s="267" t="s">
        <v>1543</v>
      </c>
      <c r="AA593" s="218"/>
    </row>
    <row r="594" spans="1:27" ht="24" x14ac:dyDescent="0.25">
      <c r="A594" s="405">
        <v>3000412</v>
      </c>
      <c r="B594" s="406">
        <v>42397</v>
      </c>
      <c r="C594" s="405" t="s">
        <v>42</v>
      </c>
      <c r="D594" s="401" t="s">
        <v>1544</v>
      </c>
      <c r="E594" s="120">
        <v>250</v>
      </c>
      <c r="F594" s="133" t="s">
        <v>1137</v>
      </c>
      <c r="G594" s="404" t="s">
        <v>45</v>
      </c>
      <c r="H594" s="411">
        <v>132</v>
      </c>
      <c r="I594" s="89">
        <f t="shared" si="100"/>
        <v>-11.879999999999999</v>
      </c>
      <c r="J594" s="90">
        <f t="shared" si="101"/>
        <v>-2.8079999999999998</v>
      </c>
      <c r="K594" s="90">
        <f t="shared" si="99"/>
        <v>117.31200000000001</v>
      </c>
      <c r="L594" s="131">
        <v>250</v>
      </c>
      <c r="M594" s="158">
        <v>41.08</v>
      </c>
      <c r="N594" s="91">
        <f t="shared" si="98"/>
        <v>103.58</v>
      </c>
      <c r="O594" s="411">
        <f t="shared" si="97"/>
        <v>13.732000000000014</v>
      </c>
      <c r="P594" s="132" t="s">
        <v>52</v>
      </c>
      <c r="Q594" s="232"/>
      <c r="R594" s="411"/>
      <c r="T594" s="134" t="s">
        <v>145</v>
      </c>
      <c r="U594" s="267" t="s">
        <v>1545</v>
      </c>
      <c r="AA594" s="218"/>
    </row>
    <row r="595" spans="1:27" ht="24" x14ac:dyDescent="0.25">
      <c r="A595" s="405">
        <v>3000413</v>
      </c>
      <c r="B595" s="406">
        <v>42397</v>
      </c>
      <c r="C595" s="405" t="s">
        <v>42</v>
      </c>
      <c r="D595" s="401" t="s">
        <v>1546</v>
      </c>
      <c r="E595" s="120">
        <v>100</v>
      </c>
      <c r="F595" s="133" t="s">
        <v>1547</v>
      </c>
      <c r="G595" s="404" t="s">
        <v>45</v>
      </c>
      <c r="H595" s="411">
        <v>105.42</v>
      </c>
      <c r="I595" s="89">
        <f t="shared" si="100"/>
        <v>-9.4878</v>
      </c>
      <c r="J595" s="90">
        <f t="shared" si="101"/>
        <v>-2.3029799999999998</v>
      </c>
      <c r="K595" s="90">
        <f t="shared" si="99"/>
        <v>93.629219999999989</v>
      </c>
      <c r="L595" s="131">
        <v>385</v>
      </c>
      <c r="M595" s="158">
        <v>32.79</v>
      </c>
      <c r="N595" s="91">
        <f t="shared" si="98"/>
        <v>71.289999999999992</v>
      </c>
      <c r="O595" s="411">
        <f t="shared" si="97"/>
        <v>22.339219999999997</v>
      </c>
      <c r="P595" s="132" t="s">
        <v>52</v>
      </c>
      <c r="Q595" s="232"/>
      <c r="R595" s="411"/>
      <c r="T595" s="134" t="s">
        <v>145</v>
      </c>
      <c r="U595" s="267" t="s">
        <v>1548</v>
      </c>
      <c r="AA595" s="218"/>
    </row>
    <row r="596" spans="1:27" ht="24" x14ac:dyDescent="0.25">
      <c r="A596" s="405">
        <v>3000414</v>
      </c>
      <c r="B596" s="406">
        <v>42397</v>
      </c>
      <c r="C596" s="405" t="s">
        <v>42</v>
      </c>
      <c r="D596" s="401" t="s">
        <v>1549</v>
      </c>
      <c r="E596" s="120">
        <v>250</v>
      </c>
      <c r="F596" s="133" t="s">
        <v>1550</v>
      </c>
      <c r="G596" s="404" t="s">
        <v>45</v>
      </c>
      <c r="H596" s="411">
        <v>320</v>
      </c>
      <c r="I596" s="89">
        <f t="shared" si="100"/>
        <v>-28.799999999999997</v>
      </c>
      <c r="J596" s="90">
        <f t="shared" si="101"/>
        <v>-6.38</v>
      </c>
      <c r="K596" s="90">
        <f t="shared" si="99"/>
        <v>284.82</v>
      </c>
      <c r="M596" s="158">
        <v>49.75</v>
      </c>
      <c r="N596" s="91">
        <f t="shared" si="98"/>
        <v>49.75</v>
      </c>
      <c r="O596" s="411">
        <f t="shared" si="97"/>
        <v>235.07</v>
      </c>
      <c r="P596" s="132" t="s">
        <v>52</v>
      </c>
      <c r="Q596" s="232"/>
      <c r="R596" s="411"/>
      <c r="T596" s="134" t="s">
        <v>145</v>
      </c>
      <c r="U596" s="267" t="s">
        <v>1551</v>
      </c>
      <c r="AA596" s="218"/>
    </row>
    <row r="597" spans="1:27" ht="24" x14ac:dyDescent="0.25">
      <c r="A597" s="405">
        <v>3000415</v>
      </c>
      <c r="B597" s="406">
        <v>42397</v>
      </c>
      <c r="C597" s="405" t="s">
        <v>42</v>
      </c>
      <c r="D597" s="401" t="s">
        <v>1552</v>
      </c>
      <c r="E597" s="120">
        <v>300</v>
      </c>
      <c r="F597" s="133" t="s">
        <v>829</v>
      </c>
      <c r="G597" s="404" t="s">
        <v>45</v>
      </c>
      <c r="H597" s="411">
        <v>280.25</v>
      </c>
      <c r="I597" s="89">
        <f t="shared" si="100"/>
        <v>-25.2225</v>
      </c>
      <c r="J597" s="90">
        <f t="shared" si="101"/>
        <v>-5.6247499999999997</v>
      </c>
      <c r="K597" s="90">
        <f t="shared" si="99"/>
        <v>249.40275</v>
      </c>
      <c r="L597" s="131">
        <v>510</v>
      </c>
      <c r="M597" s="158">
        <v>53.86</v>
      </c>
      <c r="N597" s="91">
        <f t="shared" si="98"/>
        <v>206.86</v>
      </c>
      <c r="O597" s="411">
        <f t="shared" si="97"/>
        <v>42.542749999999984</v>
      </c>
      <c r="P597" s="132" t="s">
        <v>52</v>
      </c>
      <c r="Q597" s="232"/>
      <c r="R597" s="411"/>
      <c r="T597" s="134" t="s">
        <v>145</v>
      </c>
      <c r="U597" s="267" t="s">
        <v>1553</v>
      </c>
      <c r="AA597" s="218"/>
    </row>
    <row r="598" spans="1:27" ht="24" x14ac:dyDescent="0.25">
      <c r="A598" s="405">
        <v>3000416</v>
      </c>
      <c r="B598" s="406">
        <v>42397</v>
      </c>
      <c r="C598" s="405" t="s">
        <v>42</v>
      </c>
      <c r="D598" s="401" t="s">
        <v>1554</v>
      </c>
      <c r="E598" s="120">
        <v>250</v>
      </c>
      <c r="F598" s="133" t="s">
        <v>1555</v>
      </c>
      <c r="G598" s="404" t="s">
        <v>45</v>
      </c>
      <c r="H598" s="411">
        <v>268.38</v>
      </c>
      <c r="I598" s="89">
        <f t="shared" si="100"/>
        <v>-24.154199999999999</v>
      </c>
      <c r="J598" s="90">
        <f t="shared" si="101"/>
        <v>-5.3992199999999997</v>
      </c>
      <c r="K598" s="90">
        <f t="shared" si="99"/>
        <v>238.82657999999998</v>
      </c>
      <c r="L598" s="158">
        <v>530</v>
      </c>
      <c r="M598" s="158">
        <v>34.22</v>
      </c>
      <c r="N598" s="91">
        <f t="shared" si="98"/>
        <v>166.72</v>
      </c>
      <c r="O598" s="411">
        <f t="shared" si="97"/>
        <v>72.10657999999998</v>
      </c>
      <c r="P598" s="132" t="s">
        <v>183</v>
      </c>
      <c r="Q598" s="232"/>
      <c r="R598" s="411"/>
      <c r="T598" s="134" t="s">
        <v>145</v>
      </c>
      <c r="U598" s="267" t="s">
        <v>1556</v>
      </c>
      <c r="AA598" s="218"/>
    </row>
    <row r="599" spans="1:27" ht="24" x14ac:dyDescent="0.25">
      <c r="A599" s="405">
        <v>3000417</v>
      </c>
      <c r="B599" s="406">
        <v>42397</v>
      </c>
      <c r="C599" s="405" t="s">
        <v>42</v>
      </c>
      <c r="D599" s="401" t="s">
        <v>1557</v>
      </c>
      <c r="E599" s="120">
        <v>100</v>
      </c>
      <c r="F599" s="133" t="s">
        <v>829</v>
      </c>
      <c r="G599" s="404" t="s">
        <v>45</v>
      </c>
      <c r="H599" s="411">
        <v>97.3</v>
      </c>
      <c r="I599" s="89">
        <f t="shared" si="100"/>
        <v>-8.7569999999999997</v>
      </c>
      <c r="J599" s="90">
        <f t="shared" si="101"/>
        <v>-2.1486999999999998</v>
      </c>
      <c r="K599" s="90">
        <f t="shared" si="99"/>
        <v>86.394299999999987</v>
      </c>
      <c r="L599" s="131">
        <v>510</v>
      </c>
      <c r="M599" s="158">
        <v>27.24</v>
      </c>
      <c r="N599" s="91">
        <f t="shared" si="98"/>
        <v>78.239999999999995</v>
      </c>
      <c r="O599" s="411">
        <f t="shared" si="97"/>
        <v>8.1542999999999921</v>
      </c>
      <c r="P599" s="132" t="s">
        <v>52</v>
      </c>
      <c r="Q599" s="232"/>
      <c r="R599" s="411"/>
      <c r="T599" s="172" t="s">
        <v>145</v>
      </c>
      <c r="U599" s="304" t="s">
        <v>1558</v>
      </c>
      <c r="AA599" s="218"/>
    </row>
    <row r="600" spans="1:27" ht="24" x14ac:dyDescent="0.25">
      <c r="A600" s="405">
        <v>3000418</v>
      </c>
      <c r="B600" s="406">
        <v>42397</v>
      </c>
      <c r="C600" s="405" t="s">
        <v>237</v>
      </c>
      <c r="D600" s="401" t="s">
        <v>1559</v>
      </c>
      <c r="E600" s="120">
        <v>50</v>
      </c>
      <c r="F600" s="133" t="s">
        <v>288</v>
      </c>
      <c r="G600" s="404" t="s">
        <v>45</v>
      </c>
      <c r="H600" s="411">
        <v>98</v>
      </c>
      <c r="I600" s="89">
        <f>-(H600*0.15)</f>
        <v>-14.7</v>
      </c>
      <c r="J600" s="411">
        <v>0</v>
      </c>
      <c r="K600" s="90">
        <f t="shared" si="99"/>
        <v>83.3</v>
      </c>
      <c r="L600" s="131">
        <v>1069</v>
      </c>
      <c r="M600" s="158">
        <v>17.86</v>
      </c>
      <c r="N600" s="91">
        <f t="shared" si="98"/>
        <v>71.31</v>
      </c>
      <c r="O600" s="411">
        <f t="shared" si="97"/>
        <v>11.989999999999995</v>
      </c>
      <c r="P600" s="132" t="s">
        <v>86</v>
      </c>
      <c r="Q600" s="232"/>
      <c r="R600" s="411"/>
      <c r="T600" s="134" t="s">
        <v>145</v>
      </c>
      <c r="U600" s="267" t="s">
        <v>1560</v>
      </c>
      <c r="AA600" s="218"/>
    </row>
    <row r="601" spans="1:27" x14ac:dyDescent="0.25">
      <c r="A601" s="405">
        <v>3000419</v>
      </c>
      <c r="B601" s="406">
        <v>42397</v>
      </c>
      <c r="C601" s="405" t="s">
        <v>237</v>
      </c>
      <c r="D601" s="401" t="s">
        <v>1561</v>
      </c>
      <c r="E601" s="120">
        <v>250</v>
      </c>
      <c r="F601" s="133" t="s">
        <v>288</v>
      </c>
      <c r="G601" s="404" t="s">
        <v>45</v>
      </c>
      <c r="H601" s="411">
        <v>345.61</v>
      </c>
      <c r="I601" s="89">
        <f>-(H601*0.15)</f>
        <v>-51.841500000000003</v>
      </c>
      <c r="J601" s="411">
        <v>0</v>
      </c>
      <c r="K601" s="90">
        <f t="shared" si="99"/>
        <v>293.76850000000002</v>
      </c>
      <c r="L601" s="131">
        <v>1069</v>
      </c>
      <c r="M601" s="158">
        <v>102.84</v>
      </c>
      <c r="N601" s="91">
        <f t="shared" si="98"/>
        <v>370.09000000000003</v>
      </c>
      <c r="O601" s="411">
        <f t="shared" si="97"/>
        <v>-76.321500000000015</v>
      </c>
      <c r="P601" s="132" t="s">
        <v>86</v>
      </c>
      <c r="Q601" s="232"/>
      <c r="R601" s="411"/>
      <c r="T601" s="134" t="s">
        <v>244</v>
      </c>
      <c r="U601" s="267">
        <v>400959306</v>
      </c>
      <c r="V601" s="133" t="s">
        <v>55</v>
      </c>
      <c r="AA601" s="218"/>
    </row>
    <row r="602" spans="1:27" ht="24" x14ac:dyDescent="0.25">
      <c r="A602" s="405">
        <v>3000420</v>
      </c>
      <c r="B602" s="406">
        <v>42397</v>
      </c>
      <c r="C602" s="405" t="s">
        <v>237</v>
      </c>
      <c r="D602" s="401" t="s">
        <v>1562</v>
      </c>
      <c r="E602" s="120">
        <v>1000</v>
      </c>
      <c r="F602" s="133" t="s">
        <v>451</v>
      </c>
      <c r="G602" s="404" t="s">
        <v>45</v>
      </c>
      <c r="H602" s="411">
        <v>584.01</v>
      </c>
      <c r="I602" s="89">
        <f>-(H602*0.15)</f>
        <v>-87.601500000000001</v>
      </c>
      <c r="J602" s="411">
        <v>0</v>
      </c>
      <c r="K602" s="90">
        <f t="shared" si="99"/>
        <v>496.4085</v>
      </c>
      <c r="L602" s="131">
        <v>350</v>
      </c>
      <c r="M602" s="158">
        <v>154.15</v>
      </c>
      <c r="N602" s="91">
        <f t="shared" si="98"/>
        <v>504.15</v>
      </c>
      <c r="O602" s="411">
        <f t="shared" si="97"/>
        <v>-7.7414999999999736</v>
      </c>
      <c r="P602" s="132" t="s">
        <v>52</v>
      </c>
      <c r="Q602" s="232"/>
      <c r="R602" s="411"/>
      <c r="T602" s="134" t="s">
        <v>1563</v>
      </c>
      <c r="U602" s="267" t="s">
        <v>1564</v>
      </c>
      <c r="V602" s="133" t="s">
        <v>55</v>
      </c>
      <c r="AA602" s="218"/>
    </row>
    <row r="603" spans="1:27" ht="24" x14ac:dyDescent="0.25">
      <c r="A603" s="405">
        <v>3000421</v>
      </c>
      <c r="B603" s="406">
        <v>42397</v>
      </c>
      <c r="C603" s="405" t="s">
        <v>237</v>
      </c>
      <c r="D603" s="401" t="s">
        <v>1565</v>
      </c>
      <c r="E603" s="120">
        <v>75</v>
      </c>
      <c r="F603" s="133" t="s">
        <v>189</v>
      </c>
      <c r="G603" s="404" t="s">
        <v>45</v>
      </c>
      <c r="H603" s="411">
        <v>198.4</v>
      </c>
      <c r="I603" s="89">
        <f>-(H603*0.15)</f>
        <v>-29.759999999999998</v>
      </c>
      <c r="J603" s="411">
        <v>0</v>
      </c>
      <c r="K603" s="90">
        <f t="shared" si="99"/>
        <v>168.64000000000001</v>
      </c>
      <c r="L603" s="131">
        <v>1350</v>
      </c>
      <c r="M603" s="158">
        <v>51.86</v>
      </c>
      <c r="N603" s="91">
        <f t="shared" si="98"/>
        <v>153.11000000000001</v>
      </c>
      <c r="O603" s="411">
        <f t="shared" si="97"/>
        <v>15.530000000000001</v>
      </c>
      <c r="P603" s="132" t="s">
        <v>52</v>
      </c>
      <c r="Q603" s="232"/>
      <c r="R603" s="411"/>
      <c r="T603" s="134" t="s">
        <v>145</v>
      </c>
      <c r="U603" s="267" t="s">
        <v>1566</v>
      </c>
      <c r="AA603" s="218"/>
    </row>
    <row r="604" spans="1:27" x14ac:dyDescent="0.25">
      <c r="A604" s="405">
        <v>3000422</v>
      </c>
      <c r="B604" s="406">
        <v>42397</v>
      </c>
      <c r="C604" s="405" t="s">
        <v>237</v>
      </c>
      <c r="D604" s="401" t="s">
        <v>1567</v>
      </c>
      <c r="E604" s="120">
        <v>100</v>
      </c>
      <c r="F604" s="133" t="s">
        <v>1568</v>
      </c>
      <c r="G604" s="404" t="s">
        <v>45</v>
      </c>
      <c r="H604" s="411">
        <v>116</v>
      </c>
      <c r="I604" s="89">
        <f>-(H604*0.15)</f>
        <v>-17.399999999999999</v>
      </c>
      <c r="J604" s="411">
        <v>0</v>
      </c>
      <c r="K604" s="90">
        <f t="shared" si="99"/>
        <v>98.6</v>
      </c>
      <c r="L604" s="158">
        <v>920</v>
      </c>
      <c r="M604" s="158">
        <v>15.3</v>
      </c>
      <c r="N604" s="91">
        <f t="shared" si="98"/>
        <v>107.3</v>
      </c>
      <c r="O604" s="411">
        <f t="shared" si="97"/>
        <v>-8.7000000000000028</v>
      </c>
      <c r="P604" s="132" t="s">
        <v>1410</v>
      </c>
      <c r="Q604" s="232"/>
      <c r="R604" s="411"/>
      <c r="T604" s="134" t="s">
        <v>314</v>
      </c>
      <c r="U604" s="267" t="s">
        <v>1569</v>
      </c>
      <c r="AA604" s="218"/>
    </row>
    <row r="605" spans="1:27" ht="24" x14ac:dyDescent="0.25">
      <c r="A605" s="405">
        <v>3000423</v>
      </c>
      <c r="B605" s="406">
        <v>42397</v>
      </c>
      <c r="C605" s="405" t="s">
        <v>280</v>
      </c>
      <c r="D605" s="401" t="s">
        <v>1570</v>
      </c>
      <c r="E605" s="120">
        <v>34</v>
      </c>
      <c r="F605" s="133" t="s">
        <v>1511</v>
      </c>
      <c r="G605" s="404" t="s">
        <v>45</v>
      </c>
      <c r="H605" s="411">
        <v>144.32</v>
      </c>
      <c r="I605" s="411">
        <v>0</v>
      </c>
      <c r="J605" s="90">
        <f>-((H605*0.022)+0.3)</f>
        <v>-3.4750399999999995</v>
      </c>
      <c r="K605" s="90">
        <f t="shared" si="99"/>
        <v>140.84495999999999</v>
      </c>
      <c r="L605" s="158">
        <v>2540</v>
      </c>
      <c r="M605" s="158">
        <v>17.809999999999999</v>
      </c>
      <c r="N605" s="91">
        <f t="shared" si="98"/>
        <v>104.17</v>
      </c>
      <c r="O605" s="411">
        <f t="shared" si="97"/>
        <v>36.674959999999984</v>
      </c>
      <c r="P605" s="132" t="s">
        <v>183</v>
      </c>
      <c r="Q605" s="232"/>
      <c r="R605" s="411"/>
      <c r="T605" s="134" t="s">
        <v>145</v>
      </c>
      <c r="U605" s="267" t="s">
        <v>1571</v>
      </c>
      <c r="AA605" s="218"/>
    </row>
    <row r="606" spans="1:27" ht="24" x14ac:dyDescent="0.25">
      <c r="A606" s="405">
        <v>3000424</v>
      </c>
      <c r="B606" s="406">
        <v>42397</v>
      </c>
      <c r="C606" s="405" t="s">
        <v>327</v>
      </c>
      <c r="D606" s="401" t="s">
        <v>1572</v>
      </c>
      <c r="E606" s="120">
        <v>25</v>
      </c>
      <c r="F606" s="133" t="s">
        <v>1081</v>
      </c>
      <c r="G606" s="404" t="s">
        <v>45</v>
      </c>
      <c r="H606" s="411">
        <v>76</v>
      </c>
      <c r="I606" s="411">
        <v>0</v>
      </c>
      <c r="J606" s="90">
        <f>-((H606*0.022)+0.3)</f>
        <v>-1.972</v>
      </c>
      <c r="K606" s="90">
        <f t="shared" si="99"/>
        <v>74.028000000000006</v>
      </c>
      <c r="L606" s="158">
        <v>1620</v>
      </c>
      <c r="M606" s="158">
        <v>13.52</v>
      </c>
      <c r="N606" s="91">
        <f t="shared" si="98"/>
        <v>54.019999999999996</v>
      </c>
      <c r="O606" s="411">
        <f t="shared" si="97"/>
        <v>20.00800000000001</v>
      </c>
      <c r="P606" s="132" t="s">
        <v>183</v>
      </c>
      <c r="Q606" s="232"/>
      <c r="R606" s="411"/>
      <c r="T606" s="134" t="s">
        <v>145</v>
      </c>
      <c r="U606" s="267" t="s">
        <v>1573</v>
      </c>
      <c r="AA606" s="218"/>
    </row>
    <row r="607" spans="1:27" x14ac:dyDescent="0.25">
      <c r="A607" s="405">
        <v>3000425</v>
      </c>
      <c r="B607" s="406">
        <v>42401</v>
      </c>
      <c r="C607" s="405" t="s">
        <v>63</v>
      </c>
      <c r="D607" s="401" t="s">
        <v>1574</v>
      </c>
      <c r="E607" s="120">
        <v>119</v>
      </c>
      <c r="F607" s="133" t="s">
        <v>1575</v>
      </c>
      <c r="G607" s="404" t="s">
        <v>45</v>
      </c>
      <c r="H607" s="411">
        <v>773.5</v>
      </c>
      <c r="I607" s="411">
        <v>0</v>
      </c>
      <c r="J607" s="90">
        <f>-((H607*0.022)+0.3)</f>
        <v>-17.317</v>
      </c>
      <c r="K607" s="90">
        <f t="shared" si="99"/>
        <v>756.18299999999999</v>
      </c>
      <c r="L607" s="158">
        <v>3500</v>
      </c>
      <c r="M607" s="158">
        <v>105</v>
      </c>
      <c r="N607" s="91">
        <f t="shared" si="98"/>
        <v>521.5</v>
      </c>
      <c r="O607" s="411">
        <f t="shared" si="97"/>
        <v>234.68299999999999</v>
      </c>
      <c r="P607" s="132" t="s">
        <v>183</v>
      </c>
      <c r="Q607" s="232"/>
      <c r="R607" s="411"/>
      <c r="T607" s="134" t="s">
        <v>67</v>
      </c>
      <c r="U607" s="267" t="s">
        <v>1576</v>
      </c>
      <c r="W607" s="153" t="s">
        <v>1577</v>
      </c>
      <c r="AA607" s="218"/>
    </row>
    <row r="608" spans="1:27" ht="36" x14ac:dyDescent="0.25">
      <c r="A608" s="405">
        <v>3000426</v>
      </c>
      <c r="B608" s="406">
        <v>42401</v>
      </c>
      <c r="C608" s="405" t="s">
        <v>56</v>
      </c>
      <c r="D608" s="160" t="s">
        <v>1578</v>
      </c>
      <c r="E608" s="120">
        <v>2050</v>
      </c>
      <c r="F608" s="133" t="s">
        <v>1579</v>
      </c>
      <c r="G608" s="404" t="s">
        <v>45</v>
      </c>
      <c r="H608" s="411">
        <v>47150</v>
      </c>
      <c r="I608" s="411">
        <v>0</v>
      </c>
      <c r="J608" s="411">
        <v>0</v>
      </c>
      <c r="K608" s="90">
        <f t="shared" si="99"/>
        <v>47150</v>
      </c>
      <c r="L608" s="158">
        <v>10000</v>
      </c>
      <c r="M608" s="158">
        <v>620</v>
      </c>
      <c r="N608" s="91">
        <f t="shared" si="98"/>
        <v>21120</v>
      </c>
      <c r="O608" s="411"/>
      <c r="P608" s="132" t="s">
        <v>46</v>
      </c>
      <c r="Q608" s="232"/>
      <c r="R608" s="411"/>
      <c r="T608" s="134" t="s">
        <v>1580</v>
      </c>
      <c r="U608" s="266">
        <v>1049307635</v>
      </c>
      <c r="V608" s="119" t="s">
        <v>1581</v>
      </c>
      <c r="W608" s="153" t="s">
        <v>1582</v>
      </c>
      <c r="AA608" s="218"/>
    </row>
    <row r="609" spans="1:27" ht="24" x14ac:dyDescent="0.25">
      <c r="A609" s="405">
        <v>3000427</v>
      </c>
      <c r="B609" s="406">
        <v>42401</v>
      </c>
      <c r="C609" s="405" t="s">
        <v>237</v>
      </c>
      <c r="D609" s="401" t="s">
        <v>1583</v>
      </c>
      <c r="E609" s="120">
        <v>100</v>
      </c>
      <c r="F609" s="133" t="s">
        <v>217</v>
      </c>
      <c r="G609" s="404" t="s">
        <v>45</v>
      </c>
      <c r="H609" s="411">
        <v>270</v>
      </c>
      <c r="I609" s="89">
        <f>-(H609*0.15)</f>
        <v>-40.5</v>
      </c>
      <c r="J609" s="411">
        <v>0</v>
      </c>
      <c r="K609" s="90">
        <f t="shared" si="99"/>
        <v>229.5</v>
      </c>
      <c r="L609" s="131">
        <v>1350</v>
      </c>
      <c r="M609" s="158">
        <v>42.95</v>
      </c>
      <c r="N609" s="91">
        <f t="shared" si="98"/>
        <v>177.95</v>
      </c>
      <c r="O609" s="411">
        <f t="shared" si="97"/>
        <v>51.550000000000011</v>
      </c>
      <c r="P609" s="132" t="s">
        <v>52</v>
      </c>
      <c r="Q609" s="232"/>
      <c r="R609" s="411"/>
      <c r="T609" s="134" t="s">
        <v>145</v>
      </c>
      <c r="U609" s="267" t="s">
        <v>1584</v>
      </c>
      <c r="AA609" s="218"/>
    </row>
    <row r="610" spans="1:27" ht="24" x14ac:dyDescent="0.25">
      <c r="A610" s="405">
        <v>3000428</v>
      </c>
      <c r="B610" s="406">
        <v>42401</v>
      </c>
      <c r="C610" s="405" t="s">
        <v>42</v>
      </c>
      <c r="D610" s="401" t="s">
        <v>1585</v>
      </c>
      <c r="E610" s="120">
        <v>250</v>
      </c>
      <c r="F610" s="133" t="s">
        <v>1586</v>
      </c>
      <c r="G610" s="404" t="s">
        <v>45</v>
      </c>
      <c r="H610" s="411">
        <v>297.82</v>
      </c>
      <c r="I610" s="89">
        <f t="shared" ref="I610:I617" si="102">-(H610*0.09)</f>
        <v>-26.803799999999999</v>
      </c>
      <c r="J610" s="90">
        <f t="shared" ref="J610:J619" si="103">-((H610*0.019)+0.3)</f>
        <v>-5.9585799999999995</v>
      </c>
      <c r="K610" s="90">
        <f t="shared" si="99"/>
        <v>265.05761999999999</v>
      </c>
      <c r="L610" s="158">
        <v>760.13</v>
      </c>
      <c r="M610" s="158">
        <v>46.56</v>
      </c>
      <c r="N610" s="91">
        <f t="shared" si="98"/>
        <v>236.5925</v>
      </c>
      <c r="O610" s="411">
        <f t="shared" si="97"/>
        <v>28.465119999999985</v>
      </c>
      <c r="P610" s="132" t="s">
        <v>46</v>
      </c>
      <c r="Q610" s="232"/>
      <c r="R610" s="411"/>
      <c r="T610" s="134" t="s">
        <v>324</v>
      </c>
      <c r="U610" s="267" t="s">
        <v>1587</v>
      </c>
      <c r="AA610" s="218"/>
    </row>
    <row r="611" spans="1:27" ht="24" x14ac:dyDescent="0.25">
      <c r="A611" s="405">
        <v>3000429</v>
      </c>
      <c r="B611" s="406">
        <v>42401</v>
      </c>
      <c r="C611" s="405" t="s">
        <v>42</v>
      </c>
      <c r="D611" s="401" t="s">
        <v>1588</v>
      </c>
      <c r="E611" s="120">
        <v>50</v>
      </c>
      <c r="F611" s="133" t="s">
        <v>1589</v>
      </c>
      <c r="G611" s="404" t="s">
        <v>45</v>
      </c>
      <c r="H611" s="411">
        <v>201.88</v>
      </c>
      <c r="I611" s="89">
        <f t="shared" si="102"/>
        <v>-18.1692</v>
      </c>
      <c r="J611" s="90">
        <f t="shared" si="103"/>
        <v>-4.1357200000000001</v>
      </c>
      <c r="K611" s="90">
        <f t="shared" si="99"/>
        <v>179.57508000000001</v>
      </c>
      <c r="L611" s="158">
        <v>3000</v>
      </c>
      <c r="M611" s="158">
        <v>39.799999999999997</v>
      </c>
      <c r="N611" s="91">
        <f t="shared" si="98"/>
        <v>189.8</v>
      </c>
      <c r="O611" s="411">
        <f t="shared" si="97"/>
        <v>-10.224919999999997</v>
      </c>
      <c r="P611" s="132" t="s">
        <v>235</v>
      </c>
      <c r="Q611" s="232"/>
      <c r="R611" s="411"/>
      <c r="T611" s="134" t="s">
        <v>145</v>
      </c>
      <c r="U611" s="267" t="s">
        <v>1590</v>
      </c>
      <c r="AA611" s="218"/>
    </row>
    <row r="612" spans="1:27" ht="24" x14ac:dyDescent="0.25">
      <c r="A612" s="405">
        <v>3000430</v>
      </c>
      <c r="B612" s="406">
        <v>42401</v>
      </c>
      <c r="C612" s="405" t="s">
        <v>42</v>
      </c>
      <c r="D612" s="401" t="s">
        <v>1591</v>
      </c>
      <c r="E612" s="120">
        <v>500</v>
      </c>
      <c r="F612" s="133" t="s">
        <v>1592</v>
      </c>
      <c r="G612" s="404" t="s">
        <v>45</v>
      </c>
      <c r="H612" s="411">
        <v>125.58</v>
      </c>
      <c r="I612" s="89">
        <f t="shared" si="102"/>
        <v>-11.302199999999999</v>
      </c>
      <c r="J612" s="90">
        <f t="shared" si="103"/>
        <v>-2.6860199999999996</v>
      </c>
      <c r="K612" s="90">
        <f t="shared" si="99"/>
        <v>111.59178</v>
      </c>
      <c r="L612" s="158">
        <v>109</v>
      </c>
      <c r="M612" s="158">
        <v>13.22</v>
      </c>
      <c r="N612" s="91">
        <f t="shared" si="98"/>
        <v>67.72</v>
      </c>
      <c r="O612" s="411">
        <f t="shared" si="97"/>
        <v>43.871780000000001</v>
      </c>
      <c r="P612" s="132" t="s">
        <v>183</v>
      </c>
      <c r="Q612" s="232"/>
      <c r="R612" s="411">
        <v>9.3000000000000007</v>
      </c>
      <c r="S612" s="133" t="s">
        <v>1169</v>
      </c>
      <c r="T612" s="134" t="s">
        <v>145</v>
      </c>
      <c r="U612" s="267" t="s">
        <v>1593</v>
      </c>
      <c r="AA612" s="218"/>
    </row>
    <row r="613" spans="1:27" ht="24" x14ac:dyDescent="0.25">
      <c r="A613" s="405">
        <v>3000431</v>
      </c>
      <c r="B613" s="406">
        <v>42401</v>
      </c>
      <c r="C613" s="405" t="s">
        <v>42</v>
      </c>
      <c r="D613" s="401" t="s">
        <v>1594</v>
      </c>
      <c r="E613" s="120">
        <v>100</v>
      </c>
      <c r="F613" s="133" t="s">
        <v>217</v>
      </c>
      <c r="G613" s="404" t="s">
        <v>45</v>
      </c>
      <c r="H613" s="411">
        <v>235</v>
      </c>
      <c r="I613" s="89">
        <f t="shared" si="102"/>
        <v>-21.15</v>
      </c>
      <c r="J613" s="90">
        <f t="shared" si="103"/>
        <v>-4.7649999999999997</v>
      </c>
      <c r="K613" s="90">
        <f t="shared" si="99"/>
        <v>209.08500000000001</v>
      </c>
      <c r="L613" s="131">
        <v>1350</v>
      </c>
      <c r="M613" s="158">
        <v>45.79</v>
      </c>
      <c r="N613" s="91">
        <f t="shared" si="98"/>
        <v>180.79</v>
      </c>
      <c r="O613" s="411">
        <f t="shared" si="97"/>
        <v>28.295000000000016</v>
      </c>
      <c r="P613" s="132" t="s">
        <v>52</v>
      </c>
      <c r="Q613" s="232"/>
      <c r="R613" s="411"/>
      <c r="T613" s="134" t="s">
        <v>145</v>
      </c>
      <c r="U613" s="267" t="s">
        <v>1595</v>
      </c>
      <c r="AA613" s="218"/>
    </row>
    <row r="614" spans="1:27" x14ac:dyDescent="0.25">
      <c r="A614" s="405">
        <v>3000432</v>
      </c>
      <c r="B614" s="406">
        <v>42401</v>
      </c>
      <c r="C614" s="405" t="s">
        <v>42</v>
      </c>
      <c r="D614" s="401" t="s">
        <v>1596</v>
      </c>
      <c r="E614" s="120">
        <v>250</v>
      </c>
      <c r="F614" s="133" t="s">
        <v>1597</v>
      </c>
      <c r="G614" s="404" t="s">
        <v>45</v>
      </c>
      <c r="H614" s="411">
        <v>381.19</v>
      </c>
      <c r="I614" s="89">
        <f t="shared" si="102"/>
        <v>-34.307099999999998</v>
      </c>
      <c r="J614" s="90">
        <f t="shared" si="103"/>
        <v>-7.5426099999999998</v>
      </c>
      <c r="K614" s="90">
        <f t="shared" si="99"/>
        <v>339.34028999999998</v>
      </c>
      <c r="L614" s="158">
        <v>872</v>
      </c>
      <c r="M614" s="158">
        <v>105</v>
      </c>
      <c r="N614" s="91">
        <f t="shared" si="98"/>
        <v>323</v>
      </c>
      <c r="O614" s="411">
        <f t="shared" si="97"/>
        <v>16.340289999999982</v>
      </c>
      <c r="P614" s="132" t="s">
        <v>183</v>
      </c>
      <c r="Q614" s="232"/>
      <c r="R614" s="411">
        <v>24.94</v>
      </c>
      <c r="S614" s="133" t="s">
        <v>1598</v>
      </c>
      <c r="T614" s="134" t="s">
        <v>67</v>
      </c>
      <c r="U614" s="267" t="s">
        <v>1599</v>
      </c>
      <c r="AA614" s="218"/>
    </row>
    <row r="615" spans="1:27" ht="24" x14ac:dyDescent="0.25">
      <c r="A615" s="405">
        <v>3000433</v>
      </c>
      <c r="B615" s="406">
        <v>42401</v>
      </c>
      <c r="C615" s="405" t="s">
        <v>42</v>
      </c>
      <c r="D615" s="401" t="s">
        <v>1600</v>
      </c>
      <c r="E615" s="120">
        <v>250</v>
      </c>
      <c r="F615" s="133" t="s">
        <v>605</v>
      </c>
      <c r="G615" s="404" t="s">
        <v>45</v>
      </c>
      <c r="H615" s="411">
        <v>358.71</v>
      </c>
      <c r="I615" s="89">
        <f t="shared" si="102"/>
        <v>-32.283899999999996</v>
      </c>
      <c r="J615" s="90">
        <f t="shared" si="103"/>
        <v>-7.1154899999999994</v>
      </c>
      <c r="K615" s="90">
        <f t="shared" si="99"/>
        <v>319.31060999999994</v>
      </c>
      <c r="L615" s="131">
        <v>600</v>
      </c>
      <c r="M615" s="158">
        <v>55.19</v>
      </c>
      <c r="N615" s="91">
        <f t="shared" si="98"/>
        <v>205.19</v>
      </c>
      <c r="O615" s="411">
        <f t="shared" si="97"/>
        <v>114.12060999999994</v>
      </c>
      <c r="P615" s="132" t="s">
        <v>52</v>
      </c>
      <c r="Q615" s="232"/>
      <c r="R615" s="411"/>
      <c r="T615" s="134" t="s">
        <v>145</v>
      </c>
      <c r="U615" s="267" t="s">
        <v>1601</v>
      </c>
      <c r="AA615" s="218"/>
    </row>
    <row r="616" spans="1:27" ht="24" x14ac:dyDescent="0.25">
      <c r="A616" s="405">
        <v>3000434</v>
      </c>
      <c r="B616" s="406">
        <v>42401</v>
      </c>
      <c r="C616" s="405" t="s">
        <v>42</v>
      </c>
      <c r="D616" s="401" t="s">
        <v>1602</v>
      </c>
      <c r="E616" s="120">
        <v>250</v>
      </c>
      <c r="F616" s="133" t="s">
        <v>288</v>
      </c>
      <c r="G616" s="404" t="s">
        <v>45</v>
      </c>
      <c r="H616" s="411">
        <v>399.75</v>
      </c>
      <c r="I616" s="89">
        <f t="shared" si="102"/>
        <v>-35.977499999999999</v>
      </c>
      <c r="J616" s="90">
        <f t="shared" si="103"/>
        <v>-7.8952499999999999</v>
      </c>
      <c r="K616" s="90">
        <f t="shared" si="99"/>
        <v>355.87725</v>
      </c>
      <c r="L616" s="131">
        <v>1069</v>
      </c>
      <c r="M616" s="158">
        <v>116.26</v>
      </c>
      <c r="N616" s="91">
        <f t="shared" si="98"/>
        <v>383.51</v>
      </c>
      <c r="O616" s="411">
        <f t="shared" si="97"/>
        <v>-27.632749999999987</v>
      </c>
      <c r="P616" s="132" t="s">
        <v>86</v>
      </c>
      <c r="Q616" s="232"/>
      <c r="R616" s="411"/>
      <c r="T616" s="134" t="s">
        <v>785</v>
      </c>
      <c r="U616" s="267" t="s">
        <v>1603</v>
      </c>
      <c r="V616" s="133" t="s">
        <v>55</v>
      </c>
      <c r="AA616" s="218"/>
    </row>
    <row r="617" spans="1:27" ht="24" x14ac:dyDescent="0.25">
      <c r="A617" s="405">
        <v>3000435</v>
      </c>
      <c r="B617" s="406">
        <v>42401</v>
      </c>
      <c r="C617" s="405" t="s">
        <v>42</v>
      </c>
      <c r="D617" s="401" t="s">
        <v>1604</v>
      </c>
      <c r="E617" s="120">
        <v>100</v>
      </c>
      <c r="F617" s="133" t="s">
        <v>1547</v>
      </c>
      <c r="G617" s="404" t="s">
        <v>45</v>
      </c>
      <c r="H617" s="411">
        <v>105.42</v>
      </c>
      <c r="I617" s="89">
        <f t="shared" si="102"/>
        <v>-9.4878</v>
      </c>
      <c r="J617" s="90">
        <f t="shared" si="103"/>
        <v>-2.3029799999999998</v>
      </c>
      <c r="K617" s="90">
        <f t="shared" si="99"/>
        <v>93.629219999999989</v>
      </c>
      <c r="L617" s="131">
        <v>385</v>
      </c>
      <c r="M617" s="158">
        <v>37.04</v>
      </c>
      <c r="N617" s="91">
        <f t="shared" si="98"/>
        <v>75.539999999999992</v>
      </c>
      <c r="O617" s="411">
        <f t="shared" si="97"/>
        <v>18.089219999999997</v>
      </c>
      <c r="P617" s="132" t="s">
        <v>52</v>
      </c>
      <c r="Q617" s="232"/>
      <c r="R617" s="411"/>
      <c r="T617" s="134" t="s">
        <v>145</v>
      </c>
      <c r="U617" s="267" t="s">
        <v>1605</v>
      </c>
      <c r="AA617" s="218"/>
    </row>
    <row r="618" spans="1:27" ht="24" x14ac:dyDescent="0.25">
      <c r="A618" s="405">
        <v>3000436</v>
      </c>
      <c r="B618" s="406">
        <v>42401</v>
      </c>
      <c r="C618" s="405" t="s">
        <v>78</v>
      </c>
      <c r="D618" s="401" t="s">
        <v>1606</v>
      </c>
      <c r="E618" s="120">
        <v>3650</v>
      </c>
      <c r="F618" s="133" t="s">
        <v>70</v>
      </c>
      <c r="G618" s="404" t="s">
        <v>45</v>
      </c>
      <c r="H618" s="411">
        <v>7665</v>
      </c>
      <c r="I618" s="411">
        <v>0</v>
      </c>
      <c r="J618" s="90">
        <f t="shared" si="103"/>
        <v>-145.935</v>
      </c>
      <c r="K618" s="90">
        <f t="shared" si="99"/>
        <v>7519.0649999999996</v>
      </c>
      <c r="L618" s="131">
        <v>1540</v>
      </c>
      <c r="M618" s="158">
        <v>755.87</v>
      </c>
      <c r="N618" s="91">
        <f t="shared" si="98"/>
        <v>6376.87</v>
      </c>
      <c r="O618" s="411"/>
      <c r="P618" s="132" t="s">
        <v>52</v>
      </c>
      <c r="Q618" s="232"/>
      <c r="R618" s="411"/>
      <c r="T618" s="134" t="s">
        <v>1209</v>
      </c>
      <c r="U618" s="267" t="s">
        <v>1607</v>
      </c>
      <c r="W618" s="153" t="s">
        <v>1608</v>
      </c>
      <c r="AA618" s="218"/>
    </row>
    <row r="619" spans="1:27" ht="24" x14ac:dyDescent="0.25">
      <c r="A619" s="405">
        <v>3000437</v>
      </c>
      <c r="B619" s="406">
        <v>42401</v>
      </c>
      <c r="C619" s="405" t="s">
        <v>159</v>
      </c>
      <c r="D619" s="401" t="s">
        <v>1609</v>
      </c>
      <c r="E619" s="120">
        <v>75</v>
      </c>
      <c r="F619" s="133" t="s">
        <v>247</v>
      </c>
      <c r="G619" s="404" t="s">
        <v>45</v>
      </c>
      <c r="H619" s="411">
        <v>84</v>
      </c>
      <c r="I619" s="411">
        <v>0</v>
      </c>
      <c r="J619" s="90">
        <f t="shared" si="103"/>
        <v>-1.8959999999999999</v>
      </c>
      <c r="K619" s="90">
        <f t="shared" si="99"/>
        <v>82.103999999999999</v>
      </c>
      <c r="L619" s="131">
        <v>580</v>
      </c>
      <c r="M619" s="158">
        <v>18.47</v>
      </c>
      <c r="N619" s="91">
        <f t="shared" si="98"/>
        <v>61.97</v>
      </c>
      <c r="O619" s="411">
        <f t="shared" si="97"/>
        <v>20.134</v>
      </c>
      <c r="P619" s="132" t="s">
        <v>86</v>
      </c>
      <c r="Q619" s="232"/>
      <c r="R619" s="411"/>
      <c r="T619" s="134" t="s">
        <v>145</v>
      </c>
      <c r="U619" s="267" t="s">
        <v>1610</v>
      </c>
      <c r="W619" s="153" t="s">
        <v>1611</v>
      </c>
      <c r="AA619" s="218"/>
    </row>
    <row r="620" spans="1:27" ht="24" x14ac:dyDescent="0.25">
      <c r="A620" s="405">
        <v>3000438</v>
      </c>
      <c r="B620" s="406">
        <v>42401</v>
      </c>
      <c r="C620" s="405" t="s">
        <v>555</v>
      </c>
      <c r="D620" s="401" t="s">
        <v>1612</v>
      </c>
      <c r="E620" s="120">
        <v>1736</v>
      </c>
      <c r="F620" s="119" t="s">
        <v>1613</v>
      </c>
      <c r="G620" s="404" t="s">
        <v>45</v>
      </c>
      <c r="H620" s="411">
        <v>15029</v>
      </c>
      <c r="I620" s="411">
        <v>0</v>
      </c>
      <c r="J620" s="411">
        <v>0</v>
      </c>
      <c r="K620" s="90">
        <f t="shared" si="99"/>
        <v>15029</v>
      </c>
      <c r="L620" s="131">
        <v>7230</v>
      </c>
      <c r="M620" s="131">
        <v>190</v>
      </c>
      <c r="N620" s="91">
        <f t="shared" si="98"/>
        <v>12741.28</v>
      </c>
      <c r="O620" s="411">
        <f t="shared" si="97"/>
        <v>2287.7199999999993</v>
      </c>
      <c r="P620" s="132" t="s">
        <v>59</v>
      </c>
      <c r="Q620" s="232"/>
      <c r="R620" s="411"/>
      <c r="T620" s="134" t="s">
        <v>1346</v>
      </c>
      <c r="U620" s="266">
        <v>5004466383</v>
      </c>
      <c r="W620" s="153" t="s">
        <v>1614</v>
      </c>
      <c r="AA620" s="218"/>
    </row>
    <row r="621" spans="1:27" ht="24" x14ac:dyDescent="0.25">
      <c r="A621" s="405">
        <v>3000439</v>
      </c>
      <c r="B621" s="406">
        <v>42401</v>
      </c>
      <c r="C621" s="405" t="s">
        <v>78</v>
      </c>
      <c r="D621" s="401" t="s">
        <v>1615</v>
      </c>
      <c r="E621" s="120">
        <v>15</v>
      </c>
      <c r="F621" s="119" t="s">
        <v>1616</v>
      </c>
      <c r="G621" s="404" t="s">
        <v>45</v>
      </c>
      <c r="H621" s="411">
        <v>2625</v>
      </c>
      <c r="I621" s="411">
        <v>0</v>
      </c>
      <c r="J621" s="90">
        <f>-((H621*0.019)+0.3)</f>
        <v>-50.174999999999997</v>
      </c>
      <c r="K621" s="90">
        <f t="shared" si="99"/>
        <v>2574.8249999999998</v>
      </c>
      <c r="L621" s="158">
        <v>137000</v>
      </c>
      <c r="M621" s="131">
        <v>0</v>
      </c>
      <c r="N621" s="91">
        <f t="shared" si="98"/>
        <v>2055</v>
      </c>
      <c r="O621" s="411">
        <f t="shared" si="97"/>
        <v>519.82499999999982</v>
      </c>
      <c r="P621" s="132" t="s">
        <v>601</v>
      </c>
      <c r="Q621" s="232"/>
      <c r="R621" s="411"/>
      <c r="T621" s="134" t="s">
        <v>145</v>
      </c>
      <c r="U621" s="266">
        <v>343013223</v>
      </c>
      <c r="W621" s="153" t="s">
        <v>1617</v>
      </c>
      <c r="AA621" s="218"/>
    </row>
    <row r="622" spans="1:27" x14ac:dyDescent="0.25">
      <c r="A622" s="419">
        <v>3000440</v>
      </c>
      <c r="B622" s="421">
        <v>42401</v>
      </c>
      <c r="C622" s="419" t="s">
        <v>78</v>
      </c>
      <c r="D622" s="429" t="s">
        <v>1615</v>
      </c>
      <c r="E622" s="120">
        <v>1500</v>
      </c>
      <c r="F622" s="133" t="s">
        <v>1618</v>
      </c>
      <c r="G622" s="434" t="s">
        <v>45</v>
      </c>
      <c r="H622" s="427">
        <v>3251</v>
      </c>
      <c r="I622" s="427">
        <v>0</v>
      </c>
      <c r="J622" s="425">
        <f>-((H622*0.019)+0.3)</f>
        <v>-62.068999999999996</v>
      </c>
      <c r="K622" s="425">
        <f t="shared" si="99"/>
        <v>3188.931</v>
      </c>
      <c r="L622" s="131">
        <v>700</v>
      </c>
      <c r="M622" s="553">
        <v>98.16</v>
      </c>
      <c r="N622" s="91">
        <f t="shared" si="98"/>
        <v>1148.1600000000001</v>
      </c>
      <c r="O622" s="411">
        <f t="shared" si="97"/>
        <v>2040.771</v>
      </c>
      <c r="P622" s="132" t="s">
        <v>52</v>
      </c>
      <c r="Q622" s="232"/>
      <c r="R622" s="411"/>
      <c r="T622" s="439" t="s">
        <v>1619</v>
      </c>
      <c r="U622" s="481" t="s">
        <v>1620</v>
      </c>
      <c r="V622" s="133" t="s">
        <v>55</v>
      </c>
      <c r="W622" s="153" t="s">
        <v>1617</v>
      </c>
      <c r="AA622" s="218"/>
    </row>
    <row r="623" spans="1:27" x14ac:dyDescent="0.25">
      <c r="A623" s="420"/>
      <c r="B623" s="422"/>
      <c r="C623" s="420"/>
      <c r="D623" s="431"/>
      <c r="E623" s="120">
        <v>1101</v>
      </c>
      <c r="F623" s="133" t="s">
        <v>1621</v>
      </c>
      <c r="G623" s="436"/>
      <c r="H623" s="428"/>
      <c r="I623" s="428"/>
      <c r="J623" s="426"/>
      <c r="K623" s="426"/>
      <c r="L623" s="131">
        <v>690</v>
      </c>
      <c r="M623" s="554"/>
      <c r="N623" s="91">
        <f t="shared" si="98"/>
        <v>759.68999999999994</v>
      </c>
      <c r="O623" s="411">
        <f t="shared" si="97"/>
        <v>-759.68999999999994</v>
      </c>
      <c r="P623" s="132" t="s">
        <v>52</v>
      </c>
      <c r="Q623" s="232"/>
      <c r="R623" s="411"/>
      <c r="T623" s="441"/>
      <c r="U623" s="483"/>
      <c r="AA623" s="218"/>
    </row>
    <row r="624" spans="1:27" x14ac:dyDescent="0.25">
      <c r="A624" s="419">
        <v>3000441</v>
      </c>
      <c r="B624" s="421">
        <v>42401</v>
      </c>
      <c r="C624" s="419" t="s">
        <v>78</v>
      </c>
      <c r="D624" s="417" t="s">
        <v>269</v>
      </c>
      <c r="E624" s="120">
        <v>1000</v>
      </c>
      <c r="F624" s="133" t="s">
        <v>207</v>
      </c>
      <c r="G624" s="434" t="s">
        <v>45</v>
      </c>
      <c r="H624" s="427">
        <v>1371</v>
      </c>
      <c r="I624" s="427">
        <v>0</v>
      </c>
      <c r="J624" s="425">
        <f>-((H624*0.019)+0.3)</f>
        <v>-26.349</v>
      </c>
      <c r="K624" s="425">
        <f t="shared" si="99"/>
        <v>1344.6510000000001</v>
      </c>
      <c r="L624" s="131">
        <v>570</v>
      </c>
      <c r="M624" s="158">
        <v>130</v>
      </c>
      <c r="N624" s="91">
        <f t="shared" si="98"/>
        <v>700</v>
      </c>
      <c r="O624" s="411">
        <f t="shared" si="97"/>
        <v>644.65100000000007</v>
      </c>
      <c r="P624" s="132" t="s">
        <v>52</v>
      </c>
      <c r="Q624" s="232"/>
      <c r="R624" s="411"/>
      <c r="T624" s="439" t="s">
        <v>270</v>
      </c>
      <c r="U624" s="505">
        <v>231578121</v>
      </c>
      <c r="W624" s="153" t="s">
        <v>271</v>
      </c>
      <c r="AA624" s="218"/>
    </row>
    <row r="625" spans="1:27" x14ac:dyDescent="0.25">
      <c r="A625" s="420"/>
      <c r="B625" s="422"/>
      <c r="C625" s="420"/>
      <c r="D625" s="418"/>
      <c r="E625" s="120">
        <v>1000</v>
      </c>
      <c r="F625" s="133" t="s">
        <v>1622</v>
      </c>
      <c r="G625" s="436"/>
      <c r="H625" s="428"/>
      <c r="I625" s="428"/>
      <c r="J625" s="426"/>
      <c r="K625" s="426"/>
      <c r="M625" s="158"/>
      <c r="N625" s="91">
        <f t="shared" si="98"/>
        <v>0</v>
      </c>
      <c r="O625" s="411">
        <f t="shared" si="97"/>
        <v>0</v>
      </c>
      <c r="P625" s="132" t="s">
        <v>52</v>
      </c>
      <c r="Q625" s="232"/>
      <c r="R625" s="411"/>
      <c r="T625" s="441"/>
      <c r="U625" s="490"/>
      <c r="AA625" s="218"/>
    </row>
    <row r="626" spans="1:27" ht="24" customHeight="1" x14ac:dyDescent="0.25">
      <c r="A626" s="419">
        <v>3000442</v>
      </c>
      <c r="B626" s="421">
        <v>42401</v>
      </c>
      <c r="C626" s="419" t="s">
        <v>63</v>
      </c>
      <c r="D626" s="417" t="s">
        <v>1623</v>
      </c>
      <c r="E626" s="120">
        <v>1000</v>
      </c>
      <c r="F626" s="133" t="s">
        <v>1386</v>
      </c>
      <c r="G626" s="434" t="s">
        <v>45</v>
      </c>
      <c r="H626" s="427">
        <v>760</v>
      </c>
      <c r="I626" s="427">
        <v>0</v>
      </c>
      <c r="J626" s="425">
        <f>-((H626*0.022)+0.3)</f>
        <v>-17.02</v>
      </c>
      <c r="K626" s="425">
        <f t="shared" si="99"/>
        <v>742.98</v>
      </c>
      <c r="L626" s="158">
        <v>430</v>
      </c>
      <c r="M626" s="158">
        <v>125</v>
      </c>
      <c r="N626" s="91">
        <f t="shared" si="98"/>
        <v>555</v>
      </c>
      <c r="O626" s="411">
        <f t="shared" si="97"/>
        <v>187.98000000000002</v>
      </c>
      <c r="P626" s="132" t="s">
        <v>183</v>
      </c>
      <c r="Q626" s="232"/>
      <c r="R626" s="411"/>
      <c r="T626" s="470" t="s">
        <v>260</v>
      </c>
      <c r="U626" s="481" t="s">
        <v>1624</v>
      </c>
      <c r="W626" s="153" t="s">
        <v>1625</v>
      </c>
      <c r="AA626" s="218"/>
    </row>
    <row r="627" spans="1:27" x14ac:dyDescent="0.25">
      <c r="A627" s="420"/>
      <c r="B627" s="422"/>
      <c r="C627" s="420"/>
      <c r="D627" s="418"/>
      <c r="E627" s="120">
        <v>1000</v>
      </c>
      <c r="F627" s="133" t="s">
        <v>1626</v>
      </c>
      <c r="G627" s="436"/>
      <c r="H627" s="428"/>
      <c r="I627" s="428"/>
      <c r="J627" s="426"/>
      <c r="K627" s="426"/>
      <c r="L627" s="158">
        <v>86</v>
      </c>
      <c r="M627" s="158"/>
      <c r="N627" s="91">
        <f t="shared" si="98"/>
        <v>86</v>
      </c>
      <c r="O627" s="411">
        <f t="shared" si="97"/>
        <v>-86</v>
      </c>
      <c r="P627" s="132" t="s">
        <v>183</v>
      </c>
      <c r="Q627" s="232"/>
      <c r="R627" s="411"/>
      <c r="T627" s="472"/>
      <c r="U627" s="483"/>
      <c r="AA627" s="218"/>
    </row>
    <row r="628" spans="1:27" ht="24" x14ac:dyDescent="0.25">
      <c r="A628" s="405">
        <v>3000443</v>
      </c>
      <c r="B628" s="406">
        <v>42401</v>
      </c>
      <c r="C628" s="405" t="s">
        <v>159</v>
      </c>
      <c r="D628" s="401" t="s">
        <v>1627</v>
      </c>
      <c r="E628" s="120">
        <v>85</v>
      </c>
      <c r="F628" s="133" t="s">
        <v>70</v>
      </c>
      <c r="G628" s="404" t="s">
        <v>45</v>
      </c>
      <c r="H628" s="411">
        <v>226.95</v>
      </c>
      <c r="I628" s="411">
        <v>0</v>
      </c>
      <c r="J628" s="90">
        <f>-((H628*0.019)+0.3)</f>
        <v>-4.6120499999999991</v>
      </c>
      <c r="K628" s="396">
        <f t="shared" si="99"/>
        <v>222.33794999999998</v>
      </c>
      <c r="L628" s="131">
        <v>1540</v>
      </c>
      <c r="M628" s="158">
        <v>54.41</v>
      </c>
      <c r="N628" s="91">
        <f t="shared" si="98"/>
        <v>185.31</v>
      </c>
      <c r="O628" s="411">
        <f t="shared" si="97"/>
        <v>37.027949999999976</v>
      </c>
      <c r="P628" s="132" t="s">
        <v>52</v>
      </c>
      <c r="Q628" s="232"/>
      <c r="R628" s="411"/>
      <c r="T628" s="134" t="s">
        <v>145</v>
      </c>
      <c r="U628" s="267" t="s">
        <v>1628</v>
      </c>
      <c r="AA628" s="218"/>
    </row>
    <row r="629" spans="1:27" ht="24" x14ac:dyDescent="0.25">
      <c r="A629" s="419">
        <v>3000444</v>
      </c>
      <c r="B629" s="421">
        <v>42401</v>
      </c>
      <c r="C629" s="419" t="s">
        <v>56</v>
      </c>
      <c r="D629" s="417" t="s">
        <v>1629</v>
      </c>
      <c r="E629" s="120">
        <v>7856</v>
      </c>
      <c r="F629" s="119" t="s">
        <v>1630</v>
      </c>
      <c r="G629" s="434" t="s">
        <v>45</v>
      </c>
      <c r="H629" s="427">
        <v>27496.5</v>
      </c>
      <c r="I629" s="427">
        <v>0</v>
      </c>
      <c r="J629" s="427">
        <v>0</v>
      </c>
      <c r="K629" s="425">
        <f t="shared" si="99"/>
        <v>27496.5</v>
      </c>
      <c r="L629" s="131">
        <v>1237</v>
      </c>
      <c r="M629" s="510">
        <v>1176</v>
      </c>
      <c r="N629" s="91">
        <f t="shared" si="98"/>
        <v>10893.871999999999</v>
      </c>
      <c r="O629" s="411">
        <f t="shared" si="97"/>
        <v>16602.628000000001</v>
      </c>
      <c r="P629" s="132" t="s">
        <v>52</v>
      </c>
      <c r="Q629" s="232"/>
      <c r="R629" s="411"/>
      <c r="T629" s="470" t="s">
        <v>97</v>
      </c>
      <c r="U629" s="505">
        <v>2709579736</v>
      </c>
      <c r="V629" s="133" t="s">
        <v>55</v>
      </c>
      <c r="AA629" s="218"/>
    </row>
    <row r="630" spans="1:27" ht="24" x14ac:dyDescent="0.25">
      <c r="A630" s="432"/>
      <c r="B630" s="433"/>
      <c r="C630" s="432"/>
      <c r="D630" s="454"/>
      <c r="E630" s="120">
        <v>6938</v>
      </c>
      <c r="F630" s="119" t="s">
        <v>1631</v>
      </c>
      <c r="G630" s="435"/>
      <c r="H630" s="438"/>
      <c r="I630" s="438"/>
      <c r="J630" s="438"/>
      <c r="K630" s="437"/>
      <c r="L630" s="131">
        <v>1770</v>
      </c>
      <c r="M630" s="511"/>
      <c r="N630" s="91">
        <f t="shared" si="98"/>
        <v>12280.26</v>
      </c>
      <c r="O630" s="411">
        <f t="shared" si="97"/>
        <v>-12280.26</v>
      </c>
      <c r="P630" s="132" t="s">
        <v>52</v>
      </c>
      <c r="Q630" s="232"/>
      <c r="R630" s="411"/>
      <c r="T630" s="471"/>
      <c r="U630" s="506"/>
      <c r="V630" s="133" t="s">
        <v>1632</v>
      </c>
      <c r="AA630" s="218"/>
    </row>
    <row r="631" spans="1:27" x14ac:dyDescent="0.25">
      <c r="A631" s="432"/>
      <c r="B631" s="433"/>
      <c r="C631" s="432"/>
      <c r="D631" s="454"/>
      <c r="E631" s="120">
        <v>1000</v>
      </c>
      <c r="F631" s="133" t="s">
        <v>590</v>
      </c>
      <c r="G631" s="435"/>
      <c r="H631" s="438"/>
      <c r="I631" s="438"/>
      <c r="J631" s="438"/>
      <c r="K631" s="437"/>
      <c r="L631" s="131">
        <v>620</v>
      </c>
      <c r="M631" s="511"/>
      <c r="N631" s="91">
        <f t="shared" si="98"/>
        <v>620</v>
      </c>
      <c r="O631" s="411">
        <f t="shared" si="97"/>
        <v>-620</v>
      </c>
      <c r="P631" s="132" t="s">
        <v>52</v>
      </c>
      <c r="Q631" s="232"/>
      <c r="R631" s="411"/>
      <c r="T631" s="471"/>
      <c r="U631" s="506"/>
      <c r="AA631" s="218"/>
    </row>
    <row r="632" spans="1:27" x14ac:dyDescent="0.25">
      <c r="A632" s="420"/>
      <c r="B632" s="422"/>
      <c r="C632" s="420"/>
      <c r="D632" s="418"/>
      <c r="E632" s="120">
        <v>1000</v>
      </c>
      <c r="F632" s="133" t="s">
        <v>307</v>
      </c>
      <c r="G632" s="436"/>
      <c r="H632" s="428"/>
      <c r="I632" s="428"/>
      <c r="J632" s="428"/>
      <c r="K632" s="426"/>
      <c r="L632" s="131">
        <v>690</v>
      </c>
      <c r="M632" s="512"/>
      <c r="N632" s="91">
        <f t="shared" si="98"/>
        <v>690</v>
      </c>
      <c r="O632" s="411">
        <f t="shared" si="97"/>
        <v>-690</v>
      </c>
      <c r="P632" s="132" t="s">
        <v>52</v>
      </c>
      <c r="Q632" s="232"/>
      <c r="R632" s="411"/>
      <c r="T632" s="472"/>
      <c r="U632" s="490"/>
      <c r="AA632" s="218"/>
    </row>
    <row r="633" spans="1:27" ht="24" x14ac:dyDescent="0.25">
      <c r="A633" s="405">
        <v>3000445</v>
      </c>
      <c r="B633" s="406">
        <v>42401</v>
      </c>
      <c r="C633" s="405" t="s">
        <v>63</v>
      </c>
      <c r="D633" s="401" t="s">
        <v>1633</v>
      </c>
      <c r="E633" s="120">
        <v>150</v>
      </c>
      <c r="F633" s="133" t="s">
        <v>1634</v>
      </c>
      <c r="G633" s="404" t="s">
        <v>45</v>
      </c>
      <c r="H633" s="411">
        <v>1200</v>
      </c>
      <c r="I633" s="411">
        <v>0</v>
      </c>
      <c r="J633" s="90">
        <f>-((H633*0.022)+0.3)</f>
        <v>-26.7</v>
      </c>
      <c r="K633" s="396">
        <f t="shared" ref="K633:K676" si="104">SUM(H633:J633)</f>
        <v>1173.3</v>
      </c>
      <c r="L633" s="131">
        <v>4250</v>
      </c>
      <c r="M633" s="158">
        <v>99.46</v>
      </c>
      <c r="N633" s="91">
        <f t="shared" si="98"/>
        <v>736.96</v>
      </c>
      <c r="O633" s="411">
        <f t="shared" si="97"/>
        <v>436.33999999999992</v>
      </c>
      <c r="P633" s="132" t="s">
        <v>52</v>
      </c>
      <c r="Q633" s="232"/>
      <c r="R633" s="411"/>
      <c r="T633" s="134" t="s">
        <v>1619</v>
      </c>
      <c r="U633" s="267" t="s">
        <v>1635</v>
      </c>
      <c r="V633" s="133" t="s">
        <v>55</v>
      </c>
      <c r="W633" s="153" t="s">
        <v>1636</v>
      </c>
      <c r="AA633" s="218"/>
    </row>
    <row r="634" spans="1:27" x14ac:dyDescent="0.25">
      <c r="A634" s="405">
        <v>3000446</v>
      </c>
      <c r="B634" s="406">
        <v>42401</v>
      </c>
      <c r="C634" s="405" t="s">
        <v>141</v>
      </c>
      <c r="D634" s="401" t="s">
        <v>678</v>
      </c>
      <c r="E634" s="120">
        <v>225</v>
      </c>
      <c r="F634" s="133" t="s">
        <v>1637</v>
      </c>
      <c r="G634" s="404" t="s">
        <v>45</v>
      </c>
      <c r="H634" s="411">
        <v>766</v>
      </c>
      <c r="I634" s="411">
        <v>0</v>
      </c>
      <c r="J634" s="90">
        <f>-((H634*0.0325)+0.3)</f>
        <v>-25.195</v>
      </c>
      <c r="K634" s="396">
        <f t="shared" si="104"/>
        <v>740.80499999999995</v>
      </c>
      <c r="M634" s="158">
        <v>200</v>
      </c>
      <c r="N634" s="91">
        <f t="shared" si="98"/>
        <v>200</v>
      </c>
      <c r="O634" s="411">
        <f t="shared" si="97"/>
        <v>540.80499999999995</v>
      </c>
      <c r="P634" s="132" t="s">
        <v>52</v>
      </c>
      <c r="Q634" s="232"/>
      <c r="R634" s="411"/>
      <c r="T634" s="134" t="s">
        <v>639</v>
      </c>
      <c r="U634" s="267" t="s">
        <v>1638</v>
      </c>
      <c r="W634" s="153" t="s">
        <v>682</v>
      </c>
      <c r="AA634" s="218"/>
    </row>
    <row r="635" spans="1:27" ht="24" x14ac:dyDescent="0.25">
      <c r="A635" s="405">
        <v>3000447</v>
      </c>
      <c r="B635" s="406">
        <v>42401</v>
      </c>
      <c r="C635" s="405" t="s">
        <v>159</v>
      </c>
      <c r="D635" s="401" t="s">
        <v>1639</v>
      </c>
      <c r="E635" s="120">
        <v>200</v>
      </c>
      <c r="F635" s="133" t="s">
        <v>1640</v>
      </c>
      <c r="G635" s="404" t="s">
        <v>45</v>
      </c>
      <c r="H635" s="411">
        <v>100</v>
      </c>
      <c r="I635" s="411">
        <v>0</v>
      </c>
      <c r="J635" s="90">
        <f t="shared" ref="J635:J663" si="105">-((H635*0.019)+0.3)</f>
        <v>-2.1999999999999997</v>
      </c>
      <c r="K635" s="396">
        <f t="shared" si="104"/>
        <v>97.8</v>
      </c>
      <c r="L635" s="158">
        <v>380</v>
      </c>
      <c r="M635" s="158">
        <v>30.49</v>
      </c>
      <c r="N635" s="91">
        <f t="shared" si="98"/>
        <v>106.49</v>
      </c>
      <c r="O635" s="411">
        <f t="shared" si="97"/>
        <v>-8.6899999999999977</v>
      </c>
      <c r="P635" s="132" t="s">
        <v>183</v>
      </c>
      <c r="Q635" s="232"/>
      <c r="R635" s="411"/>
      <c r="T635" s="134" t="s">
        <v>145</v>
      </c>
      <c r="U635" s="267" t="s">
        <v>1641</v>
      </c>
      <c r="W635" s="153" t="s">
        <v>1642</v>
      </c>
      <c r="AA635" s="218"/>
    </row>
    <row r="636" spans="1:27" ht="24" x14ac:dyDescent="0.25">
      <c r="A636" s="405">
        <v>3000448</v>
      </c>
      <c r="B636" s="406">
        <v>42401</v>
      </c>
      <c r="C636" s="405" t="s">
        <v>159</v>
      </c>
      <c r="D636" s="401" t="s">
        <v>769</v>
      </c>
      <c r="E636" s="120">
        <v>100</v>
      </c>
      <c r="F636" s="133" t="s">
        <v>51</v>
      </c>
      <c r="G636" s="404" t="s">
        <v>45</v>
      </c>
      <c r="H636" s="411">
        <v>184</v>
      </c>
      <c r="I636" s="411">
        <v>0</v>
      </c>
      <c r="J636" s="90">
        <f t="shared" si="105"/>
        <v>-3.7959999999999998</v>
      </c>
      <c r="K636" s="396">
        <f t="shared" si="104"/>
        <v>180.20400000000001</v>
      </c>
      <c r="L636" s="131">
        <v>1015</v>
      </c>
      <c r="M636" s="158">
        <v>53.38</v>
      </c>
      <c r="N636" s="91">
        <f t="shared" si="98"/>
        <v>154.88</v>
      </c>
      <c r="O636" s="411">
        <f t="shared" si="97"/>
        <v>25.324000000000012</v>
      </c>
      <c r="P636" s="132" t="s">
        <v>52</v>
      </c>
      <c r="Q636" s="232"/>
      <c r="R636" s="411"/>
      <c r="T636" s="134" t="s">
        <v>145</v>
      </c>
      <c r="U636" s="267" t="s">
        <v>1643</v>
      </c>
      <c r="W636" s="153" t="s">
        <v>771</v>
      </c>
      <c r="AA636" s="218"/>
    </row>
    <row r="637" spans="1:27" ht="24" x14ac:dyDescent="0.25">
      <c r="A637" s="405">
        <v>3000449</v>
      </c>
      <c r="B637" s="406">
        <v>42401</v>
      </c>
      <c r="C637" s="405" t="s">
        <v>159</v>
      </c>
      <c r="D637" s="401" t="s">
        <v>1644</v>
      </c>
      <c r="E637" s="120">
        <v>225</v>
      </c>
      <c r="F637" s="133" t="s">
        <v>227</v>
      </c>
      <c r="G637" s="404" t="s">
        <v>45</v>
      </c>
      <c r="H637" s="411">
        <v>166.5</v>
      </c>
      <c r="I637" s="411">
        <v>0</v>
      </c>
      <c r="J637" s="90">
        <f t="shared" si="105"/>
        <v>-3.4634999999999998</v>
      </c>
      <c r="K637" s="396">
        <f t="shared" si="104"/>
        <v>163.03649999999999</v>
      </c>
      <c r="L637" s="131">
        <v>350</v>
      </c>
      <c r="M637" s="158">
        <v>39.450000000000003</v>
      </c>
      <c r="N637" s="91">
        <f t="shared" si="98"/>
        <v>118.2</v>
      </c>
      <c r="O637" s="411">
        <f t="shared" si="97"/>
        <v>44.836499999999987</v>
      </c>
      <c r="P637" s="132" t="s">
        <v>52</v>
      </c>
      <c r="Q637" s="232"/>
      <c r="R637" s="411"/>
      <c r="T637" s="134" t="s">
        <v>145</v>
      </c>
      <c r="U637" s="267" t="s">
        <v>1645</v>
      </c>
      <c r="W637" s="153" t="s">
        <v>1646</v>
      </c>
      <c r="AA637" s="218"/>
    </row>
    <row r="638" spans="1:27" ht="24" x14ac:dyDescent="0.25">
      <c r="A638" s="405">
        <v>3000450</v>
      </c>
      <c r="B638" s="406">
        <v>42401</v>
      </c>
      <c r="C638" s="405" t="s">
        <v>159</v>
      </c>
      <c r="D638" s="401" t="s">
        <v>1647</v>
      </c>
      <c r="E638" s="120">
        <v>80</v>
      </c>
      <c r="F638" s="133" t="s">
        <v>549</v>
      </c>
      <c r="G638" s="404" t="s">
        <v>45</v>
      </c>
      <c r="H638" s="411">
        <v>565.6</v>
      </c>
      <c r="I638" s="411">
        <v>0</v>
      </c>
      <c r="J638" s="90">
        <f t="shared" si="105"/>
        <v>-11.0464</v>
      </c>
      <c r="K638" s="396">
        <f t="shared" si="104"/>
        <v>554.55360000000007</v>
      </c>
      <c r="L638" s="158">
        <v>3600</v>
      </c>
      <c r="M638" s="158">
        <v>36.22</v>
      </c>
      <c r="N638" s="91">
        <f t="shared" si="98"/>
        <v>324.22000000000003</v>
      </c>
      <c r="O638" s="411">
        <f t="shared" si="97"/>
        <v>230.33360000000005</v>
      </c>
      <c r="P638" s="132" t="s">
        <v>183</v>
      </c>
      <c r="Q638" s="232"/>
      <c r="R638" s="411"/>
      <c r="T638" s="134" t="s">
        <v>145</v>
      </c>
      <c r="U638" s="267" t="s">
        <v>1648</v>
      </c>
      <c r="W638" s="153" t="s">
        <v>1649</v>
      </c>
      <c r="AA638" s="218"/>
    </row>
    <row r="639" spans="1:27" x14ac:dyDescent="0.25">
      <c r="A639" s="405">
        <v>3000451</v>
      </c>
      <c r="B639" s="406">
        <v>42401</v>
      </c>
      <c r="C639" s="405" t="s">
        <v>159</v>
      </c>
      <c r="D639" s="401" t="s">
        <v>1650</v>
      </c>
      <c r="E639" s="120">
        <v>150</v>
      </c>
      <c r="F639" s="133" t="s">
        <v>114</v>
      </c>
      <c r="G639" s="404" t="s">
        <v>45</v>
      </c>
      <c r="H639" s="411">
        <v>472.5</v>
      </c>
      <c r="I639" s="411">
        <v>0</v>
      </c>
      <c r="J639" s="90">
        <f t="shared" si="105"/>
        <v>-9.2774999999999999</v>
      </c>
      <c r="K639" s="396">
        <f t="shared" si="104"/>
        <v>463.22250000000003</v>
      </c>
      <c r="L639" s="131">
        <v>1770</v>
      </c>
      <c r="M639" s="131">
        <v>128.58000000000001</v>
      </c>
      <c r="N639" s="91">
        <f t="shared" si="98"/>
        <v>394.08000000000004</v>
      </c>
      <c r="O639" s="411">
        <f t="shared" si="97"/>
        <v>69.142499999999984</v>
      </c>
      <c r="P639" s="132" t="s">
        <v>52</v>
      </c>
      <c r="Q639" s="232"/>
      <c r="R639" s="411"/>
      <c r="T639" s="134" t="s">
        <v>244</v>
      </c>
      <c r="U639" s="266" t="s">
        <v>1651</v>
      </c>
      <c r="V639" s="133" t="s">
        <v>55</v>
      </c>
      <c r="W639" s="153" t="s">
        <v>1652</v>
      </c>
      <c r="AA639" s="218"/>
    </row>
    <row r="640" spans="1:27" ht="24" x14ac:dyDescent="0.25">
      <c r="A640" s="405">
        <v>3000452</v>
      </c>
      <c r="B640" s="406">
        <v>42401</v>
      </c>
      <c r="C640" s="405" t="s">
        <v>42</v>
      </c>
      <c r="D640" s="401" t="s">
        <v>1653</v>
      </c>
      <c r="E640" s="120">
        <v>100</v>
      </c>
      <c r="F640" s="133" t="s">
        <v>431</v>
      </c>
      <c r="G640" s="404" t="s">
        <v>45</v>
      </c>
      <c r="H640" s="411">
        <v>216.11</v>
      </c>
      <c r="I640" s="89">
        <f t="shared" ref="I640:I663" si="106">-(H640*0.09)</f>
        <v>-19.4499</v>
      </c>
      <c r="J640" s="90">
        <f t="shared" si="105"/>
        <v>-4.4060899999999998</v>
      </c>
      <c r="K640" s="396">
        <f t="shared" si="104"/>
        <v>192.25400999999999</v>
      </c>
      <c r="L640" s="131">
        <v>1050</v>
      </c>
      <c r="M640" s="158">
        <v>12.61</v>
      </c>
      <c r="N640" s="91">
        <f t="shared" si="98"/>
        <v>117.61</v>
      </c>
      <c r="O640" s="411">
        <f t="shared" si="97"/>
        <v>74.644009999999994</v>
      </c>
      <c r="P640" s="132" t="s">
        <v>86</v>
      </c>
      <c r="Q640" s="232"/>
      <c r="R640" s="411"/>
      <c r="T640" s="134" t="s">
        <v>145</v>
      </c>
      <c r="U640" s="267" t="s">
        <v>1654</v>
      </c>
      <c r="AA640" s="218"/>
    </row>
    <row r="641" spans="1:27" ht="24" x14ac:dyDescent="0.25">
      <c r="A641" s="405">
        <v>3000453</v>
      </c>
      <c r="B641" s="406">
        <v>42401</v>
      </c>
      <c r="C641" s="405" t="s">
        <v>42</v>
      </c>
      <c r="D641" s="401" t="s">
        <v>1655</v>
      </c>
      <c r="E641" s="120">
        <v>50</v>
      </c>
      <c r="F641" s="133" t="s">
        <v>860</v>
      </c>
      <c r="G641" s="404" t="s">
        <v>45</v>
      </c>
      <c r="H641" s="411">
        <v>351.5</v>
      </c>
      <c r="I641" s="89">
        <f t="shared" si="106"/>
        <v>-31.634999999999998</v>
      </c>
      <c r="J641" s="90">
        <f t="shared" si="105"/>
        <v>-6.9784999999999995</v>
      </c>
      <c r="K641" s="396">
        <f t="shared" si="104"/>
        <v>312.88650000000001</v>
      </c>
      <c r="L641" s="131">
        <v>3700</v>
      </c>
      <c r="M641" s="158">
        <v>42.52</v>
      </c>
      <c r="N641" s="91">
        <f t="shared" si="98"/>
        <v>227.52</v>
      </c>
      <c r="O641" s="411">
        <f t="shared" si="97"/>
        <v>85.366500000000002</v>
      </c>
      <c r="P641" s="132" t="s">
        <v>52</v>
      </c>
      <c r="Q641" s="232"/>
      <c r="R641" s="411"/>
      <c r="T641" s="134" t="s">
        <v>145</v>
      </c>
      <c r="U641" s="267" t="s">
        <v>1656</v>
      </c>
      <c r="AA641" s="218"/>
    </row>
    <row r="642" spans="1:27" x14ac:dyDescent="0.25">
      <c r="A642" s="405">
        <v>3000454</v>
      </c>
      <c r="B642" s="406">
        <v>42401</v>
      </c>
      <c r="C642" s="405" t="s">
        <v>42</v>
      </c>
      <c r="D642" s="401" t="s">
        <v>1657</v>
      </c>
      <c r="E642" s="120">
        <v>250</v>
      </c>
      <c r="F642" s="133" t="s">
        <v>198</v>
      </c>
      <c r="G642" s="404" t="s">
        <v>45</v>
      </c>
      <c r="H642" s="411">
        <v>707.78</v>
      </c>
      <c r="I642" s="89">
        <f t="shared" si="106"/>
        <v>-63.700199999999995</v>
      </c>
      <c r="J642" s="90">
        <f t="shared" si="105"/>
        <v>-13.747819999999999</v>
      </c>
      <c r="K642" s="396">
        <f t="shared" si="104"/>
        <v>630.33197999999993</v>
      </c>
      <c r="L642" s="131">
        <v>1800</v>
      </c>
      <c r="M642" s="158">
        <v>117.51</v>
      </c>
      <c r="N642" s="91">
        <f t="shared" si="98"/>
        <v>567.51</v>
      </c>
      <c r="O642" s="411">
        <f t="shared" si="97"/>
        <v>62.82197999999994</v>
      </c>
      <c r="P642" s="132" t="s">
        <v>52</v>
      </c>
      <c r="Q642" s="232"/>
      <c r="R642" s="411"/>
      <c r="T642" s="134" t="s">
        <v>244</v>
      </c>
      <c r="U642" s="266" t="s">
        <v>1658</v>
      </c>
      <c r="V642" s="133" t="s">
        <v>55</v>
      </c>
      <c r="AA642" s="218"/>
    </row>
    <row r="643" spans="1:27" ht="24" x14ac:dyDescent="0.25">
      <c r="A643" s="405">
        <v>3000455</v>
      </c>
      <c r="B643" s="406">
        <v>42401</v>
      </c>
      <c r="C643" s="405" t="s">
        <v>42</v>
      </c>
      <c r="D643" s="401" t="s">
        <v>1659</v>
      </c>
      <c r="E643" s="120">
        <v>250</v>
      </c>
      <c r="F643" s="133" t="s">
        <v>877</v>
      </c>
      <c r="G643" s="404" t="s">
        <v>45</v>
      </c>
      <c r="H643" s="411">
        <v>162.18</v>
      </c>
      <c r="I643" s="89">
        <f t="shared" si="106"/>
        <v>-14.5962</v>
      </c>
      <c r="J643" s="90">
        <f t="shared" si="105"/>
        <v>-3.3814199999999999</v>
      </c>
      <c r="K643" s="396">
        <f t="shared" si="104"/>
        <v>144.20238000000001</v>
      </c>
      <c r="L643" s="131">
        <v>235</v>
      </c>
      <c r="M643" s="158">
        <v>26.23</v>
      </c>
      <c r="N643" s="91">
        <f t="shared" si="98"/>
        <v>84.98</v>
      </c>
      <c r="O643" s="411">
        <f t="shared" si="97"/>
        <v>59.222380000000001</v>
      </c>
      <c r="P643" s="132" t="s">
        <v>52</v>
      </c>
      <c r="Q643" s="232"/>
      <c r="R643" s="411"/>
      <c r="T643" s="134" t="s">
        <v>145</v>
      </c>
      <c r="U643" s="267" t="s">
        <v>1660</v>
      </c>
      <c r="AA643" s="218"/>
    </row>
    <row r="644" spans="1:27" ht="24" x14ac:dyDescent="0.25">
      <c r="A644" s="405">
        <v>3000456</v>
      </c>
      <c r="B644" s="406">
        <v>42401</v>
      </c>
      <c r="C644" s="405" t="s">
        <v>42</v>
      </c>
      <c r="D644" s="401" t="s">
        <v>1661</v>
      </c>
      <c r="E644" s="120">
        <v>750</v>
      </c>
      <c r="F644" s="133" t="s">
        <v>1236</v>
      </c>
      <c r="G644" s="404" t="s">
        <v>45</v>
      </c>
      <c r="H644" s="411">
        <v>270.75</v>
      </c>
      <c r="I644" s="89">
        <f t="shared" si="106"/>
        <v>-24.3675</v>
      </c>
      <c r="J644" s="90">
        <f t="shared" si="105"/>
        <v>-5.4442499999999994</v>
      </c>
      <c r="K644" s="396">
        <f t="shared" si="104"/>
        <v>240.93824999999998</v>
      </c>
      <c r="M644" s="158">
        <v>53.66</v>
      </c>
      <c r="N644" s="91">
        <f t="shared" si="98"/>
        <v>53.66</v>
      </c>
      <c r="O644" s="411">
        <f t="shared" si="97"/>
        <v>187.27824999999999</v>
      </c>
      <c r="P644" s="132" t="s">
        <v>52</v>
      </c>
      <c r="Q644" s="232"/>
      <c r="R644" s="411"/>
      <c r="T644" s="134" t="s">
        <v>145</v>
      </c>
      <c r="U644" s="267" t="s">
        <v>1662</v>
      </c>
      <c r="AA644" s="218"/>
    </row>
    <row r="645" spans="1:27" ht="24" x14ac:dyDescent="0.25">
      <c r="A645" s="405">
        <v>3000457</v>
      </c>
      <c r="B645" s="406">
        <v>42401</v>
      </c>
      <c r="C645" s="405" t="s">
        <v>42</v>
      </c>
      <c r="D645" s="401" t="s">
        <v>1663</v>
      </c>
      <c r="E645" s="120">
        <v>250</v>
      </c>
      <c r="F645" s="133" t="s">
        <v>247</v>
      </c>
      <c r="G645" s="404" t="s">
        <v>45</v>
      </c>
      <c r="H645" s="411">
        <v>303.47000000000003</v>
      </c>
      <c r="I645" s="89">
        <f t="shared" si="106"/>
        <v>-27.3123</v>
      </c>
      <c r="J645" s="90">
        <f t="shared" si="105"/>
        <v>-6.0659299999999998</v>
      </c>
      <c r="K645" s="396">
        <f t="shared" si="104"/>
        <v>270.09177000000005</v>
      </c>
      <c r="L645" s="131">
        <v>580</v>
      </c>
      <c r="M645" s="158">
        <v>55.4</v>
      </c>
      <c r="N645" s="91">
        <f t="shared" si="98"/>
        <v>200.4</v>
      </c>
      <c r="O645" s="411">
        <f t="shared" si="97"/>
        <v>69.691770000000048</v>
      </c>
      <c r="P645" s="132" t="s">
        <v>86</v>
      </c>
      <c r="Q645" s="232"/>
      <c r="R645" s="411"/>
      <c r="T645" s="134" t="s">
        <v>145</v>
      </c>
      <c r="U645" s="267" t="s">
        <v>1664</v>
      </c>
      <c r="AA645" s="218"/>
    </row>
    <row r="646" spans="1:27" ht="24" x14ac:dyDescent="0.25">
      <c r="A646" s="405">
        <v>3000458</v>
      </c>
      <c r="B646" s="406">
        <v>42401</v>
      </c>
      <c r="C646" s="405" t="s">
        <v>42</v>
      </c>
      <c r="D646" s="401" t="s">
        <v>1665</v>
      </c>
      <c r="E646" s="120">
        <v>250</v>
      </c>
      <c r="F646" s="133" t="s">
        <v>227</v>
      </c>
      <c r="G646" s="404" t="s">
        <v>45</v>
      </c>
      <c r="H646" s="411">
        <v>202.73</v>
      </c>
      <c r="I646" s="89">
        <f t="shared" si="106"/>
        <v>-18.245699999999999</v>
      </c>
      <c r="J646" s="90">
        <f t="shared" si="105"/>
        <v>-4.1518699999999997</v>
      </c>
      <c r="K646" s="396">
        <f t="shared" si="104"/>
        <v>180.33242999999999</v>
      </c>
      <c r="L646" s="131">
        <v>350</v>
      </c>
      <c r="M646" s="187">
        <v>52.97</v>
      </c>
      <c r="N646" s="91">
        <f t="shared" si="98"/>
        <v>140.47</v>
      </c>
      <c r="O646" s="411">
        <f t="shared" si="97"/>
        <v>39.862429999999989</v>
      </c>
      <c r="P646" s="132" t="s">
        <v>52</v>
      </c>
      <c r="Q646" s="232"/>
      <c r="R646" s="411"/>
      <c r="T646" s="134" t="s">
        <v>145</v>
      </c>
      <c r="U646" s="267" t="s">
        <v>1666</v>
      </c>
      <c r="AA646" s="218"/>
    </row>
    <row r="647" spans="1:27" ht="24" x14ac:dyDescent="0.25">
      <c r="A647" s="405">
        <v>3000459</v>
      </c>
      <c r="B647" s="406">
        <v>42401</v>
      </c>
      <c r="C647" s="405" t="s">
        <v>42</v>
      </c>
      <c r="D647" s="401" t="s">
        <v>1667</v>
      </c>
      <c r="E647" s="120">
        <v>150</v>
      </c>
      <c r="F647" s="133" t="s">
        <v>227</v>
      </c>
      <c r="G647" s="404" t="s">
        <v>45</v>
      </c>
      <c r="H647" s="411">
        <v>121.64</v>
      </c>
      <c r="I647" s="89">
        <f t="shared" si="106"/>
        <v>-10.9476</v>
      </c>
      <c r="J647" s="90">
        <f t="shared" si="105"/>
        <v>-2.6111599999999999</v>
      </c>
      <c r="K647" s="396">
        <f t="shared" si="104"/>
        <v>108.08124000000001</v>
      </c>
      <c r="L647" s="131">
        <v>350</v>
      </c>
      <c r="M647" s="158">
        <v>25.78</v>
      </c>
      <c r="N647" s="91">
        <f t="shared" si="98"/>
        <v>78.28</v>
      </c>
      <c r="O647" s="411">
        <f t="shared" si="97"/>
        <v>29.801240000000007</v>
      </c>
      <c r="P647" s="132" t="s">
        <v>52</v>
      </c>
      <c r="Q647" s="232"/>
      <c r="R647" s="411"/>
      <c r="T647" s="134" t="s">
        <v>145</v>
      </c>
      <c r="U647" s="267" t="s">
        <v>1668</v>
      </c>
      <c r="AA647" s="218"/>
    </row>
    <row r="648" spans="1:27" ht="24" x14ac:dyDescent="0.25">
      <c r="A648" s="405">
        <v>3000460</v>
      </c>
      <c r="B648" s="406">
        <v>42401</v>
      </c>
      <c r="C648" s="405" t="s">
        <v>42</v>
      </c>
      <c r="D648" s="401" t="s">
        <v>1669</v>
      </c>
      <c r="E648" s="120">
        <v>250</v>
      </c>
      <c r="F648" s="133" t="s">
        <v>1670</v>
      </c>
      <c r="G648" s="404" t="s">
        <v>45</v>
      </c>
      <c r="H648" s="411">
        <v>223.25</v>
      </c>
      <c r="I648" s="89">
        <f t="shared" si="106"/>
        <v>-20.092499999999998</v>
      </c>
      <c r="J648" s="90">
        <f t="shared" si="105"/>
        <v>-4.5417499999999995</v>
      </c>
      <c r="K648" s="396">
        <f t="shared" si="104"/>
        <v>198.61574999999999</v>
      </c>
      <c r="L648" s="187">
        <v>538.71</v>
      </c>
      <c r="M648" s="187">
        <v>15.28</v>
      </c>
      <c r="N648" s="91">
        <f t="shared" si="98"/>
        <v>149.95750000000001</v>
      </c>
      <c r="O648" s="411">
        <f t="shared" si="97"/>
        <v>48.658249999999981</v>
      </c>
      <c r="P648" s="132" t="s">
        <v>46</v>
      </c>
      <c r="Q648" s="232"/>
      <c r="R648" s="411"/>
      <c r="T648" s="134" t="s">
        <v>324</v>
      </c>
      <c r="U648" s="267" t="s">
        <v>1671</v>
      </c>
      <c r="AA648" s="218"/>
    </row>
    <row r="649" spans="1:27" ht="24" x14ac:dyDescent="0.25">
      <c r="A649" s="405">
        <v>3000461</v>
      </c>
      <c r="B649" s="406">
        <v>42401</v>
      </c>
      <c r="C649" s="405" t="s">
        <v>42</v>
      </c>
      <c r="D649" s="401" t="s">
        <v>1672</v>
      </c>
      <c r="E649" s="120">
        <v>1000</v>
      </c>
      <c r="F649" s="133" t="s">
        <v>528</v>
      </c>
      <c r="G649" s="404" t="s">
        <v>45</v>
      </c>
      <c r="H649" s="411">
        <v>2222.16</v>
      </c>
      <c r="I649" s="89">
        <f t="shared" si="106"/>
        <v>-199.99439999999998</v>
      </c>
      <c r="J649" s="90">
        <f t="shared" si="105"/>
        <v>-42.521039999999992</v>
      </c>
      <c r="K649" s="396">
        <f t="shared" si="104"/>
        <v>1979.6445599999997</v>
      </c>
      <c r="L649" s="131">
        <v>1021</v>
      </c>
      <c r="M649" s="158">
        <v>191.99</v>
      </c>
      <c r="N649" s="91">
        <f t="shared" si="98"/>
        <v>1212.99</v>
      </c>
      <c r="O649" s="411">
        <f t="shared" ref="O649:O712" si="107">K649-N649</f>
        <v>766.65455999999972</v>
      </c>
      <c r="P649" s="132" t="s">
        <v>52</v>
      </c>
      <c r="Q649" s="232"/>
      <c r="R649" s="411"/>
      <c r="T649" s="134" t="s">
        <v>1209</v>
      </c>
      <c r="U649" s="267" t="s">
        <v>1673</v>
      </c>
      <c r="V649" s="133" t="s">
        <v>55</v>
      </c>
      <c r="AA649" s="218"/>
    </row>
    <row r="650" spans="1:27" ht="24" x14ac:dyDescent="0.25">
      <c r="A650" s="405">
        <v>3000462</v>
      </c>
      <c r="B650" s="406">
        <v>42401</v>
      </c>
      <c r="C650" s="405" t="s">
        <v>42</v>
      </c>
      <c r="D650" s="401" t="s">
        <v>1674</v>
      </c>
      <c r="E650" s="120">
        <v>100</v>
      </c>
      <c r="F650" s="133" t="s">
        <v>1586</v>
      </c>
      <c r="G650" s="404" t="s">
        <v>45</v>
      </c>
      <c r="H650" s="411">
        <v>135.38</v>
      </c>
      <c r="I650" s="89">
        <f t="shared" si="106"/>
        <v>-12.184199999999999</v>
      </c>
      <c r="J650" s="90">
        <f t="shared" si="105"/>
        <v>-2.8722199999999996</v>
      </c>
      <c r="K650" s="396">
        <f t="shared" si="104"/>
        <v>120.32357999999999</v>
      </c>
      <c r="L650" s="158">
        <v>900</v>
      </c>
      <c r="M650" s="158">
        <v>9.77</v>
      </c>
      <c r="N650" s="91">
        <f t="shared" si="98"/>
        <v>99.77</v>
      </c>
      <c r="O650" s="411">
        <f t="shared" si="107"/>
        <v>20.553579999999997</v>
      </c>
      <c r="P650" s="132" t="s">
        <v>235</v>
      </c>
      <c r="Q650" s="232"/>
      <c r="R650" s="411"/>
      <c r="T650" s="134" t="s">
        <v>145</v>
      </c>
      <c r="U650" s="267" t="s">
        <v>1675</v>
      </c>
      <c r="AA650" s="218"/>
    </row>
    <row r="651" spans="1:27" ht="24" x14ac:dyDescent="0.25">
      <c r="A651" s="405">
        <v>3000463</v>
      </c>
      <c r="B651" s="406">
        <v>42401</v>
      </c>
      <c r="C651" s="405" t="s">
        <v>42</v>
      </c>
      <c r="D651" s="401" t="s">
        <v>1676</v>
      </c>
      <c r="E651" s="120">
        <v>125</v>
      </c>
      <c r="F651" s="133" t="s">
        <v>165</v>
      </c>
      <c r="G651" s="404" t="s">
        <v>45</v>
      </c>
      <c r="H651" s="411">
        <v>125.44</v>
      </c>
      <c r="I651" s="89">
        <f t="shared" si="106"/>
        <v>-11.2896</v>
      </c>
      <c r="J651" s="90">
        <f t="shared" si="105"/>
        <v>-2.6833599999999995</v>
      </c>
      <c r="K651" s="396">
        <f t="shared" si="104"/>
        <v>111.46704</v>
      </c>
      <c r="L651" s="131">
        <v>480</v>
      </c>
      <c r="M651" s="158">
        <v>20.059999999999999</v>
      </c>
      <c r="N651" s="91">
        <f t="shared" ref="N651:N714" si="108">((L651)*(E651*0.001))+M651</f>
        <v>80.06</v>
      </c>
      <c r="O651" s="411">
        <f t="shared" si="107"/>
        <v>31.407039999999995</v>
      </c>
      <c r="P651" s="132" t="s">
        <v>52</v>
      </c>
      <c r="Q651" s="232"/>
      <c r="R651" s="411"/>
      <c r="T651" s="134" t="s">
        <v>145</v>
      </c>
      <c r="U651" s="267" t="s">
        <v>1677</v>
      </c>
      <c r="AA651" s="218"/>
    </row>
    <row r="652" spans="1:27" ht="24" x14ac:dyDescent="0.25">
      <c r="A652" s="405">
        <v>3000464</v>
      </c>
      <c r="B652" s="406">
        <v>42401</v>
      </c>
      <c r="C652" s="405" t="s">
        <v>42</v>
      </c>
      <c r="D652" s="401" t="s">
        <v>1678</v>
      </c>
      <c r="E652" s="120">
        <v>125</v>
      </c>
      <c r="F652" s="133" t="s">
        <v>829</v>
      </c>
      <c r="G652" s="404" t="s">
        <v>45</v>
      </c>
      <c r="H652" s="411">
        <v>131.77000000000001</v>
      </c>
      <c r="I652" s="89">
        <f t="shared" si="106"/>
        <v>-11.859300000000001</v>
      </c>
      <c r="J652" s="90">
        <f t="shared" si="105"/>
        <v>-2.8036300000000001</v>
      </c>
      <c r="K652" s="396">
        <f t="shared" si="104"/>
        <v>117.10707000000001</v>
      </c>
      <c r="L652" s="131">
        <v>510</v>
      </c>
      <c r="M652" s="187">
        <v>26.54</v>
      </c>
      <c r="N652" s="91">
        <f t="shared" si="108"/>
        <v>90.289999999999992</v>
      </c>
      <c r="O652" s="411">
        <f t="shared" si="107"/>
        <v>26.817070000000015</v>
      </c>
      <c r="P652" s="132" t="s">
        <v>52</v>
      </c>
      <c r="Q652" s="232"/>
      <c r="R652" s="411"/>
      <c r="T652" s="134" t="s">
        <v>145</v>
      </c>
      <c r="U652" s="267" t="s">
        <v>1679</v>
      </c>
      <c r="AA652" s="218"/>
    </row>
    <row r="653" spans="1:27" ht="24" x14ac:dyDescent="0.25">
      <c r="A653" s="405">
        <v>3000465</v>
      </c>
      <c r="B653" s="406">
        <v>42401</v>
      </c>
      <c r="C653" s="405" t="s">
        <v>42</v>
      </c>
      <c r="D653" s="401" t="s">
        <v>1680</v>
      </c>
      <c r="E653" s="120">
        <v>1000</v>
      </c>
      <c r="F653" s="133" t="s">
        <v>161</v>
      </c>
      <c r="G653" s="404" t="s">
        <v>45</v>
      </c>
      <c r="H653" s="411">
        <v>2000</v>
      </c>
      <c r="I653" s="89">
        <f t="shared" si="106"/>
        <v>-180</v>
      </c>
      <c r="J653" s="90">
        <f t="shared" si="105"/>
        <v>-38.299999999999997</v>
      </c>
      <c r="K653" s="396">
        <f t="shared" si="104"/>
        <v>1781.7</v>
      </c>
      <c r="L653" s="131">
        <v>1350</v>
      </c>
      <c r="M653" s="158">
        <v>79.930000000000007</v>
      </c>
      <c r="N653" s="91">
        <f t="shared" si="108"/>
        <v>1429.93</v>
      </c>
      <c r="O653" s="411">
        <f t="shared" si="107"/>
        <v>351.77</v>
      </c>
      <c r="P653" s="132" t="s">
        <v>52</v>
      </c>
      <c r="Q653" s="232"/>
      <c r="R653" s="411"/>
      <c r="T653" s="134" t="s">
        <v>947</v>
      </c>
      <c r="U653" s="266">
        <v>5007151504</v>
      </c>
      <c r="V653" s="133" t="s">
        <v>55</v>
      </c>
      <c r="AA653" s="218"/>
    </row>
    <row r="654" spans="1:27" ht="24" x14ac:dyDescent="0.25">
      <c r="A654" s="405">
        <v>3000466</v>
      </c>
      <c r="B654" s="406">
        <v>42401</v>
      </c>
      <c r="C654" s="405" t="s">
        <v>42</v>
      </c>
      <c r="D654" s="401" t="s">
        <v>1681</v>
      </c>
      <c r="E654" s="120">
        <v>100</v>
      </c>
      <c r="F654" s="133" t="s">
        <v>161</v>
      </c>
      <c r="G654" s="404" t="s">
        <v>45</v>
      </c>
      <c r="H654" s="411">
        <v>235</v>
      </c>
      <c r="I654" s="89">
        <f t="shared" si="106"/>
        <v>-21.15</v>
      </c>
      <c r="J654" s="90">
        <f t="shared" si="105"/>
        <v>-4.7649999999999997</v>
      </c>
      <c r="K654" s="396">
        <f t="shared" si="104"/>
        <v>209.08500000000001</v>
      </c>
      <c r="L654" s="131">
        <v>1350</v>
      </c>
      <c r="M654" s="158">
        <v>20.87</v>
      </c>
      <c r="N654" s="91">
        <f t="shared" si="108"/>
        <v>155.87</v>
      </c>
      <c r="O654" s="411">
        <f t="shared" si="107"/>
        <v>53.215000000000003</v>
      </c>
      <c r="P654" s="132" t="s">
        <v>52</v>
      </c>
      <c r="Q654" s="232"/>
      <c r="R654" s="411"/>
      <c r="T654" s="134" t="s">
        <v>145</v>
      </c>
      <c r="U654" s="267" t="s">
        <v>1682</v>
      </c>
      <c r="AA654" s="218"/>
    </row>
    <row r="655" spans="1:27" ht="24" x14ac:dyDescent="0.25">
      <c r="A655" s="405">
        <v>3000467</v>
      </c>
      <c r="B655" s="406">
        <v>42401</v>
      </c>
      <c r="C655" s="405" t="s">
        <v>42</v>
      </c>
      <c r="D655" s="401" t="s">
        <v>1683</v>
      </c>
      <c r="E655" s="120">
        <v>150</v>
      </c>
      <c r="F655" s="133" t="s">
        <v>341</v>
      </c>
      <c r="G655" s="404" t="s">
        <v>45</v>
      </c>
      <c r="H655" s="411">
        <v>235.79</v>
      </c>
      <c r="I655" s="89">
        <f t="shared" si="106"/>
        <v>-21.2211</v>
      </c>
      <c r="J655" s="90">
        <f t="shared" si="105"/>
        <v>-4.7800099999999999</v>
      </c>
      <c r="K655" s="396">
        <f t="shared" si="104"/>
        <v>209.78888999999998</v>
      </c>
      <c r="L655" s="131">
        <v>850</v>
      </c>
      <c r="M655" s="158">
        <v>45.08</v>
      </c>
      <c r="N655" s="91">
        <f t="shared" si="108"/>
        <v>172.57999999999998</v>
      </c>
      <c r="O655" s="411">
        <f t="shared" si="107"/>
        <v>37.208889999999997</v>
      </c>
      <c r="P655" s="132" t="s">
        <v>52</v>
      </c>
      <c r="Q655" s="232"/>
      <c r="R655" s="411"/>
      <c r="T655" s="134" t="s">
        <v>145</v>
      </c>
      <c r="U655" s="267" t="s">
        <v>1684</v>
      </c>
      <c r="AA655" s="218"/>
    </row>
    <row r="656" spans="1:27" ht="24" x14ac:dyDescent="0.25">
      <c r="A656" s="405">
        <v>3000468</v>
      </c>
      <c r="B656" s="406">
        <v>42401</v>
      </c>
      <c r="C656" s="405" t="s">
        <v>42</v>
      </c>
      <c r="D656" s="401" t="s">
        <v>1685</v>
      </c>
      <c r="E656" s="120">
        <v>100</v>
      </c>
      <c r="F656" s="133" t="s">
        <v>161</v>
      </c>
      <c r="G656" s="404" t="s">
        <v>45</v>
      </c>
      <c r="H656" s="411">
        <v>235</v>
      </c>
      <c r="I656" s="89">
        <f t="shared" si="106"/>
        <v>-21.15</v>
      </c>
      <c r="J656" s="90">
        <f t="shared" si="105"/>
        <v>-4.7649999999999997</v>
      </c>
      <c r="K656" s="396">
        <f t="shared" si="104"/>
        <v>209.08500000000001</v>
      </c>
      <c r="L656" s="131">
        <v>1350</v>
      </c>
      <c r="M656" s="158">
        <v>37.299999999999997</v>
      </c>
      <c r="N656" s="91">
        <f t="shared" si="108"/>
        <v>172.3</v>
      </c>
      <c r="O656" s="411">
        <f t="shared" si="107"/>
        <v>36.784999999999997</v>
      </c>
      <c r="P656" s="132" t="s">
        <v>52</v>
      </c>
      <c r="Q656" s="232"/>
      <c r="R656" s="411"/>
      <c r="T656" s="134" t="s">
        <v>145</v>
      </c>
      <c r="U656" s="267" t="s">
        <v>1686</v>
      </c>
      <c r="AA656" s="218"/>
    </row>
    <row r="657" spans="1:27" ht="24" x14ac:dyDescent="0.25">
      <c r="A657" s="405">
        <v>3000469</v>
      </c>
      <c r="B657" s="406">
        <v>42401</v>
      </c>
      <c r="C657" s="405" t="s">
        <v>42</v>
      </c>
      <c r="D657" s="401" t="s">
        <v>1687</v>
      </c>
      <c r="E657" s="120">
        <v>275</v>
      </c>
      <c r="F657" s="133" t="s">
        <v>829</v>
      </c>
      <c r="G657" s="404" t="s">
        <v>45</v>
      </c>
      <c r="H657" s="411">
        <v>260.3</v>
      </c>
      <c r="I657" s="89">
        <f t="shared" si="106"/>
        <v>-23.427</v>
      </c>
      <c r="J657" s="90">
        <f t="shared" si="105"/>
        <v>-5.2457000000000003</v>
      </c>
      <c r="K657" s="396">
        <f t="shared" si="104"/>
        <v>231.62730000000002</v>
      </c>
      <c r="L657" s="131">
        <v>510</v>
      </c>
      <c r="M657" s="158">
        <v>45.66</v>
      </c>
      <c r="N657" s="91">
        <f t="shared" si="108"/>
        <v>185.91</v>
      </c>
      <c r="O657" s="411">
        <f t="shared" si="107"/>
        <v>45.717300000000023</v>
      </c>
      <c r="P657" s="132" t="s">
        <v>52</v>
      </c>
      <c r="Q657" s="232"/>
      <c r="R657" s="411"/>
      <c r="T657" s="134" t="s">
        <v>145</v>
      </c>
      <c r="U657" s="267" t="s">
        <v>1688</v>
      </c>
      <c r="AA657" s="218"/>
    </row>
    <row r="658" spans="1:27" ht="24" x14ac:dyDescent="0.25">
      <c r="A658" s="405">
        <v>3000470</v>
      </c>
      <c r="B658" s="406">
        <v>42401</v>
      </c>
      <c r="C658" s="405" t="s">
        <v>42</v>
      </c>
      <c r="D658" s="401" t="s">
        <v>1602</v>
      </c>
      <c r="E658" s="120">
        <v>250</v>
      </c>
      <c r="F658" s="133" t="s">
        <v>288</v>
      </c>
      <c r="G658" s="404" t="s">
        <v>45</v>
      </c>
      <c r="H658" s="411">
        <v>399.75</v>
      </c>
      <c r="I658" s="89">
        <f t="shared" si="106"/>
        <v>-35.977499999999999</v>
      </c>
      <c r="J658" s="90">
        <f t="shared" si="105"/>
        <v>-7.8952499999999999</v>
      </c>
      <c r="K658" s="396">
        <f t="shared" si="104"/>
        <v>355.87725</v>
      </c>
      <c r="L658" s="131">
        <v>1069</v>
      </c>
      <c r="M658" s="158"/>
      <c r="N658" s="91">
        <f t="shared" si="108"/>
        <v>267.25</v>
      </c>
      <c r="O658" s="411">
        <f t="shared" si="107"/>
        <v>88.627250000000004</v>
      </c>
      <c r="P658" s="132" t="s">
        <v>86</v>
      </c>
      <c r="Q658" s="232"/>
      <c r="R658" s="411"/>
      <c r="T658" s="134" t="s">
        <v>260</v>
      </c>
      <c r="U658" s="267" t="s">
        <v>1603</v>
      </c>
      <c r="V658" s="133" t="s">
        <v>55</v>
      </c>
      <c r="AA658" s="218"/>
    </row>
    <row r="659" spans="1:27" ht="24" x14ac:dyDescent="0.25">
      <c r="A659" s="405">
        <v>3000471</v>
      </c>
      <c r="B659" s="406">
        <v>42401</v>
      </c>
      <c r="C659" s="405" t="s">
        <v>42</v>
      </c>
      <c r="D659" s="401" t="s">
        <v>1689</v>
      </c>
      <c r="E659" s="120">
        <v>100</v>
      </c>
      <c r="F659" s="133" t="s">
        <v>445</v>
      </c>
      <c r="G659" s="404" t="s">
        <v>45</v>
      </c>
      <c r="H659" s="411">
        <v>223.44</v>
      </c>
      <c r="I659" s="89">
        <f t="shared" si="106"/>
        <v>-20.1096</v>
      </c>
      <c r="J659" s="90">
        <f t="shared" si="105"/>
        <v>-4.5453599999999996</v>
      </c>
      <c r="K659" s="396">
        <f t="shared" si="104"/>
        <v>198.78504000000001</v>
      </c>
      <c r="L659" s="131">
        <v>390</v>
      </c>
      <c r="M659" s="187">
        <v>43.87</v>
      </c>
      <c r="N659" s="91">
        <f t="shared" si="108"/>
        <v>82.87</v>
      </c>
      <c r="O659" s="411">
        <f t="shared" si="107"/>
        <v>115.91504</v>
      </c>
      <c r="P659" s="132" t="s">
        <v>52</v>
      </c>
      <c r="Q659" s="232"/>
      <c r="R659" s="411"/>
      <c r="T659" s="134" t="s">
        <v>145</v>
      </c>
      <c r="U659" s="267" t="s">
        <v>1690</v>
      </c>
      <c r="AA659" s="218"/>
    </row>
    <row r="660" spans="1:27" ht="24" x14ac:dyDescent="0.25">
      <c r="A660" s="405">
        <v>3000472</v>
      </c>
      <c r="B660" s="406">
        <v>42401</v>
      </c>
      <c r="C660" s="405" t="s">
        <v>42</v>
      </c>
      <c r="D660" s="401" t="s">
        <v>1691</v>
      </c>
      <c r="E660" s="120">
        <v>100</v>
      </c>
      <c r="F660" s="133" t="s">
        <v>1692</v>
      </c>
      <c r="G660" s="404" t="s">
        <v>45</v>
      </c>
      <c r="H660" s="411">
        <v>137.09</v>
      </c>
      <c r="I660" s="89">
        <f t="shared" si="106"/>
        <v>-12.338100000000001</v>
      </c>
      <c r="J660" s="90">
        <f t="shared" si="105"/>
        <v>-2.9047099999999997</v>
      </c>
      <c r="K660" s="396">
        <f t="shared" si="104"/>
        <v>121.84719000000001</v>
      </c>
      <c r="L660" s="158">
        <v>550</v>
      </c>
      <c r="M660" s="158">
        <v>13.53</v>
      </c>
      <c r="N660" s="91">
        <f t="shared" si="108"/>
        <v>68.53</v>
      </c>
      <c r="O660" s="411">
        <f t="shared" si="107"/>
        <v>53.317190000000011</v>
      </c>
      <c r="P660" s="132" t="s">
        <v>235</v>
      </c>
      <c r="Q660" s="232"/>
      <c r="R660" s="411"/>
      <c r="T660" s="134" t="s">
        <v>145</v>
      </c>
      <c r="U660" s="267" t="s">
        <v>1693</v>
      </c>
      <c r="AA660" s="218"/>
    </row>
    <row r="661" spans="1:27" ht="24" x14ac:dyDescent="0.25">
      <c r="A661" s="405">
        <v>3000473</v>
      </c>
      <c r="B661" s="406">
        <v>42401</v>
      </c>
      <c r="C661" s="405" t="s">
        <v>42</v>
      </c>
      <c r="D661" s="401" t="s">
        <v>1694</v>
      </c>
      <c r="E661" s="120">
        <v>250</v>
      </c>
      <c r="F661" s="133" t="s">
        <v>829</v>
      </c>
      <c r="G661" s="404" t="s">
        <v>45</v>
      </c>
      <c r="H661" s="411">
        <v>237.5</v>
      </c>
      <c r="I661" s="89">
        <f t="shared" si="106"/>
        <v>-21.375</v>
      </c>
      <c r="J661" s="90">
        <f t="shared" si="105"/>
        <v>-4.8125</v>
      </c>
      <c r="K661" s="396">
        <f t="shared" si="104"/>
        <v>211.3125</v>
      </c>
      <c r="L661" s="131">
        <v>510</v>
      </c>
      <c r="M661" s="158">
        <v>53.38</v>
      </c>
      <c r="N661" s="91">
        <f t="shared" si="108"/>
        <v>180.88</v>
      </c>
      <c r="O661" s="411">
        <f t="shared" si="107"/>
        <v>30.432500000000005</v>
      </c>
      <c r="P661" s="132" t="s">
        <v>52</v>
      </c>
      <c r="Q661" s="232"/>
      <c r="R661" s="411"/>
      <c r="T661" s="134" t="s">
        <v>145</v>
      </c>
      <c r="U661" s="267" t="s">
        <v>1695</v>
      </c>
      <c r="AA661" s="218"/>
    </row>
    <row r="662" spans="1:27" ht="24" x14ac:dyDescent="0.25">
      <c r="A662" s="405">
        <v>3000474</v>
      </c>
      <c r="B662" s="406">
        <v>42401</v>
      </c>
      <c r="C662" s="405" t="s">
        <v>42</v>
      </c>
      <c r="D662" s="401" t="s">
        <v>1696</v>
      </c>
      <c r="E662" s="120">
        <v>100</v>
      </c>
      <c r="F662" s="133" t="s">
        <v>431</v>
      </c>
      <c r="G662" s="404" t="s">
        <v>45</v>
      </c>
      <c r="H662" s="411">
        <v>233.4</v>
      </c>
      <c r="I662" s="89">
        <f t="shared" si="106"/>
        <v>-21.006</v>
      </c>
      <c r="J662" s="90">
        <f t="shared" si="105"/>
        <v>-4.7345999999999995</v>
      </c>
      <c r="K662" s="396">
        <f t="shared" si="104"/>
        <v>207.65940000000001</v>
      </c>
      <c r="L662" s="131">
        <v>1050</v>
      </c>
      <c r="M662" s="158">
        <v>20.46</v>
      </c>
      <c r="N662" s="91">
        <f t="shared" si="108"/>
        <v>125.46000000000001</v>
      </c>
      <c r="O662" s="411">
        <f t="shared" si="107"/>
        <v>82.199399999999997</v>
      </c>
      <c r="P662" s="132" t="s">
        <v>52</v>
      </c>
      <c r="Q662" s="232"/>
      <c r="R662" s="411">
        <v>17.29</v>
      </c>
      <c r="S662" s="133" t="s">
        <v>1697</v>
      </c>
      <c r="T662" s="134" t="s">
        <v>145</v>
      </c>
      <c r="U662" s="267" t="s">
        <v>1698</v>
      </c>
      <c r="AA662" s="218"/>
    </row>
    <row r="663" spans="1:27" ht="24" x14ac:dyDescent="0.25">
      <c r="A663" s="405">
        <v>3000475</v>
      </c>
      <c r="B663" s="406">
        <v>42401</v>
      </c>
      <c r="C663" s="405" t="s">
        <v>42</v>
      </c>
      <c r="D663" s="401" t="s">
        <v>1699</v>
      </c>
      <c r="E663" s="120">
        <v>50</v>
      </c>
      <c r="F663" s="133" t="s">
        <v>431</v>
      </c>
      <c r="G663" s="404" t="s">
        <v>45</v>
      </c>
      <c r="H663" s="411">
        <v>135.09</v>
      </c>
      <c r="I663" s="89">
        <f t="shared" si="106"/>
        <v>-12.158099999999999</v>
      </c>
      <c r="J663" s="90">
        <f t="shared" si="105"/>
        <v>-2.8667099999999999</v>
      </c>
      <c r="K663" s="396">
        <f t="shared" si="104"/>
        <v>120.06519</v>
      </c>
      <c r="L663" s="131">
        <v>1050</v>
      </c>
      <c r="M663" s="187">
        <v>35.47</v>
      </c>
      <c r="N663" s="91">
        <f t="shared" si="108"/>
        <v>87.97</v>
      </c>
      <c r="O663" s="411">
        <f t="shared" si="107"/>
        <v>32.095190000000002</v>
      </c>
      <c r="P663" s="132" t="s">
        <v>52</v>
      </c>
      <c r="Q663" s="232"/>
      <c r="R663" s="411"/>
      <c r="T663" s="134" t="s">
        <v>145</v>
      </c>
      <c r="U663" s="267" t="s">
        <v>1700</v>
      </c>
      <c r="AA663" s="218"/>
    </row>
    <row r="664" spans="1:27" ht="24" x14ac:dyDescent="0.25">
      <c r="A664" s="405">
        <v>3000476</v>
      </c>
      <c r="B664" s="406">
        <v>42401</v>
      </c>
      <c r="C664" s="405" t="s">
        <v>237</v>
      </c>
      <c r="D664" s="401" t="s">
        <v>1701</v>
      </c>
      <c r="E664" s="120">
        <v>1000</v>
      </c>
      <c r="F664" s="133" t="s">
        <v>1702</v>
      </c>
      <c r="G664" s="404" t="s">
        <v>45</v>
      </c>
      <c r="H664" s="411">
        <v>390</v>
      </c>
      <c r="I664" s="89">
        <f t="shared" ref="I664:I670" si="109">-(H664*0.15)</f>
        <v>-58.5</v>
      </c>
      <c r="J664" s="411">
        <v>0</v>
      </c>
      <c r="K664" s="396">
        <f t="shared" si="104"/>
        <v>331.5</v>
      </c>
      <c r="L664" s="131">
        <v>200</v>
      </c>
      <c r="N664" s="91">
        <f t="shared" si="108"/>
        <v>200</v>
      </c>
      <c r="O664" s="411">
        <f t="shared" si="107"/>
        <v>131.5</v>
      </c>
      <c r="P664" s="132" t="s">
        <v>42</v>
      </c>
      <c r="Q664" s="232"/>
      <c r="R664" s="411"/>
      <c r="T664" s="134" t="s">
        <v>324</v>
      </c>
      <c r="U664" s="266" t="s">
        <v>1703</v>
      </c>
      <c r="AA664" s="218"/>
    </row>
    <row r="665" spans="1:27" ht="24" x14ac:dyDescent="0.25">
      <c r="A665" s="405">
        <v>3000477</v>
      </c>
      <c r="B665" s="406">
        <v>42401</v>
      </c>
      <c r="C665" s="405" t="s">
        <v>237</v>
      </c>
      <c r="D665" s="401" t="s">
        <v>1704</v>
      </c>
      <c r="E665" s="120">
        <v>1000</v>
      </c>
      <c r="F665" s="133" t="s">
        <v>1702</v>
      </c>
      <c r="G665" s="404" t="s">
        <v>45</v>
      </c>
      <c r="H665" s="411">
        <v>390</v>
      </c>
      <c r="I665" s="89">
        <f t="shared" si="109"/>
        <v>-58.5</v>
      </c>
      <c r="J665" s="411">
        <v>0</v>
      </c>
      <c r="K665" s="396">
        <f t="shared" si="104"/>
        <v>331.5</v>
      </c>
      <c r="L665" s="131">
        <v>207.79</v>
      </c>
      <c r="N665" s="91">
        <f t="shared" si="108"/>
        <v>207.79</v>
      </c>
      <c r="O665" s="411">
        <f t="shared" si="107"/>
        <v>123.71000000000001</v>
      </c>
      <c r="P665" s="132" t="s">
        <v>42</v>
      </c>
      <c r="Q665" s="232"/>
      <c r="R665" s="411"/>
      <c r="T665" s="134" t="s">
        <v>324</v>
      </c>
      <c r="U665" s="266" t="s">
        <v>1705</v>
      </c>
      <c r="AA665" s="218"/>
    </row>
    <row r="666" spans="1:27" ht="24" x14ac:dyDescent="0.25">
      <c r="A666" s="405">
        <v>3000478</v>
      </c>
      <c r="B666" s="406">
        <v>42401</v>
      </c>
      <c r="C666" s="405" t="s">
        <v>237</v>
      </c>
      <c r="D666" s="401" t="s">
        <v>1706</v>
      </c>
      <c r="E666" s="120">
        <v>250</v>
      </c>
      <c r="F666" s="133" t="s">
        <v>1707</v>
      </c>
      <c r="G666" s="404" t="s">
        <v>45</v>
      </c>
      <c r="H666" s="411">
        <v>252.67</v>
      </c>
      <c r="I666" s="89">
        <f t="shared" si="109"/>
        <v>-37.900499999999994</v>
      </c>
      <c r="J666" s="411">
        <v>0</v>
      </c>
      <c r="K666" s="396">
        <f t="shared" si="104"/>
        <v>214.76949999999999</v>
      </c>
      <c r="M666" s="158">
        <v>21.5</v>
      </c>
      <c r="N666" s="91">
        <f t="shared" si="108"/>
        <v>21.5</v>
      </c>
      <c r="O666" s="411">
        <f t="shared" si="107"/>
        <v>193.26949999999999</v>
      </c>
      <c r="P666" s="132" t="s">
        <v>52</v>
      </c>
      <c r="Q666" s="232"/>
      <c r="R666" s="411"/>
      <c r="T666" s="134" t="s">
        <v>145</v>
      </c>
      <c r="U666" s="267" t="s">
        <v>1708</v>
      </c>
      <c r="AA666" s="218"/>
    </row>
    <row r="667" spans="1:27" ht="24" x14ac:dyDescent="0.25">
      <c r="A667" s="405">
        <v>3000479</v>
      </c>
      <c r="B667" s="406">
        <v>42401</v>
      </c>
      <c r="C667" s="405" t="s">
        <v>237</v>
      </c>
      <c r="D667" s="401" t="s">
        <v>1709</v>
      </c>
      <c r="E667" s="120">
        <v>50</v>
      </c>
      <c r="F667" s="133" t="s">
        <v>431</v>
      </c>
      <c r="G667" s="404" t="s">
        <v>45</v>
      </c>
      <c r="H667" s="411">
        <v>140</v>
      </c>
      <c r="I667" s="89">
        <f t="shared" si="109"/>
        <v>-21</v>
      </c>
      <c r="J667" s="411">
        <v>0</v>
      </c>
      <c r="K667" s="396">
        <f t="shared" si="104"/>
        <v>119</v>
      </c>
      <c r="L667" s="131">
        <v>1050</v>
      </c>
      <c r="M667" s="187">
        <v>25.8</v>
      </c>
      <c r="N667" s="91">
        <f t="shared" si="108"/>
        <v>78.3</v>
      </c>
      <c r="O667" s="411">
        <f t="shared" si="107"/>
        <v>40.700000000000003</v>
      </c>
      <c r="P667" s="132" t="s">
        <v>86</v>
      </c>
      <c r="Q667" s="232"/>
      <c r="R667" s="411"/>
      <c r="T667" s="134" t="s">
        <v>145</v>
      </c>
      <c r="U667" s="267" t="s">
        <v>1710</v>
      </c>
      <c r="AA667" s="218"/>
    </row>
    <row r="668" spans="1:27" ht="36" x14ac:dyDescent="0.25">
      <c r="A668" s="405">
        <v>3000480</v>
      </c>
      <c r="B668" s="406">
        <v>42401</v>
      </c>
      <c r="C668" s="405" t="s">
        <v>237</v>
      </c>
      <c r="D668" s="401" t="s">
        <v>1711</v>
      </c>
      <c r="E668" s="120">
        <v>500</v>
      </c>
      <c r="F668" s="160" t="s">
        <v>1712</v>
      </c>
      <c r="G668" s="404" t="s">
        <v>45</v>
      </c>
      <c r="H668" s="411">
        <v>276.08999999999997</v>
      </c>
      <c r="I668" s="89">
        <f t="shared" si="109"/>
        <v>-41.413499999999992</v>
      </c>
      <c r="J668" s="411">
        <v>0</v>
      </c>
      <c r="K668" s="396">
        <f t="shared" si="104"/>
        <v>234.67649999999998</v>
      </c>
      <c r="L668" s="158">
        <v>380</v>
      </c>
      <c r="M668" s="187">
        <v>16.59</v>
      </c>
      <c r="N668" s="91">
        <f t="shared" si="108"/>
        <v>206.59</v>
      </c>
      <c r="O668" s="411">
        <f t="shared" si="107"/>
        <v>28.086499999999972</v>
      </c>
      <c r="P668" s="132" t="s">
        <v>313</v>
      </c>
      <c r="Q668" s="232"/>
      <c r="R668" s="411"/>
      <c r="T668" s="134" t="s">
        <v>314</v>
      </c>
      <c r="U668" s="267" t="s">
        <v>1713</v>
      </c>
      <c r="AA668" s="218"/>
    </row>
    <row r="669" spans="1:27" ht="24" x14ac:dyDescent="0.25">
      <c r="A669" s="405">
        <v>3000481</v>
      </c>
      <c r="B669" s="406">
        <v>42401</v>
      </c>
      <c r="C669" s="405" t="s">
        <v>237</v>
      </c>
      <c r="D669" s="401" t="s">
        <v>1714</v>
      </c>
      <c r="E669" s="120">
        <v>1000</v>
      </c>
      <c r="F669" s="133" t="s">
        <v>451</v>
      </c>
      <c r="G669" s="404" t="s">
        <v>45</v>
      </c>
      <c r="H669" s="411">
        <v>584.01</v>
      </c>
      <c r="I669" s="89">
        <f t="shared" si="109"/>
        <v>-87.601500000000001</v>
      </c>
      <c r="J669" s="411">
        <v>0</v>
      </c>
      <c r="K669" s="396">
        <f t="shared" si="104"/>
        <v>496.4085</v>
      </c>
      <c r="L669" s="158">
        <v>326</v>
      </c>
      <c r="M669" s="158">
        <v>95.59</v>
      </c>
      <c r="N669" s="91">
        <f t="shared" si="108"/>
        <v>421.59000000000003</v>
      </c>
      <c r="O669" s="411">
        <f t="shared" si="107"/>
        <v>74.818499999999972</v>
      </c>
      <c r="P669" s="132" t="s">
        <v>46</v>
      </c>
      <c r="Q669" s="232"/>
      <c r="R669" s="411"/>
      <c r="T669" s="134" t="s">
        <v>324</v>
      </c>
      <c r="U669" s="267" t="s">
        <v>1715</v>
      </c>
      <c r="AA669" s="218"/>
    </row>
    <row r="670" spans="1:27" ht="24" x14ac:dyDescent="0.25">
      <c r="A670" s="405">
        <v>3000482</v>
      </c>
      <c r="B670" s="406">
        <v>42401</v>
      </c>
      <c r="C670" s="405" t="s">
        <v>237</v>
      </c>
      <c r="D670" s="401" t="s">
        <v>1716</v>
      </c>
      <c r="E670" s="120">
        <v>250</v>
      </c>
      <c r="F670" s="133" t="s">
        <v>175</v>
      </c>
      <c r="G670" s="404" t="s">
        <v>45</v>
      </c>
      <c r="H670" s="411">
        <v>166.26</v>
      </c>
      <c r="I670" s="89">
        <f t="shared" si="109"/>
        <v>-24.938999999999997</v>
      </c>
      <c r="J670" s="411">
        <v>0</v>
      </c>
      <c r="K670" s="396">
        <f t="shared" si="104"/>
        <v>141.321</v>
      </c>
      <c r="L670" s="131">
        <v>250</v>
      </c>
      <c r="M670" s="158">
        <v>22.08</v>
      </c>
      <c r="N670" s="91">
        <f t="shared" si="108"/>
        <v>84.58</v>
      </c>
      <c r="O670" s="411">
        <f t="shared" si="107"/>
        <v>56.741</v>
      </c>
      <c r="P670" s="132" t="s">
        <v>52</v>
      </c>
      <c r="Q670" s="232"/>
      <c r="R670" s="411"/>
      <c r="T670" s="134" t="s">
        <v>145</v>
      </c>
      <c r="U670" s="267" t="s">
        <v>1717</v>
      </c>
      <c r="AA670" s="218"/>
    </row>
    <row r="671" spans="1:27" x14ac:dyDescent="0.25">
      <c r="A671" s="419">
        <v>3000483</v>
      </c>
      <c r="B671" s="421">
        <v>42401</v>
      </c>
      <c r="C671" s="419" t="s">
        <v>327</v>
      </c>
      <c r="D671" s="417" t="s">
        <v>1718</v>
      </c>
      <c r="E671" s="120">
        <v>1000</v>
      </c>
      <c r="F671" s="133" t="s">
        <v>1719</v>
      </c>
      <c r="G671" s="434" t="s">
        <v>45</v>
      </c>
      <c r="H671" s="427">
        <v>7750</v>
      </c>
      <c r="I671" s="427">
        <v>0</v>
      </c>
      <c r="J671" s="425">
        <f>-((H671*0.022)+0.3)</f>
        <v>-170.8</v>
      </c>
      <c r="K671" s="425">
        <f t="shared" si="104"/>
        <v>7579.2</v>
      </c>
      <c r="L671" s="158">
        <v>1750</v>
      </c>
      <c r="M671" s="158">
        <v>246.56</v>
      </c>
      <c r="N671" s="91">
        <f t="shared" si="108"/>
        <v>1996.56</v>
      </c>
      <c r="O671" s="411">
        <f t="shared" si="107"/>
        <v>5582.6399999999994</v>
      </c>
      <c r="P671" s="132" t="s">
        <v>235</v>
      </c>
      <c r="Q671" s="232"/>
      <c r="R671" s="411"/>
      <c r="T671" s="134" t="s">
        <v>565</v>
      </c>
      <c r="U671" s="267" t="s">
        <v>1720</v>
      </c>
      <c r="AA671" s="218"/>
    </row>
    <row r="672" spans="1:27" x14ac:dyDescent="0.25">
      <c r="A672" s="420"/>
      <c r="B672" s="422"/>
      <c r="C672" s="420"/>
      <c r="D672" s="418"/>
      <c r="E672" s="120">
        <v>1000</v>
      </c>
      <c r="F672" s="133" t="s">
        <v>1721</v>
      </c>
      <c r="G672" s="436"/>
      <c r="H672" s="428"/>
      <c r="I672" s="428"/>
      <c r="J672" s="426"/>
      <c r="K672" s="426"/>
      <c r="L672" s="158">
        <v>2950</v>
      </c>
      <c r="M672" s="158">
        <v>201</v>
      </c>
      <c r="N672" s="91">
        <f t="shared" si="108"/>
        <v>3151</v>
      </c>
      <c r="O672" s="411">
        <f t="shared" si="107"/>
        <v>-3151</v>
      </c>
      <c r="P672" s="132" t="s">
        <v>183</v>
      </c>
      <c r="Q672" s="232"/>
      <c r="R672" s="411"/>
      <c r="T672" s="134" t="s">
        <v>389</v>
      </c>
      <c r="U672" s="267" t="s">
        <v>1722</v>
      </c>
      <c r="V672" s="133" t="s">
        <v>1723</v>
      </c>
      <c r="AA672" s="218"/>
    </row>
    <row r="673" spans="1:27" ht="24" x14ac:dyDescent="0.25">
      <c r="A673" s="405">
        <v>3000484</v>
      </c>
      <c r="B673" s="406">
        <v>42401</v>
      </c>
      <c r="C673" s="405" t="s">
        <v>237</v>
      </c>
      <c r="D673" s="401" t="s">
        <v>1724</v>
      </c>
      <c r="E673" s="120">
        <v>250</v>
      </c>
      <c r="F673" s="133" t="s">
        <v>175</v>
      </c>
      <c r="G673" s="404" t="s">
        <v>45</v>
      </c>
      <c r="H673" s="411">
        <v>166.26</v>
      </c>
      <c r="I673" s="89">
        <f>-(H673*0.15)</f>
        <v>-24.938999999999997</v>
      </c>
      <c r="J673" s="411">
        <v>0</v>
      </c>
      <c r="K673" s="396">
        <f t="shared" si="104"/>
        <v>141.321</v>
      </c>
      <c r="L673" s="131">
        <v>250</v>
      </c>
      <c r="M673" s="158">
        <v>28.05</v>
      </c>
      <c r="N673" s="91">
        <f t="shared" si="108"/>
        <v>90.55</v>
      </c>
      <c r="O673" s="411">
        <f t="shared" si="107"/>
        <v>50.771000000000001</v>
      </c>
      <c r="P673" s="132" t="s">
        <v>52</v>
      </c>
      <c r="Q673" s="232"/>
      <c r="R673" s="411"/>
      <c r="T673" s="134" t="s">
        <v>145</v>
      </c>
      <c r="U673" s="267" t="s">
        <v>1725</v>
      </c>
      <c r="AA673" s="218"/>
    </row>
    <row r="674" spans="1:27" ht="24" x14ac:dyDescent="0.25">
      <c r="A674" s="405">
        <v>3000485</v>
      </c>
      <c r="B674" s="406">
        <v>42401</v>
      </c>
      <c r="C674" s="405" t="s">
        <v>237</v>
      </c>
      <c r="D674" s="401" t="s">
        <v>1726</v>
      </c>
      <c r="E674" s="120">
        <v>50</v>
      </c>
      <c r="F674" s="133" t="s">
        <v>161</v>
      </c>
      <c r="G674" s="404" t="s">
        <v>45</v>
      </c>
      <c r="H674" s="411">
        <v>114.84</v>
      </c>
      <c r="I674" s="89">
        <f>-(H674*0.15)</f>
        <v>-17.225999999999999</v>
      </c>
      <c r="J674" s="411">
        <v>0</v>
      </c>
      <c r="K674" s="396">
        <f t="shared" si="104"/>
        <v>97.614000000000004</v>
      </c>
      <c r="L674" s="131">
        <v>1350</v>
      </c>
      <c r="M674" s="187">
        <v>17.29</v>
      </c>
      <c r="N674" s="91">
        <f t="shared" si="108"/>
        <v>84.789999999999992</v>
      </c>
      <c r="O674" s="411">
        <f t="shared" si="107"/>
        <v>12.824000000000012</v>
      </c>
      <c r="P674" s="132" t="s">
        <v>52</v>
      </c>
      <c r="Q674" s="232"/>
      <c r="R674" s="411"/>
      <c r="T674" s="134" t="s">
        <v>145</v>
      </c>
      <c r="U674" s="267" t="s">
        <v>1727</v>
      </c>
      <c r="AA674" s="218"/>
    </row>
    <row r="675" spans="1:27" ht="24" x14ac:dyDescent="0.25">
      <c r="A675" s="405">
        <v>3000486</v>
      </c>
      <c r="B675" s="406">
        <v>42401</v>
      </c>
      <c r="C675" s="405" t="s">
        <v>237</v>
      </c>
      <c r="D675" s="401" t="s">
        <v>1728</v>
      </c>
      <c r="E675" s="120">
        <v>50</v>
      </c>
      <c r="F675" s="133" t="s">
        <v>288</v>
      </c>
      <c r="G675" s="404" t="s">
        <v>45</v>
      </c>
      <c r="H675" s="411">
        <v>100</v>
      </c>
      <c r="I675" s="89">
        <f>-(H675*0.15)</f>
        <v>-15</v>
      </c>
      <c r="J675" s="411">
        <v>0</v>
      </c>
      <c r="K675" s="396">
        <f t="shared" si="104"/>
        <v>85</v>
      </c>
      <c r="L675" s="131">
        <v>1069</v>
      </c>
      <c r="M675" s="158">
        <v>13.25</v>
      </c>
      <c r="N675" s="91">
        <f t="shared" si="108"/>
        <v>66.7</v>
      </c>
      <c r="O675" s="411">
        <f t="shared" si="107"/>
        <v>18.299999999999997</v>
      </c>
      <c r="P675" s="132" t="s">
        <v>86</v>
      </c>
      <c r="Q675" s="232"/>
      <c r="R675" s="411"/>
      <c r="T675" s="134" t="s">
        <v>145</v>
      </c>
      <c r="U675" s="267" t="s">
        <v>1729</v>
      </c>
      <c r="AA675" s="218"/>
    </row>
    <row r="676" spans="1:27" ht="24" x14ac:dyDescent="0.25">
      <c r="A676" s="419">
        <v>3000487</v>
      </c>
      <c r="B676" s="421">
        <v>42401</v>
      </c>
      <c r="C676" s="419" t="s">
        <v>237</v>
      </c>
      <c r="D676" s="429" t="s">
        <v>1730</v>
      </c>
      <c r="E676" s="120">
        <v>500</v>
      </c>
      <c r="F676" s="119" t="s">
        <v>1731</v>
      </c>
      <c r="G676" s="434" t="s">
        <v>45</v>
      </c>
      <c r="H676" s="427">
        <v>466.39</v>
      </c>
      <c r="I676" s="452">
        <f>-(H676*0.15)</f>
        <v>-69.958500000000001</v>
      </c>
      <c r="J676" s="427">
        <v>0</v>
      </c>
      <c r="K676" s="425">
        <f t="shared" si="104"/>
        <v>396.43149999999997</v>
      </c>
      <c r="L676" s="158">
        <v>170</v>
      </c>
      <c r="M676" s="158">
        <v>14.68</v>
      </c>
      <c r="N676" s="91">
        <f t="shared" si="108"/>
        <v>99.68</v>
      </c>
      <c r="O676" s="411">
        <f t="shared" si="107"/>
        <v>296.75149999999996</v>
      </c>
      <c r="P676" s="132" t="s">
        <v>1732</v>
      </c>
      <c r="Q676" s="232"/>
      <c r="R676" s="411"/>
      <c r="T676" s="134" t="s">
        <v>145</v>
      </c>
      <c r="U676" s="267" t="s">
        <v>1733</v>
      </c>
      <c r="AA676" s="218"/>
    </row>
    <row r="677" spans="1:27" ht="24" x14ac:dyDescent="0.25">
      <c r="A677" s="432"/>
      <c r="B677" s="433"/>
      <c r="C677" s="432"/>
      <c r="D677" s="430"/>
      <c r="E677" s="120">
        <v>500</v>
      </c>
      <c r="F677" s="119" t="s">
        <v>1734</v>
      </c>
      <c r="G677" s="435"/>
      <c r="H677" s="438"/>
      <c r="I677" s="484"/>
      <c r="J677" s="438"/>
      <c r="K677" s="437"/>
      <c r="L677" s="158">
        <v>170</v>
      </c>
      <c r="M677" s="158">
        <v>14.04</v>
      </c>
      <c r="N677" s="91">
        <f t="shared" si="108"/>
        <v>99.039999999999992</v>
      </c>
      <c r="O677" s="411">
        <f t="shared" si="107"/>
        <v>-99.039999999999992</v>
      </c>
      <c r="P677" s="132" t="s">
        <v>1732</v>
      </c>
      <c r="Q677" s="232"/>
      <c r="R677" s="411"/>
      <c r="T677" s="134" t="s">
        <v>145</v>
      </c>
      <c r="U677" s="267" t="s">
        <v>1735</v>
      </c>
      <c r="AA677" s="218"/>
    </row>
    <row r="678" spans="1:27" ht="24" x14ac:dyDescent="0.25">
      <c r="A678" s="420"/>
      <c r="B678" s="422"/>
      <c r="C678" s="420"/>
      <c r="D678" s="431"/>
      <c r="E678" s="120">
        <v>500</v>
      </c>
      <c r="F678" s="119" t="s">
        <v>1736</v>
      </c>
      <c r="G678" s="436"/>
      <c r="H678" s="428"/>
      <c r="I678" s="453"/>
      <c r="J678" s="428"/>
      <c r="K678" s="426"/>
      <c r="L678" s="158">
        <v>170</v>
      </c>
      <c r="M678" s="158">
        <v>15.05</v>
      </c>
      <c r="N678" s="91">
        <f t="shared" si="108"/>
        <v>100.05</v>
      </c>
      <c r="O678" s="411">
        <f t="shared" si="107"/>
        <v>-100.05</v>
      </c>
      <c r="P678" s="132" t="s">
        <v>1732</v>
      </c>
      <c r="Q678" s="232"/>
      <c r="R678" s="411"/>
      <c r="T678" s="134" t="s">
        <v>145</v>
      </c>
      <c r="U678" s="267" t="s">
        <v>1737</v>
      </c>
      <c r="AA678" s="218"/>
    </row>
    <row r="679" spans="1:27" ht="24" x14ac:dyDescent="0.25">
      <c r="A679" s="405">
        <v>3000488</v>
      </c>
      <c r="B679" s="406">
        <v>42401</v>
      </c>
      <c r="C679" s="405" t="s">
        <v>237</v>
      </c>
      <c r="D679" s="401" t="s">
        <v>1738</v>
      </c>
      <c r="E679" s="120">
        <v>500</v>
      </c>
      <c r="F679" s="133" t="s">
        <v>1739</v>
      </c>
      <c r="G679" s="404" t="s">
        <v>45</v>
      </c>
      <c r="H679" s="411">
        <v>133.69</v>
      </c>
      <c r="I679" s="89">
        <f>-(H679*0.15)</f>
        <v>-20.0535</v>
      </c>
      <c r="J679" s="411">
        <v>0</v>
      </c>
      <c r="K679" s="396">
        <f t="shared" ref="K679:K721" si="110">SUM(H679:J679)</f>
        <v>113.6365</v>
      </c>
      <c r="L679" s="158">
        <v>230</v>
      </c>
      <c r="M679" s="158">
        <v>22.27</v>
      </c>
      <c r="N679" s="91">
        <f t="shared" si="108"/>
        <v>137.27000000000001</v>
      </c>
      <c r="O679" s="411">
        <f t="shared" si="107"/>
        <v>-23.633500000000012</v>
      </c>
      <c r="P679" s="132" t="s">
        <v>1740</v>
      </c>
      <c r="Q679" s="232"/>
      <c r="R679" s="411"/>
      <c r="T679" s="134" t="s">
        <v>145</v>
      </c>
      <c r="U679" s="267" t="s">
        <v>1741</v>
      </c>
      <c r="AA679" s="218"/>
    </row>
    <row r="680" spans="1:27" x14ac:dyDescent="0.25">
      <c r="A680" s="405">
        <v>3000489</v>
      </c>
      <c r="B680" s="406">
        <v>42402</v>
      </c>
      <c r="C680" s="405" t="s">
        <v>63</v>
      </c>
      <c r="D680" s="401" t="s">
        <v>1742</v>
      </c>
      <c r="E680" s="120">
        <v>500</v>
      </c>
      <c r="F680" s="133" t="s">
        <v>829</v>
      </c>
      <c r="G680" s="404" t="s">
        <v>45</v>
      </c>
      <c r="H680" s="411">
        <v>470</v>
      </c>
      <c r="I680" s="411">
        <v>0</v>
      </c>
      <c r="J680" s="90">
        <f>-((H680*0.022)+0.3)</f>
        <v>-10.64</v>
      </c>
      <c r="K680" s="396">
        <f t="shared" si="110"/>
        <v>459.36</v>
      </c>
      <c r="L680" s="131">
        <v>510</v>
      </c>
      <c r="M680" s="158">
        <v>120</v>
      </c>
      <c r="N680" s="91">
        <f t="shared" si="108"/>
        <v>375</v>
      </c>
      <c r="O680" s="411">
        <f t="shared" si="107"/>
        <v>84.360000000000014</v>
      </c>
      <c r="P680" s="132" t="s">
        <v>52</v>
      </c>
      <c r="Q680" s="232"/>
      <c r="R680" s="411"/>
      <c r="T680" s="134" t="s">
        <v>1743</v>
      </c>
      <c r="U680" s="267" t="s">
        <v>1744</v>
      </c>
      <c r="V680" s="133" t="s">
        <v>55</v>
      </c>
      <c r="W680" s="153" t="s">
        <v>1745</v>
      </c>
      <c r="AA680" s="218"/>
    </row>
    <row r="681" spans="1:27" x14ac:dyDescent="0.25">
      <c r="A681" s="405">
        <v>3000500</v>
      </c>
      <c r="B681" s="406">
        <v>42402</v>
      </c>
      <c r="C681" s="405" t="s">
        <v>63</v>
      </c>
      <c r="D681" s="401" t="s">
        <v>1746</v>
      </c>
      <c r="E681" s="120">
        <v>1500</v>
      </c>
      <c r="F681" s="133" t="s">
        <v>1747</v>
      </c>
      <c r="G681" s="404" t="s">
        <v>45</v>
      </c>
      <c r="H681" s="411">
        <v>970</v>
      </c>
      <c r="I681" s="411">
        <v>0</v>
      </c>
      <c r="J681" s="90">
        <f>-((H681*0.022)+0.3)</f>
        <v>-21.64</v>
      </c>
      <c r="K681" s="396">
        <f t="shared" si="110"/>
        <v>948.36</v>
      </c>
      <c r="L681" s="158">
        <v>330</v>
      </c>
      <c r="M681" s="158">
        <v>105</v>
      </c>
      <c r="N681" s="91">
        <f t="shared" si="108"/>
        <v>600</v>
      </c>
      <c r="O681" s="411">
        <f t="shared" si="107"/>
        <v>348.36</v>
      </c>
      <c r="P681" s="132" t="s">
        <v>183</v>
      </c>
      <c r="Q681" s="232"/>
      <c r="R681" s="411"/>
      <c r="T681" s="134" t="s">
        <v>67</v>
      </c>
      <c r="U681" s="267" t="s">
        <v>1748</v>
      </c>
      <c r="W681" s="153" t="s">
        <v>1749</v>
      </c>
      <c r="AA681" s="218"/>
    </row>
    <row r="682" spans="1:27" ht="24" customHeight="1" x14ac:dyDescent="0.25">
      <c r="A682" s="419">
        <v>3000501</v>
      </c>
      <c r="B682" s="421">
        <v>42402</v>
      </c>
      <c r="C682" s="419" t="s">
        <v>56</v>
      </c>
      <c r="D682" s="417" t="s">
        <v>1750</v>
      </c>
      <c r="E682" s="120">
        <v>2</v>
      </c>
      <c r="F682" s="133" t="s">
        <v>1751</v>
      </c>
      <c r="G682" s="434" t="s">
        <v>45</v>
      </c>
      <c r="H682" s="427">
        <v>874</v>
      </c>
      <c r="I682" s="427">
        <v>0</v>
      </c>
      <c r="J682" s="427">
        <v>0</v>
      </c>
      <c r="K682" s="425">
        <f t="shared" si="110"/>
        <v>874</v>
      </c>
      <c r="L682" s="187">
        <v>186</v>
      </c>
      <c r="N682" s="91">
        <f t="shared" si="108"/>
        <v>0.372</v>
      </c>
      <c r="O682" s="411">
        <f t="shared" si="107"/>
        <v>873.62800000000004</v>
      </c>
      <c r="P682" s="132" t="s">
        <v>601</v>
      </c>
      <c r="Q682" s="232"/>
      <c r="R682" s="411"/>
      <c r="T682" s="470" t="s">
        <v>324</v>
      </c>
      <c r="U682" s="505" t="s">
        <v>1752</v>
      </c>
      <c r="V682" s="133" t="s">
        <v>1753</v>
      </c>
      <c r="W682" s="153" t="s">
        <v>1754</v>
      </c>
      <c r="AA682" s="218"/>
    </row>
    <row r="683" spans="1:27" x14ac:dyDescent="0.25">
      <c r="A683" s="420"/>
      <c r="B683" s="422"/>
      <c r="C683" s="420"/>
      <c r="D683" s="418"/>
      <c r="E683" s="120">
        <v>2</v>
      </c>
      <c r="F683" s="133" t="s">
        <v>1755</v>
      </c>
      <c r="G683" s="436"/>
      <c r="H683" s="428"/>
      <c r="I683" s="428"/>
      <c r="J683" s="428"/>
      <c r="K683" s="426"/>
      <c r="L683" s="187">
        <v>148</v>
      </c>
      <c r="M683" s="131">
        <v>0</v>
      </c>
      <c r="N683" s="91">
        <f t="shared" si="108"/>
        <v>0.29599999999999999</v>
      </c>
      <c r="O683" s="411">
        <f t="shared" si="107"/>
        <v>-0.29599999999999999</v>
      </c>
      <c r="P683" s="132" t="s">
        <v>601</v>
      </c>
      <c r="Q683" s="232"/>
      <c r="R683" s="411"/>
      <c r="T683" s="472"/>
      <c r="U683" s="490"/>
      <c r="AA683" s="218"/>
    </row>
    <row r="684" spans="1:27" ht="24" x14ac:dyDescent="0.25">
      <c r="A684" s="405">
        <v>3000502</v>
      </c>
      <c r="B684" s="406">
        <v>42402</v>
      </c>
      <c r="C684" s="405" t="s">
        <v>159</v>
      </c>
      <c r="D684" s="401" t="s">
        <v>1756</v>
      </c>
      <c r="E684" s="120">
        <v>50</v>
      </c>
      <c r="F684" s="133" t="s">
        <v>448</v>
      </c>
      <c r="G684" s="404" t="s">
        <v>45</v>
      </c>
      <c r="H684" s="411">
        <v>303.5</v>
      </c>
      <c r="I684" s="411">
        <v>0</v>
      </c>
      <c r="J684" s="90">
        <f t="shared" ref="J684:J691" si="111">-((H684*0.019)+0.3)</f>
        <v>-6.0664999999999996</v>
      </c>
      <c r="K684" s="396">
        <f t="shared" si="110"/>
        <v>297.43349999999998</v>
      </c>
      <c r="L684" s="158">
        <v>3350</v>
      </c>
      <c r="M684" s="158">
        <v>18.100000000000001</v>
      </c>
      <c r="N684" s="91">
        <f t="shared" si="108"/>
        <v>185.6</v>
      </c>
      <c r="O684" s="411">
        <f t="shared" si="107"/>
        <v>111.83349999999999</v>
      </c>
      <c r="P684" s="132" t="s">
        <v>183</v>
      </c>
      <c r="Q684" s="232"/>
      <c r="R684" s="411"/>
      <c r="T684" s="134" t="s">
        <v>145</v>
      </c>
      <c r="U684" s="267" t="s">
        <v>1757</v>
      </c>
      <c r="W684" s="153" t="s">
        <v>1758</v>
      </c>
      <c r="AA684" s="218"/>
    </row>
    <row r="685" spans="1:27" ht="24" x14ac:dyDescent="0.25">
      <c r="A685" s="405">
        <v>3000503</v>
      </c>
      <c r="B685" s="406">
        <v>42402</v>
      </c>
      <c r="C685" s="405" t="s">
        <v>159</v>
      </c>
      <c r="D685" s="401" t="s">
        <v>1759</v>
      </c>
      <c r="E685" s="120">
        <v>70</v>
      </c>
      <c r="F685" s="133" t="s">
        <v>549</v>
      </c>
      <c r="G685" s="404" t="s">
        <v>45</v>
      </c>
      <c r="H685" s="411">
        <v>494.9</v>
      </c>
      <c r="I685" s="411">
        <v>0</v>
      </c>
      <c r="J685" s="90">
        <f t="shared" si="111"/>
        <v>-9.7030999999999992</v>
      </c>
      <c r="K685" s="396">
        <f t="shared" si="110"/>
        <v>485.19689999999997</v>
      </c>
      <c r="L685" s="158">
        <v>3600</v>
      </c>
      <c r="M685" s="158">
        <v>15.59</v>
      </c>
      <c r="N685" s="91">
        <f t="shared" si="108"/>
        <v>267.59000000000003</v>
      </c>
      <c r="O685" s="411">
        <f t="shared" si="107"/>
        <v>217.60689999999994</v>
      </c>
      <c r="P685" s="132" t="s">
        <v>183</v>
      </c>
      <c r="Q685" s="232"/>
      <c r="R685" s="411"/>
      <c r="T685" s="134" t="s">
        <v>145</v>
      </c>
      <c r="U685" s="267" t="s">
        <v>1760</v>
      </c>
      <c r="W685" s="153" t="s">
        <v>1761</v>
      </c>
      <c r="AA685" s="218"/>
    </row>
    <row r="686" spans="1:27" ht="24" x14ac:dyDescent="0.25">
      <c r="A686" s="405">
        <v>3000504</v>
      </c>
      <c r="B686" s="406">
        <v>42402</v>
      </c>
      <c r="C686" s="405" t="s">
        <v>42</v>
      </c>
      <c r="D686" s="401" t="s">
        <v>1762</v>
      </c>
      <c r="E686" s="120">
        <v>175</v>
      </c>
      <c r="F686" s="133" t="s">
        <v>247</v>
      </c>
      <c r="G686" s="404" t="s">
        <v>45</v>
      </c>
      <c r="H686" s="411">
        <v>199.5</v>
      </c>
      <c r="I686" s="89">
        <f t="shared" ref="I686:I691" si="112">-(H686*0.09)</f>
        <v>-17.954999999999998</v>
      </c>
      <c r="J686" s="90">
        <f t="shared" si="111"/>
        <v>-4.0904999999999996</v>
      </c>
      <c r="K686" s="396">
        <f t="shared" si="110"/>
        <v>177.45450000000002</v>
      </c>
      <c r="L686" s="131">
        <v>580</v>
      </c>
      <c r="M686" s="187">
        <v>55.28</v>
      </c>
      <c r="N686" s="91">
        <f t="shared" si="108"/>
        <v>156.78000000000003</v>
      </c>
      <c r="O686" s="411">
        <f t="shared" si="107"/>
        <v>20.674499999999995</v>
      </c>
      <c r="P686" s="132" t="s">
        <v>86</v>
      </c>
      <c r="Q686" s="232"/>
      <c r="R686" s="411"/>
      <c r="T686" s="134" t="s">
        <v>145</v>
      </c>
      <c r="U686" s="267" t="s">
        <v>1763</v>
      </c>
      <c r="AA686" s="218"/>
    </row>
    <row r="687" spans="1:27" ht="24" x14ac:dyDescent="0.25">
      <c r="A687" s="405">
        <v>3000505</v>
      </c>
      <c r="B687" s="406">
        <v>42402</v>
      </c>
      <c r="C687" s="405" t="s">
        <v>42</v>
      </c>
      <c r="D687" s="401" t="s">
        <v>1764</v>
      </c>
      <c r="E687" s="120">
        <v>100</v>
      </c>
      <c r="F687" s="133" t="s">
        <v>431</v>
      </c>
      <c r="G687" s="404" t="s">
        <v>45</v>
      </c>
      <c r="H687" s="411">
        <v>216.11</v>
      </c>
      <c r="I687" s="89">
        <f t="shared" si="112"/>
        <v>-19.4499</v>
      </c>
      <c r="J687" s="90">
        <f t="shared" si="111"/>
        <v>-4.4060899999999998</v>
      </c>
      <c r="K687" s="396">
        <f t="shared" si="110"/>
        <v>192.25400999999999</v>
      </c>
      <c r="L687" s="131">
        <v>1050</v>
      </c>
      <c r="M687" s="187">
        <v>46.96</v>
      </c>
      <c r="N687" s="91">
        <f t="shared" si="108"/>
        <v>151.96</v>
      </c>
      <c r="O687" s="411">
        <f t="shared" si="107"/>
        <v>40.294009999999986</v>
      </c>
      <c r="P687" s="132" t="s">
        <v>86</v>
      </c>
      <c r="Q687" s="232"/>
      <c r="R687" s="411"/>
      <c r="T687" s="134" t="s">
        <v>145</v>
      </c>
      <c r="U687" s="267" t="s">
        <v>1765</v>
      </c>
      <c r="AA687" s="218"/>
    </row>
    <row r="688" spans="1:27" ht="24" x14ac:dyDescent="0.25">
      <c r="A688" s="405">
        <v>3000506</v>
      </c>
      <c r="B688" s="406">
        <v>42402</v>
      </c>
      <c r="C688" s="405" t="s">
        <v>42</v>
      </c>
      <c r="D688" s="401" t="s">
        <v>1766</v>
      </c>
      <c r="E688" s="120">
        <v>250</v>
      </c>
      <c r="F688" s="119" t="s">
        <v>466</v>
      </c>
      <c r="G688" s="404" t="s">
        <v>45</v>
      </c>
      <c r="H688" s="411">
        <v>109.82</v>
      </c>
      <c r="I688" s="89">
        <f t="shared" si="112"/>
        <v>-9.883799999999999</v>
      </c>
      <c r="J688" s="90">
        <f t="shared" si="111"/>
        <v>-2.3865799999999995</v>
      </c>
      <c r="K688" s="396">
        <f t="shared" si="110"/>
        <v>97.549620000000004</v>
      </c>
      <c r="L688" s="158">
        <v>240</v>
      </c>
      <c r="M688" s="187">
        <v>16.510000000000002</v>
      </c>
      <c r="N688" s="91">
        <f t="shared" si="108"/>
        <v>76.510000000000005</v>
      </c>
      <c r="O688" s="411">
        <f t="shared" si="107"/>
        <v>21.039619999999999</v>
      </c>
      <c r="P688" s="132" t="s">
        <v>313</v>
      </c>
      <c r="Q688" s="232"/>
      <c r="R688" s="411"/>
      <c r="T688" s="134" t="s">
        <v>145</v>
      </c>
      <c r="U688" s="267" t="s">
        <v>1767</v>
      </c>
      <c r="AA688" s="218"/>
    </row>
    <row r="689" spans="1:27" ht="24" x14ac:dyDescent="0.25">
      <c r="A689" s="405">
        <v>3000507</v>
      </c>
      <c r="B689" s="406">
        <v>42402</v>
      </c>
      <c r="C689" s="405" t="s">
        <v>42</v>
      </c>
      <c r="D689" s="401" t="s">
        <v>1768</v>
      </c>
      <c r="E689" s="120">
        <v>100</v>
      </c>
      <c r="F689" s="133" t="s">
        <v>431</v>
      </c>
      <c r="G689" s="404" t="s">
        <v>45</v>
      </c>
      <c r="H689" s="411">
        <v>216.11</v>
      </c>
      <c r="I689" s="89">
        <f t="shared" si="112"/>
        <v>-19.4499</v>
      </c>
      <c r="J689" s="90">
        <f t="shared" si="111"/>
        <v>-4.4060899999999998</v>
      </c>
      <c r="K689" s="396">
        <f t="shared" si="110"/>
        <v>192.25400999999999</v>
      </c>
      <c r="L689" s="131">
        <v>1050</v>
      </c>
      <c r="M689" s="158">
        <v>19.11</v>
      </c>
      <c r="N689" s="91">
        <f t="shared" si="108"/>
        <v>124.11</v>
      </c>
      <c r="O689" s="411">
        <f t="shared" si="107"/>
        <v>68.144009999999994</v>
      </c>
      <c r="P689" s="132" t="s">
        <v>86</v>
      </c>
      <c r="Q689" s="232"/>
      <c r="R689" s="411"/>
      <c r="T689" s="134" t="s">
        <v>145</v>
      </c>
      <c r="U689" s="267" t="s">
        <v>1769</v>
      </c>
      <c r="AA689" s="218"/>
    </row>
    <row r="690" spans="1:27" ht="24" x14ac:dyDescent="0.25">
      <c r="A690" s="405">
        <v>3000508</v>
      </c>
      <c r="B690" s="406">
        <v>42402</v>
      </c>
      <c r="C690" s="405" t="s">
        <v>42</v>
      </c>
      <c r="D690" s="401" t="s">
        <v>1770</v>
      </c>
      <c r="E690" s="120">
        <v>100</v>
      </c>
      <c r="F690" s="133" t="s">
        <v>247</v>
      </c>
      <c r="G690" s="404" t="s">
        <v>45</v>
      </c>
      <c r="H690" s="411">
        <v>114</v>
      </c>
      <c r="I690" s="89">
        <f t="shared" si="112"/>
        <v>-10.26</v>
      </c>
      <c r="J690" s="90">
        <f t="shared" si="111"/>
        <v>-2.4659999999999997</v>
      </c>
      <c r="K690" s="396">
        <f t="shared" si="110"/>
        <v>101.274</v>
      </c>
      <c r="L690" s="131">
        <v>580</v>
      </c>
      <c r="N690" s="91">
        <f t="shared" si="108"/>
        <v>58</v>
      </c>
      <c r="O690" s="411">
        <f t="shared" si="107"/>
        <v>43.274000000000001</v>
      </c>
      <c r="P690" s="132" t="s">
        <v>86</v>
      </c>
      <c r="Q690" s="232"/>
      <c r="R690" s="411"/>
      <c r="T690" s="134" t="s">
        <v>145</v>
      </c>
      <c r="U690" s="267" t="s">
        <v>1771</v>
      </c>
      <c r="AA690" s="218"/>
    </row>
    <row r="691" spans="1:27" ht="24" x14ac:dyDescent="0.25">
      <c r="A691" s="405">
        <v>3000509</v>
      </c>
      <c r="B691" s="406">
        <v>42402</v>
      </c>
      <c r="C691" s="405" t="s">
        <v>42</v>
      </c>
      <c r="D691" s="401" t="s">
        <v>350</v>
      </c>
      <c r="E691" s="120">
        <v>100</v>
      </c>
      <c r="F691" s="133" t="s">
        <v>593</v>
      </c>
      <c r="G691" s="404" t="s">
        <v>45</v>
      </c>
      <c r="H691" s="411">
        <v>144.12</v>
      </c>
      <c r="I691" s="89">
        <f t="shared" si="112"/>
        <v>-12.970800000000001</v>
      </c>
      <c r="J691" s="90">
        <f t="shared" si="111"/>
        <v>-3.0382799999999999</v>
      </c>
      <c r="K691" s="396">
        <f t="shared" si="110"/>
        <v>128.11092000000002</v>
      </c>
      <c r="L691" s="131">
        <v>660</v>
      </c>
      <c r="M691" s="158">
        <v>22.1</v>
      </c>
      <c r="N691" s="91">
        <f t="shared" si="108"/>
        <v>88.1</v>
      </c>
      <c r="O691" s="411">
        <f t="shared" si="107"/>
        <v>40.010920000000027</v>
      </c>
      <c r="P691" s="132" t="s">
        <v>52</v>
      </c>
      <c r="Q691" s="232"/>
      <c r="R691" s="411"/>
      <c r="T691" s="134" t="s">
        <v>145</v>
      </c>
      <c r="U691" s="267" t="s">
        <v>1772</v>
      </c>
      <c r="AA691" s="218"/>
    </row>
    <row r="692" spans="1:27" ht="24" x14ac:dyDescent="0.25">
      <c r="A692" s="405">
        <v>3000510</v>
      </c>
      <c r="B692" s="406">
        <v>42402</v>
      </c>
      <c r="C692" s="405" t="s">
        <v>280</v>
      </c>
      <c r="D692" s="401" t="s">
        <v>1773</v>
      </c>
      <c r="E692" s="120">
        <v>68</v>
      </c>
      <c r="F692" s="133" t="s">
        <v>282</v>
      </c>
      <c r="G692" s="404" t="s">
        <v>45</v>
      </c>
      <c r="H692" s="411">
        <v>233.04</v>
      </c>
      <c r="I692" s="411">
        <v>0</v>
      </c>
      <c r="J692" s="90">
        <f>-((H692*0.022)+0.3)</f>
        <v>-5.4268799999999997</v>
      </c>
      <c r="K692" s="396">
        <f t="shared" si="110"/>
        <v>227.61311999999998</v>
      </c>
      <c r="L692" s="158">
        <v>2100</v>
      </c>
      <c r="M692" s="158">
        <v>41.02</v>
      </c>
      <c r="N692" s="91">
        <f t="shared" si="108"/>
        <v>183.82000000000002</v>
      </c>
      <c r="O692" s="411">
        <f t="shared" si="107"/>
        <v>43.793119999999959</v>
      </c>
      <c r="P692" s="132" t="s">
        <v>235</v>
      </c>
      <c r="Q692" s="232"/>
      <c r="R692" s="411"/>
      <c r="T692" s="134" t="s">
        <v>145</v>
      </c>
      <c r="U692" s="267" t="s">
        <v>1774</v>
      </c>
      <c r="W692" s="153" t="s">
        <v>284</v>
      </c>
      <c r="AA692" s="218"/>
    </row>
    <row r="693" spans="1:27" ht="24" x14ac:dyDescent="0.25">
      <c r="A693" s="405">
        <v>3000511</v>
      </c>
      <c r="B693" s="406">
        <v>42402</v>
      </c>
      <c r="C693" s="405" t="s">
        <v>237</v>
      </c>
      <c r="D693" s="401" t="s">
        <v>1775</v>
      </c>
      <c r="E693" s="120">
        <v>50</v>
      </c>
      <c r="F693" s="133" t="s">
        <v>300</v>
      </c>
      <c r="G693" s="404" t="s">
        <v>45</v>
      </c>
      <c r="H693" s="411">
        <v>228.24</v>
      </c>
      <c r="I693" s="89">
        <f>-(H693*0.15)</f>
        <v>-34.235999999999997</v>
      </c>
      <c r="J693" s="411">
        <v>0</v>
      </c>
      <c r="K693" s="396">
        <f t="shared" si="110"/>
        <v>194.00400000000002</v>
      </c>
      <c r="L693" s="131">
        <v>2200</v>
      </c>
      <c r="M693" s="158">
        <v>44.45</v>
      </c>
      <c r="N693" s="91">
        <f t="shared" si="108"/>
        <v>154.44999999999999</v>
      </c>
      <c r="O693" s="411">
        <f t="shared" si="107"/>
        <v>39.55400000000003</v>
      </c>
      <c r="P693" s="132" t="s">
        <v>52</v>
      </c>
      <c r="Q693" s="232"/>
      <c r="R693" s="411"/>
      <c r="T693" s="134" t="s">
        <v>145</v>
      </c>
      <c r="U693" s="267" t="s">
        <v>1776</v>
      </c>
      <c r="AA693" s="218"/>
    </row>
    <row r="694" spans="1:27" x14ac:dyDescent="0.25">
      <c r="A694" s="405">
        <v>3000512</v>
      </c>
      <c r="B694" s="406">
        <v>42402</v>
      </c>
      <c r="C694" s="405" t="s">
        <v>141</v>
      </c>
      <c r="D694" s="401" t="s">
        <v>1777</v>
      </c>
      <c r="E694" s="120">
        <v>1600</v>
      </c>
      <c r="F694" s="133" t="s">
        <v>1778</v>
      </c>
      <c r="G694" s="404" t="s">
        <v>45</v>
      </c>
      <c r="H694" s="411">
        <v>11376</v>
      </c>
      <c r="I694" s="411">
        <v>0</v>
      </c>
      <c r="J694" s="90">
        <f>-((H694*0.0325)+0.3)</f>
        <v>-370.02000000000004</v>
      </c>
      <c r="K694" s="396">
        <f t="shared" si="110"/>
        <v>11005.98</v>
      </c>
      <c r="L694" s="158">
        <v>6000</v>
      </c>
      <c r="M694" s="131">
        <v>0</v>
      </c>
      <c r="N694" s="91">
        <f t="shared" si="108"/>
        <v>9600</v>
      </c>
      <c r="O694" s="411">
        <f t="shared" si="107"/>
        <v>1405.9799999999996</v>
      </c>
      <c r="P694" s="132" t="s">
        <v>66</v>
      </c>
      <c r="Q694" s="232"/>
      <c r="R694" s="411"/>
      <c r="T694" s="134" t="s">
        <v>364</v>
      </c>
      <c r="U694" s="267" t="s">
        <v>1779</v>
      </c>
      <c r="W694" s="153" t="s">
        <v>1780</v>
      </c>
      <c r="AA694" s="218"/>
    </row>
    <row r="695" spans="1:27" x14ac:dyDescent="0.25">
      <c r="A695" s="405">
        <v>3000513</v>
      </c>
      <c r="B695" s="406">
        <v>42402</v>
      </c>
      <c r="C695" s="405" t="s">
        <v>237</v>
      </c>
      <c r="D695" s="401" t="s">
        <v>1781</v>
      </c>
      <c r="E695" s="120">
        <v>500</v>
      </c>
      <c r="F695" s="133" t="s">
        <v>247</v>
      </c>
      <c r="G695" s="404" t="s">
        <v>45</v>
      </c>
      <c r="H695" s="411">
        <v>581.74</v>
      </c>
      <c r="I695" s="89">
        <f>-(H695*0.15)</f>
        <v>-87.260999999999996</v>
      </c>
      <c r="J695" s="411">
        <v>0</v>
      </c>
      <c r="K695" s="396">
        <f t="shared" si="110"/>
        <v>494.47900000000004</v>
      </c>
      <c r="L695" s="131">
        <v>580</v>
      </c>
      <c r="M695" s="158">
        <v>102.85</v>
      </c>
      <c r="N695" s="91">
        <f t="shared" si="108"/>
        <v>392.85</v>
      </c>
      <c r="O695" s="411">
        <f t="shared" si="107"/>
        <v>101.62900000000002</v>
      </c>
      <c r="P695" s="132" t="s">
        <v>86</v>
      </c>
      <c r="Q695" s="232"/>
      <c r="R695" s="411"/>
      <c r="T695" s="134" t="s">
        <v>244</v>
      </c>
      <c r="U695" s="267" t="s">
        <v>1782</v>
      </c>
      <c r="V695" s="133" t="s">
        <v>55</v>
      </c>
      <c r="AA695" s="218"/>
    </row>
    <row r="696" spans="1:27" ht="24" x14ac:dyDescent="0.25">
      <c r="A696" s="405">
        <v>3000514</v>
      </c>
      <c r="B696" s="406">
        <v>42403</v>
      </c>
      <c r="C696" s="405" t="s">
        <v>159</v>
      </c>
      <c r="D696" s="401" t="s">
        <v>1783</v>
      </c>
      <c r="E696" s="120">
        <v>200</v>
      </c>
      <c r="F696" s="133" t="s">
        <v>247</v>
      </c>
      <c r="G696" s="404" t="s">
        <v>45</v>
      </c>
      <c r="H696" s="411">
        <v>224</v>
      </c>
      <c r="I696" s="411">
        <v>0</v>
      </c>
      <c r="J696" s="90">
        <f>-((H696*0.019)+0.3)</f>
        <v>-4.556</v>
      </c>
      <c r="K696" s="396">
        <f t="shared" si="110"/>
        <v>219.44399999999999</v>
      </c>
      <c r="L696" s="131">
        <v>580</v>
      </c>
      <c r="M696" s="158">
        <v>34.85</v>
      </c>
      <c r="N696" s="91">
        <f t="shared" si="108"/>
        <v>150.85</v>
      </c>
      <c r="O696" s="411">
        <f t="shared" si="107"/>
        <v>68.593999999999994</v>
      </c>
      <c r="P696" s="132" t="s">
        <v>86</v>
      </c>
      <c r="Q696" s="232"/>
      <c r="R696" s="411"/>
      <c r="T696" s="134" t="s">
        <v>145</v>
      </c>
      <c r="U696" s="267" t="s">
        <v>1784</v>
      </c>
      <c r="W696" s="153" t="s">
        <v>1785</v>
      </c>
      <c r="AA696" s="218"/>
    </row>
    <row r="697" spans="1:27" ht="24" x14ac:dyDescent="0.25">
      <c r="A697" s="405">
        <v>3000515</v>
      </c>
      <c r="B697" s="406">
        <v>42403</v>
      </c>
      <c r="C697" s="405" t="s">
        <v>42</v>
      </c>
      <c r="D697" s="401" t="s">
        <v>1786</v>
      </c>
      <c r="E697" s="120">
        <v>500</v>
      </c>
      <c r="F697" s="133" t="s">
        <v>1787</v>
      </c>
      <c r="G697" s="404" t="s">
        <v>45</v>
      </c>
      <c r="H697" s="411">
        <v>250</v>
      </c>
      <c r="I697" s="89">
        <f t="shared" ref="I697" si="113">-(H697*0.09)</f>
        <v>-22.5</v>
      </c>
      <c r="J697" s="90">
        <f>-((H697*0.019)+0.3)</f>
        <v>-5.05</v>
      </c>
      <c r="K697" s="396">
        <f t="shared" si="110"/>
        <v>222.45</v>
      </c>
      <c r="L697" s="158">
        <v>380</v>
      </c>
      <c r="M697" s="158">
        <v>44.58</v>
      </c>
      <c r="N697" s="91">
        <f t="shared" si="108"/>
        <v>234.57999999999998</v>
      </c>
      <c r="O697" s="411">
        <f t="shared" si="107"/>
        <v>-12.129999999999995</v>
      </c>
      <c r="P697" s="132" t="s">
        <v>183</v>
      </c>
      <c r="Q697" s="232"/>
      <c r="R697" s="411"/>
      <c r="T697" s="134" t="s">
        <v>145</v>
      </c>
      <c r="U697" s="267" t="s">
        <v>1788</v>
      </c>
      <c r="AA697" s="218"/>
    </row>
    <row r="698" spans="1:27" ht="24" x14ac:dyDescent="0.25">
      <c r="A698" s="405">
        <v>3000516</v>
      </c>
      <c r="B698" s="406">
        <v>42403</v>
      </c>
      <c r="C698" s="405" t="s">
        <v>78</v>
      </c>
      <c r="D698" s="401" t="s">
        <v>1789</v>
      </c>
      <c r="E698" s="120">
        <v>250</v>
      </c>
      <c r="F698" s="133" t="s">
        <v>451</v>
      </c>
      <c r="G698" s="404" t="s">
        <v>45</v>
      </c>
      <c r="H698" s="411">
        <v>144</v>
      </c>
      <c r="I698" s="411">
        <v>0</v>
      </c>
      <c r="J698" s="90">
        <f>-((H698*0.019)+0.3)</f>
        <v>-3.0359999999999996</v>
      </c>
      <c r="K698" s="396">
        <f t="shared" si="110"/>
        <v>140.964</v>
      </c>
      <c r="L698" s="131">
        <v>350</v>
      </c>
      <c r="M698" s="158">
        <v>49.2</v>
      </c>
      <c r="N698" s="91">
        <f t="shared" si="108"/>
        <v>136.69999999999999</v>
      </c>
      <c r="O698" s="411">
        <f t="shared" si="107"/>
        <v>4.26400000000001</v>
      </c>
      <c r="P698" s="132" t="s">
        <v>52</v>
      </c>
      <c r="Q698" s="232"/>
      <c r="R698" s="411"/>
      <c r="T698" s="134" t="s">
        <v>145</v>
      </c>
      <c r="U698" s="267" t="s">
        <v>1790</v>
      </c>
      <c r="W698" s="153" t="s">
        <v>1791</v>
      </c>
      <c r="AA698" s="218"/>
    </row>
    <row r="699" spans="1:27" x14ac:dyDescent="0.25">
      <c r="A699" s="405">
        <v>3000517</v>
      </c>
      <c r="B699" s="406">
        <v>42403</v>
      </c>
      <c r="C699" s="405" t="s">
        <v>56</v>
      </c>
      <c r="D699" s="401" t="s">
        <v>1303</v>
      </c>
      <c r="E699" s="120">
        <v>4422</v>
      </c>
      <c r="F699" s="133" t="s">
        <v>1792</v>
      </c>
      <c r="G699" s="404" t="s">
        <v>45</v>
      </c>
      <c r="H699" s="411">
        <v>4377.78</v>
      </c>
      <c r="I699" s="411">
        <v>0</v>
      </c>
      <c r="J699" s="411">
        <v>0</v>
      </c>
      <c r="K699" s="396">
        <f t="shared" si="110"/>
        <v>4377.78</v>
      </c>
      <c r="L699" s="158">
        <v>492</v>
      </c>
      <c r="M699" s="158">
        <v>261.43</v>
      </c>
      <c r="N699" s="91">
        <f t="shared" si="108"/>
        <v>2437.0539999999996</v>
      </c>
      <c r="O699" s="411">
        <f t="shared" si="107"/>
        <v>1940.7260000000001</v>
      </c>
      <c r="P699" s="132" t="s">
        <v>1793</v>
      </c>
      <c r="Q699" s="232"/>
      <c r="R699" s="411"/>
      <c r="T699" s="134" t="s">
        <v>89</v>
      </c>
      <c r="U699" s="267" t="s">
        <v>1794</v>
      </c>
      <c r="V699" s="133" t="s">
        <v>1795</v>
      </c>
      <c r="W699" s="153" t="s">
        <v>1796</v>
      </c>
      <c r="AA699" s="218"/>
    </row>
    <row r="700" spans="1:27" ht="24" x14ac:dyDescent="0.25">
      <c r="A700" s="405">
        <v>3000518</v>
      </c>
      <c r="B700" s="406">
        <v>42403</v>
      </c>
      <c r="C700" s="405" t="s">
        <v>42</v>
      </c>
      <c r="D700" s="401" t="s">
        <v>1797</v>
      </c>
      <c r="E700" s="120">
        <v>250</v>
      </c>
      <c r="F700" s="133" t="s">
        <v>1798</v>
      </c>
      <c r="G700" s="404" t="s">
        <v>45</v>
      </c>
      <c r="H700" s="411">
        <v>106.57</v>
      </c>
      <c r="I700" s="89">
        <f t="shared" ref="I700:I709" si="114">-(H700*0.09)</f>
        <v>-9.5912999999999986</v>
      </c>
      <c r="J700" s="90">
        <f t="shared" ref="J700:J709" si="115">-((H700*0.019)+0.3)</f>
        <v>-2.3248299999999995</v>
      </c>
      <c r="K700" s="396">
        <f t="shared" si="110"/>
        <v>94.653869999999984</v>
      </c>
      <c r="M700" s="187">
        <v>22.37</v>
      </c>
      <c r="N700" s="91">
        <f t="shared" si="108"/>
        <v>22.37</v>
      </c>
      <c r="O700" s="411">
        <f t="shared" si="107"/>
        <v>72.283869999999979</v>
      </c>
      <c r="P700" s="132" t="s">
        <v>52</v>
      </c>
      <c r="Q700" s="232"/>
      <c r="R700" s="411">
        <v>6.97</v>
      </c>
      <c r="S700" s="133" t="s">
        <v>1799</v>
      </c>
      <c r="T700" s="134" t="s">
        <v>145</v>
      </c>
      <c r="U700" s="267" t="s">
        <v>1800</v>
      </c>
      <c r="AA700" s="218"/>
    </row>
    <row r="701" spans="1:27" ht="24" x14ac:dyDescent="0.25">
      <c r="A701" s="405">
        <v>3000519</v>
      </c>
      <c r="B701" s="406">
        <v>42403</v>
      </c>
      <c r="C701" s="405" t="s">
        <v>42</v>
      </c>
      <c r="D701" s="401" t="s">
        <v>1801</v>
      </c>
      <c r="E701" s="120">
        <v>50</v>
      </c>
      <c r="F701" s="133" t="s">
        <v>288</v>
      </c>
      <c r="G701" s="404" t="s">
        <v>45</v>
      </c>
      <c r="H701" s="411">
        <v>102.41</v>
      </c>
      <c r="I701" s="89">
        <f t="shared" si="114"/>
        <v>-9.216899999999999</v>
      </c>
      <c r="J701" s="90">
        <f t="shared" si="115"/>
        <v>-2.24579</v>
      </c>
      <c r="K701" s="396">
        <f t="shared" si="110"/>
        <v>90.947310000000002</v>
      </c>
      <c r="L701" s="131">
        <v>1069</v>
      </c>
      <c r="N701" s="91">
        <f t="shared" si="108"/>
        <v>53.45</v>
      </c>
      <c r="O701" s="411">
        <f t="shared" si="107"/>
        <v>37.497309999999999</v>
      </c>
      <c r="P701" s="132" t="s">
        <v>86</v>
      </c>
      <c r="Q701" s="232"/>
      <c r="R701" s="411"/>
      <c r="T701" s="134" t="s">
        <v>145</v>
      </c>
      <c r="U701" s="267" t="s">
        <v>1802</v>
      </c>
      <c r="AA701" s="218"/>
    </row>
    <row r="702" spans="1:27" ht="24" x14ac:dyDescent="0.25">
      <c r="A702" s="405">
        <v>3000520</v>
      </c>
      <c r="B702" s="406">
        <v>42403</v>
      </c>
      <c r="C702" s="405" t="s">
        <v>42</v>
      </c>
      <c r="D702" s="401" t="s">
        <v>1803</v>
      </c>
      <c r="E702" s="120">
        <v>100</v>
      </c>
      <c r="F702" s="133" t="s">
        <v>829</v>
      </c>
      <c r="G702" s="404" t="s">
        <v>45</v>
      </c>
      <c r="H702" s="411">
        <v>97.3</v>
      </c>
      <c r="I702" s="89">
        <f t="shared" si="114"/>
        <v>-8.7569999999999997</v>
      </c>
      <c r="J702" s="90">
        <f t="shared" si="115"/>
        <v>-2.1486999999999998</v>
      </c>
      <c r="K702" s="396">
        <f t="shared" si="110"/>
        <v>86.394299999999987</v>
      </c>
      <c r="L702" s="131">
        <v>510</v>
      </c>
      <c r="M702" s="187">
        <v>33.94</v>
      </c>
      <c r="N702" s="91">
        <f t="shared" si="108"/>
        <v>84.94</v>
      </c>
      <c r="O702" s="411">
        <f t="shared" si="107"/>
        <v>1.4542999999999893</v>
      </c>
      <c r="P702" s="132" t="s">
        <v>52</v>
      </c>
      <c r="Q702" s="232"/>
      <c r="R702" s="411"/>
      <c r="T702" s="134" t="s">
        <v>145</v>
      </c>
      <c r="U702" s="267" t="s">
        <v>1804</v>
      </c>
      <c r="AA702" s="218"/>
    </row>
    <row r="703" spans="1:27" ht="24" x14ac:dyDescent="0.25">
      <c r="A703" s="405">
        <v>3000521</v>
      </c>
      <c r="B703" s="406">
        <v>42403</v>
      </c>
      <c r="C703" s="405" t="s">
        <v>42</v>
      </c>
      <c r="D703" s="401" t="s">
        <v>1805</v>
      </c>
      <c r="E703" s="120">
        <v>250</v>
      </c>
      <c r="F703" s="133" t="s">
        <v>119</v>
      </c>
      <c r="G703" s="404" t="s">
        <v>45</v>
      </c>
      <c r="H703" s="411">
        <v>213.75</v>
      </c>
      <c r="I703" s="89">
        <f t="shared" si="114"/>
        <v>-19.237500000000001</v>
      </c>
      <c r="J703" s="90">
        <f t="shared" si="115"/>
        <v>-4.3612500000000001</v>
      </c>
      <c r="K703" s="396">
        <f t="shared" si="110"/>
        <v>190.15124999999998</v>
      </c>
      <c r="L703" s="158">
        <v>485</v>
      </c>
      <c r="M703" s="158">
        <v>27.02</v>
      </c>
      <c r="N703" s="91">
        <f t="shared" si="108"/>
        <v>148.27000000000001</v>
      </c>
      <c r="O703" s="411">
        <f t="shared" si="107"/>
        <v>41.881249999999966</v>
      </c>
      <c r="P703" s="132" t="s">
        <v>183</v>
      </c>
      <c r="Q703" s="232"/>
      <c r="R703" s="411"/>
      <c r="T703" s="134" t="s">
        <v>145</v>
      </c>
      <c r="U703" s="267" t="s">
        <v>1806</v>
      </c>
      <c r="AA703" s="218"/>
    </row>
    <row r="704" spans="1:27" ht="24" x14ac:dyDescent="0.25">
      <c r="A704" s="405">
        <v>3000522</v>
      </c>
      <c r="B704" s="406">
        <v>42403</v>
      </c>
      <c r="C704" s="405" t="s">
        <v>42</v>
      </c>
      <c r="D704" s="401" t="s">
        <v>1807</v>
      </c>
      <c r="E704" s="120">
        <v>350</v>
      </c>
      <c r="F704" s="133" t="s">
        <v>227</v>
      </c>
      <c r="G704" s="404" t="s">
        <v>45</v>
      </c>
      <c r="H704" s="411">
        <v>283.82</v>
      </c>
      <c r="I704" s="89">
        <f t="shared" si="114"/>
        <v>-25.543799999999997</v>
      </c>
      <c r="J704" s="90">
        <f t="shared" si="115"/>
        <v>-5.6925799999999995</v>
      </c>
      <c r="K704" s="396">
        <f t="shared" si="110"/>
        <v>252.58362000000002</v>
      </c>
      <c r="L704" s="131">
        <v>350</v>
      </c>
      <c r="M704" s="187">
        <v>64.430000000000007</v>
      </c>
      <c r="N704" s="91">
        <f t="shared" si="108"/>
        <v>186.93</v>
      </c>
      <c r="O704" s="411">
        <f t="shared" si="107"/>
        <v>65.653620000000018</v>
      </c>
      <c r="P704" s="132" t="s">
        <v>52</v>
      </c>
      <c r="Q704" s="232"/>
      <c r="R704" s="411"/>
      <c r="T704" s="134" t="s">
        <v>145</v>
      </c>
      <c r="U704" s="267" t="s">
        <v>1808</v>
      </c>
      <c r="AA704" s="218"/>
    </row>
    <row r="705" spans="1:27" ht="24" x14ac:dyDescent="0.25">
      <c r="A705" s="405">
        <v>3000523</v>
      </c>
      <c r="B705" s="406">
        <v>42403</v>
      </c>
      <c r="C705" s="405" t="s">
        <v>42</v>
      </c>
      <c r="D705" s="401" t="s">
        <v>1809</v>
      </c>
      <c r="E705" s="120">
        <v>500</v>
      </c>
      <c r="F705" s="133" t="s">
        <v>1810</v>
      </c>
      <c r="G705" s="404" t="s">
        <v>45</v>
      </c>
      <c r="H705" s="411">
        <v>225.62</v>
      </c>
      <c r="I705" s="89">
        <f t="shared" si="114"/>
        <v>-20.305800000000001</v>
      </c>
      <c r="J705" s="90">
        <f t="shared" si="115"/>
        <v>-4.5867800000000001</v>
      </c>
      <c r="K705" s="396">
        <f t="shared" si="110"/>
        <v>200.72742</v>
      </c>
      <c r="L705" s="158">
        <v>280</v>
      </c>
      <c r="M705" s="158">
        <v>29.34</v>
      </c>
      <c r="N705" s="91">
        <f t="shared" si="108"/>
        <v>169.34</v>
      </c>
      <c r="O705" s="411">
        <f t="shared" si="107"/>
        <v>31.387419999999992</v>
      </c>
      <c r="P705" s="132" t="s">
        <v>183</v>
      </c>
      <c r="Q705" s="232"/>
      <c r="R705" s="411"/>
      <c r="T705" s="134" t="s">
        <v>145</v>
      </c>
      <c r="U705" s="267" t="s">
        <v>1811</v>
      </c>
      <c r="AA705" s="218"/>
    </row>
    <row r="706" spans="1:27" ht="24" x14ac:dyDescent="0.25">
      <c r="A706" s="405">
        <v>3000524</v>
      </c>
      <c r="B706" s="406">
        <v>42403</v>
      </c>
      <c r="C706" s="405" t="s">
        <v>42</v>
      </c>
      <c r="D706" s="401" t="s">
        <v>1812</v>
      </c>
      <c r="E706" s="120">
        <v>125</v>
      </c>
      <c r="F706" s="133" t="s">
        <v>70</v>
      </c>
      <c r="G706" s="404" t="s">
        <v>45</v>
      </c>
      <c r="H706" s="411">
        <v>331.74</v>
      </c>
      <c r="I706" s="89">
        <f t="shared" si="114"/>
        <v>-29.8566</v>
      </c>
      <c r="J706" s="90">
        <f t="shared" si="115"/>
        <v>-6.6030600000000002</v>
      </c>
      <c r="K706" s="396">
        <f t="shared" si="110"/>
        <v>295.28033999999997</v>
      </c>
      <c r="L706" s="131">
        <v>1540</v>
      </c>
      <c r="M706" s="187">
        <v>64.31</v>
      </c>
      <c r="N706" s="91">
        <f t="shared" si="108"/>
        <v>256.81</v>
      </c>
      <c r="O706" s="411">
        <f t="shared" si="107"/>
        <v>38.470339999999965</v>
      </c>
      <c r="P706" s="132" t="s">
        <v>52</v>
      </c>
      <c r="Q706" s="232"/>
      <c r="R706" s="411"/>
      <c r="T706" s="134" t="s">
        <v>145</v>
      </c>
      <c r="U706" s="267" t="s">
        <v>1813</v>
      </c>
      <c r="AA706" s="218"/>
    </row>
    <row r="707" spans="1:27" ht="24" x14ac:dyDescent="0.25">
      <c r="A707" s="405">
        <v>3000525</v>
      </c>
      <c r="B707" s="406">
        <v>42403</v>
      </c>
      <c r="C707" s="405" t="s">
        <v>42</v>
      </c>
      <c r="D707" s="401" t="s">
        <v>1814</v>
      </c>
      <c r="E707" s="120">
        <v>40</v>
      </c>
      <c r="F707" s="133" t="s">
        <v>300</v>
      </c>
      <c r="G707" s="404" t="s">
        <v>45</v>
      </c>
      <c r="H707" s="411">
        <v>213.75</v>
      </c>
      <c r="I707" s="89">
        <f t="shared" si="114"/>
        <v>-19.237500000000001</v>
      </c>
      <c r="J707" s="90">
        <f t="shared" si="115"/>
        <v>-4.3612500000000001</v>
      </c>
      <c r="K707" s="396">
        <f t="shared" si="110"/>
        <v>190.15124999999998</v>
      </c>
      <c r="L707" s="131">
        <v>2200</v>
      </c>
      <c r="M707" s="187">
        <v>27.11</v>
      </c>
      <c r="N707" s="91">
        <f t="shared" si="108"/>
        <v>115.11</v>
      </c>
      <c r="O707" s="411">
        <f t="shared" si="107"/>
        <v>75.041249999999977</v>
      </c>
      <c r="P707" s="132" t="s">
        <v>52</v>
      </c>
      <c r="Q707" s="232"/>
      <c r="R707" s="411"/>
      <c r="T707" s="134" t="s">
        <v>145</v>
      </c>
      <c r="U707" s="267" t="s">
        <v>1815</v>
      </c>
      <c r="AA707" s="218"/>
    </row>
    <row r="708" spans="1:27" ht="24" x14ac:dyDescent="0.25">
      <c r="A708" s="405">
        <v>3000526</v>
      </c>
      <c r="B708" s="406">
        <v>42403</v>
      </c>
      <c r="C708" s="405" t="s">
        <v>42</v>
      </c>
      <c r="D708" s="401" t="s">
        <v>1816</v>
      </c>
      <c r="E708" s="120">
        <v>50</v>
      </c>
      <c r="F708" s="133" t="s">
        <v>161</v>
      </c>
      <c r="G708" s="404" t="s">
        <v>45</v>
      </c>
      <c r="H708" s="411">
        <v>145.06</v>
      </c>
      <c r="I708" s="89">
        <f t="shared" si="114"/>
        <v>-13.055400000000001</v>
      </c>
      <c r="J708" s="90">
        <f t="shared" si="115"/>
        <v>-3.0561399999999996</v>
      </c>
      <c r="K708" s="396">
        <f t="shared" si="110"/>
        <v>128.94846000000001</v>
      </c>
      <c r="L708" s="131">
        <v>1350</v>
      </c>
      <c r="M708" s="187">
        <v>27.59</v>
      </c>
      <c r="N708" s="91">
        <f t="shared" si="108"/>
        <v>95.09</v>
      </c>
      <c r="O708" s="411">
        <f t="shared" si="107"/>
        <v>33.858460000000008</v>
      </c>
      <c r="P708" s="132" t="s">
        <v>52</v>
      </c>
      <c r="Q708" s="232"/>
      <c r="R708" s="411"/>
      <c r="T708" s="134" t="s">
        <v>145</v>
      </c>
      <c r="U708" s="267" t="s">
        <v>1817</v>
      </c>
      <c r="AA708" s="218"/>
    </row>
    <row r="709" spans="1:27" ht="24" x14ac:dyDescent="0.25">
      <c r="A709" s="405">
        <v>3000527</v>
      </c>
      <c r="B709" s="406">
        <v>42403</v>
      </c>
      <c r="C709" s="405" t="s">
        <v>42</v>
      </c>
      <c r="D709" s="401" t="s">
        <v>1818</v>
      </c>
      <c r="E709" s="120">
        <v>100</v>
      </c>
      <c r="F709" s="133" t="s">
        <v>1819</v>
      </c>
      <c r="G709" s="404" t="s">
        <v>45</v>
      </c>
      <c r="H709" s="411">
        <v>302.58</v>
      </c>
      <c r="I709" s="89">
        <f t="shared" si="114"/>
        <v>-27.232199999999999</v>
      </c>
      <c r="J709" s="90">
        <f t="shared" si="115"/>
        <v>-6.0490199999999996</v>
      </c>
      <c r="K709" s="396">
        <f t="shared" si="110"/>
        <v>269.29878000000002</v>
      </c>
      <c r="L709" s="131">
        <v>1750</v>
      </c>
      <c r="M709" s="187">
        <v>25.78</v>
      </c>
      <c r="N709" s="91">
        <f t="shared" si="108"/>
        <v>200.78</v>
      </c>
      <c r="O709" s="411">
        <f t="shared" si="107"/>
        <v>68.518780000000021</v>
      </c>
      <c r="P709" s="132" t="s">
        <v>601</v>
      </c>
      <c r="Q709" s="232"/>
      <c r="R709" s="411"/>
      <c r="T709" s="134" t="s">
        <v>145</v>
      </c>
      <c r="U709" s="267" t="s">
        <v>1820</v>
      </c>
      <c r="AA709" s="218"/>
    </row>
    <row r="710" spans="1:27" x14ac:dyDescent="0.25">
      <c r="A710" s="405">
        <v>3000528</v>
      </c>
      <c r="B710" s="406">
        <v>42403</v>
      </c>
      <c r="C710" s="405" t="s">
        <v>237</v>
      </c>
      <c r="D710" s="401" t="s">
        <v>1821</v>
      </c>
      <c r="E710" s="120">
        <v>500</v>
      </c>
      <c r="F710" s="133" t="s">
        <v>1822</v>
      </c>
      <c r="G710" s="404" t="s">
        <v>45</v>
      </c>
      <c r="H710" s="411">
        <v>257.39</v>
      </c>
      <c r="I710" s="89">
        <f>-(H710*0.15)</f>
        <v>-38.608499999999999</v>
      </c>
      <c r="J710" s="411">
        <v>0</v>
      </c>
      <c r="K710" s="396">
        <f t="shared" si="110"/>
        <v>218.78149999999999</v>
      </c>
      <c r="L710" s="131">
        <v>274.75</v>
      </c>
      <c r="N710" s="91">
        <f t="shared" si="108"/>
        <v>137.375</v>
      </c>
      <c r="O710" s="411">
        <f t="shared" si="107"/>
        <v>81.406499999999994</v>
      </c>
      <c r="P710" s="132" t="s">
        <v>42</v>
      </c>
      <c r="Q710" s="232"/>
      <c r="R710" s="411"/>
      <c r="T710" s="134" t="s">
        <v>314</v>
      </c>
      <c r="U710" s="267" t="s">
        <v>1823</v>
      </c>
      <c r="AA710" s="218"/>
    </row>
    <row r="711" spans="1:27" ht="24" x14ac:dyDescent="0.25">
      <c r="A711" s="405">
        <v>3000529</v>
      </c>
      <c r="B711" s="406">
        <v>42403</v>
      </c>
      <c r="C711" s="405" t="s">
        <v>237</v>
      </c>
      <c r="D711" s="401" t="s">
        <v>1824</v>
      </c>
      <c r="E711" s="120">
        <v>200</v>
      </c>
      <c r="F711" s="133" t="s">
        <v>1825</v>
      </c>
      <c r="G711" s="404" t="s">
        <v>45</v>
      </c>
      <c r="H711" s="411">
        <v>181.14</v>
      </c>
      <c r="I711" s="89">
        <f>-(H711*0.15)</f>
        <v>-27.170999999999996</v>
      </c>
      <c r="J711" s="411">
        <v>0</v>
      </c>
      <c r="K711" s="396">
        <f t="shared" si="110"/>
        <v>153.96899999999999</v>
      </c>
      <c r="L711" s="131">
        <v>500</v>
      </c>
      <c r="N711" s="91">
        <f t="shared" si="108"/>
        <v>100</v>
      </c>
      <c r="O711" s="411">
        <f t="shared" si="107"/>
        <v>53.968999999999994</v>
      </c>
      <c r="P711" s="132" t="s">
        <v>42</v>
      </c>
      <c r="Q711" s="232"/>
      <c r="R711" s="411"/>
      <c r="T711" s="134" t="s">
        <v>1826</v>
      </c>
      <c r="U711" s="267" t="s">
        <v>1827</v>
      </c>
      <c r="AA711" s="218"/>
    </row>
    <row r="712" spans="1:27" ht="24" x14ac:dyDescent="0.25">
      <c r="A712" s="405">
        <v>3000530</v>
      </c>
      <c r="B712" s="406">
        <v>42403</v>
      </c>
      <c r="C712" s="405" t="s">
        <v>237</v>
      </c>
      <c r="D712" s="401" t="s">
        <v>1828</v>
      </c>
      <c r="E712" s="120">
        <v>100</v>
      </c>
      <c r="F712" s="133" t="s">
        <v>1829</v>
      </c>
      <c r="G712" s="404" t="s">
        <v>45</v>
      </c>
      <c r="H712" s="411">
        <v>314.20999999999998</v>
      </c>
      <c r="I712" s="89">
        <f>-(H712*0.15)</f>
        <v>-47.131499999999996</v>
      </c>
      <c r="J712" s="411">
        <v>0</v>
      </c>
      <c r="K712" s="396">
        <f t="shared" si="110"/>
        <v>267.07849999999996</v>
      </c>
      <c r="L712" s="131">
        <v>1489</v>
      </c>
      <c r="N712" s="91">
        <f t="shared" si="108"/>
        <v>148.9</v>
      </c>
      <c r="O712" s="411">
        <f t="shared" si="107"/>
        <v>118.17849999999996</v>
      </c>
      <c r="P712" s="132" t="s">
        <v>42</v>
      </c>
      <c r="Q712" s="232"/>
      <c r="R712" s="411"/>
      <c r="T712" s="134" t="s">
        <v>145</v>
      </c>
      <c r="U712" s="267" t="s">
        <v>1830</v>
      </c>
      <c r="AA712" s="218"/>
    </row>
    <row r="713" spans="1:27" ht="24" x14ac:dyDescent="0.25">
      <c r="A713" s="405">
        <v>3000531</v>
      </c>
      <c r="B713" s="406">
        <v>42403</v>
      </c>
      <c r="C713" s="405" t="s">
        <v>237</v>
      </c>
      <c r="D713" s="401" t="s">
        <v>1831</v>
      </c>
      <c r="E713" s="120">
        <v>100</v>
      </c>
      <c r="F713" s="133" t="s">
        <v>1832</v>
      </c>
      <c r="G713" s="404" t="s">
        <v>45</v>
      </c>
      <c r="H713" s="411">
        <v>282.19</v>
      </c>
      <c r="I713" s="89">
        <f>-(H713*0.15)</f>
        <v>-42.328499999999998</v>
      </c>
      <c r="J713" s="411">
        <v>0</v>
      </c>
      <c r="K713" s="396">
        <f t="shared" si="110"/>
        <v>239.86150000000001</v>
      </c>
      <c r="L713" s="158">
        <v>1722</v>
      </c>
      <c r="M713" s="187">
        <v>25.3</v>
      </c>
      <c r="N713" s="91">
        <f t="shared" si="108"/>
        <v>197.50000000000003</v>
      </c>
      <c r="O713" s="411">
        <f t="shared" ref="O713:O776" si="116">K713-N713</f>
        <v>42.361499999999978</v>
      </c>
      <c r="P713" s="132" t="s">
        <v>601</v>
      </c>
      <c r="Q713" s="232"/>
      <c r="R713" s="411"/>
      <c r="T713" s="134" t="s">
        <v>145</v>
      </c>
      <c r="U713" s="267" t="s">
        <v>1833</v>
      </c>
      <c r="AA713" s="218"/>
    </row>
    <row r="714" spans="1:27" ht="24" x14ac:dyDescent="0.25">
      <c r="A714" s="405">
        <v>3000532</v>
      </c>
      <c r="B714" s="406">
        <v>42403</v>
      </c>
      <c r="C714" s="405" t="s">
        <v>42</v>
      </c>
      <c r="D714" s="401" t="s">
        <v>1834</v>
      </c>
      <c r="E714" s="120">
        <v>200</v>
      </c>
      <c r="F714" s="133" t="s">
        <v>1835</v>
      </c>
      <c r="G714" s="404" t="s">
        <v>45</v>
      </c>
      <c r="H714" s="411">
        <v>750</v>
      </c>
      <c r="I714" s="89">
        <f t="shared" ref="I714:I716" si="117">-(H714*0.09)</f>
        <v>-67.5</v>
      </c>
      <c r="J714" s="90">
        <f>-((H714*0.019)+0.3)</f>
        <v>-14.55</v>
      </c>
      <c r="K714" s="396">
        <f t="shared" si="110"/>
        <v>667.95</v>
      </c>
      <c r="L714" s="158">
        <v>2550</v>
      </c>
      <c r="M714" s="158">
        <v>115</v>
      </c>
      <c r="N714" s="91">
        <f t="shared" si="108"/>
        <v>625</v>
      </c>
      <c r="O714" s="411">
        <f t="shared" si="116"/>
        <v>42.950000000000045</v>
      </c>
      <c r="P714" s="132" t="s">
        <v>183</v>
      </c>
      <c r="Q714" s="232"/>
      <c r="R714" s="411"/>
      <c r="T714" s="134" t="s">
        <v>473</v>
      </c>
      <c r="U714" s="267" t="s">
        <v>1836</v>
      </c>
      <c r="AA714" s="218"/>
    </row>
    <row r="715" spans="1:27" ht="24" x14ac:dyDescent="0.25">
      <c r="A715" s="405">
        <v>3000533</v>
      </c>
      <c r="B715" s="406">
        <v>42403</v>
      </c>
      <c r="C715" s="405" t="s">
        <v>42</v>
      </c>
      <c r="D715" s="401" t="s">
        <v>1837</v>
      </c>
      <c r="E715" s="120">
        <v>425</v>
      </c>
      <c r="F715" s="133" t="s">
        <v>227</v>
      </c>
      <c r="G715" s="404" t="s">
        <v>45</v>
      </c>
      <c r="H715" s="411">
        <v>308.75</v>
      </c>
      <c r="I715" s="89">
        <f t="shared" si="117"/>
        <v>-27.787499999999998</v>
      </c>
      <c r="J715" s="90">
        <f>-((H715*0.019)+0.3)</f>
        <v>-6.1662499999999998</v>
      </c>
      <c r="K715" s="396">
        <f t="shared" si="110"/>
        <v>274.79624999999999</v>
      </c>
      <c r="L715" s="131">
        <v>350</v>
      </c>
      <c r="M715" s="187">
        <v>52.79</v>
      </c>
      <c r="N715" s="91">
        <f t="shared" ref="N715:N778" si="118">((L715)*(E715*0.001))+M715</f>
        <v>201.54</v>
      </c>
      <c r="O715" s="411">
        <f t="shared" si="116"/>
        <v>73.256249999999994</v>
      </c>
      <c r="P715" s="132" t="s">
        <v>52</v>
      </c>
      <c r="Q715" s="232"/>
      <c r="R715" s="411"/>
      <c r="T715" s="134" t="s">
        <v>145</v>
      </c>
      <c r="U715" s="267" t="s">
        <v>1838</v>
      </c>
      <c r="AA715" s="218"/>
    </row>
    <row r="716" spans="1:27" ht="24" customHeight="1" x14ac:dyDescent="0.25">
      <c r="A716" s="419">
        <v>3000534</v>
      </c>
      <c r="B716" s="421">
        <v>42403</v>
      </c>
      <c r="C716" s="419" t="s">
        <v>42</v>
      </c>
      <c r="D716" s="417" t="s">
        <v>1839</v>
      </c>
      <c r="E716" s="120">
        <v>250</v>
      </c>
      <c r="F716" s="133" t="s">
        <v>1472</v>
      </c>
      <c r="G716" s="434" t="s">
        <v>45</v>
      </c>
      <c r="H716" s="427">
        <v>256.98</v>
      </c>
      <c r="I716" s="452">
        <f t="shared" si="117"/>
        <v>-23.1282</v>
      </c>
      <c r="J716" s="425">
        <f>-((H716*0.019)+0.3)</f>
        <v>-5.18262</v>
      </c>
      <c r="K716" s="425">
        <f t="shared" si="110"/>
        <v>228.66918000000004</v>
      </c>
      <c r="L716" s="131">
        <v>210</v>
      </c>
      <c r="M716" s="187">
        <v>33.74</v>
      </c>
      <c r="N716" s="91">
        <f t="shared" si="118"/>
        <v>86.240000000000009</v>
      </c>
      <c r="O716" s="411">
        <f t="shared" si="116"/>
        <v>142.42918000000003</v>
      </c>
      <c r="P716" s="132" t="s">
        <v>52</v>
      </c>
      <c r="Q716" s="232"/>
      <c r="R716" s="411"/>
      <c r="T716" s="470" t="s">
        <v>145</v>
      </c>
      <c r="U716" s="267" t="s">
        <v>1840</v>
      </c>
      <c r="AA716" s="218"/>
    </row>
    <row r="717" spans="1:27" x14ac:dyDescent="0.25">
      <c r="A717" s="420"/>
      <c r="B717" s="422"/>
      <c r="C717" s="420"/>
      <c r="D717" s="418"/>
      <c r="E717" s="120">
        <v>250</v>
      </c>
      <c r="F717" s="133" t="s">
        <v>972</v>
      </c>
      <c r="G717" s="436"/>
      <c r="H717" s="428"/>
      <c r="I717" s="453"/>
      <c r="J717" s="426"/>
      <c r="K717" s="426"/>
      <c r="M717" s="187">
        <v>30.37</v>
      </c>
      <c r="N717" s="91">
        <f t="shared" si="118"/>
        <v>30.37</v>
      </c>
      <c r="O717" s="411">
        <f t="shared" si="116"/>
        <v>-30.37</v>
      </c>
      <c r="P717" s="132" t="s">
        <v>52</v>
      </c>
      <c r="Q717" s="232"/>
      <c r="R717" s="411"/>
      <c r="T717" s="472"/>
      <c r="U717" s="267" t="s">
        <v>1841</v>
      </c>
      <c r="AA717" s="218"/>
    </row>
    <row r="718" spans="1:27" x14ac:dyDescent="0.25">
      <c r="A718" s="405">
        <v>3000535</v>
      </c>
      <c r="B718" s="406">
        <v>42404</v>
      </c>
      <c r="C718" s="405" t="s">
        <v>327</v>
      </c>
      <c r="D718" s="401" t="s">
        <v>1521</v>
      </c>
      <c r="E718" s="120">
        <v>400</v>
      </c>
      <c r="F718" s="133" t="s">
        <v>1842</v>
      </c>
      <c r="G718" s="404" t="s">
        <v>45</v>
      </c>
      <c r="H718" s="411">
        <v>2389.86</v>
      </c>
      <c r="I718" s="411">
        <v>0</v>
      </c>
      <c r="J718" s="90">
        <f>-((H718*0.022)+0.3)</f>
        <v>-52.876919999999998</v>
      </c>
      <c r="K718" s="396">
        <f t="shared" si="110"/>
        <v>2336.98308</v>
      </c>
      <c r="L718" s="158">
        <v>2550</v>
      </c>
      <c r="M718" s="158">
        <v>176.44</v>
      </c>
      <c r="N718" s="91">
        <f t="shared" si="118"/>
        <v>1196.44</v>
      </c>
      <c r="O718" s="411">
        <f t="shared" si="116"/>
        <v>1140.5430799999999</v>
      </c>
      <c r="P718" s="132" t="s">
        <v>183</v>
      </c>
      <c r="Q718" s="232"/>
      <c r="R718" s="411">
        <v>189.86</v>
      </c>
      <c r="S718" s="133" t="s">
        <v>52</v>
      </c>
      <c r="T718" s="134" t="s">
        <v>717</v>
      </c>
      <c r="U718" s="267" t="s">
        <v>1843</v>
      </c>
      <c r="W718" s="153" t="s">
        <v>1524</v>
      </c>
      <c r="AA718" s="218"/>
    </row>
    <row r="719" spans="1:27" x14ac:dyDescent="0.25">
      <c r="A719" s="405">
        <v>3000536</v>
      </c>
      <c r="B719" s="406">
        <v>42404</v>
      </c>
      <c r="C719" s="405" t="s">
        <v>78</v>
      </c>
      <c r="D719" s="401" t="s">
        <v>1844</v>
      </c>
      <c r="E719" s="120">
        <v>530</v>
      </c>
      <c r="F719" s="133" t="s">
        <v>198</v>
      </c>
      <c r="G719" s="404" t="s">
        <v>45</v>
      </c>
      <c r="H719" s="411">
        <v>1351.5</v>
      </c>
      <c r="I719" s="411">
        <v>0</v>
      </c>
      <c r="J719" s="90">
        <f>-((H719*0.019)+0.3)</f>
        <v>-25.9785</v>
      </c>
      <c r="K719" s="396">
        <f t="shared" si="110"/>
        <v>1325.5215000000001</v>
      </c>
      <c r="L719" s="131">
        <v>1800</v>
      </c>
      <c r="M719" s="131">
        <v>190.1</v>
      </c>
      <c r="N719" s="91">
        <f t="shared" si="118"/>
        <v>1144.0999999999999</v>
      </c>
      <c r="O719" s="411">
        <f t="shared" si="116"/>
        <v>181.42150000000015</v>
      </c>
      <c r="P719" s="132" t="s">
        <v>52</v>
      </c>
      <c r="Q719" s="232"/>
      <c r="R719" s="411"/>
      <c r="T719" s="134" t="s">
        <v>875</v>
      </c>
      <c r="U719" s="267" t="s">
        <v>1845</v>
      </c>
      <c r="V719" s="133" t="s">
        <v>55</v>
      </c>
      <c r="W719" s="153" t="s">
        <v>1846</v>
      </c>
      <c r="AA719" s="218"/>
    </row>
    <row r="720" spans="1:27" ht="36" x14ac:dyDescent="0.25">
      <c r="A720" s="405">
        <v>3000537</v>
      </c>
      <c r="B720" s="406">
        <v>42404</v>
      </c>
      <c r="C720" s="405" t="s">
        <v>78</v>
      </c>
      <c r="D720" s="401" t="s">
        <v>1847</v>
      </c>
      <c r="E720" s="120">
        <v>300</v>
      </c>
      <c r="F720" s="133" t="s">
        <v>874</v>
      </c>
      <c r="G720" s="404" t="s">
        <v>45</v>
      </c>
      <c r="H720" s="411">
        <v>990</v>
      </c>
      <c r="I720" s="399">
        <v>0</v>
      </c>
      <c r="J720" s="90">
        <f>-((H720*0.019)+0.3)</f>
        <v>-19.11</v>
      </c>
      <c r="K720" s="396">
        <f t="shared" si="110"/>
        <v>970.89</v>
      </c>
      <c r="L720" s="131">
        <v>1750</v>
      </c>
      <c r="M720" s="158">
        <v>90.5</v>
      </c>
      <c r="N720" s="91">
        <f t="shared" si="118"/>
        <v>615.5</v>
      </c>
      <c r="O720" s="411">
        <f t="shared" si="116"/>
        <v>355.39</v>
      </c>
      <c r="P720" s="132" t="s">
        <v>52</v>
      </c>
      <c r="Q720" s="232"/>
      <c r="R720" s="411"/>
      <c r="T720" s="134" t="s">
        <v>1848</v>
      </c>
      <c r="U720" s="267" t="s">
        <v>1849</v>
      </c>
      <c r="V720" s="133" t="s">
        <v>55</v>
      </c>
      <c r="W720" s="153" t="s">
        <v>1850</v>
      </c>
      <c r="AA720" s="218"/>
    </row>
    <row r="721" spans="1:27" ht="18.75" customHeight="1" x14ac:dyDescent="0.25">
      <c r="A721" s="419">
        <v>3000538</v>
      </c>
      <c r="B721" s="421">
        <v>42404</v>
      </c>
      <c r="C721" s="419" t="s">
        <v>56</v>
      </c>
      <c r="D721" s="417" t="s">
        <v>57</v>
      </c>
      <c r="E721" s="120">
        <v>1000</v>
      </c>
      <c r="F721" s="133" t="s">
        <v>1851</v>
      </c>
      <c r="G721" s="434" t="s">
        <v>45</v>
      </c>
      <c r="H721" s="582">
        <v>4672</v>
      </c>
      <c r="I721" s="585">
        <v>0</v>
      </c>
      <c r="J721" s="586">
        <v>0</v>
      </c>
      <c r="K721" s="498">
        <f t="shared" si="110"/>
        <v>4672</v>
      </c>
      <c r="L721" s="158">
        <v>252</v>
      </c>
      <c r="N721" s="91">
        <f t="shared" si="118"/>
        <v>252</v>
      </c>
      <c r="O721" s="411">
        <f t="shared" si="116"/>
        <v>4420</v>
      </c>
      <c r="P721" s="132" t="s">
        <v>66</v>
      </c>
      <c r="Q721" s="232"/>
      <c r="R721" s="411"/>
      <c r="T721" s="407" t="s">
        <v>1852</v>
      </c>
      <c r="U721" s="267" t="s">
        <v>1853</v>
      </c>
      <c r="V721" s="133" t="s">
        <v>1854</v>
      </c>
      <c r="W721" s="153" t="s">
        <v>1855</v>
      </c>
      <c r="AA721" s="218"/>
    </row>
    <row r="722" spans="1:27" x14ac:dyDescent="0.25">
      <c r="A722" s="432"/>
      <c r="B722" s="433"/>
      <c r="C722" s="432"/>
      <c r="D722" s="454"/>
      <c r="E722" s="120">
        <v>1000</v>
      </c>
      <c r="F722" s="133" t="s">
        <v>1856</v>
      </c>
      <c r="G722" s="435"/>
      <c r="H722" s="583"/>
      <c r="I722" s="585"/>
      <c r="J722" s="587"/>
      <c r="K722" s="525"/>
      <c r="L722" s="158">
        <v>194</v>
      </c>
      <c r="M722" s="131">
        <v>0</v>
      </c>
      <c r="N722" s="91">
        <f t="shared" si="118"/>
        <v>194</v>
      </c>
      <c r="O722" s="411">
        <f t="shared" si="116"/>
        <v>-194</v>
      </c>
      <c r="P722" s="132" t="s">
        <v>66</v>
      </c>
      <c r="Q722" s="232"/>
      <c r="R722" s="411"/>
      <c r="T722" s="440" t="s">
        <v>314</v>
      </c>
      <c r="U722" s="481" t="s">
        <v>1857</v>
      </c>
      <c r="V722" s="133" t="s">
        <v>1858</v>
      </c>
      <c r="AA722" s="218"/>
    </row>
    <row r="723" spans="1:27" x14ac:dyDescent="0.25">
      <c r="A723" s="432"/>
      <c r="B723" s="433"/>
      <c r="C723" s="432"/>
      <c r="D723" s="454"/>
      <c r="E723" s="120">
        <v>1000</v>
      </c>
      <c r="F723" s="133" t="s">
        <v>300</v>
      </c>
      <c r="G723" s="435"/>
      <c r="H723" s="583"/>
      <c r="I723" s="585"/>
      <c r="J723" s="587"/>
      <c r="K723" s="525"/>
      <c r="L723" s="158">
        <v>2150</v>
      </c>
      <c r="M723" s="131">
        <v>0</v>
      </c>
      <c r="N723" s="91">
        <f t="shared" si="118"/>
        <v>2150</v>
      </c>
      <c r="O723" s="411">
        <f t="shared" si="116"/>
        <v>-2150</v>
      </c>
      <c r="P723" s="132" t="s">
        <v>66</v>
      </c>
      <c r="Q723" s="232"/>
      <c r="R723" s="411"/>
      <c r="T723" s="440"/>
      <c r="U723" s="483"/>
      <c r="V723" s="133" t="s">
        <v>1854</v>
      </c>
      <c r="AA723" s="218"/>
    </row>
    <row r="724" spans="1:27" x14ac:dyDescent="0.25">
      <c r="A724" s="432"/>
      <c r="B724" s="433"/>
      <c r="C724" s="432"/>
      <c r="D724" s="454"/>
      <c r="E724" s="120">
        <v>1000</v>
      </c>
      <c r="F724" s="133" t="s">
        <v>341</v>
      </c>
      <c r="G724" s="435"/>
      <c r="H724" s="583"/>
      <c r="I724" s="585"/>
      <c r="J724" s="587"/>
      <c r="K724" s="525"/>
      <c r="L724" s="158">
        <v>729</v>
      </c>
      <c r="M724" s="131">
        <v>0</v>
      </c>
      <c r="N724" s="91">
        <f t="shared" si="118"/>
        <v>729</v>
      </c>
      <c r="O724" s="411">
        <f t="shared" si="116"/>
        <v>-729</v>
      </c>
      <c r="P724" s="132" t="s">
        <v>66</v>
      </c>
      <c r="Q724" s="232"/>
      <c r="R724" s="411"/>
      <c r="T724" s="408" t="s">
        <v>1852</v>
      </c>
      <c r="U724" s="267" t="s">
        <v>1853</v>
      </c>
      <c r="V724" s="133" t="s">
        <v>1854</v>
      </c>
      <c r="AA724" s="218"/>
    </row>
    <row r="725" spans="1:27" x14ac:dyDescent="0.25">
      <c r="A725" s="420"/>
      <c r="B725" s="422"/>
      <c r="C725" s="420"/>
      <c r="D725" s="418"/>
      <c r="E725" s="120">
        <v>1000</v>
      </c>
      <c r="F725" s="133" t="s">
        <v>1859</v>
      </c>
      <c r="G725" s="436"/>
      <c r="H725" s="584"/>
      <c r="I725" s="585"/>
      <c r="J725" s="588"/>
      <c r="K725" s="499"/>
      <c r="L725" s="158">
        <v>205</v>
      </c>
      <c r="M725" s="158">
        <v>19.93</v>
      </c>
      <c r="N725" s="91">
        <f t="shared" si="118"/>
        <v>224.93</v>
      </c>
      <c r="O725" s="411">
        <f t="shared" si="116"/>
        <v>-224.93</v>
      </c>
      <c r="P725" s="132" t="s">
        <v>1860</v>
      </c>
      <c r="Q725" s="232"/>
      <c r="R725" s="411"/>
      <c r="T725" s="409" t="s">
        <v>314</v>
      </c>
      <c r="U725" s="267" t="s">
        <v>1857</v>
      </c>
      <c r="W725" s="154" t="s">
        <v>1413</v>
      </c>
      <c r="AA725" s="218"/>
    </row>
    <row r="726" spans="1:27" ht="24" x14ac:dyDescent="0.25">
      <c r="A726" s="405">
        <v>3000539</v>
      </c>
      <c r="B726" s="406">
        <v>42404</v>
      </c>
      <c r="C726" s="405" t="s">
        <v>63</v>
      </c>
      <c r="D726" s="401" t="s">
        <v>1861</v>
      </c>
      <c r="E726" s="120">
        <v>170</v>
      </c>
      <c r="F726" s="133" t="s">
        <v>1862</v>
      </c>
      <c r="G726" s="404" t="s">
        <v>45</v>
      </c>
      <c r="H726" s="411">
        <v>164.9</v>
      </c>
      <c r="I726" s="400">
        <v>0</v>
      </c>
      <c r="J726" s="90">
        <f>-((H726*0.022)+0.3)</f>
        <v>-3.9278</v>
      </c>
      <c r="K726" s="396">
        <f t="shared" ref="K726:K752" si="119">SUM(H726:J726)</f>
        <v>160.97220000000002</v>
      </c>
      <c r="M726" s="187">
        <v>56.17</v>
      </c>
      <c r="N726" s="91">
        <f t="shared" si="118"/>
        <v>56.17</v>
      </c>
      <c r="O726" s="411">
        <f t="shared" si="116"/>
        <v>104.80220000000001</v>
      </c>
      <c r="P726" s="132" t="s">
        <v>52</v>
      </c>
      <c r="Q726" s="232"/>
      <c r="R726" s="411"/>
      <c r="T726" s="134" t="s">
        <v>145</v>
      </c>
      <c r="U726" s="267" t="s">
        <v>1863</v>
      </c>
      <c r="W726" s="153" t="s">
        <v>1864</v>
      </c>
      <c r="AA726" s="218"/>
    </row>
    <row r="727" spans="1:27" ht="24" x14ac:dyDescent="0.25">
      <c r="A727" s="405">
        <v>3000540</v>
      </c>
      <c r="B727" s="406">
        <v>42404</v>
      </c>
      <c r="C727" s="405" t="s">
        <v>63</v>
      </c>
      <c r="D727" s="401" t="s">
        <v>1865</v>
      </c>
      <c r="E727" s="120">
        <v>100</v>
      </c>
      <c r="F727" s="133" t="s">
        <v>1866</v>
      </c>
      <c r="G727" s="404" t="s">
        <v>45</v>
      </c>
      <c r="H727" s="411">
        <v>587.5</v>
      </c>
      <c r="I727" s="411">
        <v>0</v>
      </c>
      <c r="J727" s="90">
        <f>-((H727*0.022)+0.3)</f>
        <v>-13.225</v>
      </c>
      <c r="K727" s="396">
        <f t="shared" si="119"/>
        <v>574.27499999999998</v>
      </c>
      <c r="L727" s="158">
        <v>4300</v>
      </c>
      <c r="M727" s="158">
        <v>99.54</v>
      </c>
      <c r="N727" s="91">
        <f t="shared" si="118"/>
        <v>529.54</v>
      </c>
      <c r="O727" s="411">
        <f t="shared" si="116"/>
        <v>44.735000000000014</v>
      </c>
      <c r="P727" s="132" t="s">
        <v>235</v>
      </c>
      <c r="Q727" s="232"/>
      <c r="R727" s="411"/>
      <c r="T727" s="134" t="s">
        <v>145</v>
      </c>
      <c r="U727" s="267" t="s">
        <v>1867</v>
      </c>
      <c r="W727" s="153" t="s">
        <v>1868</v>
      </c>
      <c r="AA727" s="218"/>
    </row>
    <row r="728" spans="1:27" ht="24" x14ac:dyDescent="0.25">
      <c r="A728" s="405">
        <v>3000541</v>
      </c>
      <c r="B728" s="406">
        <v>42404</v>
      </c>
      <c r="C728" s="405" t="s">
        <v>42</v>
      </c>
      <c r="D728" s="401" t="s">
        <v>1869</v>
      </c>
      <c r="E728" s="120">
        <v>500</v>
      </c>
      <c r="F728" s="133" t="s">
        <v>1870</v>
      </c>
      <c r="G728" s="404" t="s">
        <v>45</v>
      </c>
      <c r="H728" s="411">
        <v>209</v>
      </c>
      <c r="I728" s="89">
        <f t="shared" ref="I728:I740" si="120">-(H728*0.09)</f>
        <v>-18.809999999999999</v>
      </c>
      <c r="J728" s="90">
        <f t="shared" ref="J728:J740" si="121">-((H728*0.019)+0.3)</f>
        <v>-4.2709999999999999</v>
      </c>
      <c r="K728" s="396">
        <f t="shared" si="119"/>
        <v>185.91900000000001</v>
      </c>
      <c r="L728" s="158">
        <v>225</v>
      </c>
      <c r="M728" s="158">
        <v>14.53</v>
      </c>
      <c r="N728" s="91">
        <f t="shared" si="118"/>
        <v>127.03</v>
      </c>
      <c r="O728" s="411">
        <f t="shared" si="116"/>
        <v>58.88900000000001</v>
      </c>
      <c r="P728" s="132" t="s">
        <v>183</v>
      </c>
      <c r="Q728" s="232"/>
      <c r="R728" s="411"/>
      <c r="T728" s="134" t="s">
        <v>145</v>
      </c>
      <c r="U728" s="267" t="s">
        <v>1871</v>
      </c>
      <c r="AA728" s="218"/>
    </row>
    <row r="729" spans="1:27" ht="24" x14ac:dyDescent="0.25">
      <c r="A729" s="405">
        <v>3000542</v>
      </c>
      <c r="B729" s="406">
        <v>42404</v>
      </c>
      <c r="C729" s="405" t="s">
        <v>42</v>
      </c>
      <c r="D729" s="401" t="s">
        <v>1872</v>
      </c>
      <c r="E729" s="120">
        <v>200</v>
      </c>
      <c r="F729" s="133" t="s">
        <v>161</v>
      </c>
      <c r="G729" s="404" t="s">
        <v>45</v>
      </c>
      <c r="H729" s="411">
        <v>427.02</v>
      </c>
      <c r="I729" s="89">
        <f t="shared" si="120"/>
        <v>-38.431799999999996</v>
      </c>
      <c r="J729" s="90">
        <f t="shared" si="121"/>
        <v>-8.4133800000000001</v>
      </c>
      <c r="K729" s="396">
        <f t="shared" si="119"/>
        <v>380.17481999999995</v>
      </c>
      <c r="L729" s="131">
        <v>1350</v>
      </c>
      <c r="M729" s="187">
        <v>82.91</v>
      </c>
      <c r="N729" s="91">
        <f t="shared" si="118"/>
        <v>352.90999999999997</v>
      </c>
      <c r="O729" s="411">
        <f t="shared" si="116"/>
        <v>27.264819999999986</v>
      </c>
      <c r="P729" s="132" t="s">
        <v>52</v>
      </c>
      <c r="Q729" s="232"/>
      <c r="R729" s="411"/>
      <c r="T729" s="134" t="s">
        <v>145</v>
      </c>
      <c r="U729" s="267" t="s">
        <v>1873</v>
      </c>
      <c r="AA729" s="218"/>
    </row>
    <row r="730" spans="1:27" ht="24" x14ac:dyDescent="0.25">
      <c r="A730" s="405">
        <v>3000543</v>
      </c>
      <c r="B730" s="406">
        <v>42404</v>
      </c>
      <c r="C730" s="405" t="s">
        <v>42</v>
      </c>
      <c r="D730" s="401" t="s">
        <v>1415</v>
      </c>
      <c r="E730" s="120">
        <v>250</v>
      </c>
      <c r="F730" s="133" t="s">
        <v>1293</v>
      </c>
      <c r="G730" s="404" t="s">
        <v>45</v>
      </c>
      <c r="H730" s="411">
        <v>269.8</v>
      </c>
      <c r="I730" s="89">
        <f t="shared" si="120"/>
        <v>-24.282</v>
      </c>
      <c r="J730" s="90">
        <f t="shared" si="121"/>
        <v>-5.4261999999999997</v>
      </c>
      <c r="K730" s="396">
        <f t="shared" si="119"/>
        <v>240.09180000000001</v>
      </c>
      <c r="L730" s="131">
        <v>513</v>
      </c>
      <c r="M730" s="187">
        <v>35.1</v>
      </c>
      <c r="N730" s="91">
        <f t="shared" si="118"/>
        <v>163.35</v>
      </c>
      <c r="O730" s="411">
        <f t="shared" si="116"/>
        <v>76.741800000000012</v>
      </c>
      <c r="P730" s="132" t="s">
        <v>52</v>
      </c>
      <c r="Q730" s="232"/>
      <c r="R730" s="411"/>
      <c r="T730" s="134" t="s">
        <v>145</v>
      </c>
      <c r="U730" s="267" t="s">
        <v>1874</v>
      </c>
      <c r="AA730" s="218"/>
    </row>
    <row r="731" spans="1:27" ht="24" x14ac:dyDescent="0.25">
      <c r="A731" s="405">
        <v>3000544</v>
      </c>
      <c r="B731" s="406">
        <v>42404</v>
      </c>
      <c r="C731" s="405" t="s">
        <v>42</v>
      </c>
      <c r="D731" s="401" t="s">
        <v>1875</v>
      </c>
      <c r="E731" s="120">
        <v>100</v>
      </c>
      <c r="F731" s="133" t="s">
        <v>161</v>
      </c>
      <c r="G731" s="404" t="s">
        <v>45</v>
      </c>
      <c r="H731" s="411">
        <v>235</v>
      </c>
      <c r="I731" s="89">
        <f t="shared" si="120"/>
        <v>-21.15</v>
      </c>
      <c r="J731" s="90">
        <f t="shared" si="121"/>
        <v>-4.7649999999999997</v>
      </c>
      <c r="K731" s="396">
        <f t="shared" si="119"/>
        <v>209.08500000000001</v>
      </c>
      <c r="L731" s="131">
        <v>1350</v>
      </c>
      <c r="M731" s="187">
        <v>31.37</v>
      </c>
      <c r="N731" s="91">
        <f t="shared" si="118"/>
        <v>166.37</v>
      </c>
      <c r="O731" s="411">
        <f t="shared" si="116"/>
        <v>42.715000000000003</v>
      </c>
      <c r="P731" s="132" t="s">
        <v>52</v>
      </c>
      <c r="Q731" s="232"/>
      <c r="R731" s="411"/>
      <c r="T731" s="134" t="s">
        <v>145</v>
      </c>
      <c r="U731" s="267" t="s">
        <v>1876</v>
      </c>
      <c r="AA731" s="218"/>
    </row>
    <row r="732" spans="1:27" ht="24" x14ac:dyDescent="0.25">
      <c r="A732" s="405">
        <v>3000545</v>
      </c>
      <c r="B732" s="406">
        <v>42404</v>
      </c>
      <c r="C732" s="405" t="s">
        <v>42</v>
      </c>
      <c r="D732" s="401" t="s">
        <v>1877</v>
      </c>
      <c r="E732" s="120">
        <v>50</v>
      </c>
      <c r="F732" s="133" t="s">
        <v>860</v>
      </c>
      <c r="G732" s="404" t="s">
        <v>45</v>
      </c>
      <c r="H732" s="411">
        <v>351.5</v>
      </c>
      <c r="I732" s="89">
        <f t="shared" si="120"/>
        <v>-31.634999999999998</v>
      </c>
      <c r="J732" s="90">
        <f t="shared" si="121"/>
        <v>-6.9784999999999995</v>
      </c>
      <c r="K732" s="396">
        <f t="shared" si="119"/>
        <v>312.88650000000001</v>
      </c>
      <c r="L732" s="131">
        <v>3700</v>
      </c>
      <c r="M732" s="187">
        <v>60.17</v>
      </c>
      <c r="N732" s="91">
        <f t="shared" si="118"/>
        <v>245.17000000000002</v>
      </c>
      <c r="O732" s="411">
        <f t="shared" si="116"/>
        <v>67.716499999999996</v>
      </c>
      <c r="P732" s="132" t="s">
        <v>52</v>
      </c>
      <c r="Q732" s="232"/>
      <c r="R732" s="411"/>
      <c r="T732" s="134" t="s">
        <v>145</v>
      </c>
      <c r="U732" s="267" t="s">
        <v>1878</v>
      </c>
      <c r="AA732" s="218"/>
    </row>
    <row r="733" spans="1:27" ht="24" x14ac:dyDescent="0.25">
      <c r="A733" s="405">
        <v>3000546</v>
      </c>
      <c r="B733" s="406">
        <v>42404</v>
      </c>
      <c r="C733" s="405" t="s">
        <v>42</v>
      </c>
      <c r="D733" s="401" t="s">
        <v>1879</v>
      </c>
      <c r="E733" s="120">
        <v>5</v>
      </c>
      <c r="F733" s="133" t="s">
        <v>165</v>
      </c>
      <c r="G733" s="404" t="s">
        <v>45</v>
      </c>
      <c r="H733" s="411">
        <v>4.95</v>
      </c>
      <c r="I733" s="89">
        <f t="shared" si="120"/>
        <v>-0.44550000000000001</v>
      </c>
      <c r="J733" s="90">
        <f t="shared" si="121"/>
        <v>-0.39405000000000001</v>
      </c>
      <c r="K733" s="396">
        <f t="shared" si="119"/>
        <v>4.1104500000000002</v>
      </c>
      <c r="L733" s="131">
        <v>480</v>
      </c>
      <c r="M733" s="187">
        <v>16.64</v>
      </c>
      <c r="N733" s="91">
        <f t="shared" si="118"/>
        <v>19.04</v>
      </c>
      <c r="O733" s="411">
        <f t="shared" si="116"/>
        <v>-14.929549999999999</v>
      </c>
      <c r="P733" s="132" t="s">
        <v>52</v>
      </c>
      <c r="Q733" s="232"/>
      <c r="R733" s="411"/>
      <c r="T733" s="134" t="s">
        <v>145</v>
      </c>
      <c r="U733" s="267" t="s">
        <v>1880</v>
      </c>
      <c r="AA733" s="218"/>
    </row>
    <row r="734" spans="1:27" ht="24" x14ac:dyDescent="0.25">
      <c r="A734" s="405">
        <v>3000547</v>
      </c>
      <c r="B734" s="406">
        <v>42404</v>
      </c>
      <c r="C734" s="405" t="s">
        <v>42</v>
      </c>
      <c r="D734" s="401" t="s">
        <v>1881</v>
      </c>
      <c r="E734" s="120">
        <v>500</v>
      </c>
      <c r="F734" s="133" t="s">
        <v>580</v>
      </c>
      <c r="G734" s="404" t="s">
        <v>45</v>
      </c>
      <c r="H734" s="411">
        <v>160.79</v>
      </c>
      <c r="I734" s="89">
        <f t="shared" si="120"/>
        <v>-14.471099999999998</v>
      </c>
      <c r="J734" s="90">
        <f t="shared" si="121"/>
        <v>-3.3550099999999996</v>
      </c>
      <c r="K734" s="396">
        <f t="shared" si="119"/>
        <v>142.96388999999999</v>
      </c>
      <c r="M734" s="158">
        <v>20.87</v>
      </c>
      <c r="N734" s="91">
        <f t="shared" si="118"/>
        <v>20.87</v>
      </c>
      <c r="O734" s="411">
        <f t="shared" si="116"/>
        <v>122.09388999999999</v>
      </c>
      <c r="P734" s="132" t="s">
        <v>52</v>
      </c>
      <c r="Q734" s="232"/>
      <c r="R734" s="411"/>
      <c r="T734" s="134" t="s">
        <v>145</v>
      </c>
      <c r="U734" s="267" t="s">
        <v>1882</v>
      </c>
      <c r="AA734" s="218"/>
    </row>
    <row r="735" spans="1:27" ht="24" x14ac:dyDescent="0.25">
      <c r="A735" s="405">
        <v>3000548</v>
      </c>
      <c r="B735" s="406">
        <v>42404</v>
      </c>
      <c r="C735" s="405" t="s">
        <v>42</v>
      </c>
      <c r="D735" s="401" t="s">
        <v>1883</v>
      </c>
      <c r="E735" s="120">
        <v>250</v>
      </c>
      <c r="F735" s="133" t="s">
        <v>877</v>
      </c>
      <c r="G735" s="404" t="s">
        <v>45</v>
      </c>
      <c r="H735" s="411">
        <v>162.18</v>
      </c>
      <c r="I735" s="89">
        <f t="shared" si="120"/>
        <v>-14.5962</v>
      </c>
      <c r="J735" s="90">
        <f t="shared" si="121"/>
        <v>-3.3814199999999999</v>
      </c>
      <c r="K735" s="396">
        <f t="shared" si="119"/>
        <v>144.20238000000001</v>
      </c>
      <c r="L735" s="131">
        <v>235</v>
      </c>
      <c r="M735" s="187">
        <v>23.89</v>
      </c>
      <c r="N735" s="91">
        <f t="shared" si="118"/>
        <v>82.64</v>
      </c>
      <c r="O735" s="411">
        <f t="shared" si="116"/>
        <v>61.562380000000005</v>
      </c>
      <c r="P735" s="132" t="s">
        <v>52</v>
      </c>
      <c r="Q735" s="232"/>
      <c r="R735" s="411"/>
      <c r="T735" s="134" t="s">
        <v>145</v>
      </c>
      <c r="U735" s="267" t="s">
        <v>1884</v>
      </c>
      <c r="AA735" s="218"/>
    </row>
    <row r="736" spans="1:27" ht="24" x14ac:dyDescent="0.25">
      <c r="A736" s="405">
        <v>3000549</v>
      </c>
      <c r="B736" s="406">
        <v>42404</v>
      </c>
      <c r="C736" s="405" t="s">
        <v>42</v>
      </c>
      <c r="D736" s="401" t="s">
        <v>1885</v>
      </c>
      <c r="E736" s="120">
        <v>200</v>
      </c>
      <c r="F736" s="133" t="s">
        <v>422</v>
      </c>
      <c r="G736" s="404" t="s">
        <v>45</v>
      </c>
      <c r="H736" s="411">
        <v>358.04</v>
      </c>
      <c r="I736" s="89">
        <f t="shared" si="120"/>
        <v>-32.223599999999998</v>
      </c>
      <c r="J736" s="90">
        <f t="shared" si="121"/>
        <v>-7.10276</v>
      </c>
      <c r="K736" s="396">
        <f t="shared" si="119"/>
        <v>318.71364000000005</v>
      </c>
      <c r="L736" s="158">
        <v>950</v>
      </c>
      <c r="M736" s="187">
        <v>59.33</v>
      </c>
      <c r="N736" s="91">
        <f t="shared" si="118"/>
        <v>249.32999999999998</v>
      </c>
      <c r="O736" s="411">
        <f t="shared" si="116"/>
        <v>69.383640000000071</v>
      </c>
      <c r="P736" s="132" t="s">
        <v>235</v>
      </c>
      <c r="Q736" s="232"/>
      <c r="R736" s="411"/>
      <c r="T736" s="134" t="s">
        <v>145</v>
      </c>
      <c r="U736" s="267" t="s">
        <v>1886</v>
      </c>
      <c r="AA736" s="218"/>
    </row>
    <row r="737" spans="1:27" ht="24" x14ac:dyDescent="0.25">
      <c r="A737" s="405">
        <v>3000550</v>
      </c>
      <c r="B737" s="406">
        <v>42404</v>
      </c>
      <c r="C737" s="405" t="s">
        <v>42</v>
      </c>
      <c r="D737" s="401" t="s">
        <v>1887</v>
      </c>
      <c r="E737" s="120">
        <v>250</v>
      </c>
      <c r="F737" s="133" t="s">
        <v>119</v>
      </c>
      <c r="G737" s="404" t="s">
        <v>45</v>
      </c>
      <c r="H737" s="411">
        <v>213.75</v>
      </c>
      <c r="I737" s="89">
        <f t="shared" si="120"/>
        <v>-19.237500000000001</v>
      </c>
      <c r="J737" s="90">
        <f t="shared" si="121"/>
        <v>-4.3612500000000001</v>
      </c>
      <c r="K737" s="396">
        <f t="shared" si="119"/>
        <v>190.15124999999998</v>
      </c>
      <c r="L737" s="158">
        <v>442</v>
      </c>
      <c r="M737" s="158">
        <v>34.520000000000003</v>
      </c>
      <c r="N737" s="91">
        <f t="shared" si="118"/>
        <v>145.02000000000001</v>
      </c>
      <c r="O737" s="411">
        <f t="shared" si="116"/>
        <v>45.131249999999966</v>
      </c>
      <c r="P737" s="132" t="s">
        <v>183</v>
      </c>
      <c r="Q737" s="232"/>
      <c r="R737" s="411"/>
      <c r="T737" s="134" t="s">
        <v>145</v>
      </c>
      <c r="U737" s="267" t="s">
        <v>1888</v>
      </c>
      <c r="AA737" s="218"/>
    </row>
    <row r="738" spans="1:27" ht="24" x14ac:dyDescent="0.25">
      <c r="A738" s="405">
        <v>3000551</v>
      </c>
      <c r="B738" s="406">
        <v>42404</v>
      </c>
      <c r="C738" s="405" t="s">
        <v>42</v>
      </c>
      <c r="D738" s="401" t="s">
        <v>1889</v>
      </c>
      <c r="E738" s="120">
        <v>50</v>
      </c>
      <c r="F738" s="133" t="s">
        <v>1511</v>
      </c>
      <c r="G738" s="404" t="s">
        <v>45</v>
      </c>
      <c r="H738" s="411">
        <v>214.22</v>
      </c>
      <c r="I738" s="89">
        <f t="shared" si="120"/>
        <v>-19.279799999999998</v>
      </c>
      <c r="J738" s="90">
        <f t="shared" si="121"/>
        <v>-4.3701799999999995</v>
      </c>
      <c r="K738" s="396">
        <f t="shared" si="119"/>
        <v>190.57002</v>
      </c>
      <c r="L738" s="158">
        <v>2540</v>
      </c>
      <c r="M738" s="158">
        <v>19.190000000000001</v>
      </c>
      <c r="N738" s="91">
        <f t="shared" si="118"/>
        <v>146.19</v>
      </c>
      <c r="O738" s="411">
        <f t="shared" si="116"/>
        <v>44.380020000000002</v>
      </c>
      <c r="P738" s="132" t="s">
        <v>183</v>
      </c>
      <c r="Q738" s="232"/>
      <c r="R738" s="411"/>
      <c r="T738" s="134" t="s">
        <v>145</v>
      </c>
      <c r="U738" s="267" t="s">
        <v>1890</v>
      </c>
      <c r="AA738" s="218"/>
    </row>
    <row r="739" spans="1:27" ht="24" x14ac:dyDescent="0.25">
      <c r="A739" s="405">
        <v>3000552</v>
      </c>
      <c r="B739" s="406">
        <v>42404</v>
      </c>
      <c r="C739" s="405" t="s">
        <v>42</v>
      </c>
      <c r="D739" s="401" t="s">
        <v>1891</v>
      </c>
      <c r="E739" s="120">
        <v>375</v>
      </c>
      <c r="F739" s="133" t="s">
        <v>165</v>
      </c>
      <c r="G739" s="404" t="s">
        <v>45</v>
      </c>
      <c r="H739" s="411">
        <v>354.35</v>
      </c>
      <c r="I739" s="89">
        <f t="shared" si="120"/>
        <v>-31.891500000000001</v>
      </c>
      <c r="J739" s="90">
        <f t="shared" si="121"/>
        <v>-7.0326500000000003</v>
      </c>
      <c r="K739" s="396">
        <f t="shared" si="119"/>
        <v>315.42585000000003</v>
      </c>
      <c r="L739" s="131">
        <v>480</v>
      </c>
      <c r="M739" s="187">
        <v>68.930000000000007</v>
      </c>
      <c r="N739" s="91">
        <f t="shared" si="118"/>
        <v>248.93</v>
      </c>
      <c r="O739" s="411">
        <f t="shared" si="116"/>
        <v>66.495850000000019</v>
      </c>
      <c r="P739" s="132" t="s">
        <v>52</v>
      </c>
      <c r="Q739" s="232"/>
      <c r="R739" s="411"/>
      <c r="T739" s="134" t="s">
        <v>145</v>
      </c>
      <c r="U739" s="267" t="s">
        <v>1892</v>
      </c>
      <c r="AA739" s="218"/>
    </row>
    <row r="740" spans="1:27" ht="24" x14ac:dyDescent="0.25">
      <c r="A740" s="405">
        <v>3000553</v>
      </c>
      <c r="B740" s="406">
        <v>42404</v>
      </c>
      <c r="C740" s="405" t="s">
        <v>42</v>
      </c>
      <c r="D740" s="401" t="s">
        <v>1893</v>
      </c>
      <c r="E740" s="120">
        <v>250</v>
      </c>
      <c r="F740" s="133" t="s">
        <v>438</v>
      </c>
      <c r="G740" s="404" t="s">
        <v>45</v>
      </c>
      <c r="H740" s="411">
        <v>180.5</v>
      </c>
      <c r="I740" s="89">
        <f t="shared" si="120"/>
        <v>-16.245000000000001</v>
      </c>
      <c r="J740" s="90">
        <f t="shared" si="121"/>
        <v>-3.7294999999999998</v>
      </c>
      <c r="K740" s="396">
        <f t="shared" si="119"/>
        <v>160.52549999999999</v>
      </c>
      <c r="M740" s="187">
        <v>47.9</v>
      </c>
      <c r="N740" s="91">
        <f t="shared" si="118"/>
        <v>47.9</v>
      </c>
      <c r="O740" s="411">
        <f t="shared" si="116"/>
        <v>112.62549999999999</v>
      </c>
      <c r="P740" s="132" t="s">
        <v>52</v>
      </c>
      <c r="Q740" s="232"/>
      <c r="R740" s="411"/>
      <c r="T740" s="134" t="s">
        <v>145</v>
      </c>
      <c r="U740" s="267" t="s">
        <v>1894</v>
      </c>
      <c r="AA740" s="218"/>
    </row>
    <row r="741" spans="1:27" ht="24" x14ac:dyDescent="0.25">
      <c r="A741" s="405">
        <v>3000554</v>
      </c>
      <c r="B741" s="406">
        <v>42404</v>
      </c>
      <c r="C741" s="405" t="s">
        <v>141</v>
      </c>
      <c r="D741" s="401" t="s">
        <v>674</v>
      </c>
      <c r="E741" s="120">
        <v>250</v>
      </c>
      <c r="F741" s="133" t="s">
        <v>288</v>
      </c>
      <c r="G741" s="404" t="s">
        <v>45</v>
      </c>
      <c r="H741" s="411">
        <v>675</v>
      </c>
      <c r="I741" s="411">
        <v>0</v>
      </c>
      <c r="J741" s="90">
        <f>-((H741*0.0325)+0.3)</f>
        <v>-22.237500000000001</v>
      </c>
      <c r="K741" s="396">
        <f t="shared" si="119"/>
        <v>652.76250000000005</v>
      </c>
      <c r="L741" s="158">
        <v>1349</v>
      </c>
      <c r="M741" s="158">
        <v>56.51</v>
      </c>
      <c r="N741" s="91">
        <f t="shared" si="118"/>
        <v>393.76</v>
      </c>
      <c r="O741" s="411">
        <f t="shared" si="116"/>
        <v>259.00250000000005</v>
      </c>
      <c r="P741" s="132" t="s">
        <v>643</v>
      </c>
      <c r="Q741" s="232"/>
      <c r="R741" s="411"/>
      <c r="T741" s="134" t="s">
        <v>145</v>
      </c>
      <c r="U741" s="267" t="s">
        <v>1895</v>
      </c>
      <c r="W741" s="153" t="s">
        <v>677</v>
      </c>
      <c r="AA741" s="218"/>
    </row>
    <row r="742" spans="1:27" ht="24" x14ac:dyDescent="0.25">
      <c r="A742" s="405">
        <v>3000555</v>
      </c>
      <c r="B742" s="406">
        <v>42404</v>
      </c>
      <c r="C742" s="405" t="s">
        <v>237</v>
      </c>
      <c r="D742" s="401" t="s">
        <v>1896</v>
      </c>
      <c r="E742" s="120">
        <v>100</v>
      </c>
      <c r="F742" s="133" t="s">
        <v>431</v>
      </c>
      <c r="G742" s="404" t="s">
        <v>45</v>
      </c>
      <c r="H742" s="411">
        <v>209.05</v>
      </c>
      <c r="I742" s="89">
        <f>-(H742*0.15)</f>
        <v>-31.357500000000002</v>
      </c>
      <c r="J742" s="411">
        <v>0</v>
      </c>
      <c r="K742" s="396">
        <f t="shared" si="119"/>
        <v>177.6925</v>
      </c>
      <c r="L742" s="131">
        <v>1130</v>
      </c>
      <c r="M742" s="131">
        <v>19.38</v>
      </c>
      <c r="N742" s="91">
        <f t="shared" si="118"/>
        <v>132.38</v>
      </c>
      <c r="O742" s="411">
        <f t="shared" si="116"/>
        <v>45.3125</v>
      </c>
      <c r="P742" s="132" t="s">
        <v>86</v>
      </c>
      <c r="Q742" s="232"/>
      <c r="R742" s="411"/>
      <c r="T742" s="134" t="s">
        <v>145</v>
      </c>
      <c r="U742" s="267" t="s">
        <v>1897</v>
      </c>
      <c r="AA742" s="218"/>
    </row>
    <row r="743" spans="1:27" x14ac:dyDescent="0.25">
      <c r="A743" s="405">
        <v>3000556</v>
      </c>
      <c r="B743" s="406">
        <v>42404</v>
      </c>
      <c r="C743" s="405" t="s">
        <v>42</v>
      </c>
      <c r="D743" s="401" t="s">
        <v>1898</v>
      </c>
      <c r="E743" s="120">
        <v>1000</v>
      </c>
      <c r="F743" s="133" t="s">
        <v>161</v>
      </c>
      <c r="G743" s="404" t="s">
        <v>45</v>
      </c>
      <c r="H743" s="411">
        <v>2000</v>
      </c>
      <c r="I743" s="89">
        <f t="shared" ref="I743" si="122">-(H743*0.09)</f>
        <v>-180</v>
      </c>
      <c r="J743" s="90">
        <f>-((H743*0.019)+0.3)</f>
        <v>-38.299999999999997</v>
      </c>
      <c r="K743" s="396">
        <f t="shared" si="119"/>
        <v>1781.7</v>
      </c>
      <c r="L743" s="131">
        <v>1350</v>
      </c>
      <c r="M743" s="131">
        <v>136.22</v>
      </c>
      <c r="N743" s="91">
        <f t="shared" si="118"/>
        <v>1486.22</v>
      </c>
      <c r="O743" s="411">
        <f t="shared" si="116"/>
        <v>295.48</v>
      </c>
      <c r="P743" s="132" t="s">
        <v>86</v>
      </c>
      <c r="Q743" s="232"/>
      <c r="R743" s="411"/>
      <c r="T743" s="134" t="s">
        <v>875</v>
      </c>
      <c r="U743" s="267" t="s">
        <v>1899</v>
      </c>
      <c r="V743" s="133" t="s">
        <v>55</v>
      </c>
      <c r="AA743" s="218"/>
    </row>
    <row r="744" spans="1:27" x14ac:dyDescent="0.25">
      <c r="A744" s="419">
        <v>3000557</v>
      </c>
      <c r="B744" s="421">
        <v>42404</v>
      </c>
      <c r="C744" s="419" t="s">
        <v>63</v>
      </c>
      <c r="D744" s="417" t="s">
        <v>1900</v>
      </c>
      <c r="E744" s="120">
        <v>750</v>
      </c>
      <c r="F744" s="133" t="s">
        <v>1901</v>
      </c>
      <c r="G744" s="434" t="s">
        <v>45</v>
      </c>
      <c r="H744" s="427">
        <v>1725</v>
      </c>
      <c r="I744" s="427">
        <v>0</v>
      </c>
      <c r="J744" s="425">
        <f>-((H744*0.022)+0.3)</f>
        <v>-38.249999999999993</v>
      </c>
      <c r="K744" s="425">
        <f t="shared" si="119"/>
        <v>1686.75</v>
      </c>
      <c r="L744" s="158">
        <v>700</v>
      </c>
      <c r="M744" s="158">
        <v>105</v>
      </c>
      <c r="N744" s="91">
        <f t="shared" si="118"/>
        <v>630</v>
      </c>
      <c r="O744" s="411">
        <f t="shared" si="116"/>
        <v>1056.75</v>
      </c>
      <c r="P744" s="132" t="s">
        <v>183</v>
      </c>
      <c r="Q744" s="232"/>
      <c r="R744" s="411"/>
      <c r="T744" s="134" t="s">
        <v>565</v>
      </c>
      <c r="U744" s="267" t="s">
        <v>1902</v>
      </c>
      <c r="W744" s="153" t="s">
        <v>1903</v>
      </c>
      <c r="AA744" s="218"/>
    </row>
    <row r="745" spans="1:27" ht="24" x14ac:dyDescent="0.25">
      <c r="A745" s="420"/>
      <c r="B745" s="422"/>
      <c r="C745" s="420"/>
      <c r="D745" s="418"/>
      <c r="E745" s="120">
        <v>750</v>
      </c>
      <c r="F745" s="133" t="s">
        <v>1904</v>
      </c>
      <c r="G745" s="436"/>
      <c r="H745" s="428"/>
      <c r="I745" s="428"/>
      <c r="J745" s="426"/>
      <c r="K745" s="426"/>
      <c r="L745" s="158">
        <v>1708</v>
      </c>
      <c r="M745" s="131">
        <v>102.84</v>
      </c>
      <c r="N745" s="91">
        <f t="shared" si="118"/>
        <v>1383.84</v>
      </c>
      <c r="O745" s="411">
        <f t="shared" si="116"/>
        <v>-1383.84</v>
      </c>
      <c r="P745" s="179" t="s">
        <v>1860</v>
      </c>
      <c r="Q745" s="232"/>
      <c r="R745" s="411"/>
      <c r="T745" s="134" t="s">
        <v>244</v>
      </c>
      <c r="U745" s="267" t="s">
        <v>1905</v>
      </c>
      <c r="AA745" s="218"/>
    </row>
    <row r="746" spans="1:27" x14ac:dyDescent="0.25">
      <c r="A746" s="405">
        <v>3000558</v>
      </c>
      <c r="B746" s="406">
        <v>42404</v>
      </c>
      <c r="C746" s="405" t="s">
        <v>63</v>
      </c>
      <c r="D746" s="401" t="s">
        <v>1906</v>
      </c>
      <c r="E746" s="120">
        <v>200</v>
      </c>
      <c r="F746" s="133" t="s">
        <v>70</v>
      </c>
      <c r="G746" s="404" t="s">
        <v>45</v>
      </c>
      <c r="H746" s="411">
        <v>520</v>
      </c>
      <c r="I746" s="411">
        <v>0</v>
      </c>
      <c r="J746" s="90">
        <f>-((H746*0.022)+0.3)</f>
        <v>-11.74</v>
      </c>
      <c r="K746" s="396">
        <f t="shared" si="119"/>
        <v>508.26</v>
      </c>
      <c r="L746" s="131">
        <v>1540</v>
      </c>
      <c r="M746" s="158">
        <v>122.08</v>
      </c>
      <c r="N746" s="91">
        <f t="shared" si="118"/>
        <v>430.08</v>
      </c>
      <c r="O746" s="411">
        <f t="shared" si="116"/>
        <v>78.180000000000007</v>
      </c>
      <c r="P746" s="132" t="s">
        <v>52</v>
      </c>
      <c r="Q746" s="232"/>
      <c r="R746" s="411"/>
      <c r="T746" s="134" t="s">
        <v>97</v>
      </c>
      <c r="U746" s="267" t="s">
        <v>1907</v>
      </c>
      <c r="V746" s="133" t="s">
        <v>55</v>
      </c>
      <c r="W746" s="153" t="s">
        <v>1908</v>
      </c>
      <c r="AA746" s="218"/>
    </row>
    <row r="747" spans="1:27" ht="24" x14ac:dyDescent="0.25">
      <c r="A747" s="405">
        <v>3000559</v>
      </c>
      <c r="B747" s="406">
        <v>42404</v>
      </c>
      <c r="C747" s="405" t="s">
        <v>63</v>
      </c>
      <c r="D747" s="401" t="s">
        <v>1909</v>
      </c>
      <c r="E747" s="120">
        <v>25</v>
      </c>
      <c r="F747" s="133" t="s">
        <v>1910</v>
      </c>
      <c r="G747" s="404" t="s">
        <v>45</v>
      </c>
      <c r="H747" s="411">
        <v>190</v>
      </c>
      <c r="I747" s="411">
        <v>0</v>
      </c>
      <c r="J747" s="90">
        <f>-((H747*0.022)+0.3)</f>
        <v>-4.4799999999999995</v>
      </c>
      <c r="K747" s="396">
        <f t="shared" si="119"/>
        <v>185.52</v>
      </c>
      <c r="L747" s="158">
        <v>1500</v>
      </c>
      <c r="M747" s="158">
        <v>9.59</v>
      </c>
      <c r="N747" s="91">
        <f t="shared" si="118"/>
        <v>47.09</v>
      </c>
      <c r="O747" s="411">
        <f t="shared" si="116"/>
        <v>138.43</v>
      </c>
      <c r="P747" s="132" t="s">
        <v>235</v>
      </c>
      <c r="Q747" s="232"/>
      <c r="R747" s="411"/>
      <c r="T747" s="134" t="s">
        <v>145</v>
      </c>
      <c r="U747" s="267" t="s">
        <v>1911</v>
      </c>
      <c r="W747" s="153" t="s">
        <v>1912</v>
      </c>
      <c r="AA747" s="218"/>
    </row>
    <row r="748" spans="1:27" x14ac:dyDescent="0.25">
      <c r="A748" s="405">
        <v>3000560</v>
      </c>
      <c r="B748" s="406">
        <v>42405</v>
      </c>
      <c r="C748" s="405" t="s">
        <v>63</v>
      </c>
      <c r="D748" s="401" t="s">
        <v>1913</v>
      </c>
      <c r="E748" s="120">
        <v>2000</v>
      </c>
      <c r="F748" s="133" t="s">
        <v>1914</v>
      </c>
      <c r="G748" s="404" t="s">
        <v>45</v>
      </c>
      <c r="H748" s="411">
        <v>810</v>
      </c>
      <c r="I748" s="411">
        <v>0</v>
      </c>
      <c r="J748" s="90">
        <f>-((H748*0.022)+0.3)</f>
        <v>-18.12</v>
      </c>
      <c r="K748" s="396">
        <f t="shared" si="119"/>
        <v>791.88</v>
      </c>
      <c r="L748" s="131">
        <v>210</v>
      </c>
      <c r="M748" s="158">
        <v>126.16</v>
      </c>
      <c r="N748" s="91">
        <f t="shared" si="118"/>
        <v>546.16</v>
      </c>
      <c r="O748" s="411">
        <f t="shared" si="116"/>
        <v>245.72000000000003</v>
      </c>
      <c r="P748" s="132" t="s">
        <v>52</v>
      </c>
      <c r="Q748" s="232"/>
      <c r="R748" s="411"/>
      <c r="T748" s="134" t="s">
        <v>244</v>
      </c>
      <c r="U748" s="267" t="s">
        <v>1915</v>
      </c>
      <c r="V748" s="133" t="s">
        <v>55</v>
      </c>
      <c r="AA748" s="218"/>
    </row>
    <row r="749" spans="1:27" ht="24" x14ac:dyDescent="0.25">
      <c r="A749" s="405">
        <v>3000561</v>
      </c>
      <c r="B749" s="406">
        <v>42405</v>
      </c>
      <c r="C749" s="405" t="s">
        <v>63</v>
      </c>
      <c r="D749" s="401" t="s">
        <v>1916</v>
      </c>
      <c r="E749" s="120">
        <v>25</v>
      </c>
      <c r="F749" s="133" t="s">
        <v>1507</v>
      </c>
      <c r="G749" s="404" t="s">
        <v>45</v>
      </c>
      <c r="H749" s="411">
        <v>80</v>
      </c>
      <c r="I749" s="411">
        <v>0</v>
      </c>
      <c r="J749" s="90">
        <f>-((H749*0.022)+0.3)</f>
        <v>-2.0599999999999996</v>
      </c>
      <c r="K749" s="396">
        <f t="shared" si="119"/>
        <v>77.94</v>
      </c>
      <c r="L749" s="158">
        <v>2170</v>
      </c>
      <c r="M749" s="187">
        <v>18.75</v>
      </c>
      <c r="N749" s="91">
        <f t="shared" si="118"/>
        <v>73</v>
      </c>
      <c r="O749" s="411">
        <f t="shared" si="116"/>
        <v>4.9399999999999977</v>
      </c>
      <c r="P749" s="132" t="s">
        <v>601</v>
      </c>
      <c r="Q749" s="232"/>
      <c r="R749" s="411"/>
      <c r="T749" s="134" t="s">
        <v>145</v>
      </c>
      <c r="U749" s="267" t="s">
        <v>1917</v>
      </c>
      <c r="W749" s="153" t="s">
        <v>1918</v>
      </c>
      <c r="AA749" s="218"/>
    </row>
    <row r="750" spans="1:27" ht="24" x14ac:dyDescent="0.25">
      <c r="A750" s="405">
        <v>3000562</v>
      </c>
      <c r="B750" s="406">
        <v>42405</v>
      </c>
      <c r="C750" s="405" t="s">
        <v>63</v>
      </c>
      <c r="D750" s="401" t="s">
        <v>1919</v>
      </c>
      <c r="E750" s="120">
        <v>1000</v>
      </c>
      <c r="F750" s="133" t="s">
        <v>1747</v>
      </c>
      <c r="G750" s="404" t="s">
        <v>45</v>
      </c>
      <c r="H750" s="411">
        <v>550</v>
      </c>
      <c r="I750" s="411">
        <v>0</v>
      </c>
      <c r="J750" s="90">
        <f>-((H750*0.022)+0.3)</f>
        <v>-12.4</v>
      </c>
      <c r="K750" s="396">
        <f t="shared" si="119"/>
        <v>537.6</v>
      </c>
      <c r="L750" s="158">
        <v>330</v>
      </c>
      <c r="M750" s="158">
        <v>81.41</v>
      </c>
      <c r="N750" s="91">
        <f t="shared" si="118"/>
        <v>411.40999999999997</v>
      </c>
      <c r="O750" s="411">
        <f t="shared" si="116"/>
        <v>126.19000000000005</v>
      </c>
      <c r="P750" s="132" t="s">
        <v>183</v>
      </c>
      <c r="Q750" s="232"/>
      <c r="R750" s="411"/>
      <c r="S750" s="134"/>
      <c r="T750" s="134" t="s">
        <v>324</v>
      </c>
      <c r="U750" s="267" t="s">
        <v>1920</v>
      </c>
      <c r="W750" s="153" t="s">
        <v>1921</v>
      </c>
      <c r="AA750" s="218"/>
    </row>
    <row r="751" spans="1:27" ht="36" x14ac:dyDescent="0.25">
      <c r="A751" s="405">
        <v>3000563</v>
      </c>
      <c r="B751" s="406">
        <v>42405</v>
      </c>
      <c r="C751" s="405" t="s">
        <v>78</v>
      </c>
      <c r="D751" s="401" t="s">
        <v>1922</v>
      </c>
      <c r="E751" s="120">
        <v>225</v>
      </c>
      <c r="F751" s="133" t="s">
        <v>178</v>
      </c>
      <c r="G751" s="404" t="s">
        <v>45</v>
      </c>
      <c r="H751" s="411">
        <v>472.5</v>
      </c>
      <c r="I751" s="411">
        <v>0</v>
      </c>
      <c r="J751" s="90">
        <f>-((H751*0.019)+0.3)</f>
        <v>-9.2774999999999999</v>
      </c>
      <c r="K751" s="396">
        <f t="shared" si="119"/>
        <v>463.22250000000003</v>
      </c>
      <c r="L751" s="131">
        <v>1079</v>
      </c>
      <c r="M751" s="158">
        <v>165.87</v>
      </c>
      <c r="N751" s="91">
        <f t="shared" si="118"/>
        <v>408.64499999999998</v>
      </c>
      <c r="O751" s="411">
        <f t="shared" si="116"/>
        <v>54.577500000000043</v>
      </c>
      <c r="P751" s="132" t="s">
        <v>52</v>
      </c>
      <c r="Q751" s="232"/>
      <c r="R751" s="411"/>
      <c r="T751" s="134" t="s">
        <v>1848</v>
      </c>
      <c r="U751" s="267" t="s">
        <v>1923</v>
      </c>
      <c r="V751" s="133" t="s">
        <v>55</v>
      </c>
      <c r="W751" s="153" t="s">
        <v>1924</v>
      </c>
      <c r="AA751" s="218"/>
    </row>
    <row r="752" spans="1:27" x14ac:dyDescent="0.25">
      <c r="A752" s="419">
        <v>3000564</v>
      </c>
      <c r="B752" s="421">
        <v>42405</v>
      </c>
      <c r="C752" s="419" t="s">
        <v>56</v>
      </c>
      <c r="D752" s="417" t="s">
        <v>1925</v>
      </c>
      <c r="E752" s="120">
        <v>1500</v>
      </c>
      <c r="F752" s="133" t="s">
        <v>165</v>
      </c>
      <c r="G752" s="434" t="s">
        <v>45</v>
      </c>
      <c r="H752" s="427">
        <v>2775</v>
      </c>
      <c r="I752" s="427">
        <v>0</v>
      </c>
      <c r="J752" s="427">
        <v>0</v>
      </c>
      <c r="K752" s="425">
        <f t="shared" si="119"/>
        <v>2775</v>
      </c>
      <c r="L752" s="131">
        <v>480</v>
      </c>
      <c r="M752" s="158">
        <v>110.33</v>
      </c>
      <c r="N752" s="91">
        <f t="shared" si="118"/>
        <v>830.33</v>
      </c>
      <c r="O752" s="411">
        <f t="shared" si="116"/>
        <v>1944.67</v>
      </c>
      <c r="P752" s="132" t="s">
        <v>86</v>
      </c>
      <c r="Q752" s="232"/>
      <c r="R752" s="411"/>
      <c r="T752" s="134" t="s">
        <v>244</v>
      </c>
      <c r="U752" s="267" t="s">
        <v>1926</v>
      </c>
      <c r="V752" s="133" t="s">
        <v>1927</v>
      </c>
      <c r="W752" s="153" t="s">
        <v>1928</v>
      </c>
      <c r="AA752" s="218"/>
    </row>
    <row r="753" spans="1:27" x14ac:dyDescent="0.25">
      <c r="A753" s="432"/>
      <c r="B753" s="433"/>
      <c r="C753" s="432"/>
      <c r="D753" s="454"/>
      <c r="E753" s="120">
        <v>500</v>
      </c>
      <c r="F753" s="133" t="s">
        <v>1358</v>
      </c>
      <c r="G753" s="435"/>
      <c r="H753" s="438"/>
      <c r="I753" s="438"/>
      <c r="J753" s="438"/>
      <c r="K753" s="437"/>
      <c r="L753" s="158">
        <v>1750</v>
      </c>
      <c r="M753" s="158">
        <v>105</v>
      </c>
      <c r="N753" s="91">
        <f t="shared" si="118"/>
        <v>980</v>
      </c>
      <c r="O753" s="411">
        <f t="shared" si="116"/>
        <v>-980</v>
      </c>
      <c r="P753" s="132" t="s">
        <v>183</v>
      </c>
      <c r="Q753" s="232"/>
      <c r="R753" s="411"/>
      <c r="T753" s="470" t="s">
        <v>67</v>
      </c>
      <c r="U753" s="481" t="s">
        <v>1929</v>
      </c>
      <c r="V753" s="133" t="s">
        <v>1930</v>
      </c>
      <c r="AA753" s="218"/>
    </row>
    <row r="754" spans="1:27" x14ac:dyDescent="0.25">
      <c r="A754" s="420"/>
      <c r="B754" s="422"/>
      <c r="C754" s="420"/>
      <c r="D754" s="418"/>
      <c r="E754" s="120">
        <v>1000</v>
      </c>
      <c r="F754" s="133" t="s">
        <v>1931</v>
      </c>
      <c r="G754" s="436"/>
      <c r="H754" s="428"/>
      <c r="I754" s="428"/>
      <c r="J754" s="428"/>
      <c r="K754" s="426"/>
      <c r="L754" s="158">
        <v>320</v>
      </c>
      <c r="M754" s="158"/>
      <c r="N754" s="91">
        <f t="shared" si="118"/>
        <v>320</v>
      </c>
      <c r="O754" s="411">
        <f t="shared" si="116"/>
        <v>-320</v>
      </c>
      <c r="P754" s="132" t="s">
        <v>183</v>
      </c>
      <c r="Q754" s="232"/>
      <c r="R754" s="411"/>
      <c r="T754" s="472"/>
      <c r="U754" s="483"/>
      <c r="V754" s="133" t="s">
        <v>1581</v>
      </c>
      <c r="AA754" s="218"/>
    </row>
    <row r="755" spans="1:27" ht="24" x14ac:dyDescent="0.25">
      <c r="A755" s="405">
        <v>3000565</v>
      </c>
      <c r="B755" s="406">
        <v>42405</v>
      </c>
      <c r="C755" s="405" t="s">
        <v>56</v>
      </c>
      <c r="D755" s="401" t="s">
        <v>1932</v>
      </c>
      <c r="E755" s="120">
        <v>154</v>
      </c>
      <c r="F755" s="133" t="s">
        <v>1933</v>
      </c>
      <c r="G755" s="404" t="s">
        <v>45</v>
      </c>
      <c r="H755" s="411">
        <v>754.6</v>
      </c>
      <c r="I755" s="411">
        <v>0</v>
      </c>
      <c r="J755" s="411">
        <v>0</v>
      </c>
      <c r="K755" s="396">
        <f t="shared" ref="K755:K784" si="123">SUM(H755:J755)</f>
        <v>754.6</v>
      </c>
      <c r="L755" s="158">
        <v>3300</v>
      </c>
      <c r="M755" s="158">
        <v>103.65</v>
      </c>
      <c r="N755" s="91">
        <f t="shared" si="118"/>
        <v>611.85</v>
      </c>
      <c r="O755" s="411">
        <f t="shared" si="116"/>
        <v>142.75</v>
      </c>
      <c r="P755" s="132" t="s">
        <v>46</v>
      </c>
      <c r="Q755" s="232"/>
      <c r="R755" s="411"/>
      <c r="T755" s="134" t="s">
        <v>1209</v>
      </c>
      <c r="U755" s="266">
        <v>356095463</v>
      </c>
      <c r="V755" s="133" t="s">
        <v>1934</v>
      </c>
      <c r="W755" s="153" t="s">
        <v>1935</v>
      </c>
      <c r="AA755" s="218"/>
    </row>
    <row r="756" spans="1:27" ht="24" x14ac:dyDescent="0.25">
      <c r="A756" s="405">
        <v>3000566</v>
      </c>
      <c r="B756" s="406">
        <v>42405</v>
      </c>
      <c r="C756" s="405" t="s">
        <v>159</v>
      </c>
      <c r="D756" s="401" t="s">
        <v>1936</v>
      </c>
      <c r="E756" s="120">
        <v>60</v>
      </c>
      <c r="F756" s="133" t="s">
        <v>182</v>
      </c>
      <c r="G756" s="404" t="s">
        <v>45</v>
      </c>
      <c r="H756" s="411">
        <v>104.48</v>
      </c>
      <c r="I756" s="411">
        <v>0</v>
      </c>
      <c r="J756" s="90">
        <f>-((H756*0.019)+0.3)</f>
        <v>-2.28512</v>
      </c>
      <c r="K756" s="396">
        <f t="shared" si="123"/>
        <v>102.19488</v>
      </c>
      <c r="L756" s="158">
        <v>1310</v>
      </c>
      <c r="M756" s="158">
        <v>13.72</v>
      </c>
      <c r="N756" s="91">
        <f t="shared" si="118"/>
        <v>92.32</v>
      </c>
      <c r="O756" s="411">
        <f t="shared" si="116"/>
        <v>9.8748800000000045</v>
      </c>
      <c r="P756" s="132" t="s">
        <v>183</v>
      </c>
      <c r="Q756" s="232"/>
      <c r="R756" s="411"/>
      <c r="T756" s="134" t="s">
        <v>145</v>
      </c>
      <c r="U756" s="267" t="s">
        <v>1937</v>
      </c>
      <c r="W756" s="153" t="s">
        <v>1938</v>
      </c>
      <c r="AA756" s="218"/>
    </row>
    <row r="757" spans="1:27" ht="24" x14ac:dyDescent="0.25">
      <c r="A757" s="405">
        <v>3000567</v>
      </c>
      <c r="B757" s="406">
        <v>42405</v>
      </c>
      <c r="C757" s="405" t="s">
        <v>78</v>
      </c>
      <c r="D757" s="401" t="s">
        <v>1939</v>
      </c>
      <c r="E757" s="120">
        <v>44</v>
      </c>
      <c r="F757" s="133" t="s">
        <v>288</v>
      </c>
      <c r="G757" s="404" t="s">
        <v>45</v>
      </c>
      <c r="H757" s="411">
        <v>81.400000000000006</v>
      </c>
      <c r="I757" s="411">
        <v>0</v>
      </c>
      <c r="J757" s="90">
        <f>-((H757*0.019)+0.3)</f>
        <v>-1.8466</v>
      </c>
      <c r="K757" s="396">
        <f t="shared" si="123"/>
        <v>79.553400000000011</v>
      </c>
      <c r="L757" s="131">
        <v>1069</v>
      </c>
      <c r="M757" s="187">
        <v>27.03</v>
      </c>
      <c r="N757" s="91">
        <f t="shared" si="118"/>
        <v>74.066000000000003</v>
      </c>
      <c r="O757" s="411">
        <f t="shared" si="116"/>
        <v>5.487400000000008</v>
      </c>
      <c r="P757" s="132" t="s">
        <v>52</v>
      </c>
      <c r="Q757" s="232"/>
      <c r="R757" s="411"/>
      <c r="T757" s="134" t="s">
        <v>145</v>
      </c>
      <c r="U757" s="267" t="s">
        <v>1940</v>
      </c>
      <c r="W757" s="153" t="s">
        <v>1941</v>
      </c>
      <c r="AA757" s="218"/>
    </row>
    <row r="758" spans="1:27" ht="24" x14ac:dyDescent="0.25">
      <c r="A758" s="405">
        <v>3000568</v>
      </c>
      <c r="B758" s="406">
        <v>42405</v>
      </c>
      <c r="C758" s="405" t="s">
        <v>42</v>
      </c>
      <c r="D758" s="401" t="s">
        <v>1942</v>
      </c>
      <c r="E758" s="120">
        <v>250</v>
      </c>
      <c r="F758" s="133" t="s">
        <v>1943</v>
      </c>
      <c r="G758" s="404" t="s">
        <v>45</v>
      </c>
      <c r="H758" s="411">
        <v>165.3</v>
      </c>
      <c r="I758" s="89">
        <f t="shared" ref="I758:I767" si="124">-(H758*0.09)</f>
        <v>-14.877000000000001</v>
      </c>
      <c r="J758" s="90">
        <f>-((H758*0.019)+0.3)</f>
        <v>-3.4407000000000001</v>
      </c>
      <c r="K758" s="396">
        <f t="shared" si="123"/>
        <v>146.98230000000001</v>
      </c>
      <c r="L758" s="187">
        <v>269</v>
      </c>
      <c r="M758" s="187">
        <v>23.76</v>
      </c>
      <c r="N758" s="91">
        <f t="shared" si="118"/>
        <v>91.01</v>
      </c>
      <c r="O758" s="411">
        <f t="shared" si="116"/>
        <v>55.972300000000004</v>
      </c>
      <c r="P758" s="132" t="s">
        <v>638</v>
      </c>
      <c r="Q758" s="232"/>
      <c r="R758" s="411"/>
      <c r="T758" s="134" t="s">
        <v>145</v>
      </c>
      <c r="U758" s="266" t="s">
        <v>1944</v>
      </c>
      <c r="AA758" s="218"/>
    </row>
    <row r="759" spans="1:27" x14ac:dyDescent="0.25">
      <c r="A759" s="405">
        <v>3000569</v>
      </c>
      <c r="B759" s="406">
        <v>42405</v>
      </c>
      <c r="C759" s="405" t="s">
        <v>42</v>
      </c>
      <c r="D759" s="401" t="s">
        <v>1945</v>
      </c>
      <c r="E759" s="120">
        <v>175</v>
      </c>
      <c r="F759" s="133" t="s">
        <v>85</v>
      </c>
      <c r="G759" s="404" t="s">
        <v>45</v>
      </c>
      <c r="H759" s="411">
        <v>445.91</v>
      </c>
      <c r="I759" s="89">
        <f t="shared" si="124"/>
        <v>-40.131900000000002</v>
      </c>
      <c r="J759" s="90">
        <f>-((H759*0.019)+0.3)</f>
        <v>-8.7722900000000017</v>
      </c>
      <c r="K759" s="396">
        <f t="shared" si="123"/>
        <v>397.00581</v>
      </c>
      <c r="L759" s="131">
        <v>1296</v>
      </c>
      <c r="M759" s="158">
        <v>77.94</v>
      </c>
      <c r="N759" s="91">
        <f t="shared" si="118"/>
        <v>304.74</v>
      </c>
      <c r="O759" s="411">
        <f t="shared" si="116"/>
        <v>92.265809999999988</v>
      </c>
      <c r="P759" s="132" t="s">
        <v>52</v>
      </c>
      <c r="Q759" s="232"/>
      <c r="R759" s="411">
        <v>33.03</v>
      </c>
      <c r="S759" s="133" t="s">
        <v>1946</v>
      </c>
      <c r="T759" s="134" t="s">
        <v>1947</v>
      </c>
      <c r="U759" s="266" t="s">
        <v>1948</v>
      </c>
      <c r="AA759" s="218"/>
    </row>
    <row r="760" spans="1:27" ht="24" x14ac:dyDescent="0.25">
      <c r="A760" s="405">
        <v>3000570</v>
      </c>
      <c r="B760" s="406">
        <v>42405</v>
      </c>
      <c r="C760" s="405" t="s">
        <v>327</v>
      </c>
      <c r="D760" s="401" t="s">
        <v>1949</v>
      </c>
      <c r="E760" s="120">
        <v>500</v>
      </c>
      <c r="F760" s="133" t="s">
        <v>300</v>
      </c>
      <c r="G760" s="404" t="s">
        <v>45</v>
      </c>
      <c r="H760" s="411">
        <v>1675</v>
      </c>
      <c r="I760" s="411">
        <v>0</v>
      </c>
      <c r="J760" s="90">
        <f>-((H760*0.022)+0.3)</f>
        <v>-37.149999999999991</v>
      </c>
      <c r="K760" s="396">
        <f t="shared" si="123"/>
        <v>1637.85</v>
      </c>
      <c r="L760" s="131">
        <v>2200</v>
      </c>
      <c r="M760" s="187">
        <v>160.85</v>
      </c>
      <c r="N760" s="91">
        <f t="shared" si="118"/>
        <v>1260.8499999999999</v>
      </c>
      <c r="O760" s="411">
        <f t="shared" si="116"/>
        <v>377</v>
      </c>
      <c r="P760" s="132" t="s">
        <v>52</v>
      </c>
      <c r="Q760" s="232"/>
      <c r="R760" s="411"/>
      <c r="T760" s="134" t="s">
        <v>1209</v>
      </c>
      <c r="U760" s="267" t="s">
        <v>1950</v>
      </c>
      <c r="V760" s="133" t="s">
        <v>55</v>
      </c>
      <c r="W760" s="153" t="s">
        <v>1951</v>
      </c>
      <c r="AA760" s="218"/>
    </row>
    <row r="761" spans="1:27" ht="24" x14ac:dyDescent="0.25">
      <c r="A761" s="405">
        <v>3000571</v>
      </c>
      <c r="B761" s="406">
        <v>42405</v>
      </c>
      <c r="C761" s="405" t="s">
        <v>42</v>
      </c>
      <c r="D761" s="401" t="s">
        <v>1952</v>
      </c>
      <c r="E761" s="120">
        <v>50</v>
      </c>
      <c r="F761" s="133" t="s">
        <v>288</v>
      </c>
      <c r="G761" s="404" t="s">
        <v>45</v>
      </c>
      <c r="H761" s="411">
        <v>102.41</v>
      </c>
      <c r="I761" s="89">
        <f t="shared" si="124"/>
        <v>-9.216899999999999</v>
      </c>
      <c r="J761" s="90">
        <f t="shared" ref="J761:J767" si="125">-((H761*0.019)+0.3)</f>
        <v>-2.24579</v>
      </c>
      <c r="K761" s="396">
        <f t="shared" si="123"/>
        <v>90.947310000000002</v>
      </c>
      <c r="L761" s="131">
        <v>1069</v>
      </c>
      <c r="M761" s="187">
        <v>30.5</v>
      </c>
      <c r="N761" s="91">
        <f t="shared" si="118"/>
        <v>83.95</v>
      </c>
      <c r="O761" s="411">
        <f t="shared" si="116"/>
        <v>6.9973099999999988</v>
      </c>
      <c r="P761" s="132" t="s">
        <v>86</v>
      </c>
      <c r="Q761" s="232"/>
      <c r="R761" s="411"/>
      <c r="T761" s="134" t="s">
        <v>145</v>
      </c>
      <c r="U761" s="267" t="s">
        <v>1953</v>
      </c>
      <c r="AA761" s="218"/>
    </row>
    <row r="762" spans="1:27" ht="24" x14ac:dyDescent="0.25">
      <c r="A762" s="405">
        <v>3000572</v>
      </c>
      <c r="B762" s="406">
        <v>42405</v>
      </c>
      <c r="C762" s="405" t="s">
        <v>42</v>
      </c>
      <c r="D762" s="401" t="s">
        <v>1954</v>
      </c>
      <c r="E762" s="120">
        <v>500</v>
      </c>
      <c r="F762" s="133" t="s">
        <v>1955</v>
      </c>
      <c r="G762" s="404" t="s">
        <v>45</v>
      </c>
      <c r="H762" s="411">
        <v>133</v>
      </c>
      <c r="I762" s="89">
        <f t="shared" si="124"/>
        <v>-11.969999999999999</v>
      </c>
      <c r="J762" s="90">
        <f t="shared" si="125"/>
        <v>-2.827</v>
      </c>
      <c r="K762" s="396">
        <f t="shared" si="123"/>
        <v>118.203</v>
      </c>
      <c r="M762" s="187">
        <v>33.56</v>
      </c>
      <c r="N762" s="91">
        <f t="shared" si="118"/>
        <v>33.56</v>
      </c>
      <c r="O762" s="411">
        <f t="shared" si="116"/>
        <v>84.643000000000001</v>
      </c>
      <c r="P762" s="132" t="s">
        <v>52</v>
      </c>
      <c r="Q762" s="232"/>
      <c r="R762" s="411"/>
      <c r="T762" s="134" t="s">
        <v>145</v>
      </c>
      <c r="U762" s="267" t="s">
        <v>1956</v>
      </c>
      <c r="AA762" s="218"/>
    </row>
    <row r="763" spans="1:27" ht="24" x14ac:dyDescent="0.25">
      <c r="A763" s="405">
        <v>3000573</v>
      </c>
      <c r="B763" s="406">
        <v>42405</v>
      </c>
      <c r="C763" s="405" t="s">
        <v>42</v>
      </c>
      <c r="D763" s="401" t="s">
        <v>1957</v>
      </c>
      <c r="E763" s="120">
        <v>100</v>
      </c>
      <c r="F763" s="133" t="s">
        <v>247</v>
      </c>
      <c r="G763" s="404" t="s">
        <v>45</v>
      </c>
      <c r="H763" s="411">
        <v>114</v>
      </c>
      <c r="I763" s="89">
        <f t="shared" si="124"/>
        <v>-10.26</v>
      </c>
      <c r="J763" s="90">
        <f t="shared" si="125"/>
        <v>-2.4659999999999997</v>
      </c>
      <c r="K763" s="396">
        <f t="shared" si="123"/>
        <v>101.274</v>
      </c>
      <c r="L763" s="131">
        <v>580</v>
      </c>
      <c r="M763" s="187">
        <v>29.55</v>
      </c>
      <c r="N763" s="91">
        <f t="shared" si="118"/>
        <v>87.55</v>
      </c>
      <c r="O763" s="411">
        <f t="shared" si="116"/>
        <v>13.724000000000004</v>
      </c>
      <c r="P763" s="132" t="s">
        <v>86</v>
      </c>
      <c r="Q763" s="232"/>
      <c r="R763" s="411"/>
      <c r="T763" s="134" t="s">
        <v>145</v>
      </c>
      <c r="U763" s="267" t="s">
        <v>1958</v>
      </c>
      <c r="AA763" s="218"/>
    </row>
    <row r="764" spans="1:27" ht="24" x14ac:dyDescent="0.25">
      <c r="A764" s="405">
        <v>3000574</v>
      </c>
      <c r="B764" s="406">
        <v>42405</v>
      </c>
      <c r="C764" s="405" t="s">
        <v>42</v>
      </c>
      <c r="D764" s="401" t="s">
        <v>1959</v>
      </c>
      <c r="E764" s="120">
        <v>350</v>
      </c>
      <c r="F764" s="133" t="s">
        <v>227</v>
      </c>
      <c r="G764" s="404" t="s">
        <v>45</v>
      </c>
      <c r="H764" s="411">
        <v>283.82</v>
      </c>
      <c r="I764" s="89">
        <f t="shared" si="124"/>
        <v>-25.543799999999997</v>
      </c>
      <c r="J764" s="90">
        <f t="shared" si="125"/>
        <v>-5.6925799999999995</v>
      </c>
      <c r="K764" s="396">
        <f t="shared" si="123"/>
        <v>252.58362000000002</v>
      </c>
      <c r="L764" s="131">
        <v>350</v>
      </c>
      <c r="M764" s="187">
        <v>52.99</v>
      </c>
      <c r="N764" s="91">
        <f t="shared" si="118"/>
        <v>175.49</v>
      </c>
      <c r="O764" s="411">
        <f t="shared" si="116"/>
        <v>77.093620000000016</v>
      </c>
      <c r="P764" s="132" t="s">
        <v>52</v>
      </c>
      <c r="Q764" s="232"/>
      <c r="R764" s="411"/>
      <c r="T764" s="134" t="s">
        <v>145</v>
      </c>
      <c r="U764" s="267" t="s">
        <v>1960</v>
      </c>
      <c r="AA764" s="218"/>
    </row>
    <row r="765" spans="1:27" x14ac:dyDescent="0.25">
      <c r="A765" s="405">
        <v>3000575</v>
      </c>
      <c r="B765" s="406">
        <v>42405</v>
      </c>
      <c r="C765" s="405" t="s">
        <v>42</v>
      </c>
      <c r="D765" s="401" t="s">
        <v>1961</v>
      </c>
      <c r="E765" s="120">
        <v>300</v>
      </c>
      <c r="F765" s="133" t="s">
        <v>422</v>
      </c>
      <c r="G765" s="404" t="s">
        <v>45</v>
      </c>
      <c r="H765" s="411">
        <v>488.22</v>
      </c>
      <c r="I765" s="89">
        <f t="shared" si="124"/>
        <v>-43.939799999999998</v>
      </c>
      <c r="J765" s="90">
        <f t="shared" si="125"/>
        <v>-9.5761800000000008</v>
      </c>
      <c r="K765" s="396">
        <f t="shared" si="123"/>
        <v>434.70402000000001</v>
      </c>
      <c r="L765" s="158">
        <v>950</v>
      </c>
      <c r="M765" s="158">
        <v>99</v>
      </c>
      <c r="N765" s="91">
        <f t="shared" si="118"/>
        <v>384</v>
      </c>
      <c r="O765" s="411">
        <f t="shared" si="116"/>
        <v>50.704020000000014</v>
      </c>
      <c r="P765" s="132" t="s">
        <v>235</v>
      </c>
      <c r="Q765" s="232"/>
      <c r="R765" s="411"/>
      <c r="T765" s="134" t="s">
        <v>67</v>
      </c>
      <c r="U765" s="267" t="s">
        <v>1962</v>
      </c>
      <c r="AA765" s="218"/>
    </row>
    <row r="766" spans="1:27" ht="24" x14ac:dyDescent="0.25">
      <c r="A766" s="405">
        <v>3000576</v>
      </c>
      <c r="B766" s="406">
        <v>42405</v>
      </c>
      <c r="C766" s="405" t="s">
        <v>42</v>
      </c>
      <c r="D766" s="401" t="s">
        <v>1963</v>
      </c>
      <c r="E766" s="120">
        <v>250</v>
      </c>
      <c r="F766" s="133" t="s">
        <v>877</v>
      </c>
      <c r="G766" s="404" t="s">
        <v>45</v>
      </c>
      <c r="H766" s="411">
        <v>162.18</v>
      </c>
      <c r="I766" s="89">
        <f t="shared" si="124"/>
        <v>-14.5962</v>
      </c>
      <c r="J766" s="90">
        <f t="shared" si="125"/>
        <v>-3.3814199999999999</v>
      </c>
      <c r="K766" s="396">
        <f t="shared" si="123"/>
        <v>144.20238000000001</v>
      </c>
      <c r="L766" s="131">
        <v>235</v>
      </c>
      <c r="M766" s="187">
        <v>33.17</v>
      </c>
      <c r="N766" s="91">
        <f t="shared" si="118"/>
        <v>91.92</v>
      </c>
      <c r="O766" s="411">
        <f t="shared" si="116"/>
        <v>52.282380000000003</v>
      </c>
      <c r="P766" s="132" t="s">
        <v>52</v>
      </c>
      <c r="Q766" s="232"/>
      <c r="R766" s="411"/>
      <c r="T766" s="134" t="s">
        <v>145</v>
      </c>
      <c r="U766" s="267" t="s">
        <v>1964</v>
      </c>
      <c r="AA766" s="218"/>
    </row>
    <row r="767" spans="1:27" ht="24" x14ac:dyDescent="0.25">
      <c r="A767" s="405">
        <v>3000577</v>
      </c>
      <c r="B767" s="406">
        <v>42405</v>
      </c>
      <c r="C767" s="405" t="s">
        <v>42</v>
      </c>
      <c r="D767" s="401" t="s">
        <v>1965</v>
      </c>
      <c r="E767" s="120">
        <v>100</v>
      </c>
      <c r="F767" s="133" t="s">
        <v>247</v>
      </c>
      <c r="G767" s="404" t="s">
        <v>45</v>
      </c>
      <c r="H767" s="411">
        <v>121.39</v>
      </c>
      <c r="I767" s="89">
        <f t="shared" si="124"/>
        <v>-10.9251</v>
      </c>
      <c r="J767" s="90">
        <f t="shared" si="125"/>
        <v>-2.6064099999999999</v>
      </c>
      <c r="K767" s="396">
        <f t="shared" si="123"/>
        <v>107.85849</v>
      </c>
      <c r="L767" s="131">
        <v>580</v>
      </c>
      <c r="M767" s="187">
        <v>25.08</v>
      </c>
      <c r="N767" s="91">
        <f t="shared" si="118"/>
        <v>83.08</v>
      </c>
      <c r="O767" s="411">
        <f t="shared" si="116"/>
        <v>24.778490000000005</v>
      </c>
      <c r="P767" s="132" t="s">
        <v>86</v>
      </c>
      <c r="Q767" s="232"/>
      <c r="R767" s="411"/>
      <c r="T767" s="134" t="s">
        <v>145</v>
      </c>
      <c r="U767" s="267" t="s">
        <v>1966</v>
      </c>
      <c r="AA767" s="218"/>
    </row>
    <row r="768" spans="1:27" ht="24" x14ac:dyDescent="0.25">
      <c r="A768" s="405">
        <v>3000578</v>
      </c>
      <c r="B768" s="406">
        <v>42405</v>
      </c>
      <c r="C768" s="405" t="s">
        <v>63</v>
      </c>
      <c r="D768" s="401" t="s">
        <v>1967</v>
      </c>
      <c r="E768" s="120">
        <v>300</v>
      </c>
      <c r="F768" s="133" t="s">
        <v>605</v>
      </c>
      <c r="G768" s="404" t="s">
        <v>45</v>
      </c>
      <c r="H768" s="411">
        <v>420</v>
      </c>
      <c r="I768" s="411">
        <v>0</v>
      </c>
      <c r="J768" s="90">
        <f>-((H768*0.022)+0.3)</f>
        <v>-9.5400000000000009</v>
      </c>
      <c r="K768" s="396">
        <f t="shared" si="123"/>
        <v>410.46</v>
      </c>
      <c r="L768" s="131">
        <v>600</v>
      </c>
      <c r="M768" s="187">
        <v>61.91</v>
      </c>
      <c r="N768" s="91">
        <f t="shared" si="118"/>
        <v>241.91</v>
      </c>
      <c r="O768" s="411">
        <f t="shared" si="116"/>
        <v>168.54999999999998</v>
      </c>
      <c r="P768" s="132" t="s">
        <v>52</v>
      </c>
      <c r="Q768" s="232"/>
      <c r="R768" s="411"/>
      <c r="T768" s="134" t="s">
        <v>145</v>
      </c>
      <c r="U768" s="267" t="s">
        <v>1968</v>
      </c>
      <c r="W768" s="153" t="s">
        <v>1969</v>
      </c>
      <c r="AA768" s="218"/>
    </row>
    <row r="769" spans="1:27" ht="24" x14ac:dyDescent="0.25">
      <c r="A769" s="405">
        <v>3000579</v>
      </c>
      <c r="B769" s="406">
        <v>42405</v>
      </c>
      <c r="C769" s="405" t="s">
        <v>237</v>
      </c>
      <c r="D769" s="401" t="s">
        <v>1970</v>
      </c>
      <c r="E769" s="120">
        <v>250</v>
      </c>
      <c r="F769" s="133" t="s">
        <v>972</v>
      </c>
      <c r="G769" s="404" t="s">
        <v>45</v>
      </c>
      <c r="H769" s="411">
        <v>139.19</v>
      </c>
      <c r="I769" s="89">
        <f>-(H769*0.15)</f>
        <v>-20.878499999999999</v>
      </c>
      <c r="J769" s="411">
        <v>0</v>
      </c>
      <c r="K769" s="396">
        <f t="shared" si="123"/>
        <v>118.3115</v>
      </c>
      <c r="M769" s="187">
        <v>28.38</v>
      </c>
      <c r="N769" s="91">
        <f t="shared" si="118"/>
        <v>28.38</v>
      </c>
      <c r="O769" s="411">
        <f t="shared" si="116"/>
        <v>89.9315</v>
      </c>
      <c r="P769" s="132" t="s">
        <v>52</v>
      </c>
      <c r="Q769" s="232"/>
      <c r="R769" s="411"/>
      <c r="T769" s="134" t="s">
        <v>145</v>
      </c>
      <c r="U769" s="267" t="s">
        <v>1971</v>
      </c>
      <c r="AA769" s="218"/>
    </row>
    <row r="770" spans="1:27" ht="24" x14ac:dyDescent="0.25">
      <c r="A770" s="405">
        <v>3000580</v>
      </c>
      <c r="B770" s="406">
        <v>42405</v>
      </c>
      <c r="C770" s="405" t="s">
        <v>237</v>
      </c>
      <c r="D770" s="401" t="s">
        <v>1972</v>
      </c>
      <c r="E770" s="120">
        <v>150</v>
      </c>
      <c r="F770" s="133" t="s">
        <v>247</v>
      </c>
      <c r="G770" s="404" t="s">
        <v>45</v>
      </c>
      <c r="H770" s="411">
        <v>175.94</v>
      </c>
      <c r="I770" s="89">
        <f>-(H770*0.15)</f>
        <v>-26.390999999999998</v>
      </c>
      <c r="J770" s="411">
        <v>0</v>
      </c>
      <c r="K770" s="396">
        <f t="shared" si="123"/>
        <v>149.54900000000001</v>
      </c>
      <c r="L770" s="131">
        <v>580</v>
      </c>
      <c r="M770" s="187">
        <v>21.02</v>
      </c>
      <c r="N770" s="91">
        <f t="shared" si="118"/>
        <v>108.02</v>
      </c>
      <c r="O770" s="411">
        <f t="shared" si="116"/>
        <v>41.529000000000011</v>
      </c>
      <c r="P770" s="132" t="s">
        <v>86</v>
      </c>
      <c r="Q770" s="232"/>
      <c r="R770" s="411"/>
      <c r="T770" s="134" t="s">
        <v>145</v>
      </c>
      <c r="U770" s="267" t="s">
        <v>1973</v>
      </c>
      <c r="AA770" s="218"/>
    </row>
    <row r="771" spans="1:27" x14ac:dyDescent="0.25">
      <c r="A771" s="405">
        <v>3000581</v>
      </c>
      <c r="B771" s="406">
        <v>42405</v>
      </c>
      <c r="C771" s="405" t="s">
        <v>237</v>
      </c>
      <c r="D771" s="401" t="s">
        <v>1974</v>
      </c>
      <c r="E771" s="120">
        <v>1000</v>
      </c>
      <c r="F771" s="133" t="s">
        <v>1975</v>
      </c>
      <c r="G771" s="404" t="s">
        <v>45</v>
      </c>
      <c r="H771" s="411">
        <v>182.65</v>
      </c>
      <c r="I771" s="89">
        <f>-(H771*0.15)</f>
        <v>-27.397500000000001</v>
      </c>
      <c r="J771" s="411">
        <v>0</v>
      </c>
      <c r="K771" s="396">
        <f t="shared" si="123"/>
        <v>155.2525</v>
      </c>
      <c r="L771" s="131">
        <v>100</v>
      </c>
      <c r="N771" s="91">
        <f t="shared" si="118"/>
        <v>100</v>
      </c>
      <c r="O771" s="411">
        <f t="shared" si="116"/>
        <v>55.252499999999998</v>
      </c>
      <c r="P771" s="132" t="s">
        <v>42</v>
      </c>
      <c r="Q771" s="232"/>
      <c r="R771" s="411"/>
      <c r="T771" s="134" t="s">
        <v>314</v>
      </c>
      <c r="U771" s="267" t="s">
        <v>1976</v>
      </c>
      <c r="AA771" s="218"/>
    </row>
    <row r="772" spans="1:27" ht="24" x14ac:dyDescent="0.25">
      <c r="A772" s="405">
        <v>3000582</v>
      </c>
      <c r="B772" s="406">
        <v>42408</v>
      </c>
      <c r="C772" s="405" t="s">
        <v>63</v>
      </c>
      <c r="D772" s="401" t="s">
        <v>1977</v>
      </c>
      <c r="E772" s="120">
        <v>500</v>
      </c>
      <c r="F772" s="133" t="s">
        <v>1978</v>
      </c>
      <c r="G772" s="404" t="s">
        <v>45</v>
      </c>
      <c r="H772" s="411">
        <v>310</v>
      </c>
      <c r="I772" s="411">
        <v>0</v>
      </c>
      <c r="J772" s="90">
        <f>-((H772*0.022)+0.3)</f>
        <v>-7.1199999999999992</v>
      </c>
      <c r="K772" s="396">
        <f t="shared" si="123"/>
        <v>302.88</v>
      </c>
      <c r="L772" s="158">
        <v>391.58</v>
      </c>
      <c r="M772" s="158">
        <v>46.39</v>
      </c>
      <c r="N772" s="91">
        <f t="shared" si="118"/>
        <v>242.18</v>
      </c>
      <c r="O772" s="411">
        <f t="shared" si="116"/>
        <v>60.699999999999989</v>
      </c>
      <c r="P772" s="132" t="s">
        <v>76</v>
      </c>
      <c r="Q772" s="232"/>
      <c r="R772" s="411"/>
      <c r="T772" s="134" t="s">
        <v>204</v>
      </c>
      <c r="U772" s="267" t="s">
        <v>1979</v>
      </c>
      <c r="W772" s="153" t="s">
        <v>1980</v>
      </c>
      <c r="AA772" s="218"/>
    </row>
    <row r="773" spans="1:27" ht="24" x14ac:dyDescent="0.25">
      <c r="A773" s="405">
        <v>3000583</v>
      </c>
      <c r="B773" s="406">
        <v>42408</v>
      </c>
      <c r="C773" s="405" t="s">
        <v>159</v>
      </c>
      <c r="D773" s="401" t="s">
        <v>1981</v>
      </c>
      <c r="E773" s="120">
        <v>100</v>
      </c>
      <c r="F773" s="133" t="s">
        <v>247</v>
      </c>
      <c r="G773" s="404" t="s">
        <v>45</v>
      </c>
      <c r="H773" s="411">
        <v>112</v>
      </c>
      <c r="I773" s="411">
        <v>0</v>
      </c>
      <c r="J773" s="90">
        <f t="shared" ref="J773:J779" si="126">-((H773*0.019)+0.3)</f>
        <v>-2.4279999999999999</v>
      </c>
      <c r="K773" s="396">
        <f t="shared" si="123"/>
        <v>109.572</v>
      </c>
      <c r="L773" s="131">
        <v>580</v>
      </c>
      <c r="M773" s="187">
        <v>22.32</v>
      </c>
      <c r="N773" s="91">
        <f t="shared" si="118"/>
        <v>80.319999999999993</v>
      </c>
      <c r="O773" s="411">
        <f t="shared" si="116"/>
        <v>29.25200000000001</v>
      </c>
      <c r="P773" s="132" t="s">
        <v>86</v>
      </c>
      <c r="Q773" s="232"/>
      <c r="R773" s="411"/>
      <c r="T773" s="134" t="s">
        <v>145</v>
      </c>
      <c r="U773" s="267" t="s">
        <v>1982</v>
      </c>
      <c r="W773" s="153" t="s">
        <v>1983</v>
      </c>
      <c r="AA773" s="218"/>
    </row>
    <row r="774" spans="1:27" ht="24" x14ac:dyDescent="0.25">
      <c r="A774" s="405">
        <v>3000584</v>
      </c>
      <c r="B774" s="406">
        <v>42408</v>
      </c>
      <c r="C774" s="405" t="s">
        <v>42</v>
      </c>
      <c r="D774" s="401" t="s">
        <v>1984</v>
      </c>
      <c r="E774" s="120">
        <v>200</v>
      </c>
      <c r="F774" s="133" t="s">
        <v>247</v>
      </c>
      <c r="G774" s="404" t="s">
        <v>45</v>
      </c>
      <c r="H774" s="411">
        <v>242.77</v>
      </c>
      <c r="I774" s="89">
        <f t="shared" ref="I774" si="127">-(H774*0.09)</f>
        <v>-21.849299999999999</v>
      </c>
      <c r="J774" s="90">
        <f t="shared" si="126"/>
        <v>-4.9126300000000001</v>
      </c>
      <c r="K774" s="396">
        <f t="shared" si="123"/>
        <v>216.00807</v>
      </c>
      <c r="L774" s="131">
        <v>580</v>
      </c>
      <c r="M774" s="187">
        <v>42.13</v>
      </c>
      <c r="N774" s="91">
        <f t="shared" si="118"/>
        <v>158.13</v>
      </c>
      <c r="O774" s="411">
        <f t="shared" si="116"/>
        <v>57.878070000000008</v>
      </c>
      <c r="P774" s="132" t="s">
        <v>86</v>
      </c>
      <c r="Q774" s="232"/>
      <c r="R774" s="411"/>
      <c r="T774" s="134" t="s">
        <v>145</v>
      </c>
      <c r="U774" s="267" t="s">
        <v>1985</v>
      </c>
      <c r="AA774" s="218"/>
    </row>
    <row r="775" spans="1:27" x14ac:dyDescent="0.25">
      <c r="A775" s="405">
        <v>3000585</v>
      </c>
      <c r="B775" s="406">
        <v>42408</v>
      </c>
      <c r="C775" s="405" t="s">
        <v>159</v>
      </c>
      <c r="D775" s="401" t="s">
        <v>1986</v>
      </c>
      <c r="E775" s="120">
        <v>220</v>
      </c>
      <c r="F775" s="133" t="s">
        <v>51</v>
      </c>
      <c r="G775" s="404" t="s">
        <v>45</v>
      </c>
      <c r="H775" s="411">
        <v>404.8</v>
      </c>
      <c r="I775" s="411">
        <v>0</v>
      </c>
      <c r="J775" s="90">
        <f t="shared" si="126"/>
        <v>-7.9912000000000001</v>
      </c>
      <c r="K775" s="396">
        <f t="shared" si="123"/>
        <v>396.80880000000002</v>
      </c>
      <c r="L775" s="131">
        <v>1015</v>
      </c>
      <c r="M775" s="158">
        <v>90</v>
      </c>
      <c r="N775" s="91">
        <f t="shared" si="118"/>
        <v>313.3</v>
      </c>
      <c r="O775" s="411">
        <f t="shared" si="116"/>
        <v>83.508800000000008</v>
      </c>
      <c r="P775" s="132" t="s">
        <v>52</v>
      </c>
      <c r="Q775" s="232"/>
      <c r="R775" s="411"/>
      <c r="T775" s="134" t="s">
        <v>1987</v>
      </c>
      <c r="U775" s="267" t="s">
        <v>1988</v>
      </c>
      <c r="V775" s="133" t="s">
        <v>55</v>
      </c>
      <c r="W775" s="153" t="s">
        <v>1989</v>
      </c>
      <c r="AA775" s="218"/>
    </row>
    <row r="776" spans="1:27" ht="24" x14ac:dyDescent="0.25">
      <c r="A776" s="405">
        <v>3000586</v>
      </c>
      <c r="B776" s="406">
        <v>42408</v>
      </c>
      <c r="C776" s="405" t="s">
        <v>159</v>
      </c>
      <c r="D776" s="401" t="s">
        <v>1990</v>
      </c>
      <c r="E776" s="120">
        <v>82</v>
      </c>
      <c r="F776" s="133" t="s">
        <v>1991</v>
      </c>
      <c r="G776" s="404" t="s">
        <v>45</v>
      </c>
      <c r="H776" s="411">
        <v>497.74</v>
      </c>
      <c r="I776" s="411">
        <v>0</v>
      </c>
      <c r="J776" s="90">
        <f t="shared" si="126"/>
        <v>-9.757060000000001</v>
      </c>
      <c r="K776" s="396">
        <f t="shared" si="123"/>
        <v>487.98293999999999</v>
      </c>
      <c r="L776" s="158">
        <v>3350</v>
      </c>
      <c r="M776" s="158">
        <v>30.46</v>
      </c>
      <c r="N776" s="91">
        <f t="shared" si="118"/>
        <v>305.15999999999997</v>
      </c>
      <c r="O776" s="411">
        <f t="shared" si="116"/>
        <v>182.82294000000002</v>
      </c>
      <c r="P776" s="132" t="s">
        <v>183</v>
      </c>
      <c r="Q776" s="232"/>
      <c r="R776" s="411"/>
      <c r="T776" s="134" t="s">
        <v>145</v>
      </c>
      <c r="U776" s="267" t="s">
        <v>1992</v>
      </c>
      <c r="W776" s="153" t="s">
        <v>1993</v>
      </c>
      <c r="AA776" s="218"/>
    </row>
    <row r="777" spans="1:27" x14ac:dyDescent="0.25">
      <c r="A777" s="405">
        <v>3000587</v>
      </c>
      <c r="B777" s="406">
        <v>42408</v>
      </c>
      <c r="C777" s="405" t="s">
        <v>78</v>
      </c>
      <c r="D777" s="401" t="s">
        <v>1994</v>
      </c>
      <c r="E777" s="120">
        <v>225</v>
      </c>
      <c r="F777" s="133" t="s">
        <v>288</v>
      </c>
      <c r="G777" s="404" t="s">
        <v>45</v>
      </c>
      <c r="H777" s="411">
        <v>377</v>
      </c>
      <c r="I777" s="411">
        <v>0</v>
      </c>
      <c r="J777" s="90">
        <f t="shared" si="126"/>
        <v>-7.4630000000000001</v>
      </c>
      <c r="K777" s="396">
        <f t="shared" si="123"/>
        <v>369.53699999999998</v>
      </c>
      <c r="L777" s="131">
        <v>1069</v>
      </c>
      <c r="M777" s="131">
        <v>90</v>
      </c>
      <c r="N777" s="91">
        <f t="shared" si="118"/>
        <v>330.52499999999998</v>
      </c>
      <c r="O777" s="411">
        <f t="shared" ref="O777:O840" si="128">K777-N777</f>
        <v>39.012</v>
      </c>
      <c r="P777" s="132" t="s">
        <v>86</v>
      </c>
      <c r="Q777" s="232"/>
      <c r="R777" s="411"/>
      <c r="T777" s="134" t="s">
        <v>1987</v>
      </c>
      <c r="U777" s="267" t="s">
        <v>1995</v>
      </c>
      <c r="V777" s="133" t="s">
        <v>55</v>
      </c>
      <c r="W777" s="153" t="s">
        <v>1996</v>
      </c>
      <c r="AA777" s="218"/>
    </row>
    <row r="778" spans="1:27" ht="24" x14ac:dyDescent="0.25">
      <c r="A778" s="405">
        <v>3000588</v>
      </c>
      <c r="B778" s="406">
        <v>42408</v>
      </c>
      <c r="C778" s="405" t="s">
        <v>42</v>
      </c>
      <c r="D778" s="401" t="s">
        <v>1997</v>
      </c>
      <c r="E778" s="120">
        <v>400</v>
      </c>
      <c r="F778" s="133" t="s">
        <v>227</v>
      </c>
      <c r="G778" s="404" t="s">
        <v>45</v>
      </c>
      <c r="H778" s="411">
        <v>321.10000000000002</v>
      </c>
      <c r="I778" s="89">
        <f t="shared" ref="I778:I784" si="129">-(H778*0.09)</f>
        <v>-28.899000000000001</v>
      </c>
      <c r="J778" s="90">
        <f t="shared" si="126"/>
        <v>-6.4009</v>
      </c>
      <c r="K778" s="396">
        <f t="shared" si="123"/>
        <v>285.80010000000004</v>
      </c>
      <c r="L778" s="131">
        <v>350</v>
      </c>
      <c r="M778" s="187">
        <v>45.59</v>
      </c>
      <c r="N778" s="91">
        <f t="shared" si="118"/>
        <v>185.59</v>
      </c>
      <c r="O778" s="411">
        <f t="shared" si="128"/>
        <v>100.21010000000004</v>
      </c>
      <c r="P778" s="132" t="s">
        <v>52</v>
      </c>
      <c r="Q778" s="232"/>
      <c r="R778" s="411">
        <v>21.01</v>
      </c>
      <c r="S778" s="133" t="s">
        <v>1998</v>
      </c>
      <c r="T778" s="134" t="s">
        <v>145</v>
      </c>
      <c r="U778" s="267" t="s">
        <v>1999</v>
      </c>
      <c r="AA778" s="218"/>
    </row>
    <row r="779" spans="1:27" ht="24" x14ac:dyDescent="0.25">
      <c r="A779" s="419">
        <v>3000589</v>
      </c>
      <c r="B779" s="421">
        <v>42408</v>
      </c>
      <c r="C779" s="419" t="s">
        <v>42</v>
      </c>
      <c r="D779" s="417" t="s">
        <v>2000</v>
      </c>
      <c r="E779" s="120">
        <v>100</v>
      </c>
      <c r="F779" s="133" t="s">
        <v>288</v>
      </c>
      <c r="G779" s="434" t="s">
        <v>45</v>
      </c>
      <c r="H779" s="427">
        <v>323.44</v>
      </c>
      <c r="I779" s="452">
        <f t="shared" si="129"/>
        <v>-29.1096</v>
      </c>
      <c r="J779" s="425">
        <f t="shared" si="126"/>
        <v>-6.44536</v>
      </c>
      <c r="K779" s="425">
        <f t="shared" si="123"/>
        <v>287.88504</v>
      </c>
      <c r="L779" s="131">
        <v>1069</v>
      </c>
      <c r="M779" s="187">
        <v>23.82</v>
      </c>
      <c r="N779" s="91">
        <f t="shared" ref="N779:N842" si="130">((L779)*(E779*0.001))+M779</f>
        <v>130.72</v>
      </c>
      <c r="O779" s="411">
        <f t="shared" si="128"/>
        <v>157.16504</v>
      </c>
      <c r="P779" s="132" t="s">
        <v>86</v>
      </c>
      <c r="Q779" s="232"/>
      <c r="R779" s="411"/>
      <c r="T779" s="134" t="s">
        <v>145</v>
      </c>
      <c r="U779" s="267" t="s">
        <v>2001</v>
      </c>
      <c r="AA779" s="218"/>
    </row>
    <row r="780" spans="1:27" ht="24" x14ac:dyDescent="0.25">
      <c r="A780" s="420"/>
      <c r="B780" s="422"/>
      <c r="C780" s="420"/>
      <c r="D780" s="418"/>
      <c r="E780" s="120">
        <v>100</v>
      </c>
      <c r="F780" s="133" t="s">
        <v>1475</v>
      </c>
      <c r="G780" s="436"/>
      <c r="H780" s="428"/>
      <c r="I780" s="453"/>
      <c r="J780" s="426"/>
      <c r="K780" s="426"/>
      <c r="M780" s="187">
        <v>17.829999999999998</v>
      </c>
      <c r="N780" s="91">
        <f t="shared" si="130"/>
        <v>17.829999999999998</v>
      </c>
      <c r="O780" s="411">
        <f t="shared" si="128"/>
        <v>-17.829999999999998</v>
      </c>
      <c r="P780" s="132" t="s">
        <v>52</v>
      </c>
      <c r="Q780" s="232"/>
      <c r="R780" s="411"/>
      <c r="T780" s="134" t="s">
        <v>145</v>
      </c>
      <c r="U780" s="267" t="s">
        <v>2002</v>
      </c>
      <c r="V780" s="133" t="s">
        <v>2003</v>
      </c>
      <c r="AA780" s="218"/>
    </row>
    <row r="781" spans="1:27" ht="24" x14ac:dyDescent="0.25">
      <c r="A781" s="405">
        <v>3000590</v>
      </c>
      <c r="B781" s="406">
        <v>42408</v>
      </c>
      <c r="C781" s="405" t="s">
        <v>42</v>
      </c>
      <c r="D781" s="401" t="s">
        <v>2004</v>
      </c>
      <c r="E781" s="120">
        <v>100</v>
      </c>
      <c r="F781" s="133" t="s">
        <v>247</v>
      </c>
      <c r="G781" s="404" t="s">
        <v>45</v>
      </c>
      <c r="H781" s="411">
        <v>121.39</v>
      </c>
      <c r="I781" s="89">
        <f t="shared" si="129"/>
        <v>-10.9251</v>
      </c>
      <c r="J781" s="90">
        <f>-((H781*0.019)+0.3)</f>
        <v>-2.6064099999999999</v>
      </c>
      <c r="K781" s="396">
        <f t="shared" si="123"/>
        <v>107.85849</v>
      </c>
      <c r="L781" s="131">
        <v>580</v>
      </c>
      <c r="M781" s="187">
        <v>27</v>
      </c>
      <c r="N781" s="91">
        <f t="shared" si="130"/>
        <v>85</v>
      </c>
      <c r="O781" s="411">
        <f t="shared" si="128"/>
        <v>22.858490000000003</v>
      </c>
      <c r="P781" s="132" t="s">
        <v>86</v>
      </c>
      <c r="Q781" s="232"/>
      <c r="R781" s="411"/>
      <c r="T781" s="134" t="s">
        <v>145</v>
      </c>
      <c r="U781" s="267" t="s">
        <v>2005</v>
      </c>
      <c r="AA781" s="218"/>
    </row>
    <row r="782" spans="1:27" ht="24" x14ac:dyDescent="0.25">
      <c r="A782" s="405">
        <v>3000591</v>
      </c>
      <c r="B782" s="406">
        <v>42408</v>
      </c>
      <c r="C782" s="405" t="s">
        <v>42</v>
      </c>
      <c r="D782" s="401" t="s">
        <v>2006</v>
      </c>
      <c r="E782" s="120">
        <v>100</v>
      </c>
      <c r="F782" s="133" t="s">
        <v>2007</v>
      </c>
      <c r="G782" s="404" t="s">
        <v>45</v>
      </c>
      <c r="H782" s="411">
        <v>243.7</v>
      </c>
      <c r="I782" s="89">
        <f t="shared" si="129"/>
        <v>-21.933</v>
      </c>
      <c r="J782" s="90">
        <f>-((H782*0.019)+0.3)</f>
        <v>-4.9302999999999999</v>
      </c>
      <c r="K782" s="396">
        <f t="shared" si="123"/>
        <v>216.83670000000001</v>
      </c>
      <c r="M782" s="187">
        <v>25.6</v>
      </c>
      <c r="N782" s="91">
        <f t="shared" si="130"/>
        <v>25.6</v>
      </c>
      <c r="O782" s="411">
        <f t="shared" si="128"/>
        <v>191.23670000000001</v>
      </c>
      <c r="P782" s="132" t="s">
        <v>86</v>
      </c>
      <c r="Q782" s="232"/>
      <c r="R782" s="411"/>
      <c r="T782" s="134" t="s">
        <v>145</v>
      </c>
      <c r="U782" s="267" t="s">
        <v>2008</v>
      </c>
      <c r="AA782" s="218"/>
    </row>
    <row r="783" spans="1:27" ht="24" x14ac:dyDescent="0.25">
      <c r="A783" s="405">
        <v>3000592</v>
      </c>
      <c r="B783" s="406">
        <v>42408</v>
      </c>
      <c r="C783" s="405" t="s">
        <v>42</v>
      </c>
      <c r="D783" s="401" t="s">
        <v>1095</v>
      </c>
      <c r="E783" s="120">
        <v>250</v>
      </c>
      <c r="F783" s="133" t="s">
        <v>165</v>
      </c>
      <c r="G783" s="404" t="s">
        <v>45</v>
      </c>
      <c r="H783" s="411">
        <v>250.89</v>
      </c>
      <c r="I783" s="89">
        <f t="shared" si="129"/>
        <v>-22.580099999999998</v>
      </c>
      <c r="J783" s="90">
        <f>-((H783*0.019)+0.3)</f>
        <v>-5.0669099999999991</v>
      </c>
      <c r="K783" s="396">
        <f t="shared" si="123"/>
        <v>223.24298999999999</v>
      </c>
      <c r="L783" s="131">
        <v>480</v>
      </c>
      <c r="M783" s="187">
        <v>30.93</v>
      </c>
      <c r="N783" s="91">
        <f t="shared" si="130"/>
        <v>150.93</v>
      </c>
      <c r="O783" s="411">
        <f t="shared" si="128"/>
        <v>72.312989999999985</v>
      </c>
      <c r="P783" s="132" t="s">
        <v>52</v>
      </c>
      <c r="Q783" s="232"/>
      <c r="R783" s="411"/>
      <c r="T783" s="134" t="s">
        <v>145</v>
      </c>
      <c r="U783" s="267" t="s">
        <v>2009</v>
      </c>
      <c r="AA783" s="218"/>
    </row>
    <row r="784" spans="1:27" ht="24" x14ac:dyDescent="0.25">
      <c r="A784" s="419">
        <v>3000593</v>
      </c>
      <c r="B784" s="421">
        <v>42408</v>
      </c>
      <c r="C784" s="419" t="s">
        <v>42</v>
      </c>
      <c r="D784" s="417" t="s">
        <v>2010</v>
      </c>
      <c r="E784" s="120">
        <v>250</v>
      </c>
      <c r="F784" s="133" t="s">
        <v>207</v>
      </c>
      <c r="G784" s="434" t="s">
        <v>45</v>
      </c>
      <c r="H784" s="427">
        <v>1581.35</v>
      </c>
      <c r="I784" s="452">
        <f t="shared" si="129"/>
        <v>-142.32149999999999</v>
      </c>
      <c r="J784" s="425">
        <f>-((H784*0.019)+0.3)</f>
        <v>-30.345649999999999</v>
      </c>
      <c r="K784" s="425">
        <f t="shared" si="123"/>
        <v>1408.6828499999999</v>
      </c>
      <c r="L784" s="158">
        <v>570</v>
      </c>
      <c r="M784" s="158">
        <v>34.29</v>
      </c>
      <c r="N784" s="91">
        <f t="shared" si="130"/>
        <v>176.79</v>
      </c>
      <c r="O784" s="411">
        <f t="shared" si="128"/>
        <v>1231.89285</v>
      </c>
      <c r="P784" s="132" t="s">
        <v>46</v>
      </c>
      <c r="Q784" s="232"/>
      <c r="R784" s="411"/>
      <c r="T784" s="439" t="s">
        <v>204</v>
      </c>
      <c r="U784" s="267" t="s">
        <v>2011</v>
      </c>
      <c r="AA784" s="218"/>
    </row>
    <row r="785" spans="1:27" ht="24" x14ac:dyDescent="0.25">
      <c r="A785" s="432"/>
      <c r="B785" s="433"/>
      <c r="C785" s="432"/>
      <c r="D785" s="454"/>
      <c r="E785" s="120">
        <v>250</v>
      </c>
      <c r="F785" s="133" t="s">
        <v>2012</v>
      </c>
      <c r="G785" s="435"/>
      <c r="H785" s="438"/>
      <c r="I785" s="484"/>
      <c r="J785" s="437"/>
      <c r="K785" s="437"/>
      <c r="L785" s="158">
        <v>1000</v>
      </c>
      <c r="M785" s="158">
        <v>51.37</v>
      </c>
      <c r="N785" s="91">
        <f t="shared" si="130"/>
        <v>301.37</v>
      </c>
      <c r="O785" s="411">
        <f t="shared" si="128"/>
        <v>-301.37</v>
      </c>
      <c r="P785" s="132" t="s">
        <v>46</v>
      </c>
      <c r="Q785" s="232"/>
      <c r="R785" s="411"/>
      <c r="T785" s="440"/>
      <c r="U785" s="267" t="s">
        <v>2013</v>
      </c>
      <c r="AA785" s="218"/>
    </row>
    <row r="786" spans="1:27" ht="24" x14ac:dyDescent="0.25">
      <c r="A786" s="432"/>
      <c r="B786" s="433"/>
      <c r="C786" s="432"/>
      <c r="D786" s="454"/>
      <c r="E786" s="120">
        <v>250</v>
      </c>
      <c r="F786" s="133" t="s">
        <v>2014</v>
      </c>
      <c r="G786" s="435"/>
      <c r="H786" s="438"/>
      <c r="I786" s="484"/>
      <c r="J786" s="437"/>
      <c r="K786" s="437"/>
      <c r="L786" s="158">
        <v>510</v>
      </c>
      <c r="M786" s="158">
        <v>11.38</v>
      </c>
      <c r="N786" s="91">
        <f t="shared" si="130"/>
        <v>138.88</v>
      </c>
      <c r="O786" s="411">
        <f t="shared" si="128"/>
        <v>-138.88</v>
      </c>
      <c r="P786" s="132" t="s">
        <v>46</v>
      </c>
      <c r="Q786" s="232"/>
      <c r="R786" s="411"/>
      <c r="T786" s="440"/>
      <c r="U786" s="267" t="s">
        <v>2015</v>
      </c>
      <c r="AA786" s="218"/>
    </row>
    <row r="787" spans="1:27" ht="24" x14ac:dyDescent="0.25">
      <c r="A787" s="432"/>
      <c r="B787" s="433"/>
      <c r="C787" s="432"/>
      <c r="D787" s="454"/>
      <c r="E787" s="120">
        <v>250</v>
      </c>
      <c r="F787" s="133" t="s">
        <v>1586</v>
      </c>
      <c r="G787" s="435"/>
      <c r="H787" s="438"/>
      <c r="I787" s="484"/>
      <c r="J787" s="437"/>
      <c r="K787" s="437"/>
      <c r="L787" s="158">
        <v>850</v>
      </c>
      <c r="M787" s="158">
        <v>49.28</v>
      </c>
      <c r="N787" s="91">
        <f t="shared" si="130"/>
        <v>261.77999999999997</v>
      </c>
      <c r="O787" s="411">
        <f t="shared" si="128"/>
        <v>-261.77999999999997</v>
      </c>
      <c r="P787" s="132" t="s">
        <v>46</v>
      </c>
      <c r="Q787" s="232"/>
      <c r="R787" s="411"/>
      <c r="T787" s="440"/>
      <c r="U787" s="267" t="s">
        <v>2016</v>
      </c>
      <c r="AA787" s="218"/>
    </row>
    <row r="788" spans="1:27" ht="24" x14ac:dyDescent="0.25">
      <c r="A788" s="420"/>
      <c r="B788" s="422"/>
      <c r="C788" s="420"/>
      <c r="D788" s="418"/>
      <c r="E788" s="120">
        <v>250</v>
      </c>
      <c r="F788" s="133" t="s">
        <v>451</v>
      </c>
      <c r="G788" s="436"/>
      <c r="H788" s="428"/>
      <c r="I788" s="453"/>
      <c r="J788" s="426"/>
      <c r="K788" s="426"/>
      <c r="L788" s="158">
        <v>337.38</v>
      </c>
      <c r="N788" s="91">
        <f t="shared" si="130"/>
        <v>84.344999999999999</v>
      </c>
      <c r="O788" s="411">
        <f t="shared" si="128"/>
        <v>-84.344999999999999</v>
      </c>
      <c r="P788" s="132" t="s">
        <v>46</v>
      </c>
      <c r="Q788" s="232"/>
      <c r="R788" s="411"/>
      <c r="T788" s="441"/>
      <c r="U788" s="267" t="s">
        <v>2011</v>
      </c>
      <c r="AA788" s="218"/>
    </row>
    <row r="789" spans="1:27" ht="24" x14ac:dyDescent="0.25">
      <c r="A789" s="405">
        <v>3000594</v>
      </c>
      <c r="B789" s="406">
        <v>42408</v>
      </c>
      <c r="C789" s="405" t="s">
        <v>42</v>
      </c>
      <c r="D789" s="401" t="s">
        <v>2017</v>
      </c>
      <c r="E789" s="120">
        <v>1000</v>
      </c>
      <c r="F789" s="133" t="s">
        <v>835</v>
      </c>
      <c r="G789" s="404" t="s">
        <v>45</v>
      </c>
      <c r="H789" s="411">
        <v>3047.04</v>
      </c>
      <c r="I789" s="89">
        <f t="shared" ref="I789:I796" si="131">-(H789*0.09)</f>
        <v>-274.23359999999997</v>
      </c>
      <c r="J789" s="90">
        <f t="shared" ref="J789:J796" si="132">-((H789*0.019)+0.3)</f>
        <v>-58.193759999999997</v>
      </c>
      <c r="K789" s="396">
        <f t="shared" ref="K789:K855" si="133">SUM(H789:J789)</f>
        <v>2714.6126399999998</v>
      </c>
      <c r="L789" s="158">
        <v>1856.96</v>
      </c>
      <c r="M789" s="158">
        <v>138.44999999999999</v>
      </c>
      <c r="N789" s="91">
        <f t="shared" si="130"/>
        <v>1995.41</v>
      </c>
      <c r="O789" s="411">
        <f t="shared" si="128"/>
        <v>719.20263999999975</v>
      </c>
      <c r="P789" s="132" t="s">
        <v>76</v>
      </c>
      <c r="Q789" s="232"/>
      <c r="R789" s="411"/>
      <c r="T789" s="134" t="s">
        <v>2018</v>
      </c>
      <c r="U789" s="267" t="s">
        <v>2019</v>
      </c>
      <c r="V789" s="133" t="s">
        <v>2020</v>
      </c>
      <c r="AA789" s="218"/>
    </row>
    <row r="790" spans="1:27" ht="24" x14ac:dyDescent="0.25">
      <c r="A790" s="405">
        <v>3000595</v>
      </c>
      <c r="B790" s="406">
        <v>42408</v>
      </c>
      <c r="C790" s="405" t="s">
        <v>42</v>
      </c>
      <c r="D790" s="401" t="s">
        <v>2021</v>
      </c>
      <c r="E790" s="120">
        <v>50</v>
      </c>
      <c r="F790" s="133" t="s">
        <v>431</v>
      </c>
      <c r="G790" s="404" t="s">
        <v>45</v>
      </c>
      <c r="H790" s="411">
        <v>135.09</v>
      </c>
      <c r="I790" s="89">
        <f t="shared" si="131"/>
        <v>-12.158099999999999</v>
      </c>
      <c r="J790" s="90">
        <f t="shared" si="132"/>
        <v>-2.8667099999999999</v>
      </c>
      <c r="K790" s="396">
        <f t="shared" si="133"/>
        <v>120.06519</v>
      </c>
      <c r="L790" s="131">
        <v>1130</v>
      </c>
      <c r="M790" s="187">
        <v>15.46</v>
      </c>
      <c r="N790" s="91">
        <f t="shared" si="130"/>
        <v>71.960000000000008</v>
      </c>
      <c r="O790" s="411">
        <f t="shared" si="128"/>
        <v>48.105189999999993</v>
      </c>
      <c r="P790" s="132" t="s">
        <v>86</v>
      </c>
      <c r="Q790" s="232"/>
      <c r="R790" s="411"/>
      <c r="T790" s="134" t="s">
        <v>145</v>
      </c>
      <c r="U790" s="267" t="s">
        <v>2022</v>
      </c>
      <c r="AA790" s="218"/>
    </row>
    <row r="791" spans="1:27" ht="24" x14ac:dyDescent="0.25">
      <c r="A791" s="405">
        <v>3000596</v>
      </c>
      <c r="B791" s="406">
        <v>42408</v>
      </c>
      <c r="C791" s="405" t="s">
        <v>42</v>
      </c>
      <c r="D791" s="401" t="s">
        <v>2023</v>
      </c>
      <c r="E791" s="120">
        <v>100</v>
      </c>
      <c r="F791" s="133" t="s">
        <v>1273</v>
      </c>
      <c r="G791" s="404" t="s">
        <v>45</v>
      </c>
      <c r="H791" s="411">
        <v>256.5</v>
      </c>
      <c r="I791" s="89">
        <f t="shared" si="131"/>
        <v>-23.085000000000001</v>
      </c>
      <c r="J791" s="90">
        <f t="shared" si="132"/>
        <v>-5.1734999999999998</v>
      </c>
      <c r="K791" s="396">
        <f t="shared" si="133"/>
        <v>228.2415</v>
      </c>
      <c r="L791" s="131">
        <v>675</v>
      </c>
      <c r="M791" s="187">
        <v>18.899999999999999</v>
      </c>
      <c r="N791" s="91">
        <f t="shared" si="130"/>
        <v>86.4</v>
      </c>
      <c r="O791" s="411">
        <f t="shared" si="128"/>
        <v>141.8415</v>
      </c>
      <c r="P791" s="132" t="s">
        <v>86</v>
      </c>
      <c r="Q791" s="232"/>
      <c r="R791" s="411">
        <v>19</v>
      </c>
      <c r="S791" s="133" t="s">
        <v>2024</v>
      </c>
      <c r="T791" s="134" t="s">
        <v>145</v>
      </c>
      <c r="U791" s="267" t="s">
        <v>2025</v>
      </c>
      <c r="AA791" s="218"/>
    </row>
    <row r="792" spans="1:27" ht="24" x14ac:dyDescent="0.25">
      <c r="A792" s="405">
        <v>3000597</v>
      </c>
      <c r="B792" s="406">
        <v>42408</v>
      </c>
      <c r="C792" s="405" t="s">
        <v>42</v>
      </c>
      <c r="D792" s="401" t="s">
        <v>2026</v>
      </c>
      <c r="E792" s="120">
        <v>175</v>
      </c>
      <c r="F792" s="133" t="s">
        <v>165</v>
      </c>
      <c r="G792" s="404" t="s">
        <v>45</v>
      </c>
      <c r="H792" s="411">
        <v>175.62</v>
      </c>
      <c r="I792" s="89">
        <f t="shared" si="131"/>
        <v>-15.8058</v>
      </c>
      <c r="J792" s="90">
        <f t="shared" si="132"/>
        <v>-3.6367799999999999</v>
      </c>
      <c r="K792" s="396">
        <f t="shared" si="133"/>
        <v>156.17742000000001</v>
      </c>
      <c r="L792" s="131">
        <v>480</v>
      </c>
      <c r="M792" s="187">
        <v>27.92</v>
      </c>
      <c r="N792" s="91">
        <f t="shared" si="130"/>
        <v>111.92000000000002</v>
      </c>
      <c r="O792" s="411">
        <f t="shared" si="128"/>
        <v>44.257419999999996</v>
      </c>
      <c r="P792" s="132" t="s">
        <v>52</v>
      </c>
      <c r="Q792" s="232"/>
      <c r="R792" s="411"/>
      <c r="T792" s="134" t="s">
        <v>145</v>
      </c>
      <c r="U792" s="267" t="s">
        <v>2027</v>
      </c>
      <c r="AA792" s="218"/>
    </row>
    <row r="793" spans="1:27" ht="24" x14ac:dyDescent="0.25">
      <c r="A793" s="405">
        <v>3000598</v>
      </c>
      <c r="B793" s="406">
        <v>42408</v>
      </c>
      <c r="C793" s="405" t="s">
        <v>42</v>
      </c>
      <c r="D793" s="401" t="s">
        <v>2028</v>
      </c>
      <c r="E793" s="120">
        <v>500</v>
      </c>
      <c r="F793" s="133" t="s">
        <v>2029</v>
      </c>
      <c r="G793" s="404" t="s">
        <v>45</v>
      </c>
      <c r="H793" s="411">
        <v>499.7</v>
      </c>
      <c r="I793" s="89">
        <f t="shared" si="131"/>
        <v>-44.972999999999999</v>
      </c>
      <c r="J793" s="90">
        <f t="shared" si="132"/>
        <v>-9.7942999999999998</v>
      </c>
      <c r="K793" s="396">
        <f t="shared" si="133"/>
        <v>444.93269999999995</v>
      </c>
      <c r="L793" s="131">
        <v>570</v>
      </c>
      <c r="M793" s="187">
        <v>51.61</v>
      </c>
      <c r="N793" s="91">
        <f t="shared" si="130"/>
        <v>336.61</v>
      </c>
      <c r="O793" s="411">
        <f t="shared" si="128"/>
        <v>108.32269999999994</v>
      </c>
      <c r="P793" s="132" t="s">
        <v>52</v>
      </c>
      <c r="Q793" s="232"/>
      <c r="R793" s="411"/>
      <c r="T793" s="134" t="s">
        <v>145</v>
      </c>
      <c r="U793" s="266" t="s">
        <v>2030</v>
      </c>
      <c r="AA793" s="218"/>
    </row>
    <row r="794" spans="1:27" ht="24" x14ac:dyDescent="0.25">
      <c r="A794" s="405">
        <v>3000599</v>
      </c>
      <c r="B794" s="406">
        <v>42408</v>
      </c>
      <c r="C794" s="405" t="s">
        <v>42</v>
      </c>
      <c r="D794" s="401" t="s">
        <v>2031</v>
      </c>
      <c r="E794" s="120">
        <v>50</v>
      </c>
      <c r="F794" s="133" t="s">
        <v>300</v>
      </c>
      <c r="G794" s="404" t="s">
        <v>45</v>
      </c>
      <c r="H794" s="411">
        <v>203.08</v>
      </c>
      <c r="I794" s="89">
        <f t="shared" si="131"/>
        <v>-18.277200000000001</v>
      </c>
      <c r="J794" s="90">
        <f t="shared" si="132"/>
        <v>-4.1585200000000002</v>
      </c>
      <c r="K794" s="396">
        <f t="shared" si="133"/>
        <v>180.64428000000001</v>
      </c>
      <c r="L794" s="131">
        <v>2200</v>
      </c>
      <c r="M794" s="187">
        <v>22.14</v>
      </c>
      <c r="N794" s="91">
        <f t="shared" si="130"/>
        <v>132.13999999999999</v>
      </c>
      <c r="O794" s="411">
        <f t="shared" si="128"/>
        <v>48.504280000000023</v>
      </c>
      <c r="P794" s="132" t="s">
        <v>52</v>
      </c>
      <c r="Q794" s="232"/>
      <c r="R794" s="411"/>
      <c r="T794" s="134" t="s">
        <v>145</v>
      </c>
      <c r="U794" s="267" t="s">
        <v>2032</v>
      </c>
      <c r="AA794" s="218"/>
    </row>
    <row r="795" spans="1:27" ht="24" x14ac:dyDescent="0.25">
      <c r="A795" s="405">
        <v>3000600</v>
      </c>
      <c r="B795" s="406">
        <v>42408</v>
      </c>
      <c r="C795" s="405" t="s">
        <v>42</v>
      </c>
      <c r="D795" s="401" t="s">
        <v>2033</v>
      </c>
      <c r="E795" s="120">
        <v>250</v>
      </c>
      <c r="F795" s="133" t="s">
        <v>288</v>
      </c>
      <c r="G795" s="404" t="s">
        <v>45</v>
      </c>
      <c r="H795" s="411">
        <v>419.75</v>
      </c>
      <c r="I795" s="89">
        <f t="shared" si="131"/>
        <v>-37.777499999999996</v>
      </c>
      <c r="J795" s="90">
        <f t="shared" si="132"/>
        <v>-8.2752499999999998</v>
      </c>
      <c r="K795" s="396">
        <f t="shared" si="133"/>
        <v>373.69725000000005</v>
      </c>
      <c r="L795" s="131">
        <v>1069</v>
      </c>
      <c r="M795" s="187">
        <v>59.34</v>
      </c>
      <c r="N795" s="91">
        <f t="shared" si="130"/>
        <v>326.59000000000003</v>
      </c>
      <c r="O795" s="411">
        <f t="shared" si="128"/>
        <v>47.107250000000022</v>
      </c>
      <c r="P795" s="132" t="s">
        <v>86</v>
      </c>
      <c r="Q795" s="232"/>
      <c r="R795" s="411"/>
      <c r="T795" s="134" t="s">
        <v>145</v>
      </c>
      <c r="U795" s="267" t="s">
        <v>2034</v>
      </c>
      <c r="AA795" s="218"/>
    </row>
    <row r="796" spans="1:27" ht="24" x14ac:dyDescent="0.25">
      <c r="A796" s="405">
        <v>3000601</v>
      </c>
      <c r="B796" s="406">
        <v>42408</v>
      </c>
      <c r="C796" s="405" t="s">
        <v>42</v>
      </c>
      <c r="D796" s="401" t="s">
        <v>2035</v>
      </c>
      <c r="E796" s="120">
        <v>100</v>
      </c>
      <c r="F796" s="133" t="s">
        <v>51</v>
      </c>
      <c r="G796" s="404" t="s">
        <v>45</v>
      </c>
      <c r="H796" s="411">
        <v>251.63</v>
      </c>
      <c r="I796" s="89">
        <f t="shared" si="131"/>
        <v>-22.646699999999999</v>
      </c>
      <c r="J796" s="90">
        <f t="shared" si="132"/>
        <v>-5.0809699999999998</v>
      </c>
      <c r="K796" s="396">
        <f t="shared" si="133"/>
        <v>223.90232999999998</v>
      </c>
      <c r="L796" s="131">
        <v>1015</v>
      </c>
      <c r="M796" s="187">
        <v>59.64</v>
      </c>
      <c r="N796" s="91">
        <f t="shared" si="130"/>
        <v>161.13999999999999</v>
      </c>
      <c r="O796" s="411">
        <f t="shared" si="128"/>
        <v>62.762329999999992</v>
      </c>
      <c r="P796" s="132" t="s">
        <v>52</v>
      </c>
      <c r="Q796" s="232"/>
      <c r="R796" s="411"/>
      <c r="T796" s="134" t="s">
        <v>145</v>
      </c>
      <c r="U796" s="267" t="s">
        <v>2036</v>
      </c>
      <c r="AA796" s="218"/>
    </row>
    <row r="797" spans="1:27" x14ac:dyDescent="0.25">
      <c r="A797" s="405">
        <v>3000602</v>
      </c>
      <c r="B797" s="406">
        <v>42408</v>
      </c>
      <c r="C797" s="405" t="s">
        <v>63</v>
      </c>
      <c r="D797" s="401" t="s">
        <v>2037</v>
      </c>
      <c r="E797" s="120">
        <v>5000</v>
      </c>
      <c r="F797" s="133" t="s">
        <v>2038</v>
      </c>
      <c r="G797" s="404" t="s">
        <v>45</v>
      </c>
      <c r="H797" s="411">
        <v>500</v>
      </c>
      <c r="I797" s="411">
        <v>0</v>
      </c>
      <c r="J797" s="90">
        <f>-((H797*0.022)+0.3)</f>
        <v>-11.3</v>
      </c>
      <c r="K797" s="396">
        <f t="shared" si="133"/>
        <v>488.7</v>
      </c>
      <c r="L797" s="131">
        <v>279.89999999999998</v>
      </c>
      <c r="N797" s="91">
        <f t="shared" si="130"/>
        <v>1399.5</v>
      </c>
      <c r="O797" s="411">
        <f t="shared" si="128"/>
        <v>-910.8</v>
      </c>
      <c r="P797" s="132" t="s">
        <v>42</v>
      </c>
      <c r="Q797" s="232"/>
      <c r="R797" s="411"/>
      <c r="T797" s="134" t="s">
        <v>314</v>
      </c>
      <c r="U797" s="267" t="s">
        <v>2039</v>
      </c>
      <c r="W797" s="153" t="s">
        <v>2040</v>
      </c>
      <c r="AA797" s="218"/>
    </row>
    <row r="798" spans="1:27" ht="24" x14ac:dyDescent="0.25">
      <c r="A798" s="405">
        <v>3000603</v>
      </c>
      <c r="B798" s="406">
        <v>42408</v>
      </c>
      <c r="C798" s="405" t="s">
        <v>237</v>
      </c>
      <c r="D798" s="401" t="s">
        <v>2041</v>
      </c>
      <c r="E798" s="120">
        <v>500</v>
      </c>
      <c r="F798" s="133" t="s">
        <v>1978</v>
      </c>
      <c r="G798" s="404" t="s">
        <v>45</v>
      </c>
      <c r="H798" s="411">
        <v>357.72</v>
      </c>
      <c r="I798" s="89">
        <f>-(H798*0.15)</f>
        <v>-53.658000000000001</v>
      </c>
      <c r="J798" s="411">
        <v>0</v>
      </c>
      <c r="K798" s="396">
        <f t="shared" si="133"/>
        <v>304.06200000000001</v>
      </c>
      <c r="L798" s="158">
        <v>391.58</v>
      </c>
      <c r="M798" s="158">
        <v>54</v>
      </c>
      <c r="N798" s="91">
        <f t="shared" si="130"/>
        <v>249.79</v>
      </c>
      <c r="O798" s="411">
        <f t="shared" si="128"/>
        <v>54.27200000000002</v>
      </c>
      <c r="P798" s="132" t="s">
        <v>76</v>
      </c>
      <c r="Q798" s="232"/>
      <c r="R798" s="411"/>
      <c r="T798" s="134" t="s">
        <v>204</v>
      </c>
      <c r="U798" s="267" t="s">
        <v>2042</v>
      </c>
      <c r="AA798" s="218"/>
    </row>
    <row r="799" spans="1:27" ht="24" x14ac:dyDescent="0.25">
      <c r="A799" s="405">
        <v>3000604</v>
      </c>
      <c r="B799" s="406">
        <v>42408</v>
      </c>
      <c r="C799" s="405" t="s">
        <v>237</v>
      </c>
      <c r="D799" s="401" t="s">
        <v>2043</v>
      </c>
      <c r="E799" s="120">
        <v>50</v>
      </c>
      <c r="F799" s="133" t="s">
        <v>288</v>
      </c>
      <c r="G799" s="404" t="s">
        <v>45</v>
      </c>
      <c r="H799" s="411">
        <v>100</v>
      </c>
      <c r="I799" s="89">
        <f>-(H799*0.15)</f>
        <v>-15</v>
      </c>
      <c r="J799" s="411">
        <v>0</v>
      </c>
      <c r="K799" s="396">
        <f t="shared" si="133"/>
        <v>85</v>
      </c>
      <c r="L799" s="131">
        <v>1069</v>
      </c>
      <c r="N799" s="91">
        <f t="shared" si="130"/>
        <v>53.45</v>
      </c>
      <c r="O799" s="411">
        <f t="shared" si="128"/>
        <v>31.549999999999997</v>
      </c>
      <c r="P799" s="132" t="s">
        <v>86</v>
      </c>
      <c r="Q799" s="232"/>
      <c r="R799" s="411"/>
      <c r="T799" s="134" t="s">
        <v>204</v>
      </c>
      <c r="U799" s="267" t="s">
        <v>2044</v>
      </c>
      <c r="AA799" s="218"/>
    </row>
    <row r="800" spans="1:27" ht="24" x14ac:dyDescent="0.25">
      <c r="A800" s="405">
        <v>3000605</v>
      </c>
      <c r="B800" s="406">
        <v>42408</v>
      </c>
      <c r="C800" s="405" t="s">
        <v>237</v>
      </c>
      <c r="D800" s="401" t="s">
        <v>2045</v>
      </c>
      <c r="E800" s="120">
        <v>200</v>
      </c>
      <c r="F800" s="133" t="s">
        <v>2046</v>
      </c>
      <c r="G800" s="404" t="s">
        <v>45</v>
      </c>
      <c r="H800" s="411">
        <v>309.12</v>
      </c>
      <c r="I800" s="89">
        <f>-(H800*0.15)</f>
        <v>-46.368000000000002</v>
      </c>
      <c r="J800" s="411">
        <v>0</v>
      </c>
      <c r="K800" s="396">
        <f t="shared" si="133"/>
        <v>262.75200000000001</v>
      </c>
      <c r="L800" s="131">
        <v>922</v>
      </c>
      <c r="M800" s="187">
        <v>57.72</v>
      </c>
      <c r="N800" s="91">
        <f t="shared" si="130"/>
        <v>242.12</v>
      </c>
      <c r="O800" s="411">
        <f t="shared" si="128"/>
        <v>20.632000000000005</v>
      </c>
      <c r="P800" s="132" t="s">
        <v>52</v>
      </c>
      <c r="Q800" s="232"/>
      <c r="R800" s="411"/>
      <c r="T800" s="134" t="s">
        <v>145</v>
      </c>
      <c r="U800" s="267" t="s">
        <v>2047</v>
      </c>
      <c r="AA800" s="218"/>
    </row>
    <row r="801" spans="1:27" ht="24" x14ac:dyDescent="0.25">
      <c r="A801" s="405">
        <v>3000606</v>
      </c>
      <c r="B801" s="406">
        <v>42408</v>
      </c>
      <c r="C801" s="405" t="s">
        <v>237</v>
      </c>
      <c r="D801" s="401" t="s">
        <v>2048</v>
      </c>
      <c r="E801" s="120">
        <v>50</v>
      </c>
      <c r="F801" s="133" t="s">
        <v>161</v>
      </c>
      <c r="G801" s="404" t="s">
        <v>45</v>
      </c>
      <c r="H801" s="411">
        <v>114.84</v>
      </c>
      <c r="I801" s="89">
        <f>-(H801*0.15)</f>
        <v>-17.225999999999999</v>
      </c>
      <c r="J801" s="411">
        <v>0</v>
      </c>
      <c r="K801" s="396">
        <f t="shared" si="133"/>
        <v>97.614000000000004</v>
      </c>
      <c r="L801" s="131">
        <v>1350</v>
      </c>
      <c r="M801" s="131">
        <v>22.04</v>
      </c>
      <c r="N801" s="91">
        <f t="shared" si="130"/>
        <v>89.539999999999992</v>
      </c>
      <c r="O801" s="411">
        <f t="shared" si="128"/>
        <v>8.0740000000000123</v>
      </c>
      <c r="P801" s="132" t="s">
        <v>52</v>
      </c>
      <c r="Q801" s="232"/>
      <c r="R801" s="411"/>
      <c r="T801" s="134" t="s">
        <v>145</v>
      </c>
      <c r="U801" s="267" t="s">
        <v>2049</v>
      </c>
      <c r="AA801" s="218"/>
    </row>
    <row r="802" spans="1:27" ht="24" x14ac:dyDescent="0.25">
      <c r="A802" s="405">
        <v>3000607</v>
      </c>
      <c r="B802" s="406">
        <v>42408</v>
      </c>
      <c r="C802" s="405" t="s">
        <v>237</v>
      </c>
      <c r="D802" s="401" t="s">
        <v>2050</v>
      </c>
      <c r="E802" s="120">
        <v>50</v>
      </c>
      <c r="F802" s="133" t="s">
        <v>431</v>
      </c>
      <c r="G802" s="404" t="s">
        <v>45</v>
      </c>
      <c r="H802" s="411">
        <v>136.37</v>
      </c>
      <c r="I802" s="89">
        <f>-(H802*0.15)</f>
        <v>-20.455500000000001</v>
      </c>
      <c r="J802" s="411">
        <v>0</v>
      </c>
      <c r="K802" s="396">
        <f t="shared" si="133"/>
        <v>115.9145</v>
      </c>
      <c r="L802" s="131">
        <v>1130</v>
      </c>
      <c r="M802" s="187">
        <v>35.25</v>
      </c>
      <c r="N802" s="91">
        <f t="shared" si="130"/>
        <v>91.75</v>
      </c>
      <c r="O802" s="411">
        <f t="shared" si="128"/>
        <v>24.164500000000004</v>
      </c>
      <c r="P802" s="132" t="s">
        <v>52</v>
      </c>
      <c r="Q802" s="232"/>
      <c r="R802" s="411"/>
      <c r="T802" s="134" t="s">
        <v>145</v>
      </c>
      <c r="U802" s="267" t="s">
        <v>2051</v>
      </c>
      <c r="AA802" s="218"/>
    </row>
    <row r="803" spans="1:27" ht="24" x14ac:dyDescent="0.25">
      <c r="A803" s="405">
        <v>3000608</v>
      </c>
      <c r="B803" s="406">
        <v>42408</v>
      </c>
      <c r="C803" s="405" t="s">
        <v>280</v>
      </c>
      <c r="D803" s="401" t="s">
        <v>2052</v>
      </c>
      <c r="E803" s="120">
        <v>250</v>
      </c>
      <c r="F803" s="133" t="s">
        <v>2053</v>
      </c>
      <c r="G803" s="404" t="s">
        <v>45</v>
      </c>
      <c r="H803" s="411">
        <v>250</v>
      </c>
      <c r="I803" s="411">
        <v>0</v>
      </c>
      <c r="J803" s="90">
        <f>-((H803*0.022)+0.3)</f>
        <v>-5.8</v>
      </c>
      <c r="K803" s="396">
        <f t="shared" si="133"/>
        <v>244.2</v>
      </c>
      <c r="L803" s="158">
        <v>269.42</v>
      </c>
      <c r="M803" s="158">
        <v>14.87</v>
      </c>
      <c r="N803" s="91">
        <f t="shared" si="130"/>
        <v>82.225000000000009</v>
      </c>
      <c r="O803" s="411">
        <f t="shared" si="128"/>
        <v>161.97499999999997</v>
      </c>
      <c r="P803" s="132" t="s">
        <v>2054</v>
      </c>
      <c r="Q803" s="232"/>
      <c r="R803" s="411"/>
      <c r="T803" s="134" t="s">
        <v>145</v>
      </c>
      <c r="U803" s="267" t="s">
        <v>2055</v>
      </c>
      <c r="W803" s="153" t="s">
        <v>2056</v>
      </c>
      <c r="AA803" s="218"/>
    </row>
    <row r="804" spans="1:27" ht="24" x14ac:dyDescent="0.25">
      <c r="A804" s="405">
        <v>3000609</v>
      </c>
      <c r="B804" s="406">
        <v>42408</v>
      </c>
      <c r="C804" s="405" t="s">
        <v>237</v>
      </c>
      <c r="D804" s="401" t="s">
        <v>2057</v>
      </c>
      <c r="E804" s="120">
        <v>100</v>
      </c>
      <c r="F804" s="133" t="s">
        <v>161</v>
      </c>
      <c r="G804" s="404" t="s">
        <v>45</v>
      </c>
      <c r="H804" s="411">
        <v>276.49</v>
      </c>
      <c r="I804" s="89">
        <f>-(H804*0.15)</f>
        <v>-41.473500000000001</v>
      </c>
      <c r="J804" s="411">
        <v>0</v>
      </c>
      <c r="K804" s="396">
        <f t="shared" si="133"/>
        <v>235.01650000000001</v>
      </c>
      <c r="L804" s="131">
        <v>1350</v>
      </c>
      <c r="M804" s="187">
        <v>27.58</v>
      </c>
      <c r="N804" s="91">
        <f t="shared" si="130"/>
        <v>162.57999999999998</v>
      </c>
      <c r="O804" s="411">
        <f t="shared" si="128"/>
        <v>72.436500000000024</v>
      </c>
      <c r="P804" s="132" t="s">
        <v>52</v>
      </c>
      <c r="Q804" s="232"/>
      <c r="R804" s="411"/>
      <c r="T804" s="134" t="s">
        <v>145</v>
      </c>
      <c r="U804" s="267" t="s">
        <v>2058</v>
      </c>
      <c r="AA804" s="218"/>
    </row>
    <row r="805" spans="1:27" x14ac:dyDescent="0.25">
      <c r="A805" s="405">
        <v>3000610</v>
      </c>
      <c r="B805" s="406">
        <v>42409</v>
      </c>
      <c r="C805" s="405" t="s">
        <v>63</v>
      </c>
      <c r="D805" s="401" t="s">
        <v>2059</v>
      </c>
      <c r="E805" s="120">
        <v>1000</v>
      </c>
      <c r="F805" s="133" t="s">
        <v>2060</v>
      </c>
      <c r="G805" s="404" t="s">
        <v>45</v>
      </c>
      <c r="H805" s="411">
        <v>2180</v>
      </c>
      <c r="I805" s="411">
        <v>0</v>
      </c>
      <c r="J805" s="90">
        <f>-((H805*0.022)+0.3)</f>
        <v>-48.259999999999991</v>
      </c>
      <c r="K805" s="396">
        <f t="shared" si="133"/>
        <v>2131.7399999999998</v>
      </c>
      <c r="L805" s="158">
        <v>1630</v>
      </c>
      <c r="M805" s="131">
        <v>0</v>
      </c>
      <c r="N805" s="91">
        <f t="shared" si="130"/>
        <v>1630</v>
      </c>
      <c r="O805" s="411">
        <f t="shared" si="128"/>
        <v>501.73999999999978</v>
      </c>
      <c r="P805" s="132" t="s">
        <v>926</v>
      </c>
      <c r="Q805" s="232"/>
      <c r="R805" s="411"/>
      <c r="T805" s="134" t="s">
        <v>639</v>
      </c>
      <c r="U805" s="266">
        <v>141374564</v>
      </c>
      <c r="W805" s="153" t="s">
        <v>2061</v>
      </c>
      <c r="AA805" s="218"/>
    </row>
    <row r="806" spans="1:27" ht="24" x14ac:dyDescent="0.25">
      <c r="A806" s="405">
        <v>3000611</v>
      </c>
      <c r="B806" s="406">
        <v>42409</v>
      </c>
      <c r="C806" s="405" t="s">
        <v>141</v>
      </c>
      <c r="D806" s="401" t="s">
        <v>2062</v>
      </c>
      <c r="E806" s="120">
        <v>100</v>
      </c>
      <c r="F806" s="133" t="s">
        <v>2063</v>
      </c>
      <c r="G806" s="404" t="s">
        <v>45</v>
      </c>
      <c r="H806" s="411">
        <v>318</v>
      </c>
      <c r="I806" s="411">
        <v>0</v>
      </c>
      <c r="J806" s="90">
        <f>-((H806*0.0325)+0.3)</f>
        <v>-10.635000000000002</v>
      </c>
      <c r="K806" s="396">
        <f t="shared" si="133"/>
        <v>307.36500000000001</v>
      </c>
      <c r="L806" s="158">
        <v>2210</v>
      </c>
      <c r="M806" s="187">
        <v>55.19</v>
      </c>
      <c r="N806" s="91">
        <f t="shared" si="130"/>
        <v>276.19</v>
      </c>
      <c r="O806" s="411">
        <f t="shared" si="128"/>
        <v>31.175000000000011</v>
      </c>
      <c r="P806" s="132" t="s">
        <v>926</v>
      </c>
      <c r="Q806" s="232"/>
      <c r="R806" s="411"/>
      <c r="T806" s="134" t="s">
        <v>145</v>
      </c>
      <c r="U806" s="267" t="s">
        <v>2064</v>
      </c>
      <c r="W806" s="153" t="s">
        <v>2065</v>
      </c>
      <c r="AA806" s="218"/>
    </row>
    <row r="807" spans="1:27" x14ac:dyDescent="0.25">
      <c r="A807" s="419">
        <v>3000612</v>
      </c>
      <c r="B807" s="421">
        <v>42409</v>
      </c>
      <c r="C807" s="419" t="s">
        <v>63</v>
      </c>
      <c r="D807" s="417" t="s">
        <v>2066</v>
      </c>
      <c r="E807" s="120">
        <v>2000</v>
      </c>
      <c r="F807" s="133" t="s">
        <v>451</v>
      </c>
      <c r="G807" s="434" t="s">
        <v>45</v>
      </c>
      <c r="H807" s="427">
        <v>1330</v>
      </c>
      <c r="I807" s="427">
        <v>0</v>
      </c>
      <c r="J807" s="425">
        <f>-((H807*0.022)+0.3)</f>
        <v>-29.56</v>
      </c>
      <c r="K807" s="425">
        <f t="shared" si="133"/>
        <v>1300.44</v>
      </c>
      <c r="L807" s="131">
        <v>300</v>
      </c>
      <c r="M807" s="468">
        <v>122.59</v>
      </c>
      <c r="N807" s="91">
        <f t="shared" si="130"/>
        <v>722.59</v>
      </c>
      <c r="O807" s="411">
        <f t="shared" si="128"/>
        <v>577.85</v>
      </c>
      <c r="P807" s="132" t="s">
        <v>52</v>
      </c>
      <c r="Q807" s="232"/>
      <c r="R807" s="411"/>
      <c r="T807" s="439" t="s">
        <v>1947</v>
      </c>
      <c r="U807" s="446" t="s">
        <v>2067</v>
      </c>
      <c r="V807" s="133" t="s">
        <v>2020</v>
      </c>
      <c r="W807" s="153" t="s">
        <v>2068</v>
      </c>
      <c r="AA807" s="218"/>
    </row>
    <row r="808" spans="1:27" x14ac:dyDescent="0.25">
      <c r="A808" s="420"/>
      <c r="B808" s="422"/>
      <c r="C808" s="420"/>
      <c r="D808" s="418"/>
      <c r="E808" s="120">
        <v>250</v>
      </c>
      <c r="F808" s="133" t="s">
        <v>307</v>
      </c>
      <c r="G808" s="436"/>
      <c r="H808" s="428"/>
      <c r="I808" s="428"/>
      <c r="J808" s="426"/>
      <c r="K808" s="426"/>
      <c r="L808" s="131">
        <v>690</v>
      </c>
      <c r="M808" s="469"/>
      <c r="N808" s="91">
        <f t="shared" si="130"/>
        <v>172.5</v>
      </c>
      <c r="O808" s="411">
        <f t="shared" si="128"/>
        <v>-172.5</v>
      </c>
      <c r="P808" s="132" t="s">
        <v>52</v>
      </c>
      <c r="Q808" s="232"/>
      <c r="R808" s="411"/>
      <c r="T808" s="441"/>
      <c r="U808" s="447"/>
      <c r="AA808" s="218"/>
    </row>
    <row r="809" spans="1:27" ht="24" x14ac:dyDescent="0.25">
      <c r="A809" s="405">
        <v>3000613</v>
      </c>
      <c r="B809" s="406">
        <v>42409</v>
      </c>
      <c r="C809" s="405" t="s">
        <v>63</v>
      </c>
      <c r="D809" s="401" t="s">
        <v>2069</v>
      </c>
      <c r="E809" s="120">
        <v>200</v>
      </c>
      <c r="F809" s="133" t="s">
        <v>860</v>
      </c>
      <c r="G809" s="404" t="s">
        <v>45</v>
      </c>
      <c r="H809" s="411">
        <v>1300</v>
      </c>
      <c r="I809" s="411">
        <v>0</v>
      </c>
      <c r="J809" s="90">
        <f>-((H809*0.022)+0.3)</f>
        <v>-28.9</v>
      </c>
      <c r="K809" s="396">
        <f t="shared" si="133"/>
        <v>1271.0999999999999</v>
      </c>
      <c r="L809" s="131">
        <v>3700</v>
      </c>
      <c r="M809" s="187">
        <v>133.81</v>
      </c>
      <c r="N809" s="91">
        <f t="shared" si="130"/>
        <v>873.81</v>
      </c>
      <c r="O809" s="411">
        <f t="shared" si="128"/>
        <v>397.28999999999996</v>
      </c>
      <c r="P809" s="132" t="s">
        <v>52</v>
      </c>
      <c r="Q809" s="232"/>
      <c r="R809" s="411"/>
      <c r="T809" s="134" t="s">
        <v>1563</v>
      </c>
      <c r="U809" s="267" t="s">
        <v>2070</v>
      </c>
      <c r="V809" s="133" t="s">
        <v>2020</v>
      </c>
      <c r="W809" s="153" t="s">
        <v>2071</v>
      </c>
      <c r="AA809" s="218"/>
    </row>
    <row r="810" spans="1:27" ht="24" x14ac:dyDescent="0.25">
      <c r="A810" s="405">
        <v>3000614</v>
      </c>
      <c r="B810" s="406">
        <v>42409</v>
      </c>
      <c r="C810" s="405" t="s">
        <v>327</v>
      </c>
      <c r="D810" s="401" t="s">
        <v>2072</v>
      </c>
      <c r="E810" s="120">
        <v>48</v>
      </c>
      <c r="F810" s="133" t="s">
        <v>2073</v>
      </c>
      <c r="G810" s="404" t="s">
        <v>45</v>
      </c>
      <c r="H810" s="411">
        <v>332</v>
      </c>
      <c r="I810" s="411">
        <v>0</v>
      </c>
      <c r="J810" s="90">
        <f>-((H810*0.022)+0.3)</f>
        <v>-7.6039999999999992</v>
      </c>
      <c r="K810" s="396">
        <f t="shared" si="133"/>
        <v>324.39600000000002</v>
      </c>
      <c r="L810" s="158">
        <v>3050</v>
      </c>
      <c r="M810" s="187">
        <v>22.58</v>
      </c>
      <c r="N810" s="91">
        <f t="shared" si="130"/>
        <v>168.98000000000002</v>
      </c>
      <c r="O810" s="411">
        <f t="shared" si="128"/>
        <v>155.416</v>
      </c>
      <c r="P810" s="132" t="s">
        <v>601</v>
      </c>
      <c r="Q810" s="232"/>
      <c r="R810" s="411"/>
      <c r="T810" s="134" t="s">
        <v>145</v>
      </c>
      <c r="U810" s="267" t="s">
        <v>2074</v>
      </c>
      <c r="V810" s="181"/>
      <c r="W810" s="153" t="s">
        <v>2075</v>
      </c>
      <c r="AA810" s="218"/>
    </row>
    <row r="811" spans="1:27" ht="24" x14ac:dyDescent="0.25">
      <c r="A811" s="405">
        <v>3000615</v>
      </c>
      <c r="B811" s="406">
        <v>42409</v>
      </c>
      <c r="C811" s="405" t="s">
        <v>42</v>
      </c>
      <c r="D811" s="401" t="s">
        <v>2076</v>
      </c>
      <c r="E811" s="120">
        <v>100</v>
      </c>
      <c r="F811" s="133" t="s">
        <v>161</v>
      </c>
      <c r="G811" s="404" t="s">
        <v>45</v>
      </c>
      <c r="H811" s="411">
        <v>235</v>
      </c>
      <c r="I811" s="89">
        <f t="shared" ref="I811:I816" si="134">-(H811*0.09)</f>
        <v>-21.15</v>
      </c>
      <c r="J811" s="90">
        <f t="shared" ref="J811:J816" si="135">-((H811*0.019)+0.3)</f>
        <v>-4.7649999999999997</v>
      </c>
      <c r="K811" s="396">
        <f t="shared" si="133"/>
        <v>209.08500000000001</v>
      </c>
      <c r="L811" s="131">
        <v>1350</v>
      </c>
      <c r="M811" s="187">
        <v>30.67</v>
      </c>
      <c r="N811" s="91">
        <f t="shared" si="130"/>
        <v>165.67000000000002</v>
      </c>
      <c r="O811" s="411">
        <f t="shared" si="128"/>
        <v>43.414999999999992</v>
      </c>
      <c r="P811" s="132" t="s">
        <v>52</v>
      </c>
      <c r="Q811" s="232"/>
      <c r="R811" s="411"/>
      <c r="T811" s="134" t="s">
        <v>145</v>
      </c>
      <c r="U811" s="267" t="s">
        <v>2077</v>
      </c>
      <c r="AA811" s="218"/>
    </row>
    <row r="812" spans="1:27" ht="24" x14ac:dyDescent="0.25">
      <c r="A812" s="405">
        <v>3000616</v>
      </c>
      <c r="B812" s="406">
        <v>42409</v>
      </c>
      <c r="C812" s="405" t="s">
        <v>42</v>
      </c>
      <c r="D812" s="401" t="s">
        <v>2078</v>
      </c>
      <c r="E812" s="120">
        <v>100</v>
      </c>
      <c r="F812" s="133" t="s">
        <v>300</v>
      </c>
      <c r="G812" s="404" t="s">
        <v>45</v>
      </c>
      <c r="H812" s="411">
        <v>427.5</v>
      </c>
      <c r="I812" s="89">
        <f t="shared" si="134"/>
        <v>-38.475000000000001</v>
      </c>
      <c r="J812" s="90">
        <f t="shared" si="135"/>
        <v>-8.4225000000000012</v>
      </c>
      <c r="K812" s="396">
        <f t="shared" si="133"/>
        <v>380.60249999999996</v>
      </c>
      <c r="L812" s="131">
        <v>2200</v>
      </c>
      <c r="M812" s="187">
        <v>58.02</v>
      </c>
      <c r="N812" s="91">
        <f t="shared" si="130"/>
        <v>278.02</v>
      </c>
      <c r="O812" s="411">
        <f t="shared" si="128"/>
        <v>102.58249999999998</v>
      </c>
      <c r="P812" s="132" t="s">
        <v>52</v>
      </c>
      <c r="Q812" s="232"/>
      <c r="R812" s="411"/>
      <c r="T812" s="134" t="s">
        <v>145</v>
      </c>
      <c r="U812" s="267" t="s">
        <v>2079</v>
      </c>
      <c r="AA812" s="218"/>
    </row>
    <row r="813" spans="1:27" ht="24" x14ac:dyDescent="0.25">
      <c r="A813" s="405">
        <v>3000617</v>
      </c>
      <c r="B813" s="406">
        <v>42409</v>
      </c>
      <c r="C813" s="405" t="s">
        <v>42</v>
      </c>
      <c r="D813" s="401" t="s">
        <v>2080</v>
      </c>
      <c r="E813" s="120">
        <v>200</v>
      </c>
      <c r="F813" s="133" t="s">
        <v>161</v>
      </c>
      <c r="G813" s="404" t="s">
        <v>45</v>
      </c>
      <c r="H813" s="411">
        <v>427.02</v>
      </c>
      <c r="I813" s="89">
        <f t="shared" si="134"/>
        <v>-38.431799999999996</v>
      </c>
      <c r="J813" s="90">
        <f t="shared" si="135"/>
        <v>-8.4133800000000001</v>
      </c>
      <c r="K813" s="396">
        <f t="shared" si="133"/>
        <v>380.17481999999995</v>
      </c>
      <c r="L813" s="131">
        <v>1350</v>
      </c>
      <c r="M813" s="187">
        <v>73.290000000000006</v>
      </c>
      <c r="N813" s="91">
        <f t="shared" si="130"/>
        <v>343.29</v>
      </c>
      <c r="O813" s="411">
        <f t="shared" si="128"/>
        <v>36.884819999999934</v>
      </c>
      <c r="P813" s="132" t="s">
        <v>52</v>
      </c>
      <c r="Q813" s="232"/>
      <c r="R813" s="411"/>
      <c r="T813" s="134" t="s">
        <v>145</v>
      </c>
      <c r="U813" s="267" t="s">
        <v>2081</v>
      </c>
      <c r="AA813" s="218"/>
    </row>
    <row r="814" spans="1:27" ht="24" x14ac:dyDescent="0.25">
      <c r="A814" s="405">
        <v>3000618</v>
      </c>
      <c r="B814" s="406">
        <v>42409</v>
      </c>
      <c r="C814" s="405" t="s">
        <v>42</v>
      </c>
      <c r="D814" s="401" t="s">
        <v>2082</v>
      </c>
      <c r="E814" s="120">
        <v>100</v>
      </c>
      <c r="F814" s="133" t="s">
        <v>431</v>
      </c>
      <c r="G814" s="404" t="s">
        <v>45</v>
      </c>
      <c r="H814" s="411">
        <v>216.11</v>
      </c>
      <c r="I814" s="89">
        <f t="shared" si="134"/>
        <v>-19.4499</v>
      </c>
      <c r="J814" s="90">
        <f t="shared" si="135"/>
        <v>-4.4060899999999998</v>
      </c>
      <c r="K814" s="396">
        <f t="shared" si="133"/>
        <v>192.25400999999999</v>
      </c>
      <c r="L814" s="131">
        <v>1130</v>
      </c>
      <c r="M814" s="187">
        <v>29.53</v>
      </c>
      <c r="N814" s="91">
        <f t="shared" si="130"/>
        <v>142.53</v>
      </c>
      <c r="O814" s="411">
        <f t="shared" si="128"/>
        <v>49.724009999999993</v>
      </c>
      <c r="P814" s="132" t="s">
        <v>86</v>
      </c>
      <c r="Q814" s="232"/>
      <c r="R814" s="411"/>
      <c r="T814" s="134" t="s">
        <v>145</v>
      </c>
      <c r="U814" s="267" t="s">
        <v>2083</v>
      </c>
      <c r="AA814" s="218"/>
    </row>
    <row r="815" spans="1:27" ht="24" x14ac:dyDescent="0.25">
      <c r="A815" s="405">
        <v>3000619</v>
      </c>
      <c r="B815" s="406">
        <v>42409</v>
      </c>
      <c r="C815" s="405" t="s">
        <v>42</v>
      </c>
      <c r="D815" s="401" t="s">
        <v>2084</v>
      </c>
      <c r="E815" s="120">
        <v>100</v>
      </c>
      <c r="F815" s="133" t="s">
        <v>1273</v>
      </c>
      <c r="G815" s="404" t="s">
        <v>45</v>
      </c>
      <c r="H815" s="411">
        <v>237.5</v>
      </c>
      <c r="I815" s="89">
        <f t="shared" si="134"/>
        <v>-21.375</v>
      </c>
      <c r="J815" s="90">
        <f t="shared" si="135"/>
        <v>-4.8125</v>
      </c>
      <c r="K815" s="396">
        <f t="shared" si="133"/>
        <v>211.3125</v>
      </c>
      <c r="L815" s="131">
        <v>675</v>
      </c>
      <c r="M815" s="187">
        <v>45.93</v>
      </c>
      <c r="N815" s="91">
        <f t="shared" si="130"/>
        <v>113.43</v>
      </c>
      <c r="O815" s="411">
        <f t="shared" si="128"/>
        <v>97.882499999999993</v>
      </c>
      <c r="P815" s="132" t="s">
        <v>86</v>
      </c>
      <c r="Q815" s="232"/>
      <c r="R815" s="411"/>
      <c r="T815" s="134" t="s">
        <v>145</v>
      </c>
      <c r="U815" s="267" t="s">
        <v>2085</v>
      </c>
      <c r="AA815" s="218"/>
    </row>
    <row r="816" spans="1:27" ht="24" x14ac:dyDescent="0.25">
      <c r="A816" s="405">
        <v>3000620</v>
      </c>
      <c r="B816" s="406">
        <v>42409</v>
      </c>
      <c r="C816" s="405" t="s">
        <v>42</v>
      </c>
      <c r="D816" s="401" t="s">
        <v>2086</v>
      </c>
      <c r="E816" s="120">
        <v>200</v>
      </c>
      <c r="F816" s="133" t="s">
        <v>2087</v>
      </c>
      <c r="G816" s="404" t="s">
        <v>45</v>
      </c>
      <c r="H816" s="411">
        <v>432.22</v>
      </c>
      <c r="I816" s="89">
        <f t="shared" si="134"/>
        <v>-38.899799999999999</v>
      </c>
      <c r="J816" s="90">
        <f t="shared" si="135"/>
        <v>-8.5121800000000007</v>
      </c>
      <c r="K816" s="396">
        <f t="shared" si="133"/>
        <v>384.80802</v>
      </c>
      <c r="L816" s="131">
        <v>1130</v>
      </c>
      <c r="M816" s="187">
        <v>22.58</v>
      </c>
      <c r="N816" s="91">
        <f t="shared" si="130"/>
        <v>248.57999999999998</v>
      </c>
      <c r="O816" s="411">
        <f t="shared" si="128"/>
        <v>136.22802000000001</v>
      </c>
      <c r="P816" s="132" t="s">
        <v>86</v>
      </c>
      <c r="Q816" s="232"/>
      <c r="R816" s="411"/>
      <c r="T816" s="134" t="s">
        <v>145</v>
      </c>
      <c r="U816" s="267" t="s">
        <v>2088</v>
      </c>
      <c r="AA816" s="218"/>
    </row>
    <row r="817" spans="1:27" x14ac:dyDescent="0.25">
      <c r="A817" s="419">
        <v>3000621</v>
      </c>
      <c r="B817" s="421">
        <v>42409</v>
      </c>
      <c r="C817" s="419" t="s">
        <v>327</v>
      </c>
      <c r="D817" s="417" t="s">
        <v>1192</v>
      </c>
      <c r="E817" s="120">
        <v>1000</v>
      </c>
      <c r="F817" s="133" t="s">
        <v>688</v>
      </c>
      <c r="G817" s="434" t="s">
        <v>45</v>
      </c>
      <c r="H817" s="427">
        <v>1710</v>
      </c>
      <c r="I817" s="427">
        <v>0</v>
      </c>
      <c r="J817" s="425">
        <f>-((H817*0.022)+0.3)</f>
        <v>-37.919999999999995</v>
      </c>
      <c r="K817" s="425">
        <f t="shared" si="133"/>
        <v>1672.08</v>
      </c>
      <c r="L817" s="158">
        <v>856</v>
      </c>
      <c r="M817" s="555">
        <v>118</v>
      </c>
      <c r="N817" s="91">
        <f t="shared" si="130"/>
        <v>974</v>
      </c>
      <c r="O817" s="411">
        <f t="shared" si="128"/>
        <v>698.07999999999993</v>
      </c>
      <c r="P817" s="132" t="s">
        <v>66</v>
      </c>
      <c r="Q817" s="232"/>
      <c r="R817" s="411"/>
      <c r="T817" s="439" t="s">
        <v>1411</v>
      </c>
      <c r="U817" s="446" t="s">
        <v>2089</v>
      </c>
      <c r="V817" s="133" t="s">
        <v>2020</v>
      </c>
      <c r="W817" s="153" t="s">
        <v>2090</v>
      </c>
      <c r="AA817" s="218"/>
    </row>
    <row r="818" spans="1:27" x14ac:dyDescent="0.25">
      <c r="A818" s="420"/>
      <c r="B818" s="422"/>
      <c r="C818" s="420"/>
      <c r="D818" s="418"/>
      <c r="E818" s="120">
        <v>250</v>
      </c>
      <c r="F818" s="133" t="s">
        <v>451</v>
      </c>
      <c r="G818" s="436"/>
      <c r="H818" s="428"/>
      <c r="I818" s="428"/>
      <c r="J818" s="426"/>
      <c r="K818" s="426"/>
      <c r="L818" s="158">
        <v>300</v>
      </c>
      <c r="M818" s="557"/>
      <c r="N818" s="91">
        <f t="shared" si="130"/>
        <v>75</v>
      </c>
      <c r="O818" s="411">
        <f t="shared" si="128"/>
        <v>-75</v>
      </c>
      <c r="P818" s="132" t="s">
        <v>66</v>
      </c>
      <c r="Q818" s="232"/>
      <c r="R818" s="411"/>
      <c r="T818" s="441"/>
      <c r="U818" s="447"/>
      <c r="AA818" s="218"/>
    </row>
    <row r="819" spans="1:27" ht="36" x14ac:dyDescent="0.25">
      <c r="A819" s="405">
        <v>3000622</v>
      </c>
      <c r="B819" s="406">
        <v>42409</v>
      </c>
      <c r="C819" s="405" t="s">
        <v>63</v>
      </c>
      <c r="D819" s="401" t="s">
        <v>2091</v>
      </c>
      <c r="E819" s="120">
        <v>2000</v>
      </c>
      <c r="F819" s="133" t="s">
        <v>2092</v>
      </c>
      <c r="G819" s="404" t="s">
        <v>45</v>
      </c>
      <c r="H819" s="411">
        <v>3260</v>
      </c>
      <c r="I819" s="411">
        <v>0</v>
      </c>
      <c r="J819" s="90">
        <f>-((H819*0.022)+0.3)</f>
        <v>-72.02</v>
      </c>
      <c r="K819" s="396">
        <f t="shared" si="133"/>
        <v>3187.98</v>
      </c>
      <c r="L819" s="131">
        <v>1069</v>
      </c>
      <c r="M819" s="158">
        <v>91.24</v>
      </c>
      <c r="N819" s="91">
        <f t="shared" si="130"/>
        <v>2229.2399999999998</v>
      </c>
      <c r="O819" s="411">
        <f t="shared" si="128"/>
        <v>958.74000000000024</v>
      </c>
      <c r="P819" s="132" t="s">
        <v>86</v>
      </c>
      <c r="Q819" s="232"/>
      <c r="R819" s="411"/>
      <c r="T819" s="134" t="s">
        <v>2093</v>
      </c>
      <c r="U819" s="267" t="s">
        <v>2094</v>
      </c>
      <c r="V819" s="133" t="s">
        <v>2020</v>
      </c>
      <c r="W819" s="153" t="s">
        <v>2095</v>
      </c>
      <c r="AA819" s="218"/>
    </row>
    <row r="820" spans="1:27" x14ac:dyDescent="0.25">
      <c r="A820" s="405">
        <v>3000623</v>
      </c>
      <c r="B820" s="406">
        <v>42409</v>
      </c>
      <c r="C820" s="405" t="s">
        <v>63</v>
      </c>
      <c r="D820" s="401" t="s">
        <v>2096</v>
      </c>
      <c r="E820" s="120">
        <v>500</v>
      </c>
      <c r="F820" s="133" t="s">
        <v>304</v>
      </c>
      <c r="G820" s="404" t="s">
        <v>45</v>
      </c>
      <c r="H820" s="411">
        <v>1080</v>
      </c>
      <c r="I820" s="411">
        <v>0</v>
      </c>
      <c r="J820" s="90">
        <f>-((H820*0.022)+0.3)</f>
        <v>-24.06</v>
      </c>
      <c r="K820" s="396">
        <f t="shared" si="133"/>
        <v>1055.94</v>
      </c>
      <c r="L820" s="158">
        <v>1142.01</v>
      </c>
      <c r="M820" s="158">
        <v>70.150000000000006</v>
      </c>
      <c r="N820" s="91">
        <f t="shared" si="130"/>
        <v>641.15499999999997</v>
      </c>
      <c r="O820" s="411">
        <f t="shared" si="128"/>
        <v>414.78500000000008</v>
      </c>
      <c r="P820" s="132" t="s">
        <v>46</v>
      </c>
      <c r="Q820" s="232"/>
      <c r="R820" s="411"/>
      <c r="T820" s="134" t="s">
        <v>463</v>
      </c>
      <c r="U820" s="267" t="s">
        <v>2097</v>
      </c>
      <c r="W820" s="153" t="s">
        <v>2098</v>
      </c>
      <c r="AA820" s="218"/>
    </row>
    <row r="821" spans="1:27" ht="36" x14ac:dyDescent="0.25">
      <c r="A821" s="405">
        <v>3000624</v>
      </c>
      <c r="B821" s="406">
        <v>42409</v>
      </c>
      <c r="C821" s="405" t="s">
        <v>555</v>
      </c>
      <c r="D821" s="401" t="s">
        <v>2099</v>
      </c>
      <c r="E821" s="120">
        <v>2000</v>
      </c>
      <c r="F821" s="133" t="s">
        <v>2100</v>
      </c>
      <c r="G821" s="404" t="s">
        <v>45</v>
      </c>
      <c r="H821" s="411">
        <v>13000</v>
      </c>
      <c r="I821" s="411">
        <v>0</v>
      </c>
      <c r="J821" s="411">
        <v>0</v>
      </c>
      <c r="K821" s="396">
        <f t="shared" si="133"/>
        <v>13000</v>
      </c>
      <c r="L821" s="187">
        <v>3730</v>
      </c>
      <c r="M821" s="131">
        <v>0</v>
      </c>
      <c r="N821" s="91">
        <f t="shared" si="130"/>
        <v>7460</v>
      </c>
      <c r="O821" s="411">
        <f t="shared" si="128"/>
        <v>5540</v>
      </c>
      <c r="P821" s="132" t="s">
        <v>183</v>
      </c>
      <c r="Q821" s="232"/>
      <c r="R821" s="411"/>
      <c r="T821" s="135" t="s">
        <v>2101</v>
      </c>
      <c r="W821" s="153" t="s">
        <v>2102</v>
      </c>
      <c r="AA821" s="218"/>
    </row>
    <row r="822" spans="1:27" x14ac:dyDescent="0.25">
      <c r="A822" s="405">
        <v>3000625</v>
      </c>
      <c r="B822" s="406">
        <v>42409</v>
      </c>
      <c r="C822" s="405" t="s">
        <v>56</v>
      </c>
      <c r="D822" s="401" t="s">
        <v>2103</v>
      </c>
      <c r="E822" s="120">
        <v>320</v>
      </c>
      <c r="F822" s="133" t="s">
        <v>2104</v>
      </c>
      <c r="G822" s="404" t="s">
        <v>45</v>
      </c>
      <c r="H822" s="411">
        <v>3888</v>
      </c>
      <c r="I822" s="411">
        <v>0</v>
      </c>
      <c r="J822" s="411">
        <v>0</v>
      </c>
      <c r="K822" s="396">
        <f t="shared" si="133"/>
        <v>3888</v>
      </c>
      <c r="L822" s="158">
        <v>10901.86</v>
      </c>
      <c r="M822" s="131">
        <v>0</v>
      </c>
      <c r="N822" s="91">
        <f t="shared" si="130"/>
        <v>3488.5952000000002</v>
      </c>
      <c r="O822" s="411">
        <f t="shared" si="128"/>
        <v>399.4047999999998</v>
      </c>
      <c r="P822" s="132" t="s">
        <v>46</v>
      </c>
      <c r="Q822" s="232"/>
      <c r="R822" s="411"/>
      <c r="T822" s="134" t="s">
        <v>2105</v>
      </c>
      <c r="U822" s="266" t="s">
        <v>852</v>
      </c>
      <c r="V822" s="133" t="s">
        <v>358</v>
      </c>
      <c r="AA822" s="218"/>
    </row>
    <row r="823" spans="1:27" x14ac:dyDescent="0.25">
      <c r="A823" s="405">
        <v>3000626</v>
      </c>
      <c r="B823" s="406">
        <v>42409</v>
      </c>
      <c r="C823" s="405" t="s">
        <v>63</v>
      </c>
      <c r="D823" s="401" t="s">
        <v>2059</v>
      </c>
      <c r="E823" s="120">
        <v>250</v>
      </c>
      <c r="F823" s="133" t="s">
        <v>860</v>
      </c>
      <c r="G823" s="404" t="s">
        <v>45</v>
      </c>
      <c r="H823" s="411">
        <v>1300</v>
      </c>
      <c r="I823" s="411">
        <v>0</v>
      </c>
      <c r="J823" s="90">
        <f>-((H823*0.022)+0.3)</f>
        <v>-28.9</v>
      </c>
      <c r="K823" s="396">
        <f t="shared" si="133"/>
        <v>1271.0999999999999</v>
      </c>
      <c r="L823" s="131">
        <v>3700</v>
      </c>
      <c r="M823" s="131">
        <v>97.46</v>
      </c>
      <c r="N823" s="91">
        <f t="shared" si="130"/>
        <v>1022.46</v>
      </c>
      <c r="O823" s="411">
        <f t="shared" si="128"/>
        <v>248.63999999999987</v>
      </c>
      <c r="P823" s="132" t="s">
        <v>52</v>
      </c>
      <c r="Q823" s="232"/>
      <c r="R823" s="411"/>
      <c r="T823" s="134" t="s">
        <v>244</v>
      </c>
      <c r="U823" s="267" t="s">
        <v>2106</v>
      </c>
      <c r="V823" s="133" t="s">
        <v>2020</v>
      </c>
      <c r="W823" s="153" t="s">
        <v>2061</v>
      </c>
      <c r="AA823" s="218"/>
    </row>
    <row r="824" spans="1:27" ht="24" x14ac:dyDescent="0.25">
      <c r="A824" s="405">
        <v>3000627</v>
      </c>
      <c r="B824" s="406">
        <v>42409</v>
      </c>
      <c r="C824" s="405" t="s">
        <v>237</v>
      </c>
      <c r="D824" s="401" t="s">
        <v>2107</v>
      </c>
      <c r="E824" s="120">
        <v>100</v>
      </c>
      <c r="F824" s="133" t="s">
        <v>161</v>
      </c>
      <c r="G824" s="404" t="s">
        <v>45</v>
      </c>
      <c r="H824" s="411">
        <v>276.49</v>
      </c>
      <c r="I824" s="89">
        <f>-(H824*0.15)</f>
        <v>-41.473500000000001</v>
      </c>
      <c r="J824" s="411">
        <v>0</v>
      </c>
      <c r="K824" s="396">
        <f t="shared" si="133"/>
        <v>235.01650000000001</v>
      </c>
      <c r="L824" s="131">
        <v>1350</v>
      </c>
      <c r="M824" s="187">
        <v>30.95</v>
      </c>
      <c r="N824" s="91">
        <f t="shared" si="130"/>
        <v>165.95</v>
      </c>
      <c r="O824" s="411">
        <f t="shared" si="128"/>
        <v>69.066500000000019</v>
      </c>
      <c r="P824" s="132" t="s">
        <v>52</v>
      </c>
      <c r="Q824" s="232"/>
      <c r="R824" s="411"/>
      <c r="T824" s="134" t="s">
        <v>145</v>
      </c>
      <c r="U824" s="267" t="s">
        <v>2108</v>
      </c>
      <c r="AA824" s="218"/>
    </row>
    <row r="825" spans="1:27" ht="24" x14ac:dyDescent="0.25">
      <c r="A825" s="405">
        <v>3000628</v>
      </c>
      <c r="B825" s="406">
        <v>42409</v>
      </c>
      <c r="C825" s="405" t="s">
        <v>42</v>
      </c>
      <c r="D825" s="401" t="s">
        <v>2109</v>
      </c>
      <c r="E825" s="120">
        <v>200</v>
      </c>
      <c r="F825" s="133" t="s">
        <v>227</v>
      </c>
      <c r="G825" s="404" t="s">
        <v>45</v>
      </c>
      <c r="H825" s="411">
        <v>0</v>
      </c>
      <c r="I825" s="89">
        <f t="shared" ref="I825" si="136">-(H825*0.09)</f>
        <v>0</v>
      </c>
      <c r="J825" s="90">
        <f>-((H825*0.019)+0.3)</f>
        <v>-0.3</v>
      </c>
      <c r="K825" s="396">
        <f t="shared" si="133"/>
        <v>-0.3</v>
      </c>
      <c r="L825" s="131">
        <v>350</v>
      </c>
      <c r="M825" s="187">
        <v>30.8</v>
      </c>
      <c r="N825" s="91">
        <f t="shared" si="130"/>
        <v>100.8</v>
      </c>
      <c r="O825" s="411">
        <f t="shared" si="128"/>
        <v>-101.1</v>
      </c>
      <c r="P825" s="132" t="s">
        <v>52</v>
      </c>
      <c r="Q825" s="232"/>
      <c r="R825" s="411"/>
      <c r="T825" s="134" t="s">
        <v>145</v>
      </c>
      <c r="U825" s="267" t="s">
        <v>2110</v>
      </c>
      <c r="AA825" s="218"/>
    </row>
    <row r="826" spans="1:27" ht="24" x14ac:dyDescent="0.25">
      <c r="A826" s="405">
        <v>3000629</v>
      </c>
      <c r="B826" s="406">
        <v>42409</v>
      </c>
      <c r="C826" s="405" t="s">
        <v>63</v>
      </c>
      <c r="D826" s="401" t="s">
        <v>2111</v>
      </c>
      <c r="E826" s="120">
        <v>300</v>
      </c>
      <c r="F826" s="133" t="s">
        <v>70</v>
      </c>
      <c r="G826" s="404" t="s">
        <v>45</v>
      </c>
      <c r="H826" s="411">
        <v>777</v>
      </c>
      <c r="I826" s="411">
        <v>0</v>
      </c>
      <c r="J826" s="90">
        <f t="shared" ref="J826:J829" si="137">-((H826*0.019)+0.3)</f>
        <v>-15.063000000000001</v>
      </c>
      <c r="K826" s="396">
        <f t="shared" si="133"/>
        <v>761.93700000000001</v>
      </c>
      <c r="L826" s="131">
        <v>1540</v>
      </c>
      <c r="M826" s="158">
        <v>133.81</v>
      </c>
      <c r="N826" s="91">
        <f t="shared" si="130"/>
        <v>595.80999999999995</v>
      </c>
      <c r="O826" s="411">
        <f t="shared" si="128"/>
        <v>166.12700000000007</v>
      </c>
      <c r="P826" s="132" t="s">
        <v>52</v>
      </c>
      <c r="Q826" s="232"/>
      <c r="R826" s="411"/>
      <c r="T826" s="134" t="s">
        <v>1563</v>
      </c>
      <c r="U826" s="267" t="s">
        <v>2112</v>
      </c>
      <c r="V826" s="133" t="s">
        <v>2020</v>
      </c>
      <c r="W826" s="153" t="s">
        <v>2113</v>
      </c>
      <c r="AA826" s="218"/>
    </row>
    <row r="827" spans="1:27" x14ac:dyDescent="0.25">
      <c r="A827" s="405">
        <v>3000630</v>
      </c>
      <c r="B827" s="406">
        <v>42409</v>
      </c>
      <c r="C827" s="405" t="s">
        <v>63</v>
      </c>
      <c r="D827" s="401" t="s">
        <v>2114</v>
      </c>
      <c r="E827" s="182">
        <v>10000</v>
      </c>
      <c r="F827" s="133" t="s">
        <v>2115</v>
      </c>
      <c r="G827" s="404" t="s">
        <v>45</v>
      </c>
      <c r="H827" s="411">
        <v>3560</v>
      </c>
      <c r="I827" s="411">
        <v>0</v>
      </c>
      <c r="J827" s="90">
        <f t="shared" si="137"/>
        <v>-67.94</v>
      </c>
      <c r="K827" s="396">
        <f t="shared" si="133"/>
        <v>3492.06</v>
      </c>
      <c r="L827" s="158">
        <v>292</v>
      </c>
      <c r="M827" s="158">
        <v>175.24</v>
      </c>
      <c r="N827" s="91">
        <f t="shared" si="130"/>
        <v>3095.24</v>
      </c>
      <c r="O827" s="411">
        <f t="shared" si="128"/>
        <v>396.82000000000016</v>
      </c>
      <c r="P827" s="132" t="s">
        <v>2054</v>
      </c>
      <c r="Q827" s="232"/>
      <c r="R827" s="411"/>
      <c r="T827" s="134" t="s">
        <v>331</v>
      </c>
      <c r="U827" s="267" t="s">
        <v>2116</v>
      </c>
      <c r="W827" s="153" t="s">
        <v>2117</v>
      </c>
      <c r="AA827" s="218"/>
    </row>
    <row r="828" spans="1:27" x14ac:dyDescent="0.25">
      <c r="A828" s="405">
        <v>3000631</v>
      </c>
      <c r="B828" s="406">
        <v>42410</v>
      </c>
      <c r="C828" s="405" t="s">
        <v>63</v>
      </c>
      <c r="D828" s="401" t="s">
        <v>2118</v>
      </c>
      <c r="E828" s="120">
        <v>350</v>
      </c>
      <c r="F828" s="133" t="s">
        <v>198</v>
      </c>
      <c r="G828" s="404" t="s">
        <v>45</v>
      </c>
      <c r="H828" s="411">
        <v>949.25</v>
      </c>
      <c r="I828" s="411">
        <v>0</v>
      </c>
      <c r="J828" s="90">
        <f t="shared" si="137"/>
        <v>-18.335750000000001</v>
      </c>
      <c r="K828" s="396">
        <f t="shared" si="133"/>
        <v>930.91425000000004</v>
      </c>
      <c r="L828" s="131">
        <v>1800</v>
      </c>
      <c r="M828" s="131">
        <v>125.99</v>
      </c>
      <c r="N828" s="91">
        <f t="shared" si="130"/>
        <v>755.99000000000012</v>
      </c>
      <c r="O828" s="411">
        <f t="shared" si="128"/>
        <v>174.92424999999992</v>
      </c>
      <c r="P828" s="132" t="s">
        <v>52</v>
      </c>
      <c r="Q828" s="232"/>
      <c r="R828" s="411"/>
      <c r="T828" s="134" t="s">
        <v>2119</v>
      </c>
      <c r="U828" s="267" t="s">
        <v>2120</v>
      </c>
      <c r="V828" s="133" t="s">
        <v>2020</v>
      </c>
      <c r="W828" s="153" t="s">
        <v>2121</v>
      </c>
      <c r="AA828" s="218"/>
    </row>
    <row r="829" spans="1:27" ht="24" x14ac:dyDescent="0.25">
      <c r="A829" s="405">
        <v>3000632</v>
      </c>
      <c r="B829" s="406">
        <v>42410</v>
      </c>
      <c r="C829" s="405" t="s">
        <v>63</v>
      </c>
      <c r="D829" s="401" t="s">
        <v>2122</v>
      </c>
      <c r="E829" s="120">
        <v>1</v>
      </c>
      <c r="F829" s="133" t="s">
        <v>161</v>
      </c>
      <c r="G829" s="404" t="s">
        <v>45</v>
      </c>
      <c r="H829" s="411">
        <v>25</v>
      </c>
      <c r="I829" s="411">
        <v>0</v>
      </c>
      <c r="J829" s="90">
        <f t="shared" si="137"/>
        <v>-0.77499999999999991</v>
      </c>
      <c r="K829" s="396">
        <f t="shared" si="133"/>
        <v>24.225000000000001</v>
      </c>
      <c r="L829" s="131">
        <v>1350</v>
      </c>
      <c r="M829" s="187">
        <v>15.99</v>
      </c>
      <c r="N829" s="91">
        <f t="shared" si="130"/>
        <v>17.34</v>
      </c>
      <c r="O829" s="411">
        <f t="shared" si="128"/>
        <v>6.8850000000000016</v>
      </c>
      <c r="P829" s="132" t="s">
        <v>52</v>
      </c>
      <c r="Q829" s="232"/>
      <c r="R829" s="411"/>
      <c r="T829" s="134" t="s">
        <v>145</v>
      </c>
      <c r="U829" s="267" t="s">
        <v>2123</v>
      </c>
      <c r="AA829" s="218"/>
    </row>
    <row r="830" spans="1:27" ht="24" x14ac:dyDescent="0.25">
      <c r="A830" s="405">
        <v>3000633</v>
      </c>
      <c r="B830" s="406">
        <v>42410</v>
      </c>
      <c r="C830" s="405" t="s">
        <v>42</v>
      </c>
      <c r="D830" s="401" t="s">
        <v>2124</v>
      </c>
      <c r="E830" s="120">
        <v>210</v>
      </c>
      <c r="F830" s="133" t="s">
        <v>247</v>
      </c>
      <c r="G830" s="404" t="s">
        <v>45</v>
      </c>
      <c r="H830" s="411">
        <v>239.4</v>
      </c>
      <c r="I830" s="89">
        <f t="shared" ref="I830:I840" si="138">-(H830*0.09)</f>
        <v>-21.545999999999999</v>
      </c>
      <c r="J830" s="90">
        <f>-((H830*0.019)+0.3)</f>
        <v>-4.8486000000000002</v>
      </c>
      <c r="K830" s="396">
        <f t="shared" si="133"/>
        <v>213.00540000000001</v>
      </c>
      <c r="L830" s="131">
        <v>580</v>
      </c>
      <c r="M830" s="187">
        <v>57.55</v>
      </c>
      <c r="N830" s="91">
        <f t="shared" si="130"/>
        <v>179.35</v>
      </c>
      <c r="O830" s="411">
        <f t="shared" si="128"/>
        <v>33.655400000000014</v>
      </c>
      <c r="P830" s="132" t="s">
        <v>86</v>
      </c>
      <c r="Q830" s="232"/>
      <c r="R830" s="411"/>
      <c r="T830" s="134" t="s">
        <v>145</v>
      </c>
      <c r="U830" s="267" t="s">
        <v>2125</v>
      </c>
      <c r="AA830" s="218"/>
    </row>
    <row r="831" spans="1:27" ht="24" x14ac:dyDescent="0.25">
      <c r="A831" s="405">
        <v>3000634</v>
      </c>
      <c r="B831" s="406">
        <v>42410</v>
      </c>
      <c r="C831" s="405" t="s">
        <v>42</v>
      </c>
      <c r="D831" s="401" t="s">
        <v>2126</v>
      </c>
      <c r="E831" s="120">
        <v>50</v>
      </c>
      <c r="F831" s="133" t="s">
        <v>925</v>
      </c>
      <c r="G831" s="404" t="s">
        <v>45</v>
      </c>
      <c r="H831" s="411">
        <v>105.16</v>
      </c>
      <c r="I831" s="89">
        <f t="shared" si="138"/>
        <v>-9.4643999999999995</v>
      </c>
      <c r="J831" s="90">
        <f>-((H831*0.019)+0.3)</f>
        <v>-2.2980399999999999</v>
      </c>
      <c r="K831" s="396">
        <f t="shared" si="133"/>
        <v>93.397559999999999</v>
      </c>
      <c r="L831" s="158">
        <v>840</v>
      </c>
      <c r="M831" s="187">
        <v>19.760000000000002</v>
      </c>
      <c r="N831" s="91">
        <f t="shared" si="130"/>
        <v>61.760000000000005</v>
      </c>
      <c r="O831" s="411">
        <f t="shared" si="128"/>
        <v>31.637559999999993</v>
      </c>
      <c r="P831" s="132" t="s">
        <v>926</v>
      </c>
      <c r="Q831" s="232"/>
      <c r="R831" s="411"/>
      <c r="T831" s="134" t="s">
        <v>145</v>
      </c>
      <c r="U831" s="267" t="s">
        <v>2127</v>
      </c>
      <c r="AA831" s="218"/>
    </row>
    <row r="832" spans="1:27" ht="24" x14ac:dyDescent="0.25">
      <c r="A832" s="405">
        <v>3000635</v>
      </c>
      <c r="B832" s="406">
        <v>42410</v>
      </c>
      <c r="C832" s="405" t="s">
        <v>42</v>
      </c>
      <c r="D832" s="401" t="s">
        <v>2128</v>
      </c>
      <c r="E832" s="120">
        <v>50</v>
      </c>
      <c r="F832" s="133" t="s">
        <v>2129</v>
      </c>
      <c r="G832" s="404" t="s">
        <v>45</v>
      </c>
      <c r="H832" s="411">
        <v>135.94999999999999</v>
      </c>
      <c r="I832" s="89">
        <f t="shared" si="138"/>
        <v>-12.235499999999998</v>
      </c>
      <c r="J832" s="90">
        <f>-((H832*0.019)+0.3)</f>
        <v>-2.8830499999999994</v>
      </c>
      <c r="K832" s="396">
        <f t="shared" si="133"/>
        <v>120.83144999999999</v>
      </c>
      <c r="L832" s="158">
        <v>1426</v>
      </c>
      <c r="N832" s="91">
        <f t="shared" si="130"/>
        <v>71.3</v>
      </c>
      <c r="O832" s="411">
        <f t="shared" si="128"/>
        <v>49.531449999999992</v>
      </c>
      <c r="P832" s="132" t="s">
        <v>926</v>
      </c>
      <c r="Q832" s="232"/>
      <c r="R832" s="411">
        <v>8.89</v>
      </c>
      <c r="S832" s="133" t="s">
        <v>2130</v>
      </c>
      <c r="T832" s="134" t="s">
        <v>145</v>
      </c>
      <c r="U832" s="267" t="s">
        <v>2131</v>
      </c>
      <c r="AA832" s="218"/>
    </row>
    <row r="833" spans="1:27" ht="24" x14ac:dyDescent="0.25">
      <c r="A833" s="405">
        <v>3000636</v>
      </c>
      <c r="B833" s="406">
        <v>42410</v>
      </c>
      <c r="C833" s="405" t="s">
        <v>42</v>
      </c>
      <c r="D833" s="401" t="s">
        <v>930</v>
      </c>
      <c r="E833" s="120">
        <v>250</v>
      </c>
      <c r="F833" s="133" t="s">
        <v>119</v>
      </c>
      <c r="G833" s="404" t="s">
        <v>45</v>
      </c>
      <c r="H833" s="411">
        <v>213.75</v>
      </c>
      <c r="I833" s="89">
        <f t="shared" si="138"/>
        <v>-19.237500000000001</v>
      </c>
      <c r="J833" s="90">
        <f>-((H833*0.019)+0.3)</f>
        <v>-4.3612500000000001</v>
      </c>
      <c r="K833" s="396">
        <f t="shared" si="133"/>
        <v>190.15124999999998</v>
      </c>
      <c r="L833" s="158">
        <v>485</v>
      </c>
      <c r="M833" s="158">
        <v>17.7</v>
      </c>
      <c r="N833" s="91">
        <f t="shared" si="130"/>
        <v>138.94999999999999</v>
      </c>
      <c r="O833" s="411">
        <f t="shared" si="128"/>
        <v>51.201249999999987</v>
      </c>
      <c r="P833" s="132" t="s">
        <v>183</v>
      </c>
      <c r="Q833" s="232"/>
      <c r="R833" s="411"/>
      <c r="T833" s="134" t="s">
        <v>145</v>
      </c>
      <c r="U833" s="267" t="s">
        <v>2132</v>
      </c>
      <c r="AA833" s="218"/>
    </row>
    <row r="834" spans="1:27" ht="24" x14ac:dyDescent="0.25">
      <c r="A834" s="405">
        <v>3000637</v>
      </c>
      <c r="B834" s="406">
        <v>42410</v>
      </c>
      <c r="C834" s="405" t="s">
        <v>42</v>
      </c>
      <c r="D834" s="401" t="s">
        <v>2133</v>
      </c>
      <c r="E834" s="120">
        <v>175</v>
      </c>
      <c r="F834" s="133" t="s">
        <v>247</v>
      </c>
      <c r="G834" s="404" t="s">
        <v>45</v>
      </c>
      <c r="H834" s="411">
        <v>212.43</v>
      </c>
      <c r="I834" s="89">
        <f t="shared" si="138"/>
        <v>-19.1187</v>
      </c>
      <c r="J834" s="90">
        <f>-((H834*0.019)+0.3)</f>
        <v>-4.3361700000000001</v>
      </c>
      <c r="K834" s="396">
        <f t="shared" si="133"/>
        <v>188.97513000000001</v>
      </c>
      <c r="L834" s="131">
        <v>580</v>
      </c>
      <c r="M834" s="187">
        <v>31.85</v>
      </c>
      <c r="N834" s="91">
        <f t="shared" si="130"/>
        <v>133.35000000000002</v>
      </c>
      <c r="O834" s="411">
        <f t="shared" si="128"/>
        <v>55.625129999999984</v>
      </c>
      <c r="P834" s="132" t="s">
        <v>86</v>
      </c>
      <c r="Q834" s="232"/>
      <c r="R834" s="411"/>
      <c r="T834" s="134" t="s">
        <v>145</v>
      </c>
      <c r="U834" s="267" t="s">
        <v>2134</v>
      </c>
      <c r="AA834" s="218"/>
    </row>
    <row r="835" spans="1:27" ht="24" x14ac:dyDescent="0.25">
      <c r="A835" s="405">
        <v>3000638</v>
      </c>
      <c r="B835" s="406">
        <v>42410</v>
      </c>
      <c r="C835" s="405" t="s">
        <v>237</v>
      </c>
      <c r="D835" s="401" t="s">
        <v>2135</v>
      </c>
      <c r="E835" s="120">
        <v>150</v>
      </c>
      <c r="F835" s="133" t="s">
        <v>247</v>
      </c>
      <c r="G835" s="404" t="s">
        <v>45</v>
      </c>
      <c r="H835" s="411">
        <v>175.96</v>
      </c>
      <c r="I835" s="89">
        <f>-(H835*0.15)</f>
        <v>-26.394000000000002</v>
      </c>
      <c r="J835" s="411">
        <v>0</v>
      </c>
      <c r="K835" s="396">
        <f t="shared" si="133"/>
        <v>149.566</v>
      </c>
      <c r="L835" s="131">
        <v>580</v>
      </c>
      <c r="M835" s="187">
        <v>45.95</v>
      </c>
      <c r="N835" s="91">
        <f t="shared" si="130"/>
        <v>132.94999999999999</v>
      </c>
      <c r="O835" s="411">
        <f t="shared" si="128"/>
        <v>16.616000000000014</v>
      </c>
      <c r="P835" s="132" t="s">
        <v>86</v>
      </c>
      <c r="Q835" s="232"/>
      <c r="R835" s="411"/>
      <c r="T835" s="134" t="s">
        <v>145</v>
      </c>
      <c r="U835" s="267" t="s">
        <v>2136</v>
      </c>
      <c r="AA835" s="218"/>
    </row>
    <row r="836" spans="1:27" ht="24" x14ac:dyDescent="0.25">
      <c r="A836" s="405">
        <v>3000639</v>
      </c>
      <c r="B836" s="406">
        <v>42410</v>
      </c>
      <c r="C836" s="405" t="s">
        <v>42</v>
      </c>
      <c r="D836" s="401" t="s">
        <v>2137</v>
      </c>
      <c r="E836" s="120">
        <v>500</v>
      </c>
      <c r="F836" s="133" t="s">
        <v>2029</v>
      </c>
      <c r="G836" s="404" t="s">
        <v>45</v>
      </c>
      <c r="H836" s="411">
        <v>499.7</v>
      </c>
      <c r="I836" s="89">
        <f t="shared" si="138"/>
        <v>-44.972999999999999</v>
      </c>
      <c r="J836" s="90">
        <f>-((H836*0.019)+0.3)</f>
        <v>-9.7942999999999998</v>
      </c>
      <c r="K836" s="396">
        <f t="shared" si="133"/>
        <v>444.93269999999995</v>
      </c>
      <c r="L836" s="131">
        <v>570</v>
      </c>
      <c r="M836" s="187">
        <v>27.58</v>
      </c>
      <c r="N836" s="91">
        <f t="shared" si="130"/>
        <v>312.58</v>
      </c>
      <c r="O836" s="411">
        <f t="shared" si="128"/>
        <v>132.35269999999997</v>
      </c>
      <c r="P836" s="132" t="s">
        <v>52</v>
      </c>
      <c r="Q836" s="232"/>
      <c r="R836" s="411"/>
      <c r="T836" s="134" t="s">
        <v>145</v>
      </c>
      <c r="U836" s="266" t="s">
        <v>2138</v>
      </c>
      <c r="AA836" s="218"/>
    </row>
    <row r="837" spans="1:27" ht="24" x14ac:dyDescent="0.25">
      <c r="A837" s="405">
        <v>3000640</v>
      </c>
      <c r="B837" s="406">
        <v>42410</v>
      </c>
      <c r="C837" s="405" t="s">
        <v>56</v>
      </c>
      <c r="D837" s="401" t="s">
        <v>2139</v>
      </c>
      <c r="E837" s="120">
        <v>600</v>
      </c>
      <c r="F837" s="133" t="s">
        <v>2140</v>
      </c>
      <c r="G837" s="404" t="s">
        <v>45</v>
      </c>
      <c r="H837" s="411">
        <v>2040</v>
      </c>
      <c r="I837" s="411">
        <v>0</v>
      </c>
      <c r="J837" s="411">
        <v>0</v>
      </c>
      <c r="K837" s="396">
        <f t="shared" si="133"/>
        <v>2040</v>
      </c>
      <c r="L837" s="158">
        <v>1200</v>
      </c>
      <c r="N837" s="91">
        <f t="shared" si="130"/>
        <v>720</v>
      </c>
      <c r="O837" s="411">
        <f t="shared" si="128"/>
        <v>1320</v>
      </c>
      <c r="P837" s="132" t="s">
        <v>1063</v>
      </c>
      <c r="Q837" s="232"/>
      <c r="R837" s="411"/>
      <c r="T837" s="134" t="s">
        <v>2141</v>
      </c>
      <c r="U837" s="267">
        <v>441362</v>
      </c>
      <c r="V837" s="133" t="s">
        <v>2142</v>
      </c>
      <c r="AA837" s="218"/>
    </row>
    <row r="838" spans="1:27" ht="24" x14ac:dyDescent="0.25">
      <c r="A838" s="405">
        <v>3000641</v>
      </c>
      <c r="B838" s="406">
        <v>42410</v>
      </c>
      <c r="C838" s="405" t="s">
        <v>42</v>
      </c>
      <c r="D838" s="401" t="s">
        <v>2143</v>
      </c>
      <c r="E838" s="120">
        <v>50</v>
      </c>
      <c r="F838" s="133" t="s">
        <v>300</v>
      </c>
      <c r="G838" s="404" t="s">
        <v>45</v>
      </c>
      <c r="H838" s="411">
        <v>203.08</v>
      </c>
      <c r="I838" s="89">
        <f t="shared" si="138"/>
        <v>-18.277200000000001</v>
      </c>
      <c r="J838" s="90">
        <f>-((H838*0.019)+0.3)</f>
        <v>-4.1585200000000002</v>
      </c>
      <c r="K838" s="396">
        <f t="shared" si="133"/>
        <v>180.64428000000001</v>
      </c>
      <c r="L838" s="131">
        <v>2200</v>
      </c>
      <c r="M838" s="187">
        <v>38.42</v>
      </c>
      <c r="N838" s="91">
        <f t="shared" si="130"/>
        <v>148.42000000000002</v>
      </c>
      <c r="O838" s="411">
        <f t="shared" si="128"/>
        <v>32.224279999999993</v>
      </c>
      <c r="P838" s="132" t="s">
        <v>52</v>
      </c>
      <c r="Q838" s="232"/>
      <c r="R838" s="411"/>
      <c r="T838" s="134" t="s">
        <v>145</v>
      </c>
      <c r="U838" s="267" t="s">
        <v>2144</v>
      </c>
      <c r="AA838" s="218"/>
    </row>
    <row r="839" spans="1:27" ht="24" x14ac:dyDescent="0.25">
      <c r="A839" s="405">
        <v>3000642</v>
      </c>
      <c r="B839" s="406">
        <v>42410</v>
      </c>
      <c r="C839" s="405" t="s">
        <v>237</v>
      </c>
      <c r="D839" s="401" t="s">
        <v>2145</v>
      </c>
      <c r="E839" s="120">
        <v>300</v>
      </c>
      <c r="F839" s="133" t="s">
        <v>247</v>
      </c>
      <c r="G839" s="404" t="s">
        <v>45</v>
      </c>
      <c r="H839" s="411">
        <v>264.72000000000003</v>
      </c>
      <c r="I839" s="89">
        <f>-(H839*0.15)</f>
        <v>-39.708000000000006</v>
      </c>
      <c r="J839" s="411">
        <v>0</v>
      </c>
      <c r="K839" s="396">
        <f t="shared" si="133"/>
        <v>225.01200000000003</v>
      </c>
      <c r="L839" s="131">
        <v>580</v>
      </c>
      <c r="M839" s="187">
        <v>55.98</v>
      </c>
      <c r="N839" s="91">
        <f t="shared" si="130"/>
        <v>229.98</v>
      </c>
      <c r="O839" s="411">
        <f t="shared" si="128"/>
        <v>-4.9679999999999609</v>
      </c>
      <c r="P839" s="132" t="s">
        <v>86</v>
      </c>
      <c r="Q839" s="232"/>
      <c r="R839" s="411"/>
      <c r="T839" s="134" t="s">
        <v>145</v>
      </c>
      <c r="U839" s="267" t="s">
        <v>2146</v>
      </c>
      <c r="AA839" s="218"/>
    </row>
    <row r="840" spans="1:27" ht="24" x14ac:dyDescent="0.25">
      <c r="A840" s="405">
        <v>3000643</v>
      </c>
      <c r="B840" s="406">
        <v>42410</v>
      </c>
      <c r="C840" s="405" t="s">
        <v>42</v>
      </c>
      <c r="D840" s="401" t="s">
        <v>2147</v>
      </c>
      <c r="E840" s="120">
        <v>100</v>
      </c>
      <c r="F840" s="133" t="s">
        <v>161</v>
      </c>
      <c r="G840" s="404" t="s">
        <v>45</v>
      </c>
      <c r="H840" s="411">
        <v>235</v>
      </c>
      <c r="I840" s="89">
        <f t="shared" si="138"/>
        <v>-21.15</v>
      </c>
      <c r="J840" s="90">
        <f>-((H840*0.019)+0.3)</f>
        <v>-4.7649999999999997</v>
      </c>
      <c r="K840" s="396">
        <f t="shared" si="133"/>
        <v>209.08500000000001</v>
      </c>
      <c r="L840" s="131">
        <v>1350</v>
      </c>
      <c r="M840" s="187">
        <v>53.83</v>
      </c>
      <c r="N840" s="91">
        <f t="shared" si="130"/>
        <v>188.82999999999998</v>
      </c>
      <c r="O840" s="411">
        <f t="shared" si="128"/>
        <v>20.255000000000024</v>
      </c>
      <c r="P840" s="132" t="s">
        <v>52</v>
      </c>
      <c r="Q840" s="232"/>
      <c r="R840" s="411"/>
      <c r="T840" s="134" t="s">
        <v>145</v>
      </c>
      <c r="U840" s="267" t="s">
        <v>2148</v>
      </c>
      <c r="AA840" s="218"/>
    </row>
    <row r="841" spans="1:27" ht="24" x14ac:dyDescent="0.25">
      <c r="A841" s="405">
        <v>3000644</v>
      </c>
      <c r="B841" s="406">
        <v>42410</v>
      </c>
      <c r="C841" s="405" t="s">
        <v>63</v>
      </c>
      <c r="D841" s="401" t="s">
        <v>2149</v>
      </c>
      <c r="E841" s="120">
        <v>200</v>
      </c>
      <c r="F841" s="133" t="s">
        <v>247</v>
      </c>
      <c r="G841" s="404" t="s">
        <v>45</v>
      </c>
      <c r="H841" s="411">
        <v>235</v>
      </c>
      <c r="I841" s="411">
        <v>0</v>
      </c>
      <c r="J841" s="90">
        <f t="shared" ref="J841:J843" si="139">-((H841*0.019)+0.3)</f>
        <v>-4.7649999999999997</v>
      </c>
      <c r="K841" s="396">
        <f t="shared" si="133"/>
        <v>230.23500000000001</v>
      </c>
      <c r="L841" s="131">
        <v>580</v>
      </c>
      <c r="M841" s="187">
        <v>45.83</v>
      </c>
      <c r="N841" s="91">
        <f t="shared" si="130"/>
        <v>161.82999999999998</v>
      </c>
      <c r="O841" s="411">
        <f t="shared" ref="O841:O904" si="140">K841-N841</f>
        <v>68.40500000000003</v>
      </c>
      <c r="P841" s="132" t="s">
        <v>86</v>
      </c>
      <c r="Q841" s="232"/>
      <c r="R841" s="411"/>
      <c r="T841" s="134" t="s">
        <v>145</v>
      </c>
      <c r="U841" s="267" t="s">
        <v>2150</v>
      </c>
      <c r="W841" s="153" t="s">
        <v>2151</v>
      </c>
      <c r="AA841" s="218"/>
    </row>
    <row r="842" spans="1:27" ht="24" x14ac:dyDescent="0.25">
      <c r="A842" s="405">
        <v>3000645</v>
      </c>
      <c r="B842" s="406">
        <v>42410</v>
      </c>
      <c r="C842" s="405" t="s">
        <v>237</v>
      </c>
      <c r="D842" s="401" t="s">
        <v>2152</v>
      </c>
      <c r="E842" s="120">
        <v>100</v>
      </c>
      <c r="F842" s="133" t="s">
        <v>247</v>
      </c>
      <c r="G842" s="404" t="s">
        <v>45</v>
      </c>
      <c r="H842" s="411">
        <v>132.38999999999999</v>
      </c>
      <c r="I842" s="89">
        <f>-(H842*0.15)</f>
        <v>-19.858499999999996</v>
      </c>
      <c r="J842" s="411">
        <v>0</v>
      </c>
      <c r="K842" s="396">
        <f t="shared" si="133"/>
        <v>112.53149999999999</v>
      </c>
      <c r="L842" s="131">
        <v>580</v>
      </c>
      <c r="M842" s="187">
        <v>19.47</v>
      </c>
      <c r="N842" s="91">
        <f t="shared" si="130"/>
        <v>77.47</v>
      </c>
      <c r="O842" s="411">
        <f t="shared" si="140"/>
        <v>35.061499999999995</v>
      </c>
      <c r="P842" s="132" t="s">
        <v>86</v>
      </c>
      <c r="Q842" s="232"/>
      <c r="R842" s="411"/>
      <c r="T842" s="134" t="s">
        <v>145</v>
      </c>
      <c r="U842" s="267" t="s">
        <v>2153</v>
      </c>
      <c r="AA842" s="218"/>
    </row>
    <row r="843" spans="1:27" ht="24" x14ac:dyDescent="0.25">
      <c r="A843" s="405">
        <v>3000646</v>
      </c>
      <c r="B843" s="406">
        <v>42410</v>
      </c>
      <c r="C843" s="405" t="s">
        <v>327</v>
      </c>
      <c r="D843" s="401" t="s">
        <v>2154</v>
      </c>
      <c r="E843" s="120">
        <v>75</v>
      </c>
      <c r="F843" s="133" t="s">
        <v>1273</v>
      </c>
      <c r="G843" s="404" t="s">
        <v>45</v>
      </c>
      <c r="H843" s="411">
        <v>90</v>
      </c>
      <c r="I843" s="411">
        <v>0</v>
      </c>
      <c r="J843" s="90">
        <f t="shared" si="139"/>
        <v>-2.0099999999999998</v>
      </c>
      <c r="K843" s="396">
        <f t="shared" si="133"/>
        <v>87.99</v>
      </c>
      <c r="L843" s="158">
        <v>868</v>
      </c>
      <c r="M843" s="158">
        <v>13.4</v>
      </c>
      <c r="N843" s="91">
        <f t="shared" ref="N843:N906" si="141">((L843)*(E843*0.001))+M843</f>
        <v>78.5</v>
      </c>
      <c r="O843" s="411">
        <f t="shared" si="140"/>
        <v>9.4899999999999949</v>
      </c>
      <c r="P843" s="132" t="s">
        <v>183</v>
      </c>
      <c r="Q843" s="232"/>
      <c r="R843" s="411"/>
      <c r="T843" s="134" t="s">
        <v>145</v>
      </c>
      <c r="U843" s="267" t="s">
        <v>2155</v>
      </c>
      <c r="W843" s="153" t="s">
        <v>2156</v>
      </c>
      <c r="AA843" s="218"/>
    </row>
    <row r="844" spans="1:27" ht="24" x14ac:dyDescent="0.25">
      <c r="A844" s="405">
        <v>3000647</v>
      </c>
      <c r="B844" s="406">
        <v>42410</v>
      </c>
      <c r="C844" s="405" t="s">
        <v>42</v>
      </c>
      <c r="D844" s="401" t="s">
        <v>823</v>
      </c>
      <c r="E844" s="120">
        <v>500</v>
      </c>
      <c r="F844" s="133" t="s">
        <v>2157</v>
      </c>
      <c r="G844" s="404" t="s">
        <v>45</v>
      </c>
      <c r="H844" s="411">
        <v>228</v>
      </c>
      <c r="I844" s="89">
        <f t="shared" ref="I844:I847" si="142">-(H844*0.09)</f>
        <v>-20.52</v>
      </c>
      <c r="J844" s="90">
        <f>-((H844*0.019)+0.3)</f>
        <v>-4.6319999999999997</v>
      </c>
      <c r="K844" s="396">
        <f t="shared" si="133"/>
        <v>202.84799999999998</v>
      </c>
      <c r="M844" s="187">
        <v>31.32</v>
      </c>
      <c r="N844" s="91">
        <f t="shared" si="141"/>
        <v>31.32</v>
      </c>
      <c r="O844" s="411">
        <f t="shared" si="140"/>
        <v>171.52799999999999</v>
      </c>
      <c r="P844" s="132" t="s">
        <v>52</v>
      </c>
      <c r="Q844" s="232"/>
      <c r="R844" s="411"/>
      <c r="T844" s="134" t="s">
        <v>145</v>
      </c>
      <c r="U844" s="267" t="s">
        <v>2158</v>
      </c>
      <c r="AA844" s="218"/>
    </row>
    <row r="845" spans="1:27" ht="24" x14ac:dyDescent="0.25">
      <c r="A845" s="405">
        <v>3000648</v>
      </c>
      <c r="B845" s="406">
        <v>42411</v>
      </c>
      <c r="C845" s="405" t="s">
        <v>42</v>
      </c>
      <c r="D845" s="401" t="s">
        <v>2159</v>
      </c>
      <c r="E845" s="120">
        <v>40</v>
      </c>
      <c r="F845" s="133" t="s">
        <v>165</v>
      </c>
      <c r="G845" s="404" t="s">
        <v>45</v>
      </c>
      <c r="H845" s="411">
        <v>54.6</v>
      </c>
      <c r="I845" s="89">
        <f t="shared" si="142"/>
        <v>-4.9139999999999997</v>
      </c>
      <c r="J845" s="90">
        <f>-((H845*0.019)+0.3)</f>
        <v>-1.3374000000000001</v>
      </c>
      <c r="K845" s="396">
        <f t="shared" si="133"/>
        <v>48.348599999999998</v>
      </c>
      <c r="L845" s="131">
        <v>480</v>
      </c>
      <c r="M845" s="187">
        <v>22.32</v>
      </c>
      <c r="N845" s="91">
        <f t="shared" si="141"/>
        <v>41.519999999999996</v>
      </c>
      <c r="O845" s="411">
        <f t="shared" si="140"/>
        <v>6.8286000000000016</v>
      </c>
      <c r="P845" s="132" t="s">
        <v>52</v>
      </c>
      <c r="Q845" s="232"/>
      <c r="R845" s="411"/>
      <c r="T845" s="134" t="s">
        <v>145</v>
      </c>
      <c r="U845" s="267" t="s">
        <v>2160</v>
      </c>
      <c r="AA845" s="218"/>
    </row>
    <row r="846" spans="1:27" ht="24" x14ac:dyDescent="0.25">
      <c r="A846" s="405">
        <v>3000649</v>
      </c>
      <c r="B846" s="406">
        <v>42411</v>
      </c>
      <c r="C846" s="405" t="s">
        <v>42</v>
      </c>
      <c r="D846" s="401" t="s">
        <v>2161</v>
      </c>
      <c r="E846" s="120">
        <v>1000</v>
      </c>
      <c r="F846" s="133" t="s">
        <v>2162</v>
      </c>
      <c r="G846" s="404" t="s">
        <v>45</v>
      </c>
      <c r="H846" s="411">
        <v>600</v>
      </c>
      <c r="I846" s="89">
        <f t="shared" si="142"/>
        <v>-54</v>
      </c>
      <c r="J846" s="90">
        <f>-((H846*0.019)+0.3)</f>
        <v>-11.700000000000001</v>
      </c>
      <c r="K846" s="396">
        <f t="shared" si="133"/>
        <v>534.29999999999995</v>
      </c>
      <c r="L846" s="187">
        <v>332.04</v>
      </c>
      <c r="M846" s="187">
        <v>50.84</v>
      </c>
      <c r="N846" s="91">
        <f t="shared" si="141"/>
        <v>382.88</v>
      </c>
      <c r="O846" s="411">
        <f t="shared" si="140"/>
        <v>151.41999999999996</v>
      </c>
      <c r="P846" s="132" t="s">
        <v>46</v>
      </c>
      <c r="Q846" s="232"/>
      <c r="R846" s="411"/>
      <c r="T846" s="134" t="s">
        <v>324</v>
      </c>
      <c r="U846" s="267" t="s">
        <v>2163</v>
      </c>
      <c r="AA846" s="218"/>
    </row>
    <row r="847" spans="1:27" ht="24" x14ac:dyDescent="0.25">
      <c r="A847" s="405">
        <v>3000650</v>
      </c>
      <c r="B847" s="406">
        <v>42411</v>
      </c>
      <c r="C847" s="405" t="s">
        <v>42</v>
      </c>
      <c r="D847" s="401" t="s">
        <v>2164</v>
      </c>
      <c r="E847" s="120">
        <v>300</v>
      </c>
      <c r="F847" s="133" t="s">
        <v>292</v>
      </c>
      <c r="G847" s="404" t="s">
        <v>45</v>
      </c>
      <c r="H847" s="411">
        <v>300</v>
      </c>
      <c r="I847" s="89">
        <f t="shared" si="142"/>
        <v>-27</v>
      </c>
      <c r="J847" s="90">
        <f>-((H847*0.019)+0.3)</f>
        <v>-6</v>
      </c>
      <c r="K847" s="396">
        <f t="shared" si="133"/>
        <v>267</v>
      </c>
      <c r="L847" s="158">
        <v>505</v>
      </c>
      <c r="M847" s="158">
        <v>36.56</v>
      </c>
      <c r="N847" s="91">
        <f t="shared" si="141"/>
        <v>188.06</v>
      </c>
      <c r="O847" s="411">
        <f t="shared" si="140"/>
        <v>78.94</v>
      </c>
      <c r="P847" s="132" t="s">
        <v>183</v>
      </c>
      <c r="Q847" s="232"/>
      <c r="R847" s="411"/>
      <c r="T847" s="134" t="s">
        <v>145</v>
      </c>
      <c r="U847" s="267" t="s">
        <v>2165</v>
      </c>
      <c r="AA847" s="218"/>
    </row>
    <row r="848" spans="1:27" x14ac:dyDescent="0.25">
      <c r="A848" s="419">
        <v>3000651</v>
      </c>
      <c r="B848" s="421">
        <v>42411</v>
      </c>
      <c r="C848" s="419" t="s">
        <v>141</v>
      </c>
      <c r="D848" s="417" t="s">
        <v>2166</v>
      </c>
      <c r="E848" s="120">
        <v>500</v>
      </c>
      <c r="F848" s="133" t="s">
        <v>2167</v>
      </c>
      <c r="G848" s="434" t="s">
        <v>45</v>
      </c>
      <c r="H848" s="427">
        <v>360</v>
      </c>
      <c r="I848" s="427">
        <v>0</v>
      </c>
      <c r="J848" s="425">
        <f>-((H848*0.0325)+0.3)</f>
        <v>-12.000000000000002</v>
      </c>
      <c r="K848" s="425">
        <f t="shared" si="133"/>
        <v>348</v>
      </c>
      <c r="L848" s="158">
        <v>157</v>
      </c>
      <c r="N848" s="91">
        <f t="shared" si="141"/>
        <v>78.5</v>
      </c>
      <c r="O848" s="411">
        <f t="shared" si="140"/>
        <v>269.5</v>
      </c>
      <c r="P848" s="132" t="s">
        <v>2168</v>
      </c>
      <c r="Q848" s="232"/>
      <c r="R848" s="411"/>
      <c r="T848" s="439" t="s">
        <v>260</v>
      </c>
      <c r="U848" s="505" t="s">
        <v>2169</v>
      </c>
      <c r="W848" s="153" t="s">
        <v>2170</v>
      </c>
      <c r="AA848" s="218"/>
    </row>
    <row r="849" spans="1:27" x14ac:dyDescent="0.25">
      <c r="A849" s="420"/>
      <c r="B849" s="422"/>
      <c r="C849" s="420"/>
      <c r="D849" s="418"/>
      <c r="E849" s="120">
        <v>500</v>
      </c>
      <c r="F849" s="133" t="s">
        <v>2171</v>
      </c>
      <c r="G849" s="436"/>
      <c r="H849" s="428"/>
      <c r="I849" s="428"/>
      <c r="J849" s="426"/>
      <c r="K849" s="426"/>
      <c r="L849" s="158">
        <v>157</v>
      </c>
      <c r="N849" s="91">
        <f t="shared" si="141"/>
        <v>78.5</v>
      </c>
      <c r="O849" s="411">
        <f t="shared" si="140"/>
        <v>-78.5</v>
      </c>
      <c r="P849" s="132" t="s">
        <v>2168</v>
      </c>
      <c r="Q849" s="232"/>
      <c r="R849" s="411"/>
      <c r="T849" s="441"/>
      <c r="U849" s="490"/>
      <c r="AA849" s="218"/>
    </row>
    <row r="850" spans="1:27" ht="24" x14ac:dyDescent="0.25">
      <c r="A850" s="405">
        <v>3000652</v>
      </c>
      <c r="B850" s="406">
        <v>42411</v>
      </c>
      <c r="C850" s="405" t="s">
        <v>141</v>
      </c>
      <c r="D850" s="401" t="s">
        <v>2172</v>
      </c>
      <c r="E850" s="120">
        <v>1000</v>
      </c>
      <c r="F850" s="133" t="s">
        <v>2173</v>
      </c>
      <c r="G850" s="404" t="s">
        <v>45</v>
      </c>
      <c r="H850" s="411">
        <v>2400</v>
      </c>
      <c r="I850" s="411">
        <v>0</v>
      </c>
      <c r="J850" s="396">
        <f>-((H850*0.0325)+0.3)</f>
        <v>-78.3</v>
      </c>
      <c r="K850" s="396">
        <f t="shared" si="133"/>
        <v>2321.6999999999998</v>
      </c>
      <c r="M850" s="187">
        <v>67.89</v>
      </c>
      <c r="N850" s="91">
        <f t="shared" si="141"/>
        <v>67.89</v>
      </c>
      <c r="O850" s="411">
        <f t="shared" si="140"/>
        <v>2253.81</v>
      </c>
      <c r="P850" s="132" t="s">
        <v>52</v>
      </c>
      <c r="Q850" s="232"/>
      <c r="R850" s="411"/>
      <c r="T850" s="134" t="s">
        <v>145</v>
      </c>
      <c r="U850" s="267" t="s">
        <v>2174</v>
      </c>
      <c r="W850" s="153" t="s">
        <v>2175</v>
      </c>
      <c r="AA850" s="218"/>
    </row>
    <row r="851" spans="1:27" ht="24" x14ac:dyDescent="0.25">
      <c r="A851" s="405">
        <v>3000653</v>
      </c>
      <c r="B851" s="406">
        <v>42411</v>
      </c>
      <c r="C851" s="405" t="s">
        <v>42</v>
      </c>
      <c r="D851" s="401" t="s">
        <v>2176</v>
      </c>
      <c r="E851" s="120">
        <v>250</v>
      </c>
      <c r="F851" s="133" t="s">
        <v>2177</v>
      </c>
      <c r="G851" s="404" t="s">
        <v>45</v>
      </c>
      <c r="H851" s="411">
        <v>120.65</v>
      </c>
      <c r="I851" s="89">
        <f t="shared" ref="I851:I852" si="143">-(H851*0.09)</f>
        <v>-10.858499999999999</v>
      </c>
      <c r="J851" s="90">
        <f>-((H851*0.019)+0.3)</f>
        <v>-2.5923499999999997</v>
      </c>
      <c r="K851" s="396">
        <f t="shared" si="133"/>
        <v>107.19915000000002</v>
      </c>
      <c r="L851" s="175">
        <v>218</v>
      </c>
      <c r="M851" s="187">
        <v>23.95</v>
      </c>
      <c r="N851" s="91">
        <f t="shared" si="141"/>
        <v>78.45</v>
      </c>
      <c r="O851" s="411">
        <f t="shared" si="140"/>
        <v>28.749150000000014</v>
      </c>
      <c r="P851" s="132" t="s">
        <v>313</v>
      </c>
      <c r="Q851" s="232"/>
      <c r="R851" s="411"/>
      <c r="T851" s="134" t="s">
        <v>145</v>
      </c>
      <c r="U851" s="267" t="s">
        <v>2178</v>
      </c>
      <c r="AA851" s="218"/>
    </row>
    <row r="852" spans="1:27" ht="24" x14ac:dyDescent="0.25">
      <c r="A852" s="405">
        <v>3000654</v>
      </c>
      <c r="B852" s="406">
        <v>42411</v>
      </c>
      <c r="C852" s="405" t="s">
        <v>42</v>
      </c>
      <c r="D852" s="401" t="s">
        <v>2179</v>
      </c>
      <c r="E852" s="120">
        <v>100</v>
      </c>
      <c r="F852" s="133" t="s">
        <v>2180</v>
      </c>
      <c r="G852" s="404" t="s">
        <v>45</v>
      </c>
      <c r="H852" s="411">
        <v>197.01</v>
      </c>
      <c r="I852" s="89">
        <f t="shared" si="143"/>
        <v>-17.730899999999998</v>
      </c>
      <c r="J852" s="90">
        <f>-((H852*0.019)+0.3)</f>
        <v>-4.0431900000000001</v>
      </c>
      <c r="K852" s="396">
        <f t="shared" si="133"/>
        <v>175.23590999999999</v>
      </c>
      <c r="L852" s="131">
        <v>1069</v>
      </c>
      <c r="M852" s="187">
        <v>20.010000000000002</v>
      </c>
      <c r="N852" s="91">
        <f t="shared" si="141"/>
        <v>126.91000000000001</v>
      </c>
      <c r="O852" s="411">
        <f t="shared" si="140"/>
        <v>48.325909999999979</v>
      </c>
      <c r="P852" s="132" t="s">
        <v>86</v>
      </c>
      <c r="Q852" s="232"/>
      <c r="R852" s="411"/>
      <c r="T852" s="134" t="s">
        <v>145</v>
      </c>
      <c r="U852" s="267" t="s">
        <v>2181</v>
      </c>
      <c r="AA852" s="218"/>
    </row>
    <row r="853" spans="1:27" ht="24" x14ac:dyDescent="0.25">
      <c r="A853" s="405">
        <v>3000655</v>
      </c>
      <c r="B853" s="406">
        <v>42411</v>
      </c>
      <c r="C853" s="405" t="s">
        <v>56</v>
      </c>
      <c r="D853" s="401" t="s">
        <v>2182</v>
      </c>
      <c r="E853" s="120">
        <v>155</v>
      </c>
      <c r="F853" s="133" t="s">
        <v>2183</v>
      </c>
      <c r="G853" s="404" t="s">
        <v>45</v>
      </c>
      <c r="H853" s="411">
        <v>1054</v>
      </c>
      <c r="I853" s="411">
        <v>0</v>
      </c>
      <c r="J853" s="411">
        <v>0</v>
      </c>
      <c r="K853" s="396">
        <f t="shared" si="133"/>
        <v>1054</v>
      </c>
      <c r="L853" s="158">
        <v>2750</v>
      </c>
      <c r="M853" s="158">
        <v>41.45</v>
      </c>
      <c r="N853" s="91">
        <f t="shared" si="141"/>
        <v>467.7</v>
      </c>
      <c r="O853" s="411">
        <f t="shared" si="140"/>
        <v>586.29999999999995</v>
      </c>
      <c r="P853" s="132" t="s">
        <v>183</v>
      </c>
      <c r="Q853" s="232"/>
      <c r="R853" s="411"/>
      <c r="T853" s="134" t="s">
        <v>145</v>
      </c>
      <c r="U853" s="267" t="s">
        <v>2184</v>
      </c>
      <c r="V853" s="133" t="s">
        <v>787</v>
      </c>
      <c r="W853" s="153" t="s">
        <v>2185</v>
      </c>
      <c r="AA853" s="218"/>
    </row>
    <row r="854" spans="1:27" ht="24" x14ac:dyDescent="0.25">
      <c r="A854" s="405">
        <v>3000656</v>
      </c>
      <c r="B854" s="406">
        <v>42411</v>
      </c>
      <c r="C854" s="405" t="s">
        <v>141</v>
      </c>
      <c r="D854" s="401" t="s">
        <v>2186</v>
      </c>
      <c r="E854" s="120">
        <v>1350</v>
      </c>
      <c r="F854" s="133" t="s">
        <v>2187</v>
      </c>
      <c r="G854" s="404" t="s">
        <v>45</v>
      </c>
      <c r="H854" s="411">
        <v>4590</v>
      </c>
      <c r="I854" s="411">
        <v>0</v>
      </c>
      <c r="J854" s="396">
        <f>-((H854*0.0325)+0.3)</f>
        <v>-149.47500000000002</v>
      </c>
      <c r="K854" s="396">
        <f t="shared" si="133"/>
        <v>4440.5249999999996</v>
      </c>
      <c r="M854" s="158">
        <v>387.79</v>
      </c>
      <c r="N854" s="91">
        <f t="shared" si="141"/>
        <v>387.79</v>
      </c>
      <c r="O854" s="411">
        <f t="shared" si="140"/>
        <v>4052.7349999999997</v>
      </c>
      <c r="P854" s="132" t="s">
        <v>52</v>
      </c>
      <c r="Q854" s="232"/>
      <c r="R854" s="411"/>
      <c r="T854" s="134" t="s">
        <v>1209</v>
      </c>
      <c r="U854" s="267" t="s">
        <v>2188</v>
      </c>
      <c r="V854" s="133" t="s">
        <v>2189</v>
      </c>
      <c r="W854" s="153" t="s">
        <v>2190</v>
      </c>
      <c r="AA854" s="218"/>
    </row>
    <row r="855" spans="1:27" ht="24" x14ac:dyDescent="0.25">
      <c r="A855" s="419">
        <v>3000657</v>
      </c>
      <c r="B855" s="421">
        <v>42411</v>
      </c>
      <c r="C855" s="419" t="s">
        <v>63</v>
      </c>
      <c r="D855" s="417" t="s">
        <v>2191</v>
      </c>
      <c r="E855" s="120">
        <v>250</v>
      </c>
      <c r="F855" s="133" t="s">
        <v>1137</v>
      </c>
      <c r="G855" s="434" t="s">
        <v>45</v>
      </c>
      <c r="H855" s="427">
        <v>1114</v>
      </c>
      <c r="I855" s="427">
        <v>0</v>
      </c>
      <c r="J855" s="425">
        <f t="shared" ref="J855" si="144">-((H855*0.019)+0.3)</f>
        <v>-21.466000000000001</v>
      </c>
      <c r="K855" s="425">
        <f t="shared" si="133"/>
        <v>1092.5340000000001</v>
      </c>
      <c r="M855" s="187">
        <v>25.12</v>
      </c>
      <c r="N855" s="91">
        <f t="shared" si="141"/>
        <v>25.12</v>
      </c>
      <c r="O855" s="411">
        <f t="shared" si="140"/>
        <v>1067.4140000000002</v>
      </c>
      <c r="P855" s="132" t="s">
        <v>52</v>
      </c>
      <c r="Q855" s="183"/>
      <c r="R855" s="411"/>
      <c r="T855" s="134" t="s">
        <v>145</v>
      </c>
      <c r="U855" s="267" t="s">
        <v>2192</v>
      </c>
      <c r="W855" s="153" t="s">
        <v>2193</v>
      </c>
      <c r="AA855" s="218"/>
    </row>
    <row r="856" spans="1:27" ht="24" x14ac:dyDescent="0.25">
      <c r="A856" s="432"/>
      <c r="B856" s="433"/>
      <c r="C856" s="432"/>
      <c r="D856" s="454"/>
      <c r="E856" s="120">
        <v>250</v>
      </c>
      <c r="F856" s="133" t="s">
        <v>983</v>
      </c>
      <c r="G856" s="435"/>
      <c r="H856" s="438"/>
      <c r="I856" s="438"/>
      <c r="J856" s="437"/>
      <c r="K856" s="437"/>
      <c r="M856" s="187">
        <v>23.21</v>
      </c>
      <c r="N856" s="91">
        <f t="shared" si="141"/>
        <v>23.21</v>
      </c>
      <c r="O856" s="411">
        <f t="shared" si="140"/>
        <v>-23.21</v>
      </c>
      <c r="P856" s="132" t="s">
        <v>86</v>
      </c>
      <c r="Q856" s="232"/>
      <c r="R856" s="411"/>
      <c r="T856" s="134" t="s">
        <v>145</v>
      </c>
      <c r="U856" s="267" t="s">
        <v>2194</v>
      </c>
      <c r="V856" s="133" t="s">
        <v>2195</v>
      </c>
      <c r="AA856" s="218"/>
    </row>
    <row r="857" spans="1:27" ht="24" customHeight="1" x14ac:dyDescent="0.25">
      <c r="A857" s="432"/>
      <c r="B857" s="433"/>
      <c r="C857" s="432"/>
      <c r="D857" s="454"/>
      <c r="E857" s="120">
        <v>250</v>
      </c>
      <c r="F857" s="133" t="s">
        <v>2196</v>
      </c>
      <c r="G857" s="435"/>
      <c r="H857" s="438"/>
      <c r="I857" s="438"/>
      <c r="J857" s="437"/>
      <c r="K857" s="437"/>
      <c r="L857" s="158">
        <v>445</v>
      </c>
      <c r="N857" s="91">
        <f t="shared" si="141"/>
        <v>111.25</v>
      </c>
      <c r="O857" s="411">
        <f t="shared" si="140"/>
        <v>-111.25</v>
      </c>
      <c r="P857" s="132" t="s">
        <v>601</v>
      </c>
      <c r="Q857" s="232"/>
      <c r="R857" s="411"/>
      <c r="T857" s="470" t="s">
        <v>204</v>
      </c>
      <c r="U857" s="505" t="s">
        <v>2197</v>
      </c>
      <c r="V857" s="133" t="s">
        <v>2198</v>
      </c>
      <c r="AA857" s="218"/>
    </row>
    <row r="858" spans="1:27" x14ac:dyDescent="0.25">
      <c r="A858" s="432"/>
      <c r="B858" s="433"/>
      <c r="C858" s="432"/>
      <c r="D858" s="454"/>
      <c r="E858" s="120">
        <v>250</v>
      </c>
      <c r="F858" s="133" t="s">
        <v>2199</v>
      </c>
      <c r="G858" s="435"/>
      <c r="H858" s="438"/>
      <c r="I858" s="438"/>
      <c r="J858" s="437"/>
      <c r="K858" s="437"/>
      <c r="L858" s="158">
        <v>1155</v>
      </c>
      <c r="N858" s="91">
        <f t="shared" si="141"/>
        <v>288.75</v>
      </c>
      <c r="O858" s="411">
        <f t="shared" si="140"/>
        <v>-288.75</v>
      </c>
      <c r="P858" s="132" t="s">
        <v>601</v>
      </c>
      <c r="Q858" s="232"/>
      <c r="R858" s="411"/>
      <c r="T858" s="472"/>
      <c r="U858" s="490"/>
      <c r="V858" s="133" t="s">
        <v>2198</v>
      </c>
      <c r="AA858" s="218"/>
    </row>
    <row r="859" spans="1:27" ht="24" x14ac:dyDescent="0.25">
      <c r="A859" s="420"/>
      <c r="B859" s="422"/>
      <c r="C859" s="420"/>
      <c r="D859" s="418"/>
      <c r="E859" s="120">
        <v>100</v>
      </c>
      <c r="F859" s="133" t="s">
        <v>2200</v>
      </c>
      <c r="G859" s="436"/>
      <c r="H859" s="428"/>
      <c r="I859" s="428"/>
      <c r="J859" s="426"/>
      <c r="K859" s="426"/>
      <c r="L859" s="158">
        <v>550</v>
      </c>
      <c r="M859" s="158">
        <v>21.13</v>
      </c>
      <c r="N859" s="91">
        <f t="shared" si="141"/>
        <v>76.13</v>
      </c>
      <c r="O859" s="411">
        <f t="shared" si="140"/>
        <v>-76.13</v>
      </c>
      <c r="P859" s="132" t="s">
        <v>183</v>
      </c>
      <c r="Q859" s="232"/>
      <c r="R859" s="411"/>
      <c r="T859" s="134" t="s">
        <v>145</v>
      </c>
      <c r="U859" s="267" t="s">
        <v>2201</v>
      </c>
      <c r="V859" s="133" t="s">
        <v>2202</v>
      </c>
      <c r="AA859" s="218"/>
    </row>
    <row r="860" spans="1:27" ht="24" x14ac:dyDescent="0.25">
      <c r="A860" s="405">
        <v>3000658</v>
      </c>
      <c r="B860" s="406">
        <v>42411</v>
      </c>
      <c r="C860" s="405" t="s">
        <v>63</v>
      </c>
      <c r="D860" s="401" t="s">
        <v>2203</v>
      </c>
      <c r="E860" s="120">
        <v>220</v>
      </c>
      <c r="F860" s="133" t="s">
        <v>1205</v>
      </c>
      <c r="G860" s="404" t="s">
        <v>45</v>
      </c>
      <c r="H860" s="411">
        <v>220</v>
      </c>
      <c r="I860" s="411">
        <v>0</v>
      </c>
      <c r="J860" s="90">
        <f t="shared" ref="J860" si="145">-((H860*0.019)+0.3)</f>
        <v>-4.4799999999999995</v>
      </c>
      <c r="K860" s="396">
        <f t="shared" ref="K860:K910" si="146">SUM(H860:J860)</f>
        <v>215.52</v>
      </c>
      <c r="L860" s="158">
        <v>170</v>
      </c>
      <c r="M860" s="158">
        <v>49.82</v>
      </c>
      <c r="N860" s="91">
        <f t="shared" si="141"/>
        <v>87.22</v>
      </c>
      <c r="O860" s="411">
        <f t="shared" si="140"/>
        <v>128.30000000000001</v>
      </c>
      <c r="P860" s="132" t="s">
        <v>183</v>
      </c>
      <c r="Q860" s="232"/>
      <c r="R860" s="411"/>
      <c r="T860" s="134" t="s">
        <v>145</v>
      </c>
      <c r="U860" s="267" t="s">
        <v>2204</v>
      </c>
      <c r="W860" s="153" t="s">
        <v>1577</v>
      </c>
      <c r="AA860" s="218"/>
    </row>
    <row r="861" spans="1:27" ht="24" x14ac:dyDescent="0.25">
      <c r="A861" s="405">
        <v>3000659</v>
      </c>
      <c r="B861" s="406">
        <v>42411</v>
      </c>
      <c r="C861" s="405" t="s">
        <v>42</v>
      </c>
      <c r="D861" s="401" t="s">
        <v>2205</v>
      </c>
      <c r="E861" s="120">
        <v>175</v>
      </c>
      <c r="F861" s="133" t="s">
        <v>227</v>
      </c>
      <c r="G861" s="404" t="s">
        <v>45</v>
      </c>
      <c r="H861" s="411">
        <v>149.38</v>
      </c>
      <c r="I861" s="89">
        <f t="shared" ref="I861:I863" si="147">-(H861*0.09)</f>
        <v>-13.444199999999999</v>
      </c>
      <c r="J861" s="90">
        <f>-((H861*0.019)+0.3)</f>
        <v>-3.1382199999999996</v>
      </c>
      <c r="K861" s="396">
        <f t="shared" si="146"/>
        <v>132.79758000000001</v>
      </c>
      <c r="L861" s="131">
        <v>350</v>
      </c>
      <c r="M861" s="187">
        <v>37.42</v>
      </c>
      <c r="N861" s="91">
        <f t="shared" si="141"/>
        <v>98.670000000000016</v>
      </c>
      <c r="O861" s="411">
        <f t="shared" si="140"/>
        <v>34.127579999999995</v>
      </c>
      <c r="P861" s="132" t="s">
        <v>52</v>
      </c>
      <c r="Q861" s="232"/>
      <c r="R861" s="411"/>
      <c r="T861" s="134" t="s">
        <v>145</v>
      </c>
      <c r="U861" s="267" t="s">
        <v>2206</v>
      </c>
      <c r="AA861" s="218"/>
    </row>
    <row r="862" spans="1:27" ht="24" x14ac:dyDescent="0.25">
      <c r="A862" s="405">
        <v>3000660</v>
      </c>
      <c r="B862" s="406">
        <v>42411</v>
      </c>
      <c r="C862" s="405" t="s">
        <v>42</v>
      </c>
      <c r="D862" s="401" t="s">
        <v>2207</v>
      </c>
      <c r="E862" s="120">
        <v>300</v>
      </c>
      <c r="F862" s="133" t="s">
        <v>481</v>
      </c>
      <c r="G862" s="404" t="s">
        <v>45</v>
      </c>
      <c r="H862" s="411">
        <v>563.76</v>
      </c>
      <c r="I862" s="89">
        <f t="shared" si="147"/>
        <v>-50.738399999999999</v>
      </c>
      <c r="J862" s="90">
        <f>-((H862*0.019)+0.3)</f>
        <v>-11.01144</v>
      </c>
      <c r="K862" s="396">
        <f t="shared" si="146"/>
        <v>502.01016000000004</v>
      </c>
      <c r="L862" s="158">
        <v>535.46</v>
      </c>
      <c r="M862" s="187">
        <v>41.89</v>
      </c>
      <c r="N862" s="91">
        <f t="shared" si="141"/>
        <v>202.52800000000002</v>
      </c>
      <c r="O862" s="411">
        <f t="shared" si="140"/>
        <v>299.48216000000002</v>
      </c>
      <c r="P862" s="132" t="s">
        <v>46</v>
      </c>
      <c r="Q862" s="232"/>
      <c r="R862" s="411"/>
      <c r="T862" s="134" t="s">
        <v>145</v>
      </c>
      <c r="U862" s="267" t="s">
        <v>2208</v>
      </c>
      <c r="AA862" s="218"/>
    </row>
    <row r="863" spans="1:27" ht="24" x14ac:dyDescent="0.25">
      <c r="A863" s="405">
        <v>3000661</v>
      </c>
      <c r="B863" s="406">
        <v>42412</v>
      </c>
      <c r="C863" s="405" t="s">
        <v>42</v>
      </c>
      <c r="D863" s="401" t="s">
        <v>2209</v>
      </c>
      <c r="E863" s="120">
        <v>750</v>
      </c>
      <c r="F863" s="133" t="s">
        <v>2210</v>
      </c>
      <c r="G863" s="404" t="s">
        <v>45</v>
      </c>
      <c r="H863" s="411">
        <v>194.75</v>
      </c>
      <c r="I863" s="89">
        <f t="shared" si="147"/>
        <v>-17.5275</v>
      </c>
      <c r="J863" s="90">
        <f>-((H863*0.019)+0.3)</f>
        <v>-4.0002500000000003</v>
      </c>
      <c r="K863" s="396">
        <f t="shared" si="146"/>
        <v>173.22225</v>
      </c>
      <c r="M863" s="187">
        <v>48.93</v>
      </c>
      <c r="N863" s="91">
        <f t="shared" si="141"/>
        <v>48.93</v>
      </c>
      <c r="O863" s="411">
        <f t="shared" si="140"/>
        <v>124.29225</v>
      </c>
      <c r="P863" s="132" t="s">
        <v>52</v>
      </c>
      <c r="Q863" s="232"/>
      <c r="R863" s="411"/>
      <c r="T863" s="134" t="s">
        <v>145</v>
      </c>
      <c r="U863" s="267" t="s">
        <v>2211</v>
      </c>
      <c r="AA863" s="218"/>
    </row>
    <row r="864" spans="1:27" x14ac:dyDescent="0.25">
      <c r="A864" s="419">
        <v>3000662</v>
      </c>
      <c r="B864" s="421">
        <v>42412</v>
      </c>
      <c r="C864" s="419" t="s">
        <v>141</v>
      </c>
      <c r="D864" s="429" t="s">
        <v>2212</v>
      </c>
      <c r="E864" s="120">
        <v>1000</v>
      </c>
      <c r="F864" s="133" t="s">
        <v>2213</v>
      </c>
      <c r="G864" s="434" t="s">
        <v>45</v>
      </c>
      <c r="H864" s="427">
        <v>2150</v>
      </c>
      <c r="I864" s="427">
        <v>0</v>
      </c>
      <c r="J864" s="425">
        <f>-((H864*0.0325)+0.3)</f>
        <v>-70.174999999999997</v>
      </c>
      <c r="K864" s="425">
        <f t="shared" si="146"/>
        <v>2079.8249999999998</v>
      </c>
      <c r="L864" s="158">
        <v>578.35</v>
      </c>
      <c r="M864" s="158">
        <v>48</v>
      </c>
      <c r="N864" s="91">
        <f t="shared" si="141"/>
        <v>626.35</v>
      </c>
      <c r="O864" s="411">
        <f t="shared" si="140"/>
        <v>1453.4749999999999</v>
      </c>
      <c r="P864" s="132" t="s">
        <v>46</v>
      </c>
      <c r="Q864" s="232"/>
      <c r="R864" s="411"/>
      <c r="T864" s="407" t="s">
        <v>851</v>
      </c>
      <c r="U864" s="266" t="s">
        <v>852</v>
      </c>
      <c r="W864" s="153" t="s">
        <v>2214</v>
      </c>
      <c r="AA864" s="218"/>
    </row>
    <row r="865" spans="1:27" x14ac:dyDescent="0.25">
      <c r="A865" s="420"/>
      <c r="B865" s="422"/>
      <c r="C865" s="420"/>
      <c r="D865" s="431"/>
      <c r="E865" s="120">
        <v>1000</v>
      </c>
      <c r="F865" s="133" t="s">
        <v>307</v>
      </c>
      <c r="G865" s="436"/>
      <c r="H865" s="428"/>
      <c r="I865" s="428"/>
      <c r="J865" s="426"/>
      <c r="K865" s="426"/>
      <c r="L865" s="158">
        <v>720.56</v>
      </c>
      <c r="M865" s="158">
        <v>49.5</v>
      </c>
      <c r="N865" s="91">
        <f t="shared" si="141"/>
        <v>770.06</v>
      </c>
      <c r="O865" s="411">
        <f t="shared" si="140"/>
        <v>-770.06</v>
      </c>
      <c r="P865" s="132" t="s">
        <v>46</v>
      </c>
      <c r="Q865" s="232"/>
      <c r="R865" s="411"/>
      <c r="T865" s="409" t="s">
        <v>463</v>
      </c>
      <c r="U865" s="267" t="s">
        <v>2215</v>
      </c>
      <c r="AA865" s="218"/>
    </row>
    <row r="866" spans="1:27" ht="24" x14ac:dyDescent="0.25">
      <c r="A866" s="405">
        <v>3000663</v>
      </c>
      <c r="B866" s="406">
        <v>42412</v>
      </c>
      <c r="C866" s="405" t="s">
        <v>141</v>
      </c>
      <c r="D866" s="401" t="s">
        <v>2216</v>
      </c>
      <c r="E866" s="120">
        <v>200</v>
      </c>
      <c r="F866" s="133" t="s">
        <v>1910</v>
      </c>
      <c r="G866" s="404" t="s">
        <v>45</v>
      </c>
      <c r="H866" s="411">
        <v>420</v>
      </c>
      <c r="I866" s="411">
        <v>0</v>
      </c>
      <c r="J866" s="396">
        <f>-((H866*0.0325)+0.3)</f>
        <v>-13.950000000000001</v>
      </c>
      <c r="K866" s="396">
        <f t="shared" si="146"/>
        <v>406.05</v>
      </c>
      <c r="L866" s="158">
        <v>1000</v>
      </c>
      <c r="M866" s="158">
        <v>37.229999999999997</v>
      </c>
      <c r="N866" s="91">
        <f t="shared" si="141"/>
        <v>237.23</v>
      </c>
      <c r="O866" s="411">
        <f t="shared" si="140"/>
        <v>168.82000000000002</v>
      </c>
      <c r="P866" s="132" t="s">
        <v>183</v>
      </c>
      <c r="Q866" s="232"/>
      <c r="R866" s="411"/>
      <c r="T866" s="134" t="s">
        <v>145</v>
      </c>
      <c r="U866" s="267" t="s">
        <v>2217</v>
      </c>
      <c r="W866" s="153" t="s">
        <v>2218</v>
      </c>
      <c r="AA866" s="218"/>
    </row>
    <row r="867" spans="1:27" ht="24" x14ac:dyDescent="0.25">
      <c r="A867" s="405">
        <v>3000664</v>
      </c>
      <c r="B867" s="406">
        <v>42412</v>
      </c>
      <c r="C867" s="405" t="s">
        <v>42</v>
      </c>
      <c r="D867" s="401" t="s">
        <v>2219</v>
      </c>
      <c r="E867" s="120">
        <v>250</v>
      </c>
      <c r="F867" s="133" t="s">
        <v>2220</v>
      </c>
      <c r="G867" s="404" t="s">
        <v>45</v>
      </c>
      <c r="H867" s="411">
        <v>150</v>
      </c>
      <c r="I867" s="89">
        <f t="shared" ref="I867:I869" si="148">-(H867*0.09)</f>
        <v>-13.5</v>
      </c>
      <c r="J867" s="90">
        <f>-((H867*0.019)+0.3)</f>
        <v>-3.15</v>
      </c>
      <c r="K867" s="396">
        <f t="shared" si="146"/>
        <v>133.35</v>
      </c>
      <c r="L867" s="158">
        <v>310</v>
      </c>
      <c r="M867" s="158">
        <v>23.11</v>
      </c>
      <c r="N867" s="91">
        <f t="shared" si="141"/>
        <v>100.61</v>
      </c>
      <c r="O867" s="411">
        <f t="shared" si="140"/>
        <v>32.739999999999995</v>
      </c>
      <c r="P867" s="132" t="s">
        <v>183</v>
      </c>
      <c r="Q867" s="232"/>
      <c r="R867" s="411"/>
      <c r="T867" s="134" t="s">
        <v>145</v>
      </c>
      <c r="U867" s="267" t="s">
        <v>2221</v>
      </c>
      <c r="AA867" s="218"/>
    </row>
    <row r="868" spans="1:27" ht="24" x14ac:dyDescent="0.25">
      <c r="A868" s="405">
        <v>3000665</v>
      </c>
      <c r="B868" s="406">
        <v>42412</v>
      </c>
      <c r="C868" s="405" t="s">
        <v>42</v>
      </c>
      <c r="D868" s="401" t="s">
        <v>2222</v>
      </c>
      <c r="E868" s="120">
        <v>100</v>
      </c>
      <c r="F868" s="133" t="s">
        <v>829</v>
      </c>
      <c r="G868" s="404" t="s">
        <v>45</v>
      </c>
      <c r="H868" s="411">
        <v>102.42</v>
      </c>
      <c r="I868" s="89">
        <f t="shared" si="148"/>
        <v>-9.2178000000000004</v>
      </c>
      <c r="J868" s="90">
        <f>-((H868*0.019)+0.3)</f>
        <v>-2.2459799999999999</v>
      </c>
      <c r="K868" s="396">
        <f t="shared" si="146"/>
        <v>90.956220000000002</v>
      </c>
      <c r="L868" s="131">
        <v>510</v>
      </c>
      <c r="M868" s="187">
        <v>31.84</v>
      </c>
      <c r="N868" s="91">
        <f t="shared" si="141"/>
        <v>82.84</v>
      </c>
      <c r="O868" s="411">
        <f t="shared" si="140"/>
        <v>8.1162199999999984</v>
      </c>
      <c r="P868" s="132" t="s">
        <v>52</v>
      </c>
      <c r="Q868" s="232"/>
      <c r="R868" s="411"/>
      <c r="T868" s="134" t="s">
        <v>145</v>
      </c>
      <c r="U868" s="267" t="s">
        <v>2223</v>
      </c>
      <c r="AA868" s="218"/>
    </row>
    <row r="869" spans="1:27" ht="24" x14ac:dyDescent="0.25">
      <c r="A869" s="405">
        <v>3000666</v>
      </c>
      <c r="B869" s="406">
        <v>42412</v>
      </c>
      <c r="C869" s="405" t="s">
        <v>42</v>
      </c>
      <c r="D869" s="401" t="s">
        <v>2224</v>
      </c>
      <c r="E869" s="120">
        <v>170</v>
      </c>
      <c r="F869" s="133" t="s">
        <v>247</v>
      </c>
      <c r="G869" s="386" t="s">
        <v>45</v>
      </c>
      <c r="H869" s="411">
        <v>204</v>
      </c>
      <c r="I869" s="89">
        <f t="shared" si="148"/>
        <v>-18.36</v>
      </c>
      <c r="J869" s="90">
        <f>-((H869*0.019)+0.3)</f>
        <v>-4.1760000000000002</v>
      </c>
      <c r="K869" s="396">
        <f t="shared" si="146"/>
        <v>181.464</v>
      </c>
      <c r="L869" s="131">
        <v>580</v>
      </c>
      <c r="M869" s="131">
        <v>27.39</v>
      </c>
      <c r="N869" s="91">
        <f t="shared" si="141"/>
        <v>125.99000000000001</v>
      </c>
      <c r="O869" s="411">
        <f t="shared" si="140"/>
        <v>55.47399999999999</v>
      </c>
      <c r="P869" s="132" t="s">
        <v>86</v>
      </c>
      <c r="Q869" s="232"/>
      <c r="R869" s="411"/>
      <c r="T869" s="134" t="s">
        <v>145</v>
      </c>
      <c r="U869" s="267" t="s">
        <v>2225</v>
      </c>
      <c r="AA869" s="218"/>
    </row>
    <row r="870" spans="1:27" ht="24" x14ac:dyDescent="0.25">
      <c r="A870" s="405">
        <v>3000667</v>
      </c>
      <c r="B870" s="406">
        <v>42412</v>
      </c>
      <c r="C870" s="405" t="s">
        <v>237</v>
      </c>
      <c r="D870" s="401" t="s">
        <v>2226</v>
      </c>
      <c r="E870" s="120">
        <v>250</v>
      </c>
      <c r="F870" s="184" t="s">
        <v>877</v>
      </c>
      <c r="G870" s="404" t="s">
        <v>45</v>
      </c>
      <c r="H870" s="185">
        <v>218.25</v>
      </c>
      <c r="I870" s="89">
        <f>-(H870*0.15)</f>
        <v>-32.737499999999997</v>
      </c>
      <c r="J870" s="411">
        <v>0</v>
      </c>
      <c r="K870" s="396">
        <f t="shared" si="146"/>
        <v>185.51249999999999</v>
      </c>
      <c r="L870" s="131">
        <v>235</v>
      </c>
      <c r="M870" s="187">
        <v>25.23</v>
      </c>
      <c r="N870" s="91">
        <f t="shared" si="141"/>
        <v>83.98</v>
      </c>
      <c r="O870" s="411">
        <f t="shared" si="140"/>
        <v>101.53249999999998</v>
      </c>
      <c r="P870" s="132" t="s">
        <v>52</v>
      </c>
      <c r="Q870" s="232"/>
      <c r="R870" s="411"/>
      <c r="T870" s="134" t="s">
        <v>145</v>
      </c>
      <c r="U870" s="267" t="s">
        <v>2227</v>
      </c>
      <c r="AA870" s="218"/>
    </row>
    <row r="871" spans="1:27" ht="24" x14ac:dyDescent="0.25">
      <c r="A871" s="405">
        <v>3000668</v>
      </c>
      <c r="B871" s="406">
        <v>42412</v>
      </c>
      <c r="C871" s="405" t="s">
        <v>237</v>
      </c>
      <c r="D871" s="401" t="s">
        <v>2228</v>
      </c>
      <c r="E871" s="120">
        <v>50</v>
      </c>
      <c r="F871" s="184" t="s">
        <v>431</v>
      </c>
      <c r="G871" s="404" t="s">
        <v>45</v>
      </c>
      <c r="H871" s="185">
        <v>145.37</v>
      </c>
      <c r="I871" s="89">
        <f>-(H871*0.15)</f>
        <v>-21.805499999999999</v>
      </c>
      <c r="J871" s="411">
        <v>0</v>
      </c>
      <c r="K871" s="396">
        <f t="shared" si="146"/>
        <v>123.56450000000001</v>
      </c>
      <c r="M871" s="187">
        <v>26.54</v>
      </c>
      <c r="N871" s="91">
        <f t="shared" si="141"/>
        <v>26.54</v>
      </c>
      <c r="O871" s="411">
        <f t="shared" si="140"/>
        <v>97.024500000000018</v>
      </c>
      <c r="P871" s="132" t="s">
        <v>86</v>
      </c>
      <c r="Q871" s="232"/>
      <c r="R871" s="411"/>
      <c r="T871" s="134" t="s">
        <v>145</v>
      </c>
      <c r="U871" s="267" t="s">
        <v>2229</v>
      </c>
      <c r="AA871" s="218"/>
    </row>
    <row r="872" spans="1:27" ht="24" x14ac:dyDescent="0.25">
      <c r="A872" s="405">
        <v>3000669</v>
      </c>
      <c r="B872" s="406">
        <v>42412</v>
      </c>
      <c r="C872" s="405" t="s">
        <v>42</v>
      </c>
      <c r="D872" s="401" t="s">
        <v>2230</v>
      </c>
      <c r="E872" s="120">
        <v>100</v>
      </c>
      <c r="F872" s="184" t="s">
        <v>161</v>
      </c>
      <c r="G872" s="404" t="s">
        <v>45</v>
      </c>
      <c r="H872" s="185">
        <v>235</v>
      </c>
      <c r="I872" s="89">
        <f t="shared" ref="I872" si="149">-(H872*0.09)</f>
        <v>-21.15</v>
      </c>
      <c r="J872" s="90">
        <f>-((H872*0.019)+0.3)</f>
        <v>-4.7649999999999997</v>
      </c>
      <c r="K872" s="396">
        <f t="shared" si="146"/>
        <v>209.08500000000001</v>
      </c>
      <c r="L872" s="131">
        <v>1350</v>
      </c>
      <c r="M872" s="187">
        <v>27.58</v>
      </c>
      <c r="N872" s="91">
        <f t="shared" si="141"/>
        <v>162.57999999999998</v>
      </c>
      <c r="O872" s="411">
        <f t="shared" si="140"/>
        <v>46.505000000000024</v>
      </c>
      <c r="P872" s="132" t="s">
        <v>52</v>
      </c>
      <c r="Q872" s="232"/>
      <c r="R872" s="411"/>
      <c r="T872" s="134" t="s">
        <v>145</v>
      </c>
      <c r="U872" s="267" t="s">
        <v>2231</v>
      </c>
      <c r="AA872" s="218"/>
    </row>
    <row r="873" spans="1:27" ht="24" customHeight="1" x14ac:dyDescent="0.25">
      <c r="A873" s="419">
        <v>3000670</v>
      </c>
      <c r="B873" s="421">
        <v>42412</v>
      </c>
      <c r="C873" s="419" t="s">
        <v>63</v>
      </c>
      <c r="D873" s="417" t="s">
        <v>2232</v>
      </c>
      <c r="E873" s="120">
        <v>100</v>
      </c>
      <c r="F873" s="184" t="s">
        <v>161</v>
      </c>
      <c r="G873" s="551" t="s">
        <v>45</v>
      </c>
      <c r="H873" s="530">
        <v>265</v>
      </c>
      <c r="I873" s="427">
        <v>0</v>
      </c>
      <c r="J873" s="425">
        <f t="shared" ref="J873" si="150">-((H873*0.019)+0.3)</f>
        <v>-5.335</v>
      </c>
      <c r="K873" s="425">
        <f t="shared" si="146"/>
        <v>259.66500000000002</v>
      </c>
      <c r="L873" s="131">
        <v>1350</v>
      </c>
      <c r="M873" s="187">
        <v>60.41</v>
      </c>
      <c r="N873" s="91">
        <f t="shared" si="141"/>
        <v>195.41</v>
      </c>
      <c r="O873" s="411">
        <f t="shared" si="140"/>
        <v>64.255000000000024</v>
      </c>
      <c r="P873" s="132" t="s">
        <v>52</v>
      </c>
      <c r="Q873" s="232"/>
      <c r="R873" s="411"/>
      <c r="T873" s="470" t="s">
        <v>145</v>
      </c>
      <c r="U873" s="481" t="s">
        <v>2233</v>
      </c>
      <c r="W873" s="153" t="s">
        <v>2234</v>
      </c>
      <c r="AA873" s="218"/>
    </row>
    <row r="874" spans="1:27" x14ac:dyDescent="0.25">
      <c r="A874" s="420"/>
      <c r="B874" s="422"/>
      <c r="C874" s="420"/>
      <c r="D874" s="418"/>
      <c r="E874" s="120">
        <v>50</v>
      </c>
      <c r="F874" s="184" t="s">
        <v>590</v>
      </c>
      <c r="G874" s="551"/>
      <c r="H874" s="531"/>
      <c r="I874" s="428"/>
      <c r="J874" s="426"/>
      <c r="K874" s="426"/>
      <c r="L874" s="131">
        <v>620</v>
      </c>
      <c r="M874" s="187"/>
      <c r="N874" s="91">
        <f t="shared" si="141"/>
        <v>31</v>
      </c>
      <c r="O874" s="411">
        <f t="shared" si="140"/>
        <v>-31</v>
      </c>
      <c r="P874" s="132" t="s">
        <v>52</v>
      </c>
      <c r="Q874" s="232"/>
      <c r="R874" s="411"/>
      <c r="T874" s="472"/>
      <c r="U874" s="483"/>
      <c r="AA874" s="218"/>
    </row>
    <row r="875" spans="1:27" ht="24" x14ac:dyDescent="0.25">
      <c r="A875" s="405">
        <v>3000671</v>
      </c>
      <c r="B875" s="406">
        <v>42412</v>
      </c>
      <c r="C875" s="405" t="s">
        <v>42</v>
      </c>
      <c r="D875" s="401" t="s">
        <v>2235</v>
      </c>
      <c r="E875" s="120">
        <v>250</v>
      </c>
      <c r="F875" s="184" t="s">
        <v>605</v>
      </c>
      <c r="G875" s="404" t="s">
        <v>45</v>
      </c>
      <c r="H875" s="185">
        <v>377.59</v>
      </c>
      <c r="I875" s="89">
        <f t="shared" ref="I875" si="151">-(H875*0.09)</f>
        <v>-33.983099999999993</v>
      </c>
      <c r="J875" s="90">
        <f>-((H875*0.019)+0.3)</f>
        <v>-7.4742099999999994</v>
      </c>
      <c r="K875" s="396">
        <f t="shared" si="146"/>
        <v>336.13269000000003</v>
      </c>
      <c r="L875" s="131">
        <v>600</v>
      </c>
      <c r="M875" s="187">
        <v>69.45</v>
      </c>
      <c r="N875" s="91">
        <f t="shared" si="141"/>
        <v>219.45</v>
      </c>
      <c r="O875" s="411">
        <f t="shared" si="140"/>
        <v>116.68269000000004</v>
      </c>
      <c r="P875" s="132" t="s">
        <v>52</v>
      </c>
      <c r="Q875" s="232"/>
      <c r="R875" s="411"/>
      <c r="T875" s="134" t="s">
        <v>145</v>
      </c>
      <c r="U875" s="267" t="s">
        <v>2236</v>
      </c>
      <c r="AA875" s="218"/>
    </row>
    <row r="876" spans="1:27" ht="24" x14ac:dyDescent="0.25">
      <c r="A876" s="405">
        <v>3000672</v>
      </c>
      <c r="B876" s="406">
        <v>42412</v>
      </c>
      <c r="C876" s="405" t="s">
        <v>237</v>
      </c>
      <c r="D876" s="401" t="s">
        <v>2237</v>
      </c>
      <c r="E876" s="120">
        <v>250</v>
      </c>
      <c r="F876" s="133" t="s">
        <v>2238</v>
      </c>
      <c r="G876" s="387" t="s">
        <v>45</v>
      </c>
      <c r="H876" s="411">
        <v>125.85</v>
      </c>
      <c r="I876" s="89">
        <f>-(H876*0.15)</f>
        <v>-18.877499999999998</v>
      </c>
      <c r="J876" s="411">
        <v>0</v>
      </c>
      <c r="K876" s="396">
        <f t="shared" si="146"/>
        <v>106.9725</v>
      </c>
      <c r="L876" s="131">
        <v>200</v>
      </c>
      <c r="M876" s="187">
        <v>29.56</v>
      </c>
      <c r="N876" s="91">
        <f t="shared" si="141"/>
        <v>79.56</v>
      </c>
      <c r="O876" s="411">
        <f t="shared" si="140"/>
        <v>27.412499999999994</v>
      </c>
      <c r="P876" s="132" t="s">
        <v>52</v>
      </c>
      <c r="Q876" s="232"/>
      <c r="R876" s="411"/>
      <c r="T876" s="134" t="s">
        <v>145</v>
      </c>
      <c r="U876" s="267" t="s">
        <v>2239</v>
      </c>
      <c r="AA876" s="218"/>
    </row>
    <row r="877" spans="1:27" ht="24" x14ac:dyDescent="0.25">
      <c r="A877" s="405">
        <v>3000673</v>
      </c>
      <c r="B877" s="406">
        <v>42415</v>
      </c>
      <c r="C877" s="405" t="s">
        <v>237</v>
      </c>
      <c r="D877" s="401" t="s">
        <v>2240</v>
      </c>
      <c r="E877" s="120">
        <v>500</v>
      </c>
      <c r="F877" s="133" t="s">
        <v>1822</v>
      </c>
      <c r="G877" s="404" t="s">
        <v>45</v>
      </c>
      <c r="H877" s="411">
        <v>269.74</v>
      </c>
      <c r="I877" s="89">
        <f>-(H877*0.15)</f>
        <v>-40.460999999999999</v>
      </c>
      <c r="J877" s="411">
        <v>0</v>
      </c>
      <c r="K877" s="396">
        <f t="shared" si="146"/>
        <v>229.279</v>
      </c>
      <c r="L877" s="131">
        <v>263.27999999999997</v>
      </c>
      <c r="N877" s="91">
        <f t="shared" si="141"/>
        <v>131.63999999999999</v>
      </c>
      <c r="O877" s="411">
        <f t="shared" si="140"/>
        <v>97.63900000000001</v>
      </c>
      <c r="P877" s="132" t="s">
        <v>42</v>
      </c>
      <c r="Q877" s="232"/>
      <c r="R877" s="411"/>
      <c r="T877" s="134" t="s">
        <v>204</v>
      </c>
      <c r="U877" s="267" t="s">
        <v>2241</v>
      </c>
      <c r="AA877" s="218"/>
    </row>
    <row r="878" spans="1:27" ht="24" x14ac:dyDescent="0.25">
      <c r="A878" s="405">
        <v>3000674</v>
      </c>
      <c r="B878" s="406">
        <v>42415</v>
      </c>
      <c r="C878" s="405" t="s">
        <v>237</v>
      </c>
      <c r="D878" s="401" t="s">
        <v>2242</v>
      </c>
      <c r="E878" s="120">
        <v>100</v>
      </c>
      <c r="F878" s="133" t="s">
        <v>2180</v>
      </c>
      <c r="G878" s="404" t="s">
        <v>45</v>
      </c>
      <c r="H878" s="411">
        <v>221.75</v>
      </c>
      <c r="I878" s="89">
        <f>-(H878*0.15)</f>
        <v>-33.262499999999996</v>
      </c>
      <c r="J878" s="411">
        <v>0</v>
      </c>
      <c r="K878" s="396">
        <f t="shared" si="146"/>
        <v>188.48750000000001</v>
      </c>
      <c r="L878" s="131">
        <v>1069</v>
      </c>
      <c r="M878" s="187">
        <v>42.52</v>
      </c>
      <c r="N878" s="91">
        <f t="shared" si="141"/>
        <v>149.42000000000002</v>
      </c>
      <c r="O878" s="411">
        <f t="shared" si="140"/>
        <v>39.067499999999995</v>
      </c>
      <c r="P878" s="132" t="s">
        <v>86</v>
      </c>
      <c r="Q878" s="232"/>
      <c r="R878" s="411"/>
      <c r="T878" s="134" t="s">
        <v>145</v>
      </c>
      <c r="U878" s="267" t="s">
        <v>2243</v>
      </c>
      <c r="AA878" s="218"/>
    </row>
    <row r="879" spans="1:27" ht="24" x14ac:dyDescent="0.25">
      <c r="A879" s="405">
        <v>3000675</v>
      </c>
      <c r="B879" s="406">
        <v>42415</v>
      </c>
      <c r="C879" s="405" t="s">
        <v>237</v>
      </c>
      <c r="D879" s="401" t="s">
        <v>2244</v>
      </c>
      <c r="E879" s="120">
        <v>75</v>
      </c>
      <c r="F879" s="133" t="s">
        <v>161</v>
      </c>
      <c r="G879" s="404" t="s">
        <v>45</v>
      </c>
      <c r="H879" s="411">
        <v>198.4</v>
      </c>
      <c r="I879" s="89">
        <f>-(H879*0.15)</f>
        <v>-29.759999999999998</v>
      </c>
      <c r="J879" s="411">
        <v>0</v>
      </c>
      <c r="K879" s="396">
        <f t="shared" si="146"/>
        <v>168.64000000000001</v>
      </c>
      <c r="L879" s="131">
        <v>1350</v>
      </c>
      <c r="M879" s="187">
        <v>52.08</v>
      </c>
      <c r="N879" s="91">
        <f t="shared" si="141"/>
        <v>153.32999999999998</v>
      </c>
      <c r="O879" s="411">
        <f t="shared" si="140"/>
        <v>15.310000000000031</v>
      </c>
      <c r="P879" s="132" t="s">
        <v>52</v>
      </c>
      <c r="Q879" s="232"/>
      <c r="R879" s="411"/>
      <c r="T879" s="134" t="s">
        <v>145</v>
      </c>
      <c r="U879" s="267" t="s">
        <v>2245</v>
      </c>
      <c r="AA879" s="218"/>
    </row>
    <row r="880" spans="1:27" ht="24" customHeight="1" x14ac:dyDescent="0.25">
      <c r="A880" s="419">
        <v>3000676</v>
      </c>
      <c r="B880" s="421">
        <v>42415</v>
      </c>
      <c r="C880" s="419" t="s">
        <v>63</v>
      </c>
      <c r="D880" s="417" t="s">
        <v>2246</v>
      </c>
      <c r="E880" s="120">
        <v>130</v>
      </c>
      <c r="F880" s="133" t="s">
        <v>51</v>
      </c>
      <c r="G880" s="434" t="s">
        <v>45</v>
      </c>
      <c r="H880" s="427">
        <v>345</v>
      </c>
      <c r="I880" s="427">
        <v>0</v>
      </c>
      <c r="J880" s="425">
        <f t="shared" ref="J880" si="152">-((H880*0.019)+0.3)</f>
        <v>-6.8549999999999995</v>
      </c>
      <c r="K880" s="425">
        <f t="shared" si="146"/>
        <v>338.14499999999998</v>
      </c>
      <c r="L880" s="131">
        <v>1015</v>
      </c>
      <c r="M880" s="187">
        <v>48.6</v>
      </c>
      <c r="N880" s="91">
        <f t="shared" si="141"/>
        <v>180.55</v>
      </c>
      <c r="O880" s="411">
        <f t="shared" si="140"/>
        <v>157.59499999999997</v>
      </c>
      <c r="P880" s="132" t="s">
        <v>52</v>
      </c>
      <c r="Q880" s="232"/>
      <c r="R880" s="411"/>
      <c r="T880" s="470" t="s">
        <v>145</v>
      </c>
      <c r="U880" s="267" t="s">
        <v>2247</v>
      </c>
      <c r="W880" s="153" t="s">
        <v>2248</v>
      </c>
      <c r="AA880" s="218"/>
    </row>
    <row r="881" spans="1:27" x14ac:dyDescent="0.25">
      <c r="A881" s="420"/>
      <c r="B881" s="422"/>
      <c r="C881" s="420"/>
      <c r="D881" s="418"/>
      <c r="E881" s="120">
        <v>131</v>
      </c>
      <c r="F881" s="133" t="s">
        <v>2249</v>
      </c>
      <c r="G881" s="436"/>
      <c r="H881" s="428"/>
      <c r="I881" s="428"/>
      <c r="J881" s="426"/>
      <c r="K881" s="426"/>
      <c r="M881" s="187">
        <v>16.98</v>
      </c>
      <c r="N881" s="91">
        <f t="shared" si="141"/>
        <v>16.98</v>
      </c>
      <c r="O881" s="411">
        <f t="shared" si="140"/>
        <v>-16.98</v>
      </c>
      <c r="P881" s="132" t="s">
        <v>52</v>
      </c>
      <c r="Q881" s="232"/>
      <c r="R881" s="411"/>
      <c r="T881" s="472"/>
      <c r="U881" s="267" t="s">
        <v>2250</v>
      </c>
      <c r="AA881" s="218"/>
    </row>
    <row r="882" spans="1:27" ht="24" x14ac:dyDescent="0.25">
      <c r="A882" s="419">
        <v>3000677</v>
      </c>
      <c r="B882" s="421">
        <v>42415</v>
      </c>
      <c r="C882" s="419" t="s">
        <v>141</v>
      </c>
      <c r="D882" s="417" t="s">
        <v>2251</v>
      </c>
      <c r="E882" s="120">
        <v>75</v>
      </c>
      <c r="F882" s="133" t="s">
        <v>549</v>
      </c>
      <c r="G882" s="434" t="s">
        <v>45</v>
      </c>
      <c r="H882" s="427">
        <v>592.75</v>
      </c>
      <c r="I882" s="427">
        <v>0</v>
      </c>
      <c r="J882" s="425">
        <f>-((H882*0.0325)+0.3)</f>
        <v>-19.564375000000002</v>
      </c>
      <c r="K882" s="425">
        <f t="shared" si="146"/>
        <v>573.18562499999996</v>
      </c>
      <c r="L882" s="158">
        <v>3600</v>
      </c>
      <c r="M882" s="158">
        <v>30.95</v>
      </c>
      <c r="N882" s="91">
        <f t="shared" si="141"/>
        <v>300.95</v>
      </c>
      <c r="O882" s="411">
        <f t="shared" si="140"/>
        <v>272.23562499999997</v>
      </c>
      <c r="P882" s="132" t="s">
        <v>183</v>
      </c>
      <c r="Q882" s="232"/>
      <c r="R882" s="411"/>
      <c r="T882" s="134" t="s">
        <v>145</v>
      </c>
      <c r="U882" s="267" t="s">
        <v>2252</v>
      </c>
      <c r="W882" s="153" t="s">
        <v>2253</v>
      </c>
      <c r="AA882" s="218"/>
    </row>
    <row r="883" spans="1:27" ht="24" x14ac:dyDescent="0.25">
      <c r="A883" s="420"/>
      <c r="B883" s="422"/>
      <c r="C883" s="420"/>
      <c r="D883" s="418"/>
      <c r="E883" s="120">
        <v>250</v>
      </c>
      <c r="F883" s="133" t="s">
        <v>80</v>
      </c>
      <c r="G883" s="436"/>
      <c r="H883" s="428"/>
      <c r="I883" s="428"/>
      <c r="J883" s="426"/>
      <c r="K883" s="426"/>
      <c r="L883" s="158">
        <v>186.51</v>
      </c>
      <c r="M883" s="158">
        <v>25.88</v>
      </c>
      <c r="N883" s="91">
        <f t="shared" si="141"/>
        <v>72.507499999999993</v>
      </c>
      <c r="O883" s="411">
        <f t="shared" si="140"/>
        <v>-72.507499999999993</v>
      </c>
      <c r="P883" s="132" t="s">
        <v>76</v>
      </c>
      <c r="Q883" s="232"/>
      <c r="R883" s="411"/>
      <c r="T883" s="134" t="s">
        <v>204</v>
      </c>
      <c r="U883" s="267" t="s">
        <v>2254</v>
      </c>
      <c r="V883" s="133" t="s">
        <v>2255</v>
      </c>
      <c r="AA883" s="218"/>
    </row>
    <row r="884" spans="1:27" x14ac:dyDescent="0.25">
      <c r="A884" s="419">
        <v>3000678</v>
      </c>
      <c r="B884" s="421">
        <v>42415</v>
      </c>
      <c r="C884" s="419" t="s">
        <v>56</v>
      </c>
      <c r="D884" s="417" t="s">
        <v>2256</v>
      </c>
      <c r="E884" s="120">
        <v>9000</v>
      </c>
      <c r="F884" s="133" t="s">
        <v>2257</v>
      </c>
      <c r="G884" s="434" t="s">
        <v>45</v>
      </c>
      <c r="H884" s="427">
        <v>9100</v>
      </c>
      <c r="I884" s="427">
        <v>0</v>
      </c>
      <c r="J884" s="427">
        <v>0</v>
      </c>
      <c r="K884" s="425">
        <f t="shared" si="146"/>
        <v>9100</v>
      </c>
      <c r="L884" s="131">
        <v>710</v>
      </c>
      <c r="M884" s="187">
        <v>420</v>
      </c>
      <c r="N884" s="91">
        <f t="shared" si="141"/>
        <v>6810</v>
      </c>
      <c r="O884" s="411">
        <f t="shared" si="140"/>
        <v>2290</v>
      </c>
      <c r="P884" s="132" t="s">
        <v>52</v>
      </c>
      <c r="Q884" s="232"/>
      <c r="R884" s="411"/>
      <c r="T884" s="134" t="s">
        <v>97</v>
      </c>
      <c r="U884" s="267" t="s">
        <v>2258</v>
      </c>
      <c r="V884" s="133" t="s">
        <v>2259</v>
      </c>
      <c r="AA884" s="218"/>
    </row>
    <row r="885" spans="1:27" x14ac:dyDescent="0.25">
      <c r="A885" s="420"/>
      <c r="B885" s="422"/>
      <c r="C885" s="420"/>
      <c r="D885" s="418"/>
      <c r="E885" s="120">
        <v>20000</v>
      </c>
      <c r="F885" s="133" t="s">
        <v>2260</v>
      </c>
      <c r="G885" s="436"/>
      <c r="H885" s="428"/>
      <c r="I885" s="428"/>
      <c r="J885" s="428"/>
      <c r="K885" s="426"/>
      <c r="M885" s="158">
        <v>92.87</v>
      </c>
      <c r="N885" s="91">
        <f t="shared" si="141"/>
        <v>92.87</v>
      </c>
      <c r="O885" s="411">
        <f t="shared" si="140"/>
        <v>-92.87</v>
      </c>
      <c r="P885" s="132" t="s">
        <v>86</v>
      </c>
      <c r="Q885" s="232"/>
      <c r="R885" s="411"/>
      <c r="T885" s="134" t="s">
        <v>875</v>
      </c>
      <c r="U885" s="267" t="s">
        <v>2261</v>
      </c>
      <c r="V885" s="133" t="s">
        <v>2259</v>
      </c>
      <c r="AA885" s="218"/>
    </row>
    <row r="886" spans="1:27" x14ac:dyDescent="0.25">
      <c r="A886" s="405">
        <v>3000679</v>
      </c>
      <c r="B886" s="406">
        <v>42415</v>
      </c>
      <c r="C886" s="405" t="s">
        <v>56</v>
      </c>
      <c r="D886" s="401" t="s">
        <v>2256</v>
      </c>
      <c r="E886" s="120">
        <v>8000</v>
      </c>
      <c r="F886" s="133" t="s">
        <v>2262</v>
      </c>
      <c r="G886" s="404" t="s">
        <v>45</v>
      </c>
      <c r="H886" s="411">
        <v>7200</v>
      </c>
      <c r="I886" s="411">
        <v>0</v>
      </c>
      <c r="J886" s="411">
        <v>0</v>
      </c>
      <c r="K886" s="396">
        <f t="shared" si="146"/>
        <v>7200</v>
      </c>
      <c r="L886" s="131">
        <v>710</v>
      </c>
      <c r="M886" s="187">
        <v>435</v>
      </c>
      <c r="N886" s="91">
        <f t="shared" si="141"/>
        <v>6115</v>
      </c>
      <c r="O886" s="411">
        <f t="shared" si="140"/>
        <v>1085</v>
      </c>
      <c r="P886" s="132" t="s">
        <v>52</v>
      </c>
      <c r="Q886" s="232"/>
      <c r="R886" s="411"/>
      <c r="T886" s="134" t="s">
        <v>97</v>
      </c>
      <c r="U886" s="267" t="s">
        <v>2263</v>
      </c>
      <c r="AA886" s="218"/>
    </row>
    <row r="887" spans="1:27" ht="24" x14ac:dyDescent="0.25">
      <c r="A887" s="405">
        <v>3000680</v>
      </c>
      <c r="B887" s="406">
        <v>42415</v>
      </c>
      <c r="C887" s="405" t="s">
        <v>42</v>
      </c>
      <c r="D887" s="401" t="s">
        <v>2264</v>
      </c>
      <c r="E887" s="120">
        <v>200</v>
      </c>
      <c r="F887" s="133" t="s">
        <v>161</v>
      </c>
      <c r="G887" s="404" t="s">
        <v>45</v>
      </c>
      <c r="H887" s="411">
        <v>449.5</v>
      </c>
      <c r="I887" s="89">
        <f t="shared" ref="I887:I903" si="153">-(H887*0.09)</f>
        <v>-40.454999999999998</v>
      </c>
      <c r="J887" s="90">
        <f>-((H887*0.019)+0.3)</f>
        <v>-8.8405000000000005</v>
      </c>
      <c r="K887" s="396">
        <f t="shared" si="146"/>
        <v>400.2045</v>
      </c>
      <c r="L887" s="131">
        <v>1350</v>
      </c>
      <c r="M887" s="131">
        <v>61.31</v>
      </c>
      <c r="N887" s="91">
        <f t="shared" si="141"/>
        <v>331.31</v>
      </c>
      <c r="O887" s="411">
        <f t="shared" si="140"/>
        <v>68.894499999999994</v>
      </c>
      <c r="P887" s="132" t="s">
        <v>52</v>
      </c>
      <c r="Q887" s="232"/>
      <c r="R887" s="411"/>
      <c r="T887" s="134" t="s">
        <v>145</v>
      </c>
      <c r="U887" s="267" t="s">
        <v>2265</v>
      </c>
      <c r="AA887" s="218"/>
    </row>
    <row r="888" spans="1:27" ht="24" x14ac:dyDescent="0.25">
      <c r="A888" s="405">
        <v>3000681</v>
      </c>
      <c r="B888" s="406">
        <v>42415</v>
      </c>
      <c r="C888" s="405" t="s">
        <v>42</v>
      </c>
      <c r="D888" s="401" t="s">
        <v>2266</v>
      </c>
      <c r="E888" s="120">
        <v>100</v>
      </c>
      <c r="F888" s="133" t="s">
        <v>2267</v>
      </c>
      <c r="G888" s="404" t="s">
        <v>45</v>
      </c>
      <c r="H888" s="411">
        <v>279.3</v>
      </c>
      <c r="I888" s="89">
        <f t="shared" si="153"/>
        <v>-25.137</v>
      </c>
      <c r="J888" s="90">
        <f>-((H888*0.019)+0.3)</f>
        <v>-5.6067</v>
      </c>
      <c r="K888" s="396">
        <f t="shared" si="146"/>
        <v>248.55630000000002</v>
      </c>
      <c r="L888" s="158">
        <v>1305</v>
      </c>
      <c r="N888" s="91">
        <f t="shared" si="141"/>
        <v>130.5</v>
      </c>
      <c r="O888" s="411">
        <f t="shared" si="140"/>
        <v>118.05630000000002</v>
      </c>
      <c r="P888" s="132" t="s">
        <v>926</v>
      </c>
      <c r="Q888" s="232"/>
      <c r="R888" s="411"/>
      <c r="T888" s="134" t="s">
        <v>145</v>
      </c>
      <c r="U888" s="267" t="s">
        <v>2268</v>
      </c>
      <c r="AA888" s="218"/>
    </row>
    <row r="889" spans="1:27" ht="24" x14ac:dyDescent="0.25">
      <c r="A889" s="405">
        <v>3000682</v>
      </c>
      <c r="B889" s="406">
        <v>42415</v>
      </c>
      <c r="C889" s="405" t="s">
        <v>42</v>
      </c>
      <c r="D889" s="401" t="s">
        <v>2269</v>
      </c>
      <c r="E889" s="120">
        <v>125</v>
      </c>
      <c r="F889" s="133" t="s">
        <v>605</v>
      </c>
      <c r="G889" s="404" t="s">
        <v>45</v>
      </c>
      <c r="H889" s="411">
        <v>198.73</v>
      </c>
      <c r="I889" s="89">
        <f t="shared" si="153"/>
        <v>-17.8857</v>
      </c>
      <c r="J889" s="90">
        <f>-((H889*0.019)+0.3)</f>
        <v>-4.0758700000000001</v>
      </c>
      <c r="K889" s="396">
        <f t="shared" si="146"/>
        <v>176.76842999999997</v>
      </c>
      <c r="L889" s="131">
        <v>600</v>
      </c>
      <c r="M889" s="187">
        <v>40.880000000000003</v>
      </c>
      <c r="N889" s="91">
        <f t="shared" si="141"/>
        <v>115.88</v>
      </c>
      <c r="O889" s="411">
        <f t="shared" si="140"/>
        <v>60.888429999999971</v>
      </c>
      <c r="P889" s="132" t="s">
        <v>52</v>
      </c>
      <c r="Q889" s="232"/>
      <c r="R889" s="411"/>
      <c r="T889" s="134" t="s">
        <v>145</v>
      </c>
      <c r="U889" s="267" t="s">
        <v>2270</v>
      </c>
      <c r="AA889" s="218"/>
    </row>
    <row r="890" spans="1:27" ht="24" x14ac:dyDescent="0.25">
      <c r="A890" s="405">
        <v>3000683</v>
      </c>
      <c r="B890" s="406">
        <v>42415</v>
      </c>
      <c r="C890" s="405" t="s">
        <v>42</v>
      </c>
      <c r="D890" s="401" t="s">
        <v>2271</v>
      </c>
      <c r="E890" s="120">
        <v>200</v>
      </c>
      <c r="F890" s="133" t="s">
        <v>870</v>
      </c>
      <c r="G890" s="404" t="s">
        <v>45</v>
      </c>
      <c r="H890" s="411">
        <v>1250</v>
      </c>
      <c r="I890" s="89">
        <f t="shared" si="153"/>
        <v>-112.5</v>
      </c>
      <c r="J890" s="90">
        <f>-((H890*0.019)+0.3)</f>
        <v>-24.05</v>
      </c>
      <c r="K890" s="396">
        <f t="shared" si="146"/>
        <v>1113.45</v>
      </c>
      <c r="L890" s="158">
        <v>4358</v>
      </c>
      <c r="M890" s="131">
        <v>0</v>
      </c>
      <c r="N890" s="91">
        <f t="shared" si="141"/>
        <v>871.6</v>
      </c>
      <c r="O890" s="411">
        <f t="shared" si="140"/>
        <v>241.85000000000002</v>
      </c>
      <c r="P890" s="132" t="s">
        <v>59</v>
      </c>
      <c r="Q890" s="232"/>
      <c r="R890" s="411"/>
      <c r="T890" s="134" t="s">
        <v>260</v>
      </c>
      <c r="U890" s="266">
        <v>3499345570</v>
      </c>
      <c r="AA890" s="218"/>
    </row>
    <row r="891" spans="1:27" ht="24" customHeight="1" x14ac:dyDescent="0.25">
      <c r="A891" s="419">
        <v>3000684</v>
      </c>
      <c r="B891" s="421">
        <v>42415</v>
      </c>
      <c r="C891" s="419" t="s">
        <v>42</v>
      </c>
      <c r="D891" s="417" t="s">
        <v>2272</v>
      </c>
      <c r="E891" s="120">
        <v>50</v>
      </c>
      <c r="F891" s="133" t="s">
        <v>161</v>
      </c>
      <c r="G891" s="434" t="s">
        <v>45</v>
      </c>
      <c r="H891" s="427">
        <v>319.14999999999998</v>
      </c>
      <c r="I891" s="452">
        <f t="shared" si="153"/>
        <v>-28.723499999999998</v>
      </c>
      <c r="J891" s="425">
        <f>-((H891*0.019)+0.3)</f>
        <v>-6.3638499999999993</v>
      </c>
      <c r="K891" s="425">
        <f t="shared" si="146"/>
        <v>284.06264999999996</v>
      </c>
      <c r="L891" s="131">
        <v>1350</v>
      </c>
      <c r="M891" s="187">
        <v>29.79</v>
      </c>
      <c r="N891" s="91">
        <f t="shared" si="141"/>
        <v>97.289999999999992</v>
      </c>
      <c r="O891" s="411">
        <f t="shared" si="140"/>
        <v>186.77264999999997</v>
      </c>
      <c r="P891" s="132" t="s">
        <v>52</v>
      </c>
      <c r="Q891" s="232"/>
      <c r="R891" s="411"/>
      <c r="T891" s="470" t="s">
        <v>145</v>
      </c>
      <c r="U891" s="446" t="s">
        <v>2273</v>
      </c>
      <c r="AA891" s="218"/>
    </row>
    <row r="892" spans="1:27" x14ac:dyDescent="0.25">
      <c r="A892" s="420"/>
      <c r="B892" s="422"/>
      <c r="C892" s="420"/>
      <c r="D892" s="418"/>
      <c r="E892" s="120">
        <v>150</v>
      </c>
      <c r="F892" s="133" t="s">
        <v>1547</v>
      </c>
      <c r="G892" s="436"/>
      <c r="H892" s="428"/>
      <c r="I892" s="453"/>
      <c r="J892" s="426"/>
      <c r="K892" s="426"/>
      <c r="L892" s="131">
        <v>385</v>
      </c>
      <c r="M892" s="187"/>
      <c r="N892" s="91">
        <f t="shared" si="141"/>
        <v>57.75</v>
      </c>
      <c r="O892" s="411">
        <f t="shared" si="140"/>
        <v>-57.75</v>
      </c>
      <c r="P892" s="132" t="s">
        <v>52</v>
      </c>
      <c r="Q892" s="232"/>
      <c r="R892" s="411"/>
      <c r="T892" s="472"/>
      <c r="U892" s="447"/>
      <c r="AA892" s="218"/>
    </row>
    <row r="893" spans="1:27" ht="24" x14ac:dyDescent="0.25">
      <c r="A893" s="405">
        <v>3000685</v>
      </c>
      <c r="B893" s="406">
        <v>42415</v>
      </c>
      <c r="C893" s="405" t="s">
        <v>42</v>
      </c>
      <c r="D893" s="401" t="s">
        <v>2274</v>
      </c>
      <c r="E893" s="120">
        <v>100</v>
      </c>
      <c r="F893" s="133" t="s">
        <v>161</v>
      </c>
      <c r="G893" s="404" t="s">
        <v>45</v>
      </c>
      <c r="H893" s="411">
        <v>235</v>
      </c>
      <c r="I893" s="89">
        <f t="shared" si="153"/>
        <v>-21.15</v>
      </c>
      <c r="J893" s="90">
        <f t="shared" ref="J893:J903" si="154">-((H893*0.019)+0.3)</f>
        <v>-4.7649999999999997</v>
      </c>
      <c r="K893" s="396">
        <f t="shared" si="146"/>
        <v>209.08500000000001</v>
      </c>
      <c r="L893" s="131">
        <v>1350</v>
      </c>
      <c r="M893" s="187">
        <v>25.02</v>
      </c>
      <c r="N893" s="91">
        <f t="shared" si="141"/>
        <v>160.02000000000001</v>
      </c>
      <c r="O893" s="411">
        <f t="shared" si="140"/>
        <v>49.064999999999998</v>
      </c>
      <c r="P893" s="132" t="s">
        <v>52</v>
      </c>
      <c r="Q893" s="232"/>
      <c r="R893" s="411"/>
      <c r="T893" s="134" t="s">
        <v>145</v>
      </c>
      <c r="U893" s="267" t="s">
        <v>2275</v>
      </c>
      <c r="AA893" s="218"/>
    </row>
    <row r="894" spans="1:27" ht="24" x14ac:dyDescent="0.25">
      <c r="A894" s="405">
        <v>3000686</v>
      </c>
      <c r="B894" s="406">
        <v>42415</v>
      </c>
      <c r="C894" s="405" t="s">
        <v>42</v>
      </c>
      <c r="D894" s="401" t="s">
        <v>2276</v>
      </c>
      <c r="E894" s="120">
        <v>150</v>
      </c>
      <c r="F894" s="133" t="s">
        <v>247</v>
      </c>
      <c r="G894" s="404" t="s">
        <v>45</v>
      </c>
      <c r="H894" s="411">
        <v>180</v>
      </c>
      <c r="I894" s="89">
        <f t="shared" si="153"/>
        <v>-16.2</v>
      </c>
      <c r="J894" s="90">
        <f t="shared" si="154"/>
        <v>-3.7199999999999998</v>
      </c>
      <c r="K894" s="396">
        <f t="shared" si="146"/>
        <v>160.08000000000001</v>
      </c>
      <c r="L894" s="131">
        <v>580</v>
      </c>
      <c r="M894" s="187">
        <v>33.32</v>
      </c>
      <c r="N894" s="91">
        <f t="shared" si="141"/>
        <v>120.32</v>
      </c>
      <c r="O894" s="411">
        <f t="shared" si="140"/>
        <v>39.760000000000019</v>
      </c>
      <c r="P894" s="132" t="s">
        <v>86</v>
      </c>
      <c r="Q894" s="232"/>
      <c r="R894" s="411"/>
      <c r="T894" s="134" t="s">
        <v>145</v>
      </c>
      <c r="U894" s="267" t="s">
        <v>2243</v>
      </c>
      <c r="AA894" s="218"/>
    </row>
    <row r="895" spans="1:27" ht="24" x14ac:dyDescent="0.25">
      <c r="A895" s="405">
        <v>3000687</v>
      </c>
      <c r="B895" s="406">
        <v>42415</v>
      </c>
      <c r="C895" s="405" t="s">
        <v>42</v>
      </c>
      <c r="D895" s="401" t="s">
        <v>2277</v>
      </c>
      <c r="E895" s="120">
        <v>100</v>
      </c>
      <c r="F895" s="133" t="s">
        <v>165</v>
      </c>
      <c r="G895" s="404" t="s">
        <v>45</v>
      </c>
      <c r="H895" s="411">
        <v>105.63</v>
      </c>
      <c r="I895" s="89">
        <f t="shared" si="153"/>
        <v>-9.5066999999999986</v>
      </c>
      <c r="J895" s="90">
        <f t="shared" si="154"/>
        <v>-2.3069699999999997</v>
      </c>
      <c r="K895" s="396">
        <f t="shared" si="146"/>
        <v>93.816329999999994</v>
      </c>
      <c r="L895" s="131">
        <v>480</v>
      </c>
      <c r="M895" s="187">
        <v>24</v>
      </c>
      <c r="N895" s="91">
        <f t="shared" si="141"/>
        <v>72</v>
      </c>
      <c r="O895" s="411">
        <f t="shared" si="140"/>
        <v>21.816329999999994</v>
      </c>
      <c r="P895" s="132" t="s">
        <v>52</v>
      </c>
      <c r="Q895" s="232"/>
      <c r="R895" s="411"/>
      <c r="T895" s="134" t="s">
        <v>145</v>
      </c>
      <c r="U895" s="267" t="s">
        <v>2278</v>
      </c>
      <c r="AA895" s="218"/>
    </row>
    <row r="896" spans="1:27" ht="24" x14ac:dyDescent="0.25">
      <c r="A896" s="405">
        <v>3000688</v>
      </c>
      <c r="B896" s="406">
        <v>42415</v>
      </c>
      <c r="C896" s="405" t="s">
        <v>42</v>
      </c>
      <c r="D896" s="401" t="s">
        <v>2279</v>
      </c>
      <c r="E896" s="120">
        <v>250</v>
      </c>
      <c r="F896" s="133" t="s">
        <v>1550</v>
      </c>
      <c r="G896" s="404" t="s">
        <v>45</v>
      </c>
      <c r="H896" s="411">
        <v>294.39999999999998</v>
      </c>
      <c r="I896" s="89">
        <f t="shared" si="153"/>
        <v>-26.495999999999999</v>
      </c>
      <c r="J896" s="90">
        <f t="shared" si="154"/>
        <v>-5.8935999999999993</v>
      </c>
      <c r="K896" s="396">
        <f t="shared" si="146"/>
        <v>262.0104</v>
      </c>
      <c r="M896" s="187">
        <v>29.88</v>
      </c>
      <c r="N896" s="91">
        <f t="shared" si="141"/>
        <v>29.88</v>
      </c>
      <c r="O896" s="411">
        <f t="shared" si="140"/>
        <v>232.13040000000001</v>
      </c>
      <c r="P896" s="132" t="s">
        <v>52</v>
      </c>
      <c r="Q896" s="232"/>
      <c r="R896" s="411"/>
      <c r="T896" s="134" t="s">
        <v>145</v>
      </c>
      <c r="U896" s="267" t="s">
        <v>2280</v>
      </c>
      <c r="AA896" s="218"/>
    </row>
    <row r="897" spans="1:27" ht="24" x14ac:dyDescent="0.25">
      <c r="A897" s="405">
        <v>3000689</v>
      </c>
      <c r="B897" s="406">
        <v>42415</v>
      </c>
      <c r="C897" s="405" t="s">
        <v>42</v>
      </c>
      <c r="D897" s="401" t="s">
        <v>2281</v>
      </c>
      <c r="E897" s="120">
        <v>1000</v>
      </c>
      <c r="F897" s="133" t="s">
        <v>451</v>
      </c>
      <c r="G897" s="404" t="s">
        <v>45</v>
      </c>
      <c r="H897" s="411">
        <v>609</v>
      </c>
      <c r="I897" s="89">
        <f t="shared" si="153"/>
        <v>-54.809999999999995</v>
      </c>
      <c r="J897" s="90">
        <f t="shared" si="154"/>
        <v>-11.871</v>
      </c>
      <c r="K897" s="396">
        <f t="shared" si="146"/>
        <v>542.31900000000007</v>
      </c>
      <c r="L897" s="187">
        <v>332</v>
      </c>
      <c r="M897" s="187">
        <v>33.61</v>
      </c>
      <c r="N897" s="91">
        <f t="shared" si="141"/>
        <v>365.61</v>
      </c>
      <c r="O897" s="411">
        <f t="shared" si="140"/>
        <v>176.70900000000006</v>
      </c>
      <c r="P897" s="132" t="s">
        <v>46</v>
      </c>
      <c r="Q897" s="232"/>
      <c r="R897" s="411"/>
      <c r="T897" s="134" t="s">
        <v>204</v>
      </c>
      <c r="U897" s="267" t="s">
        <v>2282</v>
      </c>
      <c r="AA897" s="218"/>
    </row>
    <row r="898" spans="1:27" ht="24" x14ac:dyDescent="0.25">
      <c r="A898" s="405">
        <v>3000690</v>
      </c>
      <c r="B898" s="406">
        <v>42415</v>
      </c>
      <c r="C898" s="405" t="s">
        <v>42</v>
      </c>
      <c r="D898" s="401" t="s">
        <v>2283</v>
      </c>
      <c r="E898" s="120">
        <v>250</v>
      </c>
      <c r="F898" s="133" t="s">
        <v>877</v>
      </c>
      <c r="G898" s="404" t="s">
        <v>45</v>
      </c>
      <c r="H898" s="411">
        <v>170.72</v>
      </c>
      <c r="I898" s="89">
        <f t="shared" si="153"/>
        <v>-15.364799999999999</v>
      </c>
      <c r="J898" s="90">
        <f t="shared" si="154"/>
        <v>-3.5436799999999997</v>
      </c>
      <c r="K898" s="396">
        <f t="shared" si="146"/>
        <v>151.81152</v>
      </c>
      <c r="L898" s="131">
        <v>235</v>
      </c>
      <c r="M898" s="187">
        <v>51.5</v>
      </c>
      <c r="N898" s="91">
        <f t="shared" si="141"/>
        <v>110.25</v>
      </c>
      <c r="O898" s="411">
        <f t="shared" si="140"/>
        <v>41.561520000000002</v>
      </c>
      <c r="P898" s="132" t="s">
        <v>52</v>
      </c>
      <c r="Q898" s="232"/>
      <c r="R898" s="411"/>
      <c r="T898" s="134" t="s">
        <v>145</v>
      </c>
      <c r="U898" s="267" t="s">
        <v>2284</v>
      </c>
      <c r="AA898" s="218"/>
    </row>
    <row r="899" spans="1:27" ht="24" x14ac:dyDescent="0.25">
      <c r="A899" s="405">
        <v>3000691</v>
      </c>
      <c r="B899" s="406">
        <v>42415</v>
      </c>
      <c r="C899" s="405" t="s">
        <v>42</v>
      </c>
      <c r="D899" s="401" t="s">
        <v>2285</v>
      </c>
      <c r="E899" s="120">
        <v>200</v>
      </c>
      <c r="F899" s="133" t="s">
        <v>247</v>
      </c>
      <c r="G899" s="404" t="s">
        <v>45</v>
      </c>
      <c r="H899" s="411">
        <v>255.27</v>
      </c>
      <c r="I899" s="89">
        <f t="shared" si="153"/>
        <v>-22.974299999999999</v>
      </c>
      <c r="J899" s="90">
        <f t="shared" si="154"/>
        <v>-5.1501299999999999</v>
      </c>
      <c r="K899" s="396">
        <f t="shared" si="146"/>
        <v>227.14557000000002</v>
      </c>
      <c r="L899" s="131">
        <v>480</v>
      </c>
      <c r="M899" s="187">
        <v>47.15</v>
      </c>
      <c r="N899" s="91">
        <f t="shared" si="141"/>
        <v>143.15</v>
      </c>
      <c r="O899" s="411">
        <f t="shared" si="140"/>
        <v>83.995570000000015</v>
      </c>
      <c r="P899" s="132" t="s">
        <v>86</v>
      </c>
      <c r="Q899" s="232"/>
      <c r="R899" s="411"/>
      <c r="T899" s="134" t="s">
        <v>145</v>
      </c>
      <c r="U899" s="267" t="s">
        <v>2286</v>
      </c>
      <c r="AA899" s="218"/>
    </row>
    <row r="900" spans="1:27" ht="24" x14ac:dyDescent="0.25">
      <c r="A900" s="405">
        <v>3000692</v>
      </c>
      <c r="B900" s="406">
        <v>42415</v>
      </c>
      <c r="C900" s="405" t="s">
        <v>42</v>
      </c>
      <c r="D900" s="401" t="s">
        <v>2287</v>
      </c>
      <c r="E900" s="120">
        <v>100</v>
      </c>
      <c r="F900" s="133" t="s">
        <v>829</v>
      </c>
      <c r="G900" s="404" t="s">
        <v>45</v>
      </c>
      <c r="H900" s="411">
        <v>97.3</v>
      </c>
      <c r="I900" s="89">
        <f t="shared" si="153"/>
        <v>-8.7569999999999997</v>
      </c>
      <c r="J900" s="90">
        <f t="shared" si="154"/>
        <v>-2.1486999999999998</v>
      </c>
      <c r="K900" s="396">
        <f t="shared" si="146"/>
        <v>86.394299999999987</v>
      </c>
      <c r="L900" s="131">
        <v>510</v>
      </c>
      <c r="M900" s="187">
        <v>37.78</v>
      </c>
      <c r="N900" s="91">
        <f t="shared" si="141"/>
        <v>88.78</v>
      </c>
      <c r="O900" s="411">
        <f t="shared" si="140"/>
        <v>-2.3857000000000141</v>
      </c>
      <c r="P900" s="132" t="s">
        <v>52</v>
      </c>
      <c r="Q900" s="232"/>
      <c r="R900" s="411"/>
      <c r="T900" s="134" t="s">
        <v>145</v>
      </c>
      <c r="U900" s="267" t="s">
        <v>2288</v>
      </c>
      <c r="AA900" s="218"/>
    </row>
    <row r="901" spans="1:27" ht="24" x14ac:dyDescent="0.25">
      <c r="A901" s="405">
        <v>3000693</v>
      </c>
      <c r="B901" s="406">
        <v>42415</v>
      </c>
      <c r="C901" s="405" t="s">
        <v>42</v>
      </c>
      <c r="D901" s="401" t="s">
        <v>2289</v>
      </c>
      <c r="E901" s="120">
        <v>100</v>
      </c>
      <c r="F901" s="133" t="s">
        <v>165</v>
      </c>
      <c r="G901" s="404" t="s">
        <v>45</v>
      </c>
      <c r="H901" s="411">
        <v>105.63</v>
      </c>
      <c r="I901" s="89">
        <f t="shared" si="153"/>
        <v>-9.5066999999999986</v>
      </c>
      <c r="J901" s="90">
        <f t="shared" si="154"/>
        <v>-2.3069699999999997</v>
      </c>
      <c r="K901" s="396">
        <f t="shared" si="146"/>
        <v>93.816329999999994</v>
      </c>
      <c r="L901" s="131">
        <v>480</v>
      </c>
      <c r="M901" s="131">
        <v>25.88</v>
      </c>
      <c r="N901" s="91">
        <f t="shared" si="141"/>
        <v>73.88</v>
      </c>
      <c r="O901" s="411">
        <f t="shared" si="140"/>
        <v>19.936329999999998</v>
      </c>
      <c r="P901" s="132" t="s">
        <v>52</v>
      </c>
      <c r="Q901" s="232"/>
      <c r="R901" s="411"/>
      <c r="T901" s="134" t="s">
        <v>145</v>
      </c>
      <c r="U901" s="267" t="s">
        <v>2290</v>
      </c>
      <c r="AA901" s="218"/>
    </row>
    <row r="902" spans="1:27" ht="24" x14ac:dyDescent="0.25">
      <c r="A902" s="405">
        <v>3000694</v>
      </c>
      <c r="B902" s="406">
        <v>42415</v>
      </c>
      <c r="C902" s="405" t="s">
        <v>42</v>
      </c>
      <c r="D902" s="401" t="s">
        <v>2291</v>
      </c>
      <c r="E902" s="120">
        <v>250</v>
      </c>
      <c r="F902" s="133" t="s">
        <v>451</v>
      </c>
      <c r="G902" s="404" t="s">
        <v>45</v>
      </c>
      <c r="H902" s="411">
        <v>160.1</v>
      </c>
      <c r="I902" s="89">
        <f t="shared" si="153"/>
        <v>-14.408999999999999</v>
      </c>
      <c r="J902" s="90">
        <f t="shared" si="154"/>
        <v>-3.3418999999999994</v>
      </c>
      <c r="K902" s="396">
        <f t="shared" si="146"/>
        <v>142.34909999999999</v>
      </c>
      <c r="L902" s="131">
        <v>332</v>
      </c>
      <c r="M902" s="187">
        <v>15.2</v>
      </c>
      <c r="N902" s="91">
        <f t="shared" si="141"/>
        <v>98.2</v>
      </c>
      <c r="O902" s="411">
        <f t="shared" si="140"/>
        <v>44.14909999999999</v>
      </c>
      <c r="P902" s="132" t="s">
        <v>46</v>
      </c>
      <c r="Q902" s="232"/>
      <c r="R902" s="411"/>
      <c r="T902" s="134" t="s">
        <v>145</v>
      </c>
      <c r="U902" s="267" t="s">
        <v>2292</v>
      </c>
    </row>
    <row r="903" spans="1:27" ht="24" x14ac:dyDescent="0.25">
      <c r="A903" s="405">
        <v>3000695</v>
      </c>
      <c r="B903" s="406">
        <v>42415</v>
      </c>
      <c r="C903" s="405" t="s">
        <v>42</v>
      </c>
      <c r="D903" s="401" t="s">
        <v>2293</v>
      </c>
      <c r="E903" s="120">
        <v>250</v>
      </c>
      <c r="F903" s="133" t="s">
        <v>2294</v>
      </c>
      <c r="G903" s="404" t="s">
        <v>45</v>
      </c>
      <c r="H903" s="411">
        <v>557.32000000000005</v>
      </c>
      <c r="I903" s="89">
        <f t="shared" si="153"/>
        <v>-50.158799999999999</v>
      </c>
      <c r="J903" s="90">
        <f t="shared" si="154"/>
        <v>-10.889080000000002</v>
      </c>
      <c r="K903" s="396">
        <f t="shared" si="146"/>
        <v>496.27212000000009</v>
      </c>
      <c r="L903" s="158">
        <v>1050</v>
      </c>
      <c r="M903" s="187">
        <v>35.82</v>
      </c>
      <c r="N903" s="91">
        <f t="shared" si="141"/>
        <v>298.32</v>
      </c>
      <c r="O903" s="411">
        <f t="shared" si="140"/>
        <v>197.95212000000009</v>
      </c>
      <c r="P903" s="132" t="s">
        <v>235</v>
      </c>
      <c r="Q903" s="232"/>
      <c r="R903" s="411"/>
      <c r="T903" s="134" t="s">
        <v>145</v>
      </c>
      <c r="U903" s="267" t="s">
        <v>2295</v>
      </c>
    </row>
    <row r="904" spans="1:27" ht="24" x14ac:dyDescent="0.25">
      <c r="A904" s="405">
        <v>3000696</v>
      </c>
      <c r="B904" s="406">
        <v>42415</v>
      </c>
      <c r="C904" s="405" t="s">
        <v>237</v>
      </c>
      <c r="D904" s="401" t="s">
        <v>2296</v>
      </c>
      <c r="E904" s="120">
        <v>25</v>
      </c>
      <c r="F904" s="133" t="s">
        <v>2297</v>
      </c>
      <c r="G904" s="404" t="s">
        <v>45</v>
      </c>
      <c r="H904" s="411">
        <v>100.02</v>
      </c>
      <c r="I904" s="89">
        <f>-(H904*0.15)</f>
        <v>-15.002999999999998</v>
      </c>
      <c r="J904" s="411">
        <v>0</v>
      </c>
      <c r="K904" s="396">
        <f t="shared" si="146"/>
        <v>85.016999999999996</v>
      </c>
      <c r="L904" s="158">
        <v>1400</v>
      </c>
      <c r="M904" s="187">
        <v>16.37</v>
      </c>
      <c r="N904" s="91">
        <f t="shared" si="141"/>
        <v>51.370000000000005</v>
      </c>
      <c r="O904" s="411">
        <f t="shared" si="140"/>
        <v>33.646999999999991</v>
      </c>
      <c r="P904" s="132" t="s">
        <v>235</v>
      </c>
      <c r="Q904" s="232"/>
      <c r="R904" s="411"/>
      <c r="T904" s="134" t="s">
        <v>145</v>
      </c>
      <c r="U904" s="267" t="s">
        <v>2298</v>
      </c>
    </row>
    <row r="905" spans="1:27" ht="24" x14ac:dyDescent="0.25">
      <c r="A905" s="379">
        <v>3000697</v>
      </c>
      <c r="B905" s="381">
        <v>42415</v>
      </c>
      <c r="C905" s="379" t="s">
        <v>63</v>
      </c>
      <c r="D905" s="377" t="s">
        <v>2299</v>
      </c>
      <c r="E905" s="412">
        <v>250</v>
      </c>
      <c r="F905" s="393" t="s">
        <v>323</v>
      </c>
      <c r="G905" s="386" t="s">
        <v>45</v>
      </c>
      <c r="H905" s="399">
        <v>200</v>
      </c>
      <c r="I905" s="399">
        <v>0</v>
      </c>
      <c r="J905" s="396">
        <f t="shared" ref="J905:J910" si="155">-((H905*0.019)+0.3)</f>
        <v>-4.0999999999999996</v>
      </c>
      <c r="K905" s="396">
        <f t="shared" si="146"/>
        <v>195.9</v>
      </c>
      <c r="L905" s="131">
        <v>480</v>
      </c>
      <c r="M905" s="187">
        <v>35.86</v>
      </c>
      <c r="N905" s="91">
        <f t="shared" si="141"/>
        <v>155.86000000000001</v>
      </c>
      <c r="O905" s="411">
        <f t="shared" ref="O905:O968" si="156">K905-N905</f>
        <v>40.039999999999992</v>
      </c>
      <c r="P905" s="132" t="s">
        <v>52</v>
      </c>
      <c r="Q905" s="232"/>
      <c r="R905" s="411"/>
      <c r="T905" s="134" t="s">
        <v>145</v>
      </c>
      <c r="U905" s="267" t="s">
        <v>2300</v>
      </c>
    </row>
    <row r="906" spans="1:27" x14ac:dyDescent="0.25">
      <c r="A906" s="405">
        <v>3000698</v>
      </c>
      <c r="B906" s="406">
        <v>42415</v>
      </c>
      <c r="C906" s="405" t="s">
        <v>63</v>
      </c>
      <c r="D906" s="401" t="s">
        <v>2301</v>
      </c>
      <c r="E906" s="120">
        <v>550</v>
      </c>
      <c r="F906" s="133" t="s">
        <v>2302</v>
      </c>
      <c r="G906" s="404" t="s">
        <v>45</v>
      </c>
      <c r="H906" s="411">
        <v>806</v>
      </c>
      <c r="I906" s="411">
        <v>0</v>
      </c>
      <c r="J906" s="90">
        <f t="shared" si="155"/>
        <v>-15.614000000000001</v>
      </c>
      <c r="K906" s="90">
        <f t="shared" si="146"/>
        <v>790.38599999999997</v>
      </c>
      <c r="L906" s="147">
        <v>600</v>
      </c>
      <c r="M906" s="158">
        <v>102.86</v>
      </c>
      <c r="N906" s="91">
        <f t="shared" si="141"/>
        <v>432.86</v>
      </c>
      <c r="O906" s="411">
        <f t="shared" si="156"/>
        <v>357.52599999999995</v>
      </c>
      <c r="P906" s="132" t="s">
        <v>52</v>
      </c>
      <c r="Q906" s="232"/>
      <c r="R906" s="411"/>
      <c r="T906" s="134" t="s">
        <v>244</v>
      </c>
      <c r="U906" s="267" t="s">
        <v>2303</v>
      </c>
      <c r="V906" s="133" t="s">
        <v>55</v>
      </c>
      <c r="W906" s="153" t="s">
        <v>2304</v>
      </c>
    </row>
    <row r="907" spans="1:27" ht="24" x14ac:dyDescent="0.25">
      <c r="A907" s="405">
        <v>3000699</v>
      </c>
      <c r="B907" s="406">
        <v>42415</v>
      </c>
      <c r="C907" s="405" t="s">
        <v>327</v>
      </c>
      <c r="D907" s="401" t="s">
        <v>2305</v>
      </c>
      <c r="E907" s="120">
        <v>100</v>
      </c>
      <c r="F907" s="133" t="s">
        <v>70</v>
      </c>
      <c r="G907" s="404" t="s">
        <v>45</v>
      </c>
      <c r="H907" s="411">
        <v>290</v>
      </c>
      <c r="I907" s="411">
        <v>0</v>
      </c>
      <c r="J907" s="90">
        <f t="shared" si="155"/>
        <v>-5.81</v>
      </c>
      <c r="K907" s="90">
        <f t="shared" si="146"/>
        <v>284.19</v>
      </c>
      <c r="L907" s="147">
        <v>1540</v>
      </c>
      <c r="M907" s="187">
        <v>70.97</v>
      </c>
      <c r="N907" s="91">
        <f t="shared" ref="N907:N971" si="157">((L907)*(E907*0.001))+M907</f>
        <v>224.97</v>
      </c>
      <c r="O907" s="411">
        <f t="shared" si="156"/>
        <v>59.22</v>
      </c>
      <c r="P907" s="132" t="s">
        <v>52</v>
      </c>
      <c r="Q907" s="232"/>
      <c r="R907" s="411"/>
      <c r="T907" s="134" t="s">
        <v>145</v>
      </c>
      <c r="U907" s="267" t="s">
        <v>2306</v>
      </c>
      <c r="W907" s="153" t="s">
        <v>2307</v>
      </c>
    </row>
    <row r="908" spans="1:27" ht="24" x14ac:dyDescent="0.25">
      <c r="A908" s="405">
        <v>3000700</v>
      </c>
      <c r="B908" s="406">
        <v>42416</v>
      </c>
      <c r="C908" s="405" t="s">
        <v>237</v>
      </c>
      <c r="D908" s="401" t="s">
        <v>2308</v>
      </c>
      <c r="E908" s="120">
        <v>150</v>
      </c>
      <c r="F908" s="133" t="s">
        <v>2309</v>
      </c>
      <c r="G908" s="404" t="s">
        <v>45</v>
      </c>
      <c r="H908" s="411">
        <v>178</v>
      </c>
      <c r="I908" s="89">
        <f>-(H908*0.15)</f>
        <v>-26.7</v>
      </c>
      <c r="J908" s="411">
        <v>0</v>
      </c>
      <c r="K908" s="90">
        <f t="shared" si="146"/>
        <v>151.30000000000001</v>
      </c>
      <c r="L908" s="174">
        <v>605</v>
      </c>
      <c r="M908" s="187">
        <v>12.86</v>
      </c>
      <c r="N908" s="91">
        <f t="shared" si="157"/>
        <v>103.61</v>
      </c>
      <c r="O908" s="411">
        <f t="shared" si="156"/>
        <v>47.690000000000012</v>
      </c>
      <c r="P908" s="132" t="s">
        <v>643</v>
      </c>
      <c r="Q908" s="232"/>
      <c r="R908" s="411"/>
      <c r="T908" s="134" t="s">
        <v>145</v>
      </c>
      <c r="U908" s="267" t="s">
        <v>2310</v>
      </c>
    </row>
    <row r="909" spans="1:27" x14ac:dyDescent="0.25">
      <c r="A909" s="405">
        <v>3000701</v>
      </c>
      <c r="B909" s="406">
        <v>42416</v>
      </c>
      <c r="C909" s="405" t="s">
        <v>63</v>
      </c>
      <c r="D909" s="401" t="s">
        <v>2122</v>
      </c>
      <c r="E909" s="120">
        <v>500</v>
      </c>
      <c r="F909" s="133" t="s">
        <v>161</v>
      </c>
      <c r="G909" s="404" t="s">
        <v>45</v>
      </c>
      <c r="H909" s="411">
        <v>1022</v>
      </c>
      <c r="I909" s="411">
        <v>0</v>
      </c>
      <c r="J909" s="90">
        <f t="shared" si="155"/>
        <v>-19.718</v>
      </c>
      <c r="K909" s="90">
        <f t="shared" si="146"/>
        <v>1002.282</v>
      </c>
      <c r="L909" s="147">
        <v>1350</v>
      </c>
      <c r="M909" s="158">
        <v>103.81</v>
      </c>
      <c r="N909" s="91">
        <f t="shared" si="157"/>
        <v>778.81</v>
      </c>
      <c r="O909" s="411">
        <f t="shared" si="156"/>
        <v>223.47200000000009</v>
      </c>
      <c r="P909" s="132" t="s">
        <v>52</v>
      </c>
      <c r="Q909" s="232"/>
      <c r="R909" s="411"/>
      <c r="T909" s="134" t="s">
        <v>244</v>
      </c>
      <c r="U909" s="267" t="s">
        <v>2311</v>
      </c>
      <c r="V909" s="133" t="s">
        <v>55</v>
      </c>
      <c r="W909" s="153" t="s">
        <v>2312</v>
      </c>
    </row>
    <row r="910" spans="1:27" x14ac:dyDescent="0.25">
      <c r="A910" s="562">
        <v>3000702</v>
      </c>
      <c r="B910" s="563">
        <v>42416</v>
      </c>
      <c r="C910" s="562" t="s">
        <v>63</v>
      </c>
      <c r="D910" s="507" t="s">
        <v>2313</v>
      </c>
      <c r="E910" s="120">
        <v>500</v>
      </c>
      <c r="F910" s="133" t="s">
        <v>2314</v>
      </c>
      <c r="G910" s="551" t="s">
        <v>45</v>
      </c>
      <c r="H910" s="465">
        <v>740</v>
      </c>
      <c r="I910" s="465">
        <v>0</v>
      </c>
      <c r="J910" s="464">
        <f t="shared" si="155"/>
        <v>-14.360000000000001</v>
      </c>
      <c r="K910" s="464">
        <f t="shared" si="146"/>
        <v>725.64</v>
      </c>
      <c r="L910" s="174">
        <v>280</v>
      </c>
      <c r="M910" s="158">
        <v>141.25</v>
      </c>
      <c r="N910" s="91">
        <f t="shared" si="157"/>
        <v>281.25</v>
      </c>
      <c r="O910" s="411">
        <f t="shared" si="156"/>
        <v>444.39</v>
      </c>
      <c r="P910" s="132" t="s">
        <v>235</v>
      </c>
      <c r="Q910" s="232"/>
      <c r="R910" s="411"/>
      <c r="T910" s="439" t="s">
        <v>2315</v>
      </c>
      <c r="U910" s="446" t="s">
        <v>2316</v>
      </c>
      <c r="W910" s="153" t="s">
        <v>2317</v>
      </c>
    </row>
    <row r="911" spans="1:27" x14ac:dyDescent="0.25">
      <c r="A911" s="562"/>
      <c r="B911" s="563"/>
      <c r="C911" s="562"/>
      <c r="D911" s="507"/>
      <c r="E911" s="120">
        <v>500</v>
      </c>
      <c r="F911" s="133" t="s">
        <v>83</v>
      </c>
      <c r="G911" s="551"/>
      <c r="H911" s="465"/>
      <c r="I911" s="465"/>
      <c r="J911" s="464"/>
      <c r="K911" s="464"/>
      <c r="L911" s="174">
        <v>280</v>
      </c>
      <c r="M911" s="158"/>
      <c r="N911" s="91">
        <f t="shared" si="157"/>
        <v>140</v>
      </c>
      <c r="O911" s="411">
        <f t="shared" si="156"/>
        <v>-140</v>
      </c>
      <c r="P911" s="132" t="s">
        <v>235</v>
      </c>
      <c r="Q911" s="232"/>
      <c r="R911" s="411"/>
      <c r="T911" s="440"/>
      <c r="U911" s="448"/>
    </row>
    <row r="912" spans="1:27" x14ac:dyDescent="0.25">
      <c r="A912" s="562"/>
      <c r="B912" s="563"/>
      <c r="C912" s="562"/>
      <c r="D912" s="507"/>
      <c r="E912" s="120">
        <v>500</v>
      </c>
      <c r="F912" s="133" t="s">
        <v>2318</v>
      </c>
      <c r="G912" s="551"/>
      <c r="H912" s="465"/>
      <c r="I912" s="465"/>
      <c r="J912" s="464"/>
      <c r="K912" s="464"/>
      <c r="L912" s="174">
        <v>280</v>
      </c>
      <c r="M912" s="158"/>
      <c r="N912" s="91">
        <f t="shared" si="157"/>
        <v>140</v>
      </c>
      <c r="O912" s="411">
        <f t="shared" si="156"/>
        <v>-140</v>
      </c>
      <c r="P912" s="132" t="s">
        <v>235</v>
      </c>
      <c r="Q912" s="232"/>
      <c r="R912" s="411"/>
      <c r="T912" s="440"/>
      <c r="U912" s="448"/>
    </row>
    <row r="913" spans="1:24" x14ac:dyDescent="0.25">
      <c r="A913" s="562"/>
      <c r="B913" s="563"/>
      <c r="C913" s="562"/>
      <c r="D913" s="507"/>
      <c r="E913" s="120">
        <v>500</v>
      </c>
      <c r="F913" s="133" t="s">
        <v>2319</v>
      </c>
      <c r="G913" s="551"/>
      <c r="H913" s="465"/>
      <c r="I913" s="465"/>
      <c r="J913" s="464"/>
      <c r="K913" s="464"/>
      <c r="L913" s="174">
        <v>110</v>
      </c>
      <c r="M913" s="158"/>
      <c r="N913" s="91">
        <f t="shared" si="157"/>
        <v>55</v>
      </c>
      <c r="O913" s="411">
        <f t="shared" si="156"/>
        <v>-55</v>
      </c>
      <c r="P913" s="132" t="s">
        <v>235</v>
      </c>
      <c r="Q913" s="232"/>
      <c r="R913" s="411"/>
      <c r="T913" s="441"/>
      <c r="U913" s="447"/>
    </row>
    <row r="914" spans="1:24" x14ac:dyDescent="0.25">
      <c r="A914" s="562">
        <v>3000703</v>
      </c>
      <c r="B914" s="563">
        <v>42416</v>
      </c>
      <c r="C914" s="562" t="s">
        <v>56</v>
      </c>
      <c r="D914" s="507" t="s">
        <v>1046</v>
      </c>
      <c r="E914" s="120">
        <v>1000</v>
      </c>
      <c r="F914" s="133" t="s">
        <v>2320</v>
      </c>
      <c r="G914" s="551" t="s">
        <v>45</v>
      </c>
      <c r="H914" s="465">
        <v>3863.5</v>
      </c>
      <c r="I914" s="465">
        <v>0</v>
      </c>
      <c r="J914" s="465">
        <v>0</v>
      </c>
      <c r="K914" s="464">
        <f t="shared" ref="K914" si="158">SUM(H914:J914)</f>
        <v>3863.5</v>
      </c>
      <c r="L914" s="190">
        <v>950</v>
      </c>
      <c r="N914" s="91">
        <f t="shared" si="157"/>
        <v>950</v>
      </c>
      <c r="O914" s="411">
        <f t="shared" si="156"/>
        <v>2913.5</v>
      </c>
      <c r="P914" s="132" t="s">
        <v>46</v>
      </c>
      <c r="Q914" s="232"/>
      <c r="R914" s="411"/>
      <c r="T914" s="439" t="s">
        <v>851</v>
      </c>
      <c r="U914" s="444" t="s">
        <v>852</v>
      </c>
      <c r="V914" s="133" t="s">
        <v>2321</v>
      </c>
    </row>
    <row r="915" spans="1:24" x14ac:dyDescent="0.25">
      <c r="A915" s="562"/>
      <c r="B915" s="563"/>
      <c r="C915" s="562"/>
      <c r="D915" s="507"/>
      <c r="E915" s="120">
        <v>500</v>
      </c>
      <c r="F915" s="133" t="s">
        <v>2322</v>
      </c>
      <c r="G915" s="551"/>
      <c r="H915" s="465"/>
      <c r="I915" s="465"/>
      <c r="J915" s="465"/>
      <c r="K915" s="464"/>
      <c r="L915" s="190">
        <v>1050</v>
      </c>
      <c r="N915" s="91">
        <f t="shared" si="157"/>
        <v>525</v>
      </c>
      <c r="O915" s="411">
        <f t="shared" si="156"/>
        <v>-525</v>
      </c>
      <c r="P915" s="132" t="s">
        <v>46</v>
      </c>
      <c r="Q915" s="232"/>
      <c r="R915" s="411"/>
      <c r="T915" s="441"/>
      <c r="U915" s="445"/>
      <c r="V915" s="133" t="s">
        <v>1413</v>
      </c>
    </row>
    <row r="916" spans="1:24" x14ac:dyDescent="0.25">
      <c r="A916" s="562"/>
      <c r="B916" s="563"/>
      <c r="C916" s="562"/>
      <c r="D916" s="507"/>
      <c r="E916" s="120">
        <v>1500</v>
      </c>
      <c r="F916" s="133" t="s">
        <v>2323</v>
      </c>
      <c r="G916" s="551"/>
      <c r="H916" s="465"/>
      <c r="I916" s="465"/>
      <c r="J916" s="465"/>
      <c r="K916" s="464"/>
      <c r="L916" s="147">
        <v>280</v>
      </c>
      <c r="M916" s="555">
        <v>89.99</v>
      </c>
      <c r="N916" s="91">
        <f t="shared" si="157"/>
        <v>509.99</v>
      </c>
      <c r="O916" s="411">
        <f t="shared" si="156"/>
        <v>-509.99</v>
      </c>
      <c r="P916" s="132" t="s">
        <v>52</v>
      </c>
      <c r="Q916" s="232"/>
      <c r="R916" s="411"/>
      <c r="T916" s="439" t="s">
        <v>1987</v>
      </c>
      <c r="U916" s="446" t="s">
        <v>2324</v>
      </c>
      <c r="V916" s="133" t="s">
        <v>2325</v>
      </c>
    </row>
    <row r="917" spans="1:24" x14ac:dyDescent="0.25">
      <c r="A917" s="562"/>
      <c r="B917" s="563"/>
      <c r="C917" s="562"/>
      <c r="D917" s="507"/>
      <c r="E917" s="120">
        <v>500</v>
      </c>
      <c r="F917" s="133" t="s">
        <v>2326</v>
      </c>
      <c r="G917" s="551"/>
      <c r="H917" s="465"/>
      <c r="I917" s="465"/>
      <c r="J917" s="465"/>
      <c r="K917" s="464"/>
      <c r="L917" s="147">
        <v>1350</v>
      </c>
      <c r="M917" s="557"/>
      <c r="N917" s="91">
        <f t="shared" si="157"/>
        <v>675</v>
      </c>
      <c r="O917" s="411">
        <f t="shared" si="156"/>
        <v>-675</v>
      </c>
      <c r="P917" s="132" t="s">
        <v>52</v>
      </c>
      <c r="Q917" s="232"/>
      <c r="R917" s="411"/>
      <c r="T917" s="441"/>
      <c r="U917" s="447"/>
      <c r="V917" s="133" t="s">
        <v>2325</v>
      </c>
    </row>
    <row r="918" spans="1:24" ht="24" x14ac:dyDescent="0.25">
      <c r="A918" s="380">
        <v>3000704</v>
      </c>
      <c r="B918" s="382">
        <v>42416</v>
      </c>
      <c r="C918" s="380" t="s">
        <v>327</v>
      </c>
      <c r="D918" s="378" t="s">
        <v>2327</v>
      </c>
      <c r="E918" s="413">
        <v>55</v>
      </c>
      <c r="F918" s="394" t="s">
        <v>2328</v>
      </c>
      <c r="G918" s="387" t="s">
        <v>45</v>
      </c>
      <c r="H918" s="400">
        <v>371.25</v>
      </c>
      <c r="I918" s="400">
        <v>0</v>
      </c>
      <c r="J918" s="90">
        <f>-((H918*0.022)+0.3)</f>
        <v>-8.4674999999999994</v>
      </c>
      <c r="K918" s="90">
        <f t="shared" ref="K918:K960" si="159">SUM(H918:J918)</f>
        <v>362.78250000000003</v>
      </c>
      <c r="L918" s="187">
        <v>2771</v>
      </c>
      <c r="M918" s="187">
        <v>14.31</v>
      </c>
      <c r="N918" s="91">
        <f t="shared" si="157"/>
        <v>166.715</v>
      </c>
      <c r="O918" s="411">
        <f t="shared" si="156"/>
        <v>196.06750000000002</v>
      </c>
      <c r="P918" s="132" t="s">
        <v>46</v>
      </c>
      <c r="Q918" s="232"/>
      <c r="R918" s="411"/>
      <c r="T918" s="134" t="s">
        <v>324</v>
      </c>
      <c r="U918" s="267" t="s">
        <v>2329</v>
      </c>
      <c r="W918" s="153" t="s">
        <v>2330</v>
      </c>
    </row>
    <row r="919" spans="1:24" ht="24" x14ac:dyDescent="0.25">
      <c r="A919" s="405">
        <v>3000705</v>
      </c>
      <c r="B919" s="406">
        <v>42416</v>
      </c>
      <c r="C919" s="405" t="s">
        <v>78</v>
      </c>
      <c r="D919" s="401" t="s">
        <v>2331</v>
      </c>
      <c r="E919" s="120">
        <v>100</v>
      </c>
      <c r="F919" s="133" t="s">
        <v>431</v>
      </c>
      <c r="G919" s="404" t="s">
        <v>45</v>
      </c>
      <c r="H919" s="411">
        <v>210</v>
      </c>
      <c r="I919" s="411">
        <v>0</v>
      </c>
      <c r="J919" s="90">
        <f>-((H919*0.019)+0.3)</f>
        <v>-4.29</v>
      </c>
      <c r="K919" s="90">
        <f t="shared" si="159"/>
        <v>205.71</v>
      </c>
      <c r="L919" s="131">
        <v>1050</v>
      </c>
      <c r="M919" s="187">
        <v>18.239999999999998</v>
      </c>
      <c r="N919" s="91">
        <f t="shared" si="157"/>
        <v>123.24</v>
      </c>
      <c r="O919" s="411">
        <f t="shared" si="156"/>
        <v>82.470000000000013</v>
      </c>
      <c r="P919" s="132" t="s">
        <v>86</v>
      </c>
      <c r="Q919" s="232"/>
      <c r="R919" s="411"/>
      <c r="T919" s="134" t="s">
        <v>145</v>
      </c>
      <c r="U919" s="267" t="s">
        <v>2332</v>
      </c>
      <c r="W919" s="153" t="s">
        <v>2333</v>
      </c>
    </row>
    <row r="920" spans="1:24" x14ac:dyDescent="0.25">
      <c r="A920" s="405">
        <v>3000706</v>
      </c>
      <c r="B920" s="406">
        <v>42416</v>
      </c>
      <c r="C920" s="405" t="s">
        <v>141</v>
      </c>
      <c r="D920" s="401" t="s">
        <v>2334</v>
      </c>
      <c r="E920" s="120">
        <v>280</v>
      </c>
      <c r="F920" s="133" t="s">
        <v>2335</v>
      </c>
      <c r="G920" s="404" t="s">
        <v>45</v>
      </c>
      <c r="H920" s="411">
        <v>2170</v>
      </c>
      <c r="I920" s="411">
        <v>0</v>
      </c>
      <c r="J920" s="90">
        <f>-((H920*0.0325)+0.3)</f>
        <v>-70.825000000000003</v>
      </c>
      <c r="K920" s="90">
        <f t="shared" si="159"/>
        <v>2099.1750000000002</v>
      </c>
      <c r="L920" s="158">
        <v>2075</v>
      </c>
      <c r="M920" s="131">
        <v>89.99</v>
      </c>
      <c r="N920" s="91">
        <f t="shared" si="157"/>
        <v>670.99</v>
      </c>
      <c r="O920" s="411">
        <f t="shared" si="156"/>
        <v>1428.1850000000002</v>
      </c>
      <c r="P920" s="132" t="s">
        <v>1793</v>
      </c>
      <c r="Q920" s="232"/>
      <c r="R920" s="411"/>
      <c r="T920" s="134" t="s">
        <v>2336</v>
      </c>
      <c r="U920" s="267" t="s">
        <v>2337</v>
      </c>
      <c r="W920" s="153" t="s">
        <v>2338</v>
      </c>
    </row>
    <row r="921" spans="1:24" ht="24" x14ac:dyDescent="0.25">
      <c r="A921" s="419">
        <v>3000707</v>
      </c>
      <c r="B921" s="421">
        <v>42416</v>
      </c>
      <c r="C921" s="419" t="s">
        <v>56</v>
      </c>
      <c r="D921" s="417" t="s">
        <v>2339</v>
      </c>
      <c r="E921" s="120">
        <v>500</v>
      </c>
      <c r="F921" s="119" t="s">
        <v>2340</v>
      </c>
      <c r="G921" s="434" t="s">
        <v>45</v>
      </c>
      <c r="H921" s="427">
        <v>2544.38</v>
      </c>
      <c r="I921" s="427">
        <v>0</v>
      </c>
      <c r="J921" s="427">
        <v>0</v>
      </c>
      <c r="K921" s="425">
        <f t="shared" si="159"/>
        <v>2544.38</v>
      </c>
      <c r="L921" s="131">
        <v>2831</v>
      </c>
      <c r="M921" s="158">
        <v>0</v>
      </c>
      <c r="N921" s="91">
        <f t="shared" si="157"/>
        <v>1415.5</v>
      </c>
      <c r="O921" s="411">
        <f t="shared" si="156"/>
        <v>1128.8800000000001</v>
      </c>
      <c r="P921" s="132" t="s">
        <v>59</v>
      </c>
      <c r="Q921" s="232"/>
      <c r="R921" s="411"/>
      <c r="T921" s="134" t="s">
        <v>639</v>
      </c>
      <c r="U921" s="267" t="s">
        <v>2341</v>
      </c>
      <c r="V921" s="133" t="s">
        <v>2342</v>
      </c>
      <c r="W921" s="153" t="s">
        <v>2343</v>
      </c>
    </row>
    <row r="922" spans="1:24" x14ac:dyDescent="0.25">
      <c r="A922" s="420"/>
      <c r="B922" s="422"/>
      <c r="C922" s="420"/>
      <c r="D922" s="418"/>
      <c r="E922" s="120">
        <v>500</v>
      </c>
      <c r="F922" s="133" t="s">
        <v>1273</v>
      </c>
      <c r="G922" s="436"/>
      <c r="H922" s="428"/>
      <c r="I922" s="428"/>
      <c r="J922" s="428"/>
      <c r="K922" s="426"/>
      <c r="M922" s="158">
        <v>90</v>
      </c>
      <c r="N922" s="91">
        <f t="shared" si="157"/>
        <v>90</v>
      </c>
      <c r="O922" s="411">
        <f t="shared" si="156"/>
        <v>-90</v>
      </c>
      <c r="P922" s="132" t="s">
        <v>52</v>
      </c>
      <c r="Q922" s="232"/>
      <c r="R922" s="411"/>
      <c r="T922" s="134" t="s">
        <v>1987</v>
      </c>
      <c r="U922" s="267" t="s">
        <v>2344</v>
      </c>
      <c r="V922" s="133" t="s">
        <v>2345</v>
      </c>
    </row>
    <row r="923" spans="1:24" x14ac:dyDescent="0.25">
      <c r="A923" s="419">
        <v>3000708</v>
      </c>
      <c r="B923" s="421">
        <v>42416</v>
      </c>
      <c r="C923" s="419" t="s">
        <v>327</v>
      </c>
      <c r="D923" s="417" t="s">
        <v>1192</v>
      </c>
      <c r="E923" s="120">
        <v>200</v>
      </c>
      <c r="F923" s="133" t="s">
        <v>860</v>
      </c>
      <c r="G923" s="434" t="s">
        <v>45</v>
      </c>
      <c r="H923" s="427">
        <v>1335</v>
      </c>
      <c r="I923" s="427">
        <v>0</v>
      </c>
      <c r="J923" s="425">
        <f>-((H923*0.022)+0.3)</f>
        <v>-29.669999999999998</v>
      </c>
      <c r="K923" s="425">
        <f t="shared" si="159"/>
        <v>1305.33</v>
      </c>
      <c r="L923" s="131">
        <v>4070</v>
      </c>
      <c r="M923" s="555">
        <v>121.51</v>
      </c>
      <c r="N923" s="91">
        <f t="shared" si="157"/>
        <v>935.51</v>
      </c>
      <c r="O923" s="411">
        <f t="shared" si="156"/>
        <v>369.81999999999994</v>
      </c>
      <c r="P923" s="132" t="s">
        <v>52</v>
      </c>
      <c r="Q923" s="232"/>
      <c r="R923" s="411"/>
      <c r="T923" s="439" t="s">
        <v>97</v>
      </c>
      <c r="U923" s="446" t="s">
        <v>2346</v>
      </c>
      <c r="V923" s="133" t="s">
        <v>55</v>
      </c>
      <c r="W923" s="153" t="s">
        <v>2090</v>
      </c>
    </row>
    <row r="924" spans="1:24" x14ac:dyDescent="0.25">
      <c r="A924" s="420"/>
      <c r="B924" s="422"/>
      <c r="C924" s="420"/>
      <c r="D924" s="418"/>
      <c r="E924" s="120">
        <v>300</v>
      </c>
      <c r="F924" s="133" t="s">
        <v>2347</v>
      </c>
      <c r="G924" s="436"/>
      <c r="H924" s="428"/>
      <c r="I924" s="428"/>
      <c r="J924" s="426"/>
      <c r="K924" s="426"/>
      <c r="M924" s="557"/>
      <c r="N924" s="91">
        <f t="shared" si="157"/>
        <v>0</v>
      </c>
      <c r="O924" s="411">
        <f t="shared" si="156"/>
        <v>0</v>
      </c>
      <c r="P924" s="132" t="s">
        <v>52</v>
      </c>
      <c r="Q924" s="232"/>
      <c r="R924" s="411"/>
      <c r="T924" s="441"/>
      <c r="U924" s="447"/>
    </row>
    <row r="925" spans="1:24" ht="24" x14ac:dyDescent="0.25">
      <c r="A925" s="405">
        <v>3000709</v>
      </c>
      <c r="B925" s="406">
        <v>42416</v>
      </c>
      <c r="C925" s="405" t="s">
        <v>63</v>
      </c>
      <c r="D925" s="401" t="s">
        <v>2348</v>
      </c>
      <c r="E925" s="120">
        <v>100</v>
      </c>
      <c r="F925" s="133" t="s">
        <v>1432</v>
      </c>
      <c r="G925" s="404" t="s">
        <v>45</v>
      </c>
      <c r="H925" s="411">
        <v>170</v>
      </c>
      <c r="I925" s="411">
        <v>0</v>
      </c>
      <c r="J925" s="90">
        <f>-((H925*0.022)+0.3)</f>
        <v>-4.04</v>
      </c>
      <c r="K925" s="90">
        <f t="shared" si="159"/>
        <v>165.96</v>
      </c>
      <c r="M925" s="187">
        <v>23.56</v>
      </c>
      <c r="N925" s="91">
        <f t="shared" si="157"/>
        <v>23.56</v>
      </c>
      <c r="O925" s="411">
        <f t="shared" si="156"/>
        <v>142.4</v>
      </c>
      <c r="P925" s="132" t="s">
        <v>52</v>
      </c>
      <c r="Q925" s="232"/>
      <c r="R925" s="411"/>
      <c r="T925" s="134" t="s">
        <v>145</v>
      </c>
      <c r="U925" s="267" t="s">
        <v>2349</v>
      </c>
      <c r="W925" s="153" t="s">
        <v>2350</v>
      </c>
    </row>
    <row r="926" spans="1:24" ht="24" x14ac:dyDescent="0.25">
      <c r="A926" s="405">
        <v>3000710</v>
      </c>
      <c r="B926" s="406">
        <v>42416</v>
      </c>
      <c r="C926" s="405" t="s">
        <v>63</v>
      </c>
      <c r="D926" s="401" t="s">
        <v>2351</v>
      </c>
      <c r="E926" s="120">
        <v>142</v>
      </c>
      <c r="F926" s="133" t="s">
        <v>2352</v>
      </c>
      <c r="G926" s="404" t="s">
        <v>45</v>
      </c>
      <c r="H926" s="411">
        <v>126.38</v>
      </c>
      <c r="I926" s="411">
        <v>0</v>
      </c>
      <c r="J926" s="90">
        <f>-((H926*0.022)+0.3)</f>
        <v>-3.0803599999999998</v>
      </c>
      <c r="K926" s="90">
        <f t="shared" si="159"/>
        <v>123.29964</v>
      </c>
      <c r="L926" s="131">
        <v>400</v>
      </c>
      <c r="M926" s="187">
        <v>20.29</v>
      </c>
      <c r="N926" s="91">
        <f t="shared" si="157"/>
        <v>77.09</v>
      </c>
      <c r="O926" s="411">
        <f t="shared" si="156"/>
        <v>46.209639999999993</v>
      </c>
      <c r="P926" s="132" t="s">
        <v>86</v>
      </c>
      <c r="Q926" s="232"/>
      <c r="R926" s="411"/>
      <c r="T926" s="134" t="s">
        <v>145</v>
      </c>
      <c r="U926" s="267" t="s">
        <v>2353</v>
      </c>
      <c r="W926" s="59" t="s">
        <v>2354</v>
      </c>
      <c r="X926" s="59"/>
    </row>
    <row r="927" spans="1:24" ht="24" customHeight="1" x14ac:dyDescent="0.25">
      <c r="A927" s="419">
        <v>3000711</v>
      </c>
      <c r="B927" s="421">
        <v>42416</v>
      </c>
      <c r="C927" s="419" t="s">
        <v>78</v>
      </c>
      <c r="D927" s="417" t="s">
        <v>2355</v>
      </c>
      <c r="E927" s="120">
        <v>250</v>
      </c>
      <c r="F927" s="133" t="s">
        <v>1137</v>
      </c>
      <c r="G927" s="434" t="s">
        <v>45</v>
      </c>
      <c r="H927" s="427">
        <v>262</v>
      </c>
      <c r="I927" s="427">
        <v>0</v>
      </c>
      <c r="J927" s="425">
        <f>-((H927*0.019)+0.3)</f>
        <v>-5.2779999999999996</v>
      </c>
      <c r="K927" s="425">
        <f t="shared" si="159"/>
        <v>256.72199999999998</v>
      </c>
      <c r="L927" s="131">
        <v>250</v>
      </c>
      <c r="M927" s="187">
        <v>25.71</v>
      </c>
      <c r="N927" s="91">
        <f t="shared" si="157"/>
        <v>88.210000000000008</v>
      </c>
      <c r="O927" s="411">
        <f t="shared" si="156"/>
        <v>168.51199999999997</v>
      </c>
      <c r="P927" s="132" t="s">
        <v>52</v>
      </c>
      <c r="Q927" s="232"/>
      <c r="R927" s="411"/>
      <c r="T927" s="470" t="s">
        <v>145</v>
      </c>
      <c r="U927" s="267" t="s">
        <v>2356</v>
      </c>
      <c r="W927" s="153" t="s">
        <v>2357</v>
      </c>
    </row>
    <row r="928" spans="1:24" x14ac:dyDescent="0.25">
      <c r="A928" s="420"/>
      <c r="B928" s="422"/>
      <c r="C928" s="420"/>
      <c r="D928" s="418"/>
      <c r="E928" s="120">
        <v>150</v>
      </c>
      <c r="F928" s="133" t="s">
        <v>593</v>
      </c>
      <c r="G928" s="436"/>
      <c r="H928" s="428"/>
      <c r="I928" s="428"/>
      <c r="J928" s="426"/>
      <c r="K928" s="426"/>
      <c r="L928" s="131">
        <v>660</v>
      </c>
      <c r="M928" s="187">
        <v>22.34</v>
      </c>
      <c r="N928" s="91">
        <f t="shared" si="157"/>
        <v>121.34</v>
      </c>
      <c r="O928" s="411">
        <f t="shared" si="156"/>
        <v>-121.34</v>
      </c>
      <c r="P928" s="132" t="s">
        <v>52</v>
      </c>
      <c r="Q928" s="232"/>
      <c r="R928" s="411"/>
      <c r="T928" s="472"/>
      <c r="U928" s="267" t="s">
        <v>2358</v>
      </c>
    </row>
    <row r="929" spans="1:23" ht="24" x14ac:dyDescent="0.25">
      <c r="A929" s="419">
        <v>3000712</v>
      </c>
      <c r="B929" s="421">
        <v>42416</v>
      </c>
      <c r="C929" s="419" t="s">
        <v>42</v>
      </c>
      <c r="D929" s="417" t="s">
        <v>2359</v>
      </c>
      <c r="E929" s="120">
        <v>275</v>
      </c>
      <c r="F929" s="133" t="s">
        <v>247</v>
      </c>
      <c r="G929" s="434" t="s">
        <v>45</v>
      </c>
      <c r="H929" s="427">
        <v>707.2</v>
      </c>
      <c r="I929" s="452">
        <f t="shared" ref="I929" si="160">-(H929*0.09)</f>
        <v>-63.648000000000003</v>
      </c>
      <c r="J929" s="425">
        <f>-((H929*0.019)+0.3)</f>
        <v>-13.736800000000001</v>
      </c>
      <c r="K929" s="425">
        <f t="shared" si="159"/>
        <v>629.8152</v>
      </c>
      <c r="L929" s="131">
        <v>480</v>
      </c>
      <c r="M929" s="187">
        <v>66.98</v>
      </c>
      <c r="N929" s="91">
        <f t="shared" si="157"/>
        <v>198.98000000000002</v>
      </c>
      <c r="O929" s="411">
        <f t="shared" si="156"/>
        <v>430.83519999999999</v>
      </c>
      <c r="P929" s="132" t="s">
        <v>86</v>
      </c>
      <c r="Q929" s="232"/>
      <c r="R929" s="411"/>
      <c r="T929" s="134" t="s">
        <v>145</v>
      </c>
      <c r="U929" s="267" t="s">
        <v>2360</v>
      </c>
    </row>
    <row r="930" spans="1:23" ht="24" x14ac:dyDescent="0.25">
      <c r="A930" s="420"/>
      <c r="B930" s="422"/>
      <c r="C930" s="420"/>
      <c r="D930" s="418"/>
      <c r="E930" s="120">
        <v>200</v>
      </c>
      <c r="F930" s="133" t="s">
        <v>2361</v>
      </c>
      <c r="G930" s="436"/>
      <c r="H930" s="428"/>
      <c r="I930" s="453"/>
      <c r="J930" s="426"/>
      <c r="K930" s="426"/>
      <c r="M930" s="187">
        <v>48.85</v>
      </c>
      <c r="N930" s="91">
        <f t="shared" si="157"/>
        <v>48.85</v>
      </c>
      <c r="O930" s="411">
        <f t="shared" si="156"/>
        <v>-48.85</v>
      </c>
      <c r="P930" s="132" t="s">
        <v>52</v>
      </c>
      <c r="Q930" s="232"/>
      <c r="R930" s="411"/>
      <c r="T930" s="134" t="s">
        <v>145</v>
      </c>
      <c r="U930" s="267" t="s">
        <v>2362</v>
      </c>
      <c r="V930" s="133" t="s">
        <v>2363</v>
      </c>
    </row>
    <row r="931" spans="1:23" ht="24" x14ac:dyDescent="0.25">
      <c r="A931" s="405">
        <v>3000713</v>
      </c>
      <c r="B931" s="406">
        <v>42416</v>
      </c>
      <c r="C931" s="405" t="s">
        <v>42</v>
      </c>
      <c r="D931" s="401" t="s">
        <v>2364</v>
      </c>
      <c r="E931" s="120">
        <v>100</v>
      </c>
      <c r="F931" s="133" t="s">
        <v>247</v>
      </c>
      <c r="G931" s="404" t="s">
        <v>45</v>
      </c>
      <c r="H931" s="411">
        <v>127.78</v>
      </c>
      <c r="I931" s="89">
        <f t="shared" ref="I931:I941" si="161">-(H931*0.09)</f>
        <v>-11.5002</v>
      </c>
      <c r="J931" s="90">
        <f>-((H931*0.019)+0.3)</f>
        <v>-2.7278199999999999</v>
      </c>
      <c r="K931" s="90">
        <f t="shared" si="159"/>
        <v>113.55198</v>
      </c>
      <c r="L931" s="131">
        <v>480</v>
      </c>
      <c r="M931" s="187">
        <v>18.670000000000002</v>
      </c>
      <c r="N931" s="91">
        <f t="shared" si="157"/>
        <v>66.67</v>
      </c>
      <c r="O931" s="411">
        <f t="shared" si="156"/>
        <v>46.881979999999999</v>
      </c>
      <c r="P931" s="132" t="s">
        <v>86</v>
      </c>
      <c r="Q931" s="232"/>
      <c r="R931" s="411"/>
      <c r="T931" s="134" t="s">
        <v>145</v>
      </c>
      <c r="U931" s="267" t="s">
        <v>2365</v>
      </c>
    </row>
    <row r="932" spans="1:23" x14ac:dyDescent="0.25">
      <c r="A932" s="405">
        <v>3000714</v>
      </c>
      <c r="B932" s="406">
        <v>42416</v>
      </c>
      <c r="C932" s="405" t="s">
        <v>42</v>
      </c>
      <c r="D932" s="401" t="s">
        <v>2366</v>
      </c>
      <c r="E932" s="120">
        <v>350</v>
      </c>
      <c r="F932" s="133" t="s">
        <v>198</v>
      </c>
      <c r="G932" s="404" t="s">
        <v>45</v>
      </c>
      <c r="H932" s="411">
        <v>1045.4100000000001</v>
      </c>
      <c r="I932" s="89">
        <f t="shared" si="161"/>
        <v>-94.0869</v>
      </c>
      <c r="J932" s="90">
        <f>-((H932*0.019)+0.3)</f>
        <v>-20.162790000000001</v>
      </c>
      <c r="K932" s="90">
        <f t="shared" si="159"/>
        <v>931.16031000000009</v>
      </c>
      <c r="L932" s="131">
        <v>1800</v>
      </c>
      <c r="M932" s="131">
        <v>105.49</v>
      </c>
      <c r="N932" s="91">
        <f t="shared" si="157"/>
        <v>735.49000000000012</v>
      </c>
      <c r="O932" s="411">
        <f t="shared" si="156"/>
        <v>195.67030999999997</v>
      </c>
      <c r="P932" s="132" t="s">
        <v>52</v>
      </c>
      <c r="Q932" s="232"/>
      <c r="R932" s="411"/>
      <c r="T932" s="134" t="s">
        <v>244</v>
      </c>
      <c r="U932" s="267" t="s">
        <v>2367</v>
      </c>
      <c r="V932" s="133" t="s">
        <v>55</v>
      </c>
    </row>
    <row r="933" spans="1:23" ht="24" x14ac:dyDescent="0.25">
      <c r="A933" s="405">
        <v>3000715</v>
      </c>
      <c r="B933" s="406">
        <v>42416</v>
      </c>
      <c r="C933" s="405" t="s">
        <v>42</v>
      </c>
      <c r="D933" s="401" t="s">
        <v>2368</v>
      </c>
      <c r="E933" s="120">
        <v>250</v>
      </c>
      <c r="F933" s="133" t="s">
        <v>1542</v>
      </c>
      <c r="G933" s="404" t="s">
        <v>45</v>
      </c>
      <c r="H933" s="411">
        <v>159.5</v>
      </c>
      <c r="I933" s="89">
        <f t="shared" si="161"/>
        <v>-14.354999999999999</v>
      </c>
      <c r="J933" s="90">
        <f>-((H933*0.019)+0.3)</f>
        <v>-3.3304999999999998</v>
      </c>
      <c r="K933" s="90">
        <f t="shared" si="159"/>
        <v>141.81450000000001</v>
      </c>
      <c r="L933" s="158">
        <v>366</v>
      </c>
      <c r="M933" s="187">
        <v>8.8800000000000008</v>
      </c>
      <c r="N933" s="91">
        <f t="shared" si="157"/>
        <v>100.38</v>
      </c>
      <c r="O933" s="411">
        <f t="shared" si="156"/>
        <v>41.434500000000014</v>
      </c>
      <c r="P933" s="132" t="s">
        <v>643</v>
      </c>
      <c r="Q933" s="232"/>
      <c r="R933" s="411"/>
      <c r="T933" s="134" t="s">
        <v>145</v>
      </c>
      <c r="U933" s="267" t="s">
        <v>2369</v>
      </c>
    </row>
    <row r="934" spans="1:23" ht="24" x14ac:dyDescent="0.25">
      <c r="A934" s="405">
        <v>3000716</v>
      </c>
      <c r="B934" s="406">
        <v>42416</v>
      </c>
      <c r="C934" s="405" t="s">
        <v>42</v>
      </c>
      <c r="D934" s="401" t="s">
        <v>2370</v>
      </c>
      <c r="E934" s="120">
        <v>50</v>
      </c>
      <c r="F934" s="133" t="s">
        <v>2371</v>
      </c>
      <c r="G934" s="404" t="s">
        <v>45</v>
      </c>
      <c r="H934" s="411">
        <v>167.58</v>
      </c>
      <c r="I934" s="89">
        <f t="shared" si="161"/>
        <v>-15.0822</v>
      </c>
      <c r="J934" s="90">
        <f>-((H934*0.019)+0.3)</f>
        <v>-3.4840200000000001</v>
      </c>
      <c r="K934" s="90">
        <f t="shared" si="159"/>
        <v>149.01378000000003</v>
      </c>
      <c r="L934" s="158">
        <v>1710</v>
      </c>
      <c r="M934" s="187">
        <v>16.82</v>
      </c>
      <c r="N934" s="91">
        <f t="shared" si="157"/>
        <v>102.32</v>
      </c>
      <c r="O934" s="411">
        <f t="shared" si="156"/>
        <v>46.693780000000032</v>
      </c>
      <c r="P934" s="132" t="s">
        <v>926</v>
      </c>
      <c r="Q934" s="232"/>
      <c r="R934" s="411"/>
      <c r="T934" s="134" t="s">
        <v>145</v>
      </c>
      <c r="U934" s="267" t="s">
        <v>2372</v>
      </c>
    </row>
    <row r="935" spans="1:23" x14ac:dyDescent="0.25">
      <c r="A935" s="419">
        <v>3000717</v>
      </c>
      <c r="B935" s="421">
        <v>42416</v>
      </c>
      <c r="C935" s="419" t="s">
        <v>42</v>
      </c>
      <c r="D935" s="417" t="s">
        <v>2080</v>
      </c>
      <c r="E935" s="120">
        <v>200</v>
      </c>
      <c r="F935" s="133" t="s">
        <v>217</v>
      </c>
      <c r="G935" s="434" t="s">
        <v>45</v>
      </c>
      <c r="H935" s="427">
        <v>1005.57</v>
      </c>
      <c r="I935" s="452">
        <f t="shared" si="161"/>
        <v>-90.501300000000001</v>
      </c>
      <c r="J935" s="425">
        <f>-((H935*0.019)+0.3)</f>
        <v>-19.405830000000002</v>
      </c>
      <c r="K935" s="425">
        <f t="shared" si="159"/>
        <v>895.66287</v>
      </c>
      <c r="L935" s="131">
        <v>1350</v>
      </c>
      <c r="M935" s="553">
        <v>121.57</v>
      </c>
      <c r="N935" s="91">
        <f t="shared" si="157"/>
        <v>391.57</v>
      </c>
      <c r="O935" s="411">
        <f t="shared" si="156"/>
        <v>504.09287</v>
      </c>
      <c r="P935" s="132" t="s">
        <v>86</v>
      </c>
      <c r="Q935" s="232"/>
      <c r="R935" s="411"/>
      <c r="T935" s="470" t="s">
        <v>97</v>
      </c>
      <c r="U935" s="481" t="s">
        <v>2373</v>
      </c>
      <c r="V935" s="133" t="s">
        <v>55</v>
      </c>
    </row>
    <row r="936" spans="1:23" x14ac:dyDescent="0.25">
      <c r="A936" s="420"/>
      <c r="B936" s="422"/>
      <c r="C936" s="420"/>
      <c r="D936" s="418"/>
      <c r="E936" s="120">
        <v>1000</v>
      </c>
      <c r="F936" s="133" t="s">
        <v>451</v>
      </c>
      <c r="G936" s="436"/>
      <c r="H936" s="428"/>
      <c r="I936" s="453"/>
      <c r="J936" s="426"/>
      <c r="K936" s="426"/>
      <c r="L936" s="187">
        <v>336.81</v>
      </c>
      <c r="M936" s="554"/>
      <c r="N936" s="91">
        <f t="shared" si="157"/>
        <v>336.81</v>
      </c>
      <c r="O936" s="411">
        <f t="shared" si="156"/>
        <v>-336.81</v>
      </c>
      <c r="P936" s="132" t="s">
        <v>46</v>
      </c>
      <c r="Q936" s="232"/>
      <c r="R936" s="411"/>
      <c r="T936" s="472"/>
      <c r="U936" s="483"/>
      <c r="V936" s="133" t="s">
        <v>2374</v>
      </c>
    </row>
    <row r="937" spans="1:23" ht="24" x14ac:dyDescent="0.25">
      <c r="A937" s="405">
        <v>3000718</v>
      </c>
      <c r="B937" s="406">
        <v>42416</v>
      </c>
      <c r="C937" s="405" t="s">
        <v>42</v>
      </c>
      <c r="D937" s="401" t="s">
        <v>703</v>
      </c>
      <c r="E937" s="120">
        <v>250</v>
      </c>
      <c r="F937" s="133" t="s">
        <v>173</v>
      </c>
      <c r="G937" s="404" t="s">
        <v>45</v>
      </c>
      <c r="H937" s="411">
        <v>216.7</v>
      </c>
      <c r="I937" s="89">
        <f t="shared" si="161"/>
        <v>-19.502999999999997</v>
      </c>
      <c r="J937" s="90">
        <f>-((H937*0.019)+0.3)</f>
        <v>-4.4172999999999991</v>
      </c>
      <c r="K937" s="90">
        <f t="shared" si="159"/>
        <v>192.77969999999999</v>
      </c>
      <c r="L937" s="131">
        <v>399</v>
      </c>
      <c r="M937" s="187">
        <v>29.93</v>
      </c>
      <c r="N937" s="91">
        <f t="shared" si="157"/>
        <v>129.68</v>
      </c>
      <c r="O937" s="411">
        <f t="shared" si="156"/>
        <v>63.099699999999984</v>
      </c>
      <c r="P937" s="132" t="s">
        <v>52</v>
      </c>
      <c r="Q937" s="232"/>
      <c r="R937" s="411"/>
      <c r="T937" s="134" t="s">
        <v>145</v>
      </c>
      <c r="U937" s="267" t="s">
        <v>2375</v>
      </c>
    </row>
    <row r="938" spans="1:23" ht="24" x14ac:dyDescent="0.25">
      <c r="A938" s="405">
        <v>3000719</v>
      </c>
      <c r="B938" s="406">
        <v>42416</v>
      </c>
      <c r="C938" s="405" t="s">
        <v>42</v>
      </c>
      <c r="D938" s="401" t="s">
        <v>2376</v>
      </c>
      <c r="E938" s="120">
        <v>250</v>
      </c>
      <c r="F938" s="133" t="s">
        <v>1137</v>
      </c>
      <c r="G938" s="404" t="s">
        <v>45</v>
      </c>
      <c r="H938" s="411">
        <v>125.4</v>
      </c>
      <c r="I938" s="89">
        <f t="shared" si="161"/>
        <v>-11.286</v>
      </c>
      <c r="J938" s="90">
        <f>-((H938*0.019)+0.3)</f>
        <v>-2.6825999999999999</v>
      </c>
      <c r="K938" s="90">
        <f t="shared" si="159"/>
        <v>111.43140000000001</v>
      </c>
      <c r="L938" s="131">
        <v>250</v>
      </c>
      <c r="M938" s="187">
        <v>23.86</v>
      </c>
      <c r="N938" s="91">
        <f t="shared" si="157"/>
        <v>86.36</v>
      </c>
      <c r="O938" s="411">
        <f t="shared" si="156"/>
        <v>25.071400000000011</v>
      </c>
      <c r="P938" s="132" t="s">
        <v>52</v>
      </c>
      <c r="Q938" s="232"/>
      <c r="R938" s="411"/>
      <c r="T938" s="134" t="s">
        <v>145</v>
      </c>
      <c r="U938" s="267" t="s">
        <v>2377</v>
      </c>
    </row>
    <row r="939" spans="1:23" ht="24" x14ac:dyDescent="0.25">
      <c r="A939" s="405">
        <v>3000720</v>
      </c>
      <c r="B939" s="406">
        <v>42416</v>
      </c>
      <c r="C939" s="405" t="s">
        <v>42</v>
      </c>
      <c r="D939" s="401" t="s">
        <v>2378</v>
      </c>
      <c r="E939" s="120">
        <v>50</v>
      </c>
      <c r="F939" s="133" t="s">
        <v>304</v>
      </c>
      <c r="G939" s="404" t="s">
        <v>45</v>
      </c>
      <c r="H939" s="411">
        <v>135.09</v>
      </c>
      <c r="I939" s="89">
        <f t="shared" si="161"/>
        <v>-12.158099999999999</v>
      </c>
      <c r="J939" s="90">
        <f>-((H939*0.019)+0.3)</f>
        <v>-2.8667099999999999</v>
      </c>
      <c r="K939" s="90">
        <f t="shared" si="159"/>
        <v>120.06519</v>
      </c>
      <c r="L939" s="131">
        <v>1050</v>
      </c>
      <c r="M939" s="187">
        <v>24.29</v>
      </c>
      <c r="N939" s="91">
        <f t="shared" si="157"/>
        <v>76.789999999999992</v>
      </c>
      <c r="O939" s="411">
        <f t="shared" si="156"/>
        <v>43.275190000000009</v>
      </c>
      <c r="P939" s="132" t="s">
        <v>86</v>
      </c>
      <c r="Q939" s="232"/>
      <c r="R939" s="411"/>
      <c r="T939" s="134" t="s">
        <v>145</v>
      </c>
      <c r="U939" s="267" t="s">
        <v>2379</v>
      </c>
    </row>
    <row r="940" spans="1:23" ht="24" x14ac:dyDescent="0.25">
      <c r="A940" s="405">
        <v>3000721</v>
      </c>
      <c r="B940" s="406">
        <v>42416</v>
      </c>
      <c r="C940" s="405" t="s">
        <v>42</v>
      </c>
      <c r="D940" s="401" t="s">
        <v>2380</v>
      </c>
      <c r="E940" s="120">
        <v>250</v>
      </c>
      <c r="F940" s="133" t="s">
        <v>2381</v>
      </c>
      <c r="G940" s="404" t="s">
        <v>45</v>
      </c>
      <c r="H940" s="411">
        <v>157.5</v>
      </c>
      <c r="I940" s="89">
        <f t="shared" si="161"/>
        <v>-14.174999999999999</v>
      </c>
      <c r="J940" s="90">
        <f>-((H940*0.019)+0.3)</f>
        <v>-3.2924999999999995</v>
      </c>
      <c r="K940" s="90">
        <f t="shared" si="159"/>
        <v>140.0325</v>
      </c>
      <c r="L940" s="158">
        <v>370</v>
      </c>
      <c r="M940" s="187">
        <v>26.18</v>
      </c>
      <c r="N940" s="91">
        <f t="shared" si="157"/>
        <v>118.68</v>
      </c>
      <c r="O940" s="411">
        <f t="shared" si="156"/>
        <v>21.352499999999992</v>
      </c>
      <c r="P940" s="132" t="s">
        <v>1505</v>
      </c>
      <c r="Q940" s="232"/>
      <c r="R940" s="411"/>
      <c r="T940" s="134" t="s">
        <v>145</v>
      </c>
      <c r="U940" s="267" t="s">
        <v>2382</v>
      </c>
    </row>
    <row r="941" spans="1:23" x14ac:dyDescent="0.25">
      <c r="A941" s="405">
        <v>3000722</v>
      </c>
      <c r="B941" s="406">
        <v>42417</v>
      </c>
      <c r="C941" s="405" t="s">
        <v>42</v>
      </c>
      <c r="D941" s="401" t="s">
        <v>2383</v>
      </c>
      <c r="E941" s="120">
        <v>100</v>
      </c>
      <c r="F941" s="133" t="s">
        <v>784</v>
      </c>
      <c r="G941" s="404" t="s">
        <v>45</v>
      </c>
      <c r="H941" s="411">
        <v>889.2</v>
      </c>
      <c r="I941" s="89">
        <f t="shared" si="161"/>
        <v>-80.028000000000006</v>
      </c>
      <c r="J941" s="90">
        <f>-((H941*0.019)+0.3)</f>
        <v>-17.194800000000001</v>
      </c>
      <c r="K941" s="90">
        <f t="shared" si="159"/>
        <v>791.97720000000004</v>
      </c>
      <c r="L941" s="187">
        <v>5950</v>
      </c>
      <c r="M941" s="187">
        <v>85.64</v>
      </c>
      <c r="N941" s="91">
        <f t="shared" si="157"/>
        <v>680.64</v>
      </c>
      <c r="O941" s="411">
        <f t="shared" si="156"/>
        <v>111.33720000000005</v>
      </c>
      <c r="P941" s="132" t="s">
        <v>235</v>
      </c>
      <c r="Q941" s="232"/>
      <c r="R941" s="411"/>
      <c r="T941" s="134" t="s">
        <v>364</v>
      </c>
      <c r="U941" s="267" t="s">
        <v>2384</v>
      </c>
    </row>
    <row r="942" spans="1:23" x14ac:dyDescent="0.25">
      <c r="A942" s="405">
        <v>3000723</v>
      </c>
      <c r="B942" s="406">
        <v>42417</v>
      </c>
      <c r="C942" s="405" t="s">
        <v>977</v>
      </c>
      <c r="D942" s="401" t="s">
        <v>754</v>
      </c>
      <c r="E942" s="120">
        <v>182</v>
      </c>
      <c r="F942" s="133" t="s">
        <v>198</v>
      </c>
      <c r="G942" s="404" t="s">
        <v>45</v>
      </c>
      <c r="H942" s="411">
        <v>660</v>
      </c>
      <c r="I942" s="411">
        <v>0</v>
      </c>
      <c r="J942" s="90">
        <f>-((H942*0.022)+0.3)</f>
        <v>-14.82</v>
      </c>
      <c r="K942" s="90">
        <f t="shared" si="159"/>
        <v>645.17999999999995</v>
      </c>
      <c r="L942" s="131">
        <v>1800</v>
      </c>
      <c r="M942" s="187">
        <v>133.66999999999999</v>
      </c>
      <c r="N942" s="91">
        <f t="shared" si="157"/>
        <v>461.27</v>
      </c>
      <c r="O942" s="411">
        <f t="shared" si="156"/>
        <v>183.90999999999997</v>
      </c>
      <c r="P942" s="132" t="s">
        <v>52</v>
      </c>
      <c r="Q942" s="232"/>
      <c r="R942" s="411"/>
      <c r="T942" s="134" t="s">
        <v>97</v>
      </c>
      <c r="U942" s="267" t="s">
        <v>2385</v>
      </c>
      <c r="W942" s="153" t="s">
        <v>2386</v>
      </c>
    </row>
    <row r="943" spans="1:23" ht="24" x14ac:dyDescent="0.25">
      <c r="A943" s="405">
        <v>3000724</v>
      </c>
      <c r="B943" s="406">
        <v>42417</v>
      </c>
      <c r="C943" s="405" t="s">
        <v>237</v>
      </c>
      <c r="D943" s="401" t="s">
        <v>2387</v>
      </c>
      <c r="E943" s="120">
        <v>1000</v>
      </c>
      <c r="F943" s="133" t="s">
        <v>2388</v>
      </c>
      <c r="G943" s="404" t="s">
        <v>45</v>
      </c>
      <c r="H943" s="411">
        <v>571.72</v>
      </c>
      <c r="I943" s="89">
        <f>-(H943*0.15)</f>
        <v>-85.757999999999996</v>
      </c>
      <c r="J943" s="411">
        <v>0</v>
      </c>
      <c r="K943" s="90">
        <f t="shared" si="159"/>
        <v>485.96200000000005</v>
      </c>
      <c r="L943" s="131">
        <v>373.48</v>
      </c>
      <c r="M943" s="131">
        <v>0</v>
      </c>
      <c r="N943" s="91">
        <f t="shared" si="157"/>
        <v>373.48</v>
      </c>
      <c r="O943" s="411">
        <f t="shared" si="156"/>
        <v>112.48200000000003</v>
      </c>
      <c r="P943" s="132" t="s">
        <v>42</v>
      </c>
      <c r="Q943" s="232"/>
      <c r="R943" s="411"/>
      <c r="T943" s="134" t="s">
        <v>2389</v>
      </c>
      <c r="U943" s="267" t="s">
        <v>2390</v>
      </c>
    </row>
    <row r="944" spans="1:23" ht="24" x14ac:dyDescent="0.25">
      <c r="A944" s="405">
        <v>3000725</v>
      </c>
      <c r="B944" s="406">
        <v>42417</v>
      </c>
      <c r="C944" s="405" t="s">
        <v>237</v>
      </c>
      <c r="D944" s="401" t="s">
        <v>2391</v>
      </c>
      <c r="E944" s="120">
        <v>100</v>
      </c>
      <c r="F944" s="133" t="s">
        <v>1172</v>
      </c>
      <c r="G944" s="404" t="s">
        <v>45</v>
      </c>
      <c r="H944" s="411">
        <v>136.72999999999999</v>
      </c>
      <c r="I944" s="89">
        <f>-(H944*0.15)</f>
        <v>-20.509499999999999</v>
      </c>
      <c r="J944" s="411">
        <v>0</v>
      </c>
      <c r="K944" s="90">
        <f t="shared" si="159"/>
        <v>116.22049999999999</v>
      </c>
      <c r="L944" s="158">
        <v>700</v>
      </c>
      <c r="N944" s="91">
        <f t="shared" si="157"/>
        <v>70</v>
      </c>
      <c r="O944" s="411">
        <f t="shared" si="156"/>
        <v>46.220499999999987</v>
      </c>
      <c r="P944" s="132" t="s">
        <v>926</v>
      </c>
      <c r="Q944" s="232"/>
      <c r="R944" s="411"/>
      <c r="T944" s="134" t="s">
        <v>145</v>
      </c>
      <c r="U944" s="267" t="s">
        <v>2392</v>
      </c>
    </row>
    <row r="945" spans="1:23" ht="24" x14ac:dyDescent="0.25">
      <c r="A945" s="405">
        <v>3000726</v>
      </c>
      <c r="B945" s="406">
        <v>42417</v>
      </c>
      <c r="C945" s="405" t="s">
        <v>237</v>
      </c>
      <c r="D945" s="401" t="s">
        <v>2393</v>
      </c>
      <c r="E945" s="120">
        <v>125</v>
      </c>
      <c r="F945" s="133" t="s">
        <v>161</v>
      </c>
      <c r="G945" s="404" t="s">
        <v>45</v>
      </c>
      <c r="H945" s="411">
        <v>300</v>
      </c>
      <c r="I945" s="89">
        <f>-(H945*0.15)</f>
        <v>-45</v>
      </c>
      <c r="J945" s="411">
        <v>0</v>
      </c>
      <c r="K945" s="90">
        <f t="shared" si="159"/>
        <v>255</v>
      </c>
      <c r="L945" s="131">
        <v>1350</v>
      </c>
      <c r="M945" s="187">
        <v>44.95</v>
      </c>
      <c r="N945" s="91">
        <f t="shared" si="157"/>
        <v>213.7</v>
      </c>
      <c r="O945" s="411">
        <f t="shared" si="156"/>
        <v>41.300000000000011</v>
      </c>
      <c r="P945" s="132" t="s">
        <v>86</v>
      </c>
      <c r="Q945" s="232"/>
      <c r="R945" s="411"/>
      <c r="T945" s="134" t="s">
        <v>145</v>
      </c>
      <c r="U945" s="267" t="s">
        <v>2394</v>
      </c>
    </row>
    <row r="946" spans="1:23" ht="24" x14ac:dyDescent="0.25">
      <c r="A946" s="405">
        <v>3000727</v>
      </c>
      <c r="B946" s="406">
        <v>42417</v>
      </c>
      <c r="C946" s="405" t="s">
        <v>237</v>
      </c>
      <c r="D946" s="401" t="s">
        <v>2395</v>
      </c>
      <c r="E946" s="120">
        <v>150</v>
      </c>
      <c r="F946" s="133" t="s">
        <v>247</v>
      </c>
      <c r="G946" s="404" t="s">
        <v>45</v>
      </c>
      <c r="H946" s="411">
        <v>175.94</v>
      </c>
      <c r="I946" s="89">
        <f>-(H946*0.15)</f>
        <v>-26.390999999999998</v>
      </c>
      <c r="J946" s="411">
        <v>0</v>
      </c>
      <c r="K946" s="90">
        <f t="shared" si="159"/>
        <v>149.54900000000001</v>
      </c>
      <c r="L946" s="131">
        <v>480</v>
      </c>
      <c r="M946" s="187">
        <v>35.92</v>
      </c>
      <c r="N946" s="91">
        <f t="shared" si="157"/>
        <v>107.92</v>
      </c>
      <c r="O946" s="411">
        <f t="shared" si="156"/>
        <v>41.629000000000005</v>
      </c>
      <c r="P946" s="132" t="s">
        <v>86</v>
      </c>
      <c r="Q946" s="232"/>
      <c r="R946" s="411"/>
      <c r="T946" s="134" t="s">
        <v>145</v>
      </c>
      <c r="U946" s="267" t="s">
        <v>2396</v>
      </c>
    </row>
    <row r="947" spans="1:23" ht="24" x14ac:dyDescent="0.25">
      <c r="A947" s="405">
        <v>3000728</v>
      </c>
      <c r="B947" s="406">
        <v>42417</v>
      </c>
      <c r="C947" s="405" t="s">
        <v>42</v>
      </c>
      <c r="D947" s="401" t="s">
        <v>2397</v>
      </c>
      <c r="E947" s="120">
        <v>100</v>
      </c>
      <c r="F947" s="133" t="s">
        <v>161</v>
      </c>
      <c r="G947" s="404" t="s">
        <v>45</v>
      </c>
      <c r="H947" s="411">
        <v>235</v>
      </c>
      <c r="I947" s="89">
        <f t="shared" ref="I947:I956" si="162">-(H947*0.09)</f>
        <v>-21.15</v>
      </c>
      <c r="J947" s="90">
        <f t="shared" ref="J947:J956" si="163">-((H947*0.019)+0.3)</f>
        <v>-4.7649999999999997</v>
      </c>
      <c r="K947" s="90">
        <f t="shared" si="159"/>
        <v>209.08500000000001</v>
      </c>
      <c r="L947" s="131">
        <v>1350</v>
      </c>
      <c r="M947" s="187">
        <v>57.15</v>
      </c>
      <c r="N947" s="91">
        <f t="shared" si="157"/>
        <v>192.15</v>
      </c>
      <c r="O947" s="411">
        <f t="shared" si="156"/>
        <v>16.935000000000002</v>
      </c>
      <c r="P947" s="132" t="s">
        <v>52</v>
      </c>
      <c r="Q947" s="232"/>
      <c r="R947" s="411"/>
      <c r="T947" s="134" t="s">
        <v>145</v>
      </c>
      <c r="U947" s="267" t="s">
        <v>2398</v>
      </c>
    </row>
    <row r="948" spans="1:23" ht="24" x14ac:dyDescent="0.25">
      <c r="A948" s="405">
        <v>3000729</v>
      </c>
      <c r="B948" s="406">
        <v>42417</v>
      </c>
      <c r="C948" s="405" t="s">
        <v>42</v>
      </c>
      <c r="D948" s="401" t="s">
        <v>2399</v>
      </c>
      <c r="E948" s="120">
        <v>200</v>
      </c>
      <c r="F948" s="133" t="s">
        <v>877</v>
      </c>
      <c r="G948" s="404" t="s">
        <v>45</v>
      </c>
      <c r="H948" s="411">
        <v>130.62</v>
      </c>
      <c r="I948" s="89">
        <f t="shared" si="162"/>
        <v>-11.755800000000001</v>
      </c>
      <c r="J948" s="90">
        <f t="shared" si="163"/>
        <v>-2.7817799999999999</v>
      </c>
      <c r="K948" s="90">
        <f t="shared" si="159"/>
        <v>116.08242000000001</v>
      </c>
      <c r="L948" s="131">
        <v>235</v>
      </c>
      <c r="M948" s="187">
        <v>35.97</v>
      </c>
      <c r="N948" s="91">
        <f t="shared" si="157"/>
        <v>82.97</v>
      </c>
      <c r="O948" s="411">
        <f t="shared" si="156"/>
        <v>33.112420000000014</v>
      </c>
      <c r="P948" s="132" t="s">
        <v>52</v>
      </c>
      <c r="Q948" s="232"/>
      <c r="R948" s="411"/>
      <c r="T948" s="134" t="s">
        <v>145</v>
      </c>
      <c r="U948" s="267" t="s">
        <v>2400</v>
      </c>
    </row>
    <row r="949" spans="1:23" ht="24" x14ac:dyDescent="0.25">
      <c r="A949" s="405">
        <v>3000730</v>
      </c>
      <c r="B949" s="406">
        <v>42417</v>
      </c>
      <c r="C949" s="405" t="s">
        <v>42</v>
      </c>
      <c r="D949" s="401" t="s">
        <v>2401</v>
      </c>
      <c r="E949" s="120">
        <v>210</v>
      </c>
      <c r="F949" s="133" t="s">
        <v>247</v>
      </c>
      <c r="G949" s="404" t="s">
        <v>45</v>
      </c>
      <c r="H949" s="411">
        <v>239.4</v>
      </c>
      <c r="I949" s="89">
        <f t="shared" si="162"/>
        <v>-21.545999999999999</v>
      </c>
      <c r="J949" s="90">
        <f t="shared" si="163"/>
        <v>-4.8486000000000002</v>
      </c>
      <c r="K949" s="90">
        <f t="shared" si="159"/>
        <v>213.00540000000001</v>
      </c>
      <c r="L949" s="131">
        <v>480</v>
      </c>
      <c r="M949" s="187">
        <v>47.48</v>
      </c>
      <c r="N949" s="91">
        <f t="shared" si="157"/>
        <v>148.28</v>
      </c>
      <c r="O949" s="411">
        <f t="shared" si="156"/>
        <v>64.725400000000008</v>
      </c>
      <c r="P949" s="132" t="s">
        <v>86</v>
      </c>
      <c r="Q949" s="232"/>
      <c r="R949" s="411"/>
      <c r="T949" s="134" t="s">
        <v>145</v>
      </c>
      <c r="U949" s="267" t="s">
        <v>2402</v>
      </c>
    </row>
    <row r="950" spans="1:23" ht="24" x14ac:dyDescent="0.25">
      <c r="A950" s="405">
        <v>3000731</v>
      </c>
      <c r="B950" s="406">
        <v>42417</v>
      </c>
      <c r="C950" s="405" t="s">
        <v>42</v>
      </c>
      <c r="D950" s="401" t="s">
        <v>2403</v>
      </c>
      <c r="E950" s="120">
        <v>275</v>
      </c>
      <c r="F950" s="133" t="s">
        <v>165</v>
      </c>
      <c r="G950" s="404" t="s">
        <v>45</v>
      </c>
      <c r="H950" s="411">
        <v>260.3</v>
      </c>
      <c r="I950" s="89">
        <f t="shared" si="162"/>
        <v>-23.427</v>
      </c>
      <c r="J950" s="90">
        <f t="shared" si="163"/>
        <v>-5.2457000000000003</v>
      </c>
      <c r="K950" s="90">
        <f t="shared" si="159"/>
        <v>231.62730000000002</v>
      </c>
      <c r="L950" s="131">
        <v>480</v>
      </c>
      <c r="M950" s="187">
        <v>57.85</v>
      </c>
      <c r="N950" s="91">
        <f t="shared" si="157"/>
        <v>189.85</v>
      </c>
      <c r="O950" s="411">
        <f t="shared" si="156"/>
        <v>41.777300000000025</v>
      </c>
      <c r="P950" s="132" t="s">
        <v>52</v>
      </c>
      <c r="Q950" s="232"/>
      <c r="R950" s="411"/>
      <c r="T950" s="134" t="s">
        <v>145</v>
      </c>
      <c r="U950" s="267" t="s">
        <v>2404</v>
      </c>
    </row>
    <row r="951" spans="1:23" ht="24" x14ac:dyDescent="0.25">
      <c r="A951" s="405">
        <v>3000732</v>
      </c>
      <c r="B951" s="406">
        <v>42417</v>
      </c>
      <c r="C951" s="405" t="s">
        <v>42</v>
      </c>
      <c r="D951" s="401" t="s">
        <v>2405</v>
      </c>
      <c r="E951" s="120">
        <v>100</v>
      </c>
      <c r="F951" s="133" t="s">
        <v>829</v>
      </c>
      <c r="G951" s="404" t="s">
        <v>45</v>
      </c>
      <c r="H951" s="411">
        <v>105.08</v>
      </c>
      <c r="I951" s="89">
        <f t="shared" si="162"/>
        <v>-9.4572000000000003</v>
      </c>
      <c r="J951" s="90">
        <f t="shared" si="163"/>
        <v>-2.2965199999999997</v>
      </c>
      <c r="K951" s="90">
        <f t="shared" si="159"/>
        <v>93.326279999999997</v>
      </c>
      <c r="L951" s="131">
        <v>510</v>
      </c>
      <c r="M951" s="187">
        <v>29.09</v>
      </c>
      <c r="N951" s="91">
        <f t="shared" si="157"/>
        <v>80.09</v>
      </c>
      <c r="O951" s="411">
        <f t="shared" si="156"/>
        <v>13.236279999999994</v>
      </c>
      <c r="P951" s="132" t="s">
        <v>52</v>
      </c>
      <c r="Q951" s="232"/>
      <c r="R951" s="411">
        <v>7.78</v>
      </c>
      <c r="S951" s="133" t="s">
        <v>1169</v>
      </c>
      <c r="T951" s="134" t="s">
        <v>145</v>
      </c>
      <c r="U951" s="267" t="s">
        <v>2406</v>
      </c>
    </row>
    <row r="952" spans="1:23" ht="24" x14ac:dyDescent="0.25">
      <c r="A952" s="405">
        <v>3000733</v>
      </c>
      <c r="B952" s="406">
        <v>42417</v>
      </c>
      <c r="C952" s="405" t="s">
        <v>42</v>
      </c>
      <c r="D952" s="401" t="s">
        <v>2407</v>
      </c>
      <c r="E952" s="120">
        <v>50</v>
      </c>
      <c r="F952" s="133" t="s">
        <v>2408</v>
      </c>
      <c r="G952" s="404" t="s">
        <v>45</v>
      </c>
      <c r="H952" s="411">
        <v>116.38</v>
      </c>
      <c r="I952" s="89">
        <f t="shared" si="162"/>
        <v>-10.4742</v>
      </c>
      <c r="J952" s="90">
        <f t="shared" si="163"/>
        <v>-2.5112199999999998</v>
      </c>
      <c r="K952" s="90">
        <f t="shared" si="159"/>
        <v>103.39458</v>
      </c>
      <c r="L952" s="158">
        <v>1426</v>
      </c>
      <c r="M952" s="187">
        <v>20.05</v>
      </c>
      <c r="N952" s="91">
        <f t="shared" si="157"/>
        <v>91.35</v>
      </c>
      <c r="O952" s="411">
        <f t="shared" si="156"/>
        <v>12.044580000000011</v>
      </c>
      <c r="P952" s="132" t="s">
        <v>926</v>
      </c>
      <c r="Q952" s="232"/>
      <c r="R952" s="411"/>
      <c r="T952" s="134" t="s">
        <v>145</v>
      </c>
      <c r="U952" s="267" t="s">
        <v>2409</v>
      </c>
    </row>
    <row r="953" spans="1:23" ht="24" x14ac:dyDescent="0.25">
      <c r="A953" s="405">
        <v>3000734</v>
      </c>
      <c r="B953" s="406">
        <v>42417</v>
      </c>
      <c r="C953" s="405" t="s">
        <v>42</v>
      </c>
      <c r="D953" s="401" t="s">
        <v>2410</v>
      </c>
      <c r="E953" s="120">
        <v>250</v>
      </c>
      <c r="F953" s="133" t="s">
        <v>1475</v>
      </c>
      <c r="G953" s="404" t="s">
        <v>45</v>
      </c>
      <c r="H953" s="411">
        <v>307.89999999999998</v>
      </c>
      <c r="I953" s="89">
        <f t="shared" si="162"/>
        <v>-27.710999999999999</v>
      </c>
      <c r="J953" s="90">
        <f t="shared" si="163"/>
        <v>-6.1500999999999992</v>
      </c>
      <c r="K953" s="90">
        <f t="shared" si="159"/>
        <v>274.03889999999996</v>
      </c>
      <c r="L953" s="158">
        <v>650</v>
      </c>
      <c r="M953" s="158">
        <v>28.51</v>
      </c>
      <c r="N953" s="91">
        <f t="shared" si="157"/>
        <v>191.01</v>
      </c>
      <c r="O953" s="411">
        <f t="shared" si="156"/>
        <v>83.028899999999965</v>
      </c>
      <c r="P953" s="132" t="s">
        <v>46</v>
      </c>
      <c r="Q953" s="232"/>
      <c r="R953" s="411"/>
      <c r="T953" s="134" t="s">
        <v>324</v>
      </c>
      <c r="U953" s="267" t="s">
        <v>2411</v>
      </c>
    </row>
    <row r="954" spans="1:23" ht="24" x14ac:dyDescent="0.25">
      <c r="A954" s="405">
        <v>3000735</v>
      </c>
      <c r="B954" s="406">
        <v>42417</v>
      </c>
      <c r="C954" s="405" t="s">
        <v>42</v>
      </c>
      <c r="D954" s="401" t="s">
        <v>2412</v>
      </c>
      <c r="E954" s="120">
        <v>100</v>
      </c>
      <c r="F954" s="133" t="s">
        <v>829</v>
      </c>
      <c r="G954" s="404" t="s">
        <v>45</v>
      </c>
      <c r="H954" s="411">
        <v>97.3</v>
      </c>
      <c r="I954" s="89">
        <f t="shared" si="162"/>
        <v>-8.7569999999999997</v>
      </c>
      <c r="J954" s="90">
        <f t="shared" si="163"/>
        <v>-2.1486999999999998</v>
      </c>
      <c r="K954" s="90">
        <f t="shared" si="159"/>
        <v>86.394299999999987</v>
      </c>
      <c r="L954" s="131">
        <v>510</v>
      </c>
      <c r="M954" s="187">
        <v>24.22</v>
      </c>
      <c r="N954" s="91">
        <f t="shared" si="157"/>
        <v>75.22</v>
      </c>
      <c r="O954" s="411">
        <f t="shared" si="156"/>
        <v>11.174299999999988</v>
      </c>
      <c r="P954" s="132" t="s">
        <v>52</v>
      </c>
      <c r="Q954" s="232"/>
      <c r="R954" s="411"/>
      <c r="T954" s="134" t="s">
        <v>145</v>
      </c>
      <c r="U954" s="267" t="s">
        <v>2413</v>
      </c>
    </row>
    <row r="955" spans="1:23" ht="24" x14ac:dyDescent="0.25">
      <c r="A955" s="405">
        <v>3000736</v>
      </c>
      <c r="B955" s="406">
        <v>42417</v>
      </c>
      <c r="C955" s="405" t="s">
        <v>42</v>
      </c>
      <c r="D955" s="401" t="s">
        <v>1481</v>
      </c>
      <c r="E955" s="120">
        <v>250</v>
      </c>
      <c r="F955" s="133" t="s">
        <v>451</v>
      </c>
      <c r="G955" s="404" t="s">
        <v>45</v>
      </c>
      <c r="H955" s="411">
        <v>164.27</v>
      </c>
      <c r="I955" s="89">
        <f t="shared" si="162"/>
        <v>-14.7843</v>
      </c>
      <c r="J955" s="90">
        <f t="shared" si="163"/>
        <v>-3.4211299999999998</v>
      </c>
      <c r="K955" s="90">
        <f t="shared" si="159"/>
        <v>146.06457</v>
      </c>
      <c r="L955" s="131">
        <v>300</v>
      </c>
      <c r="M955" s="187">
        <v>11.27</v>
      </c>
      <c r="N955" s="91">
        <f t="shared" si="157"/>
        <v>86.27</v>
      </c>
      <c r="O955" s="411">
        <f t="shared" si="156"/>
        <v>59.794570000000007</v>
      </c>
      <c r="P955" s="132" t="s">
        <v>86</v>
      </c>
      <c r="Q955" s="232"/>
      <c r="R955" s="411">
        <v>12.17</v>
      </c>
      <c r="S955" s="133" t="s">
        <v>502</v>
      </c>
      <c r="T955" s="134" t="s">
        <v>145</v>
      </c>
      <c r="U955" s="267" t="s">
        <v>2414</v>
      </c>
    </row>
    <row r="956" spans="1:23" ht="24" x14ac:dyDescent="0.25">
      <c r="A956" s="405">
        <v>3000737</v>
      </c>
      <c r="B956" s="406">
        <v>42417</v>
      </c>
      <c r="C956" s="405" t="s">
        <v>42</v>
      </c>
      <c r="D956" s="401" t="s">
        <v>2415</v>
      </c>
      <c r="E956" s="120">
        <v>325</v>
      </c>
      <c r="F956" s="133" t="s">
        <v>2416</v>
      </c>
      <c r="G956" s="404" t="s">
        <v>45</v>
      </c>
      <c r="H956" s="411">
        <v>466.31</v>
      </c>
      <c r="I956" s="89">
        <f t="shared" si="162"/>
        <v>-41.9679</v>
      </c>
      <c r="J956" s="90">
        <f t="shared" si="163"/>
        <v>-9.1598900000000008</v>
      </c>
      <c r="K956" s="90">
        <f t="shared" si="159"/>
        <v>415.18221</v>
      </c>
      <c r="L956" s="131">
        <v>600</v>
      </c>
      <c r="M956" s="187">
        <v>80.84</v>
      </c>
      <c r="N956" s="91">
        <f t="shared" si="157"/>
        <v>275.84000000000003</v>
      </c>
      <c r="O956" s="411">
        <f t="shared" si="156"/>
        <v>139.34220999999997</v>
      </c>
      <c r="P956" s="132" t="s">
        <v>52</v>
      </c>
      <c r="Q956" s="232"/>
      <c r="R956" s="411"/>
      <c r="T956" s="134" t="s">
        <v>145</v>
      </c>
      <c r="U956" s="267" t="s">
        <v>2417</v>
      </c>
    </row>
    <row r="957" spans="1:23" ht="24" x14ac:dyDescent="0.25">
      <c r="A957" s="405">
        <v>3000738</v>
      </c>
      <c r="B957" s="406">
        <v>42417</v>
      </c>
      <c r="C957" s="405" t="s">
        <v>237</v>
      </c>
      <c r="D957" s="401" t="s">
        <v>2418</v>
      </c>
      <c r="E957" s="120">
        <v>100</v>
      </c>
      <c r="F957" s="133" t="s">
        <v>217</v>
      </c>
      <c r="G957" s="404" t="s">
        <v>45</v>
      </c>
      <c r="H957" s="411">
        <v>256</v>
      </c>
      <c r="I957" s="89">
        <f>-(H957*0.15)</f>
        <v>-38.4</v>
      </c>
      <c r="J957" s="411">
        <v>0</v>
      </c>
      <c r="K957" s="90">
        <f t="shared" si="159"/>
        <v>217.6</v>
      </c>
      <c r="L957" s="131">
        <v>1350</v>
      </c>
      <c r="M957" s="187">
        <v>25.4</v>
      </c>
      <c r="N957" s="91">
        <f t="shared" si="157"/>
        <v>160.4</v>
      </c>
      <c r="O957" s="411">
        <f t="shared" si="156"/>
        <v>57.199999999999989</v>
      </c>
      <c r="P957" s="132" t="s">
        <v>52</v>
      </c>
      <c r="Q957" s="232"/>
      <c r="R957" s="411"/>
      <c r="T957" s="134" t="s">
        <v>145</v>
      </c>
      <c r="U957" s="267" t="s">
        <v>2419</v>
      </c>
    </row>
    <row r="958" spans="1:23" x14ac:dyDescent="0.25">
      <c r="A958" s="405">
        <v>3000739</v>
      </c>
      <c r="B958" s="406">
        <v>42417</v>
      </c>
      <c r="C958" s="405" t="s">
        <v>327</v>
      </c>
      <c r="D958" s="401" t="s">
        <v>2420</v>
      </c>
      <c r="E958" s="120">
        <v>1000</v>
      </c>
      <c r="F958" s="133" t="s">
        <v>51</v>
      </c>
      <c r="G958" s="404" t="s">
        <v>45</v>
      </c>
      <c r="H958" s="411">
        <v>1669.99</v>
      </c>
      <c r="I958" s="411">
        <v>0</v>
      </c>
      <c r="J958" s="90">
        <f>-((H958*0.022)+0.3)</f>
        <v>-37.039779999999993</v>
      </c>
      <c r="K958" s="90">
        <f t="shared" si="159"/>
        <v>1632.9502199999999</v>
      </c>
      <c r="L958" s="131">
        <v>1015</v>
      </c>
      <c r="M958" s="131">
        <v>165.89</v>
      </c>
      <c r="N958" s="91">
        <f t="shared" si="157"/>
        <v>1180.8899999999999</v>
      </c>
      <c r="O958" s="411">
        <f t="shared" si="156"/>
        <v>452.06022000000007</v>
      </c>
      <c r="P958" s="132" t="s">
        <v>52</v>
      </c>
      <c r="Q958" s="232"/>
      <c r="R958" s="411"/>
      <c r="T958" s="134" t="s">
        <v>875</v>
      </c>
      <c r="U958" s="267" t="s">
        <v>2421</v>
      </c>
      <c r="V958" s="133" t="s">
        <v>55</v>
      </c>
      <c r="W958" s="153" t="s">
        <v>2422</v>
      </c>
    </row>
    <row r="959" spans="1:23" ht="24" x14ac:dyDescent="0.25">
      <c r="A959" s="405">
        <v>3000740</v>
      </c>
      <c r="B959" s="406">
        <v>42417</v>
      </c>
      <c r="C959" s="405" t="s">
        <v>63</v>
      </c>
      <c r="D959" s="401" t="s">
        <v>2423</v>
      </c>
      <c r="E959" s="120">
        <v>50</v>
      </c>
      <c r="F959" s="133" t="s">
        <v>288</v>
      </c>
      <c r="G959" s="404" t="s">
        <v>45</v>
      </c>
      <c r="H959" s="411">
        <v>115</v>
      </c>
      <c r="I959" s="411">
        <v>0</v>
      </c>
      <c r="J959" s="90">
        <f>-((H959*0.022)+0.3)</f>
        <v>-2.8299999999999996</v>
      </c>
      <c r="K959" s="90">
        <f t="shared" si="159"/>
        <v>112.17</v>
      </c>
      <c r="L959" s="131">
        <v>1069</v>
      </c>
      <c r="M959" s="187">
        <v>20.25</v>
      </c>
      <c r="N959" s="91">
        <f t="shared" si="157"/>
        <v>73.7</v>
      </c>
      <c r="O959" s="411">
        <f t="shared" si="156"/>
        <v>38.47</v>
      </c>
      <c r="P959" s="132" t="s">
        <v>86</v>
      </c>
      <c r="Q959" s="232"/>
      <c r="R959" s="411"/>
      <c r="T959" s="134" t="s">
        <v>145</v>
      </c>
      <c r="U959" s="267" t="s">
        <v>2424</v>
      </c>
      <c r="W959" s="153" t="s">
        <v>2425</v>
      </c>
    </row>
    <row r="960" spans="1:23" x14ac:dyDescent="0.25">
      <c r="A960" s="419">
        <v>3000741</v>
      </c>
      <c r="B960" s="421">
        <v>42417</v>
      </c>
      <c r="C960" s="419" t="s">
        <v>63</v>
      </c>
      <c r="D960" s="417" t="s">
        <v>2426</v>
      </c>
      <c r="E960" s="120">
        <v>615</v>
      </c>
      <c r="F960" s="133" t="s">
        <v>2427</v>
      </c>
      <c r="G960" s="434" t="s">
        <v>45</v>
      </c>
      <c r="H960" s="427">
        <v>1322</v>
      </c>
      <c r="I960" s="427">
        <v>0</v>
      </c>
      <c r="J960" s="425">
        <f>-((H960*0.022)+0.3)</f>
        <v>-29.384</v>
      </c>
      <c r="K960" s="425">
        <f t="shared" si="159"/>
        <v>1292.616</v>
      </c>
      <c r="L960" s="131">
        <v>678</v>
      </c>
      <c r="N960" s="91">
        <f t="shared" si="157"/>
        <v>416.96999999999997</v>
      </c>
      <c r="O960" s="411">
        <f t="shared" si="156"/>
        <v>875.64599999999996</v>
      </c>
      <c r="P960" s="132" t="s">
        <v>183</v>
      </c>
      <c r="Q960" s="232"/>
      <c r="R960" s="411"/>
      <c r="T960" s="134" t="s">
        <v>565</v>
      </c>
      <c r="U960" s="267" t="s">
        <v>2428</v>
      </c>
      <c r="V960" s="133" t="s">
        <v>2429</v>
      </c>
      <c r="W960" s="153" t="s">
        <v>2430</v>
      </c>
    </row>
    <row r="961" spans="1:23" ht="24" x14ac:dyDescent="0.25">
      <c r="A961" s="432"/>
      <c r="B961" s="433"/>
      <c r="C961" s="432"/>
      <c r="D961" s="454"/>
      <c r="E961" s="120">
        <v>185</v>
      </c>
      <c r="F961" s="133" t="s">
        <v>2431</v>
      </c>
      <c r="G961" s="435"/>
      <c r="H961" s="438"/>
      <c r="I961" s="438"/>
      <c r="J961" s="437"/>
      <c r="K961" s="437"/>
      <c r="L961" s="131">
        <v>100</v>
      </c>
      <c r="N961" s="91">
        <f t="shared" si="157"/>
        <v>18.5</v>
      </c>
      <c r="O961" s="411">
        <f t="shared" si="156"/>
        <v>-18.5</v>
      </c>
      <c r="P961" s="132" t="s">
        <v>52</v>
      </c>
      <c r="Q961" s="232"/>
      <c r="R961" s="411"/>
      <c r="T961" s="134" t="s">
        <v>145</v>
      </c>
      <c r="U961" s="267" t="s">
        <v>2432</v>
      </c>
    </row>
    <row r="962" spans="1:23" x14ac:dyDescent="0.25">
      <c r="A962" s="432"/>
      <c r="B962" s="433"/>
      <c r="C962" s="432"/>
      <c r="D962" s="454"/>
      <c r="E962" s="120">
        <v>700</v>
      </c>
      <c r="F962" s="133" t="s">
        <v>2433</v>
      </c>
      <c r="G962" s="435"/>
      <c r="H962" s="438"/>
      <c r="I962" s="438"/>
      <c r="J962" s="437"/>
      <c r="K962" s="437"/>
      <c r="L962" s="131">
        <v>282</v>
      </c>
      <c r="N962" s="91">
        <f t="shared" si="157"/>
        <v>197.4</v>
      </c>
      <c r="O962" s="411">
        <f t="shared" si="156"/>
        <v>-197.4</v>
      </c>
      <c r="P962" s="132" t="s">
        <v>183</v>
      </c>
      <c r="Q962" s="232"/>
      <c r="R962" s="411"/>
      <c r="T962" s="134" t="s">
        <v>565</v>
      </c>
      <c r="U962" s="267" t="s">
        <v>2428</v>
      </c>
      <c r="V962" s="133" t="s">
        <v>2429</v>
      </c>
    </row>
    <row r="963" spans="1:23" ht="24" x14ac:dyDescent="0.25">
      <c r="A963" s="432"/>
      <c r="B963" s="433"/>
      <c r="C963" s="432"/>
      <c r="D963" s="454"/>
      <c r="E963" s="120">
        <v>185</v>
      </c>
      <c r="F963" s="133" t="s">
        <v>2434</v>
      </c>
      <c r="G963" s="435"/>
      <c r="H963" s="438"/>
      <c r="I963" s="438"/>
      <c r="J963" s="437"/>
      <c r="K963" s="437"/>
      <c r="L963" s="131">
        <v>50</v>
      </c>
      <c r="M963" s="187">
        <v>34.44</v>
      </c>
      <c r="N963" s="91">
        <f t="shared" si="157"/>
        <v>43.69</v>
      </c>
      <c r="O963" s="411">
        <f t="shared" si="156"/>
        <v>-43.69</v>
      </c>
      <c r="P963" s="132" t="s">
        <v>52</v>
      </c>
      <c r="Q963" s="232"/>
      <c r="R963" s="411"/>
      <c r="T963" s="134" t="s">
        <v>145</v>
      </c>
      <c r="U963" s="267" t="s">
        <v>2432</v>
      </c>
    </row>
    <row r="964" spans="1:23" x14ac:dyDescent="0.25">
      <c r="A964" s="420"/>
      <c r="B964" s="422"/>
      <c r="C964" s="420"/>
      <c r="D964" s="418"/>
      <c r="E964" s="120">
        <v>200</v>
      </c>
      <c r="F964" s="133" t="s">
        <v>2435</v>
      </c>
      <c r="G964" s="436"/>
      <c r="H964" s="428"/>
      <c r="I964" s="438"/>
      <c r="J964" s="426"/>
      <c r="K964" s="426"/>
      <c r="L964" s="187">
        <v>1184.46</v>
      </c>
      <c r="M964" s="187">
        <v>90.47</v>
      </c>
      <c r="N964" s="91">
        <f t="shared" si="157"/>
        <v>327.36200000000002</v>
      </c>
      <c r="O964" s="411">
        <f t="shared" si="156"/>
        <v>-327.36200000000002</v>
      </c>
      <c r="P964" s="132" t="s">
        <v>76</v>
      </c>
      <c r="Q964" s="232"/>
      <c r="R964" s="411"/>
      <c r="T964" s="134" t="s">
        <v>755</v>
      </c>
      <c r="U964" s="266"/>
      <c r="V964" s="133" t="s">
        <v>2436</v>
      </c>
    </row>
    <row r="965" spans="1:23" ht="24" x14ac:dyDescent="0.25">
      <c r="A965" s="405">
        <v>3000742</v>
      </c>
      <c r="B965" s="406">
        <v>42417</v>
      </c>
      <c r="C965" s="405" t="s">
        <v>56</v>
      </c>
      <c r="D965" s="401" t="s">
        <v>2437</v>
      </c>
      <c r="E965" s="120">
        <v>300</v>
      </c>
      <c r="F965" s="133" t="s">
        <v>1293</v>
      </c>
      <c r="G965" s="404" t="s">
        <v>45</v>
      </c>
      <c r="H965" s="411">
        <v>270</v>
      </c>
      <c r="I965" s="400">
        <v>0</v>
      </c>
      <c r="J965" s="411">
        <v>0</v>
      </c>
      <c r="K965" s="90">
        <f t="shared" ref="K965:K1014" si="164">SUM(H965:J965)</f>
        <v>270</v>
      </c>
      <c r="L965" s="131">
        <v>513</v>
      </c>
      <c r="M965" s="187">
        <v>34.19</v>
      </c>
      <c r="N965" s="91">
        <f t="shared" si="157"/>
        <v>188.09</v>
      </c>
      <c r="O965" s="411">
        <f t="shared" si="156"/>
        <v>81.91</v>
      </c>
      <c r="P965" s="132" t="s">
        <v>52</v>
      </c>
      <c r="Q965" s="232"/>
      <c r="R965" s="411"/>
      <c r="T965" s="172" t="s">
        <v>145</v>
      </c>
      <c r="U965" s="304" t="s">
        <v>2438</v>
      </c>
      <c r="V965" s="133" t="s">
        <v>2439</v>
      </c>
      <c r="W965" s="153" t="s">
        <v>2440</v>
      </c>
    </row>
    <row r="966" spans="1:23" ht="24" customHeight="1" x14ac:dyDescent="0.25">
      <c r="A966" s="419">
        <v>3000743</v>
      </c>
      <c r="B966" s="421">
        <v>42417</v>
      </c>
      <c r="C966" s="419" t="s">
        <v>78</v>
      </c>
      <c r="D966" s="417" t="s">
        <v>2441</v>
      </c>
      <c r="E966" s="120">
        <v>500</v>
      </c>
      <c r="F966" s="133" t="s">
        <v>877</v>
      </c>
      <c r="G966" s="434" t="s">
        <v>45</v>
      </c>
      <c r="H966" s="427">
        <v>379</v>
      </c>
      <c r="I966" s="427">
        <v>0</v>
      </c>
      <c r="J966" s="425">
        <f>-((H966*0.019)+0.3)</f>
        <v>-7.5009999999999994</v>
      </c>
      <c r="K966" s="425">
        <f t="shared" si="164"/>
        <v>371.49900000000002</v>
      </c>
      <c r="L966" s="131">
        <v>235</v>
      </c>
      <c r="M966" s="187">
        <v>57.72</v>
      </c>
      <c r="N966" s="91">
        <f t="shared" si="157"/>
        <v>175.22</v>
      </c>
      <c r="O966" s="411">
        <f t="shared" si="156"/>
        <v>196.27900000000002</v>
      </c>
      <c r="P966" s="132" t="s">
        <v>52</v>
      </c>
      <c r="Q966" s="232"/>
      <c r="R966" s="411"/>
      <c r="T966" s="470" t="s">
        <v>145</v>
      </c>
      <c r="U966" s="267" t="s">
        <v>2442</v>
      </c>
      <c r="W966" s="153" t="s">
        <v>2443</v>
      </c>
    </row>
    <row r="967" spans="1:23" x14ac:dyDescent="0.25">
      <c r="A967" s="420"/>
      <c r="B967" s="422"/>
      <c r="C967" s="420"/>
      <c r="D967" s="418"/>
      <c r="E967" s="120">
        <v>125</v>
      </c>
      <c r="F967" s="133" t="s">
        <v>227</v>
      </c>
      <c r="G967" s="436"/>
      <c r="H967" s="428"/>
      <c r="I967" s="428"/>
      <c r="J967" s="426"/>
      <c r="K967" s="426"/>
      <c r="L967" s="131">
        <v>350</v>
      </c>
      <c r="M967" s="187">
        <v>34.200000000000003</v>
      </c>
      <c r="N967" s="91">
        <f t="shared" si="157"/>
        <v>77.95</v>
      </c>
      <c r="O967" s="411">
        <f t="shared" si="156"/>
        <v>-77.95</v>
      </c>
      <c r="P967" s="132" t="s">
        <v>52</v>
      </c>
      <c r="Q967" s="232"/>
      <c r="R967" s="411"/>
      <c r="T967" s="472"/>
      <c r="U967" s="267" t="s">
        <v>2444</v>
      </c>
    </row>
    <row r="968" spans="1:23" ht="24" x14ac:dyDescent="0.25">
      <c r="A968" s="405">
        <v>3000744</v>
      </c>
      <c r="B968" s="406">
        <v>42417</v>
      </c>
      <c r="C968" s="405" t="s">
        <v>42</v>
      </c>
      <c r="D968" s="401" t="s">
        <v>2445</v>
      </c>
      <c r="E968" s="120">
        <v>100</v>
      </c>
      <c r="F968" s="133" t="s">
        <v>217</v>
      </c>
      <c r="G968" s="404" t="s">
        <v>45</v>
      </c>
      <c r="H968" s="411">
        <v>235</v>
      </c>
      <c r="I968" s="89">
        <f t="shared" ref="I968" si="165">-(H968*0.09)</f>
        <v>-21.15</v>
      </c>
      <c r="J968" s="90">
        <f>-((H968*0.019)+0.3)</f>
        <v>-4.7649999999999997</v>
      </c>
      <c r="K968" s="90">
        <f t="shared" si="164"/>
        <v>209.08500000000001</v>
      </c>
      <c r="L968" s="131">
        <v>1350</v>
      </c>
      <c r="M968" s="187">
        <v>40.729999999999997</v>
      </c>
      <c r="N968" s="91">
        <f t="shared" si="157"/>
        <v>175.73</v>
      </c>
      <c r="O968" s="411">
        <f t="shared" si="156"/>
        <v>33.355000000000018</v>
      </c>
      <c r="P968" s="132" t="s">
        <v>86</v>
      </c>
      <c r="Q968" s="232"/>
      <c r="R968" s="411"/>
      <c r="T968" s="134" t="s">
        <v>145</v>
      </c>
      <c r="U968" s="267" t="s">
        <v>2446</v>
      </c>
    </row>
    <row r="969" spans="1:23" x14ac:dyDescent="0.25">
      <c r="A969" s="419">
        <v>3000745</v>
      </c>
      <c r="B969" s="421">
        <v>42417</v>
      </c>
      <c r="C969" s="419" t="s">
        <v>141</v>
      </c>
      <c r="D969" s="417" t="s">
        <v>2447</v>
      </c>
      <c r="E969" s="120">
        <v>60</v>
      </c>
      <c r="F969" s="133" t="s">
        <v>2448</v>
      </c>
      <c r="G969" s="434" t="s">
        <v>45</v>
      </c>
      <c r="H969" s="427">
        <v>863.26</v>
      </c>
      <c r="I969" s="427">
        <v>0</v>
      </c>
      <c r="J969" s="425">
        <f>-((H969*0.0325)+0.3)</f>
        <v>-28.35595</v>
      </c>
      <c r="K969" s="425">
        <f t="shared" si="164"/>
        <v>834.90404999999998</v>
      </c>
      <c r="L969" s="158">
        <v>8900</v>
      </c>
      <c r="N969" s="91">
        <f t="shared" si="157"/>
        <v>534</v>
      </c>
      <c r="O969" s="411">
        <f t="shared" ref="O969:O1032" si="166">K969-N969</f>
        <v>300.90404999999998</v>
      </c>
      <c r="P969" s="132" t="s">
        <v>1063</v>
      </c>
      <c r="Q969" s="232"/>
      <c r="R969" s="411"/>
      <c r="T969" s="439" t="s">
        <v>314</v>
      </c>
      <c r="U969" s="446" t="s">
        <v>2449</v>
      </c>
      <c r="W969" s="153" t="s">
        <v>2450</v>
      </c>
    </row>
    <row r="970" spans="1:23" x14ac:dyDescent="0.25">
      <c r="A970" s="420"/>
      <c r="B970" s="422"/>
      <c r="C970" s="420"/>
      <c r="D970" s="418"/>
      <c r="E970" s="120">
        <v>2</v>
      </c>
      <c r="F970" s="133" t="s">
        <v>2451</v>
      </c>
      <c r="G970" s="436"/>
      <c r="H970" s="428"/>
      <c r="I970" s="428"/>
      <c r="J970" s="426"/>
      <c r="K970" s="426"/>
      <c r="L970" s="158">
        <v>33640</v>
      </c>
      <c r="N970" s="91">
        <f t="shared" si="157"/>
        <v>67.28</v>
      </c>
      <c r="O970" s="411">
        <f t="shared" si="166"/>
        <v>-67.28</v>
      </c>
      <c r="P970" s="132" t="s">
        <v>1063</v>
      </c>
      <c r="Q970" s="232"/>
      <c r="R970" s="411"/>
      <c r="T970" s="441"/>
      <c r="U970" s="447"/>
    </row>
    <row r="971" spans="1:23" x14ac:dyDescent="0.25">
      <c r="A971" s="405">
        <v>3000746</v>
      </c>
      <c r="B971" s="406">
        <v>42418</v>
      </c>
      <c r="C971" s="405" t="s">
        <v>78</v>
      </c>
      <c r="D971" s="401" t="s">
        <v>269</v>
      </c>
      <c r="E971" s="120">
        <v>1000</v>
      </c>
      <c r="F971" s="133" t="s">
        <v>207</v>
      </c>
      <c r="G971" s="404" t="s">
        <v>45</v>
      </c>
      <c r="H971" s="411">
        <v>1001</v>
      </c>
      <c r="I971" s="411">
        <v>0</v>
      </c>
      <c r="J971" s="90">
        <f>-((H971*0.019)+0.3)</f>
        <v>-19.318999999999999</v>
      </c>
      <c r="K971" s="90">
        <f t="shared" si="164"/>
        <v>981.68100000000004</v>
      </c>
      <c r="L971" s="131">
        <v>570</v>
      </c>
      <c r="N971" s="91">
        <f t="shared" si="157"/>
        <v>570</v>
      </c>
      <c r="O971" s="411">
        <f t="shared" si="166"/>
        <v>411.68100000000004</v>
      </c>
      <c r="P971" s="132" t="s">
        <v>86</v>
      </c>
      <c r="Q971" s="232"/>
      <c r="R971" s="411"/>
      <c r="T971" s="134" t="s">
        <v>717</v>
      </c>
      <c r="U971" s="267" t="s">
        <v>2452</v>
      </c>
    </row>
    <row r="972" spans="1:23" x14ac:dyDescent="0.25">
      <c r="A972" s="405">
        <v>3000747</v>
      </c>
      <c r="B972" s="406">
        <v>42418</v>
      </c>
      <c r="C972" s="405" t="s">
        <v>327</v>
      </c>
      <c r="D972" s="401" t="s">
        <v>1192</v>
      </c>
      <c r="E972" s="120">
        <v>2000</v>
      </c>
      <c r="F972" s="133" t="s">
        <v>2453</v>
      </c>
      <c r="G972" s="404" t="s">
        <v>45</v>
      </c>
      <c r="H972" s="411">
        <v>3140</v>
      </c>
      <c r="I972" s="411">
        <v>0</v>
      </c>
      <c r="J972" s="90">
        <f>-((H972*0.022)+0.3)</f>
        <v>-69.38</v>
      </c>
      <c r="K972" s="90">
        <f t="shared" si="164"/>
        <v>3070.62</v>
      </c>
      <c r="L972" s="158">
        <v>1155</v>
      </c>
      <c r="M972" s="158">
        <v>116.05</v>
      </c>
      <c r="N972" s="91">
        <f t="shared" ref="N972:N1035" si="167">((L972)*(E972*0.001))+M972</f>
        <v>2426.0500000000002</v>
      </c>
      <c r="O972" s="411">
        <f t="shared" si="166"/>
        <v>644.56999999999971</v>
      </c>
      <c r="P972" s="132" t="s">
        <v>643</v>
      </c>
      <c r="Q972" s="232"/>
      <c r="R972" s="411"/>
      <c r="T972" s="134" t="s">
        <v>1411</v>
      </c>
      <c r="U972" s="267" t="s">
        <v>2454</v>
      </c>
      <c r="V972" s="133" t="s">
        <v>55</v>
      </c>
      <c r="W972" s="153" t="s">
        <v>2090</v>
      </c>
    </row>
    <row r="973" spans="1:23" ht="24" customHeight="1" x14ac:dyDescent="0.25">
      <c r="A973" s="419">
        <v>3000748</v>
      </c>
      <c r="B973" s="421">
        <v>42418</v>
      </c>
      <c r="C973" s="419" t="s">
        <v>141</v>
      </c>
      <c r="D973" s="417" t="s">
        <v>2334</v>
      </c>
      <c r="E973" s="120">
        <v>300</v>
      </c>
      <c r="F973" s="133" t="s">
        <v>1293</v>
      </c>
      <c r="G973" s="434" t="s">
        <v>45</v>
      </c>
      <c r="H973" s="427">
        <v>460</v>
      </c>
      <c r="I973" s="427">
        <v>0</v>
      </c>
      <c r="J973" s="425">
        <f>-((H973*0.0325)+0.3)</f>
        <v>-15.250000000000002</v>
      </c>
      <c r="K973" s="425">
        <f t="shared" si="164"/>
        <v>444.75</v>
      </c>
      <c r="L973" s="131">
        <v>513</v>
      </c>
      <c r="M973" s="187">
        <v>51.55</v>
      </c>
      <c r="N973" s="91">
        <f t="shared" si="167"/>
        <v>205.45</v>
      </c>
      <c r="O973" s="411">
        <f t="shared" si="166"/>
        <v>239.3</v>
      </c>
      <c r="P973" s="132" t="s">
        <v>52</v>
      </c>
      <c r="Q973" s="232"/>
      <c r="R973" s="411"/>
      <c r="T973" s="470" t="s">
        <v>145</v>
      </c>
      <c r="U973" s="267" t="s">
        <v>2455</v>
      </c>
      <c r="W973" s="153" t="s">
        <v>2338</v>
      </c>
    </row>
    <row r="974" spans="1:23" x14ac:dyDescent="0.25">
      <c r="A974" s="420"/>
      <c r="B974" s="422"/>
      <c r="C974" s="420"/>
      <c r="D974" s="418"/>
      <c r="E974" s="120">
        <v>250</v>
      </c>
      <c r="F974" s="133" t="s">
        <v>323</v>
      </c>
      <c r="G974" s="436"/>
      <c r="H974" s="428"/>
      <c r="I974" s="428"/>
      <c r="J974" s="426"/>
      <c r="K974" s="426"/>
      <c r="L974" s="131">
        <v>480</v>
      </c>
      <c r="M974" s="187">
        <v>43.25</v>
      </c>
      <c r="N974" s="91">
        <f t="shared" si="167"/>
        <v>163.25</v>
      </c>
      <c r="O974" s="411">
        <f t="shared" si="166"/>
        <v>-163.25</v>
      </c>
      <c r="P974" s="132" t="s">
        <v>52</v>
      </c>
      <c r="Q974" s="232"/>
      <c r="R974" s="411"/>
      <c r="T974" s="472"/>
      <c r="U974" s="267" t="s">
        <v>2456</v>
      </c>
    </row>
    <row r="975" spans="1:23" ht="24" x14ac:dyDescent="0.25">
      <c r="A975" s="405">
        <v>3000749</v>
      </c>
      <c r="B975" s="406">
        <v>42418</v>
      </c>
      <c r="C975" s="405" t="s">
        <v>56</v>
      </c>
      <c r="D975" s="401" t="s">
        <v>2457</v>
      </c>
      <c r="E975" s="120">
        <v>1000</v>
      </c>
      <c r="F975" s="133" t="s">
        <v>1137</v>
      </c>
      <c r="G975" s="404" t="s">
        <v>45</v>
      </c>
      <c r="H975" s="411">
        <v>510</v>
      </c>
      <c r="I975" s="411">
        <v>0</v>
      </c>
      <c r="J975" s="411">
        <v>0</v>
      </c>
      <c r="K975" s="90">
        <f t="shared" si="164"/>
        <v>510</v>
      </c>
      <c r="L975" s="158">
        <v>246.39</v>
      </c>
      <c r="M975" s="158">
        <v>65.39</v>
      </c>
      <c r="N975" s="91">
        <f t="shared" si="167"/>
        <v>311.77999999999997</v>
      </c>
      <c r="O975" s="411">
        <f t="shared" si="166"/>
        <v>198.22000000000003</v>
      </c>
      <c r="P975" s="132" t="s">
        <v>46</v>
      </c>
      <c r="Q975" s="232"/>
      <c r="R975" s="411"/>
      <c r="T975" s="134" t="s">
        <v>324</v>
      </c>
      <c r="U975" s="267" t="s">
        <v>2458</v>
      </c>
      <c r="V975" s="133" t="s">
        <v>2459</v>
      </c>
      <c r="W975" s="153" t="s">
        <v>2460</v>
      </c>
    </row>
    <row r="976" spans="1:23" ht="24" x14ac:dyDescent="0.25">
      <c r="A976" s="405">
        <v>3000750</v>
      </c>
      <c r="B976" s="406">
        <v>42418</v>
      </c>
      <c r="C976" s="405" t="s">
        <v>42</v>
      </c>
      <c r="D976" s="401" t="s">
        <v>2461</v>
      </c>
      <c r="E976" s="120">
        <v>200</v>
      </c>
      <c r="F976" s="133" t="s">
        <v>217</v>
      </c>
      <c r="G976" s="404" t="s">
        <v>45</v>
      </c>
      <c r="H976" s="411">
        <v>427.02</v>
      </c>
      <c r="I976" s="89">
        <f t="shared" ref="I976:I985" si="168">-(H976*0.09)</f>
        <v>-38.431799999999996</v>
      </c>
      <c r="J976" s="90">
        <f t="shared" ref="J976:J985" si="169">-((H976*0.019)+0.3)</f>
        <v>-8.4133800000000001</v>
      </c>
      <c r="K976" s="90">
        <f t="shared" si="164"/>
        <v>380.17481999999995</v>
      </c>
      <c r="L976" s="131">
        <v>1350</v>
      </c>
      <c r="M976" s="187">
        <v>53.88</v>
      </c>
      <c r="N976" s="91">
        <f t="shared" si="167"/>
        <v>323.88</v>
      </c>
      <c r="O976" s="411">
        <f t="shared" si="166"/>
        <v>56.294819999999959</v>
      </c>
      <c r="P976" s="132" t="s">
        <v>52</v>
      </c>
      <c r="Q976" s="232"/>
      <c r="R976" s="411"/>
      <c r="T976" s="134" t="s">
        <v>145</v>
      </c>
      <c r="U976" s="267" t="s">
        <v>2462</v>
      </c>
    </row>
    <row r="977" spans="1:23" ht="24" x14ac:dyDescent="0.25">
      <c r="A977" s="405">
        <v>3000751</v>
      </c>
      <c r="B977" s="406">
        <v>42418</v>
      </c>
      <c r="C977" s="405" t="s">
        <v>42</v>
      </c>
      <c r="D977" s="401" t="s">
        <v>2463</v>
      </c>
      <c r="E977" s="120">
        <v>225</v>
      </c>
      <c r="F977" s="133" t="s">
        <v>247</v>
      </c>
      <c r="G977" s="404" t="s">
        <v>45</v>
      </c>
      <c r="H977" s="411">
        <v>273.12</v>
      </c>
      <c r="I977" s="89">
        <f t="shared" si="168"/>
        <v>-24.5808</v>
      </c>
      <c r="J977" s="90">
        <f t="shared" si="169"/>
        <v>-5.4892799999999999</v>
      </c>
      <c r="K977" s="90">
        <f t="shared" si="164"/>
        <v>243.04991999999999</v>
      </c>
      <c r="L977" s="131">
        <v>480</v>
      </c>
      <c r="M977" s="187">
        <v>65.72</v>
      </c>
      <c r="N977" s="91">
        <f t="shared" si="167"/>
        <v>173.72</v>
      </c>
      <c r="O977" s="411">
        <f t="shared" si="166"/>
        <v>69.329919999999987</v>
      </c>
      <c r="P977" s="132" t="s">
        <v>86</v>
      </c>
      <c r="Q977" s="232"/>
      <c r="R977" s="411"/>
      <c r="T977" s="134" t="s">
        <v>145</v>
      </c>
      <c r="U977" s="267" t="s">
        <v>2464</v>
      </c>
    </row>
    <row r="978" spans="1:23" ht="24" x14ac:dyDescent="0.25">
      <c r="A978" s="405">
        <v>3000752</v>
      </c>
      <c r="B978" s="406">
        <v>42418</v>
      </c>
      <c r="C978" s="405" t="s">
        <v>42</v>
      </c>
      <c r="D978" s="401" t="s">
        <v>2465</v>
      </c>
      <c r="E978" s="120">
        <v>100</v>
      </c>
      <c r="F978" s="133" t="s">
        <v>1547</v>
      </c>
      <c r="G978" s="404" t="s">
        <v>45</v>
      </c>
      <c r="H978" s="411">
        <v>105.42</v>
      </c>
      <c r="I978" s="89">
        <f t="shared" si="168"/>
        <v>-9.4878</v>
      </c>
      <c r="J978" s="90">
        <f t="shared" si="169"/>
        <v>-2.3029799999999998</v>
      </c>
      <c r="K978" s="90">
        <f t="shared" si="164"/>
        <v>93.629219999999989</v>
      </c>
      <c r="L978" s="131">
        <v>385</v>
      </c>
      <c r="M978" s="187">
        <v>32.54</v>
      </c>
      <c r="N978" s="91">
        <f t="shared" si="167"/>
        <v>71.039999999999992</v>
      </c>
      <c r="O978" s="411">
        <f t="shared" si="166"/>
        <v>22.589219999999997</v>
      </c>
      <c r="P978" s="132" t="s">
        <v>52</v>
      </c>
      <c r="Q978" s="232"/>
      <c r="R978" s="411"/>
      <c r="T978" s="134" t="s">
        <v>145</v>
      </c>
      <c r="U978" s="267" t="s">
        <v>2466</v>
      </c>
    </row>
    <row r="979" spans="1:23" ht="24" x14ac:dyDescent="0.25">
      <c r="A979" s="405">
        <v>3000753</v>
      </c>
      <c r="B979" s="406">
        <v>42418</v>
      </c>
      <c r="C979" s="405" t="s">
        <v>42</v>
      </c>
      <c r="D979" s="401" t="s">
        <v>2467</v>
      </c>
      <c r="E979" s="120">
        <v>1000</v>
      </c>
      <c r="F979" s="133" t="s">
        <v>2468</v>
      </c>
      <c r="G979" s="404" t="s">
        <v>45</v>
      </c>
      <c r="H979" s="411">
        <v>218.5</v>
      </c>
      <c r="I979" s="89">
        <f t="shared" si="168"/>
        <v>-19.664999999999999</v>
      </c>
      <c r="J979" s="90">
        <f t="shared" si="169"/>
        <v>-4.4514999999999993</v>
      </c>
      <c r="K979" s="90">
        <f t="shared" si="164"/>
        <v>194.3835</v>
      </c>
      <c r="L979" s="187">
        <v>100</v>
      </c>
      <c r="M979" s="187">
        <v>31.2</v>
      </c>
      <c r="N979" s="91">
        <f t="shared" si="167"/>
        <v>131.19999999999999</v>
      </c>
      <c r="O979" s="411">
        <f t="shared" si="166"/>
        <v>63.183500000000009</v>
      </c>
      <c r="P979" s="132" t="s">
        <v>235</v>
      </c>
      <c r="Q979" s="232"/>
      <c r="R979" s="411"/>
      <c r="T979" s="134" t="s">
        <v>145</v>
      </c>
      <c r="U979" s="267" t="s">
        <v>2469</v>
      </c>
    </row>
    <row r="980" spans="1:23" x14ac:dyDescent="0.25">
      <c r="A980" s="405">
        <v>3000754</v>
      </c>
      <c r="B980" s="406">
        <v>42418</v>
      </c>
      <c r="C980" s="405" t="s">
        <v>42</v>
      </c>
      <c r="D980" s="401" t="s">
        <v>2470</v>
      </c>
      <c r="E980" s="120">
        <v>1250</v>
      </c>
      <c r="F980" s="133" t="s">
        <v>2471</v>
      </c>
      <c r="G980" s="404" t="s">
        <v>45</v>
      </c>
      <c r="H980" s="411">
        <v>730.65</v>
      </c>
      <c r="I980" s="89">
        <f t="shared" si="168"/>
        <v>-65.758499999999998</v>
      </c>
      <c r="J980" s="90">
        <f t="shared" si="169"/>
        <v>-14.18235</v>
      </c>
      <c r="K980" s="90">
        <f t="shared" si="164"/>
        <v>650.70914999999991</v>
      </c>
      <c r="L980" s="131">
        <v>300</v>
      </c>
      <c r="M980" s="187">
        <v>85.25</v>
      </c>
      <c r="N980" s="91">
        <f t="shared" si="167"/>
        <v>460.25</v>
      </c>
      <c r="O980" s="411">
        <f t="shared" si="166"/>
        <v>190.45914999999991</v>
      </c>
      <c r="P980" s="132" t="s">
        <v>52</v>
      </c>
      <c r="Q980" s="232"/>
      <c r="R980" s="411"/>
      <c r="T980" s="134" t="s">
        <v>1327</v>
      </c>
      <c r="U980" s="267" t="s">
        <v>2472</v>
      </c>
      <c r="V980" s="133" t="s">
        <v>55</v>
      </c>
    </row>
    <row r="981" spans="1:23" ht="24" x14ac:dyDescent="0.25">
      <c r="A981" s="405">
        <v>3000755</v>
      </c>
      <c r="B981" s="406">
        <v>42418</v>
      </c>
      <c r="C981" s="405" t="s">
        <v>42</v>
      </c>
      <c r="D981" s="401" t="s">
        <v>2473</v>
      </c>
      <c r="E981" s="120">
        <v>200</v>
      </c>
      <c r="F981" s="133" t="s">
        <v>877</v>
      </c>
      <c r="G981" s="404" t="s">
        <v>45</v>
      </c>
      <c r="H981" s="411">
        <v>130.62</v>
      </c>
      <c r="I981" s="89">
        <f t="shared" si="168"/>
        <v>-11.755800000000001</v>
      </c>
      <c r="J981" s="90">
        <f t="shared" si="169"/>
        <v>-2.7817799999999999</v>
      </c>
      <c r="K981" s="90">
        <f t="shared" si="164"/>
        <v>116.08242000000001</v>
      </c>
      <c r="L981" s="131">
        <v>235</v>
      </c>
      <c r="M981" s="187">
        <v>43.23</v>
      </c>
      <c r="N981" s="91">
        <f t="shared" si="167"/>
        <v>90.22999999999999</v>
      </c>
      <c r="O981" s="411">
        <f t="shared" si="166"/>
        <v>25.852420000000023</v>
      </c>
      <c r="P981" s="132" t="s">
        <v>52</v>
      </c>
      <c r="Q981" s="232"/>
      <c r="R981" s="411"/>
      <c r="T981" s="134" t="s">
        <v>145</v>
      </c>
      <c r="U981" s="267" t="s">
        <v>2474</v>
      </c>
    </row>
    <row r="982" spans="1:23" ht="24" x14ac:dyDescent="0.25">
      <c r="A982" s="405">
        <v>3000756</v>
      </c>
      <c r="B982" s="406">
        <v>42418</v>
      </c>
      <c r="C982" s="405" t="s">
        <v>42</v>
      </c>
      <c r="D982" s="401" t="s">
        <v>2475</v>
      </c>
      <c r="E982" s="120">
        <v>100</v>
      </c>
      <c r="F982" s="133" t="s">
        <v>582</v>
      </c>
      <c r="G982" s="404" t="s">
        <v>45</v>
      </c>
      <c r="H982" s="411">
        <v>109.3</v>
      </c>
      <c r="I982" s="89">
        <f t="shared" si="168"/>
        <v>-9.8369999999999997</v>
      </c>
      <c r="J982" s="90">
        <f t="shared" si="169"/>
        <v>-2.3766999999999996</v>
      </c>
      <c r="K982" s="90">
        <f t="shared" si="164"/>
        <v>97.086299999999994</v>
      </c>
      <c r="M982" s="187">
        <v>17.46</v>
      </c>
      <c r="N982" s="91">
        <f t="shared" si="167"/>
        <v>17.46</v>
      </c>
      <c r="O982" s="411">
        <f t="shared" si="166"/>
        <v>79.626299999999986</v>
      </c>
      <c r="P982" s="132" t="s">
        <v>52</v>
      </c>
      <c r="Q982" s="232"/>
      <c r="R982" s="411"/>
      <c r="T982" s="134" t="s">
        <v>145</v>
      </c>
      <c r="U982" s="267" t="s">
        <v>2476</v>
      </c>
    </row>
    <row r="983" spans="1:23" ht="24" x14ac:dyDescent="0.25">
      <c r="A983" s="405">
        <v>3000757</v>
      </c>
      <c r="B983" s="406">
        <v>42418</v>
      </c>
      <c r="C983" s="405" t="s">
        <v>42</v>
      </c>
      <c r="D983" s="160" t="s">
        <v>2477</v>
      </c>
      <c r="E983" s="120">
        <v>1000</v>
      </c>
      <c r="F983" s="133" t="s">
        <v>2478</v>
      </c>
      <c r="G983" s="404" t="s">
        <v>45</v>
      </c>
      <c r="H983" s="411">
        <v>433.2</v>
      </c>
      <c r="I983" s="89">
        <f t="shared" si="168"/>
        <v>-38.988</v>
      </c>
      <c r="J983" s="90">
        <f t="shared" si="169"/>
        <v>-8.530800000000001</v>
      </c>
      <c r="K983" s="90">
        <f t="shared" si="164"/>
        <v>385.68119999999999</v>
      </c>
      <c r="L983" s="187">
        <v>246.39</v>
      </c>
      <c r="M983" s="187">
        <v>28.12</v>
      </c>
      <c r="N983" s="91">
        <f t="shared" si="167"/>
        <v>274.51</v>
      </c>
      <c r="O983" s="411">
        <f t="shared" si="166"/>
        <v>111.1712</v>
      </c>
      <c r="P983" s="132" t="s">
        <v>46</v>
      </c>
      <c r="Q983" s="232"/>
      <c r="R983" s="411"/>
      <c r="T983" s="134" t="s">
        <v>324</v>
      </c>
      <c r="U983" s="267" t="s">
        <v>2479</v>
      </c>
    </row>
    <row r="984" spans="1:23" ht="24" x14ac:dyDescent="0.25">
      <c r="A984" s="405">
        <v>3000758</v>
      </c>
      <c r="B984" s="406">
        <v>42418</v>
      </c>
      <c r="C984" s="405" t="s">
        <v>42</v>
      </c>
      <c r="D984" s="401" t="s">
        <v>2480</v>
      </c>
      <c r="E984" s="120">
        <v>175</v>
      </c>
      <c r="F984" s="133" t="s">
        <v>165</v>
      </c>
      <c r="G984" s="404" t="s">
        <v>45</v>
      </c>
      <c r="H984" s="411">
        <v>175.62</v>
      </c>
      <c r="I984" s="89">
        <f t="shared" si="168"/>
        <v>-15.8058</v>
      </c>
      <c r="J984" s="90">
        <f t="shared" si="169"/>
        <v>-3.6367799999999999</v>
      </c>
      <c r="K984" s="90">
        <f t="shared" si="164"/>
        <v>156.17742000000001</v>
      </c>
      <c r="L984" s="131">
        <v>480</v>
      </c>
      <c r="M984" s="187">
        <v>37.75</v>
      </c>
      <c r="N984" s="91">
        <f t="shared" si="167"/>
        <v>121.75000000000001</v>
      </c>
      <c r="O984" s="411">
        <f t="shared" si="166"/>
        <v>34.427419999999998</v>
      </c>
      <c r="P984" s="132" t="s">
        <v>52</v>
      </c>
      <c r="Q984" s="232"/>
      <c r="R984" s="411"/>
      <c r="T984" s="134" t="s">
        <v>145</v>
      </c>
      <c r="U984" s="267" t="s">
        <v>2481</v>
      </c>
    </row>
    <row r="985" spans="1:23" x14ac:dyDescent="0.25">
      <c r="A985" s="419">
        <v>3000759</v>
      </c>
      <c r="B985" s="421">
        <v>42418</v>
      </c>
      <c r="C985" s="419" t="s">
        <v>42</v>
      </c>
      <c r="D985" s="417" t="s">
        <v>2482</v>
      </c>
      <c r="E985" s="120">
        <v>50</v>
      </c>
      <c r="F985" s="133" t="s">
        <v>2483</v>
      </c>
      <c r="G985" s="434" t="s">
        <v>45</v>
      </c>
      <c r="H985" s="427">
        <v>270.92</v>
      </c>
      <c r="I985" s="452">
        <f t="shared" si="168"/>
        <v>-24.3828</v>
      </c>
      <c r="J985" s="425">
        <f t="shared" si="169"/>
        <v>-5.4474799999999997</v>
      </c>
      <c r="K985" s="425">
        <f t="shared" si="164"/>
        <v>241.08972</v>
      </c>
      <c r="L985" s="158">
        <v>1390</v>
      </c>
      <c r="N985" s="91">
        <f t="shared" si="167"/>
        <v>69.5</v>
      </c>
      <c r="O985" s="411">
        <f t="shared" si="166"/>
        <v>171.58972</v>
      </c>
      <c r="P985" s="132" t="s">
        <v>926</v>
      </c>
      <c r="Q985" s="232"/>
      <c r="R985" s="411"/>
      <c r="T985" s="439" t="s">
        <v>145</v>
      </c>
      <c r="U985" s="481" t="s">
        <v>2484</v>
      </c>
    </row>
    <row r="986" spans="1:23" x14ac:dyDescent="0.25">
      <c r="A986" s="420"/>
      <c r="B986" s="422"/>
      <c r="C986" s="420"/>
      <c r="D986" s="418"/>
      <c r="E986" s="120">
        <v>50</v>
      </c>
      <c r="F986" s="133" t="s">
        <v>2485</v>
      </c>
      <c r="G986" s="436"/>
      <c r="H986" s="428"/>
      <c r="I986" s="453"/>
      <c r="J986" s="426"/>
      <c r="K986" s="426"/>
      <c r="L986" s="158">
        <v>1570</v>
      </c>
      <c r="N986" s="91">
        <f t="shared" si="167"/>
        <v>78.5</v>
      </c>
      <c r="O986" s="411">
        <f t="shared" si="166"/>
        <v>-78.5</v>
      </c>
      <c r="P986" s="132" t="s">
        <v>926</v>
      </c>
      <c r="Q986" s="232"/>
      <c r="R986" s="411"/>
      <c r="T986" s="441"/>
      <c r="U986" s="483"/>
    </row>
    <row r="987" spans="1:23" x14ac:dyDescent="0.25">
      <c r="A987" s="405">
        <v>3000760</v>
      </c>
      <c r="B987" s="406">
        <v>42418</v>
      </c>
      <c r="C987" s="405" t="s">
        <v>141</v>
      </c>
      <c r="D987" s="401" t="s">
        <v>678</v>
      </c>
      <c r="E987" s="120">
        <v>1000</v>
      </c>
      <c r="F987" s="133" t="s">
        <v>217</v>
      </c>
      <c r="G987" s="404" t="s">
        <v>45</v>
      </c>
      <c r="H987" s="411">
        <v>2100</v>
      </c>
      <c r="I987" s="411">
        <v>0</v>
      </c>
      <c r="J987" s="90">
        <f>-((H987*0.0325)+0.3)</f>
        <v>-68.55</v>
      </c>
      <c r="K987" s="90">
        <f t="shared" si="164"/>
        <v>2031.45</v>
      </c>
      <c r="L987" s="131">
        <v>1350</v>
      </c>
      <c r="M987" s="187">
        <v>272.43</v>
      </c>
      <c r="N987" s="91">
        <f t="shared" si="167"/>
        <v>1622.43</v>
      </c>
      <c r="O987" s="411">
        <f t="shared" si="166"/>
        <v>409.02</v>
      </c>
      <c r="P987" s="132" t="s">
        <v>52</v>
      </c>
      <c r="Q987" s="232"/>
      <c r="R987" s="411"/>
      <c r="T987" s="134" t="s">
        <v>97</v>
      </c>
      <c r="U987" s="267" t="s">
        <v>2486</v>
      </c>
      <c r="W987" s="153" t="s">
        <v>682</v>
      </c>
    </row>
    <row r="988" spans="1:23" ht="24" x14ac:dyDescent="0.25">
      <c r="A988" s="405">
        <v>3000761</v>
      </c>
      <c r="B988" s="406">
        <v>42418</v>
      </c>
      <c r="C988" s="405" t="s">
        <v>42</v>
      </c>
      <c r="D988" s="401" t="s">
        <v>2487</v>
      </c>
      <c r="E988" s="120">
        <v>300</v>
      </c>
      <c r="F988" s="133" t="s">
        <v>2416</v>
      </c>
      <c r="G988" s="404" t="s">
        <v>45</v>
      </c>
      <c r="H988" s="411">
        <v>430.44</v>
      </c>
      <c r="I988" s="89">
        <f t="shared" ref="I988:I990" si="170">-(H988*0.09)</f>
        <v>-38.739599999999996</v>
      </c>
      <c r="J988" s="90">
        <f>-((H988*0.019)+0.3)</f>
        <v>-8.4783600000000003</v>
      </c>
      <c r="K988" s="90">
        <f t="shared" si="164"/>
        <v>383.22203999999999</v>
      </c>
      <c r="L988" s="131">
        <v>600</v>
      </c>
      <c r="M988" s="187">
        <v>78.900000000000006</v>
      </c>
      <c r="N988" s="91">
        <f t="shared" si="167"/>
        <v>258.89999999999998</v>
      </c>
      <c r="O988" s="411">
        <f t="shared" si="166"/>
        <v>124.32204000000002</v>
      </c>
      <c r="P988" s="132" t="s">
        <v>52</v>
      </c>
      <c r="Q988" s="232"/>
      <c r="R988" s="411"/>
      <c r="T988" s="134" t="s">
        <v>145</v>
      </c>
      <c r="U988" s="267" t="s">
        <v>2488</v>
      </c>
    </row>
    <row r="989" spans="1:23" ht="24" x14ac:dyDescent="0.25">
      <c r="A989" s="405">
        <v>3000762</v>
      </c>
      <c r="B989" s="406">
        <v>42418</v>
      </c>
      <c r="C989" s="405" t="s">
        <v>42</v>
      </c>
      <c r="D989" s="401" t="s">
        <v>1329</v>
      </c>
      <c r="E989" s="120">
        <v>100</v>
      </c>
      <c r="F989" s="133" t="s">
        <v>431</v>
      </c>
      <c r="G989" s="404" t="s">
        <v>45</v>
      </c>
      <c r="H989" s="411">
        <v>216.11</v>
      </c>
      <c r="I989" s="89">
        <f t="shared" si="170"/>
        <v>-19.4499</v>
      </c>
      <c r="J989" s="90">
        <f>-((H989*0.019)+0.3)</f>
        <v>-4.4060899999999998</v>
      </c>
      <c r="K989" s="90">
        <f t="shared" si="164"/>
        <v>192.25400999999999</v>
      </c>
      <c r="L989" s="131">
        <v>1050</v>
      </c>
      <c r="M989" s="187">
        <v>22.91</v>
      </c>
      <c r="N989" s="91">
        <f t="shared" si="167"/>
        <v>127.91</v>
      </c>
      <c r="O989" s="411">
        <f t="shared" si="166"/>
        <v>64.344009999999997</v>
      </c>
      <c r="P989" s="132" t="s">
        <v>86</v>
      </c>
      <c r="Q989" s="232"/>
      <c r="R989" s="411"/>
      <c r="T989" s="134" t="s">
        <v>145</v>
      </c>
      <c r="U989" s="267" t="s">
        <v>2489</v>
      </c>
    </row>
    <row r="990" spans="1:23" ht="24" x14ac:dyDescent="0.25">
      <c r="A990" s="405">
        <v>3000763</v>
      </c>
      <c r="B990" s="406">
        <v>42418</v>
      </c>
      <c r="C990" s="405" t="s">
        <v>42</v>
      </c>
      <c r="D990" s="401" t="s">
        <v>2490</v>
      </c>
      <c r="E990" s="120">
        <v>250</v>
      </c>
      <c r="F990" s="133" t="s">
        <v>2491</v>
      </c>
      <c r="G990" s="404" t="s">
        <v>45</v>
      </c>
      <c r="H990" s="411">
        <v>277.88</v>
      </c>
      <c r="I990" s="89">
        <f t="shared" si="170"/>
        <v>-25.0092</v>
      </c>
      <c r="J990" s="90">
        <f>-((H990*0.019)+0.3)</f>
        <v>-5.57972</v>
      </c>
      <c r="K990" s="90">
        <f t="shared" si="164"/>
        <v>247.29107999999999</v>
      </c>
      <c r="L990" s="187">
        <v>560</v>
      </c>
      <c r="M990" s="187">
        <v>28.48</v>
      </c>
      <c r="N990" s="91">
        <f t="shared" si="167"/>
        <v>168.48</v>
      </c>
      <c r="O990" s="411">
        <f t="shared" si="166"/>
        <v>78.811080000000004</v>
      </c>
      <c r="P990" s="132" t="s">
        <v>235</v>
      </c>
      <c r="Q990" s="232"/>
      <c r="R990" s="411"/>
      <c r="T990" s="134" t="s">
        <v>145</v>
      </c>
      <c r="U990" s="267" t="s">
        <v>2492</v>
      </c>
    </row>
    <row r="991" spans="1:23" ht="24" x14ac:dyDescent="0.25">
      <c r="A991" s="405">
        <v>3000764</v>
      </c>
      <c r="B991" s="406">
        <v>42418</v>
      </c>
      <c r="C991" s="405" t="s">
        <v>237</v>
      </c>
      <c r="D991" s="401" t="s">
        <v>2493</v>
      </c>
      <c r="E991" s="120">
        <v>225</v>
      </c>
      <c r="F991" s="133" t="s">
        <v>1293</v>
      </c>
      <c r="G991" s="404" t="s">
        <v>45</v>
      </c>
      <c r="H991" s="411">
        <v>297.99</v>
      </c>
      <c r="I991" s="89">
        <f>-(H991*0.15)</f>
        <v>-44.698500000000003</v>
      </c>
      <c r="J991" s="411">
        <v>0</v>
      </c>
      <c r="K991" s="90">
        <f t="shared" si="164"/>
        <v>253.29150000000001</v>
      </c>
      <c r="L991" s="131">
        <v>513</v>
      </c>
      <c r="M991" s="187">
        <v>21.75</v>
      </c>
      <c r="N991" s="91">
        <f t="shared" si="167"/>
        <v>137.17500000000001</v>
      </c>
      <c r="O991" s="411">
        <f t="shared" si="166"/>
        <v>116.1165</v>
      </c>
      <c r="P991" s="132" t="s">
        <v>52</v>
      </c>
      <c r="Q991" s="232"/>
      <c r="R991" s="411"/>
      <c r="T991" s="134" t="s">
        <v>145</v>
      </c>
      <c r="U991" s="267" t="s">
        <v>2494</v>
      </c>
    </row>
    <row r="992" spans="1:23" ht="24" x14ac:dyDescent="0.25">
      <c r="A992" s="405">
        <v>3000765</v>
      </c>
      <c r="B992" s="406">
        <v>42418</v>
      </c>
      <c r="C992" s="405" t="s">
        <v>237</v>
      </c>
      <c r="D992" s="401" t="s">
        <v>2495</v>
      </c>
      <c r="E992" s="120">
        <v>200</v>
      </c>
      <c r="F992" s="133" t="s">
        <v>247</v>
      </c>
      <c r="G992" s="404" t="s">
        <v>45</v>
      </c>
      <c r="H992" s="411">
        <v>227.75</v>
      </c>
      <c r="I992" s="89">
        <f>-(H992*0.15)</f>
        <v>-34.162500000000001</v>
      </c>
      <c r="J992" s="411">
        <v>0</v>
      </c>
      <c r="K992" s="90">
        <f t="shared" si="164"/>
        <v>193.58750000000001</v>
      </c>
      <c r="L992" s="131">
        <v>480</v>
      </c>
      <c r="M992" s="187">
        <v>56.59</v>
      </c>
      <c r="N992" s="91">
        <f t="shared" si="167"/>
        <v>152.59</v>
      </c>
      <c r="O992" s="411">
        <f t="shared" si="166"/>
        <v>40.997500000000002</v>
      </c>
      <c r="P992" s="132" t="s">
        <v>86</v>
      </c>
      <c r="Q992" s="232"/>
      <c r="R992" s="411"/>
      <c r="T992" s="134" t="s">
        <v>145</v>
      </c>
      <c r="U992" s="267" t="s">
        <v>2496</v>
      </c>
    </row>
    <row r="993" spans="1:23" x14ac:dyDescent="0.25">
      <c r="A993" s="419">
        <v>3000766</v>
      </c>
      <c r="B993" s="421">
        <v>42418</v>
      </c>
      <c r="C993" s="419" t="s">
        <v>63</v>
      </c>
      <c r="D993" s="417" t="s">
        <v>2497</v>
      </c>
      <c r="E993" s="120">
        <v>2000</v>
      </c>
      <c r="F993" s="133" t="s">
        <v>2498</v>
      </c>
      <c r="G993" s="434" t="s">
        <v>45</v>
      </c>
      <c r="H993" s="427">
        <v>3204</v>
      </c>
      <c r="I993" s="427">
        <v>0</v>
      </c>
      <c r="J993" s="425">
        <f>-((H993*0.022)+0.3)</f>
        <v>-70.787999999999997</v>
      </c>
      <c r="K993" s="425">
        <f t="shared" si="164"/>
        <v>3133.212</v>
      </c>
      <c r="L993" s="158">
        <v>384</v>
      </c>
      <c r="M993" s="158">
        <v>159.24</v>
      </c>
      <c r="N993" s="91">
        <f t="shared" si="167"/>
        <v>927.24</v>
      </c>
      <c r="O993" s="411">
        <f t="shared" si="166"/>
        <v>2205.9719999999998</v>
      </c>
      <c r="P993" s="132" t="s">
        <v>638</v>
      </c>
      <c r="Q993" s="232"/>
      <c r="R993" s="411"/>
      <c r="T993" s="439" t="s">
        <v>1027</v>
      </c>
      <c r="U993" s="446" t="s">
        <v>2499</v>
      </c>
      <c r="W993" s="153" t="s">
        <v>2500</v>
      </c>
    </row>
    <row r="994" spans="1:23" x14ac:dyDescent="0.25">
      <c r="A994" s="420"/>
      <c r="B994" s="422"/>
      <c r="C994" s="420"/>
      <c r="D994" s="418"/>
      <c r="E994" s="120">
        <v>1000</v>
      </c>
      <c r="F994" s="133" t="s">
        <v>2501</v>
      </c>
      <c r="G994" s="436"/>
      <c r="H994" s="428"/>
      <c r="I994" s="428"/>
      <c r="J994" s="426"/>
      <c r="K994" s="426"/>
      <c r="L994" s="158">
        <v>1154</v>
      </c>
      <c r="M994" s="158">
        <v>80</v>
      </c>
      <c r="N994" s="91">
        <f t="shared" si="167"/>
        <v>1234</v>
      </c>
      <c r="O994" s="411">
        <f t="shared" si="166"/>
        <v>-1234</v>
      </c>
      <c r="P994" s="132" t="s">
        <v>638</v>
      </c>
      <c r="Q994" s="232"/>
      <c r="R994" s="411"/>
      <c r="T994" s="441"/>
      <c r="U994" s="447"/>
    </row>
    <row r="995" spans="1:23" ht="24" x14ac:dyDescent="0.25">
      <c r="A995" s="405">
        <v>3000767</v>
      </c>
      <c r="B995" s="406">
        <v>42418</v>
      </c>
      <c r="C995" s="405" t="s">
        <v>42</v>
      </c>
      <c r="D995" s="401" t="s">
        <v>1095</v>
      </c>
      <c r="E995" s="120">
        <v>100</v>
      </c>
      <c r="F995" s="133" t="s">
        <v>51</v>
      </c>
      <c r="G995" s="404" t="s">
        <v>45</v>
      </c>
      <c r="H995" s="411">
        <v>251.63</v>
      </c>
      <c r="I995" s="89">
        <f t="shared" ref="I995:I996" si="171">-(H995*0.09)</f>
        <v>-22.646699999999999</v>
      </c>
      <c r="J995" s="90">
        <f>-((H995*0.019)+0.3)</f>
        <v>-5.0809699999999998</v>
      </c>
      <c r="K995" s="90">
        <v>3</v>
      </c>
      <c r="L995" s="131">
        <v>1015</v>
      </c>
      <c r="M995" s="187">
        <v>42.68</v>
      </c>
      <c r="N995" s="91">
        <f t="shared" si="167"/>
        <v>144.18</v>
      </c>
      <c r="O995" s="411">
        <f t="shared" si="166"/>
        <v>-141.18</v>
      </c>
      <c r="P995" s="132" t="s">
        <v>52</v>
      </c>
      <c r="Q995" s="232"/>
      <c r="R995" s="411"/>
      <c r="T995" s="134" t="s">
        <v>145</v>
      </c>
      <c r="U995" s="267" t="s">
        <v>2502</v>
      </c>
    </row>
    <row r="996" spans="1:23" ht="24" x14ac:dyDescent="0.25">
      <c r="A996" s="405">
        <v>3000768</v>
      </c>
      <c r="B996" s="406">
        <v>42418</v>
      </c>
      <c r="C996" s="405" t="s">
        <v>42</v>
      </c>
      <c r="D996" s="401" t="s">
        <v>2503</v>
      </c>
      <c r="E996" s="120">
        <v>100</v>
      </c>
      <c r="F996" s="133" t="s">
        <v>1832</v>
      </c>
      <c r="G996" s="404" t="s">
        <v>45</v>
      </c>
      <c r="H996" s="411">
        <v>302.10000000000002</v>
      </c>
      <c r="I996" s="89">
        <f t="shared" si="171"/>
        <v>-27.189</v>
      </c>
      <c r="J996" s="90">
        <f>-((H996*0.019)+0.3)</f>
        <v>-6.0399000000000003</v>
      </c>
      <c r="K996" s="90">
        <f t="shared" si="164"/>
        <v>268.87110000000001</v>
      </c>
      <c r="L996" s="158">
        <v>1722</v>
      </c>
      <c r="M996" s="187">
        <v>26.45</v>
      </c>
      <c r="N996" s="91">
        <f t="shared" si="167"/>
        <v>198.65</v>
      </c>
      <c r="O996" s="411">
        <f t="shared" si="166"/>
        <v>70.221100000000007</v>
      </c>
      <c r="P996" s="132" t="s">
        <v>601</v>
      </c>
      <c r="Q996" s="232"/>
      <c r="R996" s="411"/>
      <c r="T996" s="134" t="s">
        <v>145</v>
      </c>
      <c r="U996" s="267" t="s">
        <v>2504</v>
      </c>
    </row>
    <row r="997" spans="1:23" ht="24" x14ac:dyDescent="0.25">
      <c r="A997" s="419">
        <v>3000769</v>
      </c>
      <c r="B997" s="421">
        <v>42419</v>
      </c>
      <c r="C997" s="419" t="s">
        <v>141</v>
      </c>
      <c r="D997" s="417" t="s">
        <v>2334</v>
      </c>
      <c r="E997" s="120">
        <v>250</v>
      </c>
      <c r="F997" s="133" t="s">
        <v>288</v>
      </c>
      <c r="G997" s="434" t="s">
        <v>45</v>
      </c>
      <c r="H997" s="427">
        <v>831</v>
      </c>
      <c r="I997" s="427">
        <v>0</v>
      </c>
      <c r="J997" s="425">
        <f>-((H997*0.0325)+0.3)</f>
        <v>-27.307500000000001</v>
      </c>
      <c r="K997" s="425">
        <f t="shared" si="164"/>
        <v>803.6925</v>
      </c>
      <c r="L997" s="187">
        <v>976.91</v>
      </c>
      <c r="M997" s="187">
        <v>85.6</v>
      </c>
      <c r="N997" s="91">
        <f t="shared" si="167"/>
        <v>329.82749999999999</v>
      </c>
      <c r="O997" s="411">
        <f t="shared" si="166"/>
        <v>473.86500000000001</v>
      </c>
      <c r="P997" s="132" t="s">
        <v>46</v>
      </c>
      <c r="Q997" s="232"/>
      <c r="R997" s="411"/>
      <c r="T997" s="134" t="s">
        <v>324</v>
      </c>
      <c r="U997" s="267" t="s">
        <v>2505</v>
      </c>
      <c r="W997" s="153" t="s">
        <v>2338</v>
      </c>
    </row>
    <row r="998" spans="1:23" ht="24" x14ac:dyDescent="0.25">
      <c r="A998" s="420"/>
      <c r="B998" s="422"/>
      <c r="C998" s="420"/>
      <c r="D998" s="418"/>
      <c r="E998" s="120">
        <v>350</v>
      </c>
      <c r="F998" s="133" t="s">
        <v>307</v>
      </c>
      <c r="G998" s="436"/>
      <c r="H998" s="428"/>
      <c r="I998" s="428"/>
      <c r="J998" s="426"/>
      <c r="K998" s="426"/>
      <c r="L998" s="131">
        <v>690</v>
      </c>
      <c r="M998" s="187">
        <v>68.69</v>
      </c>
      <c r="N998" s="91">
        <f t="shared" si="167"/>
        <v>310.19000000000005</v>
      </c>
      <c r="O998" s="411">
        <f t="shared" si="166"/>
        <v>-310.19000000000005</v>
      </c>
      <c r="P998" s="132" t="s">
        <v>52</v>
      </c>
      <c r="Q998" s="232"/>
      <c r="R998" s="411"/>
      <c r="T998" s="134" t="s">
        <v>145</v>
      </c>
      <c r="U998" s="267" t="s">
        <v>2506</v>
      </c>
      <c r="V998" s="133" t="s">
        <v>2507</v>
      </c>
    </row>
    <row r="999" spans="1:23" ht="24" x14ac:dyDescent="0.25">
      <c r="A999" s="405">
        <v>3000770</v>
      </c>
      <c r="B999" s="406">
        <v>42419</v>
      </c>
      <c r="C999" s="405" t="s">
        <v>63</v>
      </c>
      <c r="D999" s="401" t="s">
        <v>2508</v>
      </c>
      <c r="E999" s="120">
        <v>250</v>
      </c>
      <c r="F999" s="133" t="s">
        <v>1293</v>
      </c>
      <c r="G999" s="404" t="s">
        <v>45</v>
      </c>
      <c r="H999" s="411">
        <v>240</v>
      </c>
      <c r="I999" s="411">
        <v>0</v>
      </c>
      <c r="J999" s="90">
        <f>-((H999*0.022)+0.3)</f>
        <v>-5.5799999999999992</v>
      </c>
      <c r="K999" s="90">
        <f t="shared" si="164"/>
        <v>234.42</v>
      </c>
      <c r="L999" s="131">
        <v>513</v>
      </c>
      <c r="M999" s="187">
        <v>46.27</v>
      </c>
      <c r="N999" s="91">
        <f t="shared" si="167"/>
        <v>174.52</v>
      </c>
      <c r="O999" s="411">
        <f t="shared" si="166"/>
        <v>59.899999999999977</v>
      </c>
      <c r="P999" s="132" t="s">
        <v>52</v>
      </c>
      <c r="Q999" s="232"/>
      <c r="R999" s="411"/>
      <c r="T999" s="134" t="s">
        <v>145</v>
      </c>
      <c r="U999" s="267" t="s">
        <v>2509</v>
      </c>
      <c r="W999" s="153" t="s">
        <v>2510</v>
      </c>
    </row>
    <row r="1000" spans="1:23" x14ac:dyDescent="0.25">
      <c r="A1000" s="405">
        <v>3000771</v>
      </c>
      <c r="B1000" s="406">
        <v>42419</v>
      </c>
      <c r="C1000" s="405" t="s">
        <v>42</v>
      </c>
      <c r="D1000" s="401" t="s">
        <v>2511</v>
      </c>
      <c r="E1000" s="120">
        <v>500</v>
      </c>
      <c r="F1000" s="133" t="s">
        <v>2512</v>
      </c>
      <c r="G1000" s="404" t="s">
        <v>45</v>
      </c>
      <c r="H1000" s="411">
        <v>730</v>
      </c>
      <c r="I1000" s="89">
        <f t="shared" ref="I1000:I1004" si="172">-(H1000*0.09)</f>
        <v>-65.7</v>
      </c>
      <c r="J1000" s="90">
        <f>-((H1000*0.019)+0.3)</f>
        <v>-14.17</v>
      </c>
      <c r="K1000" s="90">
        <f t="shared" si="164"/>
        <v>650.13</v>
      </c>
      <c r="L1000" s="158">
        <v>959</v>
      </c>
      <c r="M1000" s="158">
        <v>139.13999999999999</v>
      </c>
      <c r="N1000" s="91">
        <f t="shared" si="167"/>
        <v>618.64</v>
      </c>
      <c r="O1000" s="411">
        <f t="shared" si="166"/>
        <v>31.490000000000009</v>
      </c>
      <c r="P1000" s="132" t="s">
        <v>2054</v>
      </c>
      <c r="Q1000" s="232"/>
      <c r="R1000" s="411"/>
      <c r="T1000" s="134" t="s">
        <v>364</v>
      </c>
      <c r="U1000" s="267" t="s">
        <v>2513</v>
      </c>
    </row>
    <row r="1001" spans="1:23" ht="24" x14ac:dyDescent="0.25">
      <c r="A1001" s="405">
        <v>3000772</v>
      </c>
      <c r="B1001" s="406">
        <v>42419</v>
      </c>
      <c r="C1001" s="405" t="s">
        <v>42</v>
      </c>
      <c r="D1001" s="401" t="s">
        <v>2514</v>
      </c>
      <c r="E1001" s="120">
        <v>50</v>
      </c>
      <c r="F1001" s="133" t="s">
        <v>217</v>
      </c>
      <c r="G1001" s="404" t="s">
        <v>45</v>
      </c>
      <c r="H1001" s="411">
        <v>145.06</v>
      </c>
      <c r="I1001" s="89">
        <f t="shared" si="172"/>
        <v>-13.055400000000001</v>
      </c>
      <c r="J1001" s="90">
        <f>-((H1001*0.019)+0.3)</f>
        <v>-3.0561399999999996</v>
      </c>
      <c r="K1001" s="90">
        <f t="shared" si="164"/>
        <v>128.94846000000001</v>
      </c>
      <c r="L1001" s="131">
        <v>1350</v>
      </c>
      <c r="M1001" s="187">
        <v>37.78</v>
      </c>
      <c r="N1001" s="91">
        <f t="shared" si="167"/>
        <v>105.28</v>
      </c>
      <c r="O1001" s="411">
        <f t="shared" si="166"/>
        <v>23.66846000000001</v>
      </c>
      <c r="P1001" s="132" t="s">
        <v>52</v>
      </c>
      <c r="Q1001" s="232"/>
      <c r="R1001" s="411"/>
      <c r="T1001" s="134" t="s">
        <v>145</v>
      </c>
      <c r="U1001" s="267" t="s">
        <v>2515</v>
      </c>
    </row>
    <row r="1002" spans="1:23" ht="24" x14ac:dyDescent="0.25">
      <c r="A1002" s="405">
        <v>3000773</v>
      </c>
      <c r="B1002" s="406">
        <v>42419</v>
      </c>
      <c r="C1002" s="405" t="s">
        <v>42</v>
      </c>
      <c r="D1002" s="401" t="s">
        <v>2516</v>
      </c>
      <c r="E1002" s="120">
        <v>25</v>
      </c>
      <c r="F1002" s="133" t="s">
        <v>2517</v>
      </c>
      <c r="G1002" s="404" t="s">
        <v>45</v>
      </c>
      <c r="H1002" s="411">
        <v>107.11</v>
      </c>
      <c r="I1002" s="89">
        <f t="shared" si="172"/>
        <v>-9.639899999999999</v>
      </c>
      <c r="J1002" s="90">
        <f>-((H1002*0.019)+0.3)</f>
        <v>-2.3350899999999997</v>
      </c>
      <c r="K1002" s="90">
        <f t="shared" si="164"/>
        <v>95.135010000000008</v>
      </c>
      <c r="L1002" s="187">
        <v>2470</v>
      </c>
      <c r="M1002" s="187">
        <v>16.23</v>
      </c>
      <c r="N1002" s="91">
        <f t="shared" si="167"/>
        <v>77.98</v>
      </c>
      <c r="O1002" s="411">
        <f t="shared" si="166"/>
        <v>17.155010000000004</v>
      </c>
      <c r="P1002" s="132" t="s">
        <v>183</v>
      </c>
      <c r="Q1002" s="232"/>
      <c r="R1002" s="411"/>
      <c r="T1002" s="134" t="s">
        <v>145</v>
      </c>
      <c r="U1002" s="267" t="s">
        <v>2518</v>
      </c>
    </row>
    <row r="1003" spans="1:23" ht="24" x14ac:dyDescent="0.25">
      <c r="A1003" s="405">
        <v>3000774</v>
      </c>
      <c r="B1003" s="406">
        <v>42419</v>
      </c>
      <c r="C1003" s="405" t="s">
        <v>42</v>
      </c>
      <c r="D1003" s="401" t="s">
        <v>2519</v>
      </c>
      <c r="E1003" s="120">
        <v>125</v>
      </c>
      <c r="F1003" s="133" t="s">
        <v>829</v>
      </c>
      <c r="G1003" s="404" t="s">
        <v>45</v>
      </c>
      <c r="H1003" s="411">
        <v>131.77000000000001</v>
      </c>
      <c r="I1003" s="89">
        <f t="shared" si="172"/>
        <v>-11.859300000000001</v>
      </c>
      <c r="J1003" s="90">
        <f>-((H1003*0.019)+0.3)</f>
        <v>-2.8036300000000001</v>
      </c>
      <c r="K1003" s="90">
        <f t="shared" si="164"/>
        <v>117.10707000000001</v>
      </c>
      <c r="L1003" s="131">
        <v>510</v>
      </c>
      <c r="M1003" s="187">
        <v>25.99</v>
      </c>
      <c r="N1003" s="91">
        <f t="shared" si="167"/>
        <v>89.74</v>
      </c>
      <c r="O1003" s="411">
        <f t="shared" si="166"/>
        <v>27.367070000000012</v>
      </c>
      <c r="P1003" s="132" t="s">
        <v>52</v>
      </c>
      <c r="Q1003" s="232"/>
      <c r="R1003" s="411"/>
      <c r="T1003" s="172" t="s">
        <v>145</v>
      </c>
      <c r="U1003" s="259" t="s">
        <v>2520</v>
      </c>
    </row>
    <row r="1004" spans="1:23" ht="24" x14ac:dyDescent="0.25">
      <c r="A1004" s="405">
        <v>3000775</v>
      </c>
      <c r="B1004" s="406">
        <v>42419</v>
      </c>
      <c r="C1004" s="405" t="s">
        <v>42</v>
      </c>
      <c r="D1004" s="401" t="s">
        <v>2521</v>
      </c>
      <c r="E1004" s="120">
        <v>225</v>
      </c>
      <c r="F1004" s="133" t="s">
        <v>247</v>
      </c>
      <c r="G1004" s="404" t="s">
        <v>45</v>
      </c>
      <c r="H1004" s="411">
        <v>256.5</v>
      </c>
      <c r="I1004" s="89">
        <f t="shared" si="172"/>
        <v>-23.085000000000001</v>
      </c>
      <c r="J1004" s="90">
        <f>-((H1004*0.019)+0.3)</f>
        <v>-5.1734999999999998</v>
      </c>
      <c r="K1004" s="90">
        <f t="shared" si="164"/>
        <v>228.2415</v>
      </c>
      <c r="L1004" s="131">
        <v>480</v>
      </c>
      <c r="M1004" s="187">
        <v>49.83</v>
      </c>
      <c r="N1004" s="91">
        <f t="shared" si="167"/>
        <v>157.82999999999998</v>
      </c>
      <c r="O1004" s="411">
        <f t="shared" si="166"/>
        <v>70.411500000000018</v>
      </c>
      <c r="P1004" s="132" t="s">
        <v>86</v>
      </c>
      <c r="Q1004" s="232"/>
      <c r="R1004" s="411"/>
      <c r="T1004" s="134" t="s">
        <v>145</v>
      </c>
      <c r="U1004" s="267" t="s">
        <v>2522</v>
      </c>
    </row>
    <row r="1005" spans="1:23" ht="24" x14ac:dyDescent="0.25">
      <c r="A1005" s="405">
        <v>3000776</v>
      </c>
      <c r="B1005" s="406">
        <v>42419</v>
      </c>
      <c r="C1005" s="405" t="s">
        <v>237</v>
      </c>
      <c r="D1005" s="401" t="s">
        <v>2523</v>
      </c>
      <c r="E1005" s="120">
        <v>1000</v>
      </c>
      <c r="F1005" s="133" t="s">
        <v>2524</v>
      </c>
      <c r="G1005" s="404" t="s">
        <v>45</v>
      </c>
      <c r="H1005" s="411">
        <v>394.03</v>
      </c>
      <c r="I1005" s="89">
        <f>-(H1005*0.15)</f>
        <v>-59.104499999999994</v>
      </c>
      <c r="J1005" s="411">
        <v>0</v>
      </c>
      <c r="K1005" s="90">
        <f t="shared" si="164"/>
        <v>334.9255</v>
      </c>
      <c r="L1005" s="158">
        <v>260.36</v>
      </c>
      <c r="M1005" s="158">
        <v>69.209999999999994</v>
      </c>
      <c r="N1005" s="91">
        <f t="shared" si="167"/>
        <v>329.57</v>
      </c>
      <c r="O1005" s="411">
        <f t="shared" si="166"/>
        <v>5.3555000000000064</v>
      </c>
      <c r="P1005" s="132" t="s">
        <v>76</v>
      </c>
      <c r="Q1005" s="232"/>
      <c r="R1005" s="411"/>
      <c r="T1005" s="134" t="s">
        <v>204</v>
      </c>
      <c r="U1005" s="267" t="s">
        <v>2525</v>
      </c>
    </row>
    <row r="1006" spans="1:23" ht="24" x14ac:dyDescent="0.25">
      <c r="A1006" s="405">
        <v>3000777</v>
      </c>
      <c r="B1006" s="406">
        <v>42419</v>
      </c>
      <c r="C1006" s="405" t="s">
        <v>63</v>
      </c>
      <c r="D1006" s="401" t="s">
        <v>2526</v>
      </c>
      <c r="E1006" s="120">
        <v>94</v>
      </c>
      <c r="F1006" s="133" t="s">
        <v>2527</v>
      </c>
      <c r="G1006" s="404" t="s">
        <v>45</v>
      </c>
      <c r="H1006" s="411">
        <v>359.43</v>
      </c>
      <c r="I1006" s="411">
        <v>0</v>
      </c>
      <c r="J1006" s="90">
        <f>-((H1006*0.022)+0.3)</f>
        <v>-8.2074599999999993</v>
      </c>
      <c r="K1006" s="90">
        <f t="shared" si="164"/>
        <v>351.22253999999998</v>
      </c>
      <c r="L1006" s="187">
        <v>1700</v>
      </c>
      <c r="M1006" s="187">
        <v>19.309999999999999</v>
      </c>
      <c r="N1006" s="91">
        <f t="shared" si="167"/>
        <v>179.11</v>
      </c>
      <c r="O1006" s="411">
        <f t="shared" si="166"/>
        <v>172.11253999999997</v>
      </c>
      <c r="P1006" s="132" t="s">
        <v>46</v>
      </c>
      <c r="Q1006" s="232"/>
      <c r="R1006" s="411">
        <v>30.43</v>
      </c>
      <c r="S1006" s="133" t="s">
        <v>301</v>
      </c>
      <c r="T1006" s="134" t="s">
        <v>2389</v>
      </c>
      <c r="U1006" s="267" t="s">
        <v>2528</v>
      </c>
      <c r="W1006" s="153" t="s">
        <v>2529</v>
      </c>
    </row>
    <row r="1007" spans="1:23" ht="24" x14ac:dyDescent="0.25">
      <c r="A1007" s="405">
        <v>3000778</v>
      </c>
      <c r="B1007" s="406">
        <v>42419</v>
      </c>
      <c r="C1007" s="405" t="s">
        <v>78</v>
      </c>
      <c r="D1007" s="401" t="s">
        <v>2530</v>
      </c>
      <c r="E1007" s="120">
        <v>75</v>
      </c>
      <c r="F1007" s="133" t="s">
        <v>288</v>
      </c>
      <c r="G1007" s="404" t="s">
        <v>45</v>
      </c>
      <c r="H1007" s="411">
        <v>161.25</v>
      </c>
      <c r="I1007" s="411">
        <v>0</v>
      </c>
      <c r="J1007" s="90">
        <f>-((H1007*0.019)+0.3)</f>
        <v>-3.3637499999999996</v>
      </c>
      <c r="K1007" s="90">
        <f t="shared" si="164"/>
        <v>157.88624999999999</v>
      </c>
      <c r="L1007" s="131">
        <v>1069</v>
      </c>
      <c r="M1007" s="187">
        <v>20.45</v>
      </c>
      <c r="N1007" s="91">
        <f t="shared" si="167"/>
        <v>100.625</v>
      </c>
      <c r="O1007" s="411">
        <f t="shared" si="166"/>
        <v>57.26124999999999</v>
      </c>
      <c r="P1007" s="132" t="s">
        <v>86</v>
      </c>
      <c r="Q1007" s="232"/>
      <c r="R1007" s="411"/>
      <c r="T1007" s="134" t="s">
        <v>145</v>
      </c>
      <c r="U1007" s="267" t="s">
        <v>2531</v>
      </c>
      <c r="W1007" s="153" t="s">
        <v>2532</v>
      </c>
    </row>
    <row r="1008" spans="1:23" x14ac:dyDescent="0.25">
      <c r="A1008" s="405">
        <v>3000779</v>
      </c>
      <c r="B1008" s="406">
        <v>42419</v>
      </c>
      <c r="C1008" s="405" t="s">
        <v>63</v>
      </c>
      <c r="D1008" s="401" t="s">
        <v>2533</v>
      </c>
      <c r="E1008" s="120">
        <v>382</v>
      </c>
      <c r="F1008" s="133" t="s">
        <v>198</v>
      </c>
      <c r="G1008" s="404" t="s">
        <v>45</v>
      </c>
      <c r="H1008" s="411">
        <v>1071.73</v>
      </c>
      <c r="I1008" s="411">
        <v>0</v>
      </c>
      <c r="J1008" s="90">
        <f>-((H1008*0.022)+0.3)</f>
        <v>-23.878060000000001</v>
      </c>
      <c r="K1008" s="90">
        <f t="shared" si="164"/>
        <v>1047.85194</v>
      </c>
      <c r="L1008" s="131">
        <v>1800</v>
      </c>
      <c r="N1008" s="91">
        <f t="shared" si="167"/>
        <v>687.6</v>
      </c>
      <c r="O1008" s="411">
        <f t="shared" si="166"/>
        <v>360.25193999999999</v>
      </c>
      <c r="P1008" s="132" t="s">
        <v>86</v>
      </c>
      <c r="Q1008" s="232"/>
      <c r="R1008" s="411">
        <v>86.17</v>
      </c>
      <c r="S1008" s="133" t="s">
        <v>1169</v>
      </c>
      <c r="T1008" s="134" t="s">
        <v>717</v>
      </c>
      <c r="U1008" s="267" t="s">
        <v>2534</v>
      </c>
      <c r="W1008" s="153" t="s">
        <v>2535</v>
      </c>
    </row>
    <row r="1009" spans="1:23" ht="24" x14ac:dyDescent="0.25">
      <c r="A1009" s="405">
        <v>3000780</v>
      </c>
      <c r="B1009" s="406">
        <v>42419</v>
      </c>
      <c r="C1009" s="405" t="s">
        <v>63</v>
      </c>
      <c r="D1009" s="401" t="s">
        <v>1289</v>
      </c>
      <c r="E1009" s="120">
        <v>55</v>
      </c>
      <c r="F1009" s="133" t="s">
        <v>2199</v>
      </c>
      <c r="G1009" s="404" t="s">
        <v>45</v>
      </c>
      <c r="H1009" s="411">
        <v>126.5</v>
      </c>
      <c r="I1009" s="411">
        <v>0</v>
      </c>
      <c r="J1009" s="90">
        <f>-((H1009*0.022)+0.3)</f>
        <v>-3.0829999999999997</v>
      </c>
      <c r="K1009" s="90">
        <f t="shared" si="164"/>
        <v>123.417</v>
      </c>
      <c r="M1009" s="187">
        <v>31.54</v>
      </c>
      <c r="N1009" s="91">
        <f t="shared" si="167"/>
        <v>31.54</v>
      </c>
      <c r="O1009" s="411">
        <f t="shared" si="166"/>
        <v>91.87700000000001</v>
      </c>
      <c r="P1009" s="132" t="s">
        <v>52</v>
      </c>
      <c r="Q1009" s="232"/>
      <c r="R1009" s="411"/>
      <c r="T1009" s="134" t="s">
        <v>145</v>
      </c>
      <c r="U1009" s="267" t="s">
        <v>2536</v>
      </c>
      <c r="W1009" s="153" t="s">
        <v>1028</v>
      </c>
    </row>
    <row r="1010" spans="1:23" x14ac:dyDescent="0.25">
      <c r="A1010" s="405">
        <v>3000781</v>
      </c>
      <c r="B1010" s="406">
        <v>42419</v>
      </c>
      <c r="C1010" s="405" t="s">
        <v>141</v>
      </c>
      <c r="D1010" s="401" t="s">
        <v>678</v>
      </c>
      <c r="E1010" s="120">
        <v>1000</v>
      </c>
      <c r="F1010" s="133" t="s">
        <v>217</v>
      </c>
      <c r="G1010" s="404" t="s">
        <v>45</v>
      </c>
      <c r="H1010" s="411">
        <v>2100</v>
      </c>
      <c r="I1010" s="411">
        <v>0</v>
      </c>
      <c r="J1010" s="90">
        <f>-((H1010*0.0325)+0.3)</f>
        <v>-68.55</v>
      </c>
      <c r="K1010" s="90">
        <f t="shared" si="164"/>
        <v>2031.45</v>
      </c>
      <c r="L1010" s="131">
        <v>1350</v>
      </c>
      <c r="M1010" s="187">
        <v>98.05</v>
      </c>
      <c r="N1010" s="91">
        <f t="shared" si="167"/>
        <v>1448.05</v>
      </c>
      <c r="O1010" s="411">
        <f t="shared" si="166"/>
        <v>583.40000000000009</v>
      </c>
      <c r="P1010" s="132" t="s">
        <v>52</v>
      </c>
      <c r="Q1010" s="232"/>
      <c r="R1010" s="411"/>
      <c r="T1010" s="134" t="s">
        <v>1987</v>
      </c>
      <c r="U1010" s="267" t="s">
        <v>2537</v>
      </c>
      <c r="V1010" s="133" t="s">
        <v>55</v>
      </c>
      <c r="W1010" s="153" t="s">
        <v>682</v>
      </c>
    </row>
    <row r="1011" spans="1:23" x14ac:dyDescent="0.25">
      <c r="A1011" s="405">
        <v>3000782</v>
      </c>
      <c r="B1011" s="406">
        <v>42422</v>
      </c>
      <c r="C1011" s="405" t="s">
        <v>56</v>
      </c>
      <c r="D1011" s="401" t="s">
        <v>2538</v>
      </c>
      <c r="E1011" s="120">
        <v>500</v>
      </c>
      <c r="F1011" s="133" t="s">
        <v>2539</v>
      </c>
      <c r="G1011" s="404" t="s">
        <v>45</v>
      </c>
      <c r="H1011" s="411">
        <v>3500</v>
      </c>
      <c r="I1011" s="411">
        <v>0</v>
      </c>
      <c r="J1011" s="411">
        <v>0</v>
      </c>
      <c r="K1011" s="90">
        <f t="shared" si="164"/>
        <v>3500</v>
      </c>
      <c r="L1011" s="187">
        <v>6440</v>
      </c>
      <c r="M1011" s="131">
        <v>0</v>
      </c>
      <c r="N1011" s="91">
        <f t="shared" si="167"/>
        <v>3220</v>
      </c>
      <c r="O1011" s="411">
        <f t="shared" si="166"/>
        <v>280</v>
      </c>
      <c r="P1011" s="132" t="s">
        <v>46</v>
      </c>
      <c r="Q1011" s="232"/>
      <c r="R1011" s="411"/>
      <c r="T1011" s="134" t="s">
        <v>851</v>
      </c>
      <c r="U1011" s="266" t="s">
        <v>852</v>
      </c>
      <c r="V1011" s="133" t="s">
        <v>2439</v>
      </c>
    </row>
    <row r="1012" spans="1:23" ht="24" customHeight="1" x14ac:dyDescent="0.25">
      <c r="A1012" s="419">
        <v>3000783</v>
      </c>
      <c r="B1012" s="421">
        <v>42422</v>
      </c>
      <c r="C1012" s="419" t="s">
        <v>327</v>
      </c>
      <c r="D1012" s="417" t="s">
        <v>2540</v>
      </c>
      <c r="E1012" s="120">
        <v>15</v>
      </c>
      <c r="F1012" s="133" t="s">
        <v>2541</v>
      </c>
      <c r="G1012" s="434" t="s">
        <v>45</v>
      </c>
      <c r="H1012" s="427">
        <v>675</v>
      </c>
      <c r="I1012" s="427">
        <v>0</v>
      </c>
      <c r="J1012" s="425">
        <f>-((H1012*0.022)+0.3)</f>
        <v>-15.15</v>
      </c>
      <c r="K1012" s="425">
        <f t="shared" si="164"/>
        <v>659.85</v>
      </c>
      <c r="L1012" s="187">
        <v>1600</v>
      </c>
      <c r="M1012" s="468">
        <v>291.66000000000003</v>
      </c>
      <c r="N1012" s="91">
        <f t="shared" si="167"/>
        <v>315.66000000000003</v>
      </c>
      <c r="O1012" s="411">
        <f t="shared" si="166"/>
        <v>344.19</v>
      </c>
      <c r="P1012" s="132" t="s">
        <v>183</v>
      </c>
      <c r="Q1012" s="232"/>
      <c r="R1012" s="411"/>
      <c r="T1012" s="439" t="s">
        <v>2542</v>
      </c>
      <c r="U1012" s="505" t="s">
        <v>2543</v>
      </c>
      <c r="W1012" s="153" t="s">
        <v>2544</v>
      </c>
    </row>
    <row r="1013" spans="1:23" x14ac:dyDescent="0.25">
      <c r="A1013" s="420"/>
      <c r="B1013" s="422"/>
      <c r="C1013" s="420"/>
      <c r="D1013" s="418"/>
      <c r="E1013" s="120">
        <v>15</v>
      </c>
      <c r="F1013" s="133" t="s">
        <v>2545</v>
      </c>
      <c r="G1013" s="436"/>
      <c r="H1013" s="428"/>
      <c r="I1013" s="428"/>
      <c r="J1013" s="426"/>
      <c r="K1013" s="426"/>
      <c r="L1013" s="187">
        <v>1100</v>
      </c>
      <c r="M1013" s="469"/>
      <c r="N1013" s="91">
        <f t="shared" si="167"/>
        <v>16.5</v>
      </c>
      <c r="O1013" s="411">
        <f t="shared" si="166"/>
        <v>-16.5</v>
      </c>
      <c r="P1013" s="132" t="s">
        <v>183</v>
      </c>
      <c r="Q1013" s="232"/>
      <c r="R1013" s="411"/>
      <c r="T1013" s="441"/>
      <c r="U1013" s="490"/>
    </row>
    <row r="1014" spans="1:23" ht="24" customHeight="1" x14ac:dyDescent="0.25">
      <c r="A1014" s="419">
        <v>3000784</v>
      </c>
      <c r="B1014" s="421">
        <v>42422</v>
      </c>
      <c r="C1014" s="419" t="s">
        <v>327</v>
      </c>
      <c r="D1014" s="417" t="s">
        <v>2540</v>
      </c>
      <c r="E1014" s="120">
        <v>15</v>
      </c>
      <c r="F1014" s="133" t="s">
        <v>2546</v>
      </c>
      <c r="G1014" s="434" t="s">
        <v>45</v>
      </c>
      <c r="H1014" s="427">
        <v>2845</v>
      </c>
      <c r="I1014" s="427">
        <v>0</v>
      </c>
      <c r="J1014" s="425">
        <f>-((H1014*0.022)+0.3)</f>
        <v>-62.889999999999993</v>
      </c>
      <c r="K1014" s="425">
        <f t="shared" si="164"/>
        <v>2782.11</v>
      </c>
      <c r="L1014" s="186"/>
      <c r="N1014" s="91" t="e">
        <f>((#REF!)*(E1014*0.001))+M1014</f>
        <v>#REF!</v>
      </c>
      <c r="O1014" s="411" t="e">
        <f t="shared" si="166"/>
        <v>#REF!</v>
      </c>
      <c r="P1014" s="132" t="s">
        <v>183</v>
      </c>
      <c r="Q1014" s="232"/>
      <c r="R1014" s="411"/>
      <c r="T1014" s="439" t="s">
        <v>324</v>
      </c>
      <c r="U1014" s="505" t="s">
        <v>2547</v>
      </c>
      <c r="W1014" s="153" t="s">
        <v>2544</v>
      </c>
    </row>
    <row r="1015" spans="1:23" x14ac:dyDescent="0.25">
      <c r="A1015" s="432"/>
      <c r="B1015" s="433"/>
      <c r="C1015" s="432"/>
      <c r="D1015" s="454"/>
      <c r="E1015" s="120">
        <v>15</v>
      </c>
      <c r="F1015" s="133" t="s">
        <v>2548</v>
      </c>
      <c r="G1015" s="435"/>
      <c r="H1015" s="438"/>
      <c r="I1015" s="438"/>
      <c r="J1015" s="437"/>
      <c r="K1015" s="437"/>
      <c r="L1015" s="186"/>
      <c r="N1015" s="91">
        <f t="shared" si="167"/>
        <v>0</v>
      </c>
      <c r="O1015" s="411">
        <f t="shared" si="166"/>
        <v>0</v>
      </c>
      <c r="P1015" s="132" t="s">
        <v>183</v>
      </c>
      <c r="Q1015" s="232"/>
      <c r="R1015" s="411"/>
      <c r="T1015" s="440"/>
      <c r="U1015" s="506"/>
    </row>
    <row r="1016" spans="1:23" x14ac:dyDescent="0.25">
      <c r="A1016" s="432"/>
      <c r="B1016" s="433"/>
      <c r="C1016" s="432"/>
      <c r="D1016" s="454"/>
      <c r="E1016" s="120">
        <v>15</v>
      </c>
      <c r="F1016" s="133" t="s">
        <v>2549</v>
      </c>
      <c r="G1016" s="435"/>
      <c r="H1016" s="438"/>
      <c r="I1016" s="438"/>
      <c r="J1016" s="437"/>
      <c r="K1016" s="437"/>
      <c r="L1016" s="186"/>
      <c r="N1016" s="91">
        <f t="shared" si="167"/>
        <v>0</v>
      </c>
      <c r="O1016" s="411">
        <f t="shared" si="166"/>
        <v>0</v>
      </c>
      <c r="P1016" s="132" t="s">
        <v>183</v>
      </c>
      <c r="Q1016" s="232"/>
      <c r="R1016" s="411"/>
      <c r="T1016" s="441"/>
      <c r="U1016" s="490"/>
    </row>
    <row r="1017" spans="1:23" x14ac:dyDescent="0.25">
      <c r="A1017" s="432"/>
      <c r="B1017" s="433"/>
      <c r="C1017" s="432"/>
      <c r="D1017" s="454"/>
      <c r="E1017" s="120">
        <v>15</v>
      </c>
      <c r="F1017" s="133" t="s">
        <v>2550</v>
      </c>
      <c r="G1017" s="435"/>
      <c r="H1017" s="438"/>
      <c r="I1017" s="438"/>
      <c r="J1017" s="437"/>
      <c r="K1017" s="437"/>
      <c r="M1017" s="187">
        <v>1032.3900000000001</v>
      </c>
      <c r="N1017" s="91">
        <f t="shared" si="167"/>
        <v>1032.3900000000001</v>
      </c>
      <c r="O1017" s="411">
        <f t="shared" si="166"/>
        <v>-1032.3900000000001</v>
      </c>
      <c r="P1017" s="132" t="s">
        <v>52</v>
      </c>
      <c r="Q1017" s="232"/>
      <c r="R1017" s="411"/>
      <c r="T1017" s="135" t="s">
        <v>1987</v>
      </c>
      <c r="V1017" s="133" t="s">
        <v>2551</v>
      </c>
    </row>
    <row r="1018" spans="1:23" x14ac:dyDescent="0.25">
      <c r="A1018" s="432"/>
      <c r="B1018" s="433"/>
      <c r="C1018" s="432"/>
      <c r="D1018" s="454"/>
      <c r="E1018" s="120">
        <v>15</v>
      </c>
      <c r="F1018" s="133" t="s">
        <v>2552</v>
      </c>
      <c r="G1018" s="435"/>
      <c r="H1018" s="438"/>
      <c r="I1018" s="438"/>
      <c r="J1018" s="437"/>
      <c r="K1018" s="437"/>
      <c r="M1018" s="131">
        <v>158.16999999999999</v>
      </c>
      <c r="N1018" s="91">
        <f t="shared" si="167"/>
        <v>158.16999999999999</v>
      </c>
      <c r="O1018" s="411">
        <f t="shared" si="166"/>
        <v>-158.16999999999999</v>
      </c>
      <c r="P1018" s="132" t="s">
        <v>52</v>
      </c>
      <c r="Q1018" s="232"/>
      <c r="R1018" s="411"/>
      <c r="T1018" s="135" t="s">
        <v>2553</v>
      </c>
      <c r="V1018" s="133" t="s">
        <v>2554</v>
      </c>
    </row>
    <row r="1019" spans="1:23" ht="24" x14ac:dyDescent="0.25">
      <c r="A1019" s="432"/>
      <c r="B1019" s="433"/>
      <c r="C1019" s="432"/>
      <c r="D1019" s="454"/>
      <c r="E1019" s="120">
        <v>15</v>
      </c>
      <c r="F1019" s="133" t="s">
        <v>2555</v>
      </c>
      <c r="G1019" s="435"/>
      <c r="H1019" s="438"/>
      <c r="I1019" s="438"/>
      <c r="J1019" s="437"/>
      <c r="K1019" s="437"/>
      <c r="L1019" s="187">
        <v>13000</v>
      </c>
      <c r="M1019" s="187">
        <v>39.21</v>
      </c>
      <c r="N1019" s="91">
        <f t="shared" si="167"/>
        <v>234.21</v>
      </c>
      <c r="O1019" s="411">
        <f t="shared" si="166"/>
        <v>-234.21</v>
      </c>
      <c r="P1019" s="132" t="s">
        <v>235</v>
      </c>
      <c r="Q1019" s="232"/>
      <c r="R1019" s="411"/>
      <c r="T1019" s="134" t="s">
        <v>145</v>
      </c>
      <c r="U1019" s="267" t="s">
        <v>2556</v>
      </c>
      <c r="V1019" s="133" t="s">
        <v>2557</v>
      </c>
    </row>
    <row r="1020" spans="1:23" ht="24" x14ac:dyDescent="0.25">
      <c r="A1020" s="420"/>
      <c r="B1020" s="422"/>
      <c r="C1020" s="420"/>
      <c r="D1020" s="418"/>
      <c r="E1020" s="120">
        <v>15</v>
      </c>
      <c r="F1020" s="133" t="s">
        <v>2558</v>
      </c>
      <c r="G1020" s="436"/>
      <c r="H1020" s="428"/>
      <c r="I1020" s="428"/>
      <c r="J1020" s="426"/>
      <c r="K1020" s="426"/>
      <c r="L1020" s="187">
        <v>3000</v>
      </c>
      <c r="M1020" s="195">
        <v>32.99</v>
      </c>
      <c r="N1020" s="91">
        <f t="shared" si="167"/>
        <v>77.990000000000009</v>
      </c>
      <c r="O1020" s="411">
        <f t="shared" si="166"/>
        <v>-77.990000000000009</v>
      </c>
      <c r="P1020" s="132" t="s">
        <v>183</v>
      </c>
      <c r="Q1020" s="232"/>
      <c r="R1020" s="411"/>
      <c r="T1020" s="134" t="s">
        <v>324</v>
      </c>
      <c r="U1020" s="266" t="s">
        <v>2547</v>
      </c>
    </row>
    <row r="1021" spans="1:23" ht="24" x14ac:dyDescent="0.25">
      <c r="A1021" s="405">
        <v>3000785</v>
      </c>
      <c r="B1021" s="406">
        <v>42422</v>
      </c>
      <c r="C1021" s="405" t="s">
        <v>327</v>
      </c>
      <c r="D1021" s="401" t="s">
        <v>2540</v>
      </c>
      <c r="E1021" s="120">
        <v>15</v>
      </c>
      <c r="F1021" s="133" t="s">
        <v>2558</v>
      </c>
      <c r="G1021" s="404" t="s">
        <v>45</v>
      </c>
      <c r="H1021" s="411">
        <v>265</v>
      </c>
      <c r="I1021" s="411">
        <v>0</v>
      </c>
      <c r="J1021" s="90">
        <f>-((H1021*0.022)+0.3)</f>
        <v>-6.13</v>
      </c>
      <c r="K1021" s="90">
        <f t="shared" ref="K1021:K1055" si="173">SUM(H1021:J1021)</f>
        <v>258.87</v>
      </c>
      <c r="L1021" s="187">
        <v>3000</v>
      </c>
      <c r="M1021" s="187">
        <v>19.920000000000002</v>
      </c>
      <c r="N1021" s="91">
        <f t="shared" si="167"/>
        <v>64.92</v>
      </c>
      <c r="O1021" s="411">
        <f t="shared" si="166"/>
        <v>193.95</v>
      </c>
      <c r="P1021" s="132" t="s">
        <v>183</v>
      </c>
      <c r="Q1021" s="232"/>
      <c r="R1021" s="411"/>
      <c r="T1021" s="134" t="s">
        <v>324</v>
      </c>
      <c r="U1021" s="267" t="s">
        <v>2559</v>
      </c>
      <c r="W1021" s="153" t="s">
        <v>2544</v>
      </c>
    </row>
    <row r="1022" spans="1:23" x14ac:dyDescent="0.25">
      <c r="A1022" s="405">
        <v>3000786</v>
      </c>
      <c r="B1022" s="406">
        <v>42422</v>
      </c>
      <c r="C1022" s="405" t="s">
        <v>141</v>
      </c>
      <c r="D1022" s="401" t="s">
        <v>2560</v>
      </c>
      <c r="E1022" s="120">
        <v>400</v>
      </c>
      <c r="F1022" s="133" t="s">
        <v>422</v>
      </c>
      <c r="G1022" s="404" t="s">
        <v>45</v>
      </c>
      <c r="H1022" s="411">
        <v>532</v>
      </c>
      <c r="I1022" s="411">
        <v>0</v>
      </c>
      <c r="J1022" s="90">
        <f>-((H1022*0.0325)+0.3)</f>
        <v>-17.59</v>
      </c>
      <c r="K1022" s="90">
        <f t="shared" si="173"/>
        <v>514.41</v>
      </c>
      <c r="L1022" s="131">
        <v>690</v>
      </c>
      <c r="M1022" s="187">
        <v>121.53</v>
      </c>
      <c r="N1022" s="91">
        <f t="shared" si="167"/>
        <v>397.53</v>
      </c>
      <c r="O1022" s="411">
        <f t="shared" si="166"/>
        <v>116.88</v>
      </c>
      <c r="P1022" s="132" t="s">
        <v>52</v>
      </c>
      <c r="Q1022" s="232"/>
      <c r="R1022" s="411"/>
      <c r="T1022" s="134" t="s">
        <v>97</v>
      </c>
      <c r="U1022" s="266">
        <v>2709580171</v>
      </c>
      <c r="V1022" s="133" t="s">
        <v>55</v>
      </c>
      <c r="W1022" s="153" t="s">
        <v>2561</v>
      </c>
    </row>
    <row r="1023" spans="1:23" x14ac:dyDescent="0.25">
      <c r="A1023" s="405">
        <v>3000787</v>
      </c>
      <c r="B1023" s="406">
        <v>42422</v>
      </c>
      <c r="C1023" s="405" t="s">
        <v>56</v>
      </c>
      <c r="D1023" s="401" t="s">
        <v>2562</v>
      </c>
      <c r="E1023" s="120">
        <v>30</v>
      </c>
      <c r="F1023" s="133" t="s">
        <v>2563</v>
      </c>
      <c r="G1023" s="404" t="s">
        <v>45</v>
      </c>
      <c r="H1023" s="411">
        <v>2826.3</v>
      </c>
      <c r="I1023" s="411">
        <v>0</v>
      </c>
      <c r="J1023" s="411">
        <v>0</v>
      </c>
      <c r="K1023" s="90">
        <f t="shared" si="173"/>
        <v>2826.3</v>
      </c>
      <c r="L1023" s="187">
        <v>52334</v>
      </c>
      <c r="N1023" s="91">
        <f t="shared" si="167"/>
        <v>1570.02</v>
      </c>
      <c r="O1023" s="411">
        <f t="shared" si="166"/>
        <v>1256.2800000000002</v>
      </c>
      <c r="P1023" s="132" t="s">
        <v>601</v>
      </c>
      <c r="Q1023" s="232"/>
      <c r="R1023" s="411"/>
      <c r="T1023" s="135" t="s">
        <v>755</v>
      </c>
      <c r="V1023" s="133" t="s">
        <v>2564</v>
      </c>
      <c r="W1023" s="153" t="s">
        <v>2565</v>
      </c>
    </row>
    <row r="1024" spans="1:23" x14ac:dyDescent="0.25">
      <c r="A1024" s="405">
        <v>3000788</v>
      </c>
      <c r="B1024" s="406">
        <v>42422</v>
      </c>
      <c r="C1024" s="405" t="s">
        <v>141</v>
      </c>
      <c r="D1024" s="401" t="s">
        <v>2566</v>
      </c>
      <c r="E1024" s="120">
        <v>8000</v>
      </c>
      <c r="F1024" s="133" t="s">
        <v>2567</v>
      </c>
      <c r="G1024" s="404" t="s">
        <v>45</v>
      </c>
      <c r="H1024" s="411">
        <v>4000</v>
      </c>
      <c r="I1024" s="411">
        <v>0</v>
      </c>
      <c r="J1024" s="90">
        <f>-((H1024*0.0325)+0.3)</f>
        <v>-130.30000000000001</v>
      </c>
      <c r="K1024" s="90">
        <f t="shared" si="173"/>
        <v>3869.7</v>
      </c>
      <c r="M1024" s="158">
        <v>96.02</v>
      </c>
      <c r="N1024" s="91">
        <f t="shared" si="167"/>
        <v>96.02</v>
      </c>
      <c r="O1024" s="411">
        <f t="shared" si="166"/>
        <v>3773.68</v>
      </c>
      <c r="P1024" s="132" t="s">
        <v>52</v>
      </c>
      <c r="Q1024" s="232"/>
      <c r="R1024" s="411"/>
      <c r="T1024" s="134" t="s">
        <v>875</v>
      </c>
      <c r="U1024" s="267" t="s">
        <v>2568</v>
      </c>
      <c r="V1024" s="133" t="s">
        <v>55</v>
      </c>
      <c r="W1024" s="153" t="s">
        <v>2569</v>
      </c>
    </row>
    <row r="1025" spans="1:21" ht="24" x14ac:dyDescent="0.25">
      <c r="A1025" s="405">
        <v>3000789</v>
      </c>
      <c r="B1025" s="406">
        <v>42422</v>
      </c>
      <c r="C1025" s="405" t="s">
        <v>42</v>
      </c>
      <c r="D1025" s="401" t="s">
        <v>2570</v>
      </c>
      <c r="E1025" s="120">
        <v>225</v>
      </c>
      <c r="F1025" s="133" t="s">
        <v>422</v>
      </c>
      <c r="G1025" s="404" t="s">
        <v>45</v>
      </c>
      <c r="H1025" s="411">
        <v>366.17</v>
      </c>
      <c r="I1025" s="89">
        <f t="shared" ref="I1025:I1050" si="174">-(H1025*0.09)</f>
        <v>-32.955300000000001</v>
      </c>
      <c r="J1025" s="90">
        <f t="shared" ref="J1025:J1050" si="175">-((H1025*0.019)+0.3)</f>
        <v>-7.2572299999999998</v>
      </c>
      <c r="K1025" s="90">
        <f t="shared" si="173"/>
        <v>325.95747</v>
      </c>
      <c r="L1025" s="131">
        <v>690</v>
      </c>
      <c r="M1025" s="187">
        <v>74.790000000000006</v>
      </c>
      <c r="N1025" s="91">
        <f t="shared" si="167"/>
        <v>230.04000000000002</v>
      </c>
      <c r="O1025" s="411">
        <f t="shared" si="166"/>
        <v>95.91746999999998</v>
      </c>
      <c r="P1025" s="132" t="s">
        <v>52</v>
      </c>
      <c r="Q1025" s="232"/>
      <c r="R1025" s="411"/>
      <c r="T1025" s="134" t="s">
        <v>145</v>
      </c>
      <c r="U1025" s="267" t="s">
        <v>2571</v>
      </c>
    </row>
    <row r="1026" spans="1:21" ht="24" x14ac:dyDescent="0.25">
      <c r="A1026" s="405">
        <v>3000790</v>
      </c>
      <c r="B1026" s="406">
        <v>42422</v>
      </c>
      <c r="C1026" s="405" t="s">
        <v>42</v>
      </c>
      <c r="D1026" s="401" t="s">
        <v>2572</v>
      </c>
      <c r="E1026" s="120">
        <v>175</v>
      </c>
      <c r="F1026" s="133" t="s">
        <v>247</v>
      </c>
      <c r="G1026" s="404" t="s">
        <v>45</v>
      </c>
      <c r="H1026" s="411">
        <v>212.43</v>
      </c>
      <c r="I1026" s="89">
        <f t="shared" si="174"/>
        <v>-19.1187</v>
      </c>
      <c r="J1026" s="90">
        <f t="shared" si="175"/>
        <v>-4.3361700000000001</v>
      </c>
      <c r="K1026" s="90">
        <f t="shared" si="173"/>
        <v>188.97513000000001</v>
      </c>
      <c r="L1026" s="131">
        <v>480</v>
      </c>
      <c r="M1026" s="187">
        <v>25.5</v>
      </c>
      <c r="N1026" s="91">
        <f t="shared" si="167"/>
        <v>109.50000000000001</v>
      </c>
      <c r="O1026" s="411">
        <f t="shared" si="166"/>
        <v>79.475129999999993</v>
      </c>
      <c r="P1026" s="132" t="s">
        <v>86</v>
      </c>
      <c r="Q1026" s="232"/>
      <c r="R1026" s="411"/>
      <c r="T1026" s="134" t="s">
        <v>145</v>
      </c>
      <c r="U1026" s="267" t="s">
        <v>2573</v>
      </c>
    </row>
    <row r="1027" spans="1:21" ht="24" x14ac:dyDescent="0.25">
      <c r="A1027" s="405">
        <v>3000791</v>
      </c>
      <c r="B1027" s="406">
        <v>42422</v>
      </c>
      <c r="C1027" s="405" t="s">
        <v>42</v>
      </c>
      <c r="D1027" s="401" t="s">
        <v>2574</v>
      </c>
      <c r="E1027" s="120">
        <v>200</v>
      </c>
      <c r="F1027" s="133" t="s">
        <v>2408</v>
      </c>
      <c r="G1027" s="404" t="s">
        <v>45</v>
      </c>
      <c r="H1027" s="411">
        <v>437.1</v>
      </c>
      <c r="I1027" s="89">
        <f t="shared" si="174"/>
        <v>-39.338999999999999</v>
      </c>
      <c r="J1027" s="90">
        <f t="shared" si="175"/>
        <v>-8.6049000000000007</v>
      </c>
      <c r="K1027" s="90">
        <f t="shared" si="173"/>
        <v>389.15610000000004</v>
      </c>
      <c r="L1027" s="187">
        <v>1426</v>
      </c>
      <c r="M1027" s="187">
        <v>70.319999999999993</v>
      </c>
      <c r="N1027" s="91">
        <f t="shared" si="167"/>
        <v>355.52</v>
      </c>
      <c r="O1027" s="411">
        <f t="shared" si="166"/>
        <v>33.636100000000056</v>
      </c>
      <c r="P1027" s="132" t="s">
        <v>926</v>
      </c>
      <c r="Q1027" s="232"/>
      <c r="R1027" s="411"/>
      <c r="T1027" s="134" t="s">
        <v>145</v>
      </c>
      <c r="U1027" s="267" t="s">
        <v>2575</v>
      </c>
    </row>
    <row r="1028" spans="1:21" ht="24" x14ac:dyDescent="0.25">
      <c r="A1028" s="405">
        <v>3000792</v>
      </c>
      <c r="B1028" s="406">
        <v>42422</v>
      </c>
      <c r="C1028" s="405" t="s">
        <v>42</v>
      </c>
      <c r="D1028" s="401" t="s">
        <v>2576</v>
      </c>
      <c r="E1028" s="120">
        <v>100</v>
      </c>
      <c r="F1028" s="133" t="s">
        <v>605</v>
      </c>
      <c r="G1028" s="404" t="s">
        <v>45</v>
      </c>
      <c r="H1028" s="411">
        <v>151.03</v>
      </c>
      <c r="I1028" s="89">
        <f t="shared" si="174"/>
        <v>-13.592699999999999</v>
      </c>
      <c r="J1028" s="90">
        <f t="shared" si="175"/>
        <v>-3.1695699999999998</v>
      </c>
      <c r="K1028" s="90">
        <f t="shared" si="173"/>
        <v>134.26773</v>
      </c>
      <c r="L1028" s="131">
        <v>600</v>
      </c>
      <c r="M1028" s="187">
        <v>36.75</v>
      </c>
      <c r="N1028" s="91">
        <f t="shared" si="167"/>
        <v>96.75</v>
      </c>
      <c r="O1028" s="411">
        <f t="shared" si="166"/>
        <v>37.51773</v>
      </c>
      <c r="P1028" s="132" t="s">
        <v>52</v>
      </c>
      <c r="Q1028" s="232"/>
      <c r="R1028" s="411"/>
      <c r="T1028" s="134" t="s">
        <v>145</v>
      </c>
      <c r="U1028" s="267" t="s">
        <v>2577</v>
      </c>
    </row>
    <row r="1029" spans="1:21" ht="24" x14ac:dyDescent="0.25">
      <c r="A1029" s="405">
        <v>3000793</v>
      </c>
      <c r="B1029" s="406">
        <v>42422</v>
      </c>
      <c r="C1029" s="405" t="s">
        <v>42</v>
      </c>
      <c r="D1029" s="401" t="s">
        <v>2578</v>
      </c>
      <c r="E1029" s="120">
        <v>200</v>
      </c>
      <c r="F1029" s="133" t="s">
        <v>2416</v>
      </c>
      <c r="G1029" s="404" t="s">
        <v>45</v>
      </c>
      <c r="H1029" s="411">
        <v>302.07</v>
      </c>
      <c r="I1029" s="89">
        <f t="shared" si="174"/>
        <v>-27.186299999999999</v>
      </c>
      <c r="J1029" s="90">
        <f t="shared" si="175"/>
        <v>-6.0393299999999996</v>
      </c>
      <c r="K1029" s="90">
        <f t="shared" si="173"/>
        <v>268.84436999999997</v>
      </c>
      <c r="L1029" s="131">
        <v>600</v>
      </c>
      <c r="M1029" s="187">
        <v>45.66</v>
      </c>
      <c r="N1029" s="91">
        <f t="shared" si="167"/>
        <v>165.66</v>
      </c>
      <c r="O1029" s="411">
        <f t="shared" si="166"/>
        <v>103.18436999999997</v>
      </c>
      <c r="P1029" s="132" t="s">
        <v>52</v>
      </c>
      <c r="Q1029" s="232"/>
      <c r="R1029" s="411"/>
      <c r="T1029" s="134" t="s">
        <v>145</v>
      </c>
      <c r="U1029" s="267" t="s">
        <v>2579</v>
      </c>
    </row>
    <row r="1030" spans="1:21" ht="24" x14ac:dyDescent="0.25">
      <c r="A1030" s="405">
        <v>3000794</v>
      </c>
      <c r="B1030" s="406">
        <v>42422</v>
      </c>
      <c r="C1030" s="405" t="s">
        <v>42</v>
      </c>
      <c r="D1030" s="401" t="s">
        <v>2580</v>
      </c>
      <c r="E1030" s="120">
        <v>175</v>
      </c>
      <c r="F1030" s="133" t="s">
        <v>247</v>
      </c>
      <c r="G1030" s="404" t="s">
        <v>45</v>
      </c>
      <c r="H1030" s="411">
        <v>212.43</v>
      </c>
      <c r="I1030" s="89">
        <f t="shared" si="174"/>
        <v>-19.1187</v>
      </c>
      <c r="J1030" s="90">
        <f t="shared" si="175"/>
        <v>-4.3361700000000001</v>
      </c>
      <c r="K1030" s="90">
        <f t="shared" si="173"/>
        <v>188.97513000000001</v>
      </c>
      <c r="L1030" s="131">
        <v>480</v>
      </c>
      <c r="M1030" s="187">
        <v>38.200000000000003</v>
      </c>
      <c r="N1030" s="91">
        <f t="shared" si="167"/>
        <v>122.20000000000002</v>
      </c>
      <c r="O1030" s="411">
        <f t="shared" si="166"/>
        <v>66.77512999999999</v>
      </c>
      <c r="P1030" s="132" t="s">
        <v>86</v>
      </c>
      <c r="Q1030" s="232"/>
      <c r="R1030" s="411"/>
      <c r="T1030" s="134" t="s">
        <v>145</v>
      </c>
      <c r="U1030" s="267" t="s">
        <v>2581</v>
      </c>
    </row>
    <row r="1031" spans="1:21" ht="24" x14ac:dyDescent="0.25">
      <c r="A1031" s="405">
        <v>3000795</v>
      </c>
      <c r="B1031" s="406">
        <v>42422</v>
      </c>
      <c r="C1031" s="405" t="s">
        <v>42</v>
      </c>
      <c r="D1031" s="401" t="s">
        <v>2582</v>
      </c>
      <c r="E1031" s="120">
        <v>100</v>
      </c>
      <c r="F1031" s="133" t="s">
        <v>288</v>
      </c>
      <c r="G1031" s="404" t="s">
        <v>45</v>
      </c>
      <c r="H1031" s="411">
        <v>187.16</v>
      </c>
      <c r="I1031" s="89">
        <f t="shared" si="174"/>
        <v>-16.8444</v>
      </c>
      <c r="J1031" s="90">
        <f t="shared" si="175"/>
        <v>-3.8560399999999997</v>
      </c>
      <c r="K1031" s="90">
        <f t="shared" si="173"/>
        <v>166.45955999999998</v>
      </c>
      <c r="L1031" s="131">
        <v>1069</v>
      </c>
      <c r="M1031" s="187">
        <v>12.01</v>
      </c>
      <c r="N1031" s="91">
        <f t="shared" si="167"/>
        <v>118.91000000000001</v>
      </c>
      <c r="O1031" s="411">
        <f t="shared" si="166"/>
        <v>47.549559999999971</v>
      </c>
      <c r="P1031" s="132" t="s">
        <v>86</v>
      </c>
      <c r="Q1031" s="232"/>
      <c r="R1031" s="411"/>
      <c r="T1031" s="134" t="s">
        <v>145</v>
      </c>
      <c r="U1031" s="267" t="s">
        <v>2583</v>
      </c>
    </row>
    <row r="1032" spans="1:21" ht="24" x14ac:dyDescent="0.25">
      <c r="A1032" s="405">
        <v>3000796</v>
      </c>
      <c r="B1032" s="406">
        <v>42422</v>
      </c>
      <c r="C1032" s="405" t="s">
        <v>42</v>
      </c>
      <c r="D1032" s="401" t="s">
        <v>2584</v>
      </c>
      <c r="E1032" s="120">
        <v>100</v>
      </c>
      <c r="F1032" s="133" t="s">
        <v>217</v>
      </c>
      <c r="G1032" s="404" t="s">
        <v>45</v>
      </c>
      <c r="H1032" s="411">
        <v>235</v>
      </c>
      <c r="I1032" s="89">
        <f t="shared" si="174"/>
        <v>-21.15</v>
      </c>
      <c r="J1032" s="90">
        <f t="shared" si="175"/>
        <v>-4.7649999999999997</v>
      </c>
      <c r="K1032" s="90">
        <f t="shared" si="173"/>
        <v>209.08500000000001</v>
      </c>
      <c r="L1032" s="131">
        <v>1350</v>
      </c>
      <c r="M1032" s="187">
        <v>41.48</v>
      </c>
      <c r="N1032" s="91">
        <f t="shared" si="167"/>
        <v>176.48</v>
      </c>
      <c r="O1032" s="411">
        <f t="shared" si="166"/>
        <v>32.605000000000018</v>
      </c>
      <c r="P1032" s="132" t="s">
        <v>52</v>
      </c>
      <c r="Q1032" s="232"/>
      <c r="R1032" s="411"/>
      <c r="T1032" s="134" t="s">
        <v>145</v>
      </c>
      <c r="U1032" s="267" t="s">
        <v>2585</v>
      </c>
    </row>
    <row r="1033" spans="1:21" ht="24" x14ac:dyDescent="0.25">
      <c r="A1033" s="405">
        <v>3000797</v>
      </c>
      <c r="B1033" s="406">
        <v>42422</v>
      </c>
      <c r="C1033" s="405" t="s">
        <v>42</v>
      </c>
      <c r="D1033" s="401" t="s">
        <v>2586</v>
      </c>
      <c r="E1033" s="120">
        <v>200</v>
      </c>
      <c r="F1033" s="133" t="s">
        <v>217</v>
      </c>
      <c r="G1033" s="404" t="s">
        <v>45</v>
      </c>
      <c r="H1033" s="411">
        <v>427.02</v>
      </c>
      <c r="I1033" s="89">
        <f t="shared" si="174"/>
        <v>-38.431799999999996</v>
      </c>
      <c r="J1033" s="90">
        <f t="shared" si="175"/>
        <v>-8.4133800000000001</v>
      </c>
      <c r="K1033" s="90">
        <f t="shared" si="173"/>
        <v>380.17481999999995</v>
      </c>
      <c r="L1033" s="131">
        <v>1350</v>
      </c>
      <c r="M1033" s="187">
        <v>81.849999999999994</v>
      </c>
      <c r="N1033" s="91">
        <f t="shared" si="167"/>
        <v>351.85</v>
      </c>
      <c r="O1033" s="411">
        <f t="shared" ref="O1033:O1096" si="176">K1033-N1033</f>
        <v>28.324819999999931</v>
      </c>
      <c r="P1033" s="132" t="s">
        <v>52</v>
      </c>
      <c r="Q1033" s="232"/>
      <c r="R1033" s="411"/>
      <c r="T1033" s="134" t="s">
        <v>145</v>
      </c>
      <c r="U1033" s="267" t="s">
        <v>2587</v>
      </c>
    </row>
    <row r="1034" spans="1:21" ht="24" x14ac:dyDescent="0.25">
      <c r="A1034" s="405">
        <v>3000798</v>
      </c>
      <c r="B1034" s="406">
        <v>42422</v>
      </c>
      <c r="C1034" s="405" t="s">
        <v>42</v>
      </c>
      <c r="D1034" s="401" t="s">
        <v>2588</v>
      </c>
      <c r="E1034" s="120">
        <v>125</v>
      </c>
      <c r="F1034" s="133" t="s">
        <v>2416</v>
      </c>
      <c r="G1034" s="404" t="s">
        <v>45</v>
      </c>
      <c r="H1034" s="411">
        <v>188.79</v>
      </c>
      <c r="I1034" s="89">
        <f t="shared" si="174"/>
        <v>-16.991099999999999</v>
      </c>
      <c r="J1034" s="90">
        <f t="shared" si="175"/>
        <v>-3.8870099999999996</v>
      </c>
      <c r="K1034" s="90">
        <f t="shared" si="173"/>
        <v>167.91189</v>
      </c>
      <c r="L1034" s="131">
        <v>600</v>
      </c>
      <c r="M1034" s="187">
        <v>44.49</v>
      </c>
      <c r="N1034" s="91">
        <f t="shared" si="167"/>
        <v>119.49000000000001</v>
      </c>
      <c r="O1034" s="411">
        <f t="shared" si="176"/>
        <v>48.421889999999991</v>
      </c>
      <c r="P1034" s="132" t="s">
        <v>52</v>
      </c>
      <c r="Q1034" s="232"/>
      <c r="R1034" s="411"/>
      <c r="T1034" s="134" t="s">
        <v>145</v>
      </c>
      <c r="U1034" s="267" t="s">
        <v>2589</v>
      </c>
    </row>
    <row r="1035" spans="1:21" ht="24" x14ac:dyDescent="0.25">
      <c r="A1035" s="405">
        <v>3000799</v>
      </c>
      <c r="B1035" s="406">
        <v>42422</v>
      </c>
      <c r="C1035" s="405" t="s">
        <v>42</v>
      </c>
      <c r="D1035" s="401" t="s">
        <v>2590</v>
      </c>
      <c r="E1035" s="120">
        <v>150</v>
      </c>
      <c r="F1035" s="133" t="s">
        <v>173</v>
      </c>
      <c r="G1035" s="404" t="s">
        <v>45</v>
      </c>
      <c r="H1035" s="411">
        <v>161.06</v>
      </c>
      <c r="I1035" s="89">
        <f t="shared" si="174"/>
        <v>-14.4954</v>
      </c>
      <c r="J1035" s="90">
        <f t="shared" si="175"/>
        <v>-3.3601399999999999</v>
      </c>
      <c r="K1035" s="90">
        <f t="shared" si="173"/>
        <v>143.20446000000001</v>
      </c>
      <c r="L1035" s="131">
        <v>399</v>
      </c>
      <c r="M1035" s="187">
        <v>44.85</v>
      </c>
      <c r="N1035" s="91">
        <f t="shared" si="167"/>
        <v>104.69999999999999</v>
      </c>
      <c r="O1035" s="411">
        <f t="shared" si="176"/>
        <v>38.504460000000023</v>
      </c>
      <c r="P1035" s="132" t="s">
        <v>52</v>
      </c>
      <c r="Q1035" s="232"/>
      <c r="R1035" s="411"/>
      <c r="T1035" s="134" t="s">
        <v>145</v>
      </c>
      <c r="U1035" s="267" t="s">
        <v>2591</v>
      </c>
    </row>
    <row r="1036" spans="1:21" ht="24" x14ac:dyDescent="0.25">
      <c r="A1036" s="405">
        <v>3000800</v>
      </c>
      <c r="B1036" s="406">
        <v>42422</v>
      </c>
      <c r="C1036" s="405" t="s">
        <v>42</v>
      </c>
      <c r="D1036" s="401" t="s">
        <v>2592</v>
      </c>
      <c r="E1036" s="120">
        <v>75</v>
      </c>
      <c r="F1036" s="133" t="s">
        <v>1273</v>
      </c>
      <c r="G1036" s="404" t="s">
        <v>45</v>
      </c>
      <c r="H1036" s="411">
        <v>160</v>
      </c>
      <c r="I1036" s="89">
        <f t="shared" si="174"/>
        <v>-14.399999999999999</v>
      </c>
      <c r="J1036" s="90">
        <f t="shared" si="175"/>
        <v>-3.34</v>
      </c>
      <c r="K1036" s="90">
        <f t="shared" si="173"/>
        <v>142.26</v>
      </c>
      <c r="L1036" s="131">
        <v>616</v>
      </c>
      <c r="M1036" s="187">
        <v>31.93</v>
      </c>
      <c r="N1036" s="91">
        <f t="shared" ref="N1036:N1099" si="177">((L1036)*(E1036*0.001))+M1036</f>
        <v>78.13</v>
      </c>
      <c r="O1036" s="411">
        <f t="shared" si="176"/>
        <v>64.13</v>
      </c>
      <c r="P1036" s="132" t="s">
        <v>52</v>
      </c>
      <c r="Q1036" s="232"/>
      <c r="R1036" s="411"/>
      <c r="T1036" s="134" t="s">
        <v>145</v>
      </c>
      <c r="U1036" s="267" t="s">
        <v>2593</v>
      </c>
    </row>
    <row r="1037" spans="1:21" ht="24" x14ac:dyDescent="0.25">
      <c r="A1037" s="405">
        <v>3000801</v>
      </c>
      <c r="B1037" s="406">
        <v>42422</v>
      </c>
      <c r="C1037" s="405" t="s">
        <v>42</v>
      </c>
      <c r="D1037" s="401" t="s">
        <v>2291</v>
      </c>
      <c r="E1037" s="120">
        <v>250</v>
      </c>
      <c r="F1037" s="133" t="s">
        <v>1137</v>
      </c>
      <c r="G1037" s="404" t="s">
        <v>45</v>
      </c>
      <c r="H1037" s="411">
        <v>125.4</v>
      </c>
      <c r="I1037" s="89">
        <f t="shared" si="174"/>
        <v>-11.286</v>
      </c>
      <c r="J1037" s="90">
        <f t="shared" si="175"/>
        <v>-2.6825999999999999</v>
      </c>
      <c r="K1037" s="90">
        <f t="shared" si="173"/>
        <v>111.43140000000001</v>
      </c>
      <c r="L1037" s="131">
        <v>250</v>
      </c>
      <c r="M1037" s="187">
        <v>28.23</v>
      </c>
      <c r="N1037" s="91">
        <f t="shared" si="177"/>
        <v>90.73</v>
      </c>
      <c r="O1037" s="411">
        <f t="shared" si="176"/>
        <v>20.701400000000007</v>
      </c>
      <c r="P1037" s="132" t="s">
        <v>52</v>
      </c>
      <c r="Q1037" s="232"/>
      <c r="R1037" s="411"/>
      <c r="T1037" s="134" t="s">
        <v>145</v>
      </c>
      <c r="U1037" s="267" t="s">
        <v>2594</v>
      </c>
    </row>
    <row r="1038" spans="1:21" ht="24" x14ac:dyDescent="0.25">
      <c r="A1038" s="405">
        <v>3000802</v>
      </c>
      <c r="B1038" s="406">
        <v>42422</v>
      </c>
      <c r="C1038" s="405" t="s">
        <v>42</v>
      </c>
      <c r="D1038" s="401" t="s">
        <v>2595</v>
      </c>
      <c r="E1038" s="120">
        <v>400</v>
      </c>
      <c r="F1038" s="133" t="s">
        <v>227</v>
      </c>
      <c r="G1038" s="404" t="s">
        <v>45</v>
      </c>
      <c r="H1038" s="411">
        <v>300.08999999999997</v>
      </c>
      <c r="I1038" s="89">
        <f t="shared" si="174"/>
        <v>-27.008099999999995</v>
      </c>
      <c r="J1038" s="90">
        <f t="shared" si="175"/>
        <v>-6.0017099999999992</v>
      </c>
      <c r="K1038" s="90">
        <f t="shared" si="173"/>
        <v>267.08018999999996</v>
      </c>
      <c r="L1038" s="131">
        <v>350</v>
      </c>
      <c r="M1038" s="187">
        <v>55</v>
      </c>
      <c r="N1038" s="91">
        <f t="shared" si="177"/>
        <v>195</v>
      </c>
      <c r="O1038" s="411">
        <f t="shared" si="176"/>
        <v>72.080189999999959</v>
      </c>
      <c r="P1038" s="132" t="s">
        <v>52</v>
      </c>
      <c r="Q1038" s="232"/>
      <c r="R1038" s="411"/>
      <c r="T1038" s="134" t="s">
        <v>145</v>
      </c>
      <c r="U1038" s="267" t="s">
        <v>2596</v>
      </c>
    </row>
    <row r="1039" spans="1:21" ht="24" x14ac:dyDescent="0.25">
      <c r="A1039" s="405">
        <v>3000803</v>
      </c>
      <c r="B1039" s="406">
        <v>42422</v>
      </c>
      <c r="C1039" s="405" t="s">
        <v>42</v>
      </c>
      <c r="D1039" s="401" t="s">
        <v>2597</v>
      </c>
      <c r="E1039" s="120">
        <v>250</v>
      </c>
      <c r="F1039" s="133" t="s">
        <v>1042</v>
      </c>
      <c r="G1039" s="404" t="s">
        <v>45</v>
      </c>
      <c r="H1039" s="411">
        <v>79.8</v>
      </c>
      <c r="I1039" s="89">
        <f t="shared" si="174"/>
        <v>-7.1819999999999995</v>
      </c>
      <c r="J1039" s="90">
        <f t="shared" si="175"/>
        <v>-1.8162</v>
      </c>
      <c r="K1039" s="90">
        <f t="shared" si="173"/>
        <v>70.8018</v>
      </c>
      <c r="M1039" s="187">
        <v>15.05</v>
      </c>
      <c r="N1039" s="91">
        <f t="shared" si="177"/>
        <v>15.05</v>
      </c>
      <c r="O1039" s="411">
        <f t="shared" si="176"/>
        <v>55.751800000000003</v>
      </c>
      <c r="P1039" s="132" t="s">
        <v>52</v>
      </c>
      <c r="Q1039" s="232"/>
      <c r="R1039" s="411"/>
      <c r="T1039" s="134" t="s">
        <v>145</v>
      </c>
      <c r="U1039" s="267" t="s">
        <v>2598</v>
      </c>
    </row>
    <row r="1040" spans="1:21" ht="24" x14ac:dyDescent="0.25">
      <c r="A1040" s="405">
        <v>3000804</v>
      </c>
      <c r="B1040" s="406">
        <v>42422</v>
      </c>
      <c r="C1040" s="405" t="s">
        <v>42</v>
      </c>
      <c r="D1040" s="401" t="s">
        <v>2599</v>
      </c>
      <c r="E1040" s="120">
        <v>100</v>
      </c>
      <c r="F1040" s="133" t="s">
        <v>431</v>
      </c>
      <c r="G1040" s="404" t="s">
        <v>45</v>
      </c>
      <c r="H1040" s="411">
        <v>216.11</v>
      </c>
      <c r="I1040" s="89">
        <f t="shared" si="174"/>
        <v>-19.4499</v>
      </c>
      <c r="J1040" s="90">
        <f t="shared" si="175"/>
        <v>-4.4060899999999998</v>
      </c>
      <c r="K1040" s="90">
        <f t="shared" si="173"/>
        <v>192.25400999999999</v>
      </c>
      <c r="L1040" s="131">
        <v>1143.07</v>
      </c>
      <c r="M1040" s="187">
        <v>45.08</v>
      </c>
      <c r="N1040" s="91">
        <f t="shared" si="177"/>
        <v>159.387</v>
      </c>
      <c r="O1040" s="411">
        <f t="shared" si="176"/>
        <v>32.867009999999993</v>
      </c>
      <c r="P1040" s="132" t="s">
        <v>52</v>
      </c>
      <c r="Q1040" s="232"/>
      <c r="R1040" s="411"/>
      <c r="T1040" s="134" t="s">
        <v>145</v>
      </c>
      <c r="U1040" s="267" t="s">
        <v>2600</v>
      </c>
    </row>
    <row r="1041" spans="1:23" ht="24" x14ac:dyDescent="0.25">
      <c r="A1041" s="405">
        <v>3000805</v>
      </c>
      <c r="B1041" s="406">
        <v>42422</v>
      </c>
      <c r="C1041" s="405" t="s">
        <v>42</v>
      </c>
      <c r="D1041" s="401" t="s">
        <v>2601</v>
      </c>
      <c r="E1041" s="120">
        <v>100</v>
      </c>
      <c r="F1041" s="133" t="s">
        <v>217</v>
      </c>
      <c r="G1041" s="404" t="s">
        <v>45</v>
      </c>
      <c r="H1041" s="411">
        <v>235</v>
      </c>
      <c r="I1041" s="89">
        <f t="shared" si="174"/>
        <v>-21.15</v>
      </c>
      <c r="J1041" s="90">
        <f t="shared" si="175"/>
        <v>-4.7649999999999997</v>
      </c>
      <c r="K1041" s="90">
        <f t="shared" si="173"/>
        <v>209.08500000000001</v>
      </c>
      <c r="L1041" s="131">
        <v>1350</v>
      </c>
      <c r="M1041" s="187">
        <v>27.28</v>
      </c>
      <c r="N1041" s="91">
        <f t="shared" si="177"/>
        <v>162.28</v>
      </c>
      <c r="O1041" s="411">
        <f t="shared" si="176"/>
        <v>46.805000000000007</v>
      </c>
      <c r="P1041" s="132" t="s">
        <v>52</v>
      </c>
      <c r="Q1041" s="232"/>
      <c r="R1041" s="411"/>
      <c r="T1041" s="134" t="s">
        <v>145</v>
      </c>
      <c r="U1041" s="267" t="s">
        <v>2602</v>
      </c>
    </row>
    <row r="1042" spans="1:23" ht="24" x14ac:dyDescent="0.25">
      <c r="A1042" s="405">
        <v>3000806</v>
      </c>
      <c r="B1042" s="406">
        <v>42422</v>
      </c>
      <c r="C1042" s="405" t="s">
        <v>42</v>
      </c>
      <c r="D1042" s="401" t="s">
        <v>2603</v>
      </c>
      <c r="E1042" s="120">
        <v>150</v>
      </c>
      <c r="F1042" s="133" t="s">
        <v>227</v>
      </c>
      <c r="G1042" s="404" t="s">
        <v>45</v>
      </c>
      <c r="H1042" s="411">
        <v>121.64</v>
      </c>
      <c r="I1042" s="89">
        <f t="shared" si="174"/>
        <v>-10.9476</v>
      </c>
      <c r="J1042" s="90">
        <f t="shared" si="175"/>
        <v>-2.6111599999999999</v>
      </c>
      <c r="K1042" s="90">
        <f t="shared" si="173"/>
        <v>108.08124000000001</v>
      </c>
      <c r="L1042" s="131">
        <v>350</v>
      </c>
      <c r="M1042" s="187">
        <v>38.090000000000003</v>
      </c>
      <c r="N1042" s="91">
        <f t="shared" si="177"/>
        <v>90.59</v>
      </c>
      <c r="O1042" s="411">
        <f t="shared" si="176"/>
        <v>17.491240000000005</v>
      </c>
      <c r="P1042" s="132" t="s">
        <v>52</v>
      </c>
      <c r="Q1042" s="232"/>
      <c r="R1042" s="411"/>
      <c r="T1042" s="134" t="s">
        <v>145</v>
      </c>
      <c r="U1042" s="267" t="s">
        <v>2604</v>
      </c>
    </row>
    <row r="1043" spans="1:23" ht="24" x14ac:dyDescent="0.25">
      <c r="A1043" s="405">
        <v>3000807</v>
      </c>
      <c r="B1043" s="406">
        <v>42422</v>
      </c>
      <c r="C1043" s="405" t="s">
        <v>42</v>
      </c>
      <c r="D1043" s="401" t="s">
        <v>2605</v>
      </c>
      <c r="E1043" s="120">
        <v>150</v>
      </c>
      <c r="F1043" s="133" t="s">
        <v>247</v>
      </c>
      <c r="G1043" s="404" t="s">
        <v>45</v>
      </c>
      <c r="H1043" s="411">
        <v>182.08</v>
      </c>
      <c r="I1043" s="89">
        <f t="shared" si="174"/>
        <v>-16.3872</v>
      </c>
      <c r="J1043" s="90">
        <f t="shared" si="175"/>
        <v>-3.7595200000000002</v>
      </c>
      <c r="K1043" s="90">
        <f t="shared" si="173"/>
        <v>161.93328</v>
      </c>
      <c r="L1043" s="131">
        <v>480</v>
      </c>
      <c r="M1043" s="187">
        <v>32.67</v>
      </c>
      <c r="N1043" s="91">
        <f t="shared" si="177"/>
        <v>104.67</v>
      </c>
      <c r="O1043" s="411">
        <f t="shared" si="176"/>
        <v>57.263279999999995</v>
      </c>
      <c r="P1043" s="132" t="s">
        <v>86</v>
      </c>
      <c r="Q1043" s="232"/>
      <c r="R1043" s="411"/>
      <c r="T1043" s="134" t="s">
        <v>145</v>
      </c>
      <c r="U1043" s="267" t="s">
        <v>2606</v>
      </c>
    </row>
    <row r="1044" spans="1:23" ht="24" x14ac:dyDescent="0.25">
      <c r="A1044" s="405">
        <v>3000808</v>
      </c>
      <c r="B1044" s="406">
        <v>42422</v>
      </c>
      <c r="C1044" s="405" t="s">
        <v>42</v>
      </c>
      <c r="D1044" s="401" t="s">
        <v>2607</v>
      </c>
      <c r="E1044" s="120">
        <v>100</v>
      </c>
      <c r="F1044" s="133" t="s">
        <v>431</v>
      </c>
      <c r="G1044" s="404" t="s">
        <v>45</v>
      </c>
      <c r="H1044" s="411">
        <v>216.11</v>
      </c>
      <c r="I1044" s="89">
        <f t="shared" si="174"/>
        <v>-19.4499</v>
      </c>
      <c r="J1044" s="90">
        <f t="shared" si="175"/>
        <v>-4.4060899999999998</v>
      </c>
      <c r="K1044" s="90">
        <f t="shared" si="173"/>
        <v>192.25400999999999</v>
      </c>
      <c r="L1044" s="131">
        <v>1143.07</v>
      </c>
      <c r="M1044" s="187">
        <v>41.43</v>
      </c>
      <c r="N1044" s="91">
        <f t="shared" si="177"/>
        <v>155.73699999999999</v>
      </c>
      <c r="O1044" s="411">
        <f t="shared" si="176"/>
        <v>36.517009999999999</v>
      </c>
      <c r="P1044" s="132" t="s">
        <v>52</v>
      </c>
      <c r="Q1044" s="232"/>
      <c r="R1044" s="411"/>
      <c r="T1044" s="134" t="s">
        <v>145</v>
      </c>
      <c r="U1044" s="267" t="s">
        <v>2608</v>
      </c>
    </row>
    <row r="1045" spans="1:23" ht="24" x14ac:dyDescent="0.25">
      <c r="A1045" s="405">
        <v>3000809</v>
      </c>
      <c r="B1045" s="406">
        <v>42422</v>
      </c>
      <c r="C1045" s="405" t="s">
        <v>42</v>
      </c>
      <c r="D1045" s="401" t="s">
        <v>2609</v>
      </c>
      <c r="E1045" s="120">
        <v>200</v>
      </c>
      <c r="F1045" s="133" t="s">
        <v>2610</v>
      </c>
      <c r="G1045" s="404" t="s">
        <v>45</v>
      </c>
      <c r="H1045" s="411">
        <v>212.8</v>
      </c>
      <c r="I1045" s="89">
        <f t="shared" si="174"/>
        <v>-19.152000000000001</v>
      </c>
      <c r="J1045" s="90">
        <f t="shared" si="175"/>
        <v>-4.3431999999999995</v>
      </c>
      <c r="K1045" s="90">
        <f t="shared" si="173"/>
        <v>189.30480000000003</v>
      </c>
      <c r="L1045" s="187">
        <v>508</v>
      </c>
      <c r="M1045" s="187">
        <v>28.06</v>
      </c>
      <c r="N1045" s="91">
        <f t="shared" si="177"/>
        <v>129.66</v>
      </c>
      <c r="O1045" s="411">
        <f t="shared" si="176"/>
        <v>59.644800000000032</v>
      </c>
      <c r="P1045" s="132" t="s">
        <v>183</v>
      </c>
      <c r="Q1045" s="232"/>
      <c r="R1045" s="411"/>
      <c r="T1045" s="134" t="s">
        <v>145</v>
      </c>
      <c r="U1045" s="267" t="s">
        <v>2611</v>
      </c>
    </row>
    <row r="1046" spans="1:23" ht="24" x14ac:dyDescent="0.25">
      <c r="A1046" s="405">
        <v>3000810</v>
      </c>
      <c r="B1046" s="406">
        <v>42422</v>
      </c>
      <c r="C1046" s="405" t="s">
        <v>42</v>
      </c>
      <c r="D1046" s="401" t="s">
        <v>2612</v>
      </c>
      <c r="E1046" s="120">
        <v>50</v>
      </c>
      <c r="F1046" s="133" t="s">
        <v>1507</v>
      </c>
      <c r="G1046" s="404" t="s">
        <v>45</v>
      </c>
      <c r="H1046" s="411">
        <v>153.62</v>
      </c>
      <c r="I1046" s="89">
        <f t="shared" si="174"/>
        <v>-13.825799999999999</v>
      </c>
      <c r="J1046" s="90">
        <f t="shared" si="175"/>
        <v>-3.2187799999999998</v>
      </c>
      <c r="K1046" s="90">
        <f t="shared" si="173"/>
        <v>136.57542000000001</v>
      </c>
      <c r="L1046" s="131">
        <v>2280</v>
      </c>
      <c r="M1046" s="187">
        <v>155.25</v>
      </c>
      <c r="N1046" s="91">
        <v>114</v>
      </c>
      <c r="O1046" s="411">
        <f t="shared" si="176"/>
        <v>22.575420000000008</v>
      </c>
      <c r="P1046" s="132" t="s">
        <v>926</v>
      </c>
      <c r="Q1046" s="232"/>
      <c r="R1046" s="411"/>
      <c r="T1046" s="134" t="s">
        <v>145</v>
      </c>
      <c r="U1046" s="267" t="s">
        <v>2613</v>
      </c>
    </row>
    <row r="1047" spans="1:23" ht="24" x14ac:dyDescent="0.25">
      <c r="A1047" s="405">
        <v>3000811</v>
      </c>
      <c r="B1047" s="406">
        <v>42422</v>
      </c>
      <c r="C1047" s="405" t="s">
        <v>42</v>
      </c>
      <c r="D1047" s="401" t="s">
        <v>2614</v>
      </c>
      <c r="E1047" s="120">
        <v>200</v>
      </c>
      <c r="F1047" s="133" t="s">
        <v>983</v>
      </c>
      <c r="G1047" s="404" t="s">
        <v>45</v>
      </c>
      <c r="H1047" s="411">
        <v>140</v>
      </c>
      <c r="I1047" s="89">
        <f t="shared" si="174"/>
        <v>-12.6</v>
      </c>
      <c r="J1047" s="90">
        <f t="shared" si="175"/>
        <v>-2.96</v>
      </c>
      <c r="K1047" s="90">
        <f t="shared" si="173"/>
        <v>124.44000000000001</v>
      </c>
      <c r="L1047" s="131">
        <v>350</v>
      </c>
      <c r="M1047" s="187">
        <v>43.23</v>
      </c>
      <c r="N1047" s="91">
        <f t="shared" si="177"/>
        <v>113.22999999999999</v>
      </c>
      <c r="O1047" s="411">
        <f t="shared" si="176"/>
        <v>11.210000000000022</v>
      </c>
      <c r="P1047" s="132" t="s">
        <v>52</v>
      </c>
      <c r="Q1047" s="232"/>
      <c r="R1047" s="411"/>
      <c r="T1047" s="134" t="s">
        <v>145</v>
      </c>
      <c r="U1047" s="267" t="s">
        <v>2615</v>
      </c>
    </row>
    <row r="1048" spans="1:23" ht="24" x14ac:dyDescent="0.25">
      <c r="A1048" s="405">
        <v>3000812</v>
      </c>
      <c r="B1048" s="406">
        <v>42422</v>
      </c>
      <c r="C1048" s="405" t="s">
        <v>42</v>
      </c>
      <c r="D1048" s="401" t="s">
        <v>2616</v>
      </c>
      <c r="E1048" s="120">
        <v>125</v>
      </c>
      <c r="F1048" s="133" t="s">
        <v>2416</v>
      </c>
      <c r="G1048" s="404" t="s">
        <v>45</v>
      </c>
      <c r="H1048" s="411">
        <v>188.79</v>
      </c>
      <c r="I1048" s="89">
        <f t="shared" si="174"/>
        <v>-16.991099999999999</v>
      </c>
      <c r="J1048" s="90">
        <f t="shared" si="175"/>
        <v>-3.8870099999999996</v>
      </c>
      <c r="K1048" s="90">
        <f t="shared" si="173"/>
        <v>167.91189</v>
      </c>
      <c r="L1048" s="131">
        <v>600</v>
      </c>
      <c r="M1048" s="187">
        <v>31.95</v>
      </c>
      <c r="N1048" s="91">
        <f t="shared" si="177"/>
        <v>106.95</v>
      </c>
      <c r="O1048" s="411">
        <f t="shared" si="176"/>
        <v>60.961889999999997</v>
      </c>
      <c r="P1048" s="132" t="s">
        <v>52</v>
      </c>
      <c r="Q1048" s="232"/>
      <c r="R1048" s="411"/>
      <c r="T1048" s="134" t="s">
        <v>145</v>
      </c>
      <c r="U1048" s="267" t="s">
        <v>2617</v>
      </c>
    </row>
    <row r="1049" spans="1:23" ht="24" x14ac:dyDescent="0.25">
      <c r="A1049" s="405">
        <v>3000813</v>
      </c>
      <c r="B1049" s="406">
        <v>42422</v>
      </c>
      <c r="C1049" s="405" t="s">
        <v>42</v>
      </c>
      <c r="D1049" s="401" t="s">
        <v>2618</v>
      </c>
      <c r="E1049" s="120">
        <v>100</v>
      </c>
      <c r="F1049" s="133" t="s">
        <v>431</v>
      </c>
      <c r="G1049" s="404" t="s">
        <v>45</v>
      </c>
      <c r="H1049" s="411">
        <v>216.11</v>
      </c>
      <c r="I1049" s="89">
        <f t="shared" si="174"/>
        <v>-19.4499</v>
      </c>
      <c r="J1049" s="90">
        <f t="shared" si="175"/>
        <v>-4.4060899999999998</v>
      </c>
      <c r="K1049" s="90">
        <f t="shared" si="173"/>
        <v>192.25400999999999</v>
      </c>
      <c r="L1049" s="131">
        <v>1143.07</v>
      </c>
      <c r="M1049" s="187">
        <v>29.04</v>
      </c>
      <c r="N1049" s="91">
        <f t="shared" si="177"/>
        <v>143.34700000000001</v>
      </c>
      <c r="O1049" s="411">
        <f t="shared" si="176"/>
        <v>48.907009999999985</v>
      </c>
      <c r="P1049" s="132" t="s">
        <v>52</v>
      </c>
      <c r="Q1049" s="232"/>
      <c r="R1049" s="411"/>
      <c r="T1049" s="134" t="s">
        <v>145</v>
      </c>
      <c r="U1049" s="267" t="s">
        <v>2619</v>
      </c>
    </row>
    <row r="1050" spans="1:23" ht="24" x14ac:dyDescent="0.25">
      <c r="A1050" s="405">
        <v>3000814</v>
      </c>
      <c r="B1050" s="406">
        <v>42422</v>
      </c>
      <c r="C1050" s="405" t="s">
        <v>42</v>
      </c>
      <c r="D1050" s="401" t="s">
        <v>2620</v>
      </c>
      <c r="E1050" s="120">
        <v>450</v>
      </c>
      <c r="F1050" s="133" t="s">
        <v>227</v>
      </c>
      <c r="G1050" s="404" t="s">
        <v>45</v>
      </c>
      <c r="H1050" s="411">
        <v>332.5</v>
      </c>
      <c r="I1050" s="89">
        <f t="shared" si="174"/>
        <v>-29.924999999999997</v>
      </c>
      <c r="J1050" s="90">
        <f t="shared" si="175"/>
        <v>-6.6174999999999997</v>
      </c>
      <c r="K1050" s="90">
        <f t="shared" si="173"/>
        <v>295.95749999999998</v>
      </c>
      <c r="L1050" s="131">
        <v>350</v>
      </c>
      <c r="M1050" s="187">
        <v>51.84</v>
      </c>
      <c r="N1050" s="91">
        <f t="shared" si="177"/>
        <v>209.34</v>
      </c>
      <c r="O1050" s="411">
        <f t="shared" si="176"/>
        <v>86.617499999999978</v>
      </c>
      <c r="P1050" s="132" t="s">
        <v>52</v>
      </c>
      <c r="Q1050" s="232"/>
      <c r="R1050" s="411"/>
      <c r="T1050" s="134" t="s">
        <v>145</v>
      </c>
      <c r="U1050" s="267" t="s">
        <v>2621</v>
      </c>
    </row>
    <row r="1051" spans="1:23" ht="24" x14ac:dyDescent="0.25">
      <c r="A1051" s="405">
        <v>3000815</v>
      </c>
      <c r="B1051" s="406">
        <v>42422</v>
      </c>
      <c r="C1051" s="405" t="s">
        <v>237</v>
      </c>
      <c r="D1051" s="401" t="s">
        <v>2622</v>
      </c>
      <c r="E1051" s="120">
        <v>50</v>
      </c>
      <c r="F1051" s="133" t="s">
        <v>2623</v>
      </c>
      <c r="G1051" s="404" t="s">
        <v>45</v>
      </c>
      <c r="H1051" s="411">
        <v>147</v>
      </c>
      <c r="I1051" s="89">
        <f>-(H1051*0.15)</f>
        <v>-22.05</v>
      </c>
      <c r="J1051" s="411">
        <v>0</v>
      </c>
      <c r="K1051" s="90">
        <f t="shared" si="173"/>
        <v>124.95</v>
      </c>
      <c r="M1051" s="187">
        <v>30.11</v>
      </c>
      <c r="N1051" s="91">
        <f t="shared" si="177"/>
        <v>30.11</v>
      </c>
      <c r="O1051" s="411">
        <f t="shared" si="176"/>
        <v>94.84</v>
      </c>
      <c r="P1051" s="132" t="s">
        <v>86</v>
      </c>
      <c r="Q1051" s="232"/>
      <c r="R1051" s="411"/>
      <c r="T1051" s="134" t="s">
        <v>145</v>
      </c>
      <c r="U1051" s="267" t="s">
        <v>2624</v>
      </c>
    </row>
    <row r="1052" spans="1:23" ht="24" x14ac:dyDescent="0.25">
      <c r="A1052" s="405">
        <v>3000816</v>
      </c>
      <c r="B1052" s="406">
        <v>42422</v>
      </c>
      <c r="C1052" s="405" t="s">
        <v>237</v>
      </c>
      <c r="D1052" s="401" t="s">
        <v>2625</v>
      </c>
      <c r="E1052" s="120">
        <v>275</v>
      </c>
      <c r="F1052" s="133" t="s">
        <v>165</v>
      </c>
      <c r="G1052" s="404" t="s">
        <v>45</v>
      </c>
      <c r="H1052" s="411">
        <v>246.99</v>
      </c>
      <c r="I1052" s="89">
        <f>-(H1052*0.15)</f>
        <v>-37.048499999999997</v>
      </c>
      <c r="J1052" s="411">
        <v>0</v>
      </c>
      <c r="K1052" s="90">
        <f t="shared" si="173"/>
        <v>209.94150000000002</v>
      </c>
      <c r="L1052" s="131">
        <v>480</v>
      </c>
      <c r="M1052" s="187">
        <v>45.83</v>
      </c>
      <c r="N1052" s="91">
        <f t="shared" si="177"/>
        <v>177.82999999999998</v>
      </c>
      <c r="O1052" s="411">
        <f t="shared" si="176"/>
        <v>32.111500000000035</v>
      </c>
      <c r="P1052" s="132" t="s">
        <v>86</v>
      </c>
      <c r="Q1052" s="232"/>
      <c r="R1052" s="411"/>
      <c r="T1052" s="134" t="s">
        <v>145</v>
      </c>
      <c r="U1052" s="267" t="s">
        <v>2626</v>
      </c>
    </row>
    <row r="1053" spans="1:23" ht="24" x14ac:dyDescent="0.25">
      <c r="A1053" s="405">
        <v>3000817</v>
      </c>
      <c r="B1053" s="406">
        <v>42422</v>
      </c>
      <c r="C1053" s="405" t="s">
        <v>237</v>
      </c>
      <c r="D1053" s="401" t="s">
        <v>2627</v>
      </c>
      <c r="E1053" s="120">
        <v>100</v>
      </c>
      <c r="F1053" s="133" t="s">
        <v>829</v>
      </c>
      <c r="G1053" s="404" t="s">
        <v>45</v>
      </c>
      <c r="H1053" s="411">
        <v>117.81</v>
      </c>
      <c r="I1053" s="89">
        <f>-(H1053*0.15)</f>
        <v>-17.671499999999998</v>
      </c>
      <c r="J1053" s="411">
        <v>0</v>
      </c>
      <c r="K1053" s="90">
        <f t="shared" si="173"/>
        <v>100.13850000000001</v>
      </c>
      <c r="L1053" s="131">
        <v>510</v>
      </c>
      <c r="M1053" s="187">
        <v>24.44</v>
      </c>
      <c r="N1053" s="91">
        <f t="shared" si="177"/>
        <v>75.44</v>
      </c>
      <c r="O1053" s="411">
        <f t="shared" si="176"/>
        <v>24.69850000000001</v>
      </c>
      <c r="P1053" s="132" t="s">
        <v>86</v>
      </c>
      <c r="Q1053" s="232"/>
      <c r="R1053" s="411"/>
      <c r="T1053" s="134" t="s">
        <v>145</v>
      </c>
      <c r="U1053" s="267" t="s">
        <v>2628</v>
      </c>
    </row>
    <row r="1054" spans="1:23" ht="24" x14ac:dyDescent="0.25">
      <c r="A1054" s="405">
        <v>3000818</v>
      </c>
      <c r="B1054" s="406">
        <v>42422</v>
      </c>
      <c r="C1054" s="405" t="s">
        <v>237</v>
      </c>
      <c r="D1054" s="401" t="s">
        <v>2629</v>
      </c>
      <c r="E1054" s="120">
        <v>100</v>
      </c>
      <c r="F1054" s="133" t="s">
        <v>217</v>
      </c>
      <c r="G1054" s="404" t="s">
        <v>45</v>
      </c>
      <c r="H1054" s="411">
        <v>270</v>
      </c>
      <c r="I1054" s="89">
        <f>-(H1054*0.15)</f>
        <v>-40.5</v>
      </c>
      <c r="J1054" s="411">
        <v>0</v>
      </c>
      <c r="K1054" s="90">
        <f t="shared" si="173"/>
        <v>229.5</v>
      </c>
      <c r="L1054" s="131">
        <v>1350</v>
      </c>
      <c r="M1054" s="187">
        <v>32.65</v>
      </c>
      <c r="N1054" s="91">
        <f t="shared" si="177"/>
        <v>167.65</v>
      </c>
      <c r="O1054" s="411">
        <f t="shared" si="176"/>
        <v>61.849999999999994</v>
      </c>
      <c r="P1054" s="132" t="s">
        <v>86</v>
      </c>
      <c r="Q1054" s="232"/>
      <c r="R1054" s="411"/>
      <c r="T1054" s="134" t="s">
        <v>145</v>
      </c>
      <c r="U1054" s="267" t="s">
        <v>2630</v>
      </c>
    </row>
    <row r="1055" spans="1:23" ht="36" customHeight="1" x14ac:dyDescent="0.25">
      <c r="A1055" s="419">
        <v>3000819</v>
      </c>
      <c r="B1055" s="421">
        <v>42422</v>
      </c>
      <c r="C1055" s="419" t="s">
        <v>56</v>
      </c>
      <c r="D1055" s="417" t="s">
        <v>1303</v>
      </c>
      <c r="E1055" s="120">
        <v>250</v>
      </c>
      <c r="F1055" s="133" t="s">
        <v>2631</v>
      </c>
      <c r="G1055" s="434" t="s">
        <v>45</v>
      </c>
      <c r="H1055" s="427">
        <v>3180.18</v>
      </c>
      <c r="I1055" s="427">
        <v>0</v>
      </c>
      <c r="J1055" s="427">
        <v>0</v>
      </c>
      <c r="K1055" s="425">
        <f t="shared" si="173"/>
        <v>3180.18</v>
      </c>
      <c r="L1055" s="187">
        <v>461.3</v>
      </c>
      <c r="M1055" s="510">
        <v>87</v>
      </c>
      <c r="N1055" s="91">
        <f t="shared" si="177"/>
        <v>202.32499999999999</v>
      </c>
      <c r="O1055" s="411">
        <f t="shared" si="176"/>
        <v>2977.855</v>
      </c>
      <c r="P1055" s="132" t="s">
        <v>46</v>
      </c>
      <c r="Q1055" s="232"/>
      <c r="R1055" s="411"/>
      <c r="T1055" s="470" t="s">
        <v>60</v>
      </c>
      <c r="U1055" s="446" t="s">
        <v>2632</v>
      </c>
      <c r="V1055" s="133" t="s">
        <v>2633</v>
      </c>
      <c r="W1055" s="153" t="s">
        <v>1796</v>
      </c>
    </row>
    <row r="1056" spans="1:23" x14ac:dyDescent="0.25">
      <c r="A1056" s="432"/>
      <c r="B1056" s="433"/>
      <c r="C1056" s="432"/>
      <c r="D1056" s="454"/>
      <c r="E1056" s="120">
        <v>750</v>
      </c>
      <c r="F1056" s="133" t="s">
        <v>2634</v>
      </c>
      <c r="G1056" s="435"/>
      <c r="H1056" s="438"/>
      <c r="I1056" s="438"/>
      <c r="J1056" s="438"/>
      <c r="K1056" s="437"/>
      <c r="L1056" s="187">
        <v>1486.97</v>
      </c>
      <c r="M1056" s="512"/>
      <c r="N1056" s="91">
        <f t="shared" si="177"/>
        <v>1115.2275</v>
      </c>
      <c r="O1056" s="411">
        <f t="shared" si="176"/>
        <v>-1115.2275</v>
      </c>
      <c r="P1056" s="132" t="s">
        <v>46</v>
      </c>
      <c r="Q1056" s="232"/>
      <c r="R1056" s="411"/>
      <c r="T1056" s="472"/>
      <c r="U1056" s="447"/>
    </row>
    <row r="1057" spans="1:23" x14ac:dyDescent="0.25">
      <c r="A1057" s="432"/>
      <c r="B1057" s="433"/>
      <c r="C1057" s="432"/>
      <c r="D1057" s="454"/>
      <c r="E1057" s="120">
        <v>1000</v>
      </c>
      <c r="F1057" s="133" t="s">
        <v>2635</v>
      </c>
      <c r="G1057" s="435"/>
      <c r="H1057" s="438"/>
      <c r="I1057" s="438"/>
      <c r="J1057" s="438"/>
      <c r="K1057" s="437"/>
      <c r="L1057" s="187">
        <v>660</v>
      </c>
      <c r="M1057" s="187">
        <v>49.14</v>
      </c>
      <c r="N1057" s="91">
        <f t="shared" si="177"/>
        <v>709.14</v>
      </c>
      <c r="O1057" s="411">
        <f t="shared" si="176"/>
        <v>-709.14</v>
      </c>
      <c r="P1057" s="132" t="s">
        <v>183</v>
      </c>
      <c r="Q1057" s="232"/>
      <c r="R1057" s="411"/>
      <c r="T1057" s="134" t="s">
        <v>2636</v>
      </c>
      <c r="U1057" s="267" t="s">
        <v>2637</v>
      </c>
      <c r="V1057" s="133" t="s">
        <v>2638</v>
      </c>
    </row>
    <row r="1058" spans="1:23" x14ac:dyDescent="0.25">
      <c r="A1058" s="432"/>
      <c r="B1058" s="433"/>
      <c r="C1058" s="432"/>
      <c r="D1058" s="454"/>
      <c r="E1058" s="120">
        <v>500</v>
      </c>
      <c r="F1058" s="133" t="s">
        <v>2639</v>
      </c>
      <c r="G1058" s="435"/>
      <c r="H1058" s="438"/>
      <c r="I1058" s="438"/>
      <c r="J1058" s="438"/>
      <c r="K1058" s="437"/>
      <c r="L1058" s="187">
        <v>190</v>
      </c>
      <c r="M1058" s="187">
        <v>10.36</v>
      </c>
      <c r="N1058" s="91">
        <f t="shared" si="177"/>
        <v>105.36</v>
      </c>
      <c r="O1058" s="411">
        <f t="shared" si="176"/>
        <v>-105.36</v>
      </c>
      <c r="P1058" s="132" t="s">
        <v>235</v>
      </c>
      <c r="Q1058" s="232"/>
      <c r="R1058" s="411"/>
      <c r="T1058" s="439" t="s">
        <v>145</v>
      </c>
      <c r="U1058" s="267" t="s">
        <v>2640</v>
      </c>
      <c r="V1058" s="133" t="s">
        <v>2641</v>
      </c>
    </row>
    <row r="1059" spans="1:23" x14ac:dyDescent="0.25">
      <c r="A1059" s="432"/>
      <c r="B1059" s="433"/>
      <c r="C1059" s="432"/>
      <c r="D1059" s="454"/>
      <c r="E1059" s="120">
        <v>500</v>
      </c>
      <c r="F1059" s="133" t="s">
        <v>2642</v>
      </c>
      <c r="G1059" s="435"/>
      <c r="H1059" s="438"/>
      <c r="I1059" s="438"/>
      <c r="J1059" s="438"/>
      <c r="K1059" s="437"/>
      <c r="L1059" s="187">
        <v>190</v>
      </c>
      <c r="M1059" s="187"/>
      <c r="N1059" s="91">
        <f t="shared" si="177"/>
        <v>95</v>
      </c>
      <c r="O1059" s="411">
        <f t="shared" si="176"/>
        <v>-95</v>
      </c>
      <c r="P1059" s="132" t="s">
        <v>235</v>
      </c>
      <c r="Q1059" s="232"/>
      <c r="R1059" s="411"/>
      <c r="T1059" s="441"/>
      <c r="U1059" s="267" t="s">
        <v>2640</v>
      </c>
      <c r="V1059" s="133" t="s">
        <v>2641</v>
      </c>
    </row>
    <row r="1060" spans="1:23" ht="24" x14ac:dyDescent="0.25">
      <c r="A1060" s="420"/>
      <c r="B1060" s="422"/>
      <c r="C1060" s="420"/>
      <c r="D1060" s="418"/>
      <c r="E1060" s="120">
        <v>500</v>
      </c>
      <c r="F1060" s="133" t="s">
        <v>2643</v>
      </c>
      <c r="G1060" s="436"/>
      <c r="H1060" s="428"/>
      <c r="I1060" s="428"/>
      <c r="J1060" s="428"/>
      <c r="K1060" s="426"/>
      <c r="L1060" s="187">
        <v>50</v>
      </c>
      <c r="M1060" s="187">
        <v>12.2</v>
      </c>
      <c r="N1060" s="91">
        <f t="shared" si="177"/>
        <v>37.200000000000003</v>
      </c>
      <c r="O1060" s="411">
        <f t="shared" si="176"/>
        <v>-37.200000000000003</v>
      </c>
      <c r="P1060" s="132" t="s">
        <v>313</v>
      </c>
      <c r="Q1060" s="232"/>
      <c r="R1060" s="411"/>
      <c r="T1060" s="134" t="s">
        <v>145</v>
      </c>
      <c r="U1060" s="267" t="s">
        <v>2644</v>
      </c>
      <c r="V1060" s="133" t="s">
        <v>2645</v>
      </c>
    </row>
    <row r="1061" spans="1:23" x14ac:dyDescent="0.25">
      <c r="A1061" s="405">
        <v>3000820</v>
      </c>
      <c r="B1061" s="406">
        <v>42422</v>
      </c>
      <c r="C1061" s="405" t="s">
        <v>141</v>
      </c>
      <c r="D1061" s="401" t="s">
        <v>2646</v>
      </c>
      <c r="E1061" s="120">
        <v>700</v>
      </c>
      <c r="F1061" s="133" t="s">
        <v>2647</v>
      </c>
      <c r="G1061" s="404" t="s">
        <v>45</v>
      </c>
      <c r="H1061" s="411">
        <v>0</v>
      </c>
      <c r="I1061" s="411">
        <v>0</v>
      </c>
      <c r="J1061" s="411">
        <v>0</v>
      </c>
      <c r="K1061" s="411">
        <v>0</v>
      </c>
      <c r="L1061" s="131">
        <v>0</v>
      </c>
      <c r="M1061" s="131">
        <v>0</v>
      </c>
      <c r="N1061" s="91">
        <f t="shared" si="177"/>
        <v>0</v>
      </c>
      <c r="O1061" s="411">
        <f t="shared" si="176"/>
        <v>0</v>
      </c>
      <c r="P1061" s="132" t="s">
        <v>1229</v>
      </c>
      <c r="Q1061" s="232"/>
      <c r="R1061" s="411"/>
      <c r="V1061" s="133" t="s">
        <v>2648</v>
      </c>
      <c r="W1061" s="153" t="s">
        <v>2649</v>
      </c>
    </row>
    <row r="1062" spans="1:23" x14ac:dyDescent="0.25">
      <c r="A1062" s="419">
        <v>3000821</v>
      </c>
      <c r="B1062" s="421">
        <v>42422</v>
      </c>
      <c r="C1062" s="419" t="s">
        <v>141</v>
      </c>
      <c r="D1062" s="417" t="s">
        <v>2166</v>
      </c>
      <c r="E1062" s="120">
        <v>500</v>
      </c>
      <c r="F1062" s="133" t="s">
        <v>2171</v>
      </c>
      <c r="G1062" s="434" t="s">
        <v>45</v>
      </c>
      <c r="H1062" s="427">
        <v>360</v>
      </c>
      <c r="I1062" s="427">
        <v>0</v>
      </c>
      <c r="J1062" s="425">
        <f>-((H1062*0.0325)+0.3)</f>
        <v>-12.000000000000002</v>
      </c>
      <c r="K1062" s="425">
        <f t="shared" ref="K1062" si="178">SUM(H1062:J1062)</f>
        <v>348</v>
      </c>
      <c r="L1062" s="187">
        <v>165</v>
      </c>
      <c r="N1062" s="91">
        <f t="shared" si="177"/>
        <v>82.5</v>
      </c>
      <c r="O1062" s="411">
        <f t="shared" si="176"/>
        <v>265.5</v>
      </c>
      <c r="P1062" s="132" t="s">
        <v>2168</v>
      </c>
      <c r="Q1062" s="232"/>
      <c r="R1062" s="411"/>
      <c r="T1062" s="439" t="s">
        <v>204</v>
      </c>
      <c r="U1062" s="266"/>
      <c r="W1062" s="153" t="s">
        <v>2170</v>
      </c>
    </row>
    <row r="1063" spans="1:23" x14ac:dyDescent="0.25">
      <c r="A1063" s="420"/>
      <c r="B1063" s="422"/>
      <c r="C1063" s="420"/>
      <c r="D1063" s="418"/>
      <c r="E1063" s="120">
        <v>500</v>
      </c>
      <c r="F1063" s="133" t="s">
        <v>2167</v>
      </c>
      <c r="G1063" s="436"/>
      <c r="H1063" s="428"/>
      <c r="I1063" s="428"/>
      <c r="J1063" s="426"/>
      <c r="K1063" s="426"/>
      <c r="L1063" s="187">
        <v>165</v>
      </c>
      <c r="N1063" s="91">
        <f t="shared" si="177"/>
        <v>82.5</v>
      </c>
      <c r="O1063" s="411">
        <f t="shared" si="176"/>
        <v>-82.5</v>
      </c>
      <c r="P1063" s="132" t="s">
        <v>2168</v>
      </c>
      <c r="Q1063" s="232"/>
      <c r="R1063" s="411"/>
      <c r="T1063" s="441"/>
      <c r="U1063" s="266"/>
    </row>
    <row r="1064" spans="1:23" x14ac:dyDescent="0.25">
      <c r="A1064" s="419">
        <v>3000822</v>
      </c>
      <c r="B1064" s="421">
        <v>42423</v>
      </c>
      <c r="C1064" s="419" t="s">
        <v>555</v>
      </c>
      <c r="D1064" s="417" t="s">
        <v>2650</v>
      </c>
      <c r="E1064" s="120">
        <v>430</v>
      </c>
      <c r="F1064" s="133" t="s">
        <v>2651</v>
      </c>
      <c r="G1064" s="434" t="s">
        <v>45</v>
      </c>
      <c r="H1064" s="427">
        <v>6545</v>
      </c>
      <c r="I1064" s="427">
        <v>0</v>
      </c>
      <c r="J1064" s="427">
        <v>0</v>
      </c>
      <c r="K1064" s="425">
        <f t="shared" ref="K1064" si="179">SUM(H1064:J1064)</f>
        <v>6545</v>
      </c>
      <c r="L1064" s="187">
        <v>3953.97</v>
      </c>
      <c r="M1064" s="166">
        <v>988.8</v>
      </c>
      <c r="N1064" s="91">
        <f t="shared" si="177"/>
        <v>2689.0070999999998</v>
      </c>
      <c r="O1064" s="411">
        <f t="shared" si="176"/>
        <v>3855.9929000000002</v>
      </c>
      <c r="P1064" s="132" t="s">
        <v>46</v>
      </c>
      <c r="Q1064" s="232"/>
      <c r="R1064" s="411"/>
      <c r="T1064" s="439" t="s">
        <v>2652</v>
      </c>
      <c r="U1064" s="481" t="s">
        <v>2653</v>
      </c>
    </row>
    <row r="1065" spans="1:23" x14ac:dyDescent="0.25">
      <c r="A1065" s="420"/>
      <c r="B1065" s="422"/>
      <c r="C1065" s="420"/>
      <c r="D1065" s="418"/>
      <c r="E1065" s="120">
        <v>140</v>
      </c>
      <c r="F1065" s="133" t="s">
        <v>2654</v>
      </c>
      <c r="G1065" s="436"/>
      <c r="H1065" s="428"/>
      <c r="I1065" s="428"/>
      <c r="J1065" s="428"/>
      <c r="K1065" s="426"/>
      <c r="L1065" s="187">
        <v>4536.68</v>
      </c>
      <c r="M1065" s="192"/>
      <c r="N1065" s="91">
        <f>((L1065)*(E1065*0.001))+M1064</f>
        <v>1623.9351999999999</v>
      </c>
      <c r="O1065" s="411">
        <f t="shared" si="176"/>
        <v>-1623.9351999999999</v>
      </c>
      <c r="P1065" s="132" t="s">
        <v>46</v>
      </c>
      <c r="Q1065" s="232"/>
      <c r="R1065" s="411"/>
      <c r="T1065" s="441"/>
      <c r="U1065" s="483"/>
    </row>
    <row r="1066" spans="1:23" ht="24" x14ac:dyDescent="0.25">
      <c r="A1066" s="419">
        <v>3000823</v>
      </c>
      <c r="B1066" s="421">
        <v>42423</v>
      </c>
      <c r="C1066" s="419" t="s">
        <v>42</v>
      </c>
      <c r="D1066" s="417" t="s">
        <v>2655</v>
      </c>
      <c r="E1066" s="120">
        <v>200</v>
      </c>
      <c r="F1066" s="133" t="s">
        <v>2656</v>
      </c>
      <c r="G1066" s="434" t="s">
        <v>45</v>
      </c>
      <c r="H1066" s="427">
        <v>653.66999999999996</v>
      </c>
      <c r="I1066" s="452">
        <f t="shared" ref="I1066" si="180">-(H1066*0.09)</f>
        <v>-58.830299999999994</v>
      </c>
      <c r="J1066" s="425">
        <f>-((H1066*0.019)+0.3)</f>
        <v>-12.71973</v>
      </c>
      <c r="K1066" s="425">
        <f t="shared" ref="K1066" si="181">SUM(H1066:J1066)</f>
        <v>582.11996999999997</v>
      </c>
      <c r="L1066" s="158">
        <v>1390</v>
      </c>
      <c r="M1066" s="187">
        <v>59.55</v>
      </c>
      <c r="N1066" s="91">
        <f t="shared" si="177"/>
        <v>337.55</v>
      </c>
      <c r="O1066" s="411">
        <f t="shared" si="176"/>
        <v>244.56996999999996</v>
      </c>
      <c r="P1066" s="132" t="s">
        <v>601</v>
      </c>
      <c r="Q1066" s="232"/>
      <c r="R1066" s="411"/>
      <c r="T1066" s="134" t="s">
        <v>145</v>
      </c>
      <c r="U1066" s="267" t="s">
        <v>2657</v>
      </c>
    </row>
    <row r="1067" spans="1:23" ht="24" x14ac:dyDescent="0.25">
      <c r="A1067" s="420"/>
      <c r="B1067" s="422"/>
      <c r="C1067" s="420"/>
      <c r="D1067" s="418"/>
      <c r="E1067" s="120">
        <v>100</v>
      </c>
      <c r="F1067" s="133" t="s">
        <v>431</v>
      </c>
      <c r="G1067" s="436"/>
      <c r="H1067" s="428"/>
      <c r="I1067" s="453"/>
      <c r="J1067" s="426"/>
      <c r="K1067" s="426"/>
      <c r="L1067" s="131">
        <v>1143.07</v>
      </c>
      <c r="M1067" s="187">
        <v>38.700000000000003</v>
      </c>
      <c r="N1067" s="91">
        <f t="shared" si="177"/>
        <v>153.00700000000001</v>
      </c>
      <c r="O1067" s="411">
        <f t="shared" si="176"/>
        <v>-153.00700000000001</v>
      </c>
      <c r="P1067" s="132" t="s">
        <v>52</v>
      </c>
      <c r="Q1067" s="232"/>
      <c r="R1067" s="411"/>
      <c r="T1067" s="134" t="s">
        <v>145</v>
      </c>
      <c r="U1067" s="267" t="s">
        <v>2658</v>
      </c>
      <c r="V1067" s="133" t="s">
        <v>2659</v>
      </c>
    </row>
    <row r="1068" spans="1:23" ht="24" x14ac:dyDescent="0.25">
      <c r="A1068" s="405">
        <v>3000824</v>
      </c>
      <c r="B1068" s="406">
        <v>42423</v>
      </c>
      <c r="C1068" s="405" t="s">
        <v>42</v>
      </c>
      <c r="D1068" s="401" t="s">
        <v>2660</v>
      </c>
      <c r="E1068" s="120">
        <v>115</v>
      </c>
      <c r="F1068" s="133" t="s">
        <v>247</v>
      </c>
      <c r="G1068" s="404" t="s">
        <v>45</v>
      </c>
      <c r="H1068" s="411">
        <v>131.1</v>
      </c>
      <c r="I1068" s="89">
        <f t="shared" ref="I1068:I1072" si="182">-(H1068*0.09)</f>
        <v>-11.798999999999999</v>
      </c>
      <c r="J1068" s="90">
        <f>-((H1068*0.019)+0.3)</f>
        <v>-2.7908999999999997</v>
      </c>
      <c r="K1068" s="90">
        <f t="shared" ref="K1068:K1102" si="183">SUM(H1068:J1068)</f>
        <v>116.51009999999999</v>
      </c>
      <c r="L1068" s="131">
        <v>480</v>
      </c>
      <c r="M1068" s="187">
        <v>21.77</v>
      </c>
      <c r="N1068" s="91">
        <f t="shared" si="177"/>
        <v>76.97</v>
      </c>
      <c r="O1068" s="411">
        <f t="shared" si="176"/>
        <v>39.540099999999995</v>
      </c>
      <c r="P1068" s="132" t="s">
        <v>86</v>
      </c>
      <c r="Q1068" s="232"/>
      <c r="R1068" s="411"/>
      <c r="T1068" s="134" t="s">
        <v>145</v>
      </c>
      <c r="U1068" s="267" t="s">
        <v>2661</v>
      </c>
    </row>
    <row r="1069" spans="1:23" ht="24" x14ac:dyDescent="0.25">
      <c r="A1069" s="405">
        <v>3000825</v>
      </c>
      <c r="B1069" s="406">
        <v>42423</v>
      </c>
      <c r="C1069" s="405" t="s">
        <v>42</v>
      </c>
      <c r="D1069" s="401" t="s">
        <v>2662</v>
      </c>
      <c r="E1069" s="120">
        <v>225</v>
      </c>
      <c r="F1069" s="133" t="s">
        <v>877</v>
      </c>
      <c r="G1069" s="404" t="s">
        <v>45</v>
      </c>
      <c r="H1069" s="411">
        <v>145.97</v>
      </c>
      <c r="I1069" s="89">
        <f t="shared" si="182"/>
        <v>-13.1373</v>
      </c>
      <c r="J1069" s="90">
        <f>-((H1069*0.019)+0.3)</f>
        <v>-3.0734299999999997</v>
      </c>
      <c r="K1069" s="90">
        <f t="shared" si="183"/>
        <v>129.75926999999999</v>
      </c>
      <c r="L1069" s="131">
        <v>235</v>
      </c>
      <c r="M1069" s="187">
        <v>41.14</v>
      </c>
      <c r="N1069" s="91">
        <f t="shared" si="177"/>
        <v>94.015000000000001</v>
      </c>
      <c r="O1069" s="411">
        <f t="shared" si="176"/>
        <v>35.744269999999986</v>
      </c>
      <c r="P1069" s="132" t="s">
        <v>52</v>
      </c>
      <c r="Q1069" s="232"/>
      <c r="R1069" s="411"/>
      <c r="T1069" s="134" t="s">
        <v>145</v>
      </c>
      <c r="U1069" s="267" t="s">
        <v>2663</v>
      </c>
    </row>
    <row r="1070" spans="1:23" ht="24" x14ac:dyDescent="0.25">
      <c r="A1070" s="405">
        <v>3000826</v>
      </c>
      <c r="B1070" s="406">
        <v>42423</v>
      </c>
      <c r="C1070" s="405" t="s">
        <v>42</v>
      </c>
      <c r="D1070" s="401" t="s">
        <v>2664</v>
      </c>
      <c r="E1070" s="120">
        <v>125</v>
      </c>
      <c r="F1070" s="133" t="s">
        <v>247</v>
      </c>
      <c r="G1070" s="404" t="s">
        <v>45</v>
      </c>
      <c r="H1070" s="411">
        <v>151.72999999999999</v>
      </c>
      <c r="I1070" s="89">
        <f t="shared" si="182"/>
        <v>-13.655699999999998</v>
      </c>
      <c r="J1070" s="90">
        <f>-((H1070*0.019)+0.3)</f>
        <v>-3.1828699999999994</v>
      </c>
      <c r="K1070" s="90">
        <f t="shared" si="183"/>
        <v>134.89142999999999</v>
      </c>
      <c r="L1070" s="131">
        <v>480</v>
      </c>
      <c r="M1070" s="187">
        <v>42.48</v>
      </c>
      <c r="N1070" s="91">
        <f t="shared" si="177"/>
        <v>102.47999999999999</v>
      </c>
      <c r="O1070" s="411">
        <f t="shared" si="176"/>
        <v>32.411429999999996</v>
      </c>
      <c r="P1070" s="132" t="s">
        <v>86</v>
      </c>
      <c r="Q1070" s="232"/>
      <c r="R1070" s="411"/>
      <c r="T1070" s="134" t="s">
        <v>145</v>
      </c>
      <c r="U1070" s="267" t="s">
        <v>2665</v>
      </c>
    </row>
    <row r="1071" spans="1:23" ht="24" x14ac:dyDescent="0.25">
      <c r="A1071" s="405">
        <v>3000827</v>
      </c>
      <c r="B1071" s="406">
        <v>42423</v>
      </c>
      <c r="C1071" s="405" t="s">
        <v>42</v>
      </c>
      <c r="D1071" s="401" t="s">
        <v>2666</v>
      </c>
      <c r="E1071" s="120">
        <v>250</v>
      </c>
      <c r="F1071" s="133" t="s">
        <v>2667</v>
      </c>
      <c r="G1071" s="404" t="s">
        <v>45</v>
      </c>
      <c r="H1071" s="411">
        <v>85</v>
      </c>
      <c r="I1071" s="89">
        <f t="shared" si="182"/>
        <v>-7.6499999999999995</v>
      </c>
      <c r="J1071" s="90">
        <f>-((H1071*0.019)+0.3)</f>
        <v>-1.915</v>
      </c>
      <c r="K1071" s="90">
        <f t="shared" si="183"/>
        <v>75.434999999999988</v>
      </c>
      <c r="L1071" s="187">
        <v>176</v>
      </c>
      <c r="M1071" s="187">
        <v>14.97</v>
      </c>
      <c r="N1071" s="91">
        <f t="shared" si="177"/>
        <v>58.97</v>
      </c>
      <c r="O1071" s="411">
        <f t="shared" si="176"/>
        <v>16.464999999999989</v>
      </c>
      <c r="P1071" s="132" t="s">
        <v>183</v>
      </c>
      <c r="Q1071" s="232"/>
      <c r="R1071" s="411"/>
      <c r="T1071" s="134" t="s">
        <v>145</v>
      </c>
      <c r="U1071" s="267" t="s">
        <v>2668</v>
      </c>
    </row>
    <row r="1072" spans="1:23" ht="24" x14ac:dyDescent="0.25">
      <c r="A1072" s="405">
        <v>3000828</v>
      </c>
      <c r="B1072" s="406">
        <v>42423</v>
      </c>
      <c r="C1072" s="405" t="s">
        <v>42</v>
      </c>
      <c r="D1072" s="401" t="s">
        <v>2669</v>
      </c>
      <c r="E1072" s="120">
        <v>100</v>
      </c>
      <c r="F1072" s="133" t="s">
        <v>161</v>
      </c>
      <c r="G1072" s="404" t="s">
        <v>45</v>
      </c>
      <c r="H1072" s="411">
        <v>235</v>
      </c>
      <c r="I1072" s="89">
        <f t="shared" si="182"/>
        <v>-21.15</v>
      </c>
      <c r="J1072" s="90">
        <f>-((H1072*0.019)+0.3)</f>
        <v>-4.7649999999999997</v>
      </c>
      <c r="K1072" s="90">
        <f t="shared" si="183"/>
        <v>209.08500000000001</v>
      </c>
      <c r="L1072" s="131">
        <v>1350</v>
      </c>
      <c r="M1072" s="187">
        <v>41.57</v>
      </c>
      <c r="N1072" s="91">
        <f t="shared" si="177"/>
        <v>176.57</v>
      </c>
      <c r="O1072" s="411">
        <f t="shared" si="176"/>
        <v>32.515000000000015</v>
      </c>
      <c r="P1072" s="132" t="s">
        <v>52</v>
      </c>
      <c r="Q1072" s="232"/>
      <c r="R1072" s="411"/>
      <c r="T1072" s="134" t="s">
        <v>145</v>
      </c>
      <c r="U1072" s="267" t="s">
        <v>2670</v>
      </c>
    </row>
    <row r="1073" spans="1:23" ht="24" x14ac:dyDescent="0.25">
      <c r="A1073" s="405">
        <v>3000829</v>
      </c>
      <c r="B1073" s="406">
        <v>42423</v>
      </c>
      <c r="C1073" s="405" t="s">
        <v>237</v>
      </c>
      <c r="D1073" s="401" t="s">
        <v>2671</v>
      </c>
      <c r="E1073" s="120">
        <v>200</v>
      </c>
      <c r="F1073" s="133" t="s">
        <v>393</v>
      </c>
      <c r="G1073" s="404" t="s">
        <v>45</v>
      </c>
      <c r="H1073" s="411">
        <v>203.44</v>
      </c>
      <c r="I1073" s="89">
        <f>-(H1073*0.15)</f>
        <v>-30.515999999999998</v>
      </c>
      <c r="J1073" s="411">
        <v>0</v>
      </c>
      <c r="K1073" s="90">
        <f t="shared" si="183"/>
        <v>172.92400000000001</v>
      </c>
      <c r="L1073" s="131">
        <v>399</v>
      </c>
      <c r="M1073" s="187">
        <v>27.92</v>
      </c>
      <c r="N1073" s="91">
        <f t="shared" si="177"/>
        <v>107.72000000000001</v>
      </c>
      <c r="O1073" s="411">
        <f t="shared" si="176"/>
        <v>65.203999999999994</v>
      </c>
      <c r="P1073" s="132" t="s">
        <v>52</v>
      </c>
      <c r="Q1073" s="232"/>
      <c r="R1073" s="411"/>
      <c r="T1073" s="134" t="s">
        <v>145</v>
      </c>
      <c r="U1073" s="267" t="s">
        <v>2672</v>
      </c>
    </row>
    <row r="1074" spans="1:23" ht="24" x14ac:dyDescent="0.25">
      <c r="A1074" s="405">
        <v>3000830</v>
      </c>
      <c r="B1074" s="406">
        <v>42423</v>
      </c>
      <c r="C1074" s="405" t="s">
        <v>78</v>
      </c>
      <c r="D1074" s="401" t="s">
        <v>269</v>
      </c>
      <c r="E1074" s="120">
        <v>250</v>
      </c>
      <c r="F1074" s="133" t="s">
        <v>593</v>
      </c>
      <c r="G1074" s="404" t="s">
        <v>45</v>
      </c>
      <c r="H1074" s="411">
        <v>310</v>
      </c>
      <c r="I1074" s="411">
        <v>0</v>
      </c>
      <c r="J1074" s="90">
        <f>-((H1074*0.019)+0.3)</f>
        <v>-6.1899999999999995</v>
      </c>
      <c r="K1074" s="90">
        <f t="shared" si="183"/>
        <v>303.81</v>
      </c>
      <c r="L1074" s="131">
        <v>660</v>
      </c>
      <c r="M1074" s="187">
        <v>33.74</v>
      </c>
      <c r="N1074" s="91">
        <f t="shared" si="177"/>
        <v>198.74</v>
      </c>
      <c r="O1074" s="411">
        <f t="shared" si="176"/>
        <v>105.07</v>
      </c>
      <c r="P1074" s="132" t="s">
        <v>52</v>
      </c>
      <c r="Q1074" s="232"/>
      <c r="R1074" s="411"/>
      <c r="T1074" s="134" t="s">
        <v>145</v>
      </c>
      <c r="U1074" s="267" t="s">
        <v>2673</v>
      </c>
      <c r="W1074" s="153" t="s">
        <v>271</v>
      </c>
    </row>
    <row r="1075" spans="1:23" ht="24" x14ac:dyDescent="0.25">
      <c r="A1075" s="405">
        <v>3000831</v>
      </c>
      <c r="B1075" s="406">
        <v>42423</v>
      </c>
      <c r="C1075" s="405" t="s">
        <v>42</v>
      </c>
      <c r="D1075" s="401" t="s">
        <v>2674</v>
      </c>
      <c r="E1075" s="120">
        <v>100</v>
      </c>
      <c r="F1075" s="133" t="s">
        <v>2675</v>
      </c>
      <c r="G1075" s="404" t="s">
        <v>45</v>
      </c>
      <c r="H1075" s="411">
        <v>195</v>
      </c>
      <c r="I1075" s="89">
        <f t="shared" ref="I1075:I1079" si="184">-(H1075*0.09)</f>
        <v>-17.55</v>
      </c>
      <c r="J1075" s="90">
        <f>-((H1075*0.019)+0.3)</f>
        <v>-4.0049999999999999</v>
      </c>
      <c r="K1075" s="90">
        <f t="shared" si="183"/>
        <v>173.44499999999999</v>
      </c>
      <c r="L1075" s="187">
        <v>1100</v>
      </c>
      <c r="M1075" s="187">
        <v>36.58</v>
      </c>
      <c r="N1075" s="91">
        <f t="shared" si="177"/>
        <v>146.57999999999998</v>
      </c>
      <c r="O1075" s="411">
        <f t="shared" si="176"/>
        <v>26.865000000000009</v>
      </c>
      <c r="P1075" s="132" t="s">
        <v>183</v>
      </c>
      <c r="Q1075" s="232"/>
      <c r="R1075" s="411"/>
      <c r="T1075" s="134" t="s">
        <v>145</v>
      </c>
      <c r="U1075" s="267" t="s">
        <v>2676</v>
      </c>
    </row>
    <row r="1076" spans="1:23" x14ac:dyDescent="0.25">
      <c r="A1076" s="405">
        <v>3000832</v>
      </c>
      <c r="B1076" s="406">
        <v>42423</v>
      </c>
      <c r="C1076" s="405" t="s">
        <v>327</v>
      </c>
      <c r="D1076" s="401" t="s">
        <v>2109</v>
      </c>
      <c r="E1076" s="120">
        <v>200</v>
      </c>
      <c r="F1076" s="133" t="s">
        <v>51</v>
      </c>
      <c r="G1076" s="404" t="s">
        <v>45</v>
      </c>
      <c r="H1076" s="411">
        <v>440</v>
      </c>
      <c r="I1076" s="411">
        <v>0</v>
      </c>
      <c r="J1076" s="90">
        <f>-((H1076*0.022)+0.3)</f>
        <v>-9.98</v>
      </c>
      <c r="K1076" s="90">
        <f t="shared" si="183"/>
        <v>430.02</v>
      </c>
      <c r="L1076" s="131">
        <v>1015</v>
      </c>
      <c r="M1076" s="187">
        <v>148.56</v>
      </c>
      <c r="N1076" s="91">
        <f t="shared" si="177"/>
        <v>351.56</v>
      </c>
      <c r="O1076" s="411">
        <f t="shared" si="176"/>
        <v>78.45999999999998</v>
      </c>
      <c r="P1076" s="132" t="s">
        <v>52</v>
      </c>
      <c r="Q1076" s="232"/>
      <c r="R1076" s="411"/>
      <c r="T1076" s="134" t="s">
        <v>1743</v>
      </c>
      <c r="U1076" s="267" t="s">
        <v>2677</v>
      </c>
      <c r="V1076" s="133" t="s">
        <v>55</v>
      </c>
      <c r="W1076" s="153" t="s">
        <v>2678</v>
      </c>
    </row>
    <row r="1077" spans="1:23" ht="24" x14ac:dyDescent="0.25">
      <c r="A1077" s="405">
        <v>3000833</v>
      </c>
      <c r="B1077" s="406">
        <v>42423</v>
      </c>
      <c r="C1077" s="405" t="s">
        <v>42</v>
      </c>
      <c r="D1077" s="401" t="s">
        <v>2679</v>
      </c>
      <c r="E1077" s="120">
        <v>100</v>
      </c>
      <c r="F1077" s="133" t="s">
        <v>247</v>
      </c>
      <c r="G1077" s="404" t="s">
        <v>45</v>
      </c>
      <c r="H1077" s="411">
        <v>121.39</v>
      </c>
      <c r="I1077" s="89">
        <f t="shared" si="184"/>
        <v>-10.9251</v>
      </c>
      <c r="J1077" s="90">
        <f>-((H1077*0.019)+0.3)</f>
        <v>-2.6064099999999999</v>
      </c>
      <c r="K1077" s="90">
        <f t="shared" si="183"/>
        <v>107.85849</v>
      </c>
      <c r="L1077" s="131">
        <v>480</v>
      </c>
      <c r="M1077" s="187">
        <v>21.36</v>
      </c>
      <c r="N1077" s="91">
        <f t="shared" si="177"/>
        <v>69.36</v>
      </c>
      <c r="O1077" s="411">
        <f t="shared" si="176"/>
        <v>38.498490000000004</v>
      </c>
      <c r="P1077" s="132" t="s">
        <v>52</v>
      </c>
      <c r="Q1077" s="232"/>
      <c r="R1077" s="411"/>
      <c r="T1077" s="134" t="s">
        <v>145</v>
      </c>
      <c r="U1077" s="267" t="s">
        <v>2680</v>
      </c>
    </row>
    <row r="1078" spans="1:23" ht="24" x14ac:dyDescent="0.25">
      <c r="A1078" s="405">
        <v>3000834</v>
      </c>
      <c r="B1078" s="406">
        <v>42423</v>
      </c>
      <c r="C1078" s="405" t="s">
        <v>42</v>
      </c>
      <c r="D1078" s="401" t="s">
        <v>2681</v>
      </c>
      <c r="E1078" s="120">
        <v>500</v>
      </c>
      <c r="F1078" s="133" t="s">
        <v>580</v>
      </c>
      <c r="G1078" s="404" t="s">
        <v>45</v>
      </c>
      <c r="H1078" s="411">
        <v>150.1</v>
      </c>
      <c r="I1078" s="89">
        <f t="shared" si="184"/>
        <v>-13.508999999999999</v>
      </c>
      <c r="J1078" s="90">
        <f>-((H1078*0.019)+0.3)</f>
        <v>-3.1518999999999995</v>
      </c>
      <c r="K1078" s="90">
        <f t="shared" si="183"/>
        <v>133.4391</v>
      </c>
      <c r="L1078" s="187">
        <v>176.27</v>
      </c>
      <c r="M1078" s="187">
        <v>28.44</v>
      </c>
      <c r="N1078" s="91">
        <f t="shared" si="177"/>
        <v>116.575</v>
      </c>
      <c r="O1078" s="411">
        <f t="shared" si="176"/>
        <v>16.864099999999993</v>
      </c>
      <c r="P1078" s="132" t="s">
        <v>183</v>
      </c>
      <c r="Q1078" s="232"/>
      <c r="R1078" s="411"/>
      <c r="T1078" s="134" t="s">
        <v>145</v>
      </c>
      <c r="U1078" s="267" t="s">
        <v>2682</v>
      </c>
    </row>
    <row r="1079" spans="1:23" x14ac:dyDescent="0.25">
      <c r="A1079" s="405">
        <v>3000835</v>
      </c>
      <c r="B1079" s="406">
        <v>42423</v>
      </c>
      <c r="C1079" s="405" t="s">
        <v>42</v>
      </c>
      <c r="D1079" s="401" t="s">
        <v>2683</v>
      </c>
      <c r="E1079" s="120">
        <v>2000</v>
      </c>
      <c r="F1079" s="133" t="s">
        <v>2684</v>
      </c>
      <c r="G1079" s="404" t="s">
        <v>45</v>
      </c>
      <c r="H1079" s="411">
        <v>1341</v>
      </c>
      <c r="I1079" s="89">
        <f t="shared" si="184"/>
        <v>-120.69</v>
      </c>
      <c r="J1079" s="90">
        <f>-((H1079*0.019)+0.3)</f>
        <v>-25.779</v>
      </c>
      <c r="K1079" s="90">
        <f t="shared" si="183"/>
        <v>1194.5309999999999</v>
      </c>
      <c r="L1079" s="187">
        <v>380</v>
      </c>
      <c r="M1079" s="187">
        <v>106.49</v>
      </c>
      <c r="N1079" s="91">
        <f t="shared" si="177"/>
        <v>866.49</v>
      </c>
      <c r="O1079" s="411">
        <f t="shared" si="176"/>
        <v>328.04099999999994</v>
      </c>
      <c r="P1079" s="132" t="s">
        <v>235</v>
      </c>
      <c r="Q1079" s="232"/>
      <c r="R1079" s="411"/>
      <c r="T1079" s="134" t="s">
        <v>576</v>
      </c>
      <c r="U1079" s="267" t="s">
        <v>2685</v>
      </c>
    </row>
    <row r="1080" spans="1:23" ht="36" x14ac:dyDescent="0.25">
      <c r="A1080" s="405">
        <v>3000836</v>
      </c>
      <c r="B1080" s="406">
        <v>42424</v>
      </c>
      <c r="C1080" s="405" t="s">
        <v>63</v>
      </c>
      <c r="D1080" s="401" t="s">
        <v>1900</v>
      </c>
      <c r="E1080" s="120">
        <v>500</v>
      </c>
      <c r="F1080" s="133" t="s">
        <v>2686</v>
      </c>
      <c r="G1080" s="404" t="s">
        <v>45</v>
      </c>
      <c r="H1080" s="411">
        <v>850</v>
      </c>
      <c r="I1080" s="411">
        <v>0</v>
      </c>
      <c r="J1080" s="90">
        <f>-((H1080*0.022)+0.3)</f>
        <v>-19</v>
      </c>
      <c r="K1080" s="90">
        <f t="shared" si="183"/>
        <v>831</v>
      </c>
      <c r="L1080" s="187">
        <v>1139</v>
      </c>
      <c r="M1080" s="131">
        <v>0</v>
      </c>
      <c r="N1080" s="91">
        <f t="shared" si="177"/>
        <v>569.5</v>
      </c>
      <c r="O1080" s="411">
        <f t="shared" si="176"/>
        <v>261.5</v>
      </c>
      <c r="P1080" s="132" t="s">
        <v>59</v>
      </c>
      <c r="Q1080" s="232"/>
      <c r="R1080" s="411"/>
      <c r="T1080" s="134" t="s">
        <v>60</v>
      </c>
      <c r="U1080" s="267" t="s">
        <v>2687</v>
      </c>
      <c r="W1080" s="153" t="s">
        <v>1903</v>
      </c>
    </row>
    <row r="1081" spans="1:23" ht="24" x14ac:dyDescent="0.25">
      <c r="A1081" s="405">
        <v>3000837</v>
      </c>
      <c r="B1081" s="406">
        <v>42424</v>
      </c>
      <c r="C1081" s="405" t="s">
        <v>78</v>
      </c>
      <c r="D1081" s="401" t="s">
        <v>2688</v>
      </c>
      <c r="E1081" s="120">
        <v>55</v>
      </c>
      <c r="F1081" s="133" t="s">
        <v>114</v>
      </c>
      <c r="G1081" s="404" t="s">
        <v>45</v>
      </c>
      <c r="H1081" s="411">
        <v>195</v>
      </c>
      <c r="I1081" s="411">
        <v>0</v>
      </c>
      <c r="J1081" s="90">
        <f t="shared" ref="J1081:J1091" si="185">-((H1081*0.019)+0.3)</f>
        <v>-4.0049999999999999</v>
      </c>
      <c r="K1081" s="90">
        <f t="shared" si="183"/>
        <v>190.995</v>
      </c>
      <c r="L1081" s="131">
        <v>2585</v>
      </c>
      <c r="M1081" s="187">
        <v>34.56</v>
      </c>
      <c r="N1081" s="91">
        <f t="shared" si="177"/>
        <v>176.73500000000001</v>
      </c>
      <c r="O1081" s="411">
        <f t="shared" si="176"/>
        <v>14.259999999999991</v>
      </c>
      <c r="P1081" s="132" t="s">
        <v>52</v>
      </c>
      <c r="Q1081" s="232"/>
      <c r="R1081" s="411"/>
      <c r="T1081" s="134" t="s">
        <v>145</v>
      </c>
      <c r="U1081" s="267" t="s">
        <v>2689</v>
      </c>
      <c r="W1081" s="153" t="s">
        <v>2690</v>
      </c>
    </row>
    <row r="1082" spans="1:23" ht="24" x14ac:dyDescent="0.25">
      <c r="A1082" s="405">
        <v>3000838</v>
      </c>
      <c r="B1082" s="406">
        <v>42424</v>
      </c>
      <c r="C1082" s="405" t="s">
        <v>78</v>
      </c>
      <c r="D1082" s="401" t="s">
        <v>2691</v>
      </c>
      <c r="E1082" s="120">
        <v>100</v>
      </c>
      <c r="F1082" s="133" t="s">
        <v>70</v>
      </c>
      <c r="G1082" s="404" t="s">
        <v>45</v>
      </c>
      <c r="H1082" s="411">
        <v>291</v>
      </c>
      <c r="I1082" s="411">
        <v>0</v>
      </c>
      <c r="J1082" s="90">
        <f t="shared" si="185"/>
        <v>-5.8289999999999997</v>
      </c>
      <c r="K1082" s="90">
        <f t="shared" si="183"/>
        <v>285.17099999999999</v>
      </c>
      <c r="L1082" s="131">
        <v>1540</v>
      </c>
      <c r="M1082" s="187">
        <v>58.33</v>
      </c>
      <c r="N1082" s="91">
        <f t="shared" si="177"/>
        <v>212.32999999999998</v>
      </c>
      <c r="O1082" s="411">
        <f t="shared" si="176"/>
        <v>72.841000000000008</v>
      </c>
      <c r="P1082" s="132" t="s">
        <v>52</v>
      </c>
      <c r="Q1082" s="232"/>
      <c r="R1082" s="411"/>
      <c r="T1082" s="134" t="s">
        <v>145</v>
      </c>
      <c r="U1082" s="267" t="s">
        <v>2692</v>
      </c>
      <c r="W1082" s="153" t="s">
        <v>2693</v>
      </c>
    </row>
    <row r="1083" spans="1:23" ht="24" x14ac:dyDescent="0.25">
      <c r="A1083" s="405">
        <v>3000839</v>
      </c>
      <c r="B1083" s="406">
        <v>42424</v>
      </c>
      <c r="C1083" s="405" t="s">
        <v>42</v>
      </c>
      <c r="D1083" s="401" t="s">
        <v>2694</v>
      </c>
      <c r="E1083" s="120">
        <v>100</v>
      </c>
      <c r="F1083" s="133" t="s">
        <v>1547</v>
      </c>
      <c r="G1083" s="404" t="s">
        <v>45</v>
      </c>
      <c r="H1083" s="411">
        <v>105.42</v>
      </c>
      <c r="I1083" s="89">
        <f t="shared" ref="I1083:I1091" si="186">-(H1083*0.09)</f>
        <v>-9.4878</v>
      </c>
      <c r="J1083" s="90">
        <f t="shared" si="185"/>
        <v>-2.3029799999999998</v>
      </c>
      <c r="K1083" s="90">
        <f t="shared" si="183"/>
        <v>93.629219999999989</v>
      </c>
      <c r="L1083" s="131">
        <v>385</v>
      </c>
      <c r="M1083" s="187">
        <v>33.21</v>
      </c>
      <c r="N1083" s="91">
        <f t="shared" si="177"/>
        <v>71.710000000000008</v>
      </c>
      <c r="O1083" s="411">
        <f t="shared" si="176"/>
        <v>21.919219999999981</v>
      </c>
      <c r="P1083" s="132" t="s">
        <v>52</v>
      </c>
      <c r="Q1083" s="232"/>
      <c r="R1083" s="411"/>
      <c r="T1083" s="134" t="s">
        <v>145</v>
      </c>
      <c r="U1083" s="267" t="s">
        <v>2695</v>
      </c>
    </row>
    <row r="1084" spans="1:23" ht="24" x14ac:dyDescent="0.25">
      <c r="A1084" s="405">
        <v>3000840</v>
      </c>
      <c r="B1084" s="406">
        <v>42424</v>
      </c>
      <c r="C1084" s="405" t="s">
        <v>42</v>
      </c>
      <c r="D1084" s="401" t="s">
        <v>2696</v>
      </c>
      <c r="E1084" s="120">
        <v>100</v>
      </c>
      <c r="F1084" s="133" t="s">
        <v>1586</v>
      </c>
      <c r="G1084" s="404" t="s">
        <v>45</v>
      </c>
      <c r="H1084" s="411">
        <v>138.9</v>
      </c>
      <c r="I1084" s="89">
        <f t="shared" si="186"/>
        <v>-12.500999999999999</v>
      </c>
      <c r="J1084" s="90">
        <f t="shared" si="185"/>
        <v>-2.9390999999999998</v>
      </c>
      <c r="K1084" s="90">
        <f t="shared" si="183"/>
        <v>123.4599</v>
      </c>
      <c r="L1084" s="187">
        <v>850</v>
      </c>
      <c r="M1084" s="187">
        <v>193.37</v>
      </c>
      <c r="N1084" s="91">
        <f t="shared" si="177"/>
        <v>278.37</v>
      </c>
      <c r="O1084" s="411">
        <f t="shared" si="176"/>
        <v>-154.9101</v>
      </c>
      <c r="P1084" s="132" t="s">
        <v>235</v>
      </c>
      <c r="Q1084" s="232"/>
      <c r="R1084" s="411"/>
      <c r="T1084" s="134" t="s">
        <v>145</v>
      </c>
      <c r="U1084" s="267" t="s">
        <v>2697</v>
      </c>
    </row>
    <row r="1085" spans="1:23" ht="24" x14ac:dyDescent="0.25">
      <c r="A1085" s="405">
        <v>3000841</v>
      </c>
      <c r="B1085" s="406">
        <v>42424</v>
      </c>
      <c r="C1085" s="405" t="s">
        <v>42</v>
      </c>
      <c r="D1085" s="401" t="s">
        <v>2698</v>
      </c>
      <c r="E1085" s="120">
        <v>100</v>
      </c>
      <c r="F1085" s="133" t="s">
        <v>51</v>
      </c>
      <c r="G1085" s="404" t="s">
        <v>45</v>
      </c>
      <c r="H1085" s="411">
        <v>251.63</v>
      </c>
      <c r="I1085" s="89">
        <f t="shared" si="186"/>
        <v>-22.646699999999999</v>
      </c>
      <c r="J1085" s="90">
        <f t="shared" si="185"/>
        <v>-5.0809699999999998</v>
      </c>
      <c r="K1085" s="90">
        <f t="shared" si="183"/>
        <v>223.90232999999998</v>
      </c>
      <c r="L1085" s="131">
        <v>1015</v>
      </c>
      <c r="M1085" s="187">
        <v>54.35</v>
      </c>
      <c r="N1085" s="91">
        <f t="shared" si="177"/>
        <v>155.85</v>
      </c>
      <c r="O1085" s="411">
        <f t="shared" si="176"/>
        <v>68.052329999999984</v>
      </c>
      <c r="P1085" s="132" t="s">
        <v>52</v>
      </c>
      <c r="Q1085" s="232"/>
      <c r="R1085" s="411"/>
      <c r="T1085" s="134" t="s">
        <v>145</v>
      </c>
      <c r="U1085" s="267" t="s">
        <v>2699</v>
      </c>
    </row>
    <row r="1086" spans="1:23" ht="24" x14ac:dyDescent="0.25">
      <c r="A1086" s="405">
        <v>3000842</v>
      </c>
      <c r="B1086" s="406">
        <v>42424</v>
      </c>
      <c r="C1086" s="405" t="s">
        <v>42</v>
      </c>
      <c r="D1086" s="401" t="s">
        <v>2700</v>
      </c>
      <c r="E1086" s="120">
        <v>500</v>
      </c>
      <c r="F1086" s="133" t="s">
        <v>1547</v>
      </c>
      <c r="G1086" s="404" t="s">
        <v>45</v>
      </c>
      <c r="H1086" s="411">
        <v>500.74</v>
      </c>
      <c r="I1086" s="89">
        <f t="shared" si="186"/>
        <v>-45.066600000000001</v>
      </c>
      <c r="J1086" s="90">
        <f t="shared" si="185"/>
        <v>-9.8140600000000013</v>
      </c>
      <c r="K1086" s="90">
        <f t="shared" si="183"/>
        <v>445.85934000000003</v>
      </c>
      <c r="L1086" s="131">
        <v>385</v>
      </c>
      <c r="M1086" s="187">
        <v>71.97</v>
      </c>
      <c r="N1086" s="91">
        <f t="shared" si="177"/>
        <v>264.47000000000003</v>
      </c>
      <c r="O1086" s="411">
        <f t="shared" si="176"/>
        <v>181.38934</v>
      </c>
      <c r="P1086" s="132" t="s">
        <v>52</v>
      </c>
      <c r="Q1086" s="232"/>
      <c r="R1086" s="411"/>
      <c r="T1086" s="134" t="s">
        <v>145</v>
      </c>
      <c r="U1086" s="267" t="s">
        <v>2701</v>
      </c>
    </row>
    <row r="1087" spans="1:23" ht="24" x14ac:dyDescent="0.25">
      <c r="A1087" s="405">
        <v>3000843</v>
      </c>
      <c r="B1087" s="406">
        <v>42424</v>
      </c>
      <c r="C1087" s="405" t="s">
        <v>42</v>
      </c>
      <c r="D1087" s="401" t="s">
        <v>2702</v>
      </c>
      <c r="E1087" s="120">
        <v>100</v>
      </c>
      <c r="F1087" s="133" t="s">
        <v>1172</v>
      </c>
      <c r="G1087" s="404" t="s">
        <v>45</v>
      </c>
      <c r="H1087" s="411">
        <v>130.33000000000001</v>
      </c>
      <c r="I1087" s="89">
        <f t="shared" si="186"/>
        <v>-11.729700000000001</v>
      </c>
      <c r="J1087" s="90">
        <f t="shared" si="185"/>
        <v>-2.7762699999999998</v>
      </c>
      <c r="K1087" s="90">
        <f t="shared" si="183"/>
        <v>115.82403000000001</v>
      </c>
      <c r="L1087" s="131">
        <v>700</v>
      </c>
      <c r="M1087" s="187">
        <v>91.6</v>
      </c>
      <c r="N1087" s="91">
        <v>72.3</v>
      </c>
      <c r="O1087" s="411">
        <f t="shared" si="176"/>
        <v>43.52403000000001</v>
      </c>
      <c r="P1087" s="132" t="s">
        <v>926</v>
      </c>
      <c r="Q1087" s="232"/>
      <c r="R1087" s="411"/>
      <c r="T1087" s="134" t="s">
        <v>145</v>
      </c>
      <c r="U1087" s="267" t="s">
        <v>2703</v>
      </c>
    </row>
    <row r="1088" spans="1:23" x14ac:dyDescent="0.25">
      <c r="A1088" s="405">
        <v>3000844</v>
      </c>
      <c r="B1088" s="406">
        <v>42424</v>
      </c>
      <c r="C1088" s="405" t="s">
        <v>42</v>
      </c>
      <c r="D1088" s="401" t="s">
        <v>2704</v>
      </c>
      <c r="E1088" s="120">
        <v>1000</v>
      </c>
      <c r="F1088" s="133" t="s">
        <v>2705</v>
      </c>
      <c r="G1088" s="404" t="s">
        <v>45</v>
      </c>
      <c r="H1088" s="411">
        <v>750</v>
      </c>
      <c r="I1088" s="89">
        <f t="shared" si="186"/>
        <v>-67.5</v>
      </c>
      <c r="J1088" s="90">
        <f t="shared" si="185"/>
        <v>-14.55</v>
      </c>
      <c r="K1088" s="90">
        <f t="shared" si="183"/>
        <v>667.95</v>
      </c>
      <c r="M1088" s="187">
        <v>155.77000000000001</v>
      </c>
      <c r="N1088" s="91">
        <f t="shared" si="177"/>
        <v>155.77000000000001</v>
      </c>
      <c r="O1088" s="411">
        <f t="shared" si="176"/>
        <v>512.18000000000006</v>
      </c>
      <c r="P1088" s="132" t="s">
        <v>86</v>
      </c>
      <c r="Q1088" s="232"/>
      <c r="R1088" s="411"/>
      <c r="T1088" s="134" t="s">
        <v>97</v>
      </c>
      <c r="U1088" s="267" t="s">
        <v>2706</v>
      </c>
      <c r="V1088" s="133" t="s">
        <v>55</v>
      </c>
    </row>
    <row r="1089" spans="1:24" ht="24" x14ac:dyDescent="0.25">
      <c r="A1089" s="405">
        <v>3000845</v>
      </c>
      <c r="B1089" s="406">
        <v>42424</v>
      </c>
      <c r="C1089" s="405" t="s">
        <v>42</v>
      </c>
      <c r="D1089" s="401" t="s">
        <v>2707</v>
      </c>
      <c r="E1089" s="120">
        <v>110</v>
      </c>
      <c r="F1089" s="133" t="s">
        <v>247</v>
      </c>
      <c r="G1089" s="404" t="s">
        <v>45</v>
      </c>
      <c r="H1089" s="411">
        <v>125.4</v>
      </c>
      <c r="I1089" s="89">
        <f t="shared" si="186"/>
        <v>-11.286</v>
      </c>
      <c r="J1089" s="90">
        <f t="shared" si="185"/>
        <v>-2.6825999999999999</v>
      </c>
      <c r="K1089" s="90">
        <f t="shared" si="183"/>
        <v>111.43140000000001</v>
      </c>
      <c r="L1089" s="131">
        <v>480</v>
      </c>
      <c r="M1089" s="187">
        <v>39.96</v>
      </c>
      <c r="N1089" s="91">
        <f t="shared" si="177"/>
        <v>92.759999999999991</v>
      </c>
      <c r="O1089" s="411">
        <f t="shared" si="176"/>
        <v>18.67140000000002</v>
      </c>
      <c r="P1089" s="132" t="s">
        <v>52</v>
      </c>
      <c r="Q1089" s="232"/>
      <c r="R1089" s="411"/>
      <c r="T1089" s="134" t="s">
        <v>145</v>
      </c>
      <c r="U1089" s="267" t="s">
        <v>2708</v>
      </c>
    </row>
    <row r="1090" spans="1:24" ht="24" x14ac:dyDescent="0.25">
      <c r="A1090" s="405">
        <v>3000846</v>
      </c>
      <c r="B1090" s="406">
        <v>42424</v>
      </c>
      <c r="C1090" s="405" t="s">
        <v>42</v>
      </c>
      <c r="D1090" s="401" t="s">
        <v>2709</v>
      </c>
      <c r="E1090" s="120">
        <v>500</v>
      </c>
      <c r="F1090" s="133" t="s">
        <v>451</v>
      </c>
      <c r="G1090" s="404" t="s">
        <v>45</v>
      </c>
      <c r="H1090" s="411">
        <v>295</v>
      </c>
      <c r="I1090" s="89">
        <f t="shared" si="186"/>
        <v>-26.55</v>
      </c>
      <c r="J1090" s="90">
        <f t="shared" si="185"/>
        <v>-5.9049999999999994</v>
      </c>
      <c r="K1090" s="90">
        <f t="shared" si="183"/>
        <v>262.54500000000002</v>
      </c>
      <c r="L1090" s="131">
        <v>330</v>
      </c>
      <c r="N1090" s="91">
        <f t="shared" si="177"/>
        <v>165</v>
      </c>
      <c r="O1090" s="411">
        <f t="shared" si="176"/>
        <v>97.545000000000016</v>
      </c>
      <c r="P1090" s="132" t="s">
        <v>46</v>
      </c>
      <c r="Q1090" s="232"/>
      <c r="R1090" s="411"/>
      <c r="T1090" s="134" t="s">
        <v>324</v>
      </c>
      <c r="U1090" s="267" t="s">
        <v>2710</v>
      </c>
      <c r="V1090" s="133" t="s">
        <v>2711</v>
      </c>
    </row>
    <row r="1091" spans="1:24" ht="24" x14ac:dyDescent="0.25">
      <c r="A1091" s="405">
        <v>3000847</v>
      </c>
      <c r="B1091" s="406">
        <v>42424</v>
      </c>
      <c r="C1091" s="405" t="s">
        <v>42</v>
      </c>
      <c r="D1091" s="401" t="s">
        <v>2712</v>
      </c>
      <c r="E1091" s="120">
        <v>4000</v>
      </c>
      <c r="F1091" s="119" t="s">
        <v>2713</v>
      </c>
      <c r="G1091" s="404" t="s">
        <v>45</v>
      </c>
      <c r="H1091" s="411">
        <v>696</v>
      </c>
      <c r="I1091" s="89">
        <f t="shared" si="186"/>
        <v>-62.64</v>
      </c>
      <c r="J1091" s="90">
        <f t="shared" si="185"/>
        <v>-13.524000000000001</v>
      </c>
      <c r="K1091" s="90">
        <f t="shared" si="183"/>
        <v>619.83600000000001</v>
      </c>
      <c r="L1091" s="187">
        <v>103</v>
      </c>
      <c r="M1091" s="187">
        <v>19.43</v>
      </c>
      <c r="N1091" s="91">
        <f t="shared" si="177"/>
        <v>431.43</v>
      </c>
      <c r="O1091" s="411">
        <f t="shared" si="176"/>
        <v>188.40600000000001</v>
      </c>
      <c r="P1091" s="132" t="s">
        <v>643</v>
      </c>
      <c r="Q1091" s="232"/>
      <c r="R1091" s="411"/>
      <c r="T1091" s="134" t="s">
        <v>145</v>
      </c>
      <c r="U1091" s="267" t="s">
        <v>2714</v>
      </c>
    </row>
    <row r="1092" spans="1:24" ht="24" x14ac:dyDescent="0.25">
      <c r="A1092" s="405">
        <v>3000848</v>
      </c>
      <c r="B1092" s="406">
        <v>42424</v>
      </c>
      <c r="C1092" s="405" t="s">
        <v>237</v>
      </c>
      <c r="D1092" s="401" t="s">
        <v>2715</v>
      </c>
      <c r="E1092" s="120">
        <v>500</v>
      </c>
      <c r="F1092" s="133" t="s">
        <v>323</v>
      </c>
      <c r="G1092" s="404" t="s">
        <v>45</v>
      </c>
      <c r="H1092" s="411">
        <v>393.97</v>
      </c>
      <c r="I1092" s="89">
        <f>-(H1092*0.15)</f>
        <v>-59.095500000000001</v>
      </c>
      <c r="J1092" s="411">
        <v>0</v>
      </c>
      <c r="K1092" s="90">
        <f t="shared" si="183"/>
        <v>334.87450000000001</v>
      </c>
      <c r="M1092" s="187">
        <v>52.65</v>
      </c>
      <c r="N1092" s="91">
        <f t="shared" si="177"/>
        <v>52.65</v>
      </c>
      <c r="O1092" s="411">
        <f t="shared" si="176"/>
        <v>282.22450000000003</v>
      </c>
      <c r="P1092" s="132" t="s">
        <v>52</v>
      </c>
      <c r="Q1092" s="232"/>
      <c r="R1092" s="411"/>
      <c r="T1092" s="134" t="s">
        <v>145</v>
      </c>
      <c r="U1092" s="267" t="s">
        <v>2716</v>
      </c>
    </row>
    <row r="1093" spans="1:24" ht="24" x14ac:dyDescent="0.25">
      <c r="A1093" s="405">
        <v>3000849</v>
      </c>
      <c r="B1093" s="406">
        <v>42424</v>
      </c>
      <c r="C1093" s="405" t="s">
        <v>237</v>
      </c>
      <c r="D1093" s="401" t="s">
        <v>2717</v>
      </c>
      <c r="E1093" s="120">
        <v>50</v>
      </c>
      <c r="F1093" s="133" t="s">
        <v>431</v>
      </c>
      <c r="G1093" s="404" t="s">
        <v>45</v>
      </c>
      <c r="H1093" s="411">
        <v>145.37</v>
      </c>
      <c r="I1093" s="89">
        <f>-(H1093*0.15)</f>
        <v>-21.805499999999999</v>
      </c>
      <c r="J1093" s="411">
        <v>0</v>
      </c>
      <c r="K1093" s="90">
        <f t="shared" si="183"/>
        <v>123.56450000000001</v>
      </c>
      <c r="M1093" s="187">
        <v>35.61</v>
      </c>
      <c r="N1093" s="91">
        <f t="shared" si="177"/>
        <v>35.61</v>
      </c>
      <c r="O1093" s="411">
        <f t="shared" si="176"/>
        <v>87.95450000000001</v>
      </c>
      <c r="P1093" s="132" t="s">
        <v>52</v>
      </c>
      <c r="Q1093" s="232"/>
      <c r="R1093" s="411"/>
      <c r="T1093" s="134" t="s">
        <v>145</v>
      </c>
      <c r="U1093" s="267" t="s">
        <v>2718</v>
      </c>
    </row>
    <row r="1094" spans="1:24" ht="24" x14ac:dyDescent="0.25">
      <c r="A1094" s="405">
        <v>3000850</v>
      </c>
      <c r="B1094" s="406">
        <v>42424</v>
      </c>
      <c r="C1094" s="405" t="s">
        <v>237</v>
      </c>
      <c r="D1094" s="401" t="s">
        <v>2719</v>
      </c>
      <c r="E1094" s="120">
        <v>500</v>
      </c>
      <c r="F1094" s="133" t="s">
        <v>451</v>
      </c>
      <c r="G1094" s="404" t="s">
        <v>45</v>
      </c>
      <c r="H1094" s="411">
        <v>291.54000000000002</v>
      </c>
      <c r="I1094" s="89">
        <f>-(H1094*0.15)</f>
        <v>-43.731000000000002</v>
      </c>
      <c r="J1094" s="411">
        <v>0</v>
      </c>
      <c r="K1094" s="90">
        <f t="shared" si="183"/>
        <v>247.80900000000003</v>
      </c>
      <c r="L1094" s="187">
        <v>334.53</v>
      </c>
      <c r="M1094" s="187">
        <v>29.45</v>
      </c>
      <c r="N1094" s="91">
        <f t="shared" si="177"/>
        <v>196.71499999999997</v>
      </c>
      <c r="O1094" s="411">
        <f t="shared" si="176"/>
        <v>51.094000000000051</v>
      </c>
      <c r="P1094" s="132" t="s">
        <v>46</v>
      </c>
      <c r="Q1094" s="232"/>
      <c r="R1094" s="411"/>
      <c r="T1094" s="134" t="s">
        <v>324</v>
      </c>
      <c r="U1094" s="267" t="s">
        <v>2720</v>
      </c>
    </row>
    <row r="1095" spans="1:24" x14ac:dyDescent="0.25">
      <c r="A1095" s="419">
        <v>3000851</v>
      </c>
      <c r="B1095" s="421">
        <v>42424</v>
      </c>
      <c r="C1095" s="419" t="s">
        <v>555</v>
      </c>
      <c r="D1095" s="417" t="s">
        <v>2721</v>
      </c>
      <c r="E1095" s="120">
        <v>1640</v>
      </c>
      <c r="F1095" s="133" t="s">
        <v>2722</v>
      </c>
      <c r="G1095" s="434" t="s">
        <v>45</v>
      </c>
      <c r="H1095" s="427">
        <v>8450</v>
      </c>
      <c r="I1095" s="427">
        <v>0</v>
      </c>
      <c r="J1095" s="427">
        <v>0</v>
      </c>
      <c r="K1095" s="425">
        <f t="shared" si="183"/>
        <v>8450</v>
      </c>
      <c r="L1095" s="131">
        <v>3320</v>
      </c>
      <c r="M1095" s="131">
        <v>382.58</v>
      </c>
      <c r="N1095" s="91">
        <f t="shared" si="177"/>
        <v>5827.38</v>
      </c>
      <c r="O1095" s="411">
        <f t="shared" si="176"/>
        <v>2622.62</v>
      </c>
      <c r="P1095" s="132" t="s">
        <v>59</v>
      </c>
      <c r="Q1095" s="232"/>
      <c r="R1095" s="411"/>
      <c r="T1095" s="439" t="s">
        <v>314</v>
      </c>
      <c r="U1095" s="305">
        <v>1651304070</v>
      </c>
    </row>
    <row r="1096" spans="1:24" x14ac:dyDescent="0.25">
      <c r="A1096" s="420"/>
      <c r="B1096" s="422"/>
      <c r="C1096" s="420"/>
      <c r="D1096" s="418"/>
      <c r="E1096" s="120">
        <v>1640</v>
      </c>
      <c r="F1096" s="133" t="s">
        <v>2723</v>
      </c>
      <c r="G1096" s="436"/>
      <c r="H1096" s="428"/>
      <c r="I1096" s="428"/>
      <c r="J1096" s="428"/>
      <c r="K1096" s="426"/>
      <c r="L1096" s="187">
        <v>364</v>
      </c>
      <c r="M1096" s="187">
        <v>108.22</v>
      </c>
      <c r="N1096" s="91">
        <f t="shared" si="177"/>
        <v>705.18000000000006</v>
      </c>
      <c r="O1096" s="411">
        <f t="shared" si="176"/>
        <v>-705.18000000000006</v>
      </c>
      <c r="P1096" s="132" t="s">
        <v>59</v>
      </c>
      <c r="Q1096" s="232"/>
      <c r="R1096" s="411"/>
      <c r="T1096" s="441"/>
      <c r="U1096" s="305">
        <v>3357151372</v>
      </c>
    </row>
    <row r="1097" spans="1:24" ht="24" x14ac:dyDescent="0.25">
      <c r="A1097" s="405">
        <v>3000852</v>
      </c>
      <c r="B1097" s="406">
        <v>42424</v>
      </c>
      <c r="C1097" s="405" t="s">
        <v>327</v>
      </c>
      <c r="D1097" s="401" t="s">
        <v>2724</v>
      </c>
      <c r="E1097" s="120">
        <v>35</v>
      </c>
      <c r="F1097" s="133" t="s">
        <v>2725</v>
      </c>
      <c r="G1097" s="404" t="s">
        <v>45</v>
      </c>
      <c r="H1097" s="411">
        <v>271.88</v>
      </c>
      <c r="I1097" s="411">
        <v>0</v>
      </c>
      <c r="J1097" s="90">
        <f>-((H1097*0.022)+0.3)</f>
        <v>-6.2813599999999994</v>
      </c>
      <c r="K1097" s="90">
        <f t="shared" si="183"/>
        <v>265.59863999999999</v>
      </c>
      <c r="L1097" s="187">
        <v>2100</v>
      </c>
      <c r="M1097" s="187">
        <v>20.61</v>
      </c>
      <c r="N1097" s="91">
        <f t="shared" si="177"/>
        <v>94.11</v>
      </c>
      <c r="O1097" s="411">
        <f t="shared" ref="O1097:O1160" si="187">K1097-N1097</f>
        <v>171.48863999999998</v>
      </c>
      <c r="P1097" s="132" t="s">
        <v>183</v>
      </c>
      <c r="Q1097" s="232"/>
      <c r="R1097" s="411">
        <v>21.88</v>
      </c>
      <c r="S1097" s="133" t="s">
        <v>1396</v>
      </c>
      <c r="T1097" s="134" t="s">
        <v>145</v>
      </c>
      <c r="U1097" s="267" t="s">
        <v>2726</v>
      </c>
      <c r="W1097" s="153" t="s">
        <v>2727</v>
      </c>
    </row>
    <row r="1098" spans="1:24" ht="24" x14ac:dyDescent="0.25">
      <c r="A1098" s="405">
        <v>3000853</v>
      </c>
      <c r="B1098" s="406">
        <v>42424</v>
      </c>
      <c r="C1098" s="405" t="s">
        <v>63</v>
      </c>
      <c r="D1098" s="401" t="s">
        <v>2728</v>
      </c>
      <c r="E1098" s="120">
        <v>431</v>
      </c>
      <c r="F1098" s="133" t="s">
        <v>874</v>
      </c>
      <c r="G1098" s="404" t="s">
        <v>45</v>
      </c>
      <c r="H1098" s="411">
        <v>1293</v>
      </c>
      <c r="I1098" s="411">
        <v>0</v>
      </c>
      <c r="J1098" s="90">
        <f>-((H1098*0.022)+0.3)</f>
        <v>-28.745999999999999</v>
      </c>
      <c r="K1098" s="90">
        <f t="shared" si="183"/>
        <v>1264.2539999999999</v>
      </c>
      <c r="L1098" s="131">
        <v>1750</v>
      </c>
      <c r="M1098" s="187">
        <v>199.4</v>
      </c>
      <c r="N1098" s="91">
        <f t="shared" si="177"/>
        <v>953.65</v>
      </c>
      <c r="O1098" s="411">
        <f t="shared" si="187"/>
        <v>310.60399999999993</v>
      </c>
      <c r="P1098" s="132" t="s">
        <v>52</v>
      </c>
      <c r="Q1098" s="232"/>
      <c r="R1098" s="411"/>
      <c r="T1098" s="134" t="s">
        <v>1209</v>
      </c>
      <c r="U1098" s="267" t="s">
        <v>2729</v>
      </c>
      <c r="V1098" s="133" t="s">
        <v>55</v>
      </c>
      <c r="W1098" s="153" t="s">
        <v>2730</v>
      </c>
    </row>
    <row r="1099" spans="1:24" ht="24" x14ac:dyDescent="0.25">
      <c r="A1099" s="405">
        <v>3000854</v>
      </c>
      <c r="B1099" s="406">
        <v>42425</v>
      </c>
      <c r="C1099" s="405" t="s">
        <v>327</v>
      </c>
      <c r="D1099" s="401" t="s">
        <v>2731</v>
      </c>
      <c r="E1099" s="120">
        <v>400</v>
      </c>
      <c r="F1099" s="133" t="s">
        <v>247</v>
      </c>
      <c r="G1099" s="404" t="s">
        <v>45</v>
      </c>
      <c r="H1099" s="411">
        <v>440</v>
      </c>
      <c r="I1099" s="411">
        <v>0</v>
      </c>
      <c r="J1099" s="90">
        <f>-((H1099*0.022)+0.3)</f>
        <v>-9.98</v>
      </c>
      <c r="K1099" s="90">
        <f t="shared" si="183"/>
        <v>430.02</v>
      </c>
      <c r="L1099" s="131">
        <v>480</v>
      </c>
      <c r="M1099" s="187">
        <v>71.819999999999993</v>
      </c>
      <c r="N1099" s="91">
        <f t="shared" si="177"/>
        <v>263.82</v>
      </c>
      <c r="O1099" s="411">
        <f t="shared" si="187"/>
        <v>166.2</v>
      </c>
      <c r="P1099" s="132" t="s">
        <v>52</v>
      </c>
      <c r="Q1099" s="232"/>
      <c r="R1099" s="411"/>
      <c r="T1099" s="134" t="s">
        <v>145</v>
      </c>
      <c r="U1099" s="267" t="s">
        <v>2732</v>
      </c>
      <c r="W1099" s="153" t="s">
        <v>2733</v>
      </c>
    </row>
    <row r="1100" spans="1:24" ht="24" x14ac:dyDescent="0.25">
      <c r="A1100" s="405">
        <v>3000855</v>
      </c>
      <c r="B1100" s="406">
        <v>42425</v>
      </c>
      <c r="C1100" s="405" t="s">
        <v>56</v>
      </c>
      <c r="D1100" s="401" t="s">
        <v>674</v>
      </c>
      <c r="E1100" s="120">
        <v>200</v>
      </c>
      <c r="F1100" s="119" t="s">
        <v>2734</v>
      </c>
      <c r="G1100" s="404" t="s">
        <v>45</v>
      </c>
      <c r="H1100" s="411">
        <v>440</v>
      </c>
      <c r="I1100" s="411">
        <v>0</v>
      </c>
      <c r="J1100" s="411">
        <v>0</v>
      </c>
      <c r="K1100" s="90">
        <f t="shared" si="183"/>
        <v>440</v>
      </c>
      <c r="L1100" s="158">
        <v>158</v>
      </c>
      <c r="M1100" s="158">
        <v>20.239999999999998</v>
      </c>
      <c r="N1100" s="91">
        <f t="shared" ref="N1100:N1163" si="188">((L1100)*(E1100*0.001))+M1100</f>
        <v>51.84</v>
      </c>
      <c r="O1100" s="411">
        <f t="shared" si="187"/>
        <v>388.15999999999997</v>
      </c>
      <c r="P1100" s="132" t="s">
        <v>183</v>
      </c>
      <c r="Q1100" s="232"/>
      <c r="R1100" s="411"/>
      <c r="T1100" s="134" t="s">
        <v>145</v>
      </c>
      <c r="U1100" s="266" t="s">
        <v>2735</v>
      </c>
      <c r="V1100" s="133" t="s">
        <v>2736</v>
      </c>
      <c r="W1100" s="153" t="s">
        <v>677</v>
      </c>
    </row>
    <row r="1101" spans="1:24" ht="24" x14ac:dyDescent="0.25">
      <c r="A1101" s="405">
        <v>3000856</v>
      </c>
      <c r="B1101" s="406">
        <v>42425</v>
      </c>
      <c r="C1101" s="405" t="s">
        <v>141</v>
      </c>
      <c r="D1101" s="401" t="s">
        <v>2737</v>
      </c>
      <c r="E1101" s="120">
        <v>510</v>
      </c>
      <c r="F1101" s="133" t="s">
        <v>2738</v>
      </c>
      <c r="G1101" s="404" t="s">
        <v>45</v>
      </c>
      <c r="H1101" s="411">
        <v>2200</v>
      </c>
      <c r="I1101" s="411">
        <v>0</v>
      </c>
      <c r="J1101" s="90">
        <f>-((H1101*0.0325)+0.3)</f>
        <v>-71.8</v>
      </c>
      <c r="K1101" s="90">
        <f t="shared" si="183"/>
        <v>2128.1999999999998</v>
      </c>
      <c r="L1101" s="131">
        <v>3280</v>
      </c>
      <c r="M1101" s="187">
        <v>137.81</v>
      </c>
      <c r="N1101" s="91">
        <f t="shared" si="188"/>
        <v>1810.61</v>
      </c>
      <c r="O1101" s="411">
        <f t="shared" si="187"/>
        <v>317.58999999999992</v>
      </c>
      <c r="P1101" s="132" t="s">
        <v>86</v>
      </c>
      <c r="Q1101" s="232"/>
      <c r="R1101" s="411"/>
      <c r="T1101" s="134" t="s">
        <v>1209</v>
      </c>
      <c r="U1101" s="267" t="s">
        <v>2739</v>
      </c>
      <c r="V1101" s="133" t="s">
        <v>55</v>
      </c>
      <c r="W1101" s="59" t="s">
        <v>2740</v>
      </c>
      <c r="X1101" s="59"/>
    </row>
    <row r="1102" spans="1:24" x14ac:dyDescent="0.25">
      <c r="A1102" s="419">
        <v>3000857</v>
      </c>
      <c r="B1102" s="421">
        <v>42425</v>
      </c>
      <c r="C1102" s="419" t="s">
        <v>141</v>
      </c>
      <c r="D1102" s="429" t="s">
        <v>2741</v>
      </c>
      <c r="E1102" s="120">
        <v>780</v>
      </c>
      <c r="F1102" s="133" t="s">
        <v>2742</v>
      </c>
      <c r="G1102" s="434" t="s">
        <v>45</v>
      </c>
      <c r="H1102" s="427">
        <v>1838.2</v>
      </c>
      <c r="I1102" s="427">
        <v>0</v>
      </c>
      <c r="J1102" s="425">
        <f>-((H1102*0.0325)+0.3)</f>
        <v>-60.041499999999999</v>
      </c>
      <c r="K1102" s="425">
        <f t="shared" si="183"/>
        <v>1778.1585</v>
      </c>
      <c r="M1102" s="187">
        <v>102.38</v>
      </c>
      <c r="N1102" s="91">
        <f t="shared" si="188"/>
        <v>102.38</v>
      </c>
      <c r="O1102" s="411">
        <f t="shared" si="187"/>
        <v>1675.7784999999999</v>
      </c>
      <c r="P1102" s="132" t="s">
        <v>2743</v>
      </c>
      <c r="Q1102" s="232"/>
      <c r="R1102" s="411"/>
      <c r="T1102" s="134" t="s">
        <v>244</v>
      </c>
      <c r="U1102" s="267" t="s">
        <v>2744</v>
      </c>
      <c r="V1102" s="133" t="s">
        <v>2745</v>
      </c>
    </row>
    <row r="1103" spans="1:24" x14ac:dyDescent="0.25">
      <c r="A1103" s="432"/>
      <c r="B1103" s="433"/>
      <c r="C1103" s="432"/>
      <c r="D1103" s="430"/>
      <c r="E1103" s="120">
        <v>260</v>
      </c>
      <c r="F1103" s="133" t="s">
        <v>2746</v>
      </c>
      <c r="G1103" s="435"/>
      <c r="H1103" s="438"/>
      <c r="I1103" s="438"/>
      <c r="J1103" s="437"/>
      <c r="K1103" s="437"/>
      <c r="M1103" s="187">
        <v>133.66999999999999</v>
      </c>
      <c r="N1103" s="91">
        <f t="shared" si="188"/>
        <v>133.66999999999999</v>
      </c>
      <c r="O1103" s="411">
        <f t="shared" si="187"/>
        <v>-133.66999999999999</v>
      </c>
      <c r="P1103" s="132" t="s">
        <v>52</v>
      </c>
      <c r="Q1103" s="232"/>
      <c r="R1103" s="411"/>
      <c r="T1103" s="134" t="s">
        <v>875</v>
      </c>
      <c r="U1103" s="446" t="s">
        <v>2747</v>
      </c>
      <c r="V1103" s="133" t="s">
        <v>55</v>
      </c>
    </row>
    <row r="1104" spans="1:24" x14ac:dyDescent="0.25">
      <c r="A1104" s="420"/>
      <c r="B1104" s="422"/>
      <c r="C1104" s="420"/>
      <c r="D1104" s="431"/>
      <c r="E1104" s="120">
        <v>260</v>
      </c>
      <c r="F1104" s="133" t="s">
        <v>2748</v>
      </c>
      <c r="G1104" s="436"/>
      <c r="H1104" s="428"/>
      <c r="I1104" s="428"/>
      <c r="J1104" s="426"/>
      <c r="K1104" s="426"/>
      <c r="N1104" s="91">
        <f t="shared" si="188"/>
        <v>0</v>
      </c>
      <c r="O1104" s="411">
        <f t="shared" si="187"/>
        <v>0</v>
      </c>
      <c r="P1104" s="132" t="s">
        <v>52</v>
      </c>
      <c r="Q1104" s="232"/>
      <c r="R1104" s="411"/>
      <c r="T1104" s="134" t="s">
        <v>1346</v>
      </c>
      <c r="U1104" s="447"/>
    </row>
    <row r="1105" spans="1:23" ht="24" x14ac:dyDescent="0.25">
      <c r="A1105" s="419">
        <v>3000858</v>
      </c>
      <c r="B1105" s="421">
        <v>42425</v>
      </c>
      <c r="C1105" s="419" t="s">
        <v>63</v>
      </c>
      <c r="D1105" s="429" t="s">
        <v>1913</v>
      </c>
      <c r="E1105" s="120">
        <v>500</v>
      </c>
      <c r="F1105" s="133" t="s">
        <v>1472</v>
      </c>
      <c r="G1105" s="434" t="s">
        <v>45</v>
      </c>
      <c r="H1105" s="427">
        <v>385</v>
      </c>
      <c r="I1105" s="427">
        <v>0</v>
      </c>
      <c r="J1105" s="425">
        <f>-((H1105*0.022)+0.3)</f>
        <v>-8.77</v>
      </c>
      <c r="K1105" s="425">
        <f t="shared" ref="K1105" si="189">SUM(H1105:J1105)</f>
        <v>376.23</v>
      </c>
      <c r="M1105" s="131">
        <v>23.51</v>
      </c>
      <c r="N1105" s="91">
        <f t="shared" si="188"/>
        <v>23.51</v>
      </c>
      <c r="O1105" s="411">
        <f t="shared" si="187"/>
        <v>352.72</v>
      </c>
      <c r="P1105" s="132" t="s">
        <v>52</v>
      </c>
      <c r="Q1105" s="232"/>
      <c r="R1105" s="411"/>
      <c r="T1105" s="470" t="s">
        <v>145</v>
      </c>
      <c r="U1105" s="266" t="s">
        <v>2749</v>
      </c>
    </row>
    <row r="1106" spans="1:23" x14ac:dyDescent="0.25">
      <c r="A1106" s="420"/>
      <c r="B1106" s="422"/>
      <c r="C1106" s="420"/>
      <c r="D1106" s="431"/>
      <c r="E1106" s="120">
        <v>500</v>
      </c>
      <c r="F1106" s="133" t="s">
        <v>2157</v>
      </c>
      <c r="G1106" s="436"/>
      <c r="H1106" s="428"/>
      <c r="I1106" s="428"/>
      <c r="J1106" s="426"/>
      <c r="K1106" s="426"/>
      <c r="M1106" s="187">
        <v>23.51</v>
      </c>
      <c r="N1106" s="91">
        <f t="shared" si="188"/>
        <v>23.51</v>
      </c>
      <c r="O1106" s="411">
        <f t="shared" si="187"/>
        <v>-23.51</v>
      </c>
      <c r="P1106" s="132" t="s">
        <v>52</v>
      </c>
      <c r="Q1106" s="232"/>
      <c r="R1106" s="411"/>
      <c r="T1106" s="472"/>
      <c r="U1106" s="266" t="s">
        <v>2750</v>
      </c>
    </row>
    <row r="1107" spans="1:23" x14ac:dyDescent="0.25">
      <c r="A1107" s="419">
        <v>3000859</v>
      </c>
      <c r="B1107" s="421">
        <v>42425</v>
      </c>
      <c r="C1107" s="419" t="s">
        <v>63</v>
      </c>
      <c r="D1107" s="417" t="s">
        <v>2751</v>
      </c>
      <c r="E1107" s="120">
        <v>650</v>
      </c>
      <c r="F1107" s="133" t="s">
        <v>2752</v>
      </c>
      <c r="G1107" s="434" t="s">
        <v>45</v>
      </c>
      <c r="H1107" s="427">
        <v>3315.5</v>
      </c>
      <c r="I1107" s="427">
        <v>0</v>
      </c>
      <c r="J1107" s="425">
        <f>-((H1107*0.022)+0.3)</f>
        <v>-73.241</v>
      </c>
      <c r="K1107" s="425">
        <f t="shared" ref="K1107" si="190">SUM(H1107:J1107)</f>
        <v>3242.259</v>
      </c>
      <c r="L1107" s="187">
        <v>277</v>
      </c>
      <c r="N1107" s="91">
        <f t="shared" si="188"/>
        <v>180.05</v>
      </c>
      <c r="O1107" s="411">
        <f t="shared" si="187"/>
        <v>3062.2089999999998</v>
      </c>
      <c r="P1107" s="132" t="s">
        <v>330</v>
      </c>
      <c r="Q1107" s="232"/>
      <c r="R1107" s="411"/>
      <c r="T1107" s="439" t="s">
        <v>260</v>
      </c>
      <c r="U1107" s="481" t="s">
        <v>2753</v>
      </c>
      <c r="W1107" s="153" t="s">
        <v>2754</v>
      </c>
    </row>
    <row r="1108" spans="1:23" x14ac:dyDescent="0.25">
      <c r="A1108" s="432"/>
      <c r="B1108" s="433"/>
      <c r="C1108" s="432"/>
      <c r="D1108" s="454"/>
      <c r="E1108" s="120">
        <v>100</v>
      </c>
      <c r="F1108" s="133" t="s">
        <v>2755</v>
      </c>
      <c r="G1108" s="435"/>
      <c r="H1108" s="438"/>
      <c r="I1108" s="438"/>
      <c r="J1108" s="437"/>
      <c r="K1108" s="437"/>
      <c r="L1108" s="187">
        <v>354</v>
      </c>
      <c r="N1108" s="91">
        <f t="shared" si="188"/>
        <v>35.4</v>
      </c>
      <c r="O1108" s="411">
        <f t="shared" si="187"/>
        <v>-35.4</v>
      </c>
      <c r="P1108" s="132" t="s">
        <v>330</v>
      </c>
      <c r="Q1108" s="232"/>
      <c r="R1108" s="411"/>
      <c r="T1108" s="440"/>
      <c r="U1108" s="482"/>
    </row>
    <row r="1109" spans="1:23" x14ac:dyDescent="0.25">
      <c r="A1109" s="432"/>
      <c r="B1109" s="433"/>
      <c r="C1109" s="432"/>
      <c r="D1109" s="454"/>
      <c r="E1109" s="120">
        <v>100</v>
      </c>
      <c r="F1109" s="133" t="s">
        <v>2756</v>
      </c>
      <c r="G1109" s="435"/>
      <c r="H1109" s="438"/>
      <c r="I1109" s="438"/>
      <c r="J1109" s="437"/>
      <c r="K1109" s="437"/>
      <c r="L1109" s="187">
        <v>546</v>
      </c>
      <c r="N1109" s="91">
        <f t="shared" si="188"/>
        <v>54.6</v>
      </c>
      <c r="O1109" s="411">
        <f t="shared" si="187"/>
        <v>-54.6</v>
      </c>
      <c r="P1109" s="132" t="s">
        <v>330</v>
      </c>
      <c r="Q1109" s="232"/>
      <c r="R1109" s="411"/>
      <c r="T1109" s="440"/>
      <c r="U1109" s="482"/>
    </row>
    <row r="1110" spans="1:23" x14ac:dyDescent="0.25">
      <c r="A1110" s="432"/>
      <c r="B1110" s="433"/>
      <c r="C1110" s="432"/>
      <c r="D1110" s="454"/>
      <c r="E1110" s="120">
        <v>100</v>
      </c>
      <c r="F1110" s="133" t="s">
        <v>2757</v>
      </c>
      <c r="G1110" s="435"/>
      <c r="H1110" s="438"/>
      <c r="I1110" s="438"/>
      <c r="J1110" s="437"/>
      <c r="K1110" s="437"/>
      <c r="L1110" s="187">
        <v>725</v>
      </c>
      <c r="N1110" s="91">
        <f t="shared" si="188"/>
        <v>72.5</v>
      </c>
      <c r="O1110" s="411">
        <f t="shared" si="187"/>
        <v>-72.5</v>
      </c>
      <c r="P1110" s="132" t="s">
        <v>330</v>
      </c>
      <c r="Q1110" s="232"/>
      <c r="R1110" s="411"/>
      <c r="T1110" s="440"/>
      <c r="U1110" s="482"/>
    </row>
    <row r="1111" spans="1:23" x14ac:dyDescent="0.25">
      <c r="A1111" s="432"/>
      <c r="B1111" s="433"/>
      <c r="C1111" s="432"/>
      <c r="D1111" s="454"/>
      <c r="E1111" s="120">
        <v>100</v>
      </c>
      <c r="F1111" s="133" t="s">
        <v>2758</v>
      </c>
      <c r="G1111" s="435"/>
      <c r="H1111" s="438"/>
      <c r="I1111" s="438"/>
      <c r="J1111" s="437"/>
      <c r="K1111" s="437"/>
      <c r="L1111" s="187">
        <v>2964</v>
      </c>
      <c r="N1111" s="91">
        <f t="shared" si="188"/>
        <v>296.40000000000003</v>
      </c>
      <c r="O1111" s="411">
        <f t="shared" si="187"/>
        <v>-296.40000000000003</v>
      </c>
      <c r="P1111" s="132" t="s">
        <v>330</v>
      </c>
      <c r="Q1111" s="232"/>
      <c r="R1111" s="411"/>
      <c r="T1111" s="440"/>
      <c r="U1111" s="482"/>
    </row>
    <row r="1112" spans="1:23" x14ac:dyDescent="0.25">
      <c r="A1112" s="432"/>
      <c r="B1112" s="433"/>
      <c r="C1112" s="432"/>
      <c r="D1112" s="454"/>
      <c r="E1112" s="120">
        <v>350</v>
      </c>
      <c r="F1112" s="133" t="s">
        <v>2759</v>
      </c>
      <c r="G1112" s="435"/>
      <c r="H1112" s="438"/>
      <c r="I1112" s="438"/>
      <c r="J1112" s="437"/>
      <c r="K1112" s="437"/>
      <c r="L1112" s="187">
        <v>1009</v>
      </c>
      <c r="N1112" s="91">
        <f t="shared" si="188"/>
        <v>353.15000000000003</v>
      </c>
      <c r="O1112" s="411">
        <f t="shared" si="187"/>
        <v>-353.15000000000003</v>
      </c>
      <c r="P1112" s="132" t="s">
        <v>330</v>
      </c>
      <c r="Q1112" s="232"/>
      <c r="R1112" s="411"/>
      <c r="T1112" s="440"/>
      <c r="U1112" s="483"/>
    </row>
    <row r="1113" spans="1:23" x14ac:dyDescent="0.25">
      <c r="A1113" s="432"/>
      <c r="B1113" s="433"/>
      <c r="C1113" s="432"/>
      <c r="D1113" s="454"/>
      <c r="E1113" s="120">
        <v>100</v>
      </c>
      <c r="F1113" s="133" t="s">
        <v>719</v>
      </c>
      <c r="G1113" s="435"/>
      <c r="H1113" s="438"/>
      <c r="I1113" s="438"/>
      <c r="J1113" s="437"/>
      <c r="K1113" s="437"/>
      <c r="L1113" s="187">
        <v>375</v>
      </c>
      <c r="N1113" s="91">
        <f t="shared" si="188"/>
        <v>37.5</v>
      </c>
      <c r="O1113" s="411">
        <f t="shared" si="187"/>
        <v>-37.5</v>
      </c>
      <c r="P1113" s="132" t="s">
        <v>330</v>
      </c>
      <c r="Q1113" s="232"/>
      <c r="R1113" s="411"/>
      <c r="T1113" s="440"/>
      <c r="U1113" s="481" t="s">
        <v>2760</v>
      </c>
    </row>
    <row r="1114" spans="1:23" x14ac:dyDescent="0.25">
      <c r="A1114" s="432"/>
      <c r="B1114" s="433"/>
      <c r="C1114" s="432"/>
      <c r="D1114" s="454"/>
      <c r="E1114" s="120">
        <v>100</v>
      </c>
      <c r="F1114" s="133" t="s">
        <v>2761</v>
      </c>
      <c r="G1114" s="435"/>
      <c r="H1114" s="438"/>
      <c r="I1114" s="438"/>
      <c r="J1114" s="437"/>
      <c r="K1114" s="437"/>
      <c r="L1114" s="187">
        <v>504</v>
      </c>
      <c r="N1114" s="91">
        <f t="shared" si="188"/>
        <v>50.400000000000006</v>
      </c>
      <c r="O1114" s="411">
        <f t="shared" si="187"/>
        <v>-50.400000000000006</v>
      </c>
      <c r="P1114" s="132" t="s">
        <v>330</v>
      </c>
      <c r="Q1114" s="232"/>
      <c r="R1114" s="411"/>
      <c r="T1114" s="440"/>
      <c r="U1114" s="482"/>
    </row>
    <row r="1115" spans="1:23" x14ac:dyDescent="0.25">
      <c r="A1115" s="432"/>
      <c r="B1115" s="433"/>
      <c r="C1115" s="432"/>
      <c r="D1115" s="454"/>
      <c r="E1115" s="120">
        <v>100</v>
      </c>
      <c r="F1115" s="133" t="s">
        <v>2762</v>
      </c>
      <c r="G1115" s="435"/>
      <c r="H1115" s="438"/>
      <c r="I1115" s="438"/>
      <c r="J1115" s="437"/>
      <c r="K1115" s="437"/>
      <c r="L1115" s="187">
        <v>639</v>
      </c>
      <c r="N1115" s="91">
        <f t="shared" si="188"/>
        <v>63.900000000000006</v>
      </c>
      <c r="O1115" s="411">
        <f t="shared" si="187"/>
        <v>-63.900000000000006</v>
      </c>
      <c r="P1115" s="132" t="s">
        <v>330</v>
      </c>
      <c r="Q1115" s="232"/>
      <c r="R1115" s="411"/>
      <c r="T1115" s="440"/>
      <c r="U1115" s="482"/>
    </row>
    <row r="1116" spans="1:23" x14ac:dyDescent="0.25">
      <c r="A1116" s="420"/>
      <c r="B1116" s="422"/>
      <c r="C1116" s="420"/>
      <c r="D1116" s="418"/>
      <c r="E1116" s="120">
        <v>350</v>
      </c>
      <c r="F1116" s="133" t="s">
        <v>2763</v>
      </c>
      <c r="G1116" s="436"/>
      <c r="H1116" s="428"/>
      <c r="I1116" s="428"/>
      <c r="J1116" s="426"/>
      <c r="K1116" s="426"/>
      <c r="L1116" s="187">
        <v>1416</v>
      </c>
      <c r="N1116" s="91">
        <f t="shared" si="188"/>
        <v>495.6</v>
      </c>
      <c r="O1116" s="411">
        <f t="shared" si="187"/>
        <v>-495.6</v>
      </c>
      <c r="P1116" s="132" t="s">
        <v>330</v>
      </c>
      <c r="Q1116" s="232"/>
      <c r="R1116" s="411"/>
      <c r="T1116" s="441"/>
      <c r="U1116" s="483"/>
    </row>
    <row r="1117" spans="1:23" x14ac:dyDescent="0.25">
      <c r="A1117" s="405">
        <v>3000860</v>
      </c>
      <c r="B1117" s="406">
        <v>42425</v>
      </c>
      <c r="C1117" s="405" t="s">
        <v>141</v>
      </c>
      <c r="D1117" s="401" t="s">
        <v>2764</v>
      </c>
      <c r="E1117" s="120">
        <v>1000</v>
      </c>
      <c r="F1117" s="133" t="s">
        <v>161</v>
      </c>
      <c r="G1117" s="404" t="s">
        <v>45</v>
      </c>
      <c r="H1117" s="411">
        <v>2100</v>
      </c>
      <c r="I1117" s="411">
        <v>0</v>
      </c>
      <c r="J1117" s="90">
        <f>-((H1117*0.0325)+0.3)</f>
        <v>-68.55</v>
      </c>
      <c r="K1117" s="90">
        <f t="shared" ref="K1117:K1146" si="191">SUM(H1117:J1117)</f>
        <v>2031.45</v>
      </c>
      <c r="L1117" s="131">
        <v>1322</v>
      </c>
      <c r="M1117" s="158">
        <v>89.99</v>
      </c>
      <c r="N1117" s="91">
        <f t="shared" si="188"/>
        <v>1411.99</v>
      </c>
      <c r="O1117" s="411">
        <f t="shared" si="187"/>
        <v>619.46</v>
      </c>
      <c r="P1117" s="132" t="s">
        <v>52</v>
      </c>
      <c r="Q1117" s="232"/>
      <c r="R1117" s="411"/>
      <c r="T1117" s="134" t="s">
        <v>875</v>
      </c>
      <c r="U1117" s="267" t="s">
        <v>2765</v>
      </c>
      <c r="V1117" s="133" t="s">
        <v>55</v>
      </c>
      <c r="W1117" s="153" t="s">
        <v>2766</v>
      </c>
    </row>
    <row r="1118" spans="1:23" x14ac:dyDescent="0.25">
      <c r="A1118" s="419">
        <v>3000861</v>
      </c>
      <c r="B1118" s="421">
        <v>42425</v>
      </c>
      <c r="C1118" s="419" t="s">
        <v>63</v>
      </c>
      <c r="D1118" s="417" t="s">
        <v>2767</v>
      </c>
      <c r="E1118" s="120">
        <v>500</v>
      </c>
      <c r="F1118" s="133" t="s">
        <v>2768</v>
      </c>
      <c r="G1118" s="434" t="s">
        <v>45</v>
      </c>
      <c r="H1118" s="427">
        <v>2700</v>
      </c>
      <c r="I1118" s="427">
        <v>0</v>
      </c>
      <c r="J1118" s="425">
        <f>-((H1118*0.022)+0.3)</f>
        <v>-59.699999999999996</v>
      </c>
      <c r="K1118" s="425">
        <f t="shared" si="191"/>
        <v>2640.3</v>
      </c>
      <c r="L1118" s="131">
        <v>1900</v>
      </c>
      <c r="M1118" s="131">
        <v>105</v>
      </c>
      <c r="N1118" s="91">
        <f t="shared" si="188"/>
        <v>1055</v>
      </c>
      <c r="O1118" s="411">
        <f t="shared" si="187"/>
        <v>1585.3000000000002</v>
      </c>
      <c r="P1118" s="132" t="s">
        <v>1793</v>
      </c>
      <c r="Q1118" s="232"/>
      <c r="R1118" s="411"/>
      <c r="T1118" s="134"/>
      <c r="U1118" s="266"/>
      <c r="W1118" s="153" t="s">
        <v>2769</v>
      </c>
    </row>
    <row r="1119" spans="1:23" x14ac:dyDescent="0.25">
      <c r="A1119" s="420"/>
      <c r="B1119" s="422"/>
      <c r="C1119" s="420"/>
      <c r="D1119" s="418"/>
      <c r="E1119" s="120">
        <v>1000</v>
      </c>
      <c r="F1119" s="133" t="s">
        <v>2770</v>
      </c>
      <c r="G1119" s="436"/>
      <c r="H1119" s="428"/>
      <c r="I1119" s="428"/>
      <c r="J1119" s="426"/>
      <c r="K1119" s="426"/>
      <c r="L1119" s="158">
        <v>1099</v>
      </c>
      <c r="M1119" s="158">
        <v>219.68</v>
      </c>
      <c r="N1119" s="91">
        <f t="shared" si="188"/>
        <v>1318.68</v>
      </c>
      <c r="O1119" s="411">
        <f t="shared" si="187"/>
        <v>-1318.68</v>
      </c>
      <c r="P1119" s="132" t="s">
        <v>183</v>
      </c>
      <c r="Q1119" s="232"/>
      <c r="R1119" s="411"/>
      <c r="T1119" s="134" t="s">
        <v>2771</v>
      </c>
      <c r="U1119" s="267" t="s">
        <v>2772</v>
      </c>
      <c r="V1119" s="133" t="s">
        <v>2773</v>
      </c>
    </row>
    <row r="1120" spans="1:23" ht="24" x14ac:dyDescent="0.25">
      <c r="A1120" s="405">
        <v>3000862</v>
      </c>
      <c r="B1120" s="406">
        <v>42425</v>
      </c>
      <c r="C1120" s="405" t="s">
        <v>63</v>
      </c>
      <c r="D1120" s="401" t="s">
        <v>2774</v>
      </c>
      <c r="E1120" s="120">
        <v>100</v>
      </c>
      <c r="F1120" s="133" t="s">
        <v>247</v>
      </c>
      <c r="G1120" s="404" t="s">
        <v>45</v>
      </c>
      <c r="H1120" s="411">
        <v>120</v>
      </c>
      <c r="I1120" s="411">
        <v>0</v>
      </c>
      <c r="J1120" s="90">
        <f>-((H1120*0.022)+0.3)</f>
        <v>-2.9399999999999995</v>
      </c>
      <c r="K1120" s="90">
        <f t="shared" si="191"/>
        <v>117.06</v>
      </c>
      <c r="L1120" s="131">
        <v>480</v>
      </c>
      <c r="M1120" s="187">
        <v>36.18</v>
      </c>
      <c r="N1120" s="91">
        <f t="shared" si="188"/>
        <v>84.18</v>
      </c>
      <c r="O1120" s="411">
        <f t="shared" si="187"/>
        <v>32.879999999999995</v>
      </c>
      <c r="P1120" s="132" t="s">
        <v>52</v>
      </c>
      <c r="Q1120" s="232"/>
      <c r="R1120" s="411"/>
      <c r="T1120" s="134" t="s">
        <v>145</v>
      </c>
      <c r="U1120" s="267" t="s">
        <v>2775</v>
      </c>
      <c r="W1120" s="153" t="s">
        <v>2776</v>
      </c>
    </row>
    <row r="1121" spans="1:21" ht="24" x14ac:dyDescent="0.25">
      <c r="A1121" s="405">
        <v>3000863</v>
      </c>
      <c r="B1121" s="406">
        <v>42425</v>
      </c>
      <c r="C1121" s="405" t="s">
        <v>42</v>
      </c>
      <c r="D1121" s="401" t="s">
        <v>2777</v>
      </c>
      <c r="E1121" s="120">
        <v>50</v>
      </c>
      <c r="F1121" s="133" t="s">
        <v>626</v>
      </c>
      <c r="G1121" s="404" t="s">
        <v>45</v>
      </c>
      <c r="H1121" s="411">
        <v>190</v>
      </c>
      <c r="I1121" s="89">
        <f t="shared" ref="I1121:I1131" si="192">-(H1121*0.09)</f>
        <v>-17.099999999999998</v>
      </c>
      <c r="J1121" s="90">
        <f t="shared" ref="J1121:J1126" si="193">-((H1121*0.019)+0.3)</f>
        <v>-3.9099999999999997</v>
      </c>
      <c r="K1121" s="90">
        <f t="shared" si="191"/>
        <v>168.99</v>
      </c>
      <c r="M1121" s="187">
        <v>30.89</v>
      </c>
      <c r="N1121" s="91">
        <f t="shared" si="188"/>
        <v>30.89</v>
      </c>
      <c r="O1121" s="411">
        <f t="shared" si="187"/>
        <v>138.10000000000002</v>
      </c>
      <c r="P1121" s="132" t="s">
        <v>86</v>
      </c>
      <c r="Q1121" s="232"/>
      <c r="R1121" s="411"/>
      <c r="T1121" s="134" t="s">
        <v>145</v>
      </c>
      <c r="U1121" s="267" t="s">
        <v>2778</v>
      </c>
    </row>
    <row r="1122" spans="1:21" ht="24" x14ac:dyDescent="0.25">
      <c r="A1122" s="405">
        <v>3000864</v>
      </c>
      <c r="B1122" s="406">
        <v>42425</v>
      </c>
      <c r="C1122" s="405" t="s">
        <v>42</v>
      </c>
      <c r="D1122" s="401" t="s">
        <v>2779</v>
      </c>
      <c r="E1122" s="120">
        <v>50</v>
      </c>
      <c r="F1122" s="133" t="s">
        <v>300</v>
      </c>
      <c r="G1122" s="404" t="s">
        <v>45</v>
      </c>
      <c r="H1122" s="411">
        <v>203.08</v>
      </c>
      <c r="I1122" s="89">
        <f t="shared" si="192"/>
        <v>-18.277200000000001</v>
      </c>
      <c r="J1122" s="90">
        <f t="shared" si="193"/>
        <v>-4.1585200000000002</v>
      </c>
      <c r="K1122" s="90">
        <f t="shared" si="191"/>
        <v>180.64428000000001</v>
      </c>
      <c r="L1122" s="131">
        <v>2200</v>
      </c>
      <c r="M1122" s="187">
        <v>39.950000000000003</v>
      </c>
      <c r="N1122" s="91">
        <f t="shared" si="188"/>
        <v>149.94999999999999</v>
      </c>
      <c r="O1122" s="411">
        <f t="shared" si="187"/>
        <v>30.69428000000002</v>
      </c>
      <c r="P1122" s="132" t="s">
        <v>52</v>
      </c>
      <c r="Q1122" s="232"/>
      <c r="R1122" s="411"/>
      <c r="T1122" s="134" t="s">
        <v>145</v>
      </c>
      <c r="U1122" s="267" t="s">
        <v>2780</v>
      </c>
    </row>
    <row r="1123" spans="1:21" ht="24" x14ac:dyDescent="0.25">
      <c r="A1123" s="405">
        <v>3000865</v>
      </c>
      <c r="B1123" s="406">
        <v>42425</v>
      </c>
      <c r="C1123" s="405" t="s">
        <v>42</v>
      </c>
      <c r="D1123" s="401" t="s">
        <v>2781</v>
      </c>
      <c r="E1123" s="120">
        <v>125</v>
      </c>
      <c r="F1123" s="133" t="s">
        <v>247</v>
      </c>
      <c r="G1123" s="404" t="s">
        <v>45</v>
      </c>
      <c r="H1123" s="411">
        <v>151.72999999999999</v>
      </c>
      <c r="I1123" s="89">
        <f t="shared" si="192"/>
        <v>-13.655699999999998</v>
      </c>
      <c r="J1123" s="90">
        <f t="shared" si="193"/>
        <v>-3.1828699999999994</v>
      </c>
      <c r="K1123" s="90">
        <f t="shared" si="191"/>
        <v>134.89142999999999</v>
      </c>
      <c r="L1123" s="131">
        <v>480</v>
      </c>
      <c r="M1123" s="187">
        <v>49.79</v>
      </c>
      <c r="N1123" s="91">
        <f t="shared" si="188"/>
        <v>109.78999999999999</v>
      </c>
      <c r="O1123" s="411">
        <f t="shared" si="187"/>
        <v>25.101429999999993</v>
      </c>
      <c r="P1123" s="132" t="s">
        <v>52</v>
      </c>
      <c r="Q1123" s="232"/>
      <c r="R1123" s="411"/>
      <c r="T1123" s="134" t="s">
        <v>145</v>
      </c>
      <c r="U1123" s="267" t="s">
        <v>2782</v>
      </c>
    </row>
    <row r="1124" spans="1:21" ht="24" x14ac:dyDescent="0.25">
      <c r="A1124" s="405">
        <v>3000866</v>
      </c>
      <c r="B1124" s="406">
        <v>42425</v>
      </c>
      <c r="C1124" s="405" t="s">
        <v>42</v>
      </c>
      <c r="D1124" s="401" t="s">
        <v>2783</v>
      </c>
      <c r="E1124" s="120">
        <v>50</v>
      </c>
      <c r="F1124" s="133" t="s">
        <v>2408</v>
      </c>
      <c r="G1124" s="404" t="s">
        <v>45</v>
      </c>
      <c r="H1124" s="411">
        <v>116.38</v>
      </c>
      <c r="I1124" s="89">
        <f t="shared" si="192"/>
        <v>-10.4742</v>
      </c>
      <c r="J1124" s="90">
        <f t="shared" si="193"/>
        <v>-2.5112199999999998</v>
      </c>
      <c r="K1124" s="90">
        <f t="shared" si="191"/>
        <v>103.39458</v>
      </c>
      <c r="L1124" s="131">
        <v>1426</v>
      </c>
      <c r="M1124" s="187">
        <v>17.04</v>
      </c>
      <c r="N1124" s="91">
        <v>72.3</v>
      </c>
      <c r="O1124" s="411">
        <f t="shared" si="187"/>
        <v>31.094580000000008</v>
      </c>
      <c r="P1124" s="132" t="s">
        <v>926</v>
      </c>
      <c r="Q1124" s="232"/>
      <c r="R1124" s="411"/>
      <c r="T1124" s="134" t="s">
        <v>145</v>
      </c>
      <c r="U1124" s="267" t="s">
        <v>2784</v>
      </c>
    </row>
    <row r="1125" spans="1:21" ht="24" x14ac:dyDescent="0.25">
      <c r="A1125" s="405">
        <v>3000867</v>
      </c>
      <c r="B1125" s="406">
        <v>42425</v>
      </c>
      <c r="C1125" s="405" t="s">
        <v>42</v>
      </c>
      <c r="D1125" s="401" t="s">
        <v>2785</v>
      </c>
      <c r="E1125" s="120">
        <v>125</v>
      </c>
      <c r="F1125" s="133" t="s">
        <v>829</v>
      </c>
      <c r="G1125" s="404" t="s">
        <v>45</v>
      </c>
      <c r="H1125" s="411">
        <v>131.77000000000001</v>
      </c>
      <c r="I1125" s="89">
        <f t="shared" si="192"/>
        <v>-11.859300000000001</v>
      </c>
      <c r="J1125" s="90">
        <f t="shared" si="193"/>
        <v>-2.8036300000000001</v>
      </c>
      <c r="K1125" s="90">
        <f t="shared" si="191"/>
        <v>117.10707000000001</v>
      </c>
      <c r="L1125" s="131">
        <v>510</v>
      </c>
      <c r="M1125" s="187">
        <v>39.94</v>
      </c>
      <c r="N1125" s="91">
        <f t="shared" si="188"/>
        <v>103.69</v>
      </c>
      <c r="O1125" s="411">
        <f t="shared" si="187"/>
        <v>13.41707000000001</v>
      </c>
      <c r="P1125" s="132" t="s">
        <v>52</v>
      </c>
      <c r="Q1125" s="232"/>
      <c r="R1125" s="411"/>
      <c r="T1125" s="134" t="s">
        <v>145</v>
      </c>
      <c r="U1125" s="266" t="s">
        <v>2786</v>
      </c>
    </row>
    <row r="1126" spans="1:21" x14ac:dyDescent="0.25">
      <c r="A1126" s="419">
        <v>3000868</v>
      </c>
      <c r="B1126" s="421">
        <v>42425</v>
      </c>
      <c r="C1126" s="419" t="s">
        <v>42</v>
      </c>
      <c r="D1126" s="417" t="s">
        <v>2787</v>
      </c>
      <c r="E1126" s="120">
        <v>6</v>
      </c>
      <c r="F1126" s="133" t="s">
        <v>2788</v>
      </c>
      <c r="G1126" s="434" t="s">
        <v>45</v>
      </c>
      <c r="H1126" s="427">
        <v>505.38</v>
      </c>
      <c r="I1126" s="500">
        <f t="shared" si="192"/>
        <v>-45.484200000000001</v>
      </c>
      <c r="J1126" s="425">
        <f t="shared" si="193"/>
        <v>-9.9022199999999998</v>
      </c>
      <c r="K1126" s="425">
        <f t="shared" si="191"/>
        <v>449.99358000000001</v>
      </c>
      <c r="L1126" s="187">
        <v>9450</v>
      </c>
      <c r="M1126" s="187">
        <v>40.79</v>
      </c>
      <c r="N1126" s="91">
        <f t="shared" si="188"/>
        <v>97.490000000000009</v>
      </c>
      <c r="O1126" s="411">
        <f t="shared" si="187"/>
        <v>352.50358</v>
      </c>
      <c r="P1126" s="132" t="s">
        <v>183</v>
      </c>
      <c r="Q1126" s="232"/>
      <c r="R1126" s="411"/>
      <c r="T1126" s="439" t="s">
        <v>145</v>
      </c>
      <c r="U1126" s="267" t="s">
        <v>2789</v>
      </c>
    </row>
    <row r="1127" spans="1:21" x14ac:dyDescent="0.25">
      <c r="A1127" s="420"/>
      <c r="B1127" s="422"/>
      <c r="C1127" s="420"/>
      <c r="D1127" s="418"/>
      <c r="E1127" s="120">
        <v>50</v>
      </c>
      <c r="F1127" s="133" t="s">
        <v>870</v>
      </c>
      <c r="G1127" s="436"/>
      <c r="H1127" s="428"/>
      <c r="I1127" s="501"/>
      <c r="J1127" s="426"/>
      <c r="K1127" s="426"/>
      <c r="L1127" s="187">
        <v>4650</v>
      </c>
      <c r="M1127" s="187"/>
      <c r="N1127" s="91">
        <f t="shared" si="188"/>
        <v>232.5</v>
      </c>
      <c r="O1127" s="411">
        <f t="shared" si="187"/>
        <v>-232.5</v>
      </c>
      <c r="P1127" s="132" t="s">
        <v>183</v>
      </c>
      <c r="Q1127" s="232"/>
      <c r="R1127" s="411"/>
      <c r="T1127" s="441"/>
      <c r="U1127" s="267" t="s">
        <v>2790</v>
      </c>
    </row>
    <row r="1128" spans="1:21" ht="24" x14ac:dyDescent="0.25">
      <c r="A1128" s="405">
        <v>3000869</v>
      </c>
      <c r="B1128" s="406">
        <v>42425</v>
      </c>
      <c r="C1128" s="405" t="s">
        <v>42</v>
      </c>
      <c r="D1128" s="401" t="s">
        <v>2791</v>
      </c>
      <c r="E1128" s="120">
        <v>100</v>
      </c>
      <c r="F1128" s="133" t="s">
        <v>247</v>
      </c>
      <c r="G1128" s="404" t="s">
        <v>45</v>
      </c>
      <c r="H1128" s="411">
        <v>121.39</v>
      </c>
      <c r="I1128" s="89">
        <f t="shared" si="192"/>
        <v>-10.9251</v>
      </c>
      <c r="J1128" s="90">
        <f>-((H1128*0.019)+0.3)</f>
        <v>-2.6064099999999999</v>
      </c>
      <c r="K1128" s="90">
        <f t="shared" si="191"/>
        <v>107.85849</v>
      </c>
      <c r="L1128" s="131">
        <v>480</v>
      </c>
      <c r="M1128" s="187">
        <v>50.02</v>
      </c>
      <c r="N1128" s="91">
        <f t="shared" si="188"/>
        <v>98.02000000000001</v>
      </c>
      <c r="O1128" s="411">
        <f t="shared" si="187"/>
        <v>9.8384899999999931</v>
      </c>
      <c r="P1128" s="132" t="s">
        <v>52</v>
      </c>
      <c r="Q1128" s="232"/>
      <c r="R1128" s="411"/>
      <c r="T1128" s="134" t="s">
        <v>145</v>
      </c>
      <c r="U1128" s="266" t="s">
        <v>2792</v>
      </c>
    </row>
    <row r="1129" spans="1:21" ht="24" x14ac:dyDescent="0.25">
      <c r="A1129" s="405">
        <v>3000870</v>
      </c>
      <c r="B1129" s="406">
        <v>42425</v>
      </c>
      <c r="C1129" s="405" t="s">
        <v>42</v>
      </c>
      <c r="D1129" s="401" t="s">
        <v>2793</v>
      </c>
      <c r="E1129" s="120">
        <v>100</v>
      </c>
      <c r="F1129" s="133" t="s">
        <v>1547</v>
      </c>
      <c r="G1129" s="404" t="s">
        <v>45</v>
      </c>
      <c r="H1129" s="411">
        <v>110.97</v>
      </c>
      <c r="I1129" s="89">
        <f t="shared" si="192"/>
        <v>-9.9872999999999994</v>
      </c>
      <c r="J1129" s="90">
        <f>-((H1129*0.019)+0.3)</f>
        <v>-2.4084299999999996</v>
      </c>
      <c r="K1129" s="90">
        <f t="shared" si="191"/>
        <v>98.574269999999999</v>
      </c>
      <c r="L1129" s="131">
        <v>385</v>
      </c>
      <c r="M1129" s="187">
        <v>26.82</v>
      </c>
      <c r="N1129" s="91">
        <f t="shared" si="188"/>
        <v>65.319999999999993</v>
      </c>
      <c r="O1129" s="411">
        <f t="shared" si="187"/>
        <v>33.254270000000005</v>
      </c>
      <c r="P1129" s="132" t="s">
        <v>52</v>
      </c>
      <c r="Q1129" s="232"/>
      <c r="R1129" s="411"/>
      <c r="T1129" s="134" t="s">
        <v>145</v>
      </c>
      <c r="U1129" s="266" t="s">
        <v>2794</v>
      </c>
    </row>
    <row r="1130" spans="1:21" ht="24" x14ac:dyDescent="0.25">
      <c r="A1130" s="405">
        <v>3000871</v>
      </c>
      <c r="B1130" s="406">
        <v>42425</v>
      </c>
      <c r="C1130" s="405" t="s">
        <v>42</v>
      </c>
      <c r="D1130" s="401" t="s">
        <v>2795</v>
      </c>
      <c r="E1130" s="120">
        <v>500</v>
      </c>
      <c r="F1130" s="133" t="s">
        <v>2796</v>
      </c>
      <c r="G1130" s="404" t="s">
        <v>45</v>
      </c>
      <c r="H1130" s="411">
        <v>315.88</v>
      </c>
      <c r="I1130" s="89">
        <f t="shared" si="192"/>
        <v>-28.429199999999998</v>
      </c>
      <c r="J1130" s="90">
        <f>-((H1130*0.019)+0.3)</f>
        <v>-6.3017199999999995</v>
      </c>
      <c r="K1130" s="90">
        <f t="shared" si="191"/>
        <v>281.14908000000003</v>
      </c>
      <c r="L1130" s="158">
        <v>330</v>
      </c>
      <c r="M1130" s="158">
        <v>29.5</v>
      </c>
      <c r="N1130" s="91">
        <f t="shared" si="188"/>
        <v>194.5</v>
      </c>
      <c r="O1130" s="411">
        <f t="shared" si="187"/>
        <v>86.649080000000026</v>
      </c>
      <c r="P1130" s="132" t="s">
        <v>183</v>
      </c>
      <c r="Q1130" s="232"/>
      <c r="R1130" s="411"/>
      <c r="T1130" s="134" t="s">
        <v>145</v>
      </c>
      <c r="U1130" s="267" t="s">
        <v>2797</v>
      </c>
    </row>
    <row r="1131" spans="1:21" ht="24" x14ac:dyDescent="0.25">
      <c r="A1131" s="405">
        <v>3000872</v>
      </c>
      <c r="B1131" s="406">
        <v>42425</v>
      </c>
      <c r="C1131" s="405" t="s">
        <v>42</v>
      </c>
      <c r="D1131" s="401" t="s">
        <v>2798</v>
      </c>
      <c r="E1131" s="120">
        <v>250</v>
      </c>
      <c r="F1131" s="133" t="s">
        <v>2799</v>
      </c>
      <c r="G1131" s="404" t="s">
        <v>45</v>
      </c>
      <c r="H1131" s="411">
        <v>699.87</v>
      </c>
      <c r="I1131" s="89">
        <f t="shared" si="192"/>
        <v>-62.988299999999995</v>
      </c>
      <c r="J1131" s="90">
        <f>-((H1131*0.019)+0.3)</f>
        <v>-13.597530000000001</v>
      </c>
      <c r="K1131" s="90">
        <f t="shared" si="191"/>
        <v>623.28417000000002</v>
      </c>
      <c r="M1131" s="187">
        <v>70.66</v>
      </c>
      <c r="N1131" s="91">
        <f t="shared" si="188"/>
        <v>70.66</v>
      </c>
      <c r="O1131" s="411">
        <f t="shared" si="187"/>
        <v>552.62417000000005</v>
      </c>
      <c r="P1131" s="132" t="s">
        <v>52</v>
      </c>
      <c r="Q1131" s="232"/>
      <c r="R1131" s="411"/>
      <c r="T1131" s="134" t="s">
        <v>145</v>
      </c>
      <c r="U1131" s="266" t="s">
        <v>2800</v>
      </c>
    </row>
    <row r="1132" spans="1:21" ht="24" x14ac:dyDescent="0.25">
      <c r="A1132" s="405">
        <v>3000873</v>
      </c>
      <c r="B1132" s="406">
        <v>42425</v>
      </c>
      <c r="C1132" s="405" t="s">
        <v>237</v>
      </c>
      <c r="D1132" s="401" t="s">
        <v>2801</v>
      </c>
      <c r="E1132" s="120">
        <v>50</v>
      </c>
      <c r="F1132" s="133" t="s">
        <v>161</v>
      </c>
      <c r="G1132" s="404" t="s">
        <v>45</v>
      </c>
      <c r="H1132" s="411">
        <v>101.45</v>
      </c>
      <c r="I1132" s="89">
        <f>-(H1132*0.15)</f>
        <v>-15.217499999999999</v>
      </c>
      <c r="J1132" s="411">
        <v>0</v>
      </c>
      <c r="K1132" s="90">
        <f t="shared" si="191"/>
        <v>86.232500000000002</v>
      </c>
      <c r="L1132" s="131">
        <v>1322</v>
      </c>
      <c r="M1132" s="187">
        <v>19.86</v>
      </c>
      <c r="N1132" s="91">
        <f t="shared" si="188"/>
        <v>85.960000000000008</v>
      </c>
      <c r="O1132" s="411">
        <f t="shared" si="187"/>
        <v>0.27249999999999375</v>
      </c>
      <c r="P1132" s="132" t="s">
        <v>52</v>
      </c>
      <c r="Q1132" s="232"/>
      <c r="R1132" s="411"/>
      <c r="T1132" s="134" t="s">
        <v>145</v>
      </c>
      <c r="U1132" s="267" t="s">
        <v>2802</v>
      </c>
    </row>
    <row r="1133" spans="1:21" ht="24" x14ac:dyDescent="0.25">
      <c r="A1133" s="405">
        <v>3000874</v>
      </c>
      <c r="B1133" s="406">
        <v>42425</v>
      </c>
      <c r="C1133" s="405" t="s">
        <v>237</v>
      </c>
      <c r="D1133" s="401" t="s">
        <v>2803</v>
      </c>
      <c r="E1133" s="120">
        <v>250</v>
      </c>
      <c r="F1133" s="133" t="s">
        <v>2804</v>
      </c>
      <c r="G1133" s="404" t="s">
        <v>45</v>
      </c>
      <c r="H1133" s="411">
        <v>146.26</v>
      </c>
      <c r="I1133" s="89">
        <f>-(H1133*0.15)</f>
        <v>-21.938999999999997</v>
      </c>
      <c r="J1133" s="411">
        <v>0</v>
      </c>
      <c r="K1133" s="90">
        <f t="shared" si="191"/>
        <v>124.321</v>
      </c>
      <c r="L1133" s="187">
        <v>390</v>
      </c>
      <c r="M1133" s="187">
        <v>17.87</v>
      </c>
      <c r="N1133" s="91">
        <f t="shared" si="188"/>
        <v>115.37</v>
      </c>
      <c r="O1133" s="411">
        <f t="shared" si="187"/>
        <v>8.9509999999999934</v>
      </c>
      <c r="P1133" s="132" t="s">
        <v>183</v>
      </c>
      <c r="Q1133" s="232"/>
      <c r="R1133" s="411"/>
      <c r="T1133" s="134" t="s">
        <v>145</v>
      </c>
      <c r="U1133" s="267" t="s">
        <v>2805</v>
      </c>
    </row>
    <row r="1134" spans="1:21" ht="24" x14ac:dyDescent="0.25">
      <c r="A1134" s="405">
        <v>3000875</v>
      </c>
      <c r="B1134" s="406">
        <v>42425</v>
      </c>
      <c r="C1134" s="405" t="s">
        <v>237</v>
      </c>
      <c r="D1134" s="401" t="s">
        <v>2806</v>
      </c>
      <c r="E1134" s="120">
        <v>75</v>
      </c>
      <c r="F1134" s="133" t="s">
        <v>431</v>
      </c>
      <c r="G1134" s="404" t="s">
        <v>45</v>
      </c>
      <c r="H1134" s="411">
        <v>190.35</v>
      </c>
      <c r="I1134" s="89">
        <f>-(H1134*0.15)</f>
        <v>-28.552499999999998</v>
      </c>
      <c r="J1134" s="411">
        <v>0</v>
      </c>
      <c r="K1134" s="90">
        <f t="shared" si="191"/>
        <v>161.79749999999999</v>
      </c>
      <c r="L1134" s="131">
        <v>990</v>
      </c>
      <c r="M1134" s="187">
        <v>36.090000000000003</v>
      </c>
      <c r="N1134" s="91">
        <f t="shared" si="188"/>
        <v>110.34</v>
      </c>
      <c r="O1134" s="411">
        <f t="shared" si="187"/>
        <v>51.457499999999982</v>
      </c>
      <c r="P1134" s="132" t="s">
        <v>52</v>
      </c>
      <c r="Q1134" s="232"/>
      <c r="R1134" s="411"/>
      <c r="T1134" s="134" t="s">
        <v>145</v>
      </c>
      <c r="U1134" s="267" t="s">
        <v>2807</v>
      </c>
    </row>
    <row r="1135" spans="1:21" ht="24" x14ac:dyDescent="0.25">
      <c r="A1135" s="405">
        <v>3000876</v>
      </c>
      <c r="B1135" s="406">
        <v>42425</v>
      </c>
      <c r="C1135" s="405" t="s">
        <v>237</v>
      </c>
      <c r="D1135" s="401" t="s">
        <v>2808</v>
      </c>
      <c r="E1135" s="120">
        <v>150</v>
      </c>
      <c r="F1135" s="133" t="s">
        <v>247</v>
      </c>
      <c r="G1135" s="404" t="s">
        <v>45</v>
      </c>
      <c r="H1135" s="411">
        <v>200</v>
      </c>
      <c r="I1135" s="89">
        <f>-(H1135*0.15)</f>
        <v>-30</v>
      </c>
      <c r="J1135" s="411">
        <v>0</v>
      </c>
      <c r="K1135" s="90">
        <f t="shared" si="191"/>
        <v>170</v>
      </c>
      <c r="L1135" s="131">
        <v>480</v>
      </c>
      <c r="M1135" s="187">
        <v>25.53</v>
      </c>
      <c r="N1135" s="91">
        <f t="shared" si="188"/>
        <v>97.53</v>
      </c>
      <c r="O1135" s="411">
        <f t="shared" si="187"/>
        <v>72.47</v>
      </c>
      <c r="P1135" s="132" t="s">
        <v>52</v>
      </c>
      <c r="Q1135" s="232"/>
      <c r="R1135" s="411"/>
      <c r="T1135" s="134" t="s">
        <v>145</v>
      </c>
      <c r="U1135" s="267" t="s">
        <v>2809</v>
      </c>
    </row>
    <row r="1136" spans="1:21" ht="24" x14ac:dyDescent="0.25">
      <c r="A1136" s="405">
        <v>3000877</v>
      </c>
      <c r="B1136" s="406">
        <v>42425</v>
      </c>
      <c r="C1136" s="405" t="s">
        <v>42</v>
      </c>
      <c r="D1136" s="401" t="s">
        <v>2810</v>
      </c>
      <c r="E1136" s="120">
        <v>250</v>
      </c>
      <c r="F1136" s="133" t="s">
        <v>1550</v>
      </c>
      <c r="G1136" s="404" t="s">
        <v>45</v>
      </c>
      <c r="H1136" s="411">
        <v>320</v>
      </c>
      <c r="I1136" s="89">
        <f t="shared" ref="I1136:I1137" si="194">-(H1136*0.09)</f>
        <v>-28.799999999999997</v>
      </c>
      <c r="J1136" s="90">
        <f>-((H1136*0.019)+0.3)</f>
        <v>-6.38</v>
      </c>
      <c r="K1136" s="90">
        <f t="shared" si="191"/>
        <v>284.82</v>
      </c>
      <c r="M1136" s="187">
        <v>67.180000000000007</v>
      </c>
      <c r="N1136" s="91">
        <f t="shared" si="188"/>
        <v>67.180000000000007</v>
      </c>
      <c r="O1136" s="411">
        <f t="shared" si="187"/>
        <v>217.64</v>
      </c>
      <c r="P1136" s="132" t="s">
        <v>52</v>
      </c>
      <c r="Q1136" s="232"/>
      <c r="R1136" s="411"/>
      <c r="T1136" s="134" t="s">
        <v>145</v>
      </c>
      <c r="U1136" s="266" t="s">
        <v>2811</v>
      </c>
    </row>
    <row r="1137" spans="1:23" ht="24" x14ac:dyDescent="0.25">
      <c r="A1137" s="405">
        <v>3000878</v>
      </c>
      <c r="B1137" s="406">
        <v>42425</v>
      </c>
      <c r="C1137" s="405" t="s">
        <v>42</v>
      </c>
      <c r="D1137" s="401" t="s">
        <v>2812</v>
      </c>
      <c r="E1137" s="120">
        <v>100</v>
      </c>
      <c r="F1137" s="133" t="s">
        <v>1547</v>
      </c>
      <c r="G1137" s="404" t="s">
        <v>45</v>
      </c>
      <c r="H1137" s="411">
        <v>110.97</v>
      </c>
      <c r="I1137" s="89">
        <f t="shared" si="194"/>
        <v>-9.9872999999999994</v>
      </c>
      <c r="J1137" s="90">
        <f>-((H1137*0.019)+0.3)</f>
        <v>-2.4084299999999996</v>
      </c>
      <c r="K1137" s="90">
        <f t="shared" si="191"/>
        <v>98.574269999999999</v>
      </c>
      <c r="L1137" s="131">
        <v>385</v>
      </c>
      <c r="M1137" s="187">
        <v>38.01</v>
      </c>
      <c r="N1137" s="91">
        <f t="shared" si="188"/>
        <v>76.509999999999991</v>
      </c>
      <c r="O1137" s="411">
        <f t="shared" si="187"/>
        <v>22.064270000000008</v>
      </c>
      <c r="P1137" s="132" t="s">
        <v>52</v>
      </c>
      <c r="Q1137" s="232"/>
      <c r="R1137" s="411"/>
      <c r="T1137" s="134" t="s">
        <v>145</v>
      </c>
      <c r="U1137" s="267" t="s">
        <v>2813</v>
      </c>
    </row>
    <row r="1138" spans="1:23" ht="60" x14ac:dyDescent="0.25">
      <c r="A1138" s="419">
        <v>3000879</v>
      </c>
      <c r="B1138" s="421">
        <v>42425</v>
      </c>
      <c r="C1138" s="419" t="s">
        <v>141</v>
      </c>
      <c r="D1138" s="429" t="s">
        <v>2814</v>
      </c>
      <c r="E1138" s="120">
        <v>2000</v>
      </c>
      <c r="F1138" s="119" t="s">
        <v>2815</v>
      </c>
      <c r="G1138" s="434" t="s">
        <v>45</v>
      </c>
      <c r="H1138" s="427">
        <v>11180</v>
      </c>
      <c r="I1138" s="427">
        <v>0</v>
      </c>
      <c r="J1138" s="425">
        <f>-((H1138*0.0325)+0.3)</f>
        <v>-363.65000000000003</v>
      </c>
      <c r="K1138" s="523">
        <f t="shared" si="191"/>
        <v>10816.35</v>
      </c>
      <c r="L1138" s="187">
        <v>1566</v>
      </c>
      <c r="N1138" s="91">
        <f t="shared" si="188"/>
        <v>3132</v>
      </c>
      <c r="O1138" s="411">
        <f t="shared" si="187"/>
        <v>7684.35</v>
      </c>
      <c r="P1138" s="132" t="s">
        <v>2816</v>
      </c>
      <c r="Q1138" s="232"/>
      <c r="R1138" s="411"/>
      <c r="T1138" s="135" t="s">
        <v>2817</v>
      </c>
      <c r="U1138" s="306" t="s">
        <v>2818</v>
      </c>
      <c r="V1138" s="133" t="s">
        <v>2819</v>
      </c>
      <c r="W1138" s="153" t="s">
        <v>2820</v>
      </c>
    </row>
    <row r="1139" spans="1:23" ht="60" x14ac:dyDescent="0.25">
      <c r="A1139" s="420"/>
      <c r="B1139" s="422"/>
      <c r="C1139" s="420"/>
      <c r="D1139" s="431"/>
      <c r="E1139" s="120">
        <v>2000</v>
      </c>
      <c r="F1139" s="119" t="s">
        <v>2821</v>
      </c>
      <c r="G1139" s="436"/>
      <c r="H1139" s="428"/>
      <c r="I1139" s="428"/>
      <c r="J1139" s="426"/>
      <c r="K1139" s="524"/>
      <c r="L1139" s="187">
        <v>3003</v>
      </c>
      <c r="M1139" s="187">
        <v>156.09</v>
      </c>
      <c r="N1139" s="91">
        <f t="shared" si="188"/>
        <v>6162.09</v>
      </c>
      <c r="O1139" s="411">
        <f t="shared" si="187"/>
        <v>-6162.09</v>
      </c>
      <c r="P1139" s="132" t="s">
        <v>59</v>
      </c>
      <c r="Q1139" s="232"/>
      <c r="R1139" s="411"/>
      <c r="T1139" s="135" t="s">
        <v>2822</v>
      </c>
      <c r="V1139" s="133" t="s">
        <v>2823</v>
      </c>
    </row>
    <row r="1140" spans="1:23" x14ac:dyDescent="0.25">
      <c r="A1140" s="419">
        <v>3000880</v>
      </c>
      <c r="B1140" s="421">
        <v>42426</v>
      </c>
      <c r="C1140" s="419" t="s">
        <v>56</v>
      </c>
      <c r="D1140" s="417" t="s">
        <v>674</v>
      </c>
      <c r="E1140" s="120">
        <v>200</v>
      </c>
      <c r="F1140" s="133" t="s">
        <v>2824</v>
      </c>
      <c r="G1140" s="589" t="s">
        <v>45</v>
      </c>
      <c r="H1140" s="427">
        <v>2284</v>
      </c>
      <c r="I1140" s="427">
        <v>0</v>
      </c>
      <c r="J1140" s="427">
        <v>0</v>
      </c>
      <c r="K1140" s="425">
        <f t="shared" si="191"/>
        <v>2284</v>
      </c>
      <c r="L1140" s="158">
        <v>3580</v>
      </c>
      <c r="M1140" s="158">
        <v>120.32</v>
      </c>
      <c r="N1140" s="91">
        <f t="shared" si="188"/>
        <v>836.31999999999994</v>
      </c>
      <c r="O1140" s="411">
        <f t="shared" si="187"/>
        <v>1447.68</v>
      </c>
      <c r="P1140" s="132" t="s">
        <v>183</v>
      </c>
      <c r="Q1140" s="232"/>
      <c r="R1140" s="411"/>
      <c r="T1140" s="439" t="s">
        <v>2825</v>
      </c>
      <c r="U1140" s="505" t="s">
        <v>2826</v>
      </c>
      <c r="V1140" s="119" t="s">
        <v>2736</v>
      </c>
      <c r="W1140" s="153" t="s">
        <v>2827</v>
      </c>
    </row>
    <row r="1141" spans="1:23" x14ac:dyDescent="0.25">
      <c r="A1141" s="420"/>
      <c r="B1141" s="422"/>
      <c r="C1141" s="420"/>
      <c r="D1141" s="418"/>
      <c r="E1141" s="120">
        <v>200</v>
      </c>
      <c r="F1141" s="133" t="s">
        <v>2828</v>
      </c>
      <c r="G1141" s="590"/>
      <c r="H1141" s="428"/>
      <c r="I1141" s="428"/>
      <c r="J1141" s="428"/>
      <c r="K1141" s="426"/>
      <c r="L1141" s="158">
        <v>2290</v>
      </c>
      <c r="M1141" s="158"/>
      <c r="N1141" s="91">
        <f t="shared" si="188"/>
        <v>458</v>
      </c>
      <c r="O1141" s="411">
        <f t="shared" si="187"/>
        <v>-458</v>
      </c>
      <c r="P1141" s="132" t="s">
        <v>183</v>
      </c>
      <c r="Q1141" s="232"/>
      <c r="R1141" s="411"/>
      <c r="T1141" s="441"/>
      <c r="U1141" s="490"/>
    </row>
    <row r="1142" spans="1:23" ht="24" x14ac:dyDescent="0.25">
      <c r="A1142" s="405">
        <v>3000881</v>
      </c>
      <c r="B1142" s="406">
        <v>42426</v>
      </c>
      <c r="C1142" s="405" t="s">
        <v>63</v>
      </c>
      <c r="D1142" s="401" t="s">
        <v>2829</v>
      </c>
      <c r="E1142" s="120">
        <v>75</v>
      </c>
      <c r="F1142" s="133" t="s">
        <v>247</v>
      </c>
      <c r="G1142" s="404" t="s">
        <v>45</v>
      </c>
      <c r="H1142" s="411">
        <v>120</v>
      </c>
      <c r="I1142" s="411">
        <v>0</v>
      </c>
      <c r="J1142" s="90">
        <f>-((H1142*0.022)+0.3)</f>
        <v>-2.9399999999999995</v>
      </c>
      <c r="K1142" s="90">
        <f t="shared" si="191"/>
        <v>117.06</v>
      </c>
      <c r="L1142" s="131">
        <v>480</v>
      </c>
      <c r="M1142" s="187">
        <v>30.73</v>
      </c>
      <c r="N1142" s="91">
        <f t="shared" si="188"/>
        <v>66.73</v>
      </c>
      <c r="O1142" s="411">
        <f t="shared" si="187"/>
        <v>50.33</v>
      </c>
      <c r="P1142" s="132" t="s">
        <v>52</v>
      </c>
      <c r="Q1142" s="232"/>
      <c r="R1142" s="411"/>
      <c r="T1142" s="134" t="s">
        <v>145</v>
      </c>
      <c r="U1142" s="266" t="s">
        <v>2830</v>
      </c>
      <c r="W1142" s="153" t="s">
        <v>2831</v>
      </c>
    </row>
    <row r="1143" spans="1:23" ht="24" x14ac:dyDescent="0.25">
      <c r="A1143" s="405">
        <v>3000882</v>
      </c>
      <c r="B1143" s="406">
        <v>42426</v>
      </c>
      <c r="C1143" s="405" t="s">
        <v>42</v>
      </c>
      <c r="D1143" s="401" t="s">
        <v>2832</v>
      </c>
      <c r="E1143" s="120">
        <v>100</v>
      </c>
      <c r="F1143" s="133" t="s">
        <v>2267</v>
      </c>
      <c r="G1143" s="404" t="s">
        <v>45</v>
      </c>
      <c r="H1143" s="411">
        <v>279.3</v>
      </c>
      <c r="I1143" s="89">
        <f t="shared" ref="I1143:I1144" si="195">-(H1143*0.09)</f>
        <v>-25.137</v>
      </c>
      <c r="J1143" s="90">
        <f>-((H1143*0.019)+0.3)</f>
        <v>-5.6067</v>
      </c>
      <c r="K1143" s="90">
        <f t="shared" si="191"/>
        <v>248.55630000000002</v>
      </c>
      <c r="L1143" s="131">
        <v>1305</v>
      </c>
      <c r="M1143" s="187">
        <v>15.11</v>
      </c>
      <c r="N1143" s="91">
        <f t="shared" si="188"/>
        <v>145.61000000000001</v>
      </c>
      <c r="O1143" s="411">
        <f t="shared" si="187"/>
        <v>102.94630000000001</v>
      </c>
      <c r="P1143" s="132" t="s">
        <v>926</v>
      </c>
      <c r="Q1143" s="232"/>
      <c r="R1143" s="411"/>
      <c r="T1143" s="134" t="s">
        <v>145</v>
      </c>
      <c r="U1143" s="267" t="s">
        <v>2833</v>
      </c>
    </row>
    <row r="1144" spans="1:23" ht="24" x14ac:dyDescent="0.25">
      <c r="A1144" s="405">
        <v>3000883</v>
      </c>
      <c r="B1144" s="406">
        <v>42426</v>
      </c>
      <c r="C1144" s="405" t="s">
        <v>42</v>
      </c>
      <c r="D1144" s="401" t="s">
        <v>2834</v>
      </c>
      <c r="E1144" s="120">
        <v>250</v>
      </c>
      <c r="F1144" s="133" t="s">
        <v>2835</v>
      </c>
      <c r="G1144" s="404" t="s">
        <v>45</v>
      </c>
      <c r="H1144" s="411">
        <v>132</v>
      </c>
      <c r="I1144" s="89">
        <f t="shared" si="195"/>
        <v>-11.879999999999999</v>
      </c>
      <c r="J1144" s="90">
        <f>-((H1144*0.019)+0.3)</f>
        <v>-2.8079999999999998</v>
      </c>
      <c r="K1144" s="90">
        <f t="shared" si="191"/>
        <v>117.31200000000001</v>
      </c>
      <c r="L1144" s="131">
        <v>250</v>
      </c>
      <c r="M1144" s="187">
        <v>14.77</v>
      </c>
      <c r="N1144" s="91">
        <f t="shared" si="188"/>
        <v>77.27</v>
      </c>
      <c r="O1144" s="411">
        <f t="shared" si="187"/>
        <v>40.042000000000016</v>
      </c>
      <c r="P1144" s="132" t="s">
        <v>52</v>
      </c>
      <c r="Q1144" s="232"/>
      <c r="R1144" s="411"/>
      <c r="T1144" s="134" t="s">
        <v>145</v>
      </c>
      <c r="U1144" s="266" t="s">
        <v>2836</v>
      </c>
    </row>
    <row r="1145" spans="1:23" ht="36" x14ac:dyDescent="0.25">
      <c r="A1145" s="405">
        <v>3000884</v>
      </c>
      <c r="B1145" s="406">
        <v>42426</v>
      </c>
      <c r="C1145" s="405" t="s">
        <v>56</v>
      </c>
      <c r="D1145" s="160" t="s">
        <v>2837</v>
      </c>
      <c r="E1145" s="120">
        <v>820</v>
      </c>
      <c r="F1145" s="133" t="s">
        <v>2838</v>
      </c>
      <c r="G1145" s="404" t="s">
        <v>45</v>
      </c>
      <c r="H1145" s="411">
        <v>17220</v>
      </c>
      <c r="I1145" s="411">
        <v>0</v>
      </c>
      <c r="J1145" s="90">
        <f t="shared" ref="J1145:J1208" si="196">-((H1145*0.019)+0.3)</f>
        <v>-327.48</v>
      </c>
      <c r="K1145" s="90">
        <f t="shared" si="191"/>
        <v>16892.52</v>
      </c>
      <c r="L1145" s="187">
        <v>17140</v>
      </c>
      <c r="M1145" s="187">
        <v>463.06</v>
      </c>
      <c r="N1145" s="91">
        <f t="shared" si="188"/>
        <v>14517.86</v>
      </c>
      <c r="O1145" s="411">
        <f t="shared" si="187"/>
        <v>2374.66</v>
      </c>
      <c r="P1145" s="132" t="s">
        <v>59</v>
      </c>
      <c r="Q1145" s="232"/>
      <c r="R1145" s="411"/>
      <c r="T1145" s="134" t="s">
        <v>399</v>
      </c>
      <c r="U1145" s="267" t="s">
        <v>2839</v>
      </c>
      <c r="V1145" s="119" t="s">
        <v>2840</v>
      </c>
    </row>
    <row r="1146" spans="1:23" ht="24" x14ac:dyDescent="0.25">
      <c r="A1146" s="419">
        <v>3000885</v>
      </c>
      <c r="B1146" s="421">
        <v>42426</v>
      </c>
      <c r="C1146" s="419" t="s">
        <v>63</v>
      </c>
      <c r="D1146" s="417" t="s">
        <v>74</v>
      </c>
      <c r="E1146" s="120">
        <v>10000</v>
      </c>
      <c r="F1146" s="133" t="s">
        <v>2841</v>
      </c>
      <c r="G1146" s="434" t="s">
        <v>45</v>
      </c>
      <c r="H1146" s="427">
        <v>17788</v>
      </c>
      <c r="I1146" s="427">
        <v>0</v>
      </c>
      <c r="J1146" s="90">
        <f t="shared" si="196"/>
        <v>-338.27199999999999</v>
      </c>
      <c r="K1146" s="425">
        <f t="shared" si="191"/>
        <v>17449.727999999999</v>
      </c>
      <c r="L1146" s="187">
        <v>781</v>
      </c>
      <c r="M1146" s="187">
        <v>407.64</v>
      </c>
      <c r="N1146" s="91">
        <f t="shared" si="188"/>
        <v>8217.64</v>
      </c>
      <c r="O1146" s="411">
        <f t="shared" si="187"/>
        <v>9232.0879999999997</v>
      </c>
      <c r="P1146" s="179" t="s">
        <v>2842</v>
      </c>
      <c r="Q1146" s="232"/>
      <c r="R1146" s="411"/>
      <c r="T1146" s="470" t="s">
        <v>1209</v>
      </c>
      <c r="U1146" s="481" t="s">
        <v>2843</v>
      </c>
      <c r="V1146" s="133" t="s">
        <v>2844</v>
      </c>
      <c r="W1146" s="153" t="s">
        <v>77</v>
      </c>
    </row>
    <row r="1147" spans="1:23" x14ac:dyDescent="0.25">
      <c r="A1147" s="432"/>
      <c r="B1147" s="433"/>
      <c r="C1147" s="432"/>
      <c r="D1147" s="454"/>
      <c r="E1147" s="120">
        <v>10000</v>
      </c>
      <c r="F1147" s="133" t="s">
        <v>2845</v>
      </c>
      <c r="G1147" s="435"/>
      <c r="H1147" s="438"/>
      <c r="I1147" s="438"/>
      <c r="J1147" s="90">
        <f t="shared" si="196"/>
        <v>-0.3</v>
      </c>
      <c r="K1147" s="437"/>
      <c r="L1147" s="187">
        <v>473</v>
      </c>
      <c r="N1147" s="91">
        <f t="shared" si="188"/>
        <v>4730</v>
      </c>
      <c r="O1147" s="411">
        <f t="shared" si="187"/>
        <v>-4730</v>
      </c>
      <c r="P1147" s="132" t="s">
        <v>2846</v>
      </c>
      <c r="Q1147" s="232"/>
      <c r="R1147" s="411"/>
      <c r="T1147" s="471"/>
      <c r="U1147" s="482"/>
    </row>
    <row r="1148" spans="1:23" x14ac:dyDescent="0.25">
      <c r="A1148" s="432"/>
      <c r="B1148" s="433"/>
      <c r="C1148" s="432"/>
      <c r="D1148" s="454"/>
      <c r="E1148" s="120">
        <v>4000</v>
      </c>
      <c r="F1148" s="133" t="s">
        <v>2847</v>
      </c>
      <c r="G1148" s="435"/>
      <c r="H1148" s="438"/>
      <c r="I1148" s="438"/>
      <c r="J1148" s="90">
        <f t="shared" si="196"/>
        <v>-0.3</v>
      </c>
      <c r="K1148" s="437"/>
      <c r="L1148" s="187">
        <v>296</v>
      </c>
      <c r="N1148" s="91">
        <f t="shared" si="188"/>
        <v>1184</v>
      </c>
      <c r="O1148" s="411">
        <f t="shared" si="187"/>
        <v>-1184</v>
      </c>
      <c r="P1148" s="132" t="s">
        <v>2846</v>
      </c>
      <c r="Q1148" s="232"/>
      <c r="R1148" s="411"/>
      <c r="T1148" s="471"/>
      <c r="U1148" s="482"/>
    </row>
    <row r="1149" spans="1:23" x14ac:dyDescent="0.25">
      <c r="A1149" s="420"/>
      <c r="B1149" s="422"/>
      <c r="C1149" s="420"/>
      <c r="D1149" s="418"/>
      <c r="E1149" s="120">
        <v>5000</v>
      </c>
      <c r="F1149" s="133" t="s">
        <v>2848</v>
      </c>
      <c r="G1149" s="436"/>
      <c r="H1149" s="428"/>
      <c r="I1149" s="428"/>
      <c r="J1149" s="90">
        <f t="shared" si="196"/>
        <v>-0.3</v>
      </c>
      <c r="K1149" s="426"/>
      <c r="L1149" s="187">
        <v>296</v>
      </c>
      <c r="N1149" s="91">
        <f t="shared" si="188"/>
        <v>1480</v>
      </c>
      <c r="O1149" s="411">
        <f t="shared" si="187"/>
        <v>-1480</v>
      </c>
      <c r="P1149" s="132" t="s">
        <v>2846</v>
      </c>
      <c r="Q1149" s="232"/>
      <c r="R1149" s="411"/>
      <c r="T1149" s="472"/>
      <c r="U1149" s="483"/>
    </row>
    <row r="1150" spans="1:23" x14ac:dyDescent="0.25">
      <c r="A1150" s="405">
        <v>3000886</v>
      </c>
      <c r="B1150" s="406">
        <v>42426</v>
      </c>
      <c r="C1150" s="405" t="s">
        <v>56</v>
      </c>
      <c r="D1150" s="401" t="s">
        <v>2849</v>
      </c>
      <c r="E1150" s="120">
        <v>26000</v>
      </c>
      <c r="F1150" s="133" t="s">
        <v>2850</v>
      </c>
      <c r="G1150" s="404" t="s">
        <v>45</v>
      </c>
      <c r="H1150" s="411">
        <v>6650</v>
      </c>
      <c r="I1150" s="411">
        <v>0</v>
      </c>
      <c r="J1150" s="90">
        <f t="shared" si="196"/>
        <v>-126.64999999999999</v>
      </c>
      <c r="K1150" s="90">
        <f t="shared" ref="K1150:K1162" si="197">SUM(H1150:J1150)</f>
        <v>6523.35</v>
      </c>
      <c r="M1150" s="131">
        <v>90</v>
      </c>
      <c r="N1150" s="91">
        <f t="shared" si="188"/>
        <v>90</v>
      </c>
      <c r="O1150" s="411">
        <f t="shared" si="187"/>
        <v>6433.35</v>
      </c>
      <c r="P1150" s="132" t="s">
        <v>1229</v>
      </c>
      <c r="Q1150" s="232"/>
      <c r="R1150" s="411"/>
      <c r="T1150" s="134" t="s">
        <v>1229</v>
      </c>
      <c r="U1150" s="266" t="s">
        <v>1229</v>
      </c>
      <c r="V1150" s="119" t="s">
        <v>2851</v>
      </c>
    </row>
    <row r="1151" spans="1:23" x14ac:dyDescent="0.25">
      <c r="A1151" s="405">
        <v>3000887</v>
      </c>
      <c r="B1151" s="406">
        <v>42426</v>
      </c>
      <c r="C1151" s="405" t="s">
        <v>63</v>
      </c>
      <c r="D1151" s="401" t="s">
        <v>2852</v>
      </c>
      <c r="E1151" s="120">
        <v>415</v>
      </c>
      <c r="F1151" s="133" t="s">
        <v>422</v>
      </c>
      <c r="G1151" s="404" t="s">
        <v>45</v>
      </c>
      <c r="H1151" s="411">
        <v>650</v>
      </c>
      <c r="I1151" s="411">
        <v>0</v>
      </c>
      <c r="J1151" s="90">
        <f t="shared" si="196"/>
        <v>-12.65</v>
      </c>
      <c r="K1151" s="90">
        <f t="shared" si="197"/>
        <v>637.35</v>
      </c>
      <c r="L1151" s="131">
        <v>690</v>
      </c>
      <c r="M1151" s="187">
        <v>177.63</v>
      </c>
      <c r="N1151" s="91">
        <f t="shared" si="188"/>
        <v>463.98</v>
      </c>
      <c r="O1151" s="411">
        <f t="shared" si="187"/>
        <v>173.37</v>
      </c>
      <c r="P1151" s="132" t="s">
        <v>52</v>
      </c>
      <c r="Q1151" s="232"/>
      <c r="R1151" s="411"/>
      <c r="T1151" s="134" t="s">
        <v>97</v>
      </c>
      <c r="U1151" s="267" t="s">
        <v>2853</v>
      </c>
      <c r="V1151" s="133" t="s">
        <v>55</v>
      </c>
      <c r="W1151" s="153" t="s">
        <v>2854</v>
      </c>
    </row>
    <row r="1152" spans="1:23" ht="24" x14ac:dyDescent="0.25">
      <c r="A1152" s="405">
        <v>3000888</v>
      </c>
      <c r="B1152" s="406">
        <v>42426</v>
      </c>
      <c r="C1152" s="405" t="s">
        <v>42</v>
      </c>
      <c r="D1152" s="401" t="s">
        <v>2855</v>
      </c>
      <c r="E1152" s="120">
        <v>225</v>
      </c>
      <c r="F1152" s="133" t="s">
        <v>247</v>
      </c>
      <c r="G1152" s="404" t="s">
        <v>45</v>
      </c>
      <c r="H1152" s="411">
        <v>287.5</v>
      </c>
      <c r="I1152" s="89">
        <f t="shared" ref="I1152" si="198">-(H1152*0.09)</f>
        <v>-25.875</v>
      </c>
      <c r="J1152" s="90">
        <f t="shared" si="196"/>
        <v>-5.7624999999999993</v>
      </c>
      <c r="K1152" s="90">
        <f t="shared" si="197"/>
        <v>255.86250000000001</v>
      </c>
      <c r="L1152" s="131">
        <v>480</v>
      </c>
      <c r="M1152" s="187">
        <v>45.52</v>
      </c>
      <c r="N1152" s="91">
        <f t="shared" si="188"/>
        <v>153.52000000000001</v>
      </c>
      <c r="O1152" s="411">
        <f t="shared" si="187"/>
        <v>102.3425</v>
      </c>
      <c r="P1152" s="132" t="s">
        <v>52</v>
      </c>
      <c r="Q1152" s="232"/>
      <c r="R1152" s="411"/>
      <c r="T1152" s="134" t="s">
        <v>145</v>
      </c>
      <c r="U1152" s="266" t="s">
        <v>2856</v>
      </c>
    </row>
    <row r="1153" spans="1:23" ht="24" x14ac:dyDescent="0.25">
      <c r="A1153" s="405">
        <v>3000889</v>
      </c>
      <c r="B1153" s="406">
        <v>42426</v>
      </c>
      <c r="C1153" s="405" t="s">
        <v>141</v>
      </c>
      <c r="D1153" s="401" t="s">
        <v>2857</v>
      </c>
      <c r="E1153" s="120">
        <v>20</v>
      </c>
      <c r="F1153" s="133" t="s">
        <v>288</v>
      </c>
      <c r="G1153" s="404" t="s">
        <v>45</v>
      </c>
      <c r="H1153" s="411">
        <v>83</v>
      </c>
      <c r="I1153" s="411">
        <v>0</v>
      </c>
      <c r="J1153" s="90">
        <f t="shared" si="196"/>
        <v>-1.877</v>
      </c>
      <c r="K1153" s="90">
        <f t="shared" si="197"/>
        <v>81.123000000000005</v>
      </c>
      <c r="L1153" s="131">
        <v>1069</v>
      </c>
      <c r="M1153" s="187">
        <v>24.57</v>
      </c>
      <c r="N1153" s="91">
        <f t="shared" si="188"/>
        <v>45.95</v>
      </c>
      <c r="O1153" s="411">
        <f t="shared" si="187"/>
        <v>35.173000000000002</v>
      </c>
      <c r="P1153" s="132" t="s">
        <v>52</v>
      </c>
      <c r="Q1153" s="232"/>
      <c r="R1153" s="411"/>
      <c r="T1153" s="172" t="s">
        <v>145</v>
      </c>
      <c r="U1153" s="259" t="s">
        <v>2858</v>
      </c>
      <c r="V1153" s="181"/>
      <c r="W1153" s="181" t="s">
        <v>2859</v>
      </c>
    </row>
    <row r="1154" spans="1:23" ht="24" customHeight="1" x14ac:dyDescent="0.25">
      <c r="A1154" s="419">
        <v>3000890</v>
      </c>
      <c r="B1154" s="421">
        <v>42426</v>
      </c>
      <c r="C1154" s="419" t="s">
        <v>63</v>
      </c>
      <c r="D1154" s="417" t="s">
        <v>2860</v>
      </c>
      <c r="E1154" s="120">
        <v>1000</v>
      </c>
      <c r="F1154" s="133" t="s">
        <v>2861</v>
      </c>
      <c r="G1154" s="434" t="s">
        <v>45</v>
      </c>
      <c r="H1154" s="427">
        <v>5500</v>
      </c>
      <c r="I1154" s="427">
        <v>0</v>
      </c>
      <c r="J1154" s="90">
        <f t="shared" si="196"/>
        <v>-104.8</v>
      </c>
      <c r="K1154" s="523">
        <f t="shared" si="197"/>
        <v>5395.2</v>
      </c>
      <c r="L1154" s="187">
        <v>1400</v>
      </c>
      <c r="M1154" s="131">
        <v>0</v>
      </c>
      <c r="N1154" s="91">
        <f t="shared" si="188"/>
        <v>1400</v>
      </c>
      <c r="O1154" s="411">
        <f t="shared" si="187"/>
        <v>3995.2</v>
      </c>
      <c r="P1154" s="132" t="s">
        <v>46</v>
      </c>
      <c r="Q1154" s="232"/>
      <c r="R1154" s="411"/>
      <c r="T1154" s="470" t="s">
        <v>2862</v>
      </c>
      <c r="U1154" s="481" t="s">
        <v>2863</v>
      </c>
      <c r="W1154" s="153" t="s">
        <v>2864</v>
      </c>
    </row>
    <row r="1155" spans="1:23" x14ac:dyDescent="0.25">
      <c r="A1155" s="420"/>
      <c r="B1155" s="422"/>
      <c r="C1155" s="420"/>
      <c r="D1155" s="418"/>
      <c r="E1155" s="120">
        <v>1000</v>
      </c>
      <c r="F1155" s="133" t="s">
        <v>2865</v>
      </c>
      <c r="G1155" s="436"/>
      <c r="H1155" s="428"/>
      <c r="I1155" s="428"/>
      <c r="J1155" s="90">
        <f t="shared" si="196"/>
        <v>-0.3</v>
      </c>
      <c r="K1155" s="524"/>
      <c r="L1155" s="187">
        <v>1787</v>
      </c>
      <c r="M1155" s="131">
        <v>0</v>
      </c>
      <c r="N1155" s="91">
        <f t="shared" si="188"/>
        <v>1787</v>
      </c>
      <c r="O1155" s="411">
        <f t="shared" si="187"/>
        <v>-1787</v>
      </c>
      <c r="P1155" s="132" t="s">
        <v>46</v>
      </c>
      <c r="Q1155" s="232"/>
      <c r="R1155" s="411"/>
      <c r="T1155" s="472"/>
      <c r="U1155" s="483"/>
    </row>
    <row r="1156" spans="1:23" ht="24" x14ac:dyDescent="0.25">
      <c r="A1156" s="405">
        <v>3000891</v>
      </c>
      <c r="B1156" s="406">
        <v>42426</v>
      </c>
      <c r="C1156" s="405" t="s">
        <v>63</v>
      </c>
      <c r="D1156" s="401" t="s">
        <v>2866</v>
      </c>
      <c r="E1156" s="120">
        <v>100</v>
      </c>
      <c r="F1156" s="133" t="s">
        <v>288</v>
      </c>
      <c r="G1156" s="404" t="s">
        <v>45</v>
      </c>
      <c r="H1156" s="411">
        <v>190</v>
      </c>
      <c r="I1156" s="411">
        <v>0</v>
      </c>
      <c r="J1156" s="90">
        <f t="shared" si="196"/>
        <v>-3.9099999999999997</v>
      </c>
      <c r="K1156" s="90">
        <f t="shared" si="197"/>
        <v>186.09</v>
      </c>
      <c r="L1156" s="131">
        <v>1069</v>
      </c>
      <c r="M1156" s="187">
        <v>18.899999999999999</v>
      </c>
      <c r="N1156" s="91">
        <f t="shared" si="188"/>
        <v>125.80000000000001</v>
      </c>
      <c r="O1156" s="411">
        <f t="shared" si="187"/>
        <v>60.289999999999992</v>
      </c>
      <c r="P1156" s="132" t="s">
        <v>52</v>
      </c>
      <c r="Q1156" s="232"/>
      <c r="R1156" s="411"/>
      <c r="T1156" s="134" t="s">
        <v>145</v>
      </c>
      <c r="U1156" s="266" t="s">
        <v>2867</v>
      </c>
      <c r="W1156" s="153" t="s">
        <v>2868</v>
      </c>
    </row>
    <row r="1157" spans="1:23" x14ac:dyDescent="0.25">
      <c r="A1157" s="419">
        <v>3000892</v>
      </c>
      <c r="B1157" s="421">
        <v>42426</v>
      </c>
      <c r="C1157" s="419" t="s">
        <v>977</v>
      </c>
      <c r="D1157" s="417" t="s">
        <v>2869</v>
      </c>
      <c r="E1157" s="120">
        <v>1000</v>
      </c>
      <c r="F1157" s="133" t="s">
        <v>2870</v>
      </c>
      <c r="G1157" s="434" t="s">
        <v>45</v>
      </c>
      <c r="H1157" s="427">
        <v>2496.9899999999998</v>
      </c>
      <c r="I1157" s="427">
        <v>0</v>
      </c>
      <c r="J1157" s="90">
        <f t="shared" si="196"/>
        <v>-47.742809999999992</v>
      </c>
      <c r="K1157" s="425">
        <f t="shared" si="197"/>
        <v>2449.2471899999996</v>
      </c>
      <c r="L1157" s="187">
        <v>714</v>
      </c>
      <c r="N1157" s="91">
        <f t="shared" si="188"/>
        <v>714</v>
      </c>
      <c r="O1157" s="411">
        <f t="shared" si="187"/>
        <v>1735.2471899999996</v>
      </c>
      <c r="P1157" s="132" t="s">
        <v>66</v>
      </c>
      <c r="Q1157" s="232"/>
      <c r="R1157" s="516">
        <v>230.97</v>
      </c>
      <c r="T1157" s="470" t="s">
        <v>314</v>
      </c>
      <c r="U1157" s="481" t="s">
        <v>2871</v>
      </c>
      <c r="W1157" s="153" t="s">
        <v>2872</v>
      </c>
    </row>
    <row r="1158" spans="1:23" x14ac:dyDescent="0.25">
      <c r="A1158" s="420"/>
      <c r="B1158" s="422"/>
      <c r="C1158" s="420"/>
      <c r="D1158" s="418"/>
      <c r="E1158" s="120">
        <v>1000</v>
      </c>
      <c r="F1158" s="133" t="s">
        <v>2873</v>
      </c>
      <c r="G1158" s="436"/>
      <c r="H1158" s="428"/>
      <c r="I1158" s="428"/>
      <c r="J1158" s="90">
        <f t="shared" si="196"/>
        <v>-0.3</v>
      </c>
      <c r="K1158" s="426"/>
      <c r="L1158" s="187">
        <v>491</v>
      </c>
      <c r="N1158" s="91">
        <f t="shared" si="188"/>
        <v>491</v>
      </c>
      <c r="O1158" s="411">
        <f t="shared" si="187"/>
        <v>-491</v>
      </c>
      <c r="P1158" s="132" t="s">
        <v>66</v>
      </c>
      <c r="Q1158" s="232"/>
      <c r="R1158" s="518"/>
      <c r="T1158" s="472"/>
      <c r="U1158" s="483"/>
    </row>
    <row r="1159" spans="1:23" ht="24" x14ac:dyDescent="0.25">
      <c r="A1159" s="405">
        <v>3000893</v>
      </c>
      <c r="B1159" s="406">
        <v>42426</v>
      </c>
      <c r="C1159" s="405" t="s">
        <v>237</v>
      </c>
      <c r="D1159" s="401" t="s">
        <v>2874</v>
      </c>
      <c r="E1159" s="120">
        <v>100</v>
      </c>
      <c r="F1159" s="133" t="s">
        <v>189</v>
      </c>
      <c r="G1159" s="404" t="s">
        <v>45</v>
      </c>
      <c r="H1159" s="411">
        <v>256</v>
      </c>
      <c r="I1159" s="89">
        <f>-(H1159*0.09)</f>
        <v>-23.04</v>
      </c>
      <c r="J1159" s="90">
        <f t="shared" si="196"/>
        <v>-5.1639999999999997</v>
      </c>
      <c r="K1159" s="90">
        <f t="shared" si="197"/>
        <v>227.79600000000002</v>
      </c>
      <c r="L1159" s="131">
        <v>1322</v>
      </c>
      <c r="M1159" s="187">
        <v>53.36</v>
      </c>
      <c r="N1159" s="91">
        <f t="shared" si="188"/>
        <v>185.56</v>
      </c>
      <c r="O1159" s="411">
        <f t="shared" si="187"/>
        <v>42.236000000000018</v>
      </c>
      <c r="P1159" s="132" t="s">
        <v>52</v>
      </c>
      <c r="Q1159" s="232"/>
      <c r="R1159" s="411"/>
      <c r="T1159" s="134" t="s">
        <v>145</v>
      </c>
      <c r="U1159" s="266" t="s">
        <v>2875</v>
      </c>
    </row>
    <row r="1160" spans="1:23" ht="24" x14ac:dyDescent="0.25">
      <c r="A1160" s="405">
        <v>3000894</v>
      </c>
      <c r="B1160" s="406">
        <v>42426</v>
      </c>
      <c r="C1160" s="405" t="s">
        <v>141</v>
      </c>
      <c r="D1160" s="401" t="s">
        <v>2876</v>
      </c>
      <c r="E1160" s="120">
        <v>250</v>
      </c>
      <c r="F1160" s="133" t="s">
        <v>2877</v>
      </c>
      <c r="G1160" s="404" t="s">
        <v>45</v>
      </c>
      <c r="H1160" s="411">
        <v>132.5</v>
      </c>
      <c r="I1160" s="89">
        <v>0</v>
      </c>
      <c r="J1160" s="90">
        <f t="shared" si="196"/>
        <v>-2.8174999999999999</v>
      </c>
      <c r="K1160" s="90">
        <f t="shared" si="197"/>
        <v>129.6825</v>
      </c>
      <c r="L1160" s="187">
        <v>260</v>
      </c>
      <c r="M1160" s="187">
        <v>19.670000000000002</v>
      </c>
      <c r="N1160" s="91">
        <f t="shared" si="188"/>
        <v>84.67</v>
      </c>
      <c r="O1160" s="411">
        <f t="shared" si="187"/>
        <v>45.012500000000003</v>
      </c>
      <c r="P1160" s="132" t="s">
        <v>183</v>
      </c>
      <c r="Q1160" s="232"/>
      <c r="R1160" s="411"/>
      <c r="T1160" s="134" t="s">
        <v>145</v>
      </c>
      <c r="U1160" s="266" t="s">
        <v>2878</v>
      </c>
      <c r="W1160" s="153" t="s">
        <v>2879</v>
      </c>
    </row>
    <row r="1161" spans="1:23" ht="24" customHeight="1" x14ac:dyDescent="0.25">
      <c r="A1161" s="419">
        <v>3000895</v>
      </c>
      <c r="B1161" s="421">
        <v>42426</v>
      </c>
      <c r="C1161" s="419" t="s">
        <v>56</v>
      </c>
      <c r="D1161" s="417" t="s">
        <v>2880</v>
      </c>
      <c r="E1161" s="120">
        <v>160</v>
      </c>
      <c r="F1161" s="133" t="s">
        <v>2881</v>
      </c>
      <c r="G1161" s="434" t="s">
        <v>45</v>
      </c>
      <c r="H1161" s="427">
        <v>440</v>
      </c>
      <c r="I1161" s="89">
        <v>0</v>
      </c>
      <c r="J1161" s="90">
        <f t="shared" si="196"/>
        <v>-8.66</v>
      </c>
      <c r="K1161" s="90">
        <f t="shared" si="197"/>
        <v>431.34</v>
      </c>
      <c r="L1161" s="131">
        <v>880</v>
      </c>
      <c r="N1161" s="91">
        <f t="shared" si="188"/>
        <v>140.80000000000001</v>
      </c>
      <c r="O1161" s="411">
        <f t="shared" ref="O1161:O1224" si="199">K1161-N1161</f>
        <v>290.53999999999996</v>
      </c>
      <c r="P1161" s="132" t="s">
        <v>1410</v>
      </c>
      <c r="Q1161" s="232"/>
      <c r="R1161" s="411"/>
      <c r="T1161" s="439" t="s">
        <v>204</v>
      </c>
      <c r="U1161" s="481" t="s">
        <v>2882</v>
      </c>
      <c r="V1161" s="133" t="s">
        <v>2259</v>
      </c>
    </row>
    <row r="1162" spans="1:23" x14ac:dyDescent="0.25">
      <c r="A1162" s="420"/>
      <c r="B1162" s="422"/>
      <c r="C1162" s="420"/>
      <c r="D1162" s="418"/>
      <c r="E1162" s="120">
        <v>160</v>
      </c>
      <c r="F1162" s="133" t="s">
        <v>2883</v>
      </c>
      <c r="G1162" s="436"/>
      <c r="H1162" s="428"/>
      <c r="I1162" s="89">
        <f t="shared" ref="I1162:I1218" si="200">-(H1162*0.09)</f>
        <v>0</v>
      </c>
      <c r="J1162" s="90">
        <f t="shared" si="196"/>
        <v>-0.3</v>
      </c>
      <c r="K1162" s="90">
        <f t="shared" si="197"/>
        <v>-0.3</v>
      </c>
      <c r="L1162" s="131">
        <v>710</v>
      </c>
      <c r="N1162" s="91">
        <f t="shared" si="188"/>
        <v>113.60000000000001</v>
      </c>
      <c r="O1162" s="411">
        <f t="shared" si="199"/>
        <v>-113.9</v>
      </c>
      <c r="P1162" s="132" t="s">
        <v>1410</v>
      </c>
      <c r="Q1162" s="232"/>
      <c r="R1162" s="411"/>
      <c r="T1162" s="441"/>
      <c r="U1162" s="483"/>
    </row>
    <row r="1163" spans="1:23" ht="24" x14ac:dyDescent="0.25">
      <c r="A1163" s="405">
        <v>3000896</v>
      </c>
      <c r="B1163" s="406">
        <v>42426</v>
      </c>
      <c r="C1163" s="405" t="s">
        <v>237</v>
      </c>
      <c r="D1163" s="401" t="s">
        <v>2884</v>
      </c>
      <c r="E1163" s="120">
        <v>275</v>
      </c>
      <c r="F1163" s="133" t="s">
        <v>247</v>
      </c>
      <c r="G1163" s="404" t="s">
        <v>45</v>
      </c>
      <c r="H1163" s="411">
        <v>292.39999999999998</v>
      </c>
      <c r="I1163" s="89">
        <f t="shared" si="200"/>
        <v>-26.315999999999995</v>
      </c>
      <c r="J1163" s="90">
        <f t="shared" si="196"/>
        <v>-5.855599999999999</v>
      </c>
      <c r="K1163" s="90">
        <f>SUM(H1163:J1163)</f>
        <v>260.22840000000002</v>
      </c>
      <c r="L1163" s="131">
        <v>480</v>
      </c>
      <c r="M1163" s="187">
        <v>56.15</v>
      </c>
      <c r="N1163" s="91">
        <f t="shared" si="188"/>
        <v>188.15</v>
      </c>
      <c r="O1163" s="411">
        <f t="shared" si="199"/>
        <v>72.078400000000016</v>
      </c>
      <c r="P1163" s="132" t="s">
        <v>52</v>
      </c>
      <c r="Q1163" s="232"/>
      <c r="R1163" s="411"/>
      <c r="T1163" s="134" t="s">
        <v>145</v>
      </c>
      <c r="U1163" s="266" t="s">
        <v>2885</v>
      </c>
      <c r="W1163" s="153"/>
    </row>
    <row r="1164" spans="1:23" ht="24" x14ac:dyDescent="0.25">
      <c r="A1164" s="405">
        <v>3000897</v>
      </c>
      <c r="B1164" s="406">
        <v>42426</v>
      </c>
      <c r="C1164" s="405" t="s">
        <v>2886</v>
      </c>
      <c r="D1164" s="401" t="s">
        <v>2887</v>
      </c>
      <c r="E1164" s="120">
        <v>500</v>
      </c>
      <c r="F1164" s="133" t="s">
        <v>1637</v>
      </c>
      <c r="G1164" s="404" t="s">
        <v>45</v>
      </c>
      <c r="H1164" s="411">
        <v>1800</v>
      </c>
      <c r="I1164" s="89">
        <v>0</v>
      </c>
      <c r="J1164" s="90">
        <f t="shared" si="196"/>
        <v>-34.499999999999993</v>
      </c>
      <c r="K1164" s="90">
        <f t="shared" ref="K1164:K1227" si="201">SUM(H1164:J1164)</f>
        <v>1765.5</v>
      </c>
      <c r="L1164" s="187">
        <v>2679.11</v>
      </c>
      <c r="M1164" s="187">
        <v>64.91</v>
      </c>
      <c r="N1164" s="91">
        <f t="shared" ref="N1164:N1227" si="202">((L1164)*(E1164*0.001))+M1164</f>
        <v>1404.4650000000001</v>
      </c>
      <c r="O1164" s="411">
        <f t="shared" si="199"/>
        <v>361.03499999999985</v>
      </c>
      <c r="P1164" s="132" t="s">
        <v>46</v>
      </c>
      <c r="Q1164" s="232"/>
      <c r="R1164" s="411"/>
      <c r="T1164" s="191" t="s">
        <v>2862</v>
      </c>
      <c r="U1164" s="266" t="s">
        <v>2888</v>
      </c>
      <c r="W1164" s="153" t="s">
        <v>2889</v>
      </c>
    </row>
    <row r="1165" spans="1:23" ht="24" x14ac:dyDescent="0.25">
      <c r="A1165" s="405">
        <v>3000898</v>
      </c>
      <c r="B1165" s="406">
        <v>42430</v>
      </c>
      <c r="C1165" s="405" t="s">
        <v>56</v>
      </c>
      <c r="D1165" s="401" t="s">
        <v>2890</v>
      </c>
      <c r="E1165" s="120">
        <v>300</v>
      </c>
      <c r="F1165" s="133" t="s">
        <v>2891</v>
      </c>
      <c r="G1165" s="404" t="s">
        <v>45</v>
      </c>
      <c r="H1165" s="411">
        <v>480</v>
      </c>
      <c r="I1165" s="89">
        <v>0</v>
      </c>
      <c r="J1165" s="90">
        <f t="shared" si="196"/>
        <v>-9.42</v>
      </c>
      <c r="K1165" s="90">
        <f t="shared" si="201"/>
        <v>470.58</v>
      </c>
      <c r="L1165" s="158">
        <v>820</v>
      </c>
      <c r="M1165" s="158">
        <v>72.400000000000006</v>
      </c>
      <c r="N1165" s="91">
        <f t="shared" si="202"/>
        <v>318.39999999999998</v>
      </c>
      <c r="O1165" s="411">
        <f t="shared" si="199"/>
        <v>152.18</v>
      </c>
      <c r="P1165" s="132" t="s">
        <v>183</v>
      </c>
      <c r="Q1165" s="232"/>
      <c r="R1165" s="411"/>
      <c r="T1165" s="134" t="s">
        <v>204</v>
      </c>
      <c r="U1165" s="266" t="s">
        <v>2892</v>
      </c>
      <c r="V1165" s="133" t="s">
        <v>2736</v>
      </c>
    </row>
    <row r="1166" spans="1:23" x14ac:dyDescent="0.25">
      <c r="A1166" s="405">
        <v>3000899</v>
      </c>
      <c r="B1166" s="406">
        <v>42430</v>
      </c>
      <c r="C1166" s="405" t="s">
        <v>56</v>
      </c>
      <c r="D1166" s="401" t="s">
        <v>2893</v>
      </c>
      <c r="E1166" s="120">
        <v>1200</v>
      </c>
      <c r="F1166" s="119" t="s">
        <v>2894</v>
      </c>
      <c r="G1166" s="404" t="s">
        <v>45</v>
      </c>
      <c r="H1166" s="411">
        <v>21770</v>
      </c>
      <c r="I1166" s="89">
        <v>0</v>
      </c>
      <c r="J1166" s="90">
        <f t="shared" si="196"/>
        <v>-413.93</v>
      </c>
      <c r="K1166" s="90">
        <f t="shared" si="201"/>
        <v>21356.07</v>
      </c>
      <c r="L1166" s="187">
        <v>15000</v>
      </c>
      <c r="M1166" s="187">
        <v>560</v>
      </c>
      <c r="N1166" s="91">
        <f t="shared" si="202"/>
        <v>18560</v>
      </c>
      <c r="O1166" s="411">
        <f t="shared" si="199"/>
        <v>2796.0699999999997</v>
      </c>
      <c r="P1166" s="132" t="s">
        <v>2895</v>
      </c>
      <c r="Q1166" s="232"/>
      <c r="R1166" s="411"/>
      <c r="T1166" s="134" t="s">
        <v>97</v>
      </c>
      <c r="U1166" s="267" t="s">
        <v>2896</v>
      </c>
      <c r="V1166" s="133" t="s">
        <v>2897</v>
      </c>
      <c r="W1166" s="153" t="s">
        <v>2898</v>
      </c>
    </row>
    <row r="1167" spans="1:23" ht="24" x14ac:dyDescent="0.25">
      <c r="A1167" s="405">
        <v>3000900</v>
      </c>
      <c r="B1167" s="406">
        <v>42430</v>
      </c>
      <c r="C1167" s="405" t="s">
        <v>42</v>
      </c>
      <c r="D1167" s="401" t="s">
        <v>2899</v>
      </c>
      <c r="E1167" s="120">
        <v>250</v>
      </c>
      <c r="F1167" s="133" t="s">
        <v>609</v>
      </c>
      <c r="G1167" s="404" t="s">
        <v>45</v>
      </c>
      <c r="H1167" s="411">
        <v>158.26</v>
      </c>
      <c r="I1167" s="89">
        <f t="shared" si="200"/>
        <v>-14.243399999999999</v>
      </c>
      <c r="J1167" s="90">
        <f t="shared" si="196"/>
        <v>-3.3069399999999995</v>
      </c>
      <c r="K1167" s="90">
        <f t="shared" si="201"/>
        <v>140.70965999999999</v>
      </c>
      <c r="M1167" s="187">
        <v>42.32</v>
      </c>
      <c r="N1167" s="91">
        <f t="shared" si="202"/>
        <v>42.32</v>
      </c>
      <c r="O1167" s="411">
        <f t="shared" si="199"/>
        <v>98.389659999999992</v>
      </c>
      <c r="P1167" s="132" t="s">
        <v>52</v>
      </c>
      <c r="Q1167" s="232"/>
      <c r="R1167" s="411"/>
      <c r="T1167" s="134" t="s">
        <v>145</v>
      </c>
      <c r="U1167" s="267" t="s">
        <v>2900</v>
      </c>
    </row>
    <row r="1168" spans="1:23" ht="24" customHeight="1" x14ac:dyDescent="0.25">
      <c r="A1168" s="419">
        <v>3000901</v>
      </c>
      <c r="B1168" s="421">
        <v>42430</v>
      </c>
      <c r="C1168" s="419" t="s">
        <v>42</v>
      </c>
      <c r="D1168" s="417" t="s">
        <v>2901</v>
      </c>
      <c r="E1168" s="120">
        <v>100</v>
      </c>
      <c r="F1168" s="133" t="s">
        <v>2902</v>
      </c>
      <c r="G1168" s="434" t="s">
        <v>45</v>
      </c>
      <c r="H1168" s="427">
        <v>404.56</v>
      </c>
      <c r="I1168" s="89">
        <f t="shared" si="200"/>
        <v>-36.410399999999996</v>
      </c>
      <c r="J1168" s="90">
        <f t="shared" si="196"/>
        <v>-7.9866399999999995</v>
      </c>
      <c r="K1168" s="90">
        <f t="shared" si="201"/>
        <v>360.16296</v>
      </c>
      <c r="M1168" s="187">
        <v>36.76</v>
      </c>
      <c r="N1168" s="91">
        <f t="shared" si="202"/>
        <v>36.76</v>
      </c>
      <c r="O1168" s="411">
        <f t="shared" si="199"/>
        <v>323.40296000000001</v>
      </c>
      <c r="P1168" s="132" t="s">
        <v>52</v>
      </c>
      <c r="Q1168" s="232"/>
      <c r="R1168" s="411"/>
      <c r="T1168" s="470" t="s">
        <v>145</v>
      </c>
      <c r="U1168" s="267" t="s">
        <v>2903</v>
      </c>
    </row>
    <row r="1169" spans="1:21" x14ac:dyDescent="0.25">
      <c r="A1169" s="420"/>
      <c r="B1169" s="422"/>
      <c r="C1169" s="420"/>
      <c r="D1169" s="418"/>
      <c r="E1169" s="120">
        <v>250</v>
      </c>
      <c r="F1169" s="133" t="s">
        <v>609</v>
      </c>
      <c r="G1169" s="436"/>
      <c r="H1169" s="428"/>
      <c r="I1169" s="89">
        <f t="shared" si="200"/>
        <v>0</v>
      </c>
      <c r="J1169" s="90">
        <f t="shared" si="196"/>
        <v>-0.3</v>
      </c>
      <c r="K1169" s="90">
        <f t="shared" si="201"/>
        <v>-0.3</v>
      </c>
      <c r="M1169" s="187">
        <v>41.62</v>
      </c>
      <c r="N1169" s="91">
        <f t="shared" si="202"/>
        <v>41.62</v>
      </c>
      <c r="O1169" s="411">
        <f t="shared" si="199"/>
        <v>-41.919999999999995</v>
      </c>
      <c r="P1169" s="132" t="s">
        <v>52</v>
      </c>
      <c r="Q1169" s="232"/>
      <c r="R1169" s="411"/>
      <c r="T1169" s="472"/>
      <c r="U1169" s="267" t="s">
        <v>2904</v>
      </c>
    </row>
    <row r="1170" spans="1:21" ht="24" x14ac:dyDescent="0.25">
      <c r="A1170" s="405">
        <v>3000902</v>
      </c>
      <c r="B1170" s="406">
        <v>42430</v>
      </c>
      <c r="C1170" s="405" t="s">
        <v>42</v>
      </c>
      <c r="D1170" s="401" t="s">
        <v>2905</v>
      </c>
      <c r="E1170" s="120">
        <v>150</v>
      </c>
      <c r="F1170" s="133" t="s">
        <v>1547</v>
      </c>
      <c r="G1170" s="404" t="s">
        <v>45</v>
      </c>
      <c r="H1170" s="411">
        <v>166.45</v>
      </c>
      <c r="I1170" s="89">
        <f t="shared" si="200"/>
        <v>-14.980499999999999</v>
      </c>
      <c r="J1170" s="90">
        <f t="shared" si="196"/>
        <v>-3.4625499999999994</v>
      </c>
      <c r="K1170" s="90">
        <f t="shared" si="201"/>
        <v>148.00694999999999</v>
      </c>
      <c r="M1170" s="187">
        <v>41.3</v>
      </c>
      <c r="N1170" s="91">
        <f t="shared" si="202"/>
        <v>41.3</v>
      </c>
      <c r="O1170" s="411">
        <f t="shared" si="199"/>
        <v>106.70694999999999</v>
      </c>
      <c r="P1170" s="132" t="s">
        <v>52</v>
      </c>
      <c r="Q1170" s="232"/>
      <c r="R1170" s="411"/>
      <c r="T1170" s="134" t="s">
        <v>145</v>
      </c>
      <c r="U1170" s="266" t="s">
        <v>2906</v>
      </c>
    </row>
    <row r="1171" spans="1:21" ht="24" x14ac:dyDescent="0.25">
      <c r="A1171" s="405">
        <v>3000903</v>
      </c>
      <c r="B1171" s="406">
        <v>42430</v>
      </c>
      <c r="C1171" s="405" t="s">
        <v>42</v>
      </c>
      <c r="D1171" s="401" t="s">
        <v>2403</v>
      </c>
      <c r="E1171" s="120">
        <v>150</v>
      </c>
      <c r="F1171" s="133" t="s">
        <v>227</v>
      </c>
      <c r="G1171" s="404" t="s">
        <v>45</v>
      </c>
      <c r="H1171" s="411">
        <v>128.04</v>
      </c>
      <c r="I1171" s="89">
        <f t="shared" si="200"/>
        <v>-11.523599999999998</v>
      </c>
      <c r="J1171" s="90">
        <f t="shared" si="196"/>
        <v>-2.7327599999999994</v>
      </c>
      <c r="K1171" s="90">
        <f t="shared" si="201"/>
        <v>113.78363999999999</v>
      </c>
      <c r="M1171" s="187">
        <v>44.97</v>
      </c>
      <c r="N1171" s="91">
        <f t="shared" si="202"/>
        <v>44.97</v>
      </c>
      <c r="O1171" s="411">
        <f t="shared" si="199"/>
        <v>68.813639999999992</v>
      </c>
      <c r="P1171" s="132" t="s">
        <v>52</v>
      </c>
      <c r="Q1171" s="232"/>
      <c r="R1171" s="411"/>
      <c r="T1171" s="134" t="s">
        <v>145</v>
      </c>
      <c r="U1171" s="266" t="s">
        <v>2907</v>
      </c>
    </row>
    <row r="1172" spans="1:21" ht="24" x14ac:dyDescent="0.25">
      <c r="A1172" s="405">
        <v>3000904</v>
      </c>
      <c r="B1172" s="406">
        <v>42430</v>
      </c>
      <c r="C1172" s="405" t="s">
        <v>42</v>
      </c>
      <c r="D1172" s="401" t="s">
        <v>2908</v>
      </c>
      <c r="E1172" s="120">
        <v>100</v>
      </c>
      <c r="F1172" s="133" t="s">
        <v>207</v>
      </c>
      <c r="G1172" s="404" t="s">
        <v>45</v>
      </c>
      <c r="H1172" s="411">
        <v>126.85</v>
      </c>
      <c r="I1172" s="89">
        <f t="shared" si="200"/>
        <v>-11.416499999999999</v>
      </c>
      <c r="J1172" s="90">
        <f t="shared" si="196"/>
        <v>-2.7101499999999996</v>
      </c>
      <c r="K1172" s="90">
        <f t="shared" si="201"/>
        <v>112.72335</v>
      </c>
      <c r="M1172" s="187">
        <v>50.02</v>
      </c>
      <c r="N1172" s="91">
        <f t="shared" si="202"/>
        <v>50.02</v>
      </c>
      <c r="O1172" s="411">
        <f t="shared" si="199"/>
        <v>62.703349999999993</v>
      </c>
      <c r="P1172" s="132" t="s">
        <v>52</v>
      </c>
      <c r="Q1172" s="232"/>
      <c r="R1172" s="411"/>
      <c r="T1172" s="134" t="s">
        <v>145</v>
      </c>
      <c r="U1172" s="266" t="s">
        <v>2909</v>
      </c>
    </row>
    <row r="1173" spans="1:21" ht="24" x14ac:dyDescent="0.25">
      <c r="A1173" s="405">
        <v>3000905</v>
      </c>
      <c r="B1173" s="406">
        <v>42430</v>
      </c>
      <c r="C1173" s="405" t="s">
        <v>42</v>
      </c>
      <c r="D1173" s="401" t="s">
        <v>2910</v>
      </c>
      <c r="E1173" s="120">
        <v>100</v>
      </c>
      <c r="F1173" s="133" t="s">
        <v>161</v>
      </c>
      <c r="G1173" s="404" t="s">
        <v>45</v>
      </c>
      <c r="H1173" s="411">
        <v>235</v>
      </c>
      <c r="I1173" s="89">
        <f t="shared" si="200"/>
        <v>-21.15</v>
      </c>
      <c r="J1173" s="90">
        <f t="shared" si="196"/>
        <v>-4.7649999999999997</v>
      </c>
      <c r="K1173" s="90">
        <f t="shared" si="201"/>
        <v>209.08500000000001</v>
      </c>
      <c r="M1173" s="187">
        <v>57.15</v>
      </c>
      <c r="N1173" s="91">
        <f t="shared" si="202"/>
        <v>57.15</v>
      </c>
      <c r="O1173" s="411">
        <f t="shared" si="199"/>
        <v>151.935</v>
      </c>
      <c r="P1173" s="132" t="s">
        <v>52</v>
      </c>
      <c r="Q1173" s="232"/>
      <c r="R1173" s="411"/>
      <c r="T1173" s="134" t="s">
        <v>145</v>
      </c>
      <c r="U1173" s="266" t="s">
        <v>2911</v>
      </c>
    </row>
    <row r="1174" spans="1:21" ht="24" x14ac:dyDescent="0.25">
      <c r="A1174" s="405">
        <v>3000906</v>
      </c>
      <c r="B1174" s="406">
        <v>42430</v>
      </c>
      <c r="C1174" s="405" t="s">
        <v>42</v>
      </c>
      <c r="D1174" s="401" t="s">
        <v>2912</v>
      </c>
      <c r="E1174" s="120">
        <v>350</v>
      </c>
      <c r="F1174" s="133" t="s">
        <v>227</v>
      </c>
      <c r="G1174" s="404" t="s">
        <v>45</v>
      </c>
      <c r="H1174" s="411">
        <v>322.66000000000003</v>
      </c>
      <c r="I1174" s="89">
        <f t="shared" si="200"/>
        <v>-29.039400000000001</v>
      </c>
      <c r="J1174" s="90">
        <f t="shared" si="196"/>
        <v>-6.4305400000000006</v>
      </c>
      <c r="K1174" s="90">
        <f t="shared" si="201"/>
        <v>287.19006000000002</v>
      </c>
      <c r="M1174" s="187">
        <v>36.85</v>
      </c>
      <c r="N1174" s="91">
        <f t="shared" si="202"/>
        <v>36.85</v>
      </c>
      <c r="O1174" s="411">
        <f t="shared" si="199"/>
        <v>250.34006000000002</v>
      </c>
      <c r="P1174" s="132" t="s">
        <v>52</v>
      </c>
      <c r="Q1174" s="232"/>
      <c r="R1174" s="411"/>
      <c r="T1174" s="134" t="s">
        <v>145</v>
      </c>
      <c r="U1174" s="267" t="s">
        <v>2913</v>
      </c>
    </row>
    <row r="1175" spans="1:21" x14ac:dyDescent="0.25">
      <c r="A1175" s="405">
        <v>3000907</v>
      </c>
      <c r="B1175" s="406">
        <v>42430</v>
      </c>
      <c r="C1175" s="405" t="s">
        <v>42</v>
      </c>
      <c r="D1175" s="401" t="s">
        <v>2914</v>
      </c>
      <c r="E1175" s="120">
        <v>200</v>
      </c>
      <c r="F1175" s="133" t="s">
        <v>1124</v>
      </c>
      <c r="G1175" s="404" t="s">
        <v>45</v>
      </c>
      <c r="H1175" s="411">
        <v>1343.3</v>
      </c>
      <c r="I1175" s="89">
        <f t="shared" si="200"/>
        <v>-120.89699999999999</v>
      </c>
      <c r="J1175" s="90">
        <f t="shared" si="196"/>
        <v>-25.822699999999998</v>
      </c>
      <c r="K1175" s="90">
        <f t="shared" si="201"/>
        <v>1196.5803000000001</v>
      </c>
      <c r="L1175" s="187">
        <v>3365</v>
      </c>
      <c r="M1175" s="131">
        <v>0</v>
      </c>
      <c r="N1175" s="91">
        <f t="shared" si="202"/>
        <v>673</v>
      </c>
      <c r="O1175" s="411">
        <f t="shared" si="199"/>
        <v>523.58030000000008</v>
      </c>
      <c r="P1175" s="132" t="s">
        <v>59</v>
      </c>
      <c r="Q1175" s="232"/>
      <c r="R1175" s="411"/>
    </row>
    <row r="1176" spans="1:21" ht="24" x14ac:dyDescent="0.25">
      <c r="A1176" s="405">
        <v>3000908</v>
      </c>
      <c r="B1176" s="406">
        <v>42430</v>
      </c>
      <c r="C1176" s="405" t="s">
        <v>42</v>
      </c>
      <c r="D1176" s="401" t="s">
        <v>2915</v>
      </c>
      <c r="E1176" s="120">
        <v>400</v>
      </c>
      <c r="F1176" s="133" t="s">
        <v>877</v>
      </c>
      <c r="G1176" s="404" t="s">
        <v>45</v>
      </c>
      <c r="H1176" s="411">
        <v>273.14999999999998</v>
      </c>
      <c r="I1176" s="89">
        <f t="shared" si="200"/>
        <v>-24.583499999999997</v>
      </c>
      <c r="J1176" s="90">
        <f t="shared" si="196"/>
        <v>-5.4898499999999997</v>
      </c>
      <c r="K1176" s="90">
        <f t="shared" si="201"/>
        <v>243.07665</v>
      </c>
      <c r="M1176" s="187">
        <v>41.57</v>
      </c>
      <c r="N1176" s="91">
        <f t="shared" si="202"/>
        <v>41.57</v>
      </c>
      <c r="O1176" s="411">
        <f t="shared" si="199"/>
        <v>201.50665000000001</v>
      </c>
      <c r="P1176" s="132" t="s">
        <v>52</v>
      </c>
      <c r="Q1176" s="232"/>
      <c r="R1176" s="411"/>
      <c r="T1176" s="134" t="s">
        <v>145</v>
      </c>
      <c r="U1176" s="266" t="s">
        <v>2916</v>
      </c>
    </row>
    <row r="1177" spans="1:21" ht="24" x14ac:dyDescent="0.25">
      <c r="A1177" s="405">
        <v>3000909</v>
      </c>
      <c r="B1177" s="406">
        <v>42430</v>
      </c>
      <c r="C1177" s="405" t="s">
        <v>42</v>
      </c>
      <c r="D1177" s="401" t="s">
        <v>2917</v>
      </c>
      <c r="E1177" s="120">
        <v>100</v>
      </c>
      <c r="F1177" s="133" t="s">
        <v>431</v>
      </c>
      <c r="G1177" s="404" t="s">
        <v>45</v>
      </c>
      <c r="H1177" s="411">
        <v>216.11</v>
      </c>
      <c r="I1177" s="89">
        <f t="shared" si="200"/>
        <v>-19.4499</v>
      </c>
      <c r="J1177" s="90">
        <f t="shared" si="196"/>
        <v>-4.4060899999999998</v>
      </c>
      <c r="K1177" s="90">
        <f t="shared" si="201"/>
        <v>192.25400999999999</v>
      </c>
      <c r="M1177" s="187">
        <v>57.4</v>
      </c>
      <c r="N1177" s="91">
        <f t="shared" si="202"/>
        <v>57.4</v>
      </c>
      <c r="O1177" s="411">
        <f t="shared" si="199"/>
        <v>134.85400999999999</v>
      </c>
      <c r="P1177" s="132" t="s">
        <v>52</v>
      </c>
      <c r="Q1177" s="232"/>
      <c r="R1177" s="411"/>
      <c r="T1177" s="134" t="s">
        <v>145</v>
      </c>
      <c r="U1177" s="266" t="s">
        <v>2918</v>
      </c>
    </row>
    <row r="1178" spans="1:21" ht="24" x14ac:dyDescent="0.25">
      <c r="A1178" s="405">
        <v>3000910</v>
      </c>
      <c r="B1178" s="406">
        <v>42430</v>
      </c>
      <c r="C1178" s="405" t="s">
        <v>42</v>
      </c>
      <c r="D1178" s="401" t="s">
        <v>2919</v>
      </c>
      <c r="E1178" s="120">
        <v>125</v>
      </c>
      <c r="F1178" s="133" t="s">
        <v>70</v>
      </c>
      <c r="G1178" s="404" t="s">
        <v>45</v>
      </c>
      <c r="H1178" s="411">
        <v>349.2</v>
      </c>
      <c r="I1178" s="89">
        <f t="shared" si="200"/>
        <v>-31.427999999999997</v>
      </c>
      <c r="J1178" s="90">
        <f t="shared" si="196"/>
        <v>-6.9347999999999992</v>
      </c>
      <c r="K1178" s="90">
        <f t="shared" si="201"/>
        <v>310.8372</v>
      </c>
      <c r="M1178" s="187">
        <v>81.78</v>
      </c>
      <c r="N1178" s="91">
        <f t="shared" si="202"/>
        <v>81.78</v>
      </c>
      <c r="O1178" s="411">
        <f t="shared" si="199"/>
        <v>229.05719999999999</v>
      </c>
      <c r="P1178" s="132" t="s">
        <v>52</v>
      </c>
      <c r="Q1178" s="232"/>
      <c r="R1178" s="411"/>
      <c r="T1178" s="134" t="s">
        <v>145</v>
      </c>
      <c r="U1178" s="266" t="s">
        <v>2920</v>
      </c>
    </row>
    <row r="1179" spans="1:21" ht="24" x14ac:dyDescent="0.25">
      <c r="A1179" s="405">
        <v>3000911</v>
      </c>
      <c r="B1179" s="406">
        <v>42430</v>
      </c>
      <c r="C1179" s="405" t="s">
        <v>237</v>
      </c>
      <c r="D1179" s="401" t="s">
        <v>2921</v>
      </c>
      <c r="E1179" s="120">
        <v>50</v>
      </c>
      <c r="F1179" s="133" t="s">
        <v>2922</v>
      </c>
      <c r="G1179" s="404" t="s">
        <v>45</v>
      </c>
      <c r="H1179" s="411">
        <v>145.52000000000001</v>
      </c>
      <c r="I1179" s="89">
        <f t="shared" si="200"/>
        <v>-13.0968</v>
      </c>
      <c r="J1179" s="90">
        <f t="shared" si="196"/>
        <v>-3.06488</v>
      </c>
      <c r="K1179" s="90">
        <f t="shared" si="201"/>
        <v>129.35832000000002</v>
      </c>
      <c r="L1179" s="158">
        <v>1400</v>
      </c>
      <c r="M1179" s="187">
        <v>14.12</v>
      </c>
      <c r="N1179" s="91">
        <f t="shared" si="202"/>
        <v>84.12</v>
      </c>
      <c r="O1179" s="411">
        <f t="shared" si="199"/>
        <v>45.238320000000016</v>
      </c>
      <c r="P1179" s="132" t="s">
        <v>926</v>
      </c>
      <c r="Q1179" s="232"/>
      <c r="R1179" s="411"/>
      <c r="T1179" s="134" t="s">
        <v>145</v>
      </c>
      <c r="U1179" s="267" t="s">
        <v>2923</v>
      </c>
    </row>
    <row r="1180" spans="1:21" ht="24" x14ac:dyDescent="0.25">
      <c r="A1180" s="405">
        <v>3000912</v>
      </c>
      <c r="B1180" s="406">
        <v>42430</v>
      </c>
      <c r="C1180" s="405" t="s">
        <v>42</v>
      </c>
      <c r="D1180" s="401" t="s">
        <v>2924</v>
      </c>
      <c r="E1180" s="120">
        <v>250</v>
      </c>
      <c r="F1180" s="133" t="s">
        <v>972</v>
      </c>
      <c r="G1180" s="404" t="s">
        <v>45</v>
      </c>
      <c r="H1180" s="411">
        <v>122.5</v>
      </c>
      <c r="I1180" s="89">
        <f t="shared" si="200"/>
        <v>-11.025</v>
      </c>
      <c r="J1180" s="90">
        <f t="shared" si="196"/>
        <v>-2.6274999999999999</v>
      </c>
      <c r="K1180" s="90">
        <f t="shared" si="201"/>
        <v>108.8475</v>
      </c>
      <c r="M1180" s="187">
        <v>27.18</v>
      </c>
      <c r="N1180" s="91">
        <f t="shared" si="202"/>
        <v>27.18</v>
      </c>
      <c r="O1180" s="411">
        <f t="shared" si="199"/>
        <v>81.66749999999999</v>
      </c>
      <c r="P1180" s="132" t="s">
        <v>52</v>
      </c>
      <c r="Q1180" s="232"/>
      <c r="R1180" s="411"/>
      <c r="T1180" s="134" t="s">
        <v>145</v>
      </c>
      <c r="U1180" s="266" t="s">
        <v>2925</v>
      </c>
    </row>
    <row r="1181" spans="1:21" ht="24" x14ac:dyDescent="0.25">
      <c r="A1181" s="405">
        <v>3000913</v>
      </c>
      <c r="B1181" s="406">
        <v>42430</v>
      </c>
      <c r="C1181" s="405" t="s">
        <v>42</v>
      </c>
      <c r="D1181" s="401" t="s">
        <v>2926</v>
      </c>
      <c r="E1181" s="120">
        <v>125</v>
      </c>
      <c r="F1181" s="133" t="s">
        <v>227</v>
      </c>
      <c r="G1181" s="404" t="s">
        <v>45</v>
      </c>
      <c r="H1181" s="411">
        <v>106.7</v>
      </c>
      <c r="I1181" s="89">
        <f t="shared" si="200"/>
        <v>-9.6029999999999998</v>
      </c>
      <c r="J1181" s="90">
        <f t="shared" si="196"/>
        <v>-2.3272999999999997</v>
      </c>
      <c r="K1181" s="90">
        <f t="shared" si="201"/>
        <v>94.769700000000014</v>
      </c>
      <c r="M1181" s="187">
        <v>33.340000000000003</v>
      </c>
      <c r="N1181" s="91">
        <f t="shared" si="202"/>
        <v>33.340000000000003</v>
      </c>
      <c r="O1181" s="411">
        <f t="shared" si="199"/>
        <v>61.429700000000011</v>
      </c>
      <c r="P1181" s="132" t="s">
        <v>52</v>
      </c>
      <c r="Q1181" s="232"/>
      <c r="R1181" s="411"/>
      <c r="T1181" s="134" t="s">
        <v>145</v>
      </c>
      <c r="U1181" s="266" t="s">
        <v>2927</v>
      </c>
    </row>
    <row r="1182" spans="1:21" x14ac:dyDescent="0.25">
      <c r="A1182" s="405">
        <v>3000914</v>
      </c>
      <c r="B1182" s="406">
        <v>42430</v>
      </c>
      <c r="C1182" s="405" t="s">
        <v>42</v>
      </c>
      <c r="D1182" s="401" t="s">
        <v>2928</v>
      </c>
      <c r="E1182" s="120">
        <v>1000</v>
      </c>
      <c r="F1182" s="133" t="s">
        <v>2929</v>
      </c>
      <c r="G1182" s="404" t="s">
        <v>45</v>
      </c>
      <c r="H1182" s="411">
        <v>1250</v>
      </c>
      <c r="I1182" s="89">
        <f t="shared" si="200"/>
        <v>-112.5</v>
      </c>
      <c r="J1182" s="90">
        <f t="shared" si="196"/>
        <v>-24.05</v>
      </c>
      <c r="K1182" s="90">
        <f t="shared" si="201"/>
        <v>1113.45</v>
      </c>
      <c r="M1182" s="187">
        <v>146.37</v>
      </c>
      <c r="N1182" s="91">
        <f t="shared" si="202"/>
        <v>146.37</v>
      </c>
      <c r="O1182" s="411">
        <f t="shared" si="199"/>
        <v>967.08</v>
      </c>
      <c r="P1182" s="132" t="s">
        <v>52</v>
      </c>
      <c r="Q1182" s="232"/>
      <c r="R1182" s="411"/>
      <c r="T1182" s="134" t="s">
        <v>875</v>
      </c>
      <c r="U1182" s="267" t="s">
        <v>2930</v>
      </c>
    </row>
    <row r="1183" spans="1:21" ht="24" x14ac:dyDescent="0.25">
      <c r="A1183" s="405">
        <v>3000915</v>
      </c>
      <c r="B1183" s="406">
        <v>42430</v>
      </c>
      <c r="C1183" s="405" t="s">
        <v>42</v>
      </c>
      <c r="D1183" s="401" t="s">
        <v>2931</v>
      </c>
      <c r="E1183" s="120">
        <v>200</v>
      </c>
      <c r="F1183" s="133" t="s">
        <v>451</v>
      </c>
      <c r="G1183" s="404" t="s">
        <v>45</v>
      </c>
      <c r="H1183" s="411">
        <v>133</v>
      </c>
      <c r="I1183" s="89">
        <f t="shared" si="200"/>
        <v>-11.969999999999999</v>
      </c>
      <c r="J1183" s="90">
        <f t="shared" si="196"/>
        <v>-2.827</v>
      </c>
      <c r="K1183" s="90">
        <f t="shared" si="201"/>
        <v>118.203</v>
      </c>
      <c r="M1183" s="187">
        <v>38.11</v>
      </c>
      <c r="N1183" s="91">
        <f t="shared" si="202"/>
        <v>38.11</v>
      </c>
      <c r="O1183" s="411">
        <f t="shared" si="199"/>
        <v>80.093000000000004</v>
      </c>
      <c r="P1183" s="132" t="s">
        <v>52</v>
      </c>
      <c r="Q1183" s="232"/>
      <c r="R1183" s="411"/>
      <c r="T1183" s="134" t="s">
        <v>145</v>
      </c>
      <c r="U1183" s="266" t="s">
        <v>2932</v>
      </c>
    </row>
    <row r="1184" spans="1:21" ht="24" x14ac:dyDescent="0.25">
      <c r="A1184" s="405">
        <v>3000916</v>
      </c>
      <c r="B1184" s="406">
        <v>42430</v>
      </c>
      <c r="C1184" s="405" t="s">
        <v>42</v>
      </c>
      <c r="D1184" s="401" t="s">
        <v>2933</v>
      </c>
      <c r="E1184" s="120">
        <v>100</v>
      </c>
      <c r="F1184" s="133" t="s">
        <v>2416</v>
      </c>
      <c r="G1184" s="404" t="s">
        <v>45</v>
      </c>
      <c r="H1184" s="411">
        <v>158.97999999999999</v>
      </c>
      <c r="I1184" s="89">
        <f t="shared" si="200"/>
        <v>-14.308199999999999</v>
      </c>
      <c r="J1184" s="90">
        <f t="shared" si="196"/>
        <v>-3.3206199999999995</v>
      </c>
      <c r="K1184" s="90">
        <f t="shared" si="201"/>
        <v>141.35118</v>
      </c>
      <c r="M1184" s="187">
        <v>23.55</v>
      </c>
      <c r="N1184" s="91">
        <f t="shared" si="202"/>
        <v>23.55</v>
      </c>
      <c r="O1184" s="411">
        <f t="shared" si="199"/>
        <v>117.80118</v>
      </c>
      <c r="P1184" s="132" t="s">
        <v>52</v>
      </c>
      <c r="Q1184" s="232"/>
      <c r="R1184" s="411"/>
      <c r="T1184" s="134" t="s">
        <v>145</v>
      </c>
      <c r="U1184" s="266" t="s">
        <v>2934</v>
      </c>
    </row>
    <row r="1185" spans="1:23" ht="24" x14ac:dyDescent="0.25">
      <c r="A1185" s="405">
        <v>3000917</v>
      </c>
      <c r="B1185" s="406">
        <v>42430</v>
      </c>
      <c r="C1185" s="405" t="s">
        <v>42</v>
      </c>
      <c r="D1185" s="401" t="s">
        <v>2516</v>
      </c>
      <c r="E1185" s="120">
        <v>25</v>
      </c>
      <c r="F1185" s="133" t="s">
        <v>2935</v>
      </c>
      <c r="G1185" s="404" t="s">
        <v>45</v>
      </c>
      <c r="H1185" s="411">
        <v>107.11</v>
      </c>
      <c r="I1185" s="89">
        <f t="shared" si="200"/>
        <v>-9.639899999999999</v>
      </c>
      <c r="J1185" s="90">
        <f t="shared" si="196"/>
        <v>-2.3350899999999997</v>
      </c>
      <c r="K1185" s="90">
        <f t="shared" si="201"/>
        <v>95.135010000000008</v>
      </c>
      <c r="L1185" s="187">
        <v>2470</v>
      </c>
      <c r="M1185" s="187">
        <v>18.440000000000001</v>
      </c>
      <c r="N1185" s="91">
        <f t="shared" si="202"/>
        <v>80.19</v>
      </c>
      <c r="O1185" s="411">
        <f t="shared" si="199"/>
        <v>14.945010000000011</v>
      </c>
      <c r="P1185" s="132" t="s">
        <v>183</v>
      </c>
      <c r="Q1185" s="232"/>
      <c r="R1185" s="411"/>
      <c r="T1185" s="134" t="s">
        <v>145</v>
      </c>
      <c r="U1185" s="267" t="s">
        <v>2936</v>
      </c>
    </row>
    <row r="1186" spans="1:23" ht="24" x14ac:dyDescent="0.25">
      <c r="A1186" s="405">
        <v>3000918</v>
      </c>
      <c r="B1186" s="406">
        <v>42430</v>
      </c>
      <c r="C1186" s="405" t="s">
        <v>42</v>
      </c>
      <c r="D1186" s="401" t="s">
        <v>2937</v>
      </c>
      <c r="E1186" s="120">
        <v>100</v>
      </c>
      <c r="F1186" s="133" t="s">
        <v>288</v>
      </c>
      <c r="G1186" s="404" t="s">
        <v>45</v>
      </c>
      <c r="H1186" s="411">
        <v>187.16</v>
      </c>
      <c r="I1186" s="89">
        <f t="shared" si="200"/>
        <v>-16.8444</v>
      </c>
      <c r="J1186" s="90">
        <f t="shared" si="196"/>
        <v>-3.8560399999999997</v>
      </c>
      <c r="K1186" s="90">
        <f t="shared" si="201"/>
        <v>166.45955999999998</v>
      </c>
      <c r="M1186" s="187">
        <v>44.69</v>
      </c>
      <c r="N1186" s="91">
        <f t="shared" si="202"/>
        <v>44.69</v>
      </c>
      <c r="O1186" s="411">
        <f t="shared" si="199"/>
        <v>121.76955999999998</v>
      </c>
      <c r="P1186" s="132" t="s">
        <v>52</v>
      </c>
      <c r="Q1186" s="232"/>
      <c r="R1186" s="411"/>
      <c r="T1186" s="134" t="s">
        <v>145</v>
      </c>
      <c r="U1186" s="266" t="s">
        <v>2938</v>
      </c>
    </row>
    <row r="1187" spans="1:23" ht="24" x14ac:dyDescent="0.25">
      <c r="A1187" s="405">
        <v>3000919</v>
      </c>
      <c r="B1187" s="406">
        <v>42430</v>
      </c>
      <c r="C1187" s="405" t="s">
        <v>42</v>
      </c>
      <c r="D1187" s="401" t="s">
        <v>2939</v>
      </c>
      <c r="E1187" s="120">
        <v>175</v>
      </c>
      <c r="F1187" s="133" t="s">
        <v>247</v>
      </c>
      <c r="G1187" s="404" t="s">
        <v>45</v>
      </c>
      <c r="H1187" s="411">
        <v>223.61</v>
      </c>
      <c r="I1187" s="89">
        <f t="shared" si="200"/>
        <v>-20.1249</v>
      </c>
      <c r="J1187" s="90">
        <f t="shared" si="196"/>
        <v>-4.5485899999999999</v>
      </c>
      <c r="K1187" s="90">
        <f t="shared" si="201"/>
        <v>198.93651000000003</v>
      </c>
      <c r="M1187" s="187">
        <v>26.64</v>
      </c>
      <c r="N1187" s="91">
        <f t="shared" si="202"/>
        <v>26.64</v>
      </c>
      <c r="O1187" s="411">
        <f t="shared" si="199"/>
        <v>172.29651000000001</v>
      </c>
      <c r="P1187" s="132" t="s">
        <v>52</v>
      </c>
      <c r="Q1187" s="232"/>
      <c r="R1187" s="411"/>
      <c r="T1187" s="134" t="s">
        <v>145</v>
      </c>
      <c r="U1187" s="266" t="s">
        <v>2940</v>
      </c>
    </row>
    <row r="1188" spans="1:23" ht="24" x14ac:dyDescent="0.25">
      <c r="A1188" s="405">
        <v>3000920</v>
      </c>
      <c r="B1188" s="406">
        <v>42430</v>
      </c>
      <c r="C1188" s="405" t="s">
        <v>237</v>
      </c>
      <c r="D1188" s="401" t="s">
        <v>2941</v>
      </c>
      <c r="E1188" s="120">
        <v>100</v>
      </c>
      <c r="F1188" s="133" t="s">
        <v>173</v>
      </c>
      <c r="G1188" s="404" t="s">
        <v>45</v>
      </c>
      <c r="H1188" s="411">
        <v>116.62</v>
      </c>
      <c r="I1188" s="89">
        <f t="shared" si="200"/>
        <v>-10.495800000000001</v>
      </c>
      <c r="J1188" s="90">
        <f t="shared" si="196"/>
        <v>-2.5157799999999999</v>
      </c>
      <c r="K1188" s="90">
        <f t="shared" si="201"/>
        <v>103.60842</v>
      </c>
      <c r="M1188" s="187">
        <v>19.22</v>
      </c>
      <c r="N1188" s="91">
        <f t="shared" si="202"/>
        <v>19.22</v>
      </c>
      <c r="O1188" s="411">
        <f t="shared" si="199"/>
        <v>84.388419999999996</v>
      </c>
      <c r="P1188" s="132" t="s">
        <v>52</v>
      </c>
      <c r="Q1188" s="232"/>
      <c r="R1188" s="411"/>
      <c r="T1188" s="134" t="s">
        <v>145</v>
      </c>
      <c r="U1188" s="266" t="s">
        <v>2942</v>
      </c>
    </row>
    <row r="1189" spans="1:23" ht="24" x14ac:dyDescent="0.25">
      <c r="A1189" s="405">
        <v>3000921</v>
      </c>
      <c r="B1189" s="406">
        <v>42430</v>
      </c>
      <c r="C1189" s="405" t="s">
        <v>237</v>
      </c>
      <c r="D1189" s="401" t="s">
        <v>2943</v>
      </c>
      <c r="E1189" s="120">
        <v>150</v>
      </c>
      <c r="F1189" s="133" t="s">
        <v>247</v>
      </c>
      <c r="G1189" s="404" t="s">
        <v>45</v>
      </c>
      <c r="H1189" s="411">
        <v>172.41</v>
      </c>
      <c r="I1189" s="89">
        <f t="shared" si="200"/>
        <v>-15.5169</v>
      </c>
      <c r="J1189" s="90">
        <f t="shared" si="196"/>
        <v>-3.5757899999999996</v>
      </c>
      <c r="K1189" s="90">
        <f t="shared" si="201"/>
        <v>153.31730999999999</v>
      </c>
      <c r="M1189" s="187">
        <v>40.76</v>
      </c>
      <c r="N1189" s="91">
        <f t="shared" si="202"/>
        <v>40.76</v>
      </c>
      <c r="O1189" s="411">
        <f t="shared" si="199"/>
        <v>112.55731</v>
      </c>
      <c r="P1189" s="132" t="s">
        <v>52</v>
      </c>
      <c r="Q1189" s="232"/>
      <c r="R1189" s="411"/>
      <c r="T1189" s="134" t="s">
        <v>145</v>
      </c>
      <c r="U1189" s="266" t="s">
        <v>2944</v>
      </c>
    </row>
    <row r="1190" spans="1:23" ht="24" x14ac:dyDescent="0.25">
      <c r="A1190" s="405">
        <v>3000922</v>
      </c>
      <c r="B1190" s="406">
        <v>42430</v>
      </c>
      <c r="C1190" s="405" t="s">
        <v>237</v>
      </c>
      <c r="D1190" s="401" t="s">
        <v>2945</v>
      </c>
      <c r="E1190" s="120">
        <v>200</v>
      </c>
      <c r="F1190" s="133" t="s">
        <v>2946</v>
      </c>
      <c r="G1190" s="404" t="s">
        <v>45</v>
      </c>
      <c r="H1190" s="411">
        <v>273.45999999999998</v>
      </c>
      <c r="I1190" s="89">
        <f t="shared" si="200"/>
        <v>-24.611399999999996</v>
      </c>
      <c r="J1190" s="90">
        <f t="shared" si="196"/>
        <v>-5.4957399999999996</v>
      </c>
      <c r="K1190" s="90">
        <f t="shared" si="201"/>
        <v>243.35285999999996</v>
      </c>
      <c r="L1190" s="158">
        <v>723</v>
      </c>
      <c r="M1190" s="187">
        <v>23.99</v>
      </c>
      <c r="N1190" s="91">
        <f t="shared" si="202"/>
        <v>168.59</v>
      </c>
      <c r="O1190" s="411">
        <f t="shared" si="199"/>
        <v>74.762859999999961</v>
      </c>
      <c r="P1190" s="132" t="s">
        <v>926</v>
      </c>
      <c r="Q1190" s="232"/>
      <c r="R1190" s="411"/>
      <c r="T1190" s="134" t="s">
        <v>145</v>
      </c>
      <c r="U1190" s="267" t="s">
        <v>2947</v>
      </c>
    </row>
    <row r="1191" spans="1:23" ht="24" x14ac:dyDescent="0.25">
      <c r="A1191" s="405">
        <v>3000923</v>
      </c>
      <c r="B1191" s="406">
        <v>42430</v>
      </c>
      <c r="C1191" s="405" t="s">
        <v>42</v>
      </c>
      <c r="D1191" s="401" t="s">
        <v>2948</v>
      </c>
      <c r="E1191" s="120">
        <v>200</v>
      </c>
      <c r="F1191" s="133" t="s">
        <v>2949</v>
      </c>
      <c r="G1191" s="404" t="s">
        <v>45</v>
      </c>
      <c r="H1191" s="411">
        <v>542.79999999999995</v>
      </c>
      <c r="I1191" s="89">
        <f t="shared" si="200"/>
        <v>-48.851999999999997</v>
      </c>
      <c r="J1191" s="90">
        <f t="shared" si="196"/>
        <v>-10.613199999999999</v>
      </c>
      <c r="K1191" s="90">
        <f t="shared" si="201"/>
        <v>483.33479999999997</v>
      </c>
      <c r="M1191" s="187">
        <v>59.37</v>
      </c>
      <c r="N1191" s="91">
        <f t="shared" si="202"/>
        <v>59.37</v>
      </c>
      <c r="O1191" s="411">
        <f t="shared" si="199"/>
        <v>423.96479999999997</v>
      </c>
      <c r="P1191" s="132" t="s">
        <v>52</v>
      </c>
      <c r="Q1191" s="232"/>
      <c r="R1191" s="411"/>
      <c r="T1191" s="134" t="s">
        <v>145</v>
      </c>
      <c r="U1191" s="266" t="s">
        <v>2950</v>
      </c>
    </row>
    <row r="1192" spans="1:23" ht="24" x14ac:dyDescent="0.25">
      <c r="A1192" s="405">
        <v>3000924</v>
      </c>
      <c r="B1192" s="406">
        <v>42430</v>
      </c>
      <c r="C1192" s="405" t="s">
        <v>42</v>
      </c>
      <c r="D1192" s="401" t="s">
        <v>2951</v>
      </c>
      <c r="E1192" s="120">
        <v>100</v>
      </c>
      <c r="F1192" s="133" t="s">
        <v>829</v>
      </c>
      <c r="G1192" s="404" t="s">
        <v>45</v>
      </c>
      <c r="H1192" s="411">
        <v>120</v>
      </c>
      <c r="I1192" s="89">
        <f t="shared" si="200"/>
        <v>-10.799999999999999</v>
      </c>
      <c r="J1192" s="90">
        <f t="shared" si="196"/>
        <v>-2.5799999999999996</v>
      </c>
      <c r="K1192" s="90">
        <f t="shared" si="201"/>
        <v>106.62</v>
      </c>
      <c r="M1192" s="187">
        <v>23.44</v>
      </c>
      <c r="N1192" s="91">
        <f t="shared" si="202"/>
        <v>23.44</v>
      </c>
      <c r="O1192" s="411">
        <f t="shared" si="199"/>
        <v>83.18</v>
      </c>
      <c r="P1192" s="132" t="s">
        <v>52</v>
      </c>
      <c r="Q1192" s="232"/>
      <c r="R1192" s="411"/>
      <c r="T1192" s="134" t="s">
        <v>145</v>
      </c>
      <c r="U1192" s="266" t="s">
        <v>2952</v>
      </c>
    </row>
    <row r="1193" spans="1:23" ht="24" x14ac:dyDescent="0.25">
      <c r="A1193" s="405">
        <v>3000925</v>
      </c>
      <c r="B1193" s="406">
        <v>42430</v>
      </c>
      <c r="C1193" s="405" t="s">
        <v>42</v>
      </c>
      <c r="D1193" s="401" t="s">
        <v>2953</v>
      </c>
      <c r="E1193" s="120">
        <v>250</v>
      </c>
      <c r="F1193" s="133" t="s">
        <v>2954</v>
      </c>
      <c r="G1193" s="404" t="s">
        <v>45</v>
      </c>
      <c r="H1193" s="411">
        <v>249.4</v>
      </c>
      <c r="I1193" s="89">
        <f t="shared" si="200"/>
        <v>-22.445999999999998</v>
      </c>
      <c r="J1193" s="90">
        <f t="shared" si="196"/>
        <v>-5.0385999999999997</v>
      </c>
      <c r="K1193" s="90">
        <f t="shared" si="201"/>
        <v>221.91540000000001</v>
      </c>
      <c r="M1193" s="187">
        <v>54.14</v>
      </c>
      <c r="N1193" s="91">
        <f t="shared" si="202"/>
        <v>54.14</v>
      </c>
      <c r="O1193" s="411">
        <f t="shared" si="199"/>
        <v>167.77539999999999</v>
      </c>
      <c r="P1193" s="132" t="s">
        <v>52</v>
      </c>
      <c r="Q1193" s="232"/>
      <c r="R1193" s="411"/>
      <c r="T1193" s="134" t="s">
        <v>145</v>
      </c>
      <c r="U1193" s="266" t="s">
        <v>2955</v>
      </c>
      <c r="W1193" s="153" t="s">
        <v>2956</v>
      </c>
    </row>
    <row r="1194" spans="1:23" ht="24" x14ac:dyDescent="0.25">
      <c r="A1194" s="405">
        <v>3000926</v>
      </c>
      <c r="B1194" s="406">
        <v>42430</v>
      </c>
      <c r="C1194" s="405" t="s">
        <v>42</v>
      </c>
      <c r="D1194" s="401" t="s">
        <v>2957</v>
      </c>
      <c r="E1194" s="120">
        <v>50</v>
      </c>
      <c r="F1194" s="133" t="s">
        <v>2958</v>
      </c>
      <c r="G1194" s="404" t="s">
        <v>45</v>
      </c>
      <c r="H1194" s="411">
        <v>175.75</v>
      </c>
      <c r="I1194" s="89">
        <f t="shared" si="200"/>
        <v>-15.817499999999999</v>
      </c>
      <c r="J1194" s="90">
        <f t="shared" si="196"/>
        <v>-3.6392499999999997</v>
      </c>
      <c r="K1194" s="90">
        <f t="shared" si="201"/>
        <v>156.29325</v>
      </c>
      <c r="M1194" s="187">
        <v>32.29</v>
      </c>
      <c r="N1194" s="91">
        <f t="shared" si="202"/>
        <v>32.29</v>
      </c>
      <c r="O1194" s="411">
        <f t="shared" si="199"/>
        <v>124.00325000000001</v>
      </c>
      <c r="P1194" s="132" t="s">
        <v>52</v>
      </c>
      <c r="Q1194" s="232"/>
      <c r="R1194" s="411"/>
      <c r="T1194" s="134" t="s">
        <v>145</v>
      </c>
      <c r="U1194" s="266" t="s">
        <v>2959</v>
      </c>
      <c r="W1194" s="153" t="s">
        <v>2960</v>
      </c>
    </row>
    <row r="1195" spans="1:23" ht="24" x14ac:dyDescent="0.25">
      <c r="A1195" s="405">
        <v>3000927</v>
      </c>
      <c r="B1195" s="406">
        <v>42430</v>
      </c>
      <c r="C1195" s="405" t="s">
        <v>63</v>
      </c>
      <c r="D1195" s="401" t="s">
        <v>2961</v>
      </c>
      <c r="E1195" s="120">
        <v>200</v>
      </c>
      <c r="F1195" s="133" t="s">
        <v>2962</v>
      </c>
      <c r="G1195" s="404" t="s">
        <v>45</v>
      </c>
      <c r="H1195" s="411">
        <v>390</v>
      </c>
      <c r="I1195" s="89">
        <v>0</v>
      </c>
      <c r="J1195" s="90">
        <f t="shared" si="196"/>
        <v>-7.71</v>
      </c>
      <c r="K1195" s="90">
        <f t="shared" si="201"/>
        <v>382.29</v>
      </c>
      <c r="L1195" s="158">
        <v>1141</v>
      </c>
      <c r="M1195" s="187">
        <v>39.01</v>
      </c>
      <c r="N1195" s="91">
        <f t="shared" si="202"/>
        <v>267.21000000000004</v>
      </c>
      <c r="O1195" s="411">
        <f t="shared" si="199"/>
        <v>115.07999999999998</v>
      </c>
      <c r="P1195" s="132" t="s">
        <v>926</v>
      </c>
      <c r="Q1195" s="232"/>
      <c r="R1195" s="411"/>
      <c r="T1195" s="134" t="s">
        <v>145</v>
      </c>
      <c r="U1195" s="267" t="s">
        <v>2963</v>
      </c>
      <c r="W1195" s="153" t="s">
        <v>2964</v>
      </c>
    </row>
    <row r="1196" spans="1:23" x14ac:dyDescent="0.25">
      <c r="A1196" s="405">
        <v>3000928</v>
      </c>
      <c r="B1196" s="406">
        <v>42430</v>
      </c>
      <c r="C1196" s="405" t="s">
        <v>42</v>
      </c>
      <c r="D1196" s="401" t="s">
        <v>2965</v>
      </c>
      <c r="E1196" s="120">
        <v>150</v>
      </c>
      <c r="F1196" s="133" t="s">
        <v>2966</v>
      </c>
      <c r="G1196" s="404" t="s">
        <v>45</v>
      </c>
      <c r="H1196" s="411">
        <v>1329.52</v>
      </c>
      <c r="I1196" s="89">
        <f t="shared" si="200"/>
        <v>-119.65679999999999</v>
      </c>
      <c r="J1196" s="90">
        <f t="shared" si="196"/>
        <v>-25.560880000000001</v>
      </c>
      <c r="K1196" s="90">
        <f t="shared" si="201"/>
        <v>1184.30232</v>
      </c>
      <c r="L1196" s="131">
        <v>4250</v>
      </c>
      <c r="M1196" s="187">
        <v>156.97</v>
      </c>
      <c r="N1196" s="91">
        <f t="shared" si="202"/>
        <v>794.47</v>
      </c>
      <c r="O1196" s="411">
        <f t="shared" si="199"/>
        <v>389.83231999999998</v>
      </c>
      <c r="P1196" s="132" t="s">
        <v>52</v>
      </c>
      <c r="Q1196" s="232"/>
      <c r="R1196" s="411"/>
      <c r="T1196" s="134" t="s">
        <v>97</v>
      </c>
      <c r="U1196" s="266" t="s">
        <v>2967</v>
      </c>
      <c r="V1196" s="133" t="s">
        <v>2968</v>
      </c>
      <c r="W1196" s="153" t="s">
        <v>2969</v>
      </c>
    </row>
    <row r="1197" spans="1:23" ht="24" x14ac:dyDescent="0.25">
      <c r="A1197" s="405">
        <v>3000929</v>
      </c>
      <c r="B1197" s="406">
        <v>42430</v>
      </c>
      <c r="C1197" s="405" t="s">
        <v>42</v>
      </c>
      <c r="D1197" s="401" t="s">
        <v>2970</v>
      </c>
      <c r="E1197" s="120">
        <v>50</v>
      </c>
      <c r="F1197" s="133" t="s">
        <v>2180</v>
      </c>
      <c r="G1197" s="404" t="s">
        <v>45</v>
      </c>
      <c r="H1197" s="411">
        <v>102.41</v>
      </c>
      <c r="I1197" s="89">
        <f t="shared" si="200"/>
        <v>-9.216899999999999</v>
      </c>
      <c r="J1197" s="90">
        <f t="shared" si="196"/>
        <v>-2.24579</v>
      </c>
      <c r="K1197" s="90">
        <f t="shared" si="201"/>
        <v>90.947310000000002</v>
      </c>
      <c r="M1197" s="187">
        <v>16.53</v>
      </c>
      <c r="N1197" s="91">
        <f t="shared" si="202"/>
        <v>16.53</v>
      </c>
      <c r="O1197" s="411">
        <f t="shared" si="199"/>
        <v>74.417310000000001</v>
      </c>
      <c r="P1197" s="132" t="s">
        <v>52</v>
      </c>
      <c r="Q1197" s="232"/>
      <c r="R1197" s="411"/>
      <c r="T1197" s="134" t="s">
        <v>145</v>
      </c>
      <c r="U1197" s="267" t="s">
        <v>2971</v>
      </c>
      <c r="W1197" s="153" t="s">
        <v>2972</v>
      </c>
    </row>
    <row r="1198" spans="1:23" ht="24" x14ac:dyDescent="0.25">
      <c r="A1198" s="405">
        <v>3000930</v>
      </c>
      <c r="B1198" s="406">
        <v>42430</v>
      </c>
      <c r="C1198" s="405" t="s">
        <v>42</v>
      </c>
      <c r="D1198" s="401" t="s">
        <v>2973</v>
      </c>
      <c r="E1198" s="120">
        <v>100</v>
      </c>
      <c r="F1198" s="133" t="s">
        <v>217</v>
      </c>
      <c r="G1198" s="404" t="s">
        <v>45</v>
      </c>
      <c r="H1198" s="411">
        <v>235</v>
      </c>
      <c r="I1198" s="89">
        <f t="shared" si="200"/>
        <v>-21.15</v>
      </c>
      <c r="J1198" s="90">
        <f t="shared" si="196"/>
        <v>-4.7649999999999997</v>
      </c>
      <c r="K1198" s="90">
        <f t="shared" si="201"/>
        <v>209.08500000000001</v>
      </c>
      <c r="M1198" s="187">
        <v>41.57</v>
      </c>
      <c r="N1198" s="91">
        <f t="shared" si="202"/>
        <v>41.57</v>
      </c>
      <c r="O1198" s="411">
        <f t="shared" si="199"/>
        <v>167.51500000000001</v>
      </c>
      <c r="P1198" s="132" t="s">
        <v>52</v>
      </c>
      <c r="Q1198" s="232"/>
      <c r="R1198" s="411"/>
      <c r="T1198" s="134" t="s">
        <v>145</v>
      </c>
      <c r="U1198" s="266" t="s">
        <v>2974</v>
      </c>
    </row>
    <row r="1199" spans="1:23" x14ac:dyDescent="0.25">
      <c r="A1199" s="405">
        <v>3000931</v>
      </c>
      <c r="B1199" s="406">
        <v>42430</v>
      </c>
      <c r="C1199" s="405" t="s">
        <v>63</v>
      </c>
      <c r="D1199" s="401" t="s">
        <v>2975</v>
      </c>
      <c r="E1199" s="120">
        <v>200</v>
      </c>
      <c r="F1199" s="133" t="s">
        <v>1422</v>
      </c>
      <c r="G1199" s="404" t="s">
        <v>45</v>
      </c>
      <c r="H1199" s="411">
        <v>780</v>
      </c>
      <c r="I1199" s="89">
        <v>0</v>
      </c>
      <c r="J1199" s="90">
        <f t="shared" si="196"/>
        <v>-15.120000000000001</v>
      </c>
      <c r="K1199" s="90">
        <f t="shared" si="201"/>
        <v>764.88</v>
      </c>
      <c r="L1199" s="158">
        <v>2620</v>
      </c>
      <c r="M1199" s="158">
        <v>105</v>
      </c>
      <c r="N1199" s="91">
        <f t="shared" si="202"/>
        <v>629</v>
      </c>
      <c r="O1199" s="411">
        <f t="shared" si="199"/>
        <v>135.88</v>
      </c>
      <c r="P1199" s="132" t="s">
        <v>183</v>
      </c>
      <c r="Q1199" s="232"/>
      <c r="R1199" s="411"/>
      <c r="T1199" s="134" t="s">
        <v>760</v>
      </c>
      <c r="U1199" s="266" t="s">
        <v>2976</v>
      </c>
      <c r="W1199" s="153" t="s">
        <v>2977</v>
      </c>
    </row>
    <row r="1200" spans="1:23" x14ac:dyDescent="0.25">
      <c r="A1200" s="419">
        <v>3000932</v>
      </c>
      <c r="B1200" s="421">
        <v>42430</v>
      </c>
      <c r="C1200" s="419" t="s">
        <v>141</v>
      </c>
      <c r="D1200" s="417" t="s">
        <v>2978</v>
      </c>
      <c r="E1200" s="120">
        <v>540</v>
      </c>
      <c r="F1200" s="133" t="s">
        <v>2979</v>
      </c>
      <c r="G1200" s="434" t="s">
        <v>45</v>
      </c>
      <c r="H1200" s="427">
        <v>2925</v>
      </c>
      <c r="I1200" s="89">
        <v>0</v>
      </c>
      <c r="J1200" s="90">
        <f t="shared" si="196"/>
        <v>-55.874999999999993</v>
      </c>
      <c r="K1200" s="90">
        <f t="shared" si="201"/>
        <v>2869.125</v>
      </c>
      <c r="L1200" s="187">
        <v>1540</v>
      </c>
      <c r="N1200" s="91">
        <f t="shared" si="202"/>
        <v>831.6</v>
      </c>
      <c r="O1200" s="411">
        <f t="shared" si="199"/>
        <v>2037.5250000000001</v>
      </c>
      <c r="P1200" s="132" t="s">
        <v>638</v>
      </c>
      <c r="Q1200" s="232"/>
      <c r="R1200" s="411"/>
      <c r="T1200" s="470" t="s">
        <v>717</v>
      </c>
      <c r="U1200" s="481" t="s">
        <v>2980</v>
      </c>
    </row>
    <row r="1201" spans="1:22" x14ac:dyDescent="0.25">
      <c r="A1201" s="432"/>
      <c r="B1201" s="433"/>
      <c r="C1201" s="432"/>
      <c r="D1201" s="454"/>
      <c r="E1201" s="120">
        <v>300</v>
      </c>
      <c r="F1201" s="133" t="s">
        <v>2981</v>
      </c>
      <c r="G1201" s="435"/>
      <c r="H1201" s="438"/>
      <c r="I1201" s="89">
        <f t="shared" si="200"/>
        <v>0</v>
      </c>
      <c r="J1201" s="90">
        <f t="shared" si="196"/>
        <v>-0.3</v>
      </c>
      <c r="K1201" s="90">
        <f t="shared" si="201"/>
        <v>-0.3</v>
      </c>
      <c r="L1201" s="187">
        <v>1200</v>
      </c>
      <c r="N1201" s="91">
        <f t="shared" si="202"/>
        <v>360</v>
      </c>
      <c r="O1201" s="411">
        <f t="shared" si="199"/>
        <v>-360.3</v>
      </c>
      <c r="P1201" s="132" t="s">
        <v>638</v>
      </c>
      <c r="Q1201" s="232"/>
      <c r="R1201" s="411"/>
      <c r="T1201" s="471"/>
      <c r="U1201" s="482"/>
    </row>
    <row r="1202" spans="1:22" x14ac:dyDescent="0.25">
      <c r="A1202" s="432"/>
      <c r="B1202" s="433"/>
      <c r="C1202" s="432"/>
      <c r="D1202" s="454"/>
      <c r="E1202" s="120">
        <v>250</v>
      </c>
      <c r="F1202" s="133" t="s">
        <v>2982</v>
      </c>
      <c r="G1202" s="435"/>
      <c r="H1202" s="438"/>
      <c r="I1202" s="89">
        <f t="shared" si="200"/>
        <v>0</v>
      </c>
      <c r="J1202" s="90">
        <f t="shared" si="196"/>
        <v>-0.3</v>
      </c>
      <c r="K1202" s="90">
        <f t="shared" si="201"/>
        <v>-0.3</v>
      </c>
      <c r="L1202" s="187">
        <v>3711</v>
      </c>
      <c r="N1202" s="91">
        <f t="shared" si="202"/>
        <v>927.75</v>
      </c>
      <c r="O1202" s="411">
        <f t="shared" si="199"/>
        <v>-928.05</v>
      </c>
      <c r="P1202" s="132" t="s">
        <v>638</v>
      </c>
      <c r="Q1202" s="232"/>
      <c r="R1202" s="411"/>
      <c r="T1202" s="471"/>
      <c r="U1202" s="482"/>
    </row>
    <row r="1203" spans="1:22" x14ac:dyDescent="0.25">
      <c r="A1203" s="432"/>
      <c r="B1203" s="433"/>
      <c r="C1203" s="432"/>
      <c r="D1203" s="454"/>
      <c r="E1203" s="120">
        <v>75</v>
      </c>
      <c r="F1203" s="133" t="s">
        <v>2983</v>
      </c>
      <c r="G1203" s="435"/>
      <c r="H1203" s="438"/>
      <c r="I1203" s="89">
        <f t="shared" si="200"/>
        <v>0</v>
      </c>
      <c r="J1203" s="90">
        <f t="shared" si="196"/>
        <v>-0.3</v>
      </c>
      <c r="K1203" s="90">
        <f t="shared" si="201"/>
        <v>-0.3</v>
      </c>
      <c r="L1203" s="187">
        <v>811.39</v>
      </c>
      <c r="N1203" s="91">
        <f t="shared" si="202"/>
        <v>60.854249999999993</v>
      </c>
      <c r="O1203" s="411">
        <f t="shared" si="199"/>
        <v>-61.15424999999999</v>
      </c>
      <c r="P1203" s="132" t="s">
        <v>638</v>
      </c>
      <c r="Q1203" s="232"/>
      <c r="R1203" s="411"/>
      <c r="T1203" s="471"/>
      <c r="U1203" s="482"/>
    </row>
    <row r="1204" spans="1:22" x14ac:dyDescent="0.25">
      <c r="A1204" s="420"/>
      <c r="B1204" s="422"/>
      <c r="C1204" s="420"/>
      <c r="D1204" s="418"/>
      <c r="E1204" s="120">
        <v>150</v>
      </c>
      <c r="F1204" s="133" t="s">
        <v>2984</v>
      </c>
      <c r="G1204" s="436"/>
      <c r="H1204" s="428"/>
      <c r="I1204" s="89">
        <f t="shared" si="200"/>
        <v>0</v>
      </c>
      <c r="J1204" s="90">
        <f t="shared" si="196"/>
        <v>-0.3</v>
      </c>
      <c r="K1204" s="90">
        <f t="shared" si="201"/>
        <v>-0.3</v>
      </c>
      <c r="L1204" s="187">
        <v>408.86</v>
      </c>
      <c r="N1204" s="91">
        <f t="shared" si="202"/>
        <v>61.329000000000001</v>
      </c>
      <c r="O1204" s="411">
        <f t="shared" si="199"/>
        <v>-61.628999999999998</v>
      </c>
      <c r="P1204" s="132" t="s">
        <v>638</v>
      </c>
      <c r="Q1204" s="232"/>
      <c r="R1204" s="411"/>
      <c r="T1204" s="472"/>
      <c r="U1204" s="483"/>
    </row>
    <row r="1205" spans="1:22" ht="24" x14ac:dyDescent="0.25">
      <c r="A1205" s="405">
        <v>3000933</v>
      </c>
      <c r="B1205" s="406">
        <v>42430</v>
      </c>
      <c r="C1205" s="405" t="s">
        <v>327</v>
      </c>
      <c r="D1205" s="401" t="s">
        <v>2985</v>
      </c>
      <c r="E1205" s="120">
        <v>260</v>
      </c>
      <c r="F1205" s="133" t="s">
        <v>178</v>
      </c>
      <c r="G1205" s="404" t="s">
        <v>45</v>
      </c>
      <c r="H1205" s="411">
        <v>722</v>
      </c>
      <c r="I1205" s="89">
        <v>0</v>
      </c>
      <c r="J1205" s="90">
        <f t="shared" si="196"/>
        <v>-14.018000000000001</v>
      </c>
      <c r="K1205" s="90">
        <f t="shared" si="201"/>
        <v>707.98199999999997</v>
      </c>
      <c r="L1205" s="158">
        <v>1410</v>
      </c>
      <c r="M1205" s="158">
        <v>115</v>
      </c>
      <c r="N1205" s="91">
        <f t="shared" si="202"/>
        <v>481.6</v>
      </c>
      <c r="O1205" s="411">
        <f t="shared" si="199"/>
        <v>226.38199999999995</v>
      </c>
      <c r="P1205" s="132" t="s">
        <v>183</v>
      </c>
      <c r="Q1205" s="232"/>
      <c r="R1205" s="411"/>
      <c r="T1205" s="134" t="s">
        <v>145</v>
      </c>
      <c r="U1205" s="266" t="s">
        <v>2986</v>
      </c>
    </row>
    <row r="1206" spans="1:22" ht="24" x14ac:dyDescent="0.25">
      <c r="A1206" s="405">
        <v>3000934</v>
      </c>
      <c r="B1206" s="406">
        <v>42430</v>
      </c>
      <c r="C1206" s="405" t="s">
        <v>42</v>
      </c>
      <c r="D1206" s="401" t="s">
        <v>2987</v>
      </c>
      <c r="E1206" s="120">
        <v>400</v>
      </c>
      <c r="F1206" s="133" t="s">
        <v>2988</v>
      </c>
      <c r="G1206" s="404" t="s">
        <v>45</v>
      </c>
      <c r="H1206" s="411">
        <v>680.8</v>
      </c>
      <c r="I1206" s="89">
        <f t="shared" si="200"/>
        <v>-61.271999999999991</v>
      </c>
      <c r="J1206" s="90">
        <f t="shared" si="196"/>
        <v>-13.235199999999999</v>
      </c>
      <c r="K1206" s="90">
        <f t="shared" si="201"/>
        <v>606.29280000000006</v>
      </c>
      <c r="M1206" s="187">
        <v>70.87</v>
      </c>
      <c r="N1206" s="91">
        <f t="shared" si="202"/>
        <v>70.87</v>
      </c>
      <c r="O1206" s="411">
        <f t="shared" si="199"/>
        <v>535.42280000000005</v>
      </c>
      <c r="P1206" s="132" t="s">
        <v>52</v>
      </c>
      <c r="Q1206" s="232"/>
      <c r="R1206" s="411"/>
      <c r="T1206" s="134" t="s">
        <v>145</v>
      </c>
      <c r="U1206" s="267" t="s">
        <v>2989</v>
      </c>
      <c r="V1206" s="133" t="s">
        <v>2968</v>
      </c>
    </row>
    <row r="1207" spans="1:22" ht="24" x14ac:dyDescent="0.25">
      <c r="A1207" s="405">
        <v>3000935</v>
      </c>
      <c r="B1207" s="406">
        <v>42430</v>
      </c>
      <c r="C1207" s="405" t="s">
        <v>42</v>
      </c>
      <c r="D1207" s="401" t="s">
        <v>2990</v>
      </c>
      <c r="E1207" s="120">
        <v>100</v>
      </c>
      <c r="F1207" s="133" t="s">
        <v>247</v>
      </c>
      <c r="G1207" s="404" t="s">
        <v>45</v>
      </c>
      <c r="H1207" s="411">
        <v>136.72</v>
      </c>
      <c r="I1207" s="89">
        <f t="shared" si="200"/>
        <v>-12.3048</v>
      </c>
      <c r="J1207" s="90">
        <f t="shared" si="196"/>
        <v>-2.8976799999999998</v>
      </c>
      <c r="K1207" s="90">
        <f t="shared" si="201"/>
        <v>121.51752</v>
      </c>
      <c r="M1207" s="187">
        <v>39.29</v>
      </c>
      <c r="N1207" s="91">
        <f t="shared" si="202"/>
        <v>39.29</v>
      </c>
      <c r="O1207" s="411">
        <f t="shared" si="199"/>
        <v>82.227519999999998</v>
      </c>
      <c r="P1207" s="132" t="s">
        <v>52</v>
      </c>
      <c r="Q1207" s="232"/>
      <c r="R1207" s="411">
        <v>8.94</v>
      </c>
      <c r="T1207" s="134" t="s">
        <v>145</v>
      </c>
      <c r="U1207" s="266" t="s">
        <v>2991</v>
      </c>
    </row>
    <row r="1208" spans="1:22" ht="24" x14ac:dyDescent="0.25">
      <c r="A1208" s="405">
        <v>3000936</v>
      </c>
      <c r="B1208" s="406">
        <v>42430</v>
      </c>
      <c r="C1208" s="405" t="s">
        <v>42</v>
      </c>
      <c r="D1208" s="401" t="s">
        <v>2992</v>
      </c>
      <c r="E1208" s="120">
        <v>175</v>
      </c>
      <c r="F1208" s="133" t="s">
        <v>165</v>
      </c>
      <c r="G1208" s="404" t="s">
        <v>45</v>
      </c>
      <c r="H1208" s="411">
        <v>184.86</v>
      </c>
      <c r="I1208" s="89">
        <f t="shared" si="200"/>
        <v>-16.6374</v>
      </c>
      <c r="J1208" s="90">
        <f t="shared" si="196"/>
        <v>-3.8123399999999998</v>
      </c>
      <c r="K1208" s="90">
        <f t="shared" si="201"/>
        <v>164.41025999999999</v>
      </c>
      <c r="M1208" s="187">
        <v>55.61</v>
      </c>
      <c r="N1208" s="91">
        <f t="shared" si="202"/>
        <v>55.61</v>
      </c>
      <c r="O1208" s="411">
        <f t="shared" si="199"/>
        <v>108.80025999999999</v>
      </c>
      <c r="P1208" s="132" t="s">
        <v>52</v>
      </c>
      <c r="Q1208" s="232"/>
      <c r="R1208" s="411"/>
      <c r="T1208" s="134" t="s">
        <v>145</v>
      </c>
      <c r="U1208" s="266" t="s">
        <v>2993</v>
      </c>
    </row>
    <row r="1209" spans="1:22" ht="24" x14ac:dyDescent="0.25">
      <c r="A1209" s="405">
        <v>3000937</v>
      </c>
      <c r="B1209" s="406">
        <v>42430</v>
      </c>
      <c r="C1209" s="405" t="s">
        <v>42</v>
      </c>
      <c r="D1209" s="401" t="s">
        <v>2994</v>
      </c>
      <c r="E1209" s="120">
        <v>50</v>
      </c>
      <c r="F1209" s="133" t="s">
        <v>2958</v>
      </c>
      <c r="G1209" s="189" t="s">
        <v>45</v>
      </c>
      <c r="H1209" s="411">
        <v>175.75</v>
      </c>
      <c r="I1209" s="89">
        <f t="shared" si="200"/>
        <v>-15.817499999999999</v>
      </c>
      <c r="J1209" s="90">
        <f t="shared" ref="J1209:J1272" si="203">-((H1209*0.019)+0.3)</f>
        <v>-3.6392499999999997</v>
      </c>
      <c r="K1209" s="90">
        <f t="shared" si="201"/>
        <v>156.29325</v>
      </c>
      <c r="M1209" s="187">
        <v>34.619999999999997</v>
      </c>
      <c r="N1209" s="91">
        <f t="shared" si="202"/>
        <v>34.619999999999997</v>
      </c>
      <c r="O1209" s="411">
        <f t="shared" si="199"/>
        <v>121.67325</v>
      </c>
      <c r="P1209" s="196" t="s">
        <v>52</v>
      </c>
      <c r="Q1209" s="232"/>
      <c r="R1209" s="411"/>
      <c r="T1209" s="134" t="s">
        <v>145</v>
      </c>
      <c r="U1209" s="267" t="s">
        <v>2995</v>
      </c>
    </row>
    <row r="1210" spans="1:22" ht="24" x14ac:dyDescent="0.25">
      <c r="A1210" s="405">
        <v>3000938</v>
      </c>
      <c r="B1210" s="406">
        <v>42430</v>
      </c>
      <c r="C1210" s="405" t="s">
        <v>42</v>
      </c>
      <c r="D1210" s="401" t="s">
        <v>2996</v>
      </c>
      <c r="E1210" s="120">
        <v>125</v>
      </c>
      <c r="F1210" s="133" t="s">
        <v>70</v>
      </c>
      <c r="G1210" s="404" t="s">
        <v>45</v>
      </c>
      <c r="H1210" s="411">
        <v>331.74</v>
      </c>
      <c r="I1210" s="89">
        <f t="shared" si="200"/>
        <v>-29.8566</v>
      </c>
      <c r="J1210" s="90">
        <f t="shared" si="203"/>
        <v>-6.6030600000000002</v>
      </c>
      <c r="K1210" s="90">
        <f t="shared" si="201"/>
        <v>295.28033999999997</v>
      </c>
      <c r="M1210" s="187">
        <v>66.05</v>
      </c>
      <c r="N1210" s="91">
        <f t="shared" si="202"/>
        <v>66.05</v>
      </c>
      <c r="O1210" s="411">
        <f t="shared" si="199"/>
        <v>229.23033999999996</v>
      </c>
      <c r="P1210" s="132" t="s">
        <v>52</v>
      </c>
      <c r="Q1210" s="232"/>
      <c r="R1210" s="411"/>
      <c r="T1210" s="134" t="s">
        <v>145</v>
      </c>
      <c r="U1210" s="266" t="s">
        <v>2997</v>
      </c>
    </row>
    <row r="1211" spans="1:22" ht="24" x14ac:dyDescent="0.25">
      <c r="A1211" s="405">
        <v>3000939</v>
      </c>
      <c r="B1211" s="406">
        <v>42430</v>
      </c>
      <c r="C1211" s="405" t="s">
        <v>42</v>
      </c>
      <c r="D1211" s="401" t="s">
        <v>2998</v>
      </c>
      <c r="E1211" s="120">
        <v>100</v>
      </c>
      <c r="F1211" s="133" t="s">
        <v>2999</v>
      </c>
      <c r="G1211" s="404" t="s">
        <v>45</v>
      </c>
      <c r="H1211" s="411">
        <v>155.15</v>
      </c>
      <c r="I1211" s="89">
        <f t="shared" si="200"/>
        <v>-13.9635</v>
      </c>
      <c r="J1211" s="90">
        <f t="shared" si="203"/>
        <v>-3.2478499999999997</v>
      </c>
      <c r="K1211" s="90">
        <f t="shared" si="201"/>
        <v>137.93865</v>
      </c>
      <c r="L1211" s="158">
        <v>959</v>
      </c>
      <c r="M1211" s="187">
        <v>29.86</v>
      </c>
      <c r="N1211" s="91">
        <f t="shared" si="202"/>
        <v>125.76</v>
      </c>
      <c r="O1211" s="411">
        <f t="shared" si="199"/>
        <v>12.17864999999999</v>
      </c>
      <c r="P1211" s="132" t="s">
        <v>926</v>
      </c>
      <c r="Q1211" s="232"/>
      <c r="R1211" s="411"/>
      <c r="T1211" s="134" t="s">
        <v>145</v>
      </c>
      <c r="U1211" s="267" t="s">
        <v>3000</v>
      </c>
    </row>
    <row r="1212" spans="1:22" x14ac:dyDescent="0.25">
      <c r="A1212" s="405">
        <v>3000940</v>
      </c>
      <c r="B1212" s="406">
        <v>42430</v>
      </c>
      <c r="C1212" s="405" t="s">
        <v>42</v>
      </c>
      <c r="D1212" s="401" t="s">
        <v>3001</v>
      </c>
      <c r="E1212" s="120">
        <v>300</v>
      </c>
      <c r="F1212" s="133" t="s">
        <v>70</v>
      </c>
      <c r="G1212" s="404" t="s">
        <v>45</v>
      </c>
      <c r="H1212" s="411">
        <v>832.01</v>
      </c>
      <c r="I1212" s="89">
        <f t="shared" si="200"/>
        <v>-74.880899999999997</v>
      </c>
      <c r="J1212" s="90">
        <f t="shared" si="203"/>
        <v>-16.10819</v>
      </c>
      <c r="K1212" s="90">
        <f t="shared" si="201"/>
        <v>741.02090999999996</v>
      </c>
      <c r="L1212" s="131">
        <v>1540</v>
      </c>
      <c r="M1212" s="131">
        <v>148.57</v>
      </c>
      <c r="N1212" s="91">
        <f t="shared" si="202"/>
        <v>610.56999999999994</v>
      </c>
      <c r="O1212" s="411">
        <f t="shared" si="199"/>
        <v>130.45091000000002</v>
      </c>
      <c r="P1212" s="132" t="s">
        <v>52</v>
      </c>
      <c r="Q1212" s="232"/>
      <c r="R1212" s="411"/>
      <c r="T1212" s="134" t="s">
        <v>1743</v>
      </c>
      <c r="U1212" s="267" t="s">
        <v>3002</v>
      </c>
      <c r="V1212" s="133" t="s">
        <v>2968</v>
      </c>
    </row>
    <row r="1213" spans="1:22" ht="24" x14ac:dyDescent="0.25">
      <c r="A1213" s="188">
        <v>3000941</v>
      </c>
      <c r="B1213" s="406">
        <v>42430</v>
      </c>
      <c r="C1213" s="405" t="s">
        <v>237</v>
      </c>
      <c r="D1213" s="401" t="s">
        <v>3003</v>
      </c>
      <c r="E1213" s="120">
        <v>500</v>
      </c>
      <c r="F1213" s="133" t="s">
        <v>3004</v>
      </c>
      <c r="G1213" s="404" t="s">
        <v>45</v>
      </c>
      <c r="H1213" s="411">
        <v>510.02</v>
      </c>
      <c r="I1213" s="89">
        <f t="shared" si="200"/>
        <v>-45.901799999999994</v>
      </c>
      <c r="J1213" s="90">
        <f t="shared" si="203"/>
        <v>-9.99038</v>
      </c>
      <c r="K1213" s="90">
        <f t="shared" si="201"/>
        <v>454.12781999999999</v>
      </c>
      <c r="L1213" s="131">
        <v>445</v>
      </c>
      <c r="M1213" s="187">
        <v>41.87</v>
      </c>
      <c r="N1213" s="91">
        <f t="shared" si="202"/>
        <v>264.37</v>
      </c>
      <c r="O1213" s="411">
        <f t="shared" si="199"/>
        <v>189.75781999999998</v>
      </c>
      <c r="P1213" s="132" t="s">
        <v>52</v>
      </c>
      <c r="Q1213" s="232"/>
      <c r="R1213" s="411"/>
      <c r="T1213" s="134" t="s">
        <v>145</v>
      </c>
      <c r="U1213" s="266" t="s">
        <v>3005</v>
      </c>
    </row>
    <row r="1214" spans="1:22" ht="24" x14ac:dyDescent="0.25">
      <c r="A1214" s="405">
        <v>3000942</v>
      </c>
      <c r="B1214" s="406">
        <v>42430</v>
      </c>
      <c r="C1214" s="405" t="s">
        <v>237</v>
      </c>
      <c r="D1214" s="401" t="s">
        <v>3006</v>
      </c>
      <c r="E1214" s="120">
        <v>75</v>
      </c>
      <c r="F1214" s="133" t="s">
        <v>341</v>
      </c>
      <c r="G1214" s="404" t="s">
        <v>45</v>
      </c>
      <c r="H1214" s="411">
        <v>143.69999999999999</v>
      </c>
      <c r="I1214" s="89">
        <f t="shared" si="200"/>
        <v>-12.932999999999998</v>
      </c>
      <c r="J1214" s="90">
        <f t="shared" si="203"/>
        <v>-3.0302999999999995</v>
      </c>
      <c r="K1214" s="90">
        <f t="shared" si="201"/>
        <v>127.7367</v>
      </c>
      <c r="M1214" s="187">
        <v>34.29</v>
      </c>
      <c r="N1214" s="91">
        <f t="shared" si="202"/>
        <v>34.29</v>
      </c>
      <c r="O1214" s="411">
        <f t="shared" si="199"/>
        <v>93.446699999999993</v>
      </c>
      <c r="P1214" s="132" t="s">
        <v>52</v>
      </c>
      <c r="Q1214" s="232"/>
      <c r="R1214" s="411"/>
      <c r="T1214" s="134" t="s">
        <v>145</v>
      </c>
      <c r="U1214" s="266" t="s">
        <v>3007</v>
      </c>
    </row>
    <row r="1215" spans="1:22" x14ac:dyDescent="0.25">
      <c r="A1215" s="405">
        <v>3000943</v>
      </c>
      <c r="B1215" s="406">
        <v>42430</v>
      </c>
      <c r="C1215" s="405" t="s">
        <v>237</v>
      </c>
      <c r="D1215" s="401" t="s">
        <v>3008</v>
      </c>
      <c r="E1215" s="120">
        <v>250</v>
      </c>
      <c r="F1215" s="133" t="s">
        <v>51</v>
      </c>
      <c r="G1215" s="404" t="s">
        <v>45</v>
      </c>
      <c r="H1215" s="411">
        <v>501.18</v>
      </c>
      <c r="I1215" s="89">
        <f t="shared" si="200"/>
        <v>-45.106200000000001</v>
      </c>
      <c r="J1215" s="90">
        <f t="shared" si="203"/>
        <v>-9.822420000000001</v>
      </c>
      <c r="K1215" s="90">
        <f t="shared" si="201"/>
        <v>446.25137999999998</v>
      </c>
      <c r="M1215" s="187">
        <v>164.92</v>
      </c>
      <c r="N1215" s="91">
        <f t="shared" si="202"/>
        <v>164.92</v>
      </c>
      <c r="O1215" s="411">
        <f t="shared" si="199"/>
        <v>281.33137999999997</v>
      </c>
      <c r="P1215" s="132" t="s">
        <v>52</v>
      </c>
      <c r="Q1215" s="232"/>
      <c r="R1215" s="411"/>
      <c r="T1215" s="134" t="s">
        <v>1987</v>
      </c>
      <c r="U1215" s="267" t="s">
        <v>3009</v>
      </c>
      <c r="V1215" s="133" t="s">
        <v>2968</v>
      </c>
    </row>
    <row r="1216" spans="1:22" ht="24" x14ac:dyDescent="0.25">
      <c r="A1216" s="405">
        <v>3000944</v>
      </c>
      <c r="B1216" s="406">
        <v>42430</v>
      </c>
      <c r="C1216" s="405" t="s">
        <v>237</v>
      </c>
      <c r="D1216" s="401" t="s">
        <v>3010</v>
      </c>
      <c r="E1216" s="120">
        <v>50</v>
      </c>
      <c r="F1216" s="133" t="s">
        <v>217</v>
      </c>
      <c r="G1216" s="404" t="s">
        <v>45</v>
      </c>
      <c r="H1216" s="411">
        <v>113.84</v>
      </c>
      <c r="I1216" s="89">
        <f t="shared" si="200"/>
        <v>-10.2456</v>
      </c>
      <c r="J1216" s="90">
        <f t="shared" si="203"/>
        <v>-2.4629599999999998</v>
      </c>
      <c r="K1216" s="90">
        <f t="shared" si="201"/>
        <v>101.13144000000001</v>
      </c>
      <c r="M1216" s="187">
        <v>24.28</v>
      </c>
      <c r="N1216" s="91">
        <f t="shared" si="202"/>
        <v>24.28</v>
      </c>
      <c r="O1216" s="411">
        <f t="shared" si="199"/>
        <v>76.851440000000011</v>
      </c>
      <c r="P1216" s="132" t="s">
        <v>52</v>
      </c>
      <c r="Q1216" s="232"/>
      <c r="R1216" s="411"/>
      <c r="T1216" s="134" t="s">
        <v>145</v>
      </c>
      <c r="U1216" s="266" t="s">
        <v>3011</v>
      </c>
    </row>
    <row r="1217" spans="1:23" ht="24" x14ac:dyDescent="0.25">
      <c r="A1217" s="405">
        <v>3000945</v>
      </c>
      <c r="B1217" s="406">
        <v>42430</v>
      </c>
      <c r="C1217" s="405" t="s">
        <v>237</v>
      </c>
      <c r="D1217" s="401" t="s">
        <v>3012</v>
      </c>
      <c r="E1217" s="120">
        <v>100</v>
      </c>
      <c r="F1217" s="133" t="s">
        <v>3013</v>
      </c>
      <c r="G1217" s="404" t="s">
        <v>45</v>
      </c>
      <c r="H1217" s="411">
        <v>195.03</v>
      </c>
      <c r="I1217" s="89">
        <f t="shared" si="200"/>
        <v>-17.552699999999998</v>
      </c>
      <c r="J1217" s="90">
        <f t="shared" si="203"/>
        <v>-4.0055699999999996</v>
      </c>
      <c r="K1217" s="90">
        <f t="shared" si="201"/>
        <v>173.47173000000001</v>
      </c>
      <c r="L1217" s="131">
        <v>931</v>
      </c>
      <c r="M1217" s="187">
        <v>18.239999999999998</v>
      </c>
      <c r="N1217" s="91">
        <f t="shared" si="202"/>
        <v>111.34</v>
      </c>
      <c r="O1217" s="411">
        <f t="shared" si="199"/>
        <v>62.131730000000005</v>
      </c>
      <c r="P1217" s="132" t="s">
        <v>926</v>
      </c>
      <c r="Q1217" s="232"/>
      <c r="R1217" s="411"/>
      <c r="T1217" s="134" t="s">
        <v>145</v>
      </c>
      <c r="U1217" s="267" t="s">
        <v>3014</v>
      </c>
    </row>
    <row r="1218" spans="1:23" ht="24" x14ac:dyDescent="0.25">
      <c r="A1218" s="405">
        <v>3000946</v>
      </c>
      <c r="B1218" s="406">
        <v>42430</v>
      </c>
      <c r="C1218" s="405" t="s">
        <v>237</v>
      </c>
      <c r="D1218" s="401" t="s">
        <v>3015</v>
      </c>
      <c r="E1218" s="120">
        <v>100</v>
      </c>
      <c r="F1218" s="133" t="s">
        <v>2180</v>
      </c>
      <c r="G1218" s="404" t="s">
        <v>45</v>
      </c>
      <c r="H1218" s="411">
        <v>221.75</v>
      </c>
      <c r="I1218" s="89">
        <f t="shared" si="200"/>
        <v>-19.9575</v>
      </c>
      <c r="J1218" s="90">
        <f t="shared" si="203"/>
        <v>-4.5132499999999993</v>
      </c>
      <c r="K1218" s="90">
        <f t="shared" si="201"/>
        <v>197.27924999999999</v>
      </c>
      <c r="M1218" s="187">
        <v>22.44</v>
      </c>
      <c r="N1218" s="91">
        <f t="shared" si="202"/>
        <v>22.44</v>
      </c>
      <c r="O1218" s="411">
        <f t="shared" si="199"/>
        <v>174.83924999999999</v>
      </c>
      <c r="P1218" s="132" t="s">
        <v>52</v>
      </c>
      <c r="Q1218" s="232"/>
      <c r="R1218" s="411"/>
      <c r="T1218" s="134" t="s">
        <v>145</v>
      </c>
      <c r="U1218" s="266" t="s">
        <v>3016</v>
      </c>
    </row>
    <row r="1219" spans="1:23" x14ac:dyDescent="0.25">
      <c r="A1219" s="405">
        <v>3000947</v>
      </c>
      <c r="B1219" s="406">
        <v>42430</v>
      </c>
      <c r="C1219" s="405" t="s">
        <v>977</v>
      </c>
      <c r="D1219" s="401" t="s">
        <v>3017</v>
      </c>
      <c r="E1219" s="120">
        <v>225</v>
      </c>
      <c r="F1219" s="133" t="s">
        <v>70</v>
      </c>
      <c r="G1219" s="404" t="s">
        <v>45</v>
      </c>
      <c r="H1219" s="411">
        <v>600</v>
      </c>
      <c r="I1219" s="89">
        <v>0</v>
      </c>
      <c r="J1219" s="90">
        <f t="shared" si="203"/>
        <v>-11.700000000000001</v>
      </c>
      <c r="K1219" s="90">
        <f t="shared" si="201"/>
        <v>588.29999999999995</v>
      </c>
      <c r="L1219" s="131">
        <v>1540</v>
      </c>
      <c r="M1219" s="187">
        <v>148.57</v>
      </c>
      <c r="N1219" s="91">
        <f t="shared" si="202"/>
        <v>495.07</v>
      </c>
      <c r="O1219" s="411">
        <f t="shared" si="199"/>
        <v>93.229999999999961</v>
      </c>
      <c r="P1219" s="132" t="s">
        <v>52</v>
      </c>
      <c r="Q1219" s="232"/>
      <c r="R1219" s="411"/>
      <c r="T1219" s="134" t="s">
        <v>1743</v>
      </c>
      <c r="U1219" s="267" t="s">
        <v>3018</v>
      </c>
      <c r="V1219" s="133" t="s">
        <v>2968</v>
      </c>
      <c r="W1219" s="153" t="s">
        <v>3019</v>
      </c>
    </row>
    <row r="1220" spans="1:23" ht="24" x14ac:dyDescent="0.25">
      <c r="A1220" s="405">
        <v>3000948</v>
      </c>
      <c r="B1220" s="406">
        <v>42430</v>
      </c>
      <c r="C1220" s="405" t="s">
        <v>694</v>
      </c>
      <c r="D1220" s="401" t="s">
        <v>3020</v>
      </c>
      <c r="E1220" s="120">
        <v>250</v>
      </c>
      <c r="F1220" s="133" t="s">
        <v>3021</v>
      </c>
      <c r="G1220" s="404" t="s">
        <v>45</v>
      </c>
      <c r="H1220" s="411">
        <v>178</v>
      </c>
      <c r="I1220" s="89">
        <v>0</v>
      </c>
      <c r="J1220" s="90">
        <f t="shared" si="203"/>
        <v>-3.6819999999999999</v>
      </c>
      <c r="K1220" s="90">
        <f t="shared" si="201"/>
        <v>174.31800000000001</v>
      </c>
      <c r="L1220" s="158">
        <v>470</v>
      </c>
      <c r="N1220" s="91">
        <f t="shared" si="202"/>
        <v>117.5</v>
      </c>
      <c r="O1220" s="411">
        <f t="shared" si="199"/>
        <v>56.818000000000012</v>
      </c>
      <c r="P1220" s="132" t="s">
        <v>183</v>
      </c>
      <c r="Q1220" s="232"/>
      <c r="R1220" s="411"/>
      <c r="T1220" s="134" t="s">
        <v>145</v>
      </c>
      <c r="U1220" s="266" t="s">
        <v>3022</v>
      </c>
      <c r="W1220" s="153" t="s">
        <v>3023</v>
      </c>
    </row>
    <row r="1221" spans="1:23" x14ac:dyDescent="0.25">
      <c r="A1221" s="405">
        <v>3000949</v>
      </c>
      <c r="B1221" s="406">
        <v>42430</v>
      </c>
      <c r="C1221" s="405" t="s">
        <v>977</v>
      </c>
      <c r="D1221" s="401" t="s">
        <v>1192</v>
      </c>
      <c r="E1221" s="120">
        <v>1000</v>
      </c>
      <c r="F1221" s="133" t="s">
        <v>2453</v>
      </c>
      <c r="G1221" s="404" t="s">
        <v>45</v>
      </c>
      <c r="H1221" s="411">
        <v>1690</v>
      </c>
      <c r="I1221" s="89">
        <v>0</v>
      </c>
      <c r="J1221" s="90">
        <f t="shared" si="203"/>
        <v>-32.409999999999997</v>
      </c>
      <c r="K1221" s="90">
        <f t="shared" si="201"/>
        <v>1657.59</v>
      </c>
      <c r="L1221" s="158">
        <v>1150</v>
      </c>
      <c r="M1221" s="187">
        <v>120.31</v>
      </c>
      <c r="N1221" s="91">
        <f t="shared" si="202"/>
        <v>1270.31</v>
      </c>
      <c r="O1221" s="411">
        <f t="shared" si="199"/>
        <v>387.28</v>
      </c>
      <c r="P1221" s="132" t="s">
        <v>643</v>
      </c>
      <c r="Q1221" s="232"/>
      <c r="R1221" s="411"/>
      <c r="T1221" s="134" t="s">
        <v>97</v>
      </c>
      <c r="U1221" s="267" t="s">
        <v>3024</v>
      </c>
      <c r="V1221" s="133" t="s">
        <v>2968</v>
      </c>
      <c r="W1221" s="153" t="s">
        <v>2090</v>
      </c>
    </row>
    <row r="1222" spans="1:23" ht="24" x14ac:dyDescent="0.25">
      <c r="A1222" s="405">
        <v>3000950</v>
      </c>
      <c r="B1222" s="406">
        <v>42430</v>
      </c>
      <c r="C1222" s="405" t="s">
        <v>63</v>
      </c>
      <c r="D1222" s="401" t="s">
        <v>3025</v>
      </c>
      <c r="E1222" s="120">
        <v>100</v>
      </c>
      <c r="F1222" s="133" t="s">
        <v>3026</v>
      </c>
      <c r="G1222" s="404" t="s">
        <v>45</v>
      </c>
      <c r="H1222" s="411">
        <v>115</v>
      </c>
      <c r="I1222" s="89">
        <v>0</v>
      </c>
      <c r="J1222" s="90">
        <f t="shared" si="203"/>
        <v>-2.4849999999999999</v>
      </c>
      <c r="K1222" s="90">
        <f t="shared" si="201"/>
        <v>112.515</v>
      </c>
      <c r="L1222" s="158">
        <v>530</v>
      </c>
      <c r="M1222" s="158">
        <v>21.1</v>
      </c>
      <c r="N1222" s="91">
        <f t="shared" si="202"/>
        <v>74.099999999999994</v>
      </c>
      <c r="O1222" s="411">
        <f t="shared" si="199"/>
        <v>38.415000000000006</v>
      </c>
      <c r="P1222" s="132" t="s">
        <v>183</v>
      </c>
      <c r="Q1222" s="232"/>
      <c r="R1222" s="411"/>
      <c r="T1222" s="134" t="s">
        <v>145</v>
      </c>
      <c r="U1222" s="266" t="s">
        <v>3027</v>
      </c>
      <c r="W1222" s="153" t="s">
        <v>3028</v>
      </c>
    </row>
    <row r="1223" spans="1:23" x14ac:dyDescent="0.25">
      <c r="A1223" s="405">
        <v>3000951</v>
      </c>
      <c r="B1223" s="406">
        <v>42430</v>
      </c>
      <c r="C1223" s="405" t="s">
        <v>63</v>
      </c>
      <c r="D1223" s="401" t="s">
        <v>3029</v>
      </c>
      <c r="E1223" s="120">
        <v>1000</v>
      </c>
      <c r="F1223" s="133" t="s">
        <v>3030</v>
      </c>
      <c r="G1223" s="404" t="s">
        <v>45</v>
      </c>
      <c r="H1223" s="411">
        <v>615</v>
      </c>
      <c r="I1223" s="89">
        <v>0</v>
      </c>
      <c r="J1223" s="90">
        <f t="shared" si="203"/>
        <v>-11.985000000000001</v>
      </c>
      <c r="K1223" s="90">
        <f t="shared" si="201"/>
        <v>603.01499999999999</v>
      </c>
      <c r="L1223" s="131">
        <v>300</v>
      </c>
      <c r="M1223" s="187">
        <v>112.85</v>
      </c>
      <c r="N1223" s="91">
        <f t="shared" si="202"/>
        <v>412.85</v>
      </c>
      <c r="O1223" s="411">
        <f t="shared" si="199"/>
        <v>190.16499999999996</v>
      </c>
      <c r="P1223" s="132" t="s">
        <v>52</v>
      </c>
      <c r="Q1223" s="232"/>
      <c r="R1223" s="411"/>
      <c r="T1223" s="134" t="s">
        <v>1743</v>
      </c>
      <c r="U1223" s="267" t="s">
        <v>3031</v>
      </c>
      <c r="V1223" s="133" t="s">
        <v>2968</v>
      </c>
      <c r="W1223" s="153" t="s">
        <v>3032</v>
      </c>
    </row>
    <row r="1224" spans="1:23" x14ac:dyDescent="0.25">
      <c r="A1224" s="419">
        <v>3000952</v>
      </c>
      <c r="B1224" s="421">
        <v>42430</v>
      </c>
      <c r="C1224" s="419" t="s">
        <v>141</v>
      </c>
      <c r="D1224" s="417" t="s">
        <v>3033</v>
      </c>
      <c r="E1224" s="120">
        <v>1500</v>
      </c>
      <c r="F1224" s="133" t="s">
        <v>3034</v>
      </c>
      <c r="G1224" s="434" t="s">
        <v>45</v>
      </c>
      <c r="H1224" s="427">
        <v>3920</v>
      </c>
      <c r="I1224" s="89">
        <v>0</v>
      </c>
      <c r="J1224" s="90">
        <f t="shared" si="203"/>
        <v>-74.78</v>
      </c>
      <c r="K1224" s="90">
        <f t="shared" si="201"/>
        <v>3845.22</v>
      </c>
      <c r="L1224" s="131">
        <v>616</v>
      </c>
      <c r="M1224" s="468">
        <v>115.15</v>
      </c>
      <c r="N1224" s="91">
        <f t="shared" si="202"/>
        <v>1039.1500000000001</v>
      </c>
      <c r="O1224" s="411">
        <f t="shared" si="199"/>
        <v>2806.0699999999997</v>
      </c>
      <c r="P1224" s="132" t="s">
        <v>52</v>
      </c>
      <c r="Q1224" s="232"/>
      <c r="R1224" s="411"/>
      <c r="T1224" s="470" t="s">
        <v>875</v>
      </c>
      <c r="U1224" s="481" t="s">
        <v>3035</v>
      </c>
      <c r="W1224" s="153" t="s">
        <v>3036</v>
      </c>
    </row>
    <row r="1225" spans="1:23" x14ac:dyDescent="0.25">
      <c r="A1225" s="432"/>
      <c r="B1225" s="433"/>
      <c r="C1225" s="432"/>
      <c r="D1225" s="454"/>
      <c r="E1225" s="120">
        <v>1500</v>
      </c>
      <c r="F1225" s="133" t="s">
        <v>3037</v>
      </c>
      <c r="G1225" s="435"/>
      <c r="H1225" s="438"/>
      <c r="I1225" s="89">
        <f t="shared" ref="I1225:I1287" si="204">-(H1225*0.09)</f>
        <v>0</v>
      </c>
      <c r="J1225" s="90">
        <f t="shared" si="203"/>
        <v>-0.3</v>
      </c>
      <c r="K1225" s="90">
        <f t="shared" si="201"/>
        <v>-0.3</v>
      </c>
      <c r="L1225" s="131">
        <v>760</v>
      </c>
      <c r="M1225" s="491"/>
      <c r="N1225" s="91">
        <f t="shared" si="202"/>
        <v>1140</v>
      </c>
      <c r="O1225" s="411">
        <f t="shared" ref="O1225:O1288" si="205">K1225-N1225</f>
        <v>-1140.3</v>
      </c>
      <c r="P1225" s="132" t="s">
        <v>52</v>
      </c>
      <c r="Q1225" s="232"/>
      <c r="R1225" s="411"/>
      <c r="T1225" s="471"/>
      <c r="U1225" s="482"/>
      <c r="V1225" s="133" t="s">
        <v>2968</v>
      </c>
    </row>
    <row r="1226" spans="1:23" x14ac:dyDescent="0.25">
      <c r="A1226" s="420"/>
      <c r="B1226" s="422"/>
      <c r="C1226" s="420"/>
      <c r="D1226" s="418"/>
      <c r="E1226" s="120">
        <v>1000</v>
      </c>
      <c r="F1226" s="133" t="s">
        <v>3038</v>
      </c>
      <c r="G1226" s="436"/>
      <c r="H1226" s="428"/>
      <c r="I1226" s="89">
        <f t="shared" si="204"/>
        <v>0</v>
      </c>
      <c r="J1226" s="90">
        <f t="shared" si="203"/>
        <v>-0.3</v>
      </c>
      <c r="K1226" s="90">
        <f t="shared" si="201"/>
        <v>-0.3</v>
      </c>
      <c r="L1226" s="131">
        <v>445</v>
      </c>
      <c r="M1226" s="469"/>
      <c r="N1226" s="91">
        <f t="shared" si="202"/>
        <v>445</v>
      </c>
      <c r="O1226" s="411">
        <f t="shared" si="205"/>
        <v>-445.3</v>
      </c>
      <c r="P1226" s="132" t="s">
        <v>52</v>
      </c>
      <c r="Q1226" s="232"/>
      <c r="R1226" s="411"/>
      <c r="T1226" s="472"/>
      <c r="U1226" s="483"/>
    </row>
    <row r="1227" spans="1:23" x14ac:dyDescent="0.25">
      <c r="A1227" s="419">
        <v>3000953</v>
      </c>
      <c r="B1227" s="421">
        <v>42430</v>
      </c>
      <c r="C1227" s="419" t="s">
        <v>63</v>
      </c>
      <c r="D1227" s="417" t="s">
        <v>3039</v>
      </c>
      <c r="E1227" s="120">
        <v>4000</v>
      </c>
      <c r="F1227" s="133" t="s">
        <v>3040</v>
      </c>
      <c r="G1227" s="434" t="s">
        <v>45</v>
      </c>
      <c r="H1227" s="427">
        <v>3440</v>
      </c>
      <c r="I1227" s="89">
        <v>0</v>
      </c>
      <c r="J1227" s="90">
        <f t="shared" si="203"/>
        <v>-65.66</v>
      </c>
      <c r="K1227" s="90">
        <f t="shared" si="201"/>
        <v>3374.34</v>
      </c>
      <c r="L1227" s="187">
        <v>420</v>
      </c>
      <c r="N1227" s="91">
        <f t="shared" si="202"/>
        <v>1680</v>
      </c>
      <c r="O1227" s="411">
        <f t="shared" si="205"/>
        <v>1694.3400000000001</v>
      </c>
      <c r="P1227" s="132" t="s">
        <v>183</v>
      </c>
      <c r="Q1227" s="232"/>
      <c r="R1227" s="411"/>
      <c r="T1227" s="470" t="s">
        <v>67</v>
      </c>
      <c r="U1227" s="505">
        <v>293020281</v>
      </c>
      <c r="V1227" s="133" t="s">
        <v>3041</v>
      </c>
      <c r="W1227" s="153" t="s">
        <v>3042</v>
      </c>
    </row>
    <row r="1228" spans="1:23" x14ac:dyDescent="0.25">
      <c r="A1228" s="420"/>
      <c r="B1228" s="422"/>
      <c r="C1228" s="420"/>
      <c r="D1228" s="418"/>
      <c r="E1228" s="120">
        <v>2000</v>
      </c>
      <c r="F1228" s="133" t="s">
        <v>418</v>
      </c>
      <c r="G1228" s="436"/>
      <c r="H1228" s="428"/>
      <c r="I1228" s="89">
        <f t="shared" si="204"/>
        <v>0</v>
      </c>
      <c r="J1228" s="90">
        <f t="shared" si="203"/>
        <v>-0.3</v>
      </c>
      <c r="K1228" s="90">
        <f t="shared" ref="K1228:K1278" si="206">SUM(H1228:J1228)</f>
        <v>-0.3</v>
      </c>
      <c r="L1228" s="187">
        <v>215</v>
      </c>
      <c r="N1228" s="91">
        <f t="shared" ref="N1228:N1291" si="207">((L1228)*(E1228*0.001))+M1228</f>
        <v>430</v>
      </c>
      <c r="O1228" s="411">
        <f t="shared" si="205"/>
        <v>-430.3</v>
      </c>
      <c r="P1228" s="132" t="s">
        <v>183</v>
      </c>
      <c r="Q1228" s="232"/>
      <c r="R1228" s="411"/>
      <c r="T1228" s="472"/>
      <c r="U1228" s="490"/>
    </row>
    <row r="1229" spans="1:23" x14ac:dyDescent="0.25">
      <c r="A1229" s="419">
        <v>3000954</v>
      </c>
      <c r="B1229" s="421">
        <v>42430</v>
      </c>
      <c r="C1229" s="419" t="s">
        <v>63</v>
      </c>
      <c r="D1229" s="417" t="s">
        <v>3043</v>
      </c>
      <c r="E1229" s="120">
        <v>1500</v>
      </c>
      <c r="F1229" s="133" t="s">
        <v>3044</v>
      </c>
      <c r="G1229" s="434" t="s">
        <v>45</v>
      </c>
      <c r="H1229" s="427">
        <v>2745</v>
      </c>
      <c r="I1229" s="89">
        <v>0</v>
      </c>
      <c r="J1229" s="90">
        <f t="shared" si="203"/>
        <v>-52.454999999999998</v>
      </c>
      <c r="K1229" s="90">
        <f t="shared" si="206"/>
        <v>2692.5450000000001</v>
      </c>
      <c r="L1229" s="158">
        <v>660</v>
      </c>
      <c r="M1229" s="158">
        <v>105</v>
      </c>
      <c r="N1229" s="91">
        <f t="shared" si="207"/>
        <v>1095</v>
      </c>
      <c r="O1229" s="411">
        <f t="shared" si="205"/>
        <v>1597.5450000000001</v>
      </c>
      <c r="P1229" s="132" t="s">
        <v>183</v>
      </c>
      <c r="Q1229" s="232"/>
      <c r="R1229" s="411"/>
      <c r="T1229" s="134" t="s">
        <v>3045</v>
      </c>
      <c r="U1229" s="266" t="s">
        <v>3046</v>
      </c>
      <c r="V1229" s="133" t="s">
        <v>3047</v>
      </c>
      <c r="W1229" s="153" t="s">
        <v>3048</v>
      </c>
    </row>
    <row r="1230" spans="1:23" x14ac:dyDescent="0.25">
      <c r="A1230" s="420"/>
      <c r="B1230" s="422"/>
      <c r="C1230" s="420"/>
      <c r="D1230" s="418"/>
      <c r="E1230" s="120">
        <v>1500</v>
      </c>
      <c r="F1230" s="133" t="s">
        <v>1273</v>
      </c>
      <c r="G1230" s="436"/>
      <c r="H1230" s="428"/>
      <c r="I1230" s="89">
        <f t="shared" si="204"/>
        <v>0</v>
      </c>
      <c r="J1230" s="90">
        <f t="shared" si="203"/>
        <v>-0.3</v>
      </c>
      <c r="K1230" s="90">
        <f t="shared" si="206"/>
        <v>-0.3</v>
      </c>
      <c r="L1230" s="131">
        <v>616</v>
      </c>
      <c r="M1230" s="131">
        <v>89.99</v>
      </c>
      <c r="N1230" s="91">
        <f t="shared" si="207"/>
        <v>1013.99</v>
      </c>
      <c r="O1230" s="411">
        <f t="shared" si="205"/>
        <v>-1014.29</v>
      </c>
      <c r="P1230" s="132" t="s">
        <v>52</v>
      </c>
      <c r="Q1230" s="232"/>
      <c r="R1230" s="411"/>
      <c r="T1230" s="134" t="s">
        <v>875</v>
      </c>
      <c r="U1230" s="267" t="s">
        <v>3049</v>
      </c>
      <c r="V1230" s="133" t="s">
        <v>2968</v>
      </c>
    </row>
    <row r="1231" spans="1:23" ht="24" x14ac:dyDescent="0.25">
      <c r="A1231" s="405">
        <v>3000955</v>
      </c>
      <c r="B1231" s="406">
        <v>42430</v>
      </c>
      <c r="C1231" s="405" t="s">
        <v>42</v>
      </c>
      <c r="D1231" s="401" t="s">
        <v>3050</v>
      </c>
      <c r="E1231" s="120">
        <v>50</v>
      </c>
      <c r="F1231" s="133" t="s">
        <v>3051</v>
      </c>
      <c r="G1231" s="404" t="s">
        <v>45</v>
      </c>
      <c r="H1231" s="411">
        <v>117.6</v>
      </c>
      <c r="I1231" s="89">
        <f t="shared" si="204"/>
        <v>-10.584</v>
      </c>
      <c r="J1231" s="90">
        <f t="shared" si="203"/>
        <v>-2.5343999999999998</v>
      </c>
      <c r="K1231" s="90">
        <f t="shared" si="206"/>
        <v>104.48159999999999</v>
      </c>
      <c r="L1231" s="158">
        <v>1427</v>
      </c>
      <c r="M1231" s="187">
        <v>14.71</v>
      </c>
      <c r="N1231" s="91">
        <f t="shared" si="207"/>
        <v>86.06</v>
      </c>
      <c r="O1231" s="411">
        <f t="shared" si="205"/>
        <v>18.421599999999984</v>
      </c>
      <c r="P1231" s="132" t="s">
        <v>926</v>
      </c>
      <c r="Q1231" s="232"/>
      <c r="R1231" s="411"/>
      <c r="T1231" s="134" t="s">
        <v>145</v>
      </c>
      <c r="U1231" s="267" t="s">
        <v>3052</v>
      </c>
    </row>
    <row r="1232" spans="1:23" ht="24" x14ac:dyDescent="0.25">
      <c r="A1232" s="405">
        <v>3000956</v>
      </c>
      <c r="B1232" s="406">
        <v>42430</v>
      </c>
      <c r="C1232" s="405" t="s">
        <v>42</v>
      </c>
      <c r="D1232" s="401" t="s">
        <v>3053</v>
      </c>
      <c r="E1232" s="120">
        <v>275</v>
      </c>
      <c r="F1232" s="133" t="s">
        <v>1547</v>
      </c>
      <c r="G1232" s="404" t="s">
        <v>45</v>
      </c>
      <c r="H1232" s="411">
        <v>289.89999999999998</v>
      </c>
      <c r="I1232" s="89">
        <f t="shared" si="204"/>
        <v>-26.090999999999998</v>
      </c>
      <c r="J1232" s="90">
        <f t="shared" si="203"/>
        <v>-5.8080999999999996</v>
      </c>
      <c r="K1232" s="90">
        <f t="shared" si="206"/>
        <v>258.00089999999994</v>
      </c>
      <c r="M1232" s="187">
        <v>49.78</v>
      </c>
      <c r="N1232" s="91">
        <f t="shared" si="207"/>
        <v>49.78</v>
      </c>
      <c r="O1232" s="411">
        <f t="shared" si="205"/>
        <v>208.22089999999994</v>
      </c>
      <c r="P1232" s="132" t="s">
        <v>52</v>
      </c>
      <c r="Q1232" s="232"/>
      <c r="R1232" s="411"/>
      <c r="T1232" s="134" t="s">
        <v>145</v>
      </c>
      <c r="U1232" s="267" t="s">
        <v>3054</v>
      </c>
    </row>
    <row r="1233" spans="1:23" ht="24" x14ac:dyDescent="0.25">
      <c r="A1233" s="405">
        <v>3000957</v>
      </c>
      <c r="B1233" s="406">
        <v>42430</v>
      </c>
      <c r="C1233" s="405" t="s">
        <v>42</v>
      </c>
      <c r="D1233" s="401" t="s">
        <v>3055</v>
      </c>
      <c r="E1233" s="120">
        <v>100</v>
      </c>
      <c r="F1233" s="133" t="s">
        <v>3056</v>
      </c>
      <c r="G1233" s="404" t="s">
        <v>45</v>
      </c>
      <c r="H1233" s="411">
        <v>247.26</v>
      </c>
      <c r="I1233" s="89">
        <f t="shared" si="204"/>
        <v>-22.253399999999999</v>
      </c>
      <c r="J1233" s="90">
        <f t="shared" si="203"/>
        <v>-4.9979399999999998</v>
      </c>
      <c r="K1233" s="90">
        <f t="shared" si="206"/>
        <v>220.00865999999999</v>
      </c>
      <c r="L1233" s="187">
        <v>935</v>
      </c>
      <c r="M1233" s="187">
        <v>17.399999999999999</v>
      </c>
      <c r="N1233" s="91">
        <f t="shared" si="207"/>
        <v>110.9</v>
      </c>
      <c r="O1233" s="411">
        <f t="shared" si="205"/>
        <v>109.10865999999999</v>
      </c>
      <c r="P1233" s="132" t="s">
        <v>235</v>
      </c>
      <c r="Q1233" s="232"/>
      <c r="R1233" s="411"/>
      <c r="T1233" s="134" t="s">
        <v>145</v>
      </c>
      <c r="U1233" s="267" t="s">
        <v>3057</v>
      </c>
    </row>
    <row r="1234" spans="1:23" ht="24" x14ac:dyDescent="0.25">
      <c r="A1234" s="405">
        <v>3000958</v>
      </c>
      <c r="B1234" s="406">
        <v>42430</v>
      </c>
      <c r="C1234" s="405" t="s">
        <v>42</v>
      </c>
      <c r="D1234" s="401" t="s">
        <v>3058</v>
      </c>
      <c r="E1234" s="120">
        <v>100</v>
      </c>
      <c r="F1234" s="133" t="s">
        <v>593</v>
      </c>
      <c r="G1234" s="404" t="s">
        <v>45</v>
      </c>
      <c r="H1234" s="411">
        <v>138.9</v>
      </c>
      <c r="I1234" s="89">
        <f t="shared" si="204"/>
        <v>-12.500999999999999</v>
      </c>
      <c r="J1234" s="90">
        <f t="shared" si="203"/>
        <v>-2.9390999999999998</v>
      </c>
      <c r="K1234" s="90">
        <f t="shared" si="206"/>
        <v>123.4599</v>
      </c>
      <c r="M1234" s="187">
        <v>37.6</v>
      </c>
      <c r="N1234" s="91">
        <f t="shared" si="207"/>
        <v>37.6</v>
      </c>
      <c r="O1234" s="411">
        <f t="shared" si="205"/>
        <v>85.85990000000001</v>
      </c>
      <c r="P1234" s="132" t="s">
        <v>52</v>
      </c>
      <c r="Q1234" s="232"/>
      <c r="R1234" s="411"/>
      <c r="T1234" s="134" t="s">
        <v>145</v>
      </c>
      <c r="U1234" s="266" t="s">
        <v>3059</v>
      </c>
    </row>
    <row r="1235" spans="1:23" x14ac:dyDescent="0.25">
      <c r="A1235" s="419">
        <v>3000959</v>
      </c>
      <c r="B1235" s="421">
        <v>42430</v>
      </c>
      <c r="C1235" s="419" t="s">
        <v>63</v>
      </c>
      <c r="D1235" s="417" t="s">
        <v>3060</v>
      </c>
      <c r="E1235" s="120">
        <v>2000</v>
      </c>
      <c r="F1235" s="133" t="s">
        <v>472</v>
      </c>
      <c r="G1235" s="434" t="s">
        <v>45</v>
      </c>
      <c r="H1235" s="427">
        <v>1670</v>
      </c>
      <c r="I1235" s="89">
        <f t="shared" si="204"/>
        <v>-150.29999999999998</v>
      </c>
      <c r="J1235" s="90">
        <f t="shared" si="203"/>
        <v>-32.03</v>
      </c>
      <c r="K1235" s="90">
        <f t="shared" si="206"/>
        <v>1487.67</v>
      </c>
      <c r="L1235" s="187">
        <v>450</v>
      </c>
      <c r="M1235" s="187">
        <v>60</v>
      </c>
      <c r="N1235" s="91"/>
      <c r="O1235" s="411">
        <f t="shared" si="205"/>
        <v>1487.67</v>
      </c>
      <c r="P1235" s="132" t="s">
        <v>183</v>
      </c>
      <c r="Q1235" s="232"/>
      <c r="R1235" s="411"/>
      <c r="T1235" s="439" t="s">
        <v>760</v>
      </c>
      <c r="U1235" s="446" t="s">
        <v>3061</v>
      </c>
    </row>
    <row r="1236" spans="1:23" x14ac:dyDescent="0.25">
      <c r="A1236" s="420"/>
      <c r="B1236" s="422"/>
      <c r="C1236" s="420"/>
      <c r="D1236" s="418"/>
      <c r="E1236" s="120">
        <v>1000</v>
      </c>
      <c r="F1236" s="133" t="s">
        <v>580</v>
      </c>
      <c r="G1236" s="436"/>
      <c r="H1236" s="428"/>
      <c r="I1236" s="89">
        <v>0</v>
      </c>
      <c r="J1236" s="90">
        <f t="shared" si="203"/>
        <v>-0.3</v>
      </c>
      <c r="K1236" s="90">
        <f t="shared" si="206"/>
        <v>-0.3</v>
      </c>
      <c r="L1236" s="187">
        <v>172</v>
      </c>
      <c r="M1236" s="187"/>
      <c r="N1236" s="91">
        <f t="shared" si="207"/>
        <v>172</v>
      </c>
      <c r="O1236" s="411">
        <f t="shared" si="205"/>
        <v>-172.3</v>
      </c>
      <c r="P1236" s="132" t="s">
        <v>183</v>
      </c>
      <c r="Q1236" s="232"/>
      <c r="R1236" s="411"/>
      <c r="T1236" s="441"/>
      <c r="U1236" s="447"/>
    </row>
    <row r="1237" spans="1:23" ht="24" x14ac:dyDescent="0.25">
      <c r="A1237" s="405">
        <v>3000960</v>
      </c>
      <c r="B1237" s="406">
        <v>42431</v>
      </c>
      <c r="C1237" s="405" t="s">
        <v>63</v>
      </c>
      <c r="D1237" s="401" t="s">
        <v>3062</v>
      </c>
      <c r="E1237" s="120">
        <v>250</v>
      </c>
      <c r="F1237" s="133" t="s">
        <v>3063</v>
      </c>
      <c r="G1237" s="404" t="s">
        <v>45</v>
      </c>
      <c r="H1237" s="411">
        <v>216</v>
      </c>
      <c r="I1237" s="89">
        <v>0</v>
      </c>
      <c r="J1237" s="90">
        <f t="shared" si="203"/>
        <v>-4.4039999999999999</v>
      </c>
      <c r="K1237" s="90">
        <f t="shared" si="206"/>
        <v>211.596</v>
      </c>
      <c r="M1237" s="187">
        <v>26.95</v>
      </c>
      <c r="N1237" s="91">
        <f t="shared" si="207"/>
        <v>26.95</v>
      </c>
      <c r="O1237" s="411">
        <f t="shared" si="205"/>
        <v>184.64600000000002</v>
      </c>
      <c r="P1237" s="132" t="s">
        <v>52</v>
      </c>
      <c r="Q1237" s="232"/>
      <c r="R1237" s="411"/>
      <c r="T1237" s="134" t="s">
        <v>145</v>
      </c>
      <c r="U1237" s="266" t="s">
        <v>3064</v>
      </c>
      <c r="W1237" s="153" t="s">
        <v>3065</v>
      </c>
    </row>
    <row r="1238" spans="1:23" ht="24" x14ac:dyDescent="0.25">
      <c r="A1238" s="405">
        <v>3000961</v>
      </c>
      <c r="B1238" s="406">
        <v>42431</v>
      </c>
      <c r="C1238" s="405" t="s">
        <v>237</v>
      </c>
      <c r="D1238" s="401" t="s">
        <v>3066</v>
      </c>
      <c r="E1238" s="120">
        <v>1000</v>
      </c>
      <c r="F1238" s="133" t="s">
        <v>3067</v>
      </c>
      <c r="G1238" s="404" t="s">
        <v>45</v>
      </c>
      <c r="H1238" s="411">
        <v>245</v>
      </c>
      <c r="I1238" s="89">
        <f t="shared" si="204"/>
        <v>-22.05</v>
      </c>
      <c r="J1238" s="90">
        <f t="shared" si="203"/>
        <v>-4.9550000000000001</v>
      </c>
      <c r="K1238" s="90">
        <f t="shared" si="206"/>
        <v>217.99499999999998</v>
      </c>
      <c r="L1238" s="158">
        <v>175</v>
      </c>
      <c r="N1238" s="91">
        <f t="shared" si="207"/>
        <v>175</v>
      </c>
      <c r="O1238" s="411">
        <f t="shared" si="205"/>
        <v>42.994999999999976</v>
      </c>
      <c r="P1238" s="132" t="s">
        <v>313</v>
      </c>
      <c r="Q1238" s="232"/>
      <c r="R1238" s="411"/>
      <c r="T1238" s="134" t="s">
        <v>145</v>
      </c>
      <c r="U1238" s="267" t="s">
        <v>3068</v>
      </c>
    </row>
    <row r="1239" spans="1:23" x14ac:dyDescent="0.25">
      <c r="A1239" s="405">
        <v>3000962</v>
      </c>
      <c r="B1239" s="406">
        <v>42431</v>
      </c>
      <c r="C1239" s="405" t="s">
        <v>141</v>
      </c>
      <c r="D1239" s="401" t="s">
        <v>3069</v>
      </c>
      <c r="E1239" s="120">
        <v>200</v>
      </c>
      <c r="F1239" s="133" t="s">
        <v>3070</v>
      </c>
      <c r="G1239" s="404" t="s">
        <v>45</v>
      </c>
      <c r="H1239" s="411">
        <v>1566</v>
      </c>
      <c r="I1239" s="89">
        <v>0</v>
      </c>
      <c r="J1239" s="90">
        <f t="shared" si="203"/>
        <v>-30.053999999999998</v>
      </c>
      <c r="K1239" s="90">
        <f t="shared" si="206"/>
        <v>1535.9459999999999</v>
      </c>
      <c r="L1239" s="187">
        <v>4100</v>
      </c>
      <c r="N1239" s="91">
        <f t="shared" si="207"/>
        <v>820</v>
      </c>
      <c r="O1239" s="411">
        <f t="shared" si="205"/>
        <v>715.94599999999991</v>
      </c>
      <c r="P1239" s="132" t="s">
        <v>66</v>
      </c>
      <c r="Q1239" s="232"/>
      <c r="R1239" s="411"/>
      <c r="T1239" s="134" t="s">
        <v>67</v>
      </c>
      <c r="U1239" s="267" t="s">
        <v>3071</v>
      </c>
      <c r="W1239" s="153" t="s">
        <v>3072</v>
      </c>
    </row>
    <row r="1240" spans="1:23" x14ac:dyDescent="0.25">
      <c r="A1240" s="405">
        <v>3000963</v>
      </c>
      <c r="B1240" s="406">
        <v>42431</v>
      </c>
      <c r="C1240" s="405" t="s">
        <v>56</v>
      </c>
      <c r="D1240" s="401" t="s">
        <v>3073</v>
      </c>
      <c r="E1240" s="120">
        <v>382</v>
      </c>
      <c r="F1240" s="133" t="s">
        <v>3074</v>
      </c>
      <c r="G1240" s="404" t="s">
        <v>45</v>
      </c>
      <c r="H1240" s="411">
        <v>8633</v>
      </c>
      <c r="I1240" s="89">
        <v>0</v>
      </c>
      <c r="J1240" s="90">
        <f t="shared" si="203"/>
        <v>-164.327</v>
      </c>
      <c r="K1240" s="90">
        <f t="shared" si="206"/>
        <v>8468.6730000000007</v>
      </c>
      <c r="L1240" s="131">
        <v>14000</v>
      </c>
      <c r="M1240" s="231">
        <v>650</v>
      </c>
      <c r="N1240" s="91">
        <f t="shared" si="207"/>
        <v>5998</v>
      </c>
      <c r="O1240" s="411">
        <f t="shared" si="205"/>
        <v>2470.6730000000007</v>
      </c>
      <c r="P1240" s="132" t="s">
        <v>3075</v>
      </c>
      <c r="Q1240" s="232"/>
      <c r="R1240" s="411"/>
      <c r="T1240" s="134"/>
      <c r="U1240" s="266"/>
    </row>
    <row r="1241" spans="1:23" ht="36" x14ac:dyDescent="0.25">
      <c r="A1241" s="405">
        <v>3000964</v>
      </c>
      <c r="B1241" s="406">
        <v>42431</v>
      </c>
      <c r="C1241" s="405" t="s">
        <v>56</v>
      </c>
      <c r="D1241" s="401" t="s">
        <v>3076</v>
      </c>
      <c r="E1241" s="120">
        <v>820</v>
      </c>
      <c r="F1241" s="133" t="s">
        <v>3077</v>
      </c>
      <c r="G1241" s="404" t="s">
        <v>45</v>
      </c>
      <c r="H1241" s="411">
        <v>5740</v>
      </c>
      <c r="I1241" s="89">
        <v>0</v>
      </c>
      <c r="J1241" s="90">
        <f t="shared" si="203"/>
        <v>-109.36</v>
      </c>
      <c r="K1241" s="90">
        <f t="shared" si="206"/>
        <v>5630.64</v>
      </c>
      <c r="L1241" s="187">
        <v>6000</v>
      </c>
      <c r="M1241" s="131">
        <v>0</v>
      </c>
      <c r="N1241" s="91">
        <f t="shared" si="207"/>
        <v>4920</v>
      </c>
      <c r="O1241" s="411">
        <f t="shared" si="205"/>
        <v>710.64000000000033</v>
      </c>
      <c r="P1241" s="132" t="s">
        <v>66</v>
      </c>
      <c r="Q1241" s="232"/>
      <c r="R1241" s="411"/>
      <c r="T1241" s="134" t="s">
        <v>60</v>
      </c>
      <c r="U1241" s="267" t="s">
        <v>3078</v>
      </c>
      <c r="V1241" s="133" t="s">
        <v>2633</v>
      </c>
    </row>
    <row r="1242" spans="1:23" ht="24" x14ac:dyDescent="0.25">
      <c r="A1242" s="405">
        <v>3000965</v>
      </c>
      <c r="B1242" s="406">
        <v>42432</v>
      </c>
      <c r="C1242" s="405" t="s">
        <v>42</v>
      </c>
      <c r="D1242" s="401" t="s">
        <v>3079</v>
      </c>
      <c r="E1242" s="120">
        <v>500</v>
      </c>
      <c r="F1242" s="133" t="s">
        <v>3080</v>
      </c>
      <c r="G1242" s="404" t="s">
        <v>45</v>
      </c>
      <c r="H1242" s="411">
        <v>1528.29</v>
      </c>
      <c r="I1242" s="89">
        <f t="shared" si="204"/>
        <v>-137.5461</v>
      </c>
      <c r="J1242" s="90">
        <f t="shared" si="203"/>
        <v>-29.337509999999998</v>
      </c>
      <c r="K1242" s="90">
        <f t="shared" si="206"/>
        <v>1361.4063899999999</v>
      </c>
      <c r="L1242" s="187">
        <v>1974</v>
      </c>
      <c r="M1242" s="187">
        <v>137.81</v>
      </c>
      <c r="N1242" s="91">
        <f t="shared" si="207"/>
        <v>1124.81</v>
      </c>
      <c r="O1242" s="411">
        <f t="shared" si="205"/>
        <v>236.59638999999993</v>
      </c>
      <c r="P1242" s="132" t="s">
        <v>76</v>
      </c>
      <c r="Q1242" s="232"/>
      <c r="R1242" s="411"/>
      <c r="T1242" s="134" t="s">
        <v>3081</v>
      </c>
      <c r="U1242" s="267" t="s">
        <v>3082</v>
      </c>
    </row>
    <row r="1243" spans="1:23" x14ac:dyDescent="0.25">
      <c r="A1243" s="405">
        <v>3000966</v>
      </c>
      <c r="B1243" s="406">
        <v>42432</v>
      </c>
      <c r="C1243" s="405" t="s">
        <v>63</v>
      </c>
      <c r="D1243" s="401" t="s">
        <v>3083</v>
      </c>
      <c r="E1243" s="120">
        <v>1250</v>
      </c>
      <c r="F1243" s="133" t="s">
        <v>51</v>
      </c>
      <c r="G1243" s="404" t="s">
        <v>45</v>
      </c>
      <c r="H1243" s="411">
        <v>2062.5</v>
      </c>
      <c r="I1243" s="89">
        <v>0</v>
      </c>
      <c r="J1243" s="90">
        <f t="shared" si="203"/>
        <v>-39.487499999999997</v>
      </c>
      <c r="K1243" s="90">
        <f t="shared" si="206"/>
        <v>2023.0125</v>
      </c>
      <c r="M1243" s="187">
        <v>124.17</v>
      </c>
      <c r="N1243" s="91">
        <f t="shared" si="207"/>
        <v>124.17</v>
      </c>
      <c r="O1243" s="411">
        <f t="shared" si="205"/>
        <v>1898.8425</v>
      </c>
      <c r="P1243" s="132" t="s">
        <v>52</v>
      </c>
      <c r="Q1243" s="232"/>
      <c r="R1243" s="411"/>
      <c r="T1243" s="134" t="s">
        <v>1467</v>
      </c>
      <c r="U1243" s="267" t="s">
        <v>3084</v>
      </c>
      <c r="V1243" s="119"/>
      <c r="W1243" s="153" t="s">
        <v>3085</v>
      </c>
    </row>
    <row r="1244" spans="1:23" ht="24" customHeight="1" x14ac:dyDescent="0.25">
      <c r="A1244" s="419">
        <v>3000967</v>
      </c>
      <c r="B1244" s="421">
        <v>42432</v>
      </c>
      <c r="C1244" s="419" t="s">
        <v>63</v>
      </c>
      <c r="D1244" s="417" t="s">
        <v>3086</v>
      </c>
      <c r="E1244" s="120">
        <v>40</v>
      </c>
      <c r="F1244" s="133" t="s">
        <v>3087</v>
      </c>
      <c r="G1244" s="434" t="s">
        <v>45</v>
      </c>
      <c r="H1244" s="427">
        <v>223.6</v>
      </c>
      <c r="I1244" s="89">
        <v>0</v>
      </c>
      <c r="J1244" s="90">
        <f t="shared" si="203"/>
        <v>-4.5484</v>
      </c>
      <c r="K1244" s="90">
        <f t="shared" si="206"/>
        <v>219.05160000000001</v>
      </c>
      <c r="M1244" s="187">
        <v>32.58</v>
      </c>
      <c r="N1244" s="91">
        <f t="shared" si="207"/>
        <v>32.58</v>
      </c>
      <c r="O1244" s="411">
        <f t="shared" si="205"/>
        <v>186.47160000000002</v>
      </c>
      <c r="P1244" s="132" t="s">
        <v>52</v>
      </c>
      <c r="Q1244" s="232"/>
      <c r="R1244" s="411"/>
      <c r="T1244" s="470" t="s">
        <v>145</v>
      </c>
      <c r="U1244" s="481" t="s">
        <v>3088</v>
      </c>
      <c r="V1244" s="133" t="s">
        <v>3089</v>
      </c>
      <c r="W1244" s="559" t="s">
        <v>3090</v>
      </c>
    </row>
    <row r="1245" spans="1:23" x14ac:dyDescent="0.25">
      <c r="A1245" s="420"/>
      <c r="B1245" s="422"/>
      <c r="C1245" s="420"/>
      <c r="D1245" s="418"/>
      <c r="E1245" s="120">
        <v>50</v>
      </c>
      <c r="F1245" s="133" t="s">
        <v>3091</v>
      </c>
      <c r="G1245" s="436"/>
      <c r="H1245" s="428"/>
      <c r="I1245" s="89">
        <f t="shared" si="204"/>
        <v>0</v>
      </c>
      <c r="J1245" s="90">
        <f t="shared" si="203"/>
        <v>-0.3</v>
      </c>
      <c r="K1245" s="90">
        <f t="shared" si="206"/>
        <v>-0.3</v>
      </c>
      <c r="N1245" s="91">
        <f t="shared" si="207"/>
        <v>0</v>
      </c>
      <c r="O1245" s="411">
        <f t="shared" si="205"/>
        <v>-0.3</v>
      </c>
      <c r="P1245" s="132" t="s">
        <v>52</v>
      </c>
      <c r="Q1245" s="232"/>
      <c r="R1245" s="411"/>
      <c r="T1245" s="472"/>
      <c r="U1245" s="483"/>
      <c r="W1245" s="561"/>
    </row>
    <row r="1246" spans="1:23" ht="24" x14ac:dyDescent="0.25">
      <c r="A1246" s="405">
        <v>3000968</v>
      </c>
      <c r="B1246" s="406">
        <v>42432</v>
      </c>
      <c r="C1246" s="405" t="s">
        <v>977</v>
      </c>
      <c r="D1246" s="401" t="s">
        <v>3092</v>
      </c>
      <c r="E1246" s="120">
        <v>75</v>
      </c>
      <c r="F1246" s="133" t="s">
        <v>3093</v>
      </c>
      <c r="G1246" s="404" t="s">
        <v>45</v>
      </c>
      <c r="H1246" s="411">
        <v>783.75</v>
      </c>
      <c r="I1246" s="89">
        <v>0</v>
      </c>
      <c r="J1246" s="90">
        <f t="shared" si="203"/>
        <v>-15.19125</v>
      </c>
      <c r="K1246" s="90">
        <f t="shared" si="206"/>
        <v>768.55875000000003</v>
      </c>
      <c r="L1246" s="187">
        <v>6524</v>
      </c>
      <c r="N1246" s="91">
        <f t="shared" si="207"/>
        <v>489.29999999999995</v>
      </c>
      <c r="O1246" s="411">
        <f t="shared" si="205"/>
        <v>279.25875000000008</v>
      </c>
      <c r="P1246" s="132" t="s">
        <v>59</v>
      </c>
      <c r="Q1246" s="232"/>
      <c r="R1246" s="411"/>
      <c r="T1246" s="134" t="s">
        <v>473</v>
      </c>
      <c r="U1246" s="267" t="s">
        <v>3094</v>
      </c>
      <c r="W1246" s="153" t="s">
        <v>3095</v>
      </c>
    </row>
    <row r="1247" spans="1:23" ht="24" customHeight="1" x14ac:dyDescent="0.25">
      <c r="A1247" s="419">
        <v>3000969</v>
      </c>
      <c r="B1247" s="421">
        <v>42432</v>
      </c>
      <c r="C1247" s="419" t="s">
        <v>63</v>
      </c>
      <c r="D1247" s="417" t="s">
        <v>3096</v>
      </c>
      <c r="E1247" s="120">
        <v>500</v>
      </c>
      <c r="F1247" s="133" t="s">
        <v>3097</v>
      </c>
      <c r="G1247" s="434" t="s">
        <v>45</v>
      </c>
      <c r="H1247" s="427">
        <v>1066.67</v>
      </c>
      <c r="I1247" s="89">
        <v>0</v>
      </c>
      <c r="J1247" s="90">
        <f t="shared" si="203"/>
        <v>-20.566730000000003</v>
      </c>
      <c r="K1247" s="90">
        <f t="shared" si="206"/>
        <v>1046.1032700000001</v>
      </c>
      <c r="L1247" s="187">
        <v>754</v>
      </c>
      <c r="N1247" s="91">
        <f t="shared" si="207"/>
        <v>377</v>
      </c>
      <c r="O1247" s="411">
        <f t="shared" si="205"/>
        <v>669.10327000000007</v>
      </c>
      <c r="P1247" s="132" t="s">
        <v>59</v>
      </c>
      <c r="Q1247" s="232"/>
      <c r="R1247" s="411"/>
      <c r="T1247" s="470" t="s">
        <v>473</v>
      </c>
      <c r="U1247" s="446" t="s">
        <v>3098</v>
      </c>
      <c r="W1247" s="559" t="s">
        <v>3099</v>
      </c>
    </row>
    <row r="1248" spans="1:23" x14ac:dyDescent="0.25">
      <c r="A1248" s="432"/>
      <c r="B1248" s="433"/>
      <c r="C1248" s="432"/>
      <c r="D1248" s="454"/>
      <c r="E1248" s="120">
        <v>100</v>
      </c>
      <c r="F1248" s="133" t="s">
        <v>3100</v>
      </c>
      <c r="G1248" s="435"/>
      <c r="H1248" s="438"/>
      <c r="I1248" s="89">
        <f t="shared" si="204"/>
        <v>0</v>
      </c>
      <c r="J1248" s="90">
        <f t="shared" si="203"/>
        <v>-0.3</v>
      </c>
      <c r="K1248" s="90">
        <f t="shared" si="206"/>
        <v>-0.3</v>
      </c>
      <c r="L1248" s="187">
        <v>383</v>
      </c>
      <c r="N1248" s="91">
        <f t="shared" si="207"/>
        <v>38.300000000000004</v>
      </c>
      <c r="O1248" s="411">
        <f t="shared" si="205"/>
        <v>-38.6</v>
      </c>
      <c r="P1248" s="132" t="s">
        <v>59</v>
      </c>
      <c r="Q1248" s="232"/>
      <c r="R1248" s="411"/>
      <c r="T1248" s="471"/>
      <c r="U1248" s="448"/>
      <c r="W1248" s="560"/>
    </row>
    <row r="1249" spans="1:23" x14ac:dyDescent="0.25">
      <c r="A1249" s="420"/>
      <c r="B1249" s="422"/>
      <c r="C1249" s="420"/>
      <c r="D1249" s="418"/>
      <c r="E1249" s="120">
        <v>250</v>
      </c>
      <c r="F1249" s="133" t="s">
        <v>3101</v>
      </c>
      <c r="G1249" s="436"/>
      <c r="H1249" s="428"/>
      <c r="I1249" s="89">
        <f t="shared" si="204"/>
        <v>0</v>
      </c>
      <c r="J1249" s="90">
        <f t="shared" si="203"/>
        <v>-0.3</v>
      </c>
      <c r="K1249" s="90">
        <f t="shared" si="206"/>
        <v>-0.3</v>
      </c>
      <c r="L1249" s="187">
        <v>1480</v>
      </c>
      <c r="N1249" s="91">
        <f t="shared" si="207"/>
        <v>370</v>
      </c>
      <c r="O1249" s="411">
        <f t="shared" si="205"/>
        <v>-370.3</v>
      </c>
      <c r="P1249" s="132" t="s">
        <v>59</v>
      </c>
      <c r="Q1249" s="232"/>
      <c r="R1249" s="411"/>
      <c r="T1249" s="472"/>
      <c r="U1249" s="447"/>
      <c r="W1249" s="561"/>
    </row>
    <row r="1250" spans="1:23" ht="24" x14ac:dyDescent="0.25">
      <c r="A1250" s="405">
        <v>3000970</v>
      </c>
      <c r="B1250" s="406">
        <v>42432</v>
      </c>
      <c r="C1250" s="405" t="s">
        <v>977</v>
      </c>
      <c r="D1250" s="401" t="s">
        <v>3102</v>
      </c>
      <c r="E1250" s="120">
        <v>100</v>
      </c>
      <c r="F1250" s="133" t="s">
        <v>438</v>
      </c>
      <c r="G1250" s="404" t="s">
        <v>45</v>
      </c>
      <c r="H1250" s="411">
        <v>118</v>
      </c>
      <c r="I1250" s="89">
        <v>0</v>
      </c>
      <c r="J1250" s="90">
        <f t="shared" si="203"/>
        <v>-2.5419999999999998</v>
      </c>
      <c r="K1250" s="90">
        <f t="shared" si="206"/>
        <v>115.458</v>
      </c>
      <c r="M1250" s="131">
        <v>33.35</v>
      </c>
      <c r="N1250" s="91">
        <f t="shared" si="207"/>
        <v>33.35</v>
      </c>
      <c r="O1250" s="411">
        <f t="shared" si="205"/>
        <v>82.108000000000004</v>
      </c>
      <c r="P1250" s="132" t="s">
        <v>52</v>
      </c>
      <c r="Q1250" s="232"/>
      <c r="R1250" s="411"/>
      <c r="T1250" s="134" t="s">
        <v>145</v>
      </c>
      <c r="U1250" s="267" t="s">
        <v>3103</v>
      </c>
      <c r="W1250" s="153" t="s">
        <v>3104</v>
      </c>
    </row>
    <row r="1251" spans="1:23" ht="24" x14ac:dyDescent="0.25">
      <c r="A1251" s="419">
        <v>3000971</v>
      </c>
      <c r="B1251" s="421">
        <v>42432</v>
      </c>
      <c r="C1251" s="419" t="s">
        <v>42</v>
      </c>
      <c r="D1251" s="417" t="s">
        <v>2359</v>
      </c>
      <c r="E1251" s="120">
        <v>100</v>
      </c>
      <c r="F1251" s="133" t="s">
        <v>3105</v>
      </c>
      <c r="G1251" s="434" t="s">
        <v>45</v>
      </c>
      <c r="H1251" s="427">
        <v>811.4</v>
      </c>
      <c r="I1251" s="89">
        <f t="shared" si="204"/>
        <v>-73.025999999999996</v>
      </c>
      <c r="J1251" s="90">
        <f t="shared" si="203"/>
        <v>-15.7166</v>
      </c>
      <c r="K1251" s="90">
        <f t="shared" si="206"/>
        <v>722.65740000000005</v>
      </c>
      <c r="L1251" s="131">
        <v>1250</v>
      </c>
      <c r="M1251" s="187">
        <v>51.6</v>
      </c>
      <c r="N1251" s="91">
        <f t="shared" si="207"/>
        <v>176.6</v>
      </c>
      <c r="O1251" s="411">
        <f t="shared" si="205"/>
        <v>546.05740000000003</v>
      </c>
      <c r="P1251" s="132" t="s">
        <v>52</v>
      </c>
      <c r="Q1251" s="232"/>
      <c r="R1251" s="411"/>
      <c r="T1251" s="134" t="s">
        <v>145</v>
      </c>
      <c r="U1251" s="267" t="s">
        <v>3106</v>
      </c>
      <c r="V1251" s="133" t="s">
        <v>3107</v>
      </c>
    </row>
    <row r="1252" spans="1:23" ht="24" x14ac:dyDescent="0.25">
      <c r="A1252" s="420"/>
      <c r="B1252" s="422"/>
      <c r="C1252" s="420"/>
      <c r="D1252" s="418"/>
      <c r="E1252" s="120">
        <v>500</v>
      </c>
      <c r="F1252" s="133" t="s">
        <v>3108</v>
      </c>
      <c r="G1252" s="436"/>
      <c r="H1252" s="428"/>
      <c r="I1252" s="89">
        <f t="shared" si="204"/>
        <v>0</v>
      </c>
      <c r="J1252" s="90">
        <f t="shared" si="203"/>
        <v>-0.3</v>
      </c>
      <c r="K1252" s="90">
        <f t="shared" si="206"/>
        <v>-0.3</v>
      </c>
      <c r="L1252" s="187">
        <v>725</v>
      </c>
      <c r="M1252" s="187">
        <v>44.37</v>
      </c>
      <c r="N1252" s="91">
        <f t="shared" si="207"/>
        <v>406.87</v>
      </c>
      <c r="O1252" s="411">
        <f t="shared" si="205"/>
        <v>-407.17</v>
      </c>
      <c r="P1252" s="132" t="s">
        <v>183</v>
      </c>
      <c r="Q1252" s="232"/>
      <c r="R1252" s="411"/>
      <c r="T1252" s="134" t="s">
        <v>145</v>
      </c>
      <c r="U1252" s="267" t="s">
        <v>3109</v>
      </c>
    </row>
    <row r="1253" spans="1:23" ht="24" x14ac:dyDescent="0.25">
      <c r="A1253" s="405">
        <v>3000972</v>
      </c>
      <c r="B1253" s="406">
        <v>42432</v>
      </c>
      <c r="C1253" s="405" t="s">
        <v>42</v>
      </c>
      <c r="D1253" s="401" t="s">
        <v>3110</v>
      </c>
      <c r="E1253" s="120">
        <v>400</v>
      </c>
      <c r="F1253" s="133" t="s">
        <v>3111</v>
      </c>
      <c r="G1253" s="404" t="s">
        <v>45</v>
      </c>
      <c r="H1253" s="411">
        <v>313.5</v>
      </c>
      <c r="I1253" s="89">
        <f t="shared" si="204"/>
        <v>-28.215</v>
      </c>
      <c r="J1253" s="90">
        <f t="shared" si="203"/>
        <v>-6.2565</v>
      </c>
      <c r="K1253" s="90">
        <f t="shared" si="206"/>
        <v>279.02850000000001</v>
      </c>
      <c r="M1253" s="187">
        <v>50.68</v>
      </c>
      <c r="N1253" s="91">
        <f t="shared" si="207"/>
        <v>50.68</v>
      </c>
      <c r="O1253" s="411">
        <f t="shared" si="205"/>
        <v>228.3485</v>
      </c>
      <c r="P1253" s="132" t="s">
        <v>52</v>
      </c>
      <c r="Q1253" s="232"/>
      <c r="R1253" s="411"/>
      <c r="T1253" s="134" t="s">
        <v>145</v>
      </c>
      <c r="U1253" s="267" t="s">
        <v>3112</v>
      </c>
    </row>
    <row r="1254" spans="1:23" ht="24" x14ac:dyDescent="0.25">
      <c r="A1254" s="405">
        <v>3000973</v>
      </c>
      <c r="B1254" s="406">
        <v>42432</v>
      </c>
      <c r="C1254" s="405" t="s">
        <v>42</v>
      </c>
      <c r="D1254" s="401" t="s">
        <v>2407</v>
      </c>
      <c r="E1254" s="120">
        <v>50</v>
      </c>
      <c r="F1254" s="133" t="s">
        <v>2408</v>
      </c>
      <c r="G1254" s="404" t="s">
        <v>45</v>
      </c>
      <c r="H1254" s="411">
        <v>122.5</v>
      </c>
      <c r="I1254" s="89">
        <f t="shared" si="204"/>
        <v>-11.025</v>
      </c>
      <c r="J1254" s="90">
        <f t="shared" si="203"/>
        <v>-2.6274999999999999</v>
      </c>
      <c r="K1254" s="90">
        <f t="shared" si="206"/>
        <v>108.8475</v>
      </c>
      <c r="L1254" s="158">
        <v>1462</v>
      </c>
      <c r="M1254" s="187">
        <v>19.95</v>
      </c>
      <c r="N1254" s="91">
        <f t="shared" si="207"/>
        <v>93.050000000000011</v>
      </c>
      <c r="O1254" s="411">
        <f t="shared" si="205"/>
        <v>15.797499999999985</v>
      </c>
      <c r="P1254" s="132" t="s">
        <v>926</v>
      </c>
      <c r="Q1254" s="232"/>
      <c r="R1254" s="411"/>
      <c r="T1254" s="134" t="s">
        <v>145</v>
      </c>
      <c r="U1254" s="267" t="s">
        <v>3113</v>
      </c>
    </row>
    <row r="1255" spans="1:23" ht="24" x14ac:dyDescent="0.25">
      <c r="A1255" s="405">
        <v>3000974</v>
      </c>
      <c r="B1255" s="406">
        <v>42432</v>
      </c>
      <c r="C1255" s="405" t="s">
        <v>42</v>
      </c>
      <c r="D1255" s="401" t="s">
        <v>3114</v>
      </c>
      <c r="E1255" s="120">
        <v>250</v>
      </c>
      <c r="F1255" s="133" t="s">
        <v>972</v>
      </c>
      <c r="G1255" s="404" t="s">
        <v>45</v>
      </c>
      <c r="H1255" s="411">
        <v>116.38</v>
      </c>
      <c r="I1255" s="89">
        <f t="shared" si="204"/>
        <v>-10.4742</v>
      </c>
      <c r="J1255" s="90">
        <f t="shared" si="203"/>
        <v>-2.5112199999999998</v>
      </c>
      <c r="K1255" s="90">
        <f t="shared" si="206"/>
        <v>103.39458</v>
      </c>
      <c r="M1255" s="187">
        <v>15.92</v>
      </c>
      <c r="N1255" s="91">
        <f t="shared" si="207"/>
        <v>15.92</v>
      </c>
      <c r="O1255" s="411">
        <f t="shared" si="205"/>
        <v>87.474580000000003</v>
      </c>
      <c r="P1255" s="132" t="s">
        <v>52</v>
      </c>
      <c r="Q1255" s="232"/>
      <c r="R1255" s="411"/>
      <c r="T1255" s="134" t="s">
        <v>145</v>
      </c>
      <c r="U1255" s="267" t="s">
        <v>3115</v>
      </c>
    </row>
    <row r="1256" spans="1:23" ht="24" x14ac:dyDescent="0.25">
      <c r="A1256" s="405">
        <v>3000975</v>
      </c>
      <c r="B1256" s="406">
        <v>42432</v>
      </c>
      <c r="C1256" s="405" t="s">
        <v>42</v>
      </c>
      <c r="D1256" s="401" t="s">
        <v>3116</v>
      </c>
      <c r="E1256" s="120">
        <v>100</v>
      </c>
      <c r="F1256" s="133" t="s">
        <v>829</v>
      </c>
      <c r="G1256" s="404" t="s">
        <v>45</v>
      </c>
      <c r="H1256" s="411">
        <v>114</v>
      </c>
      <c r="I1256" s="89">
        <f t="shared" si="204"/>
        <v>-10.26</v>
      </c>
      <c r="J1256" s="90">
        <f t="shared" si="203"/>
        <v>-2.4659999999999997</v>
      </c>
      <c r="K1256" s="90">
        <f t="shared" si="206"/>
        <v>101.274</v>
      </c>
      <c r="M1256" s="187">
        <v>23.44</v>
      </c>
      <c r="N1256" s="91">
        <f t="shared" si="207"/>
        <v>23.44</v>
      </c>
      <c r="O1256" s="411">
        <f t="shared" si="205"/>
        <v>77.834000000000003</v>
      </c>
      <c r="P1256" s="132" t="s">
        <v>52</v>
      </c>
      <c r="Q1256" s="232"/>
      <c r="R1256" s="411"/>
      <c r="T1256" s="134" t="s">
        <v>145</v>
      </c>
      <c r="U1256" s="267" t="s">
        <v>3117</v>
      </c>
    </row>
    <row r="1257" spans="1:23" ht="24" x14ac:dyDescent="0.25">
      <c r="A1257" s="405">
        <v>3000976</v>
      </c>
      <c r="B1257" s="406">
        <v>42432</v>
      </c>
      <c r="C1257" s="405" t="s">
        <v>42</v>
      </c>
      <c r="D1257" s="401" t="s">
        <v>3118</v>
      </c>
      <c r="E1257" s="120">
        <v>150</v>
      </c>
      <c r="F1257" s="133" t="s">
        <v>217</v>
      </c>
      <c r="G1257" s="404" t="s">
        <v>45</v>
      </c>
      <c r="H1257" s="411">
        <v>332.5</v>
      </c>
      <c r="I1257" s="89">
        <f t="shared" si="204"/>
        <v>-29.924999999999997</v>
      </c>
      <c r="J1257" s="90">
        <f t="shared" si="203"/>
        <v>-6.6174999999999997</v>
      </c>
      <c r="K1257" s="90">
        <f t="shared" si="206"/>
        <v>295.95749999999998</v>
      </c>
      <c r="M1257" s="187">
        <v>43.97</v>
      </c>
      <c r="N1257" s="91">
        <f t="shared" si="207"/>
        <v>43.97</v>
      </c>
      <c r="O1257" s="411">
        <f t="shared" si="205"/>
        <v>251.98749999999998</v>
      </c>
      <c r="P1257" s="132" t="s">
        <v>52</v>
      </c>
      <c r="Q1257" s="232"/>
      <c r="R1257" s="411"/>
      <c r="T1257" s="134" t="s">
        <v>145</v>
      </c>
      <c r="U1257" s="267" t="s">
        <v>3119</v>
      </c>
    </row>
    <row r="1258" spans="1:23" ht="24" x14ac:dyDescent="0.25">
      <c r="A1258" s="405">
        <v>3000977</v>
      </c>
      <c r="B1258" s="406">
        <v>42432</v>
      </c>
      <c r="C1258" s="405" t="s">
        <v>42</v>
      </c>
      <c r="D1258" s="401" t="s">
        <v>3120</v>
      </c>
      <c r="E1258" s="120">
        <v>500</v>
      </c>
      <c r="F1258" s="133" t="s">
        <v>3121</v>
      </c>
      <c r="G1258" s="404" t="s">
        <v>45</v>
      </c>
      <c r="H1258" s="411">
        <v>228</v>
      </c>
      <c r="I1258" s="89">
        <f t="shared" si="204"/>
        <v>-20.52</v>
      </c>
      <c r="J1258" s="90">
        <f t="shared" si="203"/>
        <v>-4.6319999999999997</v>
      </c>
      <c r="K1258" s="90">
        <f t="shared" si="206"/>
        <v>202.84799999999998</v>
      </c>
      <c r="L1258" s="187">
        <v>264</v>
      </c>
      <c r="M1258" s="187">
        <v>19.079999999999998</v>
      </c>
      <c r="N1258" s="91">
        <f t="shared" si="207"/>
        <v>151.07999999999998</v>
      </c>
      <c r="O1258" s="411">
        <f t="shared" si="205"/>
        <v>51.768000000000001</v>
      </c>
      <c r="P1258" s="132" t="s">
        <v>183</v>
      </c>
      <c r="Q1258" s="232"/>
      <c r="R1258" s="411"/>
      <c r="T1258" s="134" t="s">
        <v>145</v>
      </c>
      <c r="U1258" s="267" t="s">
        <v>3122</v>
      </c>
    </row>
    <row r="1259" spans="1:23" ht="24" x14ac:dyDescent="0.25">
      <c r="A1259" s="405">
        <v>3000978</v>
      </c>
      <c r="B1259" s="406">
        <v>42432</v>
      </c>
      <c r="C1259" s="405" t="s">
        <v>42</v>
      </c>
      <c r="D1259" s="401" t="s">
        <v>3123</v>
      </c>
      <c r="E1259" s="120">
        <v>275</v>
      </c>
      <c r="F1259" s="133" t="s">
        <v>422</v>
      </c>
      <c r="G1259" s="404" t="s">
        <v>45</v>
      </c>
      <c r="H1259" s="411">
        <v>447.54</v>
      </c>
      <c r="I1259" s="89">
        <f t="shared" si="204"/>
        <v>-40.278599999999997</v>
      </c>
      <c r="J1259" s="90">
        <f t="shared" si="203"/>
        <v>-8.8032600000000016</v>
      </c>
      <c r="K1259" s="90">
        <f t="shared" si="206"/>
        <v>398.45814000000001</v>
      </c>
      <c r="M1259" s="187">
        <v>75.930000000000007</v>
      </c>
      <c r="N1259" s="91">
        <f t="shared" si="207"/>
        <v>75.930000000000007</v>
      </c>
      <c r="O1259" s="411">
        <f t="shared" si="205"/>
        <v>322.52814000000001</v>
      </c>
      <c r="P1259" s="132" t="s">
        <v>52</v>
      </c>
      <c r="Q1259" s="232"/>
      <c r="R1259" s="411"/>
      <c r="T1259" s="134" t="s">
        <v>145</v>
      </c>
      <c r="U1259" s="267" t="s">
        <v>3124</v>
      </c>
    </row>
    <row r="1260" spans="1:23" ht="24" customHeight="1" x14ac:dyDescent="0.25">
      <c r="A1260" s="419">
        <v>3000979</v>
      </c>
      <c r="B1260" s="421">
        <v>42432</v>
      </c>
      <c r="C1260" s="419" t="s">
        <v>42</v>
      </c>
      <c r="D1260" s="417" t="s">
        <v>3125</v>
      </c>
      <c r="E1260" s="120">
        <v>250</v>
      </c>
      <c r="F1260" s="133" t="s">
        <v>1798</v>
      </c>
      <c r="G1260" s="434" t="s">
        <v>45</v>
      </c>
      <c r="H1260" s="427">
        <v>225</v>
      </c>
      <c r="I1260" s="89">
        <f t="shared" si="204"/>
        <v>-20.25</v>
      </c>
      <c r="J1260" s="90">
        <f t="shared" si="203"/>
        <v>-4.5749999999999993</v>
      </c>
      <c r="K1260" s="90">
        <f t="shared" si="206"/>
        <v>200.17500000000001</v>
      </c>
      <c r="L1260" s="187">
        <v>14.41</v>
      </c>
      <c r="M1260" s="187">
        <v>26.56</v>
      </c>
      <c r="N1260" s="91">
        <f t="shared" si="207"/>
        <v>30.162499999999998</v>
      </c>
      <c r="O1260" s="411">
        <f t="shared" si="205"/>
        <v>170.01250000000002</v>
      </c>
      <c r="P1260" s="132" t="s">
        <v>52</v>
      </c>
      <c r="Q1260" s="232"/>
      <c r="R1260" s="411"/>
      <c r="T1260" s="470" t="s">
        <v>145</v>
      </c>
      <c r="U1260" s="267" t="s">
        <v>3126</v>
      </c>
    </row>
    <row r="1261" spans="1:23" x14ac:dyDescent="0.25">
      <c r="A1261" s="420"/>
      <c r="B1261" s="422"/>
      <c r="C1261" s="420"/>
      <c r="D1261" s="418"/>
      <c r="E1261" s="120">
        <v>250</v>
      </c>
      <c r="F1261" s="133" t="s">
        <v>1137</v>
      </c>
      <c r="G1261" s="436"/>
      <c r="H1261" s="428"/>
      <c r="I1261" s="89">
        <f t="shared" si="204"/>
        <v>0</v>
      </c>
      <c r="J1261" s="90">
        <f t="shared" si="203"/>
        <v>-0.3</v>
      </c>
      <c r="K1261" s="90">
        <f t="shared" si="206"/>
        <v>-0.3</v>
      </c>
      <c r="M1261" s="187">
        <v>27.15</v>
      </c>
      <c r="N1261" s="91">
        <f t="shared" si="207"/>
        <v>27.15</v>
      </c>
      <c r="O1261" s="411">
        <f t="shared" si="205"/>
        <v>-27.45</v>
      </c>
      <c r="P1261" s="132" t="s">
        <v>52</v>
      </c>
      <c r="Q1261" s="232"/>
      <c r="R1261" s="411"/>
      <c r="T1261" s="472"/>
      <c r="U1261" s="267" t="s">
        <v>3127</v>
      </c>
    </row>
    <row r="1262" spans="1:23" ht="24" x14ac:dyDescent="0.25">
      <c r="A1262" s="405">
        <v>3000980</v>
      </c>
      <c r="B1262" s="406">
        <v>42432</v>
      </c>
      <c r="C1262" s="405" t="s">
        <v>42</v>
      </c>
      <c r="D1262" s="401" t="s">
        <v>3128</v>
      </c>
      <c r="E1262" s="120">
        <v>25</v>
      </c>
      <c r="F1262" s="133" t="s">
        <v>165</v>
      </c>
      <c r="G1262" s="404" t="s">
        <v>45</v>
      </c>
      <c r="H1262" s="411">
        <v>39.75</v>
      </c>
      <c r="I1262" s="89">
        <f t="shared" si="204"/>
        <v>-3.5774999999999997</v>
      </c>
      <c r="J1262" s="90">
        <f t="shared" si="203"/>
        <v>-1.05525</v>
      </c>
      <c r="K1262" s="90">
        <f t="shared" si="206"/>
        <v>35.117249999999999</v>
      </c>
      <c r="M1262" s="187">
        <v>33.28</v>
      </c>
      <c r="N1262" s="91">
        <f t="shared" si="207"/>
        <v>33.28</v>
      </c>
      <c r="O1262" s="411">
        <f t="shared" si="205"/>
        <v>1.8372499999999974</v>
      </c>
      <c r="P1262" s="132" t="s">
        <v>52</v>
      </c>
      <c r="Q1262" s="232"/>
      <c r="R1262" s="411"/>
      <c r="T1262" s="134" t="s">
        <v>145</v>
      </c>
      <c r="U1262" s="267" t="s">
        <v>3129</v>
      </c>
    </row>
    <row r="1263" spans="1:23" ht="24" x14ac:dyDescent="0.25">
      <c r="A1263" s="405">
        <v>3000981</v>
      </c>
      <c r="B1263" s="406">
        <v>42432</v>
      </c>
      <c r="C1263" s="405" t="s">
        <v>42</v>
      </c>
      <c r="D1263" s="401" t="s">
        <v>3130</v>
      </c>
      <c r="E1263" s="120">
        <v>250</v>
      </c>
      <c r="F1263" s="133" t="s">
        <v>173</v>
      </c>
      <c r="G1263" s="404" t="s">
        <v>45</v>
      </c>
      <c r="H1263" s="411">
        <v>216.7</v>
      </c>
      <c r="I1263" s="89">
        <f t="shared" si="204"/>
        <v>-19.502999999999997</v>
      </c>
      <c r="J1263" s="90">
        <f t="shared" si="203"/>
        <v>-4.4172999999999991</v>
      </c>
      <c r="K1263" s="90">
        <f t="shared" si="206"/>
        <v>192.77969999999999</v>
      </c>
      <c r="M1263" s="187">
        <v>60.77</v>
      </c>
      <c r="N1263" s="91">
        <f t="shared" si="207"/>
        <v>60.77</v>
      </c>
      <c r="O1263" s="411">
        <f t="shared" si="205"/>
        <v>132.00969999999998</v>
      </c>
      <c r="P1263" s="132" t="s">
        <v>52</v>
      </c>
      <c r="Q1263" s="232"/>
      <c r="R1263" s="411"/>
      <c r="T1263" s="134" t="s">
        <v>145</v>
      </c>
      <c r="U1263" s="267" t="s">
        <v>3131</v>
      </c>
    </row>
    <row r="1264" spans="1:23" ht="24" x14ac:dyDescent="0.25">
      <c r="A1264" s="405">
        <v>3000982</v>
      </c>
      <c r="B1264" s="406">
        <v>42432</v>
      </c>
      <c r="C1264" s="405" t="s">
        <v>42</v>
      </c>
      <c r="D1264" s="401" t="s">
        <v>3132</v>
      </c>
      <c r="E1264" s="120">
        <v>500</v>
      </c>
      <c r="F1264" s="133" t="s">
        <v>175</v>
      </c>
      <c r="G1264" s="404" t="s">
        <v>45</v>
      </c>
      <c r="H1264" s="411">
        <v>266.39</v>
      </c>
      <c r="I1264" s="89">
        <f t="shared" si="204"/>
        <v>-23.975099999999998</v>
      </c>
      <c r="J1264" s="90">
        <f t="shared" si="203"/>
        <v>-5.3614099999999993</v>
      </c>
      <c r="K1264" s="90">
        <f t="shared" si="206"/>
        <v>237.05348999999998</v>
      </c>
      <c r="M1264" s="187">
        <v>51.19</v>
      </c>
      <c r="N1264" s="91">
        <f t="shared" si="207"/>
        <v>51.19</v>
      </c>
      <c r="O1264" s="411">
        <f t="shared" si="205"/>
        <v>185.86348999999998</v>
      </c>
      <c r="P1264" s="132" t="s">
        <v>52</v>
      </c>
      <c r="Q1264" s="232"/>
      <c r="R1264" s="411"/>
      <c r="T1264" s="134" t="s">
        <v>145</v>
      </c>
      <c r="U1264" s="267" t="s">
        <v>3133</v>
      </c>
    </row>
    <row r="1265" spans="1:23" ht="24" x14ac:dyDescent="0.25">
      <c r="A1265" s="405">
        <v>3000983</v>
      </c>
      <c r="B1265" s="406">
        <v>42432</v>
      </c>
      <c r="C1265" s="405" t="s">
        <v>42</v>
      </c>
      <c r="D1265" s="401" t="s">
        <v>3134</v>
      </c>
      <c r="E1265" s="120">
        <v>50</v>
      </c>
      <c r="F1265" s="133" t="s">
        <v>431</v>
      </c>
      <c r="G1265" s="404" t="s">
        <v>45</v>
      </c>
      <c r="H1265" s="411">
        <v>135.09</v>
      </c>
      <c r="I1265" s="89">
        <f t="shared" si="204"/>
        <v>-12.158099999999999</v>
      </c>
      <c r="J1265" s="90">
        <f t="shared" si="203"/>
        <v>-2.8667099999999999</v>
      </c>
      <c r="K1265" s="90">
        <f t="shared" si="206"/>
        <v>120.06519</v>
      </c>
      <c r="M1265" s="187">
        <v>33.18</v>
      </c>
      <c r="N1265" s="91">
        <f t="shared" si="207"/>
        <v>33.18</v>
      </c>
      <c r="O1265" s="411">
        <f t="shared" si="205"/>
        <v>86.885189999999994</v>
      </c>
      <c r="P1265" s="132" t="s">
        <v>52</v>
      </c>
      <c r="Q1265" s="232"/>
      <c r="R1265" s="411"/>
      <c r="T1265" s="134" t="s">
        <v>145</v>
      </c>
      <c r="U1265" s="267" t="s">
        <v>3135</v>
      </c>
    </row>
    <row r="1266" spans="1:23" ht="24" x14ac:dyDescent="0.25">
      <c r="A1266" s="405">
        <v>3000984</v>
      </c>
      <c r="B1266" s="406">
        <v>42432</v>
      </c>
      <c r="C1266" s="405" t="s">
        <v>42</v>
      </c>
      <c r="D1266" s="401" t="s">
        <v>3136</v>
      </c>
      <c r="E1266" s="120">
        <v>100</v>
      </c>
      <c r="F1266" s="133" t="s">
        <v>2180</v>
      </c>
      <c r="G1266" s="404" t="s">
        <v>45</v>
      </c>
      <c r="H1266" s="411">
        <v>187.16</v>
      </c>
      <c r="I1266" s="89">
        <f t="shared" si="204"/>
        <v>-16.8444</v>
      </c>
      <c r="J1266" s="90">
        <f t="shared" si="203"/>
        <v>-3.8560399999999997</v>
      </c>
      <c r="K1266" s="90">
        <f t="shared" si="206"/>
        <v>166.45955999999998</v>
      </c>
      <c r="M1266" s="187">
        <v>33.97</v>
      </c>
      <c r="N1266" s="91">
        <f t="shared" si="207"/>
        <v>33.97</v>
      </c>
      <c r="O1266" s="411">
        <f t="shared" si="205"/>
        <v>132.48955999999998</v>
      </c>
      <c r="P1266" s="132" t="s">
        <v>52</v>
      </c>
      <c r="Q1266" s="232"/>
      <c r="R1266" s="411"/>
      <c r="T1266" s="134" t="s">
        <v>145</v>
      </c>
      <c r="U1266" s="267" t="s">
        <v>3137</v>
      </c>
    </row>
    <row r="1267" spans="1:23" ht="24" x14ac:dyDescent="0.25">
      <c r="A1267" s="405">
        <v>3000985</v>
      </c>
      <c r="B1267" s="406">
        <v>42432</v>
      </c>
      <c r="C1267" s="405" t="s">
        <v>42</v>
      </c>
      <c r="D1267" s="401" t="s">
        <v>3138</v>
      </c>
      <c r="E1267" s="120">
        <v>150</v>
      </c>
      <c r="F1267" s="133" t="s">
        <v>247</v>
      </c>
      <c r="G1267" s="404" t="s">
        <v>45</v>
      </c>
      <c r="H1267" s="411">
        <v>182.08</v>
      </c>
      <c r="I1267" s="89">
        <f t="shared" si="204"/>
        <v>-16.3872</v>
      </c>
      <c r="J1267" s="90">
        <f t="shared" si="203"/>
        <v>-3.7595200000000002</v>
      </c>
      <c r="K1267" s="90">
        <f t="shared" si="206"/>
        <v>161.93328</v>
      </c>
      <c r="M1267" s="187">
        <v>34.159999999999997</v>
      </c>
      <c r="N1267" s="91">
        <f t="shared" si="207"/>
        <v>34.159999999999997</v>
      </c>
      <c r="O1267" s="411">
        <f t="shared" si="205"/>
        <v>127.77328</v>
      </c>
      <c r="P1267" s="132" t="s">
        <v>52</v>
      </c>
      <c r="Q1267" s="232"/>
      <c r="R1267" s="411"/>
      <c r="T1267" s="134" t="s">
        <v>145</v>
      </c>
      <c r="U1267" s="267" t="s">
        <v>3139</v>
      </c>
    </row>
    <row r="1268" spans="1:23" ht="24" x14ac:dyDescent="0.25">
      <c r="A1268" s="405">
        <v>3000986</v>
      </c>
      <c r="B1268" s="406">
        <v>42432</v>
      </c>
      <c r="C1268" s="405" t="s">
        <v>42</v>
      </c>
      <c r="D1268" s="401" t="s">
        <v>3140</v>
      </c>
      <c r="E1268" s="120">
        <v>250</v>
      </c>
      <c r="F1268" s="133" t="s">
        <v>3141</v>
      </c>
      <c r="G1268" s="404" t="s">
        <v>45</v>
      </c>
      <c r="H1268" s="411">
        <v>142.5</v>
      </c>
      <c r="I1268" s="89">
        <f t="shared" si="204"/>
        <v>-12.824999999999999</v>
      </c>
      <c r="J1268" s="90">
        <f t="shared" si="203"/>
        <v>-3.0074999999999998</v>
      </c>
      <c r="K1268" s="90">
        <f t="shared" si="206"/>
        <v>126.66750000000002</v>
      </c>
      <c r="L1268" s="187">
        <v>285</v>
      </c>
      <c r="M1268" s="187">
        <v>19.77</v>
      </c>
      <c r="N1268" s="91">
        <f t="shared" si="207"/>
        <v>91.02</v>
      </c>
      <c r="O1268" s="411">
        <f t="shared" si="205"/>
        <v>35.647500000000022</v>
      </c>
      <c r="P1268" s="132" t="s">
        <v>235</v>
      </c>
      <c r="Q1268" s="232"/>
      <c r="R1268" s="411"/>
      <c r="T1268" s="134" t="s">
        <v>145</v>
      </c>
      <c r="U1268" s="267" t="s">
        <v>3142</v>
      </c>
    </row>
    <row r="1269" spans="1:23" ht="24" x14ac:dyDescent="0.25">
      <c r="A1269" s="405">
        <v>3000987</v>
      </c>
      <c r="B1269" s="406">
        <v>42432</v>
      </c>
      <c r="C1269" s="405" t="s">
        <v>42</v>
      </c>
      <c r="D1269" s="401" t="s">
        <v>3143</v>
      </c>
      <c r="E1269" s="120">
        <v>250</v>
      </c>
      <c r="F1269" s="133" t="s">
        <v>3144</v>
      </c>
      <c r="G1269" s="404" t="s">
        <v>45</v>
      </c>
      <c r="H1269" s="411">
        <v>192.38</v>
      </c>
      <c r="I1269" s="89">
        <f t="shared" si="204"/>
        <v>-17.3142</v>
      </c>
      <c r="J1269" s="90">
        <f t="shared" si="203"/>
        <v>-3.9552199999999997</v>
      </c>
      <c r="K1269" s="90">
        <f t="shared" si="206"/>
        <v>171.11058</v>
      </c>
      <c r="L1269" s="187">
        <v>420</v>
      </c>
      <c r="M1269" s="187">
        <v>33.270000000000003</v>
      </c>
      <c r="N1269" s="91">
        <f t="shared" si="207"/>
        <v>138.27000000000001</v>
      </c>
      <c r="O1269" s="411">
        <f t="shared" si="205"/>
        <v>32.840579999999989</v>
      </c>
      <c r="P1269" s="132" t="s">
        <v>183</v>
      </c>
      <c r="Q1269" s="232"/>
      <c r="R1269" s="411"/>
      <c r="T1269" s="134" t="s">
        <v>145</v>
      </c>
      <c r="U1269" s="267" t="s">
        <v>3145</v>
      </c>
    </row>
    <row r="1270" spans="1:23" ht="24" x14ac:dyDescent="0.25">
      <c r="A1270" s="405">
        <v>3000988</v>
      </c>
      <c r="B1270" s="406">
        <v>42432</v>
      </c>
      <c r="C1270" s="405" t="s">
        <v>237</v>
      </c>
      <c r="D1270" s="401" t="s">
        <v>3146</v>
      </c>
      <c r="E1270" s="120">
        <v>400</v>
      </c>
      <c r="F1270" s="133" t="s">
        <v>247</v>
      </c>
      <c r="G1270" s="404" t="s">
        <v>45</v>
      </c>
      <c r="H1270" s="411">
        <v>450</v>
      </c>
      <c r="I1270" s="89">
        <f t="shared" si="204"/>
        <v>-40.5</v>
      </c>
      <c r="J1270" s="90">
        <f t="shared" si="203"/>
        <v>-8.85</v>
      </c>
      <c r="K1270" s="90">
        <f t="shared" si="206"/>
        <v>400.65</v>
      </c>
      <c r="M1270" s="187">
        <v>88.93</v>
      </c>
      <c r="N1270" s="91">
        <f t="shared" si="207"/>
        <v>88.93</v>
      </c>
      <c r="O1270" s="411">
        <f t="shared" si="205"/>
        <v>311.71999999999997</v>
      </c>
      <c r="P1270" s="132" t="s">
        <v>52</v>
      </c>
      <c r="Q1270" s="232"/>
      <c r="R1270" s="411"/>
      <c r="T1270" s="134" t="s">
        <v>145</v>
      </c>
      <c r="U1270" s="267" t="s">
        <v>3147</v>
      </c>
    </row>
    <row r="1271" spans="1:23" ht="24" x14ac:dyDescent="0.25">
      <c r="A1271" s="405">
        <v>3000989</v>
      </c>
      <c r="B1271" s="406">
        <v>42432</v>
      </c>
      <c r="C1271" s="405" t="s">
        <v>237</v>
      </c>
      <c r="D1271" s="401" t="s">
        <v>3148</v>
      </c>
      <c r="E1271" s="120">
        <v>500</v>
      </c>
      <c r="F1271" s="133" t="s">
        <v>175</v>
      </c>
      <c r="G1271" s="404" t="s">
        <v>45</v>
      </c>
      <c r="H1271" s="411">
        <v>410.85</v>
      </c>
      <c r="I1271" s="89">
        <f t="shared" si="204"/>
        <v>-36.976500000000001</v>
      </c>
      <c r="J1271" s="90">
        <f t="shared" si="203"/>
        <v>-8.1061500000000013</v>
      </c>
      <c r="K1271" s="90">
        <f t="shared" si="206"/>
        <v>365.76735000000002</v>
      </c>
      <c r="M1271" s="187">
        <v>56.13</v>
      </c>
      <c r="N1271" s="91">
        <f t="shared" si="207"/>
        <v>56.13</v>
      </c>
      <c r="O1271" s="411">
        <f t="shared" si="205"/>
        <v>309.63735000000003</v>
      </c>
      <c r="P1271" s="132" t="s">
        <v>52</v>
      </c>
      <c r="Q1271" s="232"/>
      <c r="R1271" s="411"/>
      <c r="T1271" s="134" t="s">
        <v>145</v>
      </c>
      <c r="U1271" s="267" t="s">
        <v>3149</v>
      </c>
    </row>
    <row r="1272" spans="1:23" x14ac:dyDescent="0.25">
      <c r="A1272" s="405">
        <v>3000990</v>
      </c>
      <c r="B1272" s="406">
        <v>42432</v>
      </c>
      <c r="C1272" s="405" t="s">
        <v>237</v>
      </c>
      <c r="D1272" s="401" t="s">
        <v>3150</v>
      </c>
      <c r="E1272" s="120">
        <v>1000</v>
      </c>
      <c r="F1272" s="133" t="s">
        <v>3151</v>
      </c>
      <c r="G1272" s="404" t="s">
        <v>45</v>
      </c>
      <c r="H1272" s="411">
        <v>245</v>
      </c>
      <c r="I1272" s="89">
        <f t="shared" si="204"/>
        <v>-22.05</v>
      </c>
      <c r="J1272" s="90">
        <f t="shared" si="203"/>
        <v>-4.9550000000000001</v>
      </c>
      <c r="K1272" s="90">
        <f t="shared" si="206"/>
        <v>217.99499999999998</v>
      </c>
      <c r="L1272" s="187">
        <v>175</v>
      </c>
      <c r="M1272" s="187">
        <v>21.31</v>
      </c>
      <c r="N1272" s="91">
        <f t="shared" si="207"/>
        <v>196.31</v>
      </c>
      <c r="O1272" s="411">
        <f t="shared" si="205"/>
        <v>21.684999999999974</v>
      </c>
      <c r="P1272" s="132" t="s">
        <v>313</v>
      </c>
      <c r="Q1272" s="232"/>
      <c r="R1272" s="411"/>
      <c r="T1272" s="134" t="s">
        <v>314</v>
      </c>
      <c r="U1272" s="267" t="s">
        <v>3152</v>
      </c>
    </row>
    <row r="1273" spans="1:23" ht="24" x14ac:dyDescent="0.25">
      <c r="A1273" s="405">
        <v>3000991</v>
      </c>
      <c r="B1273" s="406">
        <v>42432</v>
      </c>
      <c r="C1273" s="405" t="s">
        <v>237</v>
      </c>
      <c r="D1273" s="401" t="s">
        <v>3153</v>
      </c>
      <c r="E1273" s="120">
        <v>150</v>
      </c>
      <c r="F1273" s="133" t="s">
        <v>3154</v>
      </c>
      <c r="G1273" s="404" t="s">
        <v>45</v>
      </c>
      <c r="H1273" s="411">
        <v>100.7</v>
      </c>
      <c r="I1273" s="89">
        <f t="shared" si="204"/>
        <v>-9.0630000000000006</v>
      </c>
      <c r="J1273" s="90">
        <f t="shared" ref="J1273:J1278" si="208">-((H1273*0.019)+0.3)</f>
        <v>-2.2132999999999998</v>
      </c>
      <c r="K1273" s="90">
        <f t="shared" si="206"/>
        <v>89.423699999999997</v>
      </c>
      <c r="L1273" s="158">
        <v>336.5</v>
      </c>
      <c r="M1273" s="187">
        <v>12.92</v>
      </c>
      <c r="N1273" s="91">
        <f t="shared" si="207"/>
        <v>63.395000000000003</v>
      </c>
      <c r="O1273" s="411">
        <f t="shared" si="205"/>
        <v>26.028699999999994</v>
      </c>
      <c r="P1273" s="132" t="s">
        <v>643</v>
      </c>
      <c r="Q1273" s="232"/>
      <c r="R1273" s="411"/>
      <c r="T1273" s="134" t="s">
        <v>145</v>
      </c>
      <c r="U1273" s="267" t="s">
        <v>3155</v>
      </c>
    </row>
    <row r="1274" spans="1:23" x14ac:dyDescent="0.25">
      <c r="A1274" s="405">
        <v>3000992</v>
      </c>
      <c r="B1274" s="406">
        <v>42432</v>
      </c>
      <c r="C1274" s="405" t="s">
        <v>237</v>
      </c>
      <c r="D1274" s="401" t="s">
        <v>3156</v>
      </c>
      <c r="E1274" s="120">
        <v>250</v>
      </c>
      <c r="F1274" s="133" t="s">
        <v>528</v>
      </c>
      <c r="G1274" s="404" t="s">
        <v>45</v>
      </c>
      <c r="H1274" s="411">
        <v>584.69000000000005</v>
      </c>
      <c r="I1274" s="89">
        <f t="shared" si="204"/>
        <v>-52.622100000000003</v>
      </c>
      <c r="J1274" s="90">
        <f t="shared" si="208"/>
        <v>-11.409110000000002</v>
      </c>
      <c r="K1274" s="90">
        <f t="shared" si="206"/>
        <v>520.65878999999995</v>
      </c>
      <c r="M1274" s="131">
        <v>165.48</v>
      </c>
      <c r="N1274" s="91">
        <f t="shared" si="207"/>
        <v>165.48</v>
      </c>
      <c r="O1274" s="411">
        <f t="shared" si="205"/>
        <v>355.17878999999994</v>
      </c>
      <c r="P1274" s="132" t="s">
        <v>52</v>
      </c>
      <c r="Q1274" s="232"/>
      <c r="R1274" s="411"/>
      <c r="T1274" s="134" t="s">
        <v>97</v>
      </c>
      <c r="U1274" s="267" t="s">
        <v>3157</v>
      </c>
    </row>
    <row r="1275" spans="1:23" ht="24" x14ac:dyDescent="0.25">
      <c r="A1275" s="405">
        <v>3000993</v>
      </c>
      <c r="B1275" s="406">
        <v>42432</v>
      </c>
      <c r="C1275" s="405" t="s">
        <v>237</v>
      </c>
      <c r="D1275" s="401" t="s">
        <v>3158</v>
      </c>
      <c r="E1275" s="120">
        <v>50</v>
      </c>
      <c r="F1275" s="133" t="s">
        <v>217</v>
      </c>
      <c r="G1275" s="404" t="s">
        <v>45</v>
      </c>
      <c r="H1275" s="411">
        <v>113.84</v>
      </c>
      <c r="I1275" s="89">
        <f t="shared" si="204"/>
        <v>-10.2456</v>
      </c>
      <c r="J1275" s="90">
        <f t="shared" si="208"/>
        <v>-2.4629599999999998</v>
      </c>
      <c r="K1275" s="90">
        <f t="shared" si="206"/>
        <v>101.13144000000001</v>
      </c>
      <c r="M1275" s="187">
        <v>44.65</v>
      </c>
      <c r="N1275" s="91">
        <f t="shared" si="207"/>
        <v>44.65</v>
      </c>
      <c r="O1275" s="411">
        <f t="shared" si="205"/>
        <v>56.481440000000013</v>
      </c>
      <c r="P1275" s="132" t="s">
        <v>52</v>
      </c>
      <c r="Q1275" s="232"/>
      <c r="R1275" s="411"/>
      <c r="T1275" s="134" t="s">
        <v>145</v>
      </c>
      <c r="U1275" s="267" t="s">
        <v>3159</v>
      </c>
    </row>
    <row r="1276" spans="1:23" ht="24" x14ac:dyDescent="0.25">
      <c r="A1276" s="405">
        <v>3000994</v>
      </c>
      <c r="B1276" s="406">
        <v>42432</v>
      </c>
      <c r="C1276" s="405" t="s">
        <v>237</v>
      </c>
      <c r="D1276" s="401" t="s">
        <v>3160</v>
      </c>
      <c r="E1276" s="120">
        <v>100</v>
      </c>
      <c r="F1276" s="133" t="s">
        <v>3161</v>
      </c>
      <c r="G1276" s="404" t="s">
        <v>45</v>
      </c>
      <c r="H1276" s="411">
        <v>304.58999999999997</v>
      </c>
      <c r="I1276" s="89">
        <f t="shared" si="204"/>
        <v>-27.413099999999996</v>
      </c>
      <c r="J1276" s="90">
        <f t="shared" si="208"/>
        <v>-6.0872099999999989</v>
      </c>
      <c r="K1276" s="90">
        <f t="shared" si="206"/>
        <v>271.08969000000002</v>
      </c>
      <c r="L1276" s="158">
        <v>2264</v>
      </c>
      <c r="M1276" s="187">
        <v>32.67</v>
      </c>
      <c r="N1276" s="91">
        <f t="shared" si="207"/>
        <v>259.07</v>
      </c>
      <c r="O1276" s="411">
        <f t="shared" si="205"/>
        <v>12.019690000000026</v>
      </c>
      <c r="P1276" s="132" t="s">
        <v>926</v>
      </c>
      <c r="Q1276" s="232"/>
      <c r="R1276" s="411"/>
      <c r="T1276" s="134" t="s">
        <v>145</v>
      </c>
      <c r="U1276" s="267" t="s">
        <v>3162</v>
      </c>
    </row>
    <row r="1277" spans="1:23" ht="24" x14ac:dyDescent="0.25">
      <c r="A1277" s="405">
        <v>3000995</v>
      </c>
      <c r="B1277" s="406">
        <v>42432</v>
      </c>
      <c r="C1277" s="405" t="s">
        <v>237</v>
      </c>
      <c r="D1277" s="401" t="s">
        <v>3163</v>
      </c>
      <c r="E1277" s="120">
        <v>75</v>
      </c>
      <c r="F1277" s="133" t="s">
        <v>341</v>
      </c>
      <c r="G1277" s="404" t="s">
        <v>45</v>
      </c>
      <c r="H1277" s="411">
        <v>136.66999999999999</v>
      </c>
      <c r="I1277" s="89">
        <f t="shared" si="204"/>
        <v>-12.300299999999998</v>
      </c>
      <c r="J1277" s="90">
        <f t="shared" si="208"/>
        <v>-2.8967299999999994</v>
      </c>
      <c r="K1277" s="90">
        <f t="shared" si="206"/>
        <v>121.47296999999999</v>
      </c>
      <c r="M1277" s="187">
        <v>33.42</v>
      </c>
      <c r="N1277" s="91">
        <f t="shared" si="207"/>
        <v>33.42</v>
      </c>
      <c r="O1277" s="411">
        <f t="shared" si="205"/>
        <v>88.052969999999988</v>
      </c>
      <c r="P1277" s="132" t="s">
        <v>52</v>
      </c>
      <c r="Q1277" s="232"/>
      <c r="R1277" s="411"/>
      <c r="T1277" s="134" t="s">
        <v>145</v>
      </c>
      <c r="U1277" s="267" t="s">
        <v>3164</v>
      </c>
    </row>
    <row r="1278" spans="1:23" ht="24" x14ac:dyDescent="0.25">
      <c r="A1278" s="405">
        <v>3000996</v>
      </c>
      <c r="B1278" s="406">
        <v>42432</v>
      </c>
      <c r="C1278" s="405" t="s">
        <v>237</v>
      </c>
      <c r="D1278" s="401" t="s">
        <v>3165</v>
      </c>
      <c r="E1278" s="120">
        <v>1000</v>
      </c>
      <c r="F1278" s="133" t="s">
        <v>3166</v>
      </c>
      <c r="G1278" s="404" t="s">
        <v>45</v>
      </c>
      <c r="H1278" s="411">
        <v>152.94999999999999</v>
      </c>
      <c r="I1278" s="89">
        <f t="shared" si="204"/>
        <v>-13.765499999999998</v>
      </c>
      <c r="J1278" s="90">
        <f t="shared" si="208"/>
        <v>-3.2060499999999994</v>
      </c>
      <c r="K1278" s="90">
        <f t="shared" si="206"/>
        <v>135.97844999999998</v>
      </c>
      <c r="L1278" s="187">
        <v>100</v>
      </c>
      <c r="M1278" s="187">
        <v>8.66</v>
      </c>
      <c r="N1278" s="91">
        <f t="shared" si="207"/>
        <v>108.66</v>
      </c>
      <c r="O1278" s="411">
        <f t="shared" si="205"/>
        <v>27.318449999999984</v>
      </c>
      <c r="P1278" s="132" t="s">
        <v>643</v>
      </c>
      <c r="Q1278" s="232"/>
      <c r="R1278" s="411"/>
      <c r="T1278" s="134" t="s">
        <v>145</v>
      </c>
      <c r="U1278" s="267" t="s">
        <v>3167</v>
      </c>
    </row>
    <row r="1279" spans="1:23" x14ac:dyDescent="0.25">
      <c r="A1279" s="405">
        <v>3000997</v>
      </c>
      <c r="B1279" s="406">
        <v>42432</v>
      </c>
      <c r="C1279" s="405" t="s">
        <v>63</v>
      </c>
      <c r="D1279" s="401" t="s">
        <v>2912</v>
      </c>
      <c r="E1279" s="120">
        <v>350</v>
      </c>
      <c r="F1279" s="133" t="s">
        <v>528</v>
      </c>
      <c r="G1279" s="404" t="s">
        <v>45</v>
      </c>
      <c r="H1279" s="411">
        <v>680.4</v>
      </c>
      <c r="I1279" s="89">
        <v>0</v>
      </c>
      <c r="J1279" s="90">
        <f t="shared" ref="J1279:J1288" si="209">-((H1279*0.019)+0.3)</f>
        <v>-13.227600000000001</v>
      </c>
      <c r="K1279" s="90">
        <f t="shared" ref="K1279:K1289" si="210">SUM(H1279:J1279)</f>
        <v>667.17239999999993</v>
      </c>
      <c r="M1279" s="131">
        <v>138.84</v>
      </c>
      <c r="N1279" s="91">
        <f t="shared" si="207"/>
        <v>138.84</v>
      </c>
      <c r="O1279" s="411">
        <f t="shared" si="205"/>
        <v>528.33239999999989</v>
      </c>
      <c r="P1279" s="132" t="s">
        <v>52</v>
      </c>
      <c r="Q1279" s="232"/>
      <c r="R1279" s="411">
        <v>50.4</v>
      </c>
      <c r="T1279" s="134" t="s">
        <v>1467</v>
      </c>
      <c r="U1279" s="267" t="s">
        <v>3168</v>
      </c>
      <c r="V1279" s="133" t="s">
        <v>3169</v>
      </c>
      <c r="W1279" s="153" t="s">
        <v>3170</v>
      </c>
    </row>
    <row r="1280" spans="1:23" x14ac:dyDescent="0.25">
      <c r="A1280" s="405">
        <v>3000998</v>
      </c>
      <c r="B1280" s="406">
        <v>42432</v>
      </c>
      <c r="C1280" s="405" t="s">
        <v>42</v>
      </c>
      <c r="D1280" s="401" t="s">
        <v>3171</v>
      </c>
      <c r="E1280" s="120">
        <v>100</v>
      </c>
      <c r="F1280" s="133" t="s">
        <v>784</v>
      </c>
      <c r="G1280" s="404" t="s">
        <v>45</v>
      </c>
      <c r="H1280" s="411">
        <v>800</v>
      </c>
      <c r="I1280" s="89">
        <f t="shared" si="204"/>
        <v>-72</v>
      </c>
      <c r="J1280" s="90">
        <f t="shared" si="209"/>
        <v>-15.5</v>
      </c>
      <c r="K1280" s="90">
        <f t="shared" si="210"/>
        <v>712.5</v>
      </c>
      <c r="M1280" s="187">
        <v>150</v>
      </c>
      <c r="N1280" s="91">
        <f t="shared" si="207"/>
        <v>150</v>
      </c>
      <c r="O1280" s="411">
        <f t="shared" si="205"/>
        <v>562.5</v>
      </c>
      <c r="P1280" s="132" t="s">
        <v>52</v>
      </c>
      <c r="Q1280" s="232"/>
      <c r="R1280" s="411"/>
      <c r="T1280" s="134" t="s">
        <v>97</v>
      </c>
      <c r="U1280" s="267" t="s">
        <v>3172</v>
      </c>
      <c r="V1280" s="133" t="s">
        <v>3169</v>
      </c>
    </row>
    <row r="1281" spans="1:23" ht="24" customHeight="1" x14ac:dyDescent="0.25">
      <c r="A1281" s="419">
        <v>3000999</v>
      </c>
      <c r="B1281" s="421">
        <v>42432</v>
      </c>
      <c r="C1281" s="419" t="s">
        <v>141</v>
      </c>
      <c r="D1281" s="417" t="s">
        <v>3173</v>
      </c>
      <c r="E1281" s="120">
        <v>500</v>
      </c>
      <c r="F1281" s="133" t="s">
        <v>3174</v>
      </c>
      <c r="G1281" s="434" t="s">
        <v>45</v>
      </c>
      <c r="H1281" s="427">
        <v>360</v>
      </c>
      <c r="I1281" s="89">
        <v>0</v>
      </c>
      <c r="J1281" s="90">
        <f t="shared" si="209"/>
        <v>-7.14</v>
      </c>
      <c r="K1281" s="90">
        <f t="shared" si="210"/>
        <v>352.86</v>
      </c>
      <c r="L1281" s="187">
        <v>167</v>
      </c>
      <c r="N1281" s="91">
        <f t="shared" si="207"/>
        <v>83.5</v>
      </c>
      <c r="O1281" s="411">
        <f t="shared" si="205"/>
        <v>269.36</v>
      </c>
      <c r="P1281" s="132" t="s">
        <v>3175</v>
      </c>
      <c r="Q1281" s="232"/>
      <c r="R1281" s="411"/>
      <c r="T1281" s="439" t="s">
        <v>204</v>
      </c>
      <c r="U1281" s="481" t="s">
        <v>3176</v>
      </c>
    </row>
    <row r="1282" spans="1:23" x14ac:dyDescent="0.25">
      <c r="A1282" s="420"/>
      <c r="B1282" s="422"/>
      <c r="C1282" s="420"/>
      <c r="D1282" s="418"/>
      <c r="E1282" s="120">
        <v>500</v>
      </c>
      <c r="F1282" s="133" t="s">
        <v>3177</v>
      </c>
      <c r="G1282" s="436"/>
      <c r="H1282" s="428"/>
      <c r="I1282" s="89">
        <f t="shared" si="204"/>
        <v>0</v>
      </c>
      <c r="J1282" s="90">
        <f t="shared" si="209"/>
        <v>-0.3</v>
      </c>
      <c r="K1282" s="90">
        <f t="shared" si="210"/>
        <v>-0.3</v>
      </c>
      <c r="L1282" s="131">
        <v>165</v>
      </c>
      <c r="N1282" s="91">
        <f t="shared" si="207"/>
        <v>82.5</v>
      </c>
      <c r="O1282" s="411">
        <f t="shared" si="205"/>
        <v>-82.8</v>
      </c>
      <c r="P1282" s="132" t="s">
        <v>3175</v>
      </c>
      <c r="Q1282" s="232"/>
      <c r="R1282" s="411"/>
      <c r="T1282" s="441"/>
      <c r="U1282" s="483"/>
    </row>
    <row r="1283" spans="1:23" x14ac:dyDescent="0.25">
      <c r="A1283" s="405">
        <v>3001000</v>
      </c>
      <c r="B1283" s="406">
        <v>42432</v>
      </c>
      <c r="C1283" s="405" t="s">
        <v>977</v>
      </c>
      <c r="D1283" s="401" t="s">
        <v>3178</v>
      </c>
      <c r="E1283" s="120">
        <v>300</v>
      </c>
      <c r="F1283" s="133" t="s">
        <v>247</v>
      </c>
      <c r="G1283" s="193" t="s">
        <v>4</v>
      </c>
      <c r="H1283" s="411">
        <v>0</v>
      </c>
      <c r="I1283" s="89">
        <v>0</v>
      </c>
      <c r="J1283" s="90">
        <f t="shared" si="209"/>
        <v>-0.3</v>
      </c>
      <c r="K1283" s="90">
        <f t="shared" si="210"/>
        <v>-0.3</v>
      </c>
      <c r="L1283" s="131">
        <v>0</v>
      </c>
      <c r="N1283" s="91">
        <f t="shared" si="207"/>
        <v>0</v>
      </c>
      <c r="O1283" s="411">
        <f t="shared" si="205"/>
        <v>-0.3</v>
      </c>
      <c r="P1283" s="132" t="s">
        <v>52</v>
      </c>
      <c r="Q1283" s="232"/>
      <c r="R1283" s="411"/>
      <c r="T1283" s="134"/>
      <c r="U1283" s="266"/>
    </row>
    <row r="1284" spans="1:23" x14ac:dyDescent="0.25">
      <c r="A1284" s="405">
        <v>3001001</v>
      </c>
      <c r="B1284" s="406">
        <v>42432</v>
      </c>
      <c r="C1284" s="405" t="s">
        <v>56</v>
      </c>
      <c r="D1284" s="401" t="s">
        <v>3179</v>
      </c>
      <c r="E1284" s="120">
        <v>400</v>
      </c>
      <c r="F1284" s="133" t="s">
        <v>198</v>
      </c>
      <c r="G1284" s="404" t="s">
        <v>45</v>
      </c>
      <c r="H1284" s="411">
        <v>1064</v>
      </c>
      <c r="I1284" s="89">
        <v>0</v>
      </c>
      <c r="J1284" s="90">
        <f t="shared" si="209"/>
        <v>-20.516000000000002</v>
      </c>
      <c r="K1284" s="90">
        <f t="shared" si="210"/>
        <v>1043.4839999999999</v>
      </c>
      <c r="M1284" s="187">
        <v>109.37</v>
      </c>
      <c r="N1284" s="91">
        <f t="shared" si="207"/>
        <v>109.37</v>
      </c>
      <c r="O1284" s="411">
        <f t="shared" si="205"/>
        <v>934.11399999999992</v>
      </c>
      <c r="P1284" s="132" t="s">
        <v>52</v>
      </c>
      <c r="Q1284" s="232"/>
      <c r="R1284" s="411"/>
      <c r="T1284" s="134" t="s">
        <v>97</v>
      </c>
      <c r="U1284" s="267" t="s">
        <v>3180</v>
      </c>
      <c r="V1284" s="133" t="s">
        <v>3181</v>
      </c>
    </row>
    <row r="1285" spans="1:23" x14ac:dyDescent="0.25">
      <c r="A1285" s="405">
        <v>3001002</v>
      </c>
      <c r="B1285" s="406">
        <v>42432</v>
      </c>
      <c r="C1285" s="405" t="s">
        <v>555</v>
      </c>
      <c r="D1285" s="401" t="s">
        <v>3182</v>
      </c>
      <c r="E1285" s="120">
        <v>820</v>
      </c>
      <c r="F1285" s="133" t="s">
        <v>3183</v>
      </c>
      <c r="G1285" s="404" t="s">
        <v>45</v>
      </c>
      <c r="H1285" s="411">
        <v>4000</v>
      </c>
      <c r="I1285" s="89">
        <v>0</v>
      </c>
      <c r="J1285" s="90">
        <f t="shared" si="209"/>
        <v>-76.3</v>
      </c>
      <c r="K1285" s="90">
        <f t="shared" si="210"/>
        <v>3923.7</v>
      </c>
      <c r="L1285" s="187">
        <v>2350</v>
      </c>
      <c r="M1285" s="187">
        <v>135.6</v>
      </c>
      <c r="N1285" s="91">
        <f t="shared" si="207"/>
        <v>2062.6000000000004</v>
      </c>
      <c r="O1285" s="411">
        <f t="shared" si="205"/>
        <v>1861.0999999999995</v>
      </c>
      <c r="P1285" s="132" t="s">
        <v>3184</v>
      </c>
      <c r="Q1285" s="232"/>
      <c r="R1285" s="411"/>
      <c r="T1285" s="134" t="s">
        <v>3185</v>
      </c>
      <c r="U1285" s="267" t="s">
        <v>3186</v>
      </c>
    </row>
    <row r="1286" spans="1:23" ht="24" x14ac:dyDescent="0.25">
      <c r="A1286" s="405">
        <v>3001003</v>
      </c>
      <c r="B1286" s="406">
        <v>42432</v>
      </c>
      <c r="C1286" s="405" t="s">
        <v>237</v>
      </c>
      <c r="D1286" s="401" t="s">
        <v>3187</v>
      </c>
      <c r="E1286" s="120">
        <v>100</v>
      </c>
      <c r="F1286" s="133" t="s">
        <v>3188</v>
      </c>
      <c r="G1286" s="404" t="s">
        <v>45</v>
      </c>
      <c r="H1286" s="411">
        <v>95.04</v>
      </c>
      <c r="I1286" s="89">
        <f t="shared" si="204"/>
        <v>-8.5535999999999994</v>
      </c>
      <c r="J1286" s="90">
        <f t="shared" si="209"/>
        <v>-2.1057600000000001</v>
      </c>
      <c r="K1286" s="90">
        <f t="shared" si="210"/>
        <v>84.38064</v>
      </c>
      <c r="L1286" s="131">
        <v>55.95</v>
      </c>
      <c r="N1286" s="91">
        <f t="shared" si="207"/>
        <v>5.5950000000000006</v>
      </c>
      <c r="O1286" s="411">
        <f t="shared" si="205"/>
        <v>78.785640000000001</v>
      </c>
      <c r="P1286" s="132" t="s">
        <v>42</v>
      </c>
      <c r="Q1286" s="232"/>
      <c r="R1286" s="411"/>
      <c r="T1286" s="134" t="s">
        <v>1826</v>
      </c>
      <c r="U1286" s="267" t="s">
        <v>3189</v>
      </c>
    </row>
    <row r="1287" spans="1:23" ht="24" x14ac:dyDescent="0.25">
      <c r="A1287" s="405">
        <v>3001004</v>
      </c>
      <c r="B1287" s="406">
        <v>42432</v>
      </c>
      <c r="C1287" s="405" t="s">
        <v>237</v>
      </c>
      <c r="D1287" s="401" t="s">
        <v>3190</v>
      </c>
      <c r="E1287" s="120">
        <v>1000</v>
      </c>
      <c r="F1287" s="133" t="s">
        <v>3191</v>
      </c>
      <c r="G1287" s="404" t="s">
        <v>45</v>
      </c>
      <c r="H1287" s="411">
        <v>558.36</v>
      </c>
      <c r="I1287" s="89">
        <f t="shared" si="204"/>
        <v>-50.252400000000002</v>
      </c>
      <c r="J1287" s="90">
        <f t="shared" si="209"/>
        <v>-10.908840000000001</v>
      </c>
      <c r="K1287" s="90">
        <f t="shared" si="210"/>
        <v>497.19875999999999</v>
      </c>
      <c r="L1287" s="131">
        <v>348.48</v>
      </c>
      <c r="N1287" s="91">
        <f t="shared" si="207"/>
        <v>348.48</v>
      </c>
      <c r="O1287" s="411">
        <f t="shared" si="205"/>
        <v>148.71875999999997</v>
      </c>
      <c r="P1287" s="132" t="s">
        <v>42</v>
      </c>
      <c r="Q1287" s="232"/>
      <c r="R1287" s="411"/>
      <c r="T1287" s="134" t="s">
        <v>204</v>
      </c>
      <c r="U1287" s="267" t="s">
        <v>3192</v>
      </c>
    </row>
    <row r="1288" spans="1:23" ht="24" x14ac:dyDescent="0.25">
      <c r="A1288" s="405">
        <v>3001005</v>
      </c>
      <c r="B1288" s="406">
        <v>42432</v>
      </c>
      <c r="C1288" s="405" t="s">
        <v>237</v>
      </c>
      <c r="D1288" s="401" t="s">
        <v>3193</v>
      </c>
      <c r="E1288" s="120">
        <v>100</v>
      </c>
      <c r="F1288" s="133" t="s">
        <v>173</v>
      </c>
      <c r="G1288" s="404" t="s">
        <v>45</v>
      </c>
      <c r="H1288" s="411">
        <v>116.62</v>
      </c>
      <c r="I1288" s="89">
        <f t="shared" ref="I1288" si="211">-(H1288*0.09)</f>
        <v>-10.495800000000001</v>
      </c>
      <c r="J1288" s="90">
        <f t="shared" si="209"/>
        <v>-2.5157799999999999</v>
      </c>
      <c r="K1288" s="90">
        <f t="shared" si="210"/>
        <v>103.60842</v>
      </c>
      <c r="M1288" s="187">
        <v>24.88</v>
      </c>
      <c r="N1288" s="91">
        <f t="shared" si="207"/>
        <v>24.88</v>
      </c>
      <c r="O1288" s="411">
        <f t="shared" si="205"/>
        <v>78.72842</v>
      </c>
      <c r="P1288" s="132" t="s">
        <v>52</v>
      </c>
      <c r="Q1288" s="232"/>
      <c r="R1288" s="411"/>
      <c r="T1288" s="134" t="s">
        <v>145</v>
      </c>
      <c r="U1288" s="267" t="s">
        <v>3194</v>
      </c>
    </row>
    <row r="1289" spans="1:23" x14ac:dyDescent="0.25">
      <c r="A1289" s="405">
        <v>3001006</v>
      </c>
      <c r="B1289" s="406">
        <v>42433</v>
      </c>
      <c r="C1289" s="405" t="s">
        <v>141</v>
      </c>
      <c r="D1289" s="401" t="s">
        <v>3195</v>
      </c>
      <c r="E1289" s="120">
        <v>250</v>
      </c>
      <c r="F1289" s="133" t="s">
        <v>3196</v>
      </c>
      <c r="G1289" s="404" t="s">
        <v>45</v>
      </c>
      <c r="H1289" s="411">
        <v>156.75</v>
      </c>
      <c r="I1289" s="411">
        <v>0</v>
      </c>
      <c r="J1289" s="90">
        <f>-((H1289*0.0325)+0.3)</f>
        <v>-5.3943750000000001</v>
      </c>
      <c r="K1289" s="90">
        <f t="shared" si="210"/>
        <v>151.355625</v>
      </c>
      <c r="L1289" s="187">
        <v>350</v>
      </c>
      <c r="N1289" s="91">
        <f t="shared" si="207"/>
        <v>87.5</v>
      </c>
      <c r="O1289" s="411">
        <f t="shared" ref="O1289:O1352" si="212">K1289-N1289</f>
        <v>63.855625000000003</v>
      </c>
      <c r="P1289" s="132" t="s">
        <v>183</v>
      </c>
      <c r="Q1289" s="232"/>
      <c r="R1289" s="411"/>
      <c r="T1289" s="134" t="s">
        <v>3197</v>
      </c>
      <c r="U1289" s="267" t="s">
        <v>3198</v>
      </c>
      <c r="W1289" s="153" t="s">
        <v>3199</v>
      </c>
    </row>
    <row r="1290" spans="1:23" ht="24" x14ac:dyDescent="0.25">
      <c r="A1290" s="419">
        <v>3001007</v>
      </c>
      <c r="B1290" s="421">
        <v>42433</v>
      </c>
      <c r="C1290" s="419" t="s">
        <v>56</v>
      </c>
      <c r="D1290" s="417" t="s">
        <v>1303</v>
      </c>
      <c r="E1290" s="120">
        <v>500</v>
      </c>
      <c r="F1290" s="133" t="s">
        <v>3200</v>
      </c>
      <c r="G1290" s="434" t="s">
        <v>45</v>
      </c>
      <c r="H1290" s="427">
        <v>1571.61</v>
      </c>
      <c r="I1290" s="427">
        <v>0</v>
      </c>
      <c r="J1290" s="427">
        <v>0</v>
      </c>
      <c r="K1290" s="425">
        <v>1571.61</v>
      </c>
      <c r="L1290" s="187">
        <v>461.3</v>
      </c>
      <c r="N1290" s="91">
        <f t="shared" si="207"/>
        <v>230.65</v>
      </c>
      <c r="O1290" s="411">
        <f t="shared" si="212"/>
        <v>1340.9599999999998</v>
      </c>
      <c r="P1290" s="132" t="s">
        <v>46</v>
      </c>
      <c r="Q1290" s="232"/>
      <c r="R1290" s="411"/>
      <c r="T1290" s="134" t="s">
        <v>324</v>
      </c>
      <c r="U1290" s="267" t="s">
        <v>3201</v>
      </c>
      <c r="V1290" s="133" t="s">
        <v>3202</v>
      </c>
      <c r="W1290" s="153" t="s">
        <v>3203</v>
      </c>
    </row>
    <row r="1291" spans="1:23" x14ac:dyDescent="0.25">
      <c r="A1291" s="432"/>
      <c r="B1291" s="433"/>
      <c r="C1291" s="432"/>
      <c r="D1291" s="454"/>
      <c r="E1291" s="120">
        <v>1000</v>
      </c>
      <c r="F1291" s="133" t="s">
        <v>2635</v>
      </c>
      <c r="G1291" s="435"/>
      <c r="H1291" s="438"/>
      <c r="I1291" s="438"/>
      <c r="J1291" s="438"/>
      <c r="K1291" s="437"/>
      <c r="L1291" s="187">
        <v>660</v>
      </c>
      <c r="M1291" s="201">
        <v>61.2</v>
      </c>
      <c r="N1291" s="91">
        <f t="shared" si="207"/>
        <v>721.2</v>
      </c>
      <c r="O1291" s="411">
        <f t="shared" si="212"/>
        <v>-721.2</v>
      </c>
      <c r="P1291" s="132" t="s">
        <v>183</v>
      </c>
      <c r="Q1291" s="232"/>
      <c r="R1291" s="411"/>
      <c r="T1291" s="134" t="s">
        <v>3204</v>
      </c>
      <c r="U1291" s="267" t="s">
        <v>3205</v>
      </c>
      <c r="V1291" s="133" t="s">
        <v>3206</v>
      </c>
    </row>
    <row r="1292" spans="1:23" x14ac:dyDescent="0.25">
      <c r="A1292" s="432"/>
      <c r="B1292" s="433"/>
      <c r="C1292" s="432"/>
      <c r="D1292" s="454"/>
      <c r="E1292" s="120">
        <v>500</v>
      </c>
      <c r="F1292" s="133" t="s">
        <v>3207</v>
      </c>
      <c r="G1292" s="435"/>
      <c r="H1292" s="438"/>
      <c r="I1292" s="438"/>
      <c r="J1292" s="438"/>
      <c r="K1292" s="437"/>
      <c r="L1292" s="200">
        <v>30</v>
      </c>
      <c r="M1292" s="201">
        <v>15.35</v>
      </c>
      <c r="N1292" s="199">
        <f t="shared" ref="N1292:N1355" si="213">((L1292)*(E1292*0.001))+M1292</f>
        <v>30.35</v>
      </c>
      <c r="O1292" s="411">
        <f t="shared" si="212"/>
        <v>-30.35</v>
      </c>
      <c r="P1292" s="132" t="s">
        <v>235</v>
      </c>
      <c r="Q1292" s="232"/>
      <c r="R1292" s="411"/>
      <c r="T1292" s="439" t="s">
        <v>145</v>
      </c>
      <c r="U1292" s="446" t="s">
        <v>3208</v>
      </c>
      <c r="V1292" s="133" t="s">
        <v>3209</v>
      </c>
    </row>
    <row r="1293" spans="1:23" x14ac:dyDescent="0.25">
      <c r="A1293" s="420"/>
      <c r="B1293" s="422"/>
      <c r="C1293" s="420"/>
      <c r="D1293" s="418"/>
      <c r="E1293" s="120">
        <v>1000</v>
      </c>
      <c r="F1293" s="133" t="s">
        <v>3210</v>
      </c>
      <c r="G1293" s="436"/>
      <c r="H1293" s="428"/>
      <c r="I1293" s="428"/>
      <c r="J1293" s="428"/>
      <c r="K1293" s="426"/>
      <c r="L1293" s="200">
        <v>75</v>
      </c>
      <c r="M1293" s="202"/>
      <c r="N1293" s="199">
        <f t="shared" si="213"/>
        <v>75</v>
      </c>
      <c r="O1293" s="411">
        <f t="shared" si="212"/>
        <v>-75</v>
      </c>
      <c r="P1293" s="132" t="s">
        <v>235</v>
      </c>
      <c r="Q1293" s="232"/>
      <c r="R1293" s="411"/>
      <c r="T1293" s="441"/>
      <c r="U1293" s="447"/>
      <c r="V1293" s="133" t="s">
        <v>3209</v>
      </c>
    </row>
    <row r="1294" spans="1:23" ht="24" x14ac:dyDescent="0.25">
      <c r="A1294" s="419">
        <v>3001008</v>
      </c>
      <c r="B1294" s="421">
        <v>42433</v>
      </c>
      <c r="C1294" s="419" t="s">
        <v>56</v>
      </c>
      <c r="D1294" s="417" t="s">
        <v>3211</v>
      </c>
      <c r="E1294" s="120">
        <v>7628</v>
      </c>
      <c r="F1294" s="119" t="s">
        <v>3212</v>
      </c>
      <c r="G1294" s="434" t="s">
        <v>45</v>
      </c>
      <c r="H1294" s="427">
        <v>72692.25</v>
      </c>
      <c r="I1294" s="427">
        <v>0</v>
      </c>
      <c r="J1294" s="427">
        <v>0</v>
      </c>
      <c r="K1294" s="425">
        <f t="shared" ref="K1294:K1299" si="214">SUM(H1294:J1294)</f>
        <v>72692.25</v>
      </c>
      <c r="L1294" s="187">
        <v>2910</v>
      </c>
      <c r="M1294" s="148"/>
      <c r="N1294" s="91">
        <f t="shared" si="213"/>
        <v>22197.48</v>
      </c>
      <c r="O1294" s="411">
        <f t="shared" si="212"/>
        <v>50494.770000000004</v>
      </c>
      <c r="P1294" s="132" t="s">
        <v>183</v>
      </c>
      <c r="Q1294" s="232"/>
      <c r="R1294" s="411"/>
      <c r="T1294" s="134" t="s">
        <v>399</v>
      </c>
      <c r="U1294" s="267" t="s">
        <v>3213</v>
      </c>
      <c r="V1294" s="133" t="s">
        <v>3214</v>
      </c>
      <c r="W1294" s="153"/>
    </row>
    <row r="1295" spans="1:23" ht="24" x14ac:dyDescent="0.25">
      <c r="A1295" s="432"/>
      <c r="B1295" s="433"/>
      <c r="C1295" s="432"/>
      <c r="D1295" s="454"/>
      <c r="E1295" s="120">
        <v>5000</v>
      </c>
      <c r="F1295" s="119" t="s">
        <v>3215</v>
      </c>
      <c r="G1295" s="435"/>
      <c r="H1295" s="438"/>
      <c r="I1295" s="438"/>
      <c r="J1295" s="438"/>
      <c r="K1295" s="437"/>
      <c r="L1295" s="131">
        <v>4800</v>
      </c>
      <c r="M1295" s="468">
        <v>615</v>
      </c>
      <c r="N1295" s="91">
        <f t="shared" si="213"/>
        <v>24615</v>
      </c>
      <c r="O1295" s="411">
        <f t="shared" si="212"/>
        <v>-24615</v>
      </c>
      <c r="P1295" s="132" t="s">
        <v>86</v>
      </c>
      <c r="Q1295" s="232"/>
      <c r="R1295" s="411"/>
      <c r="T1295" s="470" t="s">
        <v>97</v>
      </c>
      <c r="U1295" s="481" t="s">
        <v>3216</v>
      </c>
      <c r="V1295" s="133" t="s">
        <v>3217</v>
      </c>
      <c r="W1295" s="153"/>
    </row>
    <row r="1296" spans="1:23" ht="24" x14ac:dyDescent="0.25">
      <c r="A1296" s="420"/>
      <c r="B1296" s="422"/>
      <c r="C1296" s="420"/>
      <c r="D1296" s="418"/>
      <c r="E1296" s="120">
        <v>2382</v>
      </c>
      <c r="F1296" s="119" t="s">
        <v>3218</v>
      </c>
      <c r="G1296" s="436"/>
      <c r="H1296" s="428"/>
      <c r="I1296" s="428"/>
      <c r="J1296" s="428"/>
      <c r="K1296" s="426"/>
      <c r="L1296" s="187">
        <v>4725</v>
      </c>
      <c r="M1296" s="469"/>
      <c r="N1296" s="91">
        <f t="shared" si="213"/>
        <v>11254.95</v>
      </c>
      <c r="O1296" s="411">
        <f t="shared" si="212"/>
        <v>-11254.95</v>
      </c>
      <c r="P1296" s="132" t="s">
        <v>76</v>
      </c>
      <c r="Q1296" s="232"/>
      <c r="R1296" s="411"/>
      <c r="T1296" s="472"/>
      <c r="U1296" s="483"/>
      <c r="V1296" s="133" t="s">
        <v>3219</v>
      </c>
      <c r="W1296" s="153"/>
    </row>
    <row r="1297" spans="1:23" x14ac:dyDescent="0.25">
      <c r="A1297" s="419">
        <v>3001009</v>
      </c>
      <c r="B1297" s="421">
        <v>42433</v>
      </c>
      <c r="C1297" s="419" t="s">
        <v>63</v>
      </c>
      <c r="D1297" s="417" t="s">
        <v>3220</v>
      </c>
      <c r="E1297" s="120">
        <v>500</v>
      </c>
      <c r="F1297" s="133" t="s">
        <v>70</v>
      </c>
      <c r="G1297" s="434" t="s">
        <v>45</v>
      </c>
      <c r="H1297" s="427">
        <v>1770</v>
      </c>
      <c r="I1297" s="427">
        <v>0</v>
      </c>
      <c r="J1297" s="425">
        <f>-((H1297*0.022)+0.3)</f>
        <v>-39.239999999999995</v>
      </c>
      <c r="K1297" s="425">
        <f t="shared" si="214"/>
        <v>1730.76</v>
      </c>
      <c r="L1297" s="131">
        <v>1540</v>
      </c>
      <c r="M1297" s="468">
        <v>233.72</v>
      </c>
      <c r="N1297" s="91">
        <f t="shared" si="213"/>
        <v>1003.72</v>
      </c>
      <c r="O1297" s="411">
        <f t="shared" si="212"/>
        <v>727.04</v>
      </c>
      <c r="P1297" s="132" t="s">
        <v>52</v>
      </c>
      <c r="Q1297" s="232"/>
      <c r="R1297" s="411"/>
      <c r="T1297" s="439" t="s">
        <v>97</v>
      </c>
      <c r="U1297" s="446" t="s">
        <v>3221</v>
      </c>
      <c r="V1297" s="133" t="s">
        <v>55</v>
      </c>
    </row>
    <row r="1298" spans="1:23" x14ac:dyDescent="0.25">
      <c r="A1298" s="420"/>
      <c r="B1298" s="422"/>
      <c r="C1298" s="420"/>
      <c r="D1298" s="418"/>
      <c r="E1298" s="120">
        <v>500</v>
      </c>
      <c r="F1298" s="133" t="s">
        <v>829</v>
      </c>
      <c r="G1298" s="436"/>
      <c r="H1298" s="428"/>
      <c r="I1298" s="428"/>
      <c r="J1298" s="426"/>
      <c r="K1298" s="426"/>
      <c r="L1298" s="131">
        <v>510</v>
      </c>
      <c r="M1298" s="469"/>
      <c r="N1298" s="91">
        <f t="shared" si="213"/>
        <v>255</v>
      </c>
      <c r="O1298" s="411">
        <f t="shared" si="212"/>
        <v>-255</v>
      </c>
      <c r="P1298" s="132" t="s">
        <v>52</v>
      </c>
      <c r="Q1298" s="232"/>
      <c r="R1298" s="411"/>
      <c r="T1298" s="441"/>
      <c r="U1298" s="447"/>
    </row>
    <row r="1299" spans="1:23" x14ac:dyDescent="0.25">
      <c r="A1299" s="419">
        <v>3001010</v>
      </c>
      <c r="B1299" s="421">
        <v>42433</v>
      </c>
      <c r="C1299" s="419" t="s">
        <v>327</v>
      </c>
      <c r="D1299" s="417" t="s">
        <v>3222</v>
      </c>
      <c r="E1299" s="120">
        <v>1000</v>
      </c>
      <c r="F1299" s="133" t="s">
        <v>1550</v>
      </c>
      <c r="G1299" s="434" t="s">
        <v>45</v>
      </c>
      <c r="H1299" s="427">
        <v>6050</v>
      </c>
      <c r="I1299" s="427">
        <v>0</v>
      </c>
      <c r="J1299" s="425">
        <f>-((H1299*0.022)+0.3)</f>
        <v>-133.4</v>
      </c>
      <c r="K1299" s="425">
        <f t="shared" si="214"/>
        <v>5916.6</v>
      </c>
      <c r="M1299" s="450">
        <v>102.75</v>
      </c>
      <c r="N1299" s="91">
        <f t="shared" si="213"/>
        <v>102.75</v>
      </c>
      <c r="O1299" s="411">
        <f t="shared" si="212"/>
        <v>5813.85</v>
      </c>
      <c r="P1299" s="132" t="s">
        <v>52</v>
      </c>
      <c r="Q1299" s="232"/>
      <c r="R1299" s="411"/>
      <c r="T1299" s="439" t="s">
        <v>875</v>
      </c>
      <c r="U1299" s="446" t="s">
        <v>3223</v>
      </c>
      <c r="V1299" s="133" t="s">
        <v>55</v>
      </c>
      <c r="W1299" s="153" t="s">
        <v>3224</v>
      </c>
    </row>
    <row r="1300" spans="1:23" x14ac:dyDescent="0.25">
      <c r="A1300" s="432"/>
      <c r="B1300" s="433"/>
      <c r="C1300" s="432"/>
      <c r="D1300" s="454"/>
      <c r="E1300" s="120">
        <v>1000</v>
      </c>
      <c r="F1300" s="133" t="s">
        <v>198</v>
      </c>
      <c r="G1300" s="435"/>
      <c r="H1300" s="438"/>
      <c r="I1300" s="438"/>
      <c r="J1300" s="437"/>
      <c r="K1300" s="437"/>
      <c r="L1300" s="131">
        <v>1693</v>
      </c>
      <c r="M1300" s="463"/>
      <c r="N1300" s="91">
        <f t="shared" si="213"/>
        <v>1693</v>
      </c>
      <c r="O1300" s="411">
        <f t="shared" si="212"/>
        <v>-1693</v>
      </c>
      <c r="P1300" s="132" t="s">
        <v>52</v>
      </c>
      <c r="Q1300" s="232"/>
      <c r="R1300" s="411"/>
      <c r="T1300" s="440"/>
      <c r="U1300" s="448"/>
    </row>
    <row r="1301" spans="1:23" x14ac:dyDescent="0.25">
      <c r="A1301" s="432"/>
      <c r="B1301" s="433"/>
      <c r="C1301" s="432"/>
      <c r="D1301" s="454"/>
      <c r="E1301" s="120">
        <v>1000</v>
      </c>
      <c r="F1301" s="133" t="s">
        <v>422</v>
      </c>
      <c r="G1301" s="435"/>
      <c r="H1301" s="438"/>
      <c r="I1301" s="438"/>
      <c r="J1301" s="437"/>
      <c r="K1301" s="437"/>
      <c r="L1301" s="131">
        <v>690</v>
      </c>
      <c r="M1301" s="451"/>
      <c r="N1301" s="91">
        <f t="shared" si="213"/>
        <v>690</v>
      </c>
      <c r="O1301" s="411">
        <f t="shared" si="212"/>
        <v>-690</v>
      </c>
      <c r="P1301" s="132" t="s">
        <v>52</v>
      </c>
      <c r="Q1301" s="232"/>
      <c r="R1301" s="411"/>
      <c r="T1301" s="441"/>
      <c r="U1301" s="447"/>
    </row>
    <row r="1302" spans="1:23" x14ac:dyDescent="0.25">
      <c r="A1302" s="420"/>
      <c r="B1302" s="422"/>
      <c r="C1302" s="420"/>
      <c r="D1302" s="418"/>
      <c r="E1302" s="120">
        <v>1000</v>
      </c>
      <c r="F1302" s="133" t="s">
        <v>165</v>
      </c>
      <c r="G1302" s="436"/>
      <c r="H1302" s="428"/>
      <c r="I1302" s="428"/>
      <c r="J1302" s="426"/>
      <c r="K1302" s="426"/>
      <c r="L1302" s="131">
        <v>480</v>
      </c>
      <c r="M1302" s="197">
        <v>146.36000000000001</v>
      </c>
      <c r="N1302" s="91">
        <f t="shared" si="213"/>
        <v>626.36</v>
      </c>
      <c r="O1302" s="411">
        <f t="shared" si="212"/>
        <v>-626.36</v>
      </c>
      <c r="P1302" s="132" t="s">
        <v>86</v>
      </c>
      <c r="Q1302" s="232"/>
      <c r="R1302" s="411"/>
      <c r="T1302" s="134" t="s">
        <v>875</v>
      </c>
      <c r="U1302" s="267" t="s">
        <v>3225</v>
      </c>
      <c r="V1302" s="133" t="s">
        <v>3226</v>
      </c>
    </row>
    <row r="1303" spans="1:23" ht="24" x14ac:dyDescent="0.25">
      <c r="A1303" s="419">
        <v>3001011</v>
      </c>
      <c r="B1303" s="421">
        <v>42433</v>
      </c>
      <c r="C1303" s="419" t="s">
        <v>63</v>
      </c>
      <c r="D1303" s="429" t="s">
        <v>3227</v>
      </c>
      <c r="E1303" s="120">
        <v>2000</v>
      </c>
      <c r="F1303" s="119" t="s">
        <v>3228</v>
      </c>
      <c r="G1303" s="434" t="s">
        <v>45</v>
      </c>
      <c r="H1303" s="427">
        <v>9250</v>
      </c>
      <c r="I1303" s="427">
        <v>0</v>
      </c>
      <c r="J1303" s="425">
        <f>-((H1303*0.022)+0.3)</f>
        <v>-203.8</v>
      </c>
      <c r="K1303" s="425">
        <f t="shared" ref="K1303" si="215">SUM(H1303:J1303)</f>
        <v>9046.2000000000007</v>
      </c>
      <c r="L1303" s="158">
        <v>1064</v>
      </c>
      <c r="M1303" s="187">
        <v>106.37</v>
      </c>
      <c r="N1303" s="91">
        <f t="shared" si="213"/>
        <v>2234.37</v>
      </c>
      <c r="O1303" s="411">
        <f t="shared" si="212"/>
        <v>6811.8300000000008</v>
      </c>
      <c r="P1303" s="132" t="s">
        <v>330</v>
      </c>
      <c r="Q1303" s="232"/>
      <c r="R1303" s="411"/>
      <c r="T1303" s="134" t="s">
        <v>97</v>
      </c>
      <c r="U1303" s="267" t="s">
        <v>3229</v>
      </c>
      <c r="V1303" s="133" t="s">
        <v>3169</v>
      </c>
      <c r="W1303" s="153" t="s">
        <v>3230</v>
      </c>
    </row>
    <row r="1304" spans="1:23" ht="24" x14ac:dyDescent="0.25">
      <c r="A1304" s="432"/>
      <c r="B1304" s="433"/>
      <c r="C1304" s="432"/>
      <c r="D1304" s="430"/>
      <c r="E1304" s="120">
        <v>2000</v>
      </c>
      <c r="F1304" s="119" t="s">
        <v>3231</v>
      </c>
      <c r="G1304" s="435"/>
      <c r="H1304" s="438"/>
      <c r="I1304" s="438"/>
      <c r="J1304" s="437"/>
      <c r="K1304" s="437"/>
      <c r="L1304" s="187">
        <v>1663</v>
      </c>
      <c r="M1304" s="187">
        <v>139.74</v>
      </c>
      <c r="N1304" s="91">
        <f t="shared" si="213"/>
        <v>3465.74</v>
      </c>
      <c r="O1304" s="411">
        <f t="shared" si="212"/>
        <v>-3465.74</v>
      </c>
      <c r="P1304" s="132" t="s">
        <v>59</v>
      </c>
      <c r="Q1304" s="232"/>
      <c r="R1304" s="411"/>
      <c r="T1304" s="439" t="s">
        <v>3232</v>
      </c>
      <c r="U1304" s="266"/>
      <c r="V1304" s="133" t="s">
        <v>3233</v>
      </c>
    </row>
    <row r="1305" spans="1:23" ht="24" x14ac:dyDescent="0.25">
      <c r="A1305" s="420"/>
      <c r="B1305" s="422"/>
      <c r="C1305" s="420"/>
      <c r="D1305" s="431"/>
      <c r="E1305" s="120">
        <v>1000</v>
      </c>
      <c r="F1305" s="119" t="s">
        <v>3234</v>
      </c>
      <c r="G1305" s="436"/>
      <c r="H1305" s="428"/>
      <c r="I1305" s="428"/>
      <c r="J1305" s="426"/>
      <c r="K1305" s="426"/>
      <c r="L1305" s="187">
        <v>2070</v>
      </c>
      <c r="M1305" s="187"/>
      <c r="N1305" s="91">
        <f t="shared" si="213"/>
        <v>2070</v>
      </c>
      <c r="O1305" s="411">
        <f t="shared" si="212"/>
        <v>-2070</v>
      </c>
      <c r="P1305" s="132" t="s">
        <v>59</v>
      </c>
      <c r="Q1305" s="232"/>
      <c r="R1305" s="411"/>
      <c r="T1305" s="441"/>
      <c r="U1305" s="266"/>
      <c r="V1305" s="133" t="s">
        <v>3233</v>
      </c>
    </row>
    <row r="1306" spans="1:23" x14ac:dyDescent="0.25">
      <c r="A1306" s="405">
        <v>3001012</v>
      </c>
      <c r="B1306" s="406">
        <v>42433</v>
      </c>
      <c r="C1306" s="405" t="s">
        <v>327</v>
      </c>
      <c r="D1306" s="401" t="s">
        <v>3235</v>
      </c>
      <c r="E1306" s="120">
        <v>1100</v>
      </c>
      <c r="F1306" s="133" t="s">
        <v>178</v>
      </c>
      <c r="G1306" s="404" t="s">
        <v>45</v>
      </c>
      <c r="H1306" s="411">
        <v>2145</v>
      </c>
      <c r="I1306" s="411">
        <v>0</v>
      </c>
      <c r="J1306" s="90">
        <f>-((H1306*0.022)+0.3)</f>
        <v>-47.489999999999995</v>
      </c>
      <c r="K1306" s="90">
        <f t="shared" ref="K1306:K1322" si="216">SUM(H1306:J1306)</f>
        <v>2097.5100000000002</v>
      </c>
      <c r="L1306" s="131">
        <v>1079</v>
      </c>
      <c r="M1306" s="187">
        <v>243.85</v>
      </c>
      <c r="N1306" s="91">
        <f t="shared" si="213"/>
        <v>1430.75</v>
      </c>
      <c r="O1306" s="411">
        <f t="shared" si="212"/>
        <v>666.76000000000022</v>
      </c>
      <c r="P1306" s="132" t="s">
        <v>52</v>
      </c>
      <c r="Q1306" s="232"/>
      <c r="R1306" s="411"/>
      <c r="T1306" s="134" t="s">
        <v>53</v>
      </c>
      <c r="U1306" s="267" t="s">
        <v>3236</v>
      </c>
      <c r="V1306" s="164" t="s">
        <v>3237</v>
      </c>
      <c r="W1306" s="153" t="s">
        <v>3238</v>
      </c>
    </row>
    <row r="1307" spans="1:23" ht="24" x14ac:dyDescent="0.25">
      <c r="A1307" s="419">
        <v>3001013</v>
      </c>
      <c r="B1307" s="421">
        <v>42433</v>
      </c>
      <c r="C1307" s="419" t="s">
        <v>63</v>
      </c>
      <c r="D1307" s="417" t="s">
        <v>3239</v>
      </c>
      <c r="E1307" s="120">
        <v>7387</v>
      </c>
      <c r="F1307" s="133" t="s">
        <v>3240</v>
      </c>
      <c r="G1307" s="434" t="s">
        <v>45</v>
      </c>
      <c r="H1307" s="427">
        <v>9242.57</v>
      </c>
      <c r="I1307" s="427">
        <v>0</v>
      </c>
      <c r="J1307" s="425">
        <f>-((H1307*0.022)+0.3)</f>
        <v>-203.63654</v>
      </c>
      <c r="K1307" s="425">
        <f t="shared" si="216"/>
        <v>9038.9334600000002</v>
      </c>
      <c r="L1307" s="131">
        <v>850</v>
      </c>
      <c r="M1307" s="187">
        <v>490</v>
      </c>
      <c r="N1307" s="91">
        <f t="shared" si="213"/>
        <v>6768.9500000000007</v>
      </c>
      <c r="O1307" s="411">
        <f t="shared" si="212"/>
        <v>2269.9834599999995</v>
      </c>
      <c r="P1307" s="132" t="s">
        <v>86</v>
      </c>
      <c r="Q1307" s="232"/>
      <c r="R1307" s="411"/>
      <c r="T1307" s="134" t="s">
        <v>1209</v>
      </c>
      <c r="U1307" s="267" t="s">
        <v>3241</v>
      </c>
      <c r="V1307" s="133" t="s">
        <v>3169</v>
      </c>
      <c r="W1307" s="153" t="s">
        <v>3242</v>
      </c>
    </row>
    <row r="1308" spans="1:23" ht="36" x14ac:dyDescent="0.25">
      <c r="A1308" s="420"/>
      <c r="B1308" s="422"/>
      <c r="C1308" s="420"/>
      <c r="D1308" s="418"/>
      <c r="E1308" s="120">
        <v>7347</v>
      </c>
      <c r="F1308" s="133" t="s">
        <v>3243</v>
      </c>
      <c r="G1308" s="436"/>
      <c r="H1308" s="428"/>
      <c r="I1308" s="428"/>
      <c r="J1308" s="426"/>
      <c r="K1308" s="426"/>
      <c r="L1308" s="158">
        <v>309</v>
      </c>
      <c r="M1308" s="131" t="s">
        <v>3244</v>
      </c>
      <c r="N1308" s="91" t="e">
        <f t="shared" si="213"/>
        <v>#VALUE!</v>
      </c>
      <c r="O1308" s="411" t="e">
        <f t="shared" si="212"/>
        <v>#VALUE!</v>
      </c>
      <c r="P1308" s="179" t="s">
        <v>3245</v>
      </c>
      <c r="Q1308" s="232"/>
      <c r="R1308" s="411"/>
      <c r="T1308" s="134" t="s">
        <v>3246</v>
      </c>
      <c r="U1308" s="266" t="s">
        <v>3247</v>
      </c>
      <c r="V1308" s="133" t="s">
        <v>3248</v>
      </c>
    </row>
    <row r="1309" spans="1:23" ht="24" x14ac:dyDescent="0.25">
      <c r="A1309" s="405">
        <v>3001014</v>
      </c>
      <c r="B1309" s="406">
        <v>42433</v>
      </c>
      <c r="C1309" s="405" t="s">
        <v>42</v>
      </c>
      <c r="D1309" s="401" t="s">
        <v>3249</v>
      </c>
      <c r="E1309" s="120">
        <v>150</v>
      </c>
      <c r="F1309" s="133" t="s">
        <v>341</v>
      </c>
      <c r="G1309" s="404" t="s">
        <v>45</v>
      </c>
      <c r="H1309" s="411">
        <v>235.79</v>
      </c>
      <c r="I1309" s="89">
        <f t="shared" ref="I1309:I1317" si="217">-(H1309*0.09)</f>
        <v>-21.2211</v>
      </c>
      <c r="J1309" s="90">
        <f t="shared" ref="J1309:J1317" si="218">-((H1309*0.019)+0.3)</f>
        <v>-4.7800099999999999</v>
      </c>
      <c r="K1309" s="90">
        <f t="shared" si="216"/>
        <v>209.78888999999998</v>
      </c>
      <c r="L1309" s="131">
        <v>660</v>
      </c>
      <c r="M1309" s="187">
        <v>34.200000000000003</v>
      </c>
      <c r="N1309" s="91">
        <f t="shared" si="213"/>
        <v>133.19999999999999</v>
      </c>
      <c r="O1309" s="411">
        <f t="shared" si="212"/>
        <v>76.588889999999992</v>
      </c>
      <c r="P1309" s="132" t="s">
        <v>52</v>
      </c>
      <c r="Q1309" s="232"/>
      <c r="R1309" s="411"/>
      <c r="T1309" s="134" t="s">
        <v>145</v>
      </c>
      <c r="U1309" s="267" t="s">
        <v>3250</v>
      </c>
    </row>
    <row r="1310" spans="1:23" ht="24" x14ac:dyDescent="0.25">
      <c r="A1310" s="405">
        <v>3001015</v>
      </c>
      <c r="B1310" s="406">
        <v>42433</v>
      </c>
      <c r="C1310" s="405" t="s">
        <v>42</v>
      </c>
      <c r="D1310" s="401" t="s">
        <v>3251</v>
      </c>
      <c r="E1310" s="120">
        <v>250</v>
      </c>
      <c r="F1310" s="133" t="s">
        <v>1137</v>
      </c>
      <c r="G1310" s="404" t="s">
        <v>45</v>
      </c>
      <c r="H1310" s="411">
        <v>125.4</v>
      </c>
      <c r="I1310" s="89">
        <f t="shared" si="217"/>
        <v>-11.286</v>
      </c>
      <c r="J1310" s="90">
        <f t="shared" si="218"/>
        <v>-2.6825999999999999</v>
      </c>
      <c r="K1310" s="90">
        <f t="shared" si="216"/>
        <v>111.43140000000001</v>
      </c>
      <c r="L1310" s="131">
        <v>250</v>
      </c>
      <c r="M1310" s="187">
        <v>37.67</v>
      </c>
      <c r="N1310" s="91">
        <f t="shared" si="213"/>
        <v>100.17</v>
      </c>
      <c r="O1310" s="411">
        <f t="shared" si="212"/>
        <v>11.261400000000009</v>
      </c>
      <c r="P1310" s="132" t="s">
        <v>52</v>
      </c>
      <c r="Q1310" s="232"/>
      <c r="R1310" s="411"/>
      <c r="T1310" s="134" t="s">
        <v>145</v>
      </c>
      <c r="U1310" s="267" t="s">
        <v>3252</v>
      </c>
    </row>
    <row r="1311" spans="1:23" ht="24" x14ac:dyDescent="0.25">
      <c r="A1311" s="405">
        <v>3001016</v>
      </c>
      <c r="B1311" s="406">
        <v>42433</v>
      </c>
      <c r="C1311" s="405" t="s">
        <v>42</v>
      </c>
      <c r="D1311" s="401" t="s">
        <v>3253</v>
      </c>
      <c r="E1311" s="120">
        <v>400</v>
      </c>
      <c r="F1311" s="133" t="s">
        <v>877</v>
      </c>
      <c r="G1311" s="404" t="s">
        <v>45</v>
      </c>
      <c r="H1311" s="411">
        <v>259.49</v>
      </c>
      <c r="I1311" s="89">
        <f t="shared" si="217"/>
        <v>-23.354099999999999</v>
      </c>
      <c r="J1311" s="90">
        <f t="shared" si="218"/>
        <v>-5.2303100000000002</v>
      </c>
      <c r="K1311" s="90">
        <f t="shared" si="216"/>
        <v>230.90559000000002</v>
      </c>
      <c r="L1311" s="131">
        <v>235</v>
      </c>
      <c r="M1311" s="187">
        <v>49.55</v>
      </c>
      <c r="N1311" s="91">
        <f t="shared" si="213"/>
        <v>143.55000000000001</v>
      </c>
      <c r="O1311" s="411">
        <f t="shared" si="212"/>
        <v>87.355590000000007</v>
      </c>
      <c r="P1311" s="132" t="s">
        <v>52</v>
      </c>
      <c r="Q1311" s="232"/>
      <c r="R1311" s="411"/>
      <c r="T1311" s="134" t="s">
        <v>145</v>
      </c>
      <c r="U1311" s="267" t="s">
        <v>3254</v>
      </c>
    </row>
    <row r="1312" spans="1:23" ht="24" x14ac:dyDescent="0.25">
      <c r="A1312" s="405">
        <v>3001017</v>
      </c>
      <c r="B1312" s="406">
        <v>42433</v>
      </c>
      <c r="C1312" s="405" t="s">
        <v>42</v>
      </c>
      <c r="D1312" s="401" t="s">
        <v>3255</v>
      </c>
      <c r="E1312" s="120">
        <v>200</v>
      </c>
      <c r="F1312" s="133" t="s">
        <v>165</v>
      </c>
      <c r="G1312" s="404" t="s">
        <v>45</v>
      </c>
      <c r="H1312" s="411">
        <v>200.71</v>
      </c>
      <c r="I1312" s="89">
        <f t="shared" si="217"/>
        <v>-18.0639</v>
      </c>
      <c r="J1312" s="90">
        <f t="shared" si="218"/>
        <v>-4.1134900000000005</v>
      </c>
      <c r="K1312" s="90">
        <f t="shared" si="216"/>
        <v>178.53261000000001</v>
      </c>
      <c r="L1312" s="131">
        <v>480</v>
      </c>
      <c r="M1312" s="187">
        <v>31.51</v>
      </c>
      <c r="N1312" s="91">
        <f t="shared" si="213"/>
        <v>127.51</v>
      </c>
      <c r="O1312" s="411">
        <f t="shared" si="212"/>
        <v>51.02261</v>
      </c>
      <c r="P1312" s="132" t="s">
        <v>86</v>
      </c>
      <c r="Q1312" s="232"/>
      <c r="R1312" s="411"/>
      <c r="T1312" s="134" t="s">
        <v>145</v>
      </c>
      <c r="U1312" s="267" t="s">
        <v>3256</v>
      </c>
    </row>
    <row r="1313" spans="1:23" ht="24" x14ac:dyDescent="0.25">
      <c r="A1313" s="405">
        <v>3001018</v>
      </c>
      <c r="B1313" s="406">
        <v>42433</v>
      </c>
      <c r="C1313" s="405" t="s">
        <v>42</v>
      </c>
      <c r="D1313" s="401" t="s">
        <v>3257</v>
      </c>
      <c r="E1313" s="120">
        <v>200</v>
      </c>
      <c r="F1313" s="133" t="s">
        <v>451</v>
      </c>
      <c r="G1313" s="404" t="s">
        <v>45</v>
      </c>
      <c r="H1313" s="411">
        <v>133</v>
      </c>
      <c r="I1313" s="89">
        <f t="shared" si="217"/>
        <v>-11.969999999999999</v>
      </c>
      <c r="J1313" s="90">
        <f t="shared" si="218"/>
        <v>-2.827</v>
      </c>
      <c r="K1313" s="90">
        <f t="shared" si="216"/>
        <v>118.203</v>
      </c>
      <c r="L1313" s="131">
        <v>300</v>
      </c>
      <c r="M1313" s="187">
        <v>16.39</v>
      </c>
      <c r="N1313" s="91">
        <f t="shared" si="213"/>
        <v>76.39</v>
      </c>
      <c r="O1313" s="411">
        <f t="shared" si="212"/>
        <v>41.813000000000002</v>
      </c>
      <c r="P1313" s="132" t="s">
        <v>3258</v>
      </c>
      <c r="Q1313" s="232"/>
      <c r="R1313" s="411"/>
      <c r="T1313" s="134" t="s">
        <v>145</v>
      </c>
      <c r="U1313" s="267" t="s">
        <v>3259</v>
      </c>
    </row>
    <row r="1314" spans="1:23" x14ac:dyDescent="0.25">
      <c r="A1314" s="405">
        <v>3001019</v>
      </c>
      <c r="B1314" s="406">
        <v>42433</v>
      </c>
      <c r="C1314" s="405" t="s">
        <v>42</v>
      </c>
      <c r="D1314" s="401" t="s">
        <v>3260</v>
      </c>
      <c r="E1314" s="120">
        <v>705</v>
      </c>
      <c r="F1314" s="133" t="s">
        <v>165</v>
      </c>
      <c r="G1314" s="404" t="s">
        <v>45</v>
      </c>
      <c r="H1314" s="411">
        <v>672.11</v>
      </c>
      <c r="I1314" s="89">
        <f t="shared" si="217"/>
        <v>-60.489899999999999</v>
      </c>
      <c r="J1314" s="90">
        <f t="shared" si="218"/>
        <v>-13.07009</v>
      </c>
      <c r="K1314" s="90">
        <f t="shared" si="216"/>
        <v>598.55000999999993</v>
      </c>
      <c r="L1314" s="131">
        <v>480</v>
      </c>
      <c r="M1314" s="187">
        <v>148.56</v>
      </c>
      <c r="N1314" s="91">
        <f t="shared" si="213"/>
        <v>486.96</v>
      </c>
      <c r="O1314" s="411">
        <f t="shared" si="212"/>
        <v>111.59000999999995</v>
      </c>
      <c r="P1314" s="132" t="s">
        <v>86</v>
      </c>
      <c r="Q1314" s="232"/>
      <c r="R1314" s="411"/>
      <c r="T1314" s="134" t="s">
        <v>1743</v>
      </c>
      <c r="U1314" s="267" t="s">
        <v>3261</v>
      </c>
      <c r="V1314" s="133" t="s">
        <v>55</v>
      </c>
    </row>
    <row r="1315" spans="1:23" ht="24" x14ac:dyDescent="0.25">
      <c r="A1315" s="405">
        <v>3001020</v>
      </c>
      <c r="B1315" s="406">
        <v>42433</v>
      </c>
      <c r="C1315" s="405" t="s">
        <v>42</v>
      </c>
      <c r="D1315" s="401" t="s">
        <v>3262</v>
      </c>
      <c r="E1315" s="120">
        <v>200</v>
      </c>
      <c r="F1315" s="133" t="s">
        <v>1547</v>
      </c>
      <c r="G1315" s="404" t="s">
        <v>45</v>
      </c>
      <c r="H1315" s="411">
        <v>210.84</v>
      </c>
      <c r="I1315" s="89">
        <f t="shared" si="217"/>
        <v>-18.9756</v>
      </c>
      <c r="J1315" s="90">
        <f t="shared" si="218"/>
        <v>-4.3059599999999998</v>
      </c>
      <c r="K1315" s="90">
        <f t="shared" si="216"/>
        <v>187.55843999999999</v>
      </c>
      <c r="L1315" s="131">
        <v>385</v>
      </c>
      <c r="M1315" s="187">
        <v>46.57</v>
      </c>
      <c r="N1315" s="91">
        <f t="shared" si="213"/>
        <v>123.57</v>
      </c>
      <c r="O1315" s="411">
        <f t="shared" si="212"/>
        <v>63.988439999999997</v>
      </c>
      <c r="P1315" s="132" t="s">
        <v>52</v>
      </c>
      <c r="Q1315" s="232"/>
      <c r="R1315" s="411"/>
      <c r="T1315" s="134" t="s">
        <v>145</v>
      </c>
      <c r="U1315" s="267" t="s">
        <v>3263</v>
      </c>
    </row>
    <row r="1316" spans="1:23" ht="24" x14ac:dyDescent="0.25">
      <c r="A1316" s="405">
        <v>3001021</v>
      </c>
      <c r="B1316" s="406">
        <v>42433</v>
      </c>
      <c r="C1316" s="405" t="s">
        <v>42</v>
      </c>
      <c r="D1316" s="401" t="s">
        <v>3264</v>
      </c>
      <c r="E1316" s="120">
        <v>100</v>
      </c>
      <c r="F1316" s="133" t="s">
        <v>1547</v>
      </c>
      <c r="G1316" s="404" t="s">
        <v>45</v>
      </c>
      <c r="H1316" s="411">
        <v>105.42</v>
      </c>
      <c r="I1316" s="89">
        <f t="shared" si="217"/>
        <v>-9.4878</v>
      </c>
      <c r="J1316" s="90">
        <f t="shared" si="218"/>
        <v>-2.3029799999999998</v>
      </c>
      <c r="K1316" s="90">
        <f t="shared" si="216"/>
        <v>93.629219999999989</v>
      </c>
      <c r="L1316" s="131">
        <v>385</v>
      </c>
      <c r="M1316" s="187">
        <v>19.79</v>
      </c>
      <c r="N1316" s="91">
        <f t="shared" si="213"/>
        <v>58.29</v>
      </c>
      <c r="O1316" s="411">
        <f t="shared" si="212"/>
        <v>35.33921999999999</v>
      </c>
      <c r="P1316" s="132" t="s">
        <v>52</v>
      </c>
      <c r="Q1316" s="232"/>
      <c r="R1316" s="411"/>
      <c r="T1316" s="134" t="s">
        <v>145</v>
      </c>
      <c r="U1316" s="267" t="s">
        <v>3265</v>
      </c>
    </row>
    <row r="1317" spans="1:23" ht="24" x14ac:dyDescent="0.25">
      <c r="A1317" s="405">
        <v>3001022</v>
      </c>
      <c r="B1317" s="406">
        <v>42433</v>
      </c>
      <c r="C1317" s="405" t="s">
        <v>42</v>
      </c>
      <c r="D1317" s="401" t="s">
        <v>3266</v>
      </c>
      <c r="E1317" s="120">
        <v>50</v>
      </c>
      <c r="F1317" s="133" t="s">
        <v>300</v>
      </c>
      <c r="G1317" s="404" t="s">
        <v>45</v>
      </c>
      <c r="H1317" s="411">
        <v>203.08</v>
      </c>
      <c r="I1317" s="89">
        <f t="shared" si="217"/>
        <v>-18.277200000000001</v>
      </c>
      <c r="J1317" s="90">
        <f t="shared" si="218"/>
        <v>-4.1585200000000002</v>
      </c>
      <c r="K1317" s="90">
        <f t="shared" si="216"/>
        <v>180.64428000000001</v>
      </c>
      <c r="L1317" s="131">
        <v>2200</v>
      </c>
      <c r="M1317" s="187">
        <v>36.81</v>
      </c>
      <c r="N1317" s="91">
        <f t="shared" si="213"/>
        <v>146.81</v>
      </c>
      <c r="O1317" s="411">
        <f t="shared" si="212"/>
        <v>33.834280000000007</v>
      </c>
      <c r="P1317" s="132" t="s">
        <v>52</v>
      </c>
      <c r="Q1317" s="232"/>
      <c r="R1317" s="411"/>
      <c r="T1317" s="134" t="s">
        <v>145</v>
      </c>
      <c r="U1317" s="267" t="s">
        <v>3267</v>
      </c>
    </row>
    <row r="1318" spans="1:23" ht="24" x14ac:dyDescent="0.25">
      <c r="A1318" s="405">
        <v>3001023</v>
      </c>
      <c r="B1318" s="406">
        <v>42433</v>
      </c>
      <c r="C1318" s="405" t="s">
        <v>237</v>
      </c>
      <c r="D1318" s="401" t="s">
        <v>3268</v>
      </c>
      <c r="E1318" s="120">
        <v>75</v>
      </c>
      <c r="F1318" s="133" t="s">
        <v>217</v>
      </c>
      <c r="G1318" s="404" t="s">
        <v>45</v>
      </c>
      <c r="H1318" s="411">
        <v>150</v>
      </c>
      <c r="I1318" s="89">
        <f>-(H1318*0.15)</f>
        <v>-22.5</v>
      </c>
      <c r="J1318" s="411">
        <v>0</v>
      </c>
      <c r="K1318" s="90">
        <f t="shared" si="216"/>
        <v>127.5</v>
      </c>
      <c r="L1318" s="131">
        <v>1322</v>
      </c>
      <c r="M1318" s="187">
        <v>43.04</v>
      </c>
      <c r="N1318" s="91">
        <f t="shared" si="213"/>
        <v>142.19</v>
      </c>
      <c r="O1318" s="411">
        <f t="shared" si="212"/>
        <v>-14.689999999999998</v>
      </c>
      <c r="P1318" s="132" t="s">
        <v>52</v>
      </c>
      <c r="Q1318" s="232"/>
      <c r="R1318" s="411"/>
      <c r="T1318" s="134" t="s">
        <v>145</v>
      </c>
      <c r="U1318" s="267" t="s">
        <v>3269</v>
      </c>
    </row>
    <row r="1319" spans="1:23" ht="24" x14ac:dyDescent="0.25">
      <c r="A1319" s="405">
        <v>3001024</v>
      </c>
      <c r="B1319" s="406">
        <v>42433</v>
      </c>
      <c r="C1319" s="405" t="s">
        <v>237</v>
      </c>
      <c r="D1319" s="401" t="s">
        <v>2874</v>
      </c>
      <c r="E1319" s="120">
        <v>200</v>
      </c>
      <c r="F1319" s="133" t="s">
        <v>3270</v>
      </c>
      <c r="G1319" s="404" t="s">
        <v>45</v>
      </c>
      <c r="H1319" s="411">
        <v>512</v>
      </c>
      <c r="I1319" s="89">
        <f>-(H1319*0.15)</f>
        <v>-76.8</v>
      </c>
      <c r="J1319" s="411">
        <v>0</v>
      </c>
      <c r="K1319" s="90">
        <f t="shared" si="216"/>
        <v>435.2</v>
      </c>
      <c r="L1319" s="131">
        <v>1322</v>
      </c>
      <c r="M1319" s="187">
        <v>53.18</v>
      </c>
      <c r="N1319" s="91">
        <f t="shared" si="213"/>
        <v>317.58000000000004</v>
      </c>
      <c r="O1319" s="411">
        <f t="shared" si="212"/>
        <v>117.61999999999995</v>
      </c>
      <c r="P1319" s="132" t="s">
        <v>52</v>
      </c>
      <c r="Q1319" s="232"/>
      <c r="R1319" s="411"/>
      <c r="T1319" s="134" t="s">
        <v>145</v>
      </c>
      <c r="U1319" s="266" t="s">
        <v>3271</v>
      </c>
    </row>
    <row r="1320" spans="1:23" ht="24" x14ac:dyDescent="0.25">
      <c r="A1320" s="405">
        <v>3001025</v>
      </c>
      <c r="B1320" s="406">
        <v>42433</v>
      </c>
      <c r="C1320" s="405" t="s">
        <v>237</v>
      </c>
      <c r="D1320" s="401" t="s">
        <v>3272</v>
      </c>
      <c r="E1320" s="120">
        <v>50</v>
      </c>
      <c r="F1320" s="194" t="s">
        <v>161</v>
      </c>
      <c r="G1320" s="404" t="s">
        <v>45</v>
      </c>
      <c r="H1320" s="411">
        <v>113.84</v>
      </c>
      <c r="I1320" s="89">
        <f>-(H1320*0.15)</f>
        <v>-17.076000000000001</v>
      </c>
      <c r="J1320" s="411">
        <v>0</v>
      </c>
      <c r="K1320" s="90">
        <f t="shared" si="216"/>
        <v>96.76400000000001</v>
      </c>
      <c r="L1320" s="131">
        <v>1322</v>
      </c>
      <c r="M1320" s="187">
        <v>27.48</v>
      </c>
      <c r="N1320" s="91">
        <f t="shared" si="213"/>
        <v>93.580000000000013</v>
      </c>
      <c r="O1320" s="411">
        <f t="shared" si="212"/>
        <v>3.1839999999999975</v>
      </c>
      <c r="P1320" s="132" t="s">
        <v>52</v>
      </c>
      <c r="Q1320" s="232"/>
      <c r="R1320" s="411"/>
      <c r="T1320" s="134" t="s">
        <v>145</v>
      </c>
      <c r="U1320" s="267" t="s">
        <v>3273</v>
      </c>
    </row>
    <row r="1321" spans="1:23" ht="24" x14ac:dyDescent="0.25">
      <c r="A1321" s="405">
        <v>3001026</v>
      </c>
      <c r="B1321" s="406">
        <v>42436</v>
      </c>
      <c r="C1321" s="405" t="s">
        <v>63</v>
      </c>
      <c r="D1321" s="401" t="s">
        <v>3274</v>
      </c>
      <c r="E1321" s="120">
        <v>1200</v>
      </c>
      <c r="F1321" s="119" t="s">
        <v>3275</v>
      </c>
      <c r="G1321" s="404" t="s">
        <v>45</v>
      </c>
      <c r="H1321" s="411">
        <v>8640</v>
      </c>
      <c r="I1321" s="411">
        <v>0</v>
      </c>
      <c r="J1321" s="90">
        <f>-((H1321*0.022)+0.3)</f>
        <v>-190.38</v>
      </c>
      <c r="K1321" s="90">
        <f t="shared" si="216"/>
        <v>8449.6200000000008</v>
      </c>
      <c r="L1321" s="187">
        <v>6100</v>
      </c>
      <c r="M1321" s="187">
        <v>280</v>
      </c>
      <c r="N1321" s="91">
        <f t="shared" si="213"/>
        <v>7600</v>
      </c>
      <c r="O1321" s="411">
        <f t="shared" si="212"/>
        <v>849.6200000000008</v>
      </c>
      <c r="P1321" s="132" t="s">
        <v>59</v>
      </c>
      <c r="Q1321" s="232"/>
      <c r="R1321" s="411"/>
      <c r="T1321" s="134" t="s">
        <v>364</v>
      </c>
      <c r="U1321" s="267" t="s">
        <v>3276</v>
      </c>
      <c r="W1321" s="153" t="s">
        <v>3277</v>
      </c>
    </row>
    <row r="1322" spans="1:23" ht="24" customHeight="1" x14ac:dyDescent="0.25">
      <c r="A1322" s="419">
        <v>3001027</v>
      </c>
      <c r="B1322" s="421">
        <v>42436</v>
      </c>
      <c r="C1322" s="419" t="s">
        <v>327</v>
      </c>
      <c r="D1322" s="429" t="s">
        <v>3278</v>
      </c>
      <c r="E1322" s="120">
        <v>6</v>
      </c>
      <c r="F1322" s="133" t="s">
        <v>3279</v>
      </c>
      <c r="G1322" s="434" t="s">
        <v>45</v>
      </c>
      <c r="H1322" s="427">
        <v>422</v>
      </c>
      <c r="I1322" s="427">
        <v>0</v>
      </c>
      <c r="J1322" s="425">
        <f>-((H1322*0.022)+0.3)</f>
        <v>-9.5839999999999996</v>
      </c>
      <c r="K1322" s="425">
        <f t="shared" si="216"/>
        <v>412.416</v>
      </c>
      <c r="L1322" s="131">
        <v>4000</v>
      </c>
      <c r="M1322" s="131">
        <v>15.97</v>
      </c>
      <c r="N1322" s="91">
        <f t="shared" si="213"/>
        <v>39.97</v>
      </c>
      <c r="O1322" s="411">
        <f t="shared" si="212"/>
        <v>372.44600000000003</v>
      </c>
      <c r="P1322" s="132" t="s">
        <v>183</v>
      </c>
      <c r="Q1322" s="232"/>
      <c r="R1322" s="411"/>
      <c r="T1322" s="470" t="s">
        <v>145</v>
      </c>
      <c r="U1322" s="446" t="s">
        <v>3280</v>
      </c>
      <c r="W1322" s="153" t="s">
        <v>3281</v>
      </c>
    </row>
    <row r="1323" spans="1:23" x14ac:dyDescent="0.25">
      <c r="A1323" s="432"/>
      <c r="B1323" s="433"/>
      <c r="C1323" s="432"/>
      <c r="D1323" s="430"/>
      <c r="E1323" s="120">
        <v>6</v>
      </c>
      <c r="F1323" s="133" t="s">
        <v>3282</v>
      </c>
      <c r="G1323" s="435"/>
      <c r="H1323" s="438"/>
      <c r="I1323" s="438"/>
      <c r="J1323" s="437"/>
      <c r="K1323" s="437"/>
      <c r="L1323" s="131">
        <v>10000</v>
      </c>
      <c r="N1323" s="91">
        <f t="shared" si="213"/>
        <v>60</v>
      </c>
      <c r="O1323" s="411">
        <f t="shared" si="212"/>
        <v>-60</v>
      </c>
      <c r="P1323" s="132" t="s">
        <v>183</v>
      </c>
      <c r="Q1323" s="232"/>
      <c r="R1323" s="411"/>
      <c r="T1323" s="471"/>
      <c r="U1323" s="448"/>
    </row>
    <row r="1324" spans="1:23" x14ac:dyDescent="0.25">
      <c r="A1324" s="432"/>
      <c r="B1324" s="433"/>
      <c r="C1324" s="432"/>
      <c r="D1324" s="430"/>
      <c r="E1324" s="120">
        <v>6</v>
      </c>
      <c r="F1324" s="133" t="s">
        <v>3283</v>
      </c>
      <c r="G1324" s="435"/>
      <c r="H1324" s="438"/>
      <c r="I1324" s="438"/>
      <c r="J1324" s="437"/>
      <c r="K1324" s="437"/>
      <c r="L1324" s="131">
        <v>3000</v>
      </c>
      <c r="N1324" s="91">
        <f t="shared" si="213"/>
        <v>18</v>
      </c>
      <c r="O1324" s="411">
        <f t="shared" si="212"/>
        <v>-18</v>
      </c>
      <c r="P1324" s="132" t="s">
        <v>183</v>
      </c>
      <c r="Q1324" s="232"/>
      <c r="R1324" s="411"/>
      <c r="T1324" s="471"/>
      <c r="U1324" s="448"/>
      <c r="V1324" s="133" t="s">
        <v>3284</v>
      </c>
    </row>
    <row r="1325" spans="1:23" x14ac:dyDescent="0.25">
      <c r="A1325" s="432"/>
      <c r="B1325" s="433"/>
      <c r="C1325" s="432"/>
      <c r="D1325" s="430"/>
      <c r="E1325" s="120">
        <v>6</v>
      </c>
      <c r="F1325" s="133" t="s">
        <v>2549</v>
      </c>
      <c r="G1325" s="435"/>
      <c r="H1325" s="438"/>
      <c r="I1325" s="438"/>
      <c r="J1325" s="437"/>
      <c r="K1325" s="437"/>
      <c r="L1325" s="131">
        <v>1000</v>
      </c>
      <c r="N1325" s="91">
        <f t="shared" si="213"/>
        <v>6</v>
      </c>
      <c r="O1325" s="411">
        <f t="shared" si="212"/>
        <v>-6</v>
      </c>
      <c r="P1325" s="132" t="s">
        <v>183</v>
      </c>
      <c r="Q1325" s="232"/>
      <c r="R1325" s="411"/>
      <c r="T1325" s="471"/>
      <c r="U1325" s="447"/>
    </row>
    <row r="1326" spans="1:23" x14ac:dyDescent="0.25">
      <c r="A1326" s="420"/>
      <c r="B1326" s="422"/>
      <c r="C1326" s="420"/>
      <c r="D1326" s="431"/>
      <c r="E1326" s="120">
        <v>6</v>
      </c>
      <c r="F1326" s="133" t="s">
        <v>3285</v>
      </c>
      <c r="G1326" s="436"/>
      <c r="H1326" s="428"/>
      <c r="I1326" s="428"/>
      <c r="J1326" s="426"/>
      <c r="K1326" s="426"/>
      <c r="L1326" s="187">
        <v>1500</v>
      </c>
      <c r="M1326" s="187">
        <v>24.14</v>
      </c>
      <c r="N1326" s="91">
        <f t="shared" si="213"/>
        <v>33.14</v>
      </c>
      <c r="O1326" s="411">
        <f t="shared" si="212"/>
        <v>-33.14</v>
      </c>
      <c r="P1326" s="132" t="s">
        <v>183</v>
      </c>
      <c r="Q1326" s="232"/>
      <c r="R1326" s="411"/>
      <c r="T1326" s="472"/>
      <c r="U1326" s="267" t="s">
        <v>3286</v>
      </c>
    </row>
    <row r="1327" spans="1:23" ht="24" x14ac:dyDescent="0.25">
      <c r="A1327" s="405">
        <v>3001028</v>
      </c>
      <c r="B1327" s="406">
        <v>42436</v>
      </c>
      <c r="C1327" s="405" t="s">
        <v>63</v>
      </c>
      <c r="D1327" s="401" t="s">
        <v>3287</v>
      </c>
      <c r="E1327" s="120">
        <v>1800</v>
      </c>
      <c r="F1327" s="133" t="s">
        <v>51</v>
      </c>
      <c r="G1327" s="404" t="s">
        <v>45</v>
      </c>
      <c r="H1327" s="411">
        <v>2800</v>
      </c>
      <c r="I1327" s="411">
        <v>0</v>
      </c>
      <c r="J1327" s="90">
        <f>-((H1327*0.022)+0.3)</f>
        <v>-61.899999999999991</v>
      </c>
      <c r="K1327" s="90">
        <f t="shared" ref="K1327:K1370" si="219">SUM(H1327:J1327)</f>
        <v>2738.1</v>
      </c>
      <c r="L1327" s="131">
        <v>1015</v>
      </c>
      <c r="M1327" s="187">
        <v>276.81</v>
      </c>
      <c r="N1327" s="91">
        <f t="shared" si="213"/>
        <v>2103.81</v>
      </c>
      <c r="O1327" s="411">
        <f t="shared" si="212"/>
        <v>634.29</v>
      </c>
      <c r="P1327" s="132" t="s">
        <v>52</v>
      </c>
      <c r="Q1327" s="232"/>
      <c r="R1327" s="411"/>
      <c r="T1327" s="134" t="s">
        <v>1209</v>
      </c>
      <c r="U1327" s="267" t="s">
        <v>3288</v>
      </c>
      <c r="V1327" s="133" t="s">
        <v>2189</v>
      </c>
      <c r="W1327" s="153" t="s">
        <v>3289</v>
      </c>
    </row>
    <row r="1328" spans="1:23" ht="24" x14ac:dyDescent="0.25">
      <c r="A1328" s="405">
        <v>3001029</v>
      </c>
      <c r="B1328" s="406">
        <v>42436</v>
      </c>
      <c r="C1328" s="405" t="s">
        <v>159</v>
      </c>
      <c r="D1328" s="401" t="s">
        <v>3290</v>
      </c>
      <c r="E1328" s="120">
        <v>60</v>
      </c>
      <c r="F1328" s="133" t="s">
        <v>1991</v>
      </c>
      <c r="G1328" s="404" t="s">
        <v>45</v>
      </c>
      <c r="H1328" s="411">
        <v>303</v>
      </c>
      <c r="I1328" s="411">
        <v>0</v>
      </c>
      <c r="J1328" s="90">
        <f t="shared" ref="J1328:J1329" si="220">-((H1328*0.019)+0.3)</f>
        <v>-6.0569999999999995</v>
      </c>
      <c r="K1328" s="90">
        <f t="shared" si="219"/>
        <v>296.94299999999998</v>
      </c>
      <c r="L1328" s="187">
        <v>3240</v>
      </c>
      <c r="M1328" s="187">
        <v>38.42</v>
      </c>
      <c r="N1328" s="91">
        <f t="shared" si="213"/>
        <v>232.82</v>
      </c>
      <c r="O1328" s="411">
        <f t="shared" si="212"/>
        <v>64.12299999999999</v>
      </c>
      <c r="P1328" s="132" t="s">
        <v>183</v>
      </c>
      <c r="Q1328" s="232"/>
      <c r="R1328" s="411"/>
      <c r="T1328" s="134" t="s">
        <v>145</v>
      </c>
      <c r="U1328" s="267" t="s">
        <v>3291</v>
      </c>
      <c r="W1328" s="153" t="s">
        <v>3292</v>
      </c>
    </row>
    <row r="1329" spans="1:23" ht="24" x14ac:dyDescent="0.25">
      <c r="A1329" s="405">
        <v>3001030</v>
      </c>
      <c r="B1329" s="406">
        <v>42436</v>
      </c>
      <c r="C1329" s="405" t="s">
        <v>159</v>
      </c>
      <c r="D1329" s="401" t="s">
        <v>1647</v>
      </c>
      <c r="E1329" s="120">
        <v>20</v>
      </c>
      <c r="F1329" s="133" t="s">
        <v>1991</v>
      </c>
      <c r="G1329" s="404" t="s">
        <v>45</v>
      </c>
      <c r="H1329" s="411">
        <v>101</v>
      </c>
      <c r="I1329" s="411">
        <v>0</v>
      </c>
      <c r="J1329" s="90">
        <f t="shared" si="220"/>
        <v>-2.2189999999999999</v>
      </c>
      <c r="K1329" s="90">
        <f t="shared" si="219"/>
        <v>98.781000000000006</v>
      </c>
      <c r="L1329" s="187">
        <v>3350</v>
      </c>
      <c r="M1329" s="187">
        <v>26.97</v>
      </c>
      <c r="N1329" s="91">
        <f t="shared" si="213"/>
        <v>93.97</v>
      </c>
      <c r="O1329" s="411">
        <f t="shared" si="212"/>
        <v>4.811000000000007</v>
      </c>
      <c r="P1329" s="132" t="s">
        <v>183</v>
      </c>
      <c r="Q1329" s="232"/>
      <c r="R1329" s="411"/>
      <c r="T1329" s="134" t="s">
        <v>324</v>
      </c>
      <c r="U1329" s="267" t="s">
        <v>3293</v>
      </c>
      <c r="W1329" s="153" t="s">
        <v>1649</v>
      </c>
    </row>
    <row r="1330" spans="1:23" ht="24" x14ac:dyDescent="0.25">
      <c r="A1330" s="405">
        <v>3001031</v>
      </c>
      <c r="B1330" s="406">
        <v>42436</v>
      </c>
      <c r="C1330" s="405" t="s">
        <v>237</v>
      </c>
      <c r="D1330" s="401" t="s">
        <v>3294</v>
      </c>
      <c r="E1330" s="120">
        <v>150</v>
      </c>
      <c r="F1330" s="133" t="s">
        <v>247</v>
      </c>
      <c r="G1330" s="404" t="s">
        <v>45</v>
      </c>
      <c r="H1330" s="411">
        <v>172.41</v>
      </c>
      <c r="I1330" s="89">
        <f>-(H1330*0.15)</f>
        <v>-25.861499999999999</v>
      </c>
      <c r="J1330" s="411">
        <v>0</v>
      </c>
      <c r="K1330" s="90">
        <f t="shared" si="219"/>
        <v>146.54849999999999</v>
      </c>
      <c r="L1330" s="131">
        <v>480</v>
      </c>
      <c r="M1330" s="187">
        <v>45.44</v>
      </c>
      <c r="N1330" s="91">
        <f t="shared" si="213"/>
        <v>117.44</v>
      </c>
      <c r="O1330" s="411">
        <f t="shared" si="212"/>
        <v>29.108499999999992</v>
      </c>
      <c r="P1330" s="132" t="s">
        <v>52</v>
      </c>
      <c r="Q1330" s="232"/>
      <c r="R1330" s="411"/>
      <c r="T1330" s="134" t="s">
        <v>145</v>
      </c>
      <c r="U1330" s="267" t="s">
        <v>3295</v>
      </c>
    </row>
    <row r="1331" spans="1:23" ht="24" x14ac:dyDescent="0.25">
      <c r="A1331" s="405">
        <v>3001032</v>
      </c>
      <c r="B1331" s="406">
        <v>42436</v>
      </c>
      <c r="C1331" s="405" t="s">
        <v>237</v>
      </c>
      <c r="D1331" s="401" t="s">
        <v>3296</v>
      </c>
      <c r="E1331" s="120">
        <v>50</v>
      </c>
      <c r="F1331" s="133" t="s">
        <v>341</v>
      </c>
      <c r="G1331" s="404" t="s">
        <v>45</v>
      </c>
      <c r="H1331" s="411">
        <v>115.43</v>
      </c>
      <c r="I1331" s="89">
        <f>-(H1331*0.15)</f>
        <v>-17.314499999999999</v>
      </c>
      <c r="J1331" s="411">
        <v>0</v>
      </c>
      <c r="K1331" s="90">
        <f t="shared" si="219"/>
        <v>98.115500000000011</v>
      </c>
      <c r="L1331" s="131">
        <v>850</v>
      </c>
      <c r="N1331" s="91">
        <f t="shared" si="213"/>
        <v>42.5</v>
      </c>
      <c r="O1331" s="411">
        <f t="shared" si="212"/>
        <v>55.615500000000011</v>
      </c>
      <c r="P1331" s="132" t="s">
        <v>52</v>
      </c>
      <c r="Q1331" s="232"/>
      <c r="R1331" s="411"/>
      <c r="T1331" s="134" t="s">
        <v>145</v>
      </c>
      <c r="U1331" s="267" t="s">
        <v>3297</v>
      </c>
    </row>
    <row r="1332" spans="1:23" x14ac:dyDescent="0.25">
      <c r="A1332" s="419">
        <v>3001033</v>
      </c>
      <c r="B1332" s="421">
        <v>42436</v>
      </c>
      <c r="C1332" s="419" t="s">
        <v>237</v>
      </c>
      <c r="D1332" s="417" t="s">
        <v>3298</v>
      </c>
      <c r="E1332" s="120">
        <v>100</v>
      </c>
      <c r="F1332" s="133" t="s">
        <v>3299</v>
      </c>
      <c r="G1332" s="434" t="s">
        <v>45</v>
      </c>
      <c r="H1332" s="427">
        <v>275</v>
      </c>
      <c r="I1332" s="500">
        <f>-(H1332*0.15)</f>
        <v>-41.25</v>
      </c>
      <c r="J1332" s="427">
        <v>0</v>
      </c>
      <c r="K1332" s="425">
        <f t="shared" si="219"/>
        <v>233.75</v>
      </c>
      <c r="L1332" s="158">
        <v>750</v>
      </c>
      <c r="M1332" s="131">
        <v>36.71</v>
      </c>
      <c r="N1332" s="91">
        <f t="shared" si="213"/>
        <v>111.71000000000001</v>
      </c>
      <c r="O1332" s="411">
        <f t="shared" si="212"/>
        <v>122.03999999999999</v>
      </c>
      <c r="P1332" s="132" t="s">
        <v>926</v>
      </c>
      <c r="Q1332" s="232"/>
      <c r="R1332" s="411"/>
      <c r="T1332" s="439" t="s">
        <v>145</v>
      </c>
      <c r="U1332" s="446" t="s">
        <v>3300</v>
      </c>
    </row>
    <row r="1333" spans="1:23" x14ac:dyDescent="0.25">
      <c r="A1333" s="420"/>
      <c r="B1333" s="422"/>
      <c r="C1333" s="420"/>
      <c r="D1333" s="418"/>
      <c r="E1333" s="120">
        <v>100</v>
      </c>
      <c r="F1333" s="133" t="s">
        <v>3301</v>
      </c>
      <c r="G1333" s="436"/>
      <c r="H1333" s="428"/>
      <c r="I1333" s="501"/>
      <c r="J1333" s="428"/>
      <c r="K1333" s="426"/>
      <c r="L1333" s="158">
        <v>731</v>
      </c>
      <c r="N1333" s="91">
        <f t="shared" si="213"/>
        <v>73.100000000000009</v>
      </c>
      <c r="O1333" s="411">
        <f t="shared" si="212"/>
        <v>-73.100000000000009</v>
      </c>
      <c r="P1333" s="132" t="s">
        <v>926</v>
      </c>
      <c r="Q1333" s="232"/>
      <c r="R1333" s="411"/>
      <c r="T1333" s="441"/>
      <c r="U1333" s="447"/>
    </row>
    <row r="1334" spans="1:23" ht="24" x14ac:dyDescent="0.25">
      <c r="A1334" s="405">
        <v>3001034</v>
      </c>
      <c r="B1334" s="406">
        <v>42436</v>
      </c>
      <c r="C1334" s="405" t="s">
        <v>237</v>
      </c>
      <c r="D1334" s="401" t="s">
        <v>3302</v>
      </c>
      <c r="E1334" s="120">
        <v>100</v>
      </c>
      <c r="F1334" s="133" t="s">
        <v>445</v>
      </c>
      <c r="G1334" s="404" t="s">
        <v>45</v>
      </c>
      <c r="H1334" s="411">
        <v>300.95999999999998</v>
      </c>
      <c r="I1334" s="89">
        <f>-(H1334*0.15)</f>
        <v>-45.143999999999998</v>
      </c>
      <c r="J1334" s="411">
        <v>0</v>
      </c>
      <c r="K1334" s="90">
        <f t="shared" si="219"/>
        <v>255.81599999999997</v>
      </c>
      <c r="L1334" s="131">
        <v>1391</v>
      </c>
      <c r="M1334" s="187">
        <v>48.06</v>
      </c>
      <c r="N1334" s="91">
        <f t="shared" si="213"/>
        <v>187.16</v>
      </c>
      <c r="O1334" s="411">
        <f t="shared" si="212"/>
        <v>68.655999999999977</v>
      </c>
      <c r="P1334" s="132" t="s">
        <v>52</v>
      </c>
      <c r="Q1334" s="232"/>
      <c r="R1334" s="411"/>
      <c r="T1334" s="134" t="s">
        <v>145</v>
      </c>
      <c r="U1334" s="267" t="s">
        <v>3303</v>
      </c>
    </row>
    <row r="1335" spans="1:23" ht="24" x14ac:dyDescent="0.25">
      <c r="A1335" s="405">
        <v>3001035</v>
      </c>
      <c r="B1335" s="406">
        <v>42436</v>
      </c>
      <c r="C1335" s="405" t="s">
        <v>237</v>
      </c>
      <c r="D1335" s="401" t="s">
        <v>3304</v>
      </c>
      <c r="E1335" s="120">
        <v>100</v>
      </c>
      <c r="F1335" s="133" t="s">
        <v>3301</v>
      </c>
      <c r="G1335" s="404" t="s">
        <v>45</v>
      </c>
      <c r="H1335" s="411">
        <v>136.72999999999999</v>
      </c>
      <c r="I1335" s="89">
        <f>-(H1335*0.15)</f>
        <v>-20.509499999999999</v>
      </c>
      <c r="J1335" s="411">
        <v>0</v>
      </c>
      <c r="K1335" s="90">
        <f t="shared" si="219"/>
        <v>116.22049999999999</v>
      </c>
      <c r="L1335" s="158">
        <v>731</v>
      </c>
      <c r="N1335" s="91">
        <f t="shared" si="213"/>
        <v>73.100000000000009</v>
      </c>
      <c r="O1335" s="411">
        <f t="shared" si="212"/>
        <v>43.120499999999979</v>
      </c>
      <c r="P1335" s="132" t="s">
        <v>926</v>
      </c>
      <c r="Q1335" s="232"/>
      <c r="R1335" s="411"/>
      <c r="T1335" s="134" t="s">
        <v>145</v>
      </c>
      <c r="U1335" s="267" t="s">
        <v>3305</v>
      </c>
    </row>
    <row r="1336" spans="1:23" x14ac:dyDescent="0.25">
      <c r="A1336" s="419">
        <v>3001036</v>
      </c>
      <c r="B1336" s="421">
        <v>42436</v>
      </c>
      <c r="C1336" s="419" t="s">
        <v>237</v>
      </c>
      <c r="D1336" s="417" t="s">
        <v>3306</v>
      </c>
      <c r="E1336" s="120">
        <v>25</v>
      </c>
      <c r="F1336" s="133" t="s">
        <v>3307</v>
      </c>
      <c r="G1336" s="434" t="s">
        <v>45</v>
      </c>
      <c r="H1336" s="427">
        <v>128.69999999999999</v>
      </c>
      <c r="I1336" s="452">
        <f>-(H1336*0.15)</f>
        <v>-19.304999999999996</v>
      </c>
      <c r="J1336" s="427">
        <v>0</v>
      </c>
      <c r="K1336" s="425">
        <f t="shared" si="219"/>
        <v>109.395</v>
      </c>
      <c r="L1336" s="158">
        <v>1186</v>
      </c>
      <c r="M1336" s="187">
        <v>15.3</v>
      </c>
      <c r="N1336" s="91">
        <f t="shared" si="213"/>
        <v>44.95</v>
      </c>
      <c r="O1336" s="411">
        <f t="shared" si="212"/>
        <v>64.444999999999993</v>
      </c>
      <c r="P1336" s="132" t="s">
        <v>926</v>
      </c>
      <c r="Q1336" s="232"/>
      <c r="R1336" s="411"/>
      <c r="T1336" s="439" t="s">
        <v>145</v>
      </c>
      <c r="U1336" s="446" t="s">
        <v>3308</v>
      </c>
    </row>
    <row r="1337" spans="1:23" x14ac:dyDescent="0.25">
      <c r="A1337" s="420"/>
      <c r="B1337" s="422"/>
      <c r="C1337" s="420"/>
      <c r="D1337" s="418"/>
      <c r="E1337" s="120">
        <v>25</v>
      </c>
      <c r="F1337" s="133" t="s">
        <v>2483</v>
      </c>
      <c r="G1337" s="436"/>
      <c r="H1337" s="428"/>
      <c r="I1337" s="453"/>
      <c r="J1337" s="428"/>
      <c r="K1337" s="426"/>
      <c r="L1337" s="158">
        <v>1154</v>
      </c>
      <c r="N1337" s="91">
        <f t="shared" si="213"/>
        <v>28.85</v>
      </c>
      <c r="O1337" s="411">
        <f t="shared" si="212"/>
        <v>-28.85</v>
      </c>
      <c r="P1337" s="132" t="s">
        <v>926</v>
      </c>
      <c r="Q1337" s="232"/>
      <c r="R1337" s="411"/>
      <c r="T1337" s="441"/>
      <c r="U1337" s="447"/>
    </row>
    <row r="1338" spans="1:23" ht="36" x14ac:dyDescent="0.25">
      <c r="A1338" s="405">
        <v>3001037</v>
      </c>
      <c r="B1338" s="406">
        <v>42436</v>
      </c>
      <c r="C1338" s="405" t="s">
        <v>237</v>
      </c>
      <c r="D1338" s="401" t="s">
        <v>3309</v>
      </c>
      <c r="E1338" s="120">
        <v>1000</v>
      </c>
      <c r="F1338" s="133" t="s">
        <v>3310</v>
      </c>
      <c r="G1338" s="404" t="s">
        <v>45</v>
      </c>
      <c r="H1338" s="411">
        <v>346.79</v>
      </c>
      <c r="I1338" s="89">
        <f t="shared" ref="I1338:I1343" si="221">-(H1338*0.15)</f>
        <v>-52.018500000000003</v>
      </c>
      <c r="J1338" s="411">
        <v>0</v>
      </c>
      <c r="K1338" s="90">
        <f t="shared" si="219"/>
        <v>294.7715</v>
      </c>
      <c r="L1338" s="131">
        <v>185.7</v>
      </c>
      <c r="M1338" s="187">
        <v>26.19</v>
      </c>
      <c r="N1338" s="91">
        <f t="shared" si="213"/>
        <v>211.89</v>
      </c>
      <c r="O1338" s="411">
        <f t="shared" si="212"/>
        <v>82.881500000000017</v>
      </c>
      <c r="P1338" s="132" t="s">
        <v>52</v>
      </c>
      <c r="Q1338" s="232"/>
      <c r="R1338" s="411"/>
      <c r="T1338" s="134" t="s">
        <v>145</v>
      </c>
      <c r="U1338" s="266" t="s">
        <v>3311</v>
      </c>
    </row>
    <row r="1339" spans="1:23" ht="24" x14ac:dyDescent="0.25">
      <c r="A1339" s="405">
        <v>3001038</v>
      </c>
      <c r="B1339" s="406">
        <v>42436</v>
      </c>
      <c r="C1339" s="405" t="s">
        <v>237</v>
      </c>
      <c r="D1339" s="401" t="s">
        <v>3312</v>
      </c>
      <c r="E1339" s="120">
        <v>150</v>
      </c>
      <c r="F1339" s="133" t="s">
        <v>247</v>
      </c>
      <c r="G1339" s="404" t="s">
        <v>45</v>
      </c>
      <c r="H1339" s="411">
        <v>172.41</v>
      </c>
      <c r="I1339" s="89">
        <f t="shared" si="221"/>
        <v>-25.861499999999999</v>
      </c>
      <c r="J1339" s="411">
        <v>0</v>
      </c>
      <c r="K1339" s="90">
        <f t="shared" si="219"/>
        <v>146.54849999999999</v>
      </c>
      <c r="L1339" s="131">
        <v>480</v>
      </c>
      <c r="M1339" s="187">
        <v>50.37</v>
      </c>
      <c r="N1339" s="91">
        <f t="shared" si="213"/>
        <v>122.37</v>
      </c>
      <c r="O1339" s="411">
        <f t="shared" si="212"/>
        <v>24.178499999999985</v>
      </c>
      <c r="P1339" s="132" t="s">
        <v>52</v>
      </c>
      <c r="Q1339" s="232"/>
      <c r="R1339" s="411"/>
      <c r="T1339" s="134" t="s">
        <v>145</v>
      </c>
      <c r="U1339" s="267" t="s">
        <v>3313</v>
      </c>
    </row>
    <row r="1340" spans="1:23" ht="24" x14ac:dyDescent="0.25">
      <c r="A1340" s="405">
        <v>3001039</v>
      </c>
      <c r="B1340" s="406">
        <v>42436</v>
      </c>
      <c r="C1340" s="405" t="s">
        <v>237</v>
      </c>
      <c r="D1340" s="401" t="s">
        <v>3314</v>
      </c>
      <c r="E1340" s="120">
        <v>150</v>
      </c>
      <c r="F1340" s="133" t="s">
        <v>605</v>
      </c>
      <c r="G1340" s="404" t="s">
        <v>45</v>
      </c>
      <c r="H1340" s="411">
        <v>242.94</v>
      </c>
      <c r="I1340" s="89">
        <f t="shared" si="221"/>
        <v>-36.440999999999995</v>
      </c>
      <c r="J1340" s="411">
        <v>0</v>
      </c>
      <c r="K1340" s="90">
        <f t="shared" si="219"/>
        <v>206.499</v>
      </c>
      <c r="L1340" s="131">
        <v>600</v>
      </c>
      <c r="M1340" s="187">
        <v>42.53</v>
      </c>
      <c r="N1340" s="91">
        <f t="shared" si="213"/>
        <v>132.53</v>
      </c>
      <c r="O1340" s="411">
        <f t="shared" si="212"/>
        <v>73.968999999999994</v>
      </c>
      <c r="P1340" s="132" t="s">
        <v>52</v>
      </c>
      <c r="Q1340" s="232"/>
      <c r="R1340" s="411"/>
      <c r="T1340" s="134" t="s">
        <v>145</v>
      </c>
      <c r="U1340" s="267" t="s">
        <v>3315</v>
      </c>
    </row>
    <row r="1341" spans="1:23" ht="24" x14ac:dyDescent="0.25">
      <c r="A1341" s="405">
        <v>3001040</v>
      </c>
      <c r="B1341" s="406">
        <v>42436</v>
      </c>
      <c r="C1341" s="405" t="s">
        <v>237</v>
      </c>
      <c r="D1341" s="401" t="s">
        <v>3316</v>
      </c>
      <c r="E1341" s="120">
        <v>100</v>
      </c>
      <c r="F1341" s="133" t="s">
        <v>3301</v>
      </c>
      <c r="G1341" s="404" t="s">
        <v>45</v>
      </c>
      <c r="H1341" s="411">
        <v>136.72999999999999</v>
      </c>
      <c r="I1341" s="89">
        <f t="shared" si="221"/>
        <v>-20.509499999999999</v>
      </c>
      <c r="J1341" s="411">
        <v>0</v>
      </c>
      <c r="K1341" s="90">
        <f t="shared" si="219"/>
        <v>116.22049999999999</v>
      </c>
      <c r="L1341" s="158">
        <v>731</v>
      </c>
      <c r="M1341" s="187">
        <v>16.96</v>
      </c>
      <c r="N1341" s="91">
        <f t="shared" si="213"/>
        <v>90.06</v>
      </c>
      <c r="O1341" s="411">
        <f t="shared" si="212"/>
        <v>26.160499999999985</v>
      </c>
      <c r="P1341" s="132" t="s">
        <v>926</v>
      </c>
      <c r="Q1341" s="232"/>
      <c r="R1341" s="411"/>
      <c r="T1341" s="134" t="s">
        <v>145</v>
      </c>
      <c r="U1341" s="267" t="s">
        <v>3317</v>
      </c>
    </row>
    <row r="1342" spans="1:23" ht="24" x14ac:dyDescent="0.25">
      <c r="A1342" s="405">
        <v>3001041</v>
      </c>
      <c r="B1342" s="406">
        <v>42436</v>
      </c>
      <c r="C1342" s="405" t="s">
        <v>237</v>
      </c>
      <c r="D1342" s="401" t="s">
        <v>3318</v>
      </c>
      <c r="E1342" s="120">
        <v>50</v>
      </c>
      <c r="F1342" s="133" t="s">
        <v>288</v>
      </c>
      <c r="G1342" s="404" t="s">
        <v>45</v>
      </c>
      <c r="H1342" s="411">
        <v>100</v>
      </c>
      <c r="I1342" s="89">
        <f t="shared" si="221"/>
        <v>-15</v>
      </c>
      <c r="J1342" s="411">
        <v>0</v>
      </c>
      <c r="K1342" s="90">
        <f t="shared" si="219"/>
        <v>85</v>
      </c>
      <c r="L1342" s="131">
        <v>950</v>
      </c>
      <c r="M1342" s="187">
        <v>18.62</v>
      </c>
      <c r="N1342" s="91">
        <f t="shared" si="213"/>
        <v>66.12</v>
      </c>
      <c r="O1342" s="411">
        <f t="shared" si="212"/>
        <v>18.879999999999995</v>
      </c>
      <c r="P1342" s="132" t="s">
        <v>52</v>
      </c>
      <c r="Q1342" s="232"/>
      <c r="R1342" s="411"/>
      <c r="T1342" s="134" t="s">
        <v>145</v>
      </c>
      <c r="U1342" s="267" t="s">
        <v>3319</v>
      </c>
    </row>
    <row r="1343" spans="1:23" ht="24" x14ac:dyDescent="0.25">
      <c r="A1343" s="405">
        <v>3001042</v>
      </c>
      <c r="B1343" s="406">
        <v>42436</v>
      </c>
      <c r="C1343" s="405" t="s">
        <v>237</v>
      </c>
      <c r="D1343" s="401" t="s">
        <v>3320</v>
      </c>
      <c r="E1343" s="120">
        <v>150</v>
      </c>
      <c r="F1343" s="133" t="s">
        <v>307</v>
      </c>
      <c r="G1343" s="404" t="s">
        <v>45</v>
      </c>
      <c r="H1343" s="411">
        <v>195.26</v>
      </c>
      <c r="I1343" s="89">
        <f t="shared" si="221"/>
        <v>-29.288999999999998</v>
      </c>
      <c r="J1343" s="411">
        <v>0</v>
      </c>
      <c r="K1343" s="90">
        <f t="shared" si="219"/>
        <v>165.971</v>
      </c>
      <c r="L1343" s="131">
        <v>700</v>
      </c>
      <c r="M1343" s="187">
        <v>39.89</v>
      </c>
      <c r="N1343" s="91">
        <f t="shared" si="213"/>
        <v>144.88999999999999</v>
      </c>
      <c r="O1343" s="411">
        <f t="shared" si="212"/>
        <v>21.081000000000017</v>
      </c>
      <c r="P1343" s="132" t="s">
        <v>52</v>
      </c>
      <c r="Q1343" s="232"/>
      <c r="R1343" s="411"/>
      <c r="T1343" s="134" t="s">
        <v>145</v>
      </c>
      <c r="U1343" s="267" t="s">
        <v>3321</v>
      </c>
    </row>
    <row r="1344" spans="1:23" ht="24" x14ac:dyDescent="0.25">
      <c r="A1344" s="405">
        <v>3001043</v>
      </c>
      <c r="B1344" s="406">
        <v>42436</v>
      </c>
      <c r="C1344" s="405" t="s">
        <v>42</v>
      </c>
      <c r="D1344" s="401" t="s">
        <v>3322</v>
      </c>
      <c r="E1344" s="120">
        <v>100</v>
      </c>
      <c r="F1344" s="133" t="s">
        <v>829</v>
      </c>
      <c r="G1344" s="404" t="s">
        <v>45</v>
      </c>
      <c r="H1344" s="411">
        <v>114</v>
      </c>
      <c r="I1344" s="89">
        <f t="shared" ref="I1344:I1360" si="222">-(H1344*0.09)</f>
        <v>-10.26</v>
      </c>
      <c r="J1344" s="90">
        <f t="shared" ref="J1344:J1360" si="223">-((H1344*0.019)+0.3)</f>
        <v>-2.4659999999999997</v>
      </c>
      <c r="K1344" s="90">
        <f t="shared" si="219"/>
        <v>101.274</v>
      </c>
      <c r="L1344" s="131">
        <v>510</v>
      </c>
      <c r="M1344" s="187">
        <v>21.37</v>
      </c>
      <c r="N1344" s="91">
        <f t="shared" si="213"/>
        <v>72.37</v>
      </c>
      <c r="O1344" s="411">
        <f t="shared" si="212"/>
        <v>28.903999999999996</v>
      </c>
      <c r="P1344" s="132" t="s">
        <v>52</v>
      </c>
      <c r="Q1344" s="232"/>
      <c r="R1344" s="411"/>
      <c r="T1344" s="134" t="s">
        <v>145</v>
      </c>
      <c r="U1344" s="267" t="s">
        <v>3323</v>
      </c>
    </row>
    <row r="1345" spans="1:21" ht="24" x14ac:dyDescent="0.25">
      <c r="A1345" s="405">
        <v>3001044</v>
      </c>
      <c r="B1345" s="406">
        <v>42436</v>
      </c>
      <c r="C1345" s="405" t="s">
        <v>42</v>
      </c>
      <c r="D1345" s="401" t="s">
        <v>3324</v>
      </c>
      <c r="E1345" s="120">
        <v>175</v>
      </c>
      <c r="F1345" s="133" t="s">
        <v>605</v>
      </c>
      <c r="G1345" s="404" t="s">
        <v>45</v>
      </c>
      <c r="H1345" s="411">
        <v>264.31</v>
      </c>
      <c r="I1345" s="89">
        <f t="shared" si="222"/>
        <v>-23.7879</v>
      </c>
      <c r="J1345" s="90">
        <f t="shared" si="223"/>
        <v>-5.3218899999999998</v>
      </c>
      <c r="K1345" s="90">
        <f t="shared" si="219"/>
        <v>235.20021</v>
      </c>
      <c r="L1345" s="131">
        <v>600</v>
      </c>
      <c r="M1345" s="187">
        <v>48.9</v>
      </c>
      <c r="N1345" s="91">
        <f t="shared" si="213"/>
        <v>153.9</v>
      </c>
      <c r="O1345" s="411">
        <f t="shared" si="212"/>
        <v>81.300209999999993</v>
      </c>
      <c r="P1345" s="132" t="s">
        <v>52</v>
      </c>
      <c r="Q1345" s="232"/>
      <c r="R1345" s="411"/>
      <c r="T1345" s="134" t="s">
        <v>145</v>
      </c>
      <c r="U1345" s="267" t="s">
        <v>3325</v>
      </c>
    </row>
    <row r="1346" spans="1:21" ht="24" x14ac:dyDescent="0.25">
      <c r="A1346" s="405">
        <v>3001045</v>
      </c>
      <c r="B1346" s="406">
        <v>42436</v>
      </c>
      <c r="C1346" s="405" t="s">
        <v>42</v>
      </c>
      <c r="D1346" s="401" t="s">
        <v>3326</v>
      </c>
      <c r="E1346" s="120">
        <v>500</v>
      </c>
      <c r="F1346" s="133" t="s">
        <v>3327</v>
      </c>
      <c r="G1346" s="404" t="s">
        <v>45</v>
      </c>
      <c r="H1346" s="411">
        <v>228.1</v>
      </c>
      <c r="I1346" s="89">
        <f t="shared" si="222"/>
        <v>-20.529</v>
      </c>
      <c r="J1346" s="90">
        <f t="shared" si="223"/>
        <v>-4.6338999999999997</v>
      </c>
      <c r="K1346" s="90">
        <f t="shared" si="219"/>
        <v>202.93709999999999</v>
      </c>
      <c r="L1346" s="187">
        <v>360</v>
      </c>
      <c r="M1346" s="187">
        <v>35.28</v>
      </c>
      <c r="N1346" s="91">
        <f t="shared" si="213"/>
        <v>215.28</v>
      </c>
      <c r="O1346" s="411">
        <f t="shared" si="212"/>
        <v>-12.342900000000014</v>
      </c>
      <c r="P1346" s="132" t="s">
        <v>235</v>
      </c>
      <c r="Q1346" s="232"/>
      <c r="R1346" s="411"/>
      <c r="T1346" s="134" t="s">
        <v>145</v>
      </c>
      <c r="U1346" s="267" t="s">
        <v>3328</v>
      </c>
    </row>
    <row r="1347" spans="1:21" ht="24" x14ac:dyDescent="0.25">
      <c r="A1347" s="405">
        <v>3001046</v>
      </c>
      <c r="B1347" s="406">
        <v>42436</v>
      </c>
      <c r="C1347" s="405" t="s">
        <v>42</v>
      </c>
      <c r="D1347" s="401" t="s">
        <v>3329</v>
      </c>
      <c r="E1347" s="120">
        <v>500</v>
      </c>
      <c r="F1347" s="133" t="s">
        <v>3330</v>
      </c>
      <c r="G1347" s="404" t="s">
        <v>45</v>
      </c>
      <c r="H1347" s="411">
        <v>152.78</v>
      </c>
      <c r="I1347" s="89">
        <f t="shared" si="222"/>
        <v>-13.7502</v>
      </c>
      <c r="J1347" s="90">
        <f t="shared" si="223"/>
        <v>-3.2028199999999996</v>
      </c>
      <c r="K1347" s="90">
        <f t="shared" si="219"/>
        <v>135.82697999999999</v>
      </c>
      <c r="L1347" s="187">
        <v>200</v>
      </c>
      <c r="M1347" s="187">
        <v>16.46</v>
      </c>
      <c r="N1347" s="91">
        <f t="shared" si="213"/>
        <v>116.46000000000001</v>
      </c>
      <c r="O1347" s="411">
        <f t="shared" si="212"/>
        <v>19.366979999999984</v>
      </c>
      <c r="P1347" s="132" t="s">
        <v>183</v>
      </c>
      <c r="Q1347" s="232"/>
      <c r="R1347" s="411"/>
      <c r="T1347" s="134" t="s">
        <v>145</v>
      </c>
      <c r="U1347" s="267" t="s">
        <v>3331</v>
      </c>
    </row>
    <row r="1348" spans="1:21" ht="24" x14ac:dyDescent="0.25">
      <c r="A1348" s="405">
        <v>3001047</v>
      </c>
      <c r="B1348" s="406">
        <v>42436</v>
      </c>
      <c r="C1348" s="405" t="s">
        <v>42</v>
      </c>
      <c r="D1348" s="401" t="s">
        <v>3332</v>
      </c>
      <c r="E1348" s="120">
        <v>250</v>
      </c>
      <c r="F1348" s="133" t="s">
        <v>165</v>
      </c>
      <c r="G1348" s="404" t="s">
        <v>45</v>
      </c>
      <c r="H1348" s="411">
        <v>250.89</v>
      </c>
      <c r="I1348" s="89">
        <f t="shared" si="222"/>
        <v>-22.580099999999998</v>
      </c>
      <c r="J1348" s="90">
        <f t="shared" si="223"/>
        <v>-5.0669099999999991</v>
      </c>
      <c r="K1348" s="90">
        <f t="shared" si="219"/>
        <v>223.24298999999999</v>
      </c>
      <c r="L1348" s="131">
        <v>480</v>
      </c>
      <c r="M1348" s="187">
        <v>33.32</v>
      </c>
      <c r="N1348" s="91">
        <f t="shared" si="213"/>
        <v>153.32</v>
      </c>
      <c r="O1348" s="411">
        <f t="shared" si="212"/>
        <v>69.922989999999999</v>
      </c>
      <c r="P1348" s="132" t="s">
        <v>86</v>
      </c>
      <c r="Q1348" s="232"/>
      <c r="R1348" s="411"/>
      <c r="T1348" s="134" t="s">
        <v>145</v>
      </c>
      <c r="U1348" s="267" t="s">
        <v>3333</v>
      </c>
    </row>
    <row r="1349" spans="1:21" ht="24" x14ac:dyDescent="0.25">
      <c r="A1349" s="405">
        <v>3001048</v>
      </c>
      <c r="B1349" s="406">
        <v>42436</v>
      </c>
      <c r="C1349" s="405" t="s">
        <v>42</v>
      </c>
      <c r="D1349" s="401" t="s">
        <v>3334</v>
      </c>
      <c r="E1349" s="120">
        <v>250</v>
      </c>
      <c r="F1349" s="133" t="s">
        <v>210</v>
      </c>
      <c r="G1349" s="404" t="s">
        <v>45</v>
      </c>
      <c r="H1349" s="411">
        <v>290.43</v>
      </c>
      <c r="I1349" s="89">
        <f t="shared" si="222"/>
        <v>-26.1387</v>
      </c>
      <c r="J1349" s="90">
        <f t="shared" si="223"/>
        <v>-5.8181699999999994</v>
      </c>
      <c r="K1349" s="90">
        <f t="shared" si="219"/>
        <v>258.47312999999997</v>
      </c>
      <c r="L1349" s="187">
        <v>675</v>
      </c>
      <c r="M1349" s="187">
        <v>31.23</v>
      </c>
      <c r="N1349" s="91">
        <f t="shared" si="213"/>
        <v>199.98</v>
      </c>
      <c r="O1349" s="411">
        <f t="shared" si="212"/>
        <v>58.493129999999979</v>
      </c>
      <c r="P1349" s="132" t="s">
        <v>235</v>
      </c>
      <c r="Q1349" s="232"/>
      <c r="R1349" s="411"/>
      <c r="T1349" s="134" t="s">
        <v>145</v>
      </c>
      <c r="U1349" s="267" t="s">
        <v>3335</v>
      </c>
    </row>
    <row r="1350" spans="1:21" ht="24" x14ac:dyDescent="0.25">
      <c r="A1350" s="405">
        <v>3001049</v>
      </c>
      <c r="B1350" s="406">
        <v>42436</v>
      </c>
      <c r="C1350" s="405" t="s">
        <v>42</v>
      </c>
      <c r="D1350" s="401" t="s">
        <v>3336</v>
      </c>
      <c r="E1350" s="120">
        <v>250</v>
      </c>
      <c r="F1350" s="133" t="s">
        <v>829</v>
      </c>
      <c r="G1350" s="404" t="s">
        <v>45</v>
      </c>
      <c r="H1350" s="411">
        <v>237.5</v>
      </c>
      <c r="I1350" s="89">
        <f t="shared" si="222"/>
        <v>-21.375</v>
      </c>
      <c r="J1350" s="90">
        <f t="shared" si="223"/>
        <v>-4.8125</v>
      </c>
      <c r="K1350" s="90">
        <f t="shared" si="219"/>
        <v>211.3125</v>
      </c>
      <c r="L1350" s="131">
        <v>510</v>
      </c>
      <c r="M1350" s="187">
        <v>48.68</v>
      </c>
      <c r="N1350" s="91">
        <f t="shared" si="213"/>
        <v>176.18</v>
      </c>
      <c r="O1350" s="411">
        <f t="shared" si="212"/>
        <v>35.132499999999993</v>
      </c>
      <c r="P1350" s="132" t="s">
        <v>52</v>
      </c>
      <c r="Q1350" s="232"/>
      <c r="R1350" s="411"/>
      <c r="T1350" s="134" t="s">
        <v>145</v>
      </c>
      <c r="U1350" s="267" t="s">
        <v>3337</v>
      </c>
    </row>
    <row r="1351" spans="1:21" ht="24" x14ac:dyDescent="0.25">
      <c r="A1351" s="405">
        <v>3001050</v>
      </c>
      <c r="B1351" s="406">
        <v>42436</v>
      </c>
      <c r="C1351" s="405" t="s">
        <v>42</v>
      </c>
      <c r="D1351" s="401" t="s">
        <v>3338</v>
      </c>
      <c r="E1351" s="120">
        <v>150</v>
      </c>
      <c r="F1351" s="133" t="s">
        <v>182</v>
      </c>
      <c r="G1351" s="404" t="s">
        <v>45</v>
      </c>
      <c r="H1351" s="411">
        <v>289.75</v>
      </c>
      <c r="I1351" s="89">
        <f t="shared" si="222"/>
        <v>-26.077500000000001</v>
      </c>
      <c r="J1351" s="90">
        <f t="shared" si="223"/>
        <v>-5.80525</v>
      </c>
      <c r="K1351" s="90">
        <f t="shared" si="219"/>
        <v>257.86725000000001</v>
      </c>
      <c r="M1351" s="187">
        <v>52.77</v>
      </c>
      <c r="N1351" s="91">
        <f t="shared" si="213"/>
        <v>52.77</v>
      </c>
      <c r="O1351" s="411">
        <f t="shared" si="212"/>
        <v>205.09725</v>
      </c>
      <c r="P1351" s="132" t="s">
        <v>52</v>
      </c>
      <c r="Q1351" s="232"/>
      <c r="R1351" s="411"/>
      <c r="T1351" s="134" t="s">
        <v>145</v>
      </c>
      <c r="U1351" s="267" t="s">
        <v>3339</v>
      </c>
    </row>
    <row r="1352" spans="1:21" ht="24" x14ac:dyDescent="0.25">
      <c r="A1352" s="405">
        <v>3001051</v>
      </c>
      <c r="B1352" s="406">
        <v>42436</v>
      </c>
      <c r="C1352" s="405" t="s">
        <v>42</v>
      </c>
      <c r="D1352" s="401" t="s">
        <v>3340</v>
      </c>
      <c r="E1352" s="120">
        <v>250</v>
      </c>
      <c r="F1352" s="133" t="s">
        <v>1137</v>
      </c>
      <c r="G1352" s="404" t="s">
        <v>45</v>
      </c>
      <c r="H1352" s="411">
        <v>133</v>
      </c>
      <c r="I1352" s="89">
        <f t="shared" si="222"/>
        <v>-11.969999999999999</v>
      </c>
      <c r="J1352" s="90">
        <f t="shared" si="223"/>
        <v>-2.827</v>
      </c>
      <c r="K1352" s="90">
        <f t="shared" si="219"/>
        <v>118.203</v>
      </c>
      <c r="L1352" s="131">
        <v>250</v>
      </c>
      <c r="M1352" s="187">
        <v>22.36</v>
      </c>
      <c r="N1352" s="91">
        <f t="shared" si="213"/>
        <v>84.86</v>
      </c>
      <c r="O1352" s="411">
        <f t="shared" si="212"/>
        <v>33.343000000000004</v>
      </c>
      <c r="P1352" s="132" t="s">
        <v>52</v>
      </c>
      <c r="Q1352" s="232"/>
      <c r="R1352" s="411"/>
      <c r="T1352" s="134" t="s">
        <v>145</v>
      </c>
      <c r="U1352" s="267" t="s">
        <v>3341</v>
      </c>
    </row>
    <row r="1353" spans="1:21" ht="24" x14ac:dyDescent="0.25">
      <c r="A1353" s="405">
        <v>3001052</v>
      </c>
      <c r="B1353" s="406">
        <v>42436</v>
      </c>
      <c r="C1353" s="405" t="s">
        <v>42</v>
      </c>
      <c r="D1353" s="401" t="s">
        <v>3342</v>
      </c>
      <c r="E1353" s="120">
        <v>100</v>
      </c>
      <c r="F1353" s="133" t="s">
        <v>1991</v>
      </c>
      <c r="G1353" s="404" t="s">
        <v>45</v>
      </c>
      <c r="H1353" s="411">
        <v>576.65</v>
      </c>
      <c r="I1353" s="89">
        <f t="shared" si="222"/>
        <v>-51.898499999999999</v>
      </c>
      <c r="J1353" s="90">
        <f t="shared" si="223"/>
        <v>-11.256349999999999</v>
      </c>
      <c r="K1353" s="90">
        <f t="shared" si="219"/>
        <v>513.49514999999997</v>
      </c>
      <c r="L1353" s="187">
        <v>3350</v>
      </c>
      <c r="M1353" s="187">
        <v>35.35</v>
      </c>
      <c r="N1353" s="91">
        <f t="shared" si="213"/>
        <v>370.35</v>
      </c>
      <c r="O1353" s="411">
        <f t="shared" ref="O1353:O1416" si="224">K1353-N1353</f>
        <v>143.14514999999994</v>
      </c>
      <c r="P1353" s="132" t="s">
        <v>183</v>
      </c>
      <c r="Q1353" s="232"/>
      <c r="R1353" s="411"/>
      <c r="T1353" s="134" t="s">
        <v>145</v>
      </c>
      <c r="U1353" s="267" t="s">
        <v>3343</v>
      </c>
    </row>
    <row r="1354" spans="1:21" ht="24" x14ac:dyDescent="0.25">
      <c r="A1354" s="405">
        <v>3001053</v>
      </c>
      <c r="B1354" s="406">
        <v>42436</v>
      </c>
      <c r="C1354" s="405" t="s">
        <v>42</v>
      </c>
      <c r="D1354" s="401" t="s">
        <v>3344</v>
      </c>
      <c r="E1354" s="120">
        <v>50</v>
      </c>
      <c r="F1354" s="133" t="s">
        <v>3345</v>
      </c>
      <c r="G1354" s="404" t="s">
        <v>45</v>
      </c>
      <c r="H1354" s="411">
        <v>122.5</v>
      </c>
      <c r="I1354" s="89">
        <f t="shared" si="222"/>
        <v>-11.025</v>
      </c>
      <c r="J1354" s="90">
        <f t="shared" si="223"/>
        <v>-2.6274999999999999</v>
      </c>
      <c r="K1354" s="90">
        <f t="shared" si="219"/>
        <v>108.8475</v>
      </c>
      <c r="L1354" s="131">
        <v>1462</v>
      </c>
      <c r="M1354" s="187">
        <v>18.77</v>
      </c>
      <c r="N1354" s="91">
        <f t="shared" si="213"/>
        <v>91.87</v>
      </c>
      <c r="O1354" s="411">
        <f t="shared" si="224"/>
        <v>16.977499999999992</v>
      </c>
      <c r="P1354" s="132" t="s">
        <v>926</v>
      </c>
      <c r="Q1354" s="232"/>
      <c r="R1354" s="411"/>
      <c r="T1354" s="134" t="s">
        <v>145</v>
      </c>
      <c r="U1354" s="267" t="s">
        <v>3346</v>
      </c>
    </row>
    <row r="1355" spans="1:21" ht="24" x14ac:dyDescent="0.25">
      <c r="A1355" s="405">
        <v>3001054</v>
      </c>
      <c r="B1355" s="406">
        <v>42436</v>
      </c>
      <c r="C1355" s="405" t="s">
        <v>42</v>
      </c>
      <c r="D1355" s="401" t="s">
        <v>1395</v>
      </c>
      <c r="E1355" s="120">
        <v>100</v>
      </c>
      <c r="F1355" s="133" t="s">
        <v>288</v>
      </c>
      <c r="G1355" s="404" t="s">
        <v>45</v>
      </c>
      <c r="H1355" s="411">
        <v>202.13</v>
      </c>
      <c r="I1355" s="89">
        <f t="shared" si="222"/>
        <v>-18.191699999999997</v>
      </c>
      <c r="J1355" s="90">
        <f t="shared" si="223"/>
        <v>-4.1404699999999997</v>
      </c>
      <c r="K1355" s="90">
        <f t="shared" si="219"/>
        <v>179.79783</v>
      </c>
      <c r="L1355" s="131">
        <v>950</v>
      </c>
      <c r="M1355" s="187">
        <v>20.21</v>
      </c>
      <c r="N1355" s="91">
        <f t="shared" si="213"/>
        <v>115.21000000000001</v>
      </c>
      <c r="O1355" s="411">
        <f t="shared" si="224"/>
        <v>64.587829999999997</v>
      </c>
      <c r="P1355" s="132" t="s">
        <v>52</v>
      </c>
      <c r="Q1355" s="232"/>
      <c r="R1355" s="411">
        <v>14.97</v>
      </c>
      <c r="S1355" s="133" t="s">
        <v>1396</v>
      </c>
      <c r="T1355" s="134" t="s">
        <v>145</v>
      </c>
      <c r="U1355" s="267" t="s">
        <v>3347</v>
      </c>
    </row>
    <row r="1356" spans="1:21" ht="24" x14ac:dyDescent="0.25">
      <c r="A1356" s="405">
        <v>3001055</v>
      </c>
      <c r="B1356" s="406">
        <v>42436</v>
      </c>
      <c r="C1356" s="405" t="s">
        <v>42</v>
      </c>
      <c r="D1356" s="401" t="s">
        <v>3348</v>
      </c>
      <c r="E1356" s="120">
        <v>100</v>
      </c>
      <c r="F1356" s="133" t="s">
        <v>288</v>
      </c>
      <c r="G1356" s="404" t="s">
        <v>45</v>
      </c>
      <c r="H1356" s="411">
        <v>187.16</v>
      </c>
      <c r="I1356" s="89">
        <f t="shared" si="222"/>
        <v>-16.8444</v>
      </c>
      <c r="J1356" s="90">
        <f t="shared" si="223"/>
        <v>-3.8560399999999997</v>
      </c>
      <c r="K1356" s="90">
        <f t="shared" si="219"/>
        <v>166.45955999999998</v>
      </c>
      <c r="L1356" s="131">
        <v>950</v>
      </c>
      <c r="M1356" s="187">
        <v>21.24</v>
      </c>
      <c r="N1356" s="91">
        <f t="shared" ref="N1356:N1420" si="225">((L1356)*(E1356*0.001))+M1356</f>
        <v>116.24</v>
      </c>
      <c r="O1356" s="411">
        <f t="shared" si="224"/>
        <v>50.219559999999987</v>
      </c>
      <c r="P1356" s="132" t="s">
        <v>52</v>
      </c>
      <c r="Q1356" s="232"/>
      <c r="R1356" s="411"/>
      <c r="T1356" s="134" t="s">
        <v>145</v>
      </c>
      <c r="U1356" s="267" t="s">
        <v>3349</v>
      </c>
    </row>
    <row r="1357" spans="1:21" ht="24" x14ac:dyDescent="0.25">
      <c r="A1357" s="405">
        <v>3001056</v>
      </c>
      <c r="B1357" s="406">
        <v>42436</v>
      </c>
      <c r="C1357" s="405" t="s">
        <v>42</v>
      </c>
      <c r="D1357" s="401" t="s">
        <v>3350</v>
      </c>
      <c r="E1357" s="120">
        <v>100</v>
      </c>
      <c r="F1357" s="133" t="s">
        <v>247</v>
      </c>
      <c r="G1357" s="404" t="s">
        <v>45</v>
      </c>
      <c r="H1357" s="411">
        <v>121.39</v>
      </c>
      <c r="I1357" s="89">
        <f t="shared" si="222"/>
        <v>-10.9251</v>
      </c>
      <c r="J1357" s="90">
        <f t="shared" si="223"/>
        <v>-2.6064099999999999</v>
      </c>
      <c r="K1357" s="90">
        <f t="shared" si="219"/>
        <v>107.85849</v>
      </c>
      <c r="L1357" s="131">
        <v>480</v>
      </c>
      <c r="M1357" s="187">
        <v>19.36</v>
      </c>
      <c r="N1357" s="91">
        <f t="shared" si="225"/>
        <v>67.36</v>
      </c>
      <c r="O1357" s="411">
        <f t="shared" si="224"/>
        <v>40.498490000000004</v>
      </c>
      <c r="P1357" s="132" t="s">
        <v>52</v>
      </c>
      <c r="Q1357" s="232"/>
      <c r="R1357" s="411"/>
      <c r="T1357" s="134" t="s">
        <v>145</v>
      </c>
      <c r="U1357" s="267" t="s">
        <v>3351</v>
      </c>
    </row>
    <row r="1358" spans="1:21" ht="24" x14ac:dyDescent="0.25">
      <c r="A1358" s="405">
        <v>3001057</v>
      </c>
      <c r="B1358" s="406">
        <v>42436</v>
      </c>
      <c r="C1358" s="405" t="s">
        <v>42</v>
      </c>
      <c r="D1358" s="401" t="s">
        <v>3352</v>
      </c>
      <c r="E1358" s="120">
        <v>100</v>
      </c>
      <c r="F1358" s="133" t="s">
        <v>288</v>
      </c>
      <c r="G1358" s="404" t="s">
        <v>45</v>
      </c>
      <c r="H1358" s="411">
        <v>187.16</v>
      </c>
      <c r="I1358" s="89">
        <f t="shared" si="222"/>
        <v>-16.8444</v>
      </c>
      <c r="J1358" s="90">
        <f t="shared" si="223"/>
        <v>-3.8560399999999997</v>
      </c>
      <c r="K1358" s="90">
        <f t="shared" si="219"/>
        <v>166.45955999999998</v>
      </c>
      <c r="L1358" s="131">
        <v>950</v>
      </c>
      <c r="M1358" s="187">
        <v>34.81</v>
      </c>
      <c r="N1358" s="91">
        <f t="shared" si="225"/>
        <v>129.81</v>
      </c>
      <c r="O1358" s="411">
        <f t="shared" si="224"/>
        <v>36.64955999999998</v>
      </c>
      <c r="P1358" s="132" t="s">
        <v>52</v>
      </c>
      <c r="Q1358" s="232"/>
      <c r="R1358" s="411"/>
      <c r="T1358" s="134" t="s">
        <v>145</v>
      </c>
      <c r="U1358" s="267" t="s">
        <v>3353</v>
      </c>
    </row>
    <row r="1359" spans="1:21" ht="24" x14ac:dyDescent="0.25">
      <c r="A1359" s="405">
        <v>3001058</v>
      </c>
      <c r="B1359" s="406">
        <v>42436</v>
      </c>
      <c r="C1359" s="405" t="s">
        <v>42</v>
      </c>
      <c r="D1359" s="401" t="s">
        <v>2694</v>
      </c>
      <c r="E1359" s="120">
        <v>100</v>
      </c>
      <c r="F1359" s="133" t="s">
        <v>247</v>
      </c>
      <c r="G1359" s="404" t="s">
        <v>45</v>
      </c>
      <c r="H1359" s="411">
        <v>121.39</v>
      </c>
      <c r="I1359" s="89">
        <f t="shared" si="222"/>
        <v>-10.9251</v>
      </c>
      <c r="J1359" s="90">
        <f t="shared" si="223"/>
        <v>-2.6064099999999999</v>
      </c>
      <c r="K1359" s="90">
        <f t="shared" si="219"/>
        <v>107.85849</v>
      </c>
      <c r="L1359" s="131">
        <v>480</v>
      </c>
      <c r="M1359" s="187">
        <v>33.380000000000003</v>
      </c>
      <c r="N1359" s="91">
        <f t="shared" si="225"/>
        <v>81.38</v>
      </c>
      <c r="O1359" s="411">
        <f t="shared" si="224"/>
        <v>26.478490000000008</v>
      </c>
      <c r="P1359" s="132" t="s">
        <v>52</v>
      </c>
      <c r="Q1359" s="232"/>
      <c r="R1359" s="411"/>
      <c r="T1359" s="134" t="s">
        <v>145</v>
      </c>
      <c r="U1359" s="267" t="s">
        <v>3354</v>
      </c>
    </row>
    <row r="1360" spans="1:21" ht="24" x14ac:dyDescent="0.25">
      <c r="A1360" s="405">
        <v>3001059</v>
      </c>
      <c r="B1360" s="406">
        <v>42436</v>
      </c>
      <c r="C1360" s="405" t="s">
        <v>42</v>
      </c>
      <c r="D1360" s="401" t="s">
        <v>3355</v>
      </c>
      <c r="E1360" s="120">
        <v>200</v>
      </c>
      <c r="F1360" s="133" t="s">
        <v>161</v>
      </c>
      <c r="G1360" s="404" t="s">
        <v>45</v>
      </c>
      <c r="H1360" s="411">
        <v>427.02</v>
      </c>
      <c r="I1360" s="89">
        <f t="shared" si="222"/>
        <v>-38.431799999999996</v>
      </c>
      <c r="J1360" s="90">
        <f t="shared" si="223"/>
        <v>-8.4133800000000001</v>
      </c>
      <c r="K1360" s="90">
        <f t="shared" si="219"/>
        <v>380.17481999999995</v>
      </c>
      <c r="L1360" s="131">
        <v>1322</v>
      </c>
      <c r="M1360" s="187">
        <v>76.16</v>
      </c>
      <c r="N1360" s="91">
        <f t="shared" si="225"/>
        <v>340.56000000000006</v>
      </c>
      <c r="O1360" s="411">
        <f t="shared" si="224"/>
        <v>39.614819999999895</v>
      </c>
      <c r="P1360" s="132" t="s">
        <v>52</v>
      </c>
      <c r="Q1360" s="232"/>
      <c r="R1360" s="411"/>
      <c r="T1360" s="134" t="s">
        <v>145</v>
      </c>
      <c r="U1360" s="267" t="s">
        <v>3356</v>
      </c>
    </row>
    <row r="1361" spans="1:23" x14ac:dyDescent="0.25">
      <c r="A1361" s="405">
        <v>3001060</v>
      </c>
      <c r="B1361" s="406">
        <v>42436</v>
      </c>
      <c r="C1361" s="405" t="s">
        <v>555</v>
      </c>
      <c r="D1361" s="401" t="s">
        <v>3357</v>
      </c>
      <c r="E1361" s="120">
        <v>19600</v>
      </c>
      <c r="F1361" s="133" t="s">
        <v>3358</v>
      </c>
      <c r="G1361" s="404" t="s">
        <v>45</v>
      </c>
      <c r="H1361" s="411">
        <v>94988</v>
      </c>
      <c r="I1361" s="411">
        <v>0</v>
      </c>
      <c r="J1361" s="411">
        <v>0</v>
      </c>
      <c r="K1361" s="90">
        <f t="shared" si="219"/>
        <v>94988</v>
      </c>
      <c r="L1361" s="131">
        <v>4120</v>
      </c>
      <c r="M1361" s="131">
        <v>0</v>
      </c>
      <c r="N1361" s="91">
        <f t="shared" si="225"/>
        <v>80752</v>
      </c>
      <c r="O1361" s="411">
        <f t="shared" si="224"/>
        <v>14236</v>
      </c>
      <c r="P1361" s="132" t="s">
        <v>3359</v>
      </c>
      <c r="Q1361" s="232"/>
      <c r="R1361" s="411"/>
      <c r="T1361" s="134"/>
      <c r="U1361" s="266"/>
      <c r="W1361" s="153" t="s">
        <v>3360</v>
      </c>
    </row>
    <row r="1362" spans="1:23" x14ac:dyDescent="0.25">
      <c r="A1362" s="419">
        <v>3001061</v>
      </c>
      <c r="B1362" s="421">
        <v>42437</v>
      </c>
      <c r="C1362" s="419" t="s">
        <v>63</v>
      </c>
      <c r="D1362" s="429" t="s">
        <v>1019</v>
      </c>
      <c r="E1362" s="120">
        <v>200</v>
      </c>
      <c r="F1362" s="133" t="s">
        <v>247</v>
      </c>
      <c r="G1362" s="434" t="s">
        <v>45</v>
      </c>
      <c r="H1362" s="427">
        <v>682</v>
      </c>
      <c r="I1362" s="427">
        <v>0</v>
      </c>
      <c r="J1362" s="425">
        <f>-((H1362*0.022)+0.3)</f>
        <v>-15.304</v>
      </c>
      <c r="K1362" s="425">
        <f t="shared" si="219"/>
        <v>666.69600000000003</v>
      </c>
      <c r="L1362" s="131">
        <v>480</v>
      </c>
      <c r="M1362" s="187">
        <v>19.829999999999998</v>
      </c>
      <c r="N1362" s="91">
        <f t="shared" si="225"/>
        <v>115.83</v>
      </c>
      <c r="O1362" s="411">
        <f t="shared" si="224"/>
        <v>550.86599999999999</v>
      </c>
      <c r="P1362" s="132" t="s">
        <v>52</v>
      </c>
      <c r="Q1362" s="232"/>
      <c r="R1362" s="411"/>
      <c r="T1362" s="470" t="s">
        <v>145</v>
      </c>
      <c r="U1362" s="267" t="s">
        <v>3361</v>
      </c>
      <c r="W1362" s="153" t="s">
        <v>1022</v>
      </c>
    </row>
    <row r="1363" spans="1:23" x14ac:dyDescent="0.25">
      <c r="A1363" s="420"/>
      <c r="B1363" s="422"/>
      <c r="C1363" s="420"/>
      <c r="D1363" s="431"/>
      <c r="E1363" s="120">
        <v>500</v>
      </c>
      <c r="F1363" s="133" t="s">
        <v>3362</v>
      </c>
      <c r="G1363" s="436"/>
      <c r="H1363" s="428"/>
      <c r="I1363" s="428"/>
      <c r="J1363" s="426"/>
      <c r="K1363" s="426"/>
      <c r="M1363" s="187">
        <v>38.26</v>
      </c>
      <c r="N1363" s="91">
        <f t="shared" si="225"/>
        <v>38.26</v>
      </c>
      <c r="O1363" s="411">
        <f t="shared" si="224"/>
        <v>-38.26</v>
      </c>
      <c r="P1363" s="132" t="s">
        <v>52</v>
      </c>
      <c r="Q1363" s="232"/>
      <c r="R1363" s="411"/>
      <c r="T1363" s="472"/>
      <c r="U1363" s="267" t="s">
        <v>3363</v>
      </c>
    </row>
    <row r="1364" spans="1:23" x14ac:dyDescent="0.25">
      <c r="A1364" s="405">
        <v>3001062</v>
      </c>
      <c r="B1364" s="406">
        <v>42437</v>
      </c>
      <c r="C1364" s="405" t="s">
        <v>63</v>
      </c>
      <c r="D1364" s="401" t="s">
        <v>3364</v>
      </c>
      <c r="E1364" s="120">
        <v>375</v>
      </c>
      <c r="F1364" s="133" t="s">
        <v>198</v>
      </c>
      <c r="G1364" s="404" t="s">
        <v>45</v>
      </c>
      <c r="H1364" s="411">
        <v>1023.75</v>
      </c>
      <c r="I1364" s="411">
        <v>0</v>
      </c>
      <c r="J1364" s="90">
        <f>-((H1364*0.022)+0.3)</f>
        <v>-22.822499999999998</v>
      </c>
      <c r="K1364" s="90">
        <f t="shared" si="219"/>
        <v>1000.9275</v>
      </c>
      <c r="L1364" s="131">
        <v>1693</v>
      </c>
      <c r="M1364" s="187">
        <v>134.44</v>
      </c>
      <c r="N1364" s="91">
        <f t="shared" si="225"/>
        <v>769.31500000000005</v>
      </c>
      <c r="O1364" s="411">
        <f t="shared" si="224"/>
        <v>231.61249999999995</v>
      </c>
      <c r="P1364" s="132" t="s">
        <v>52</v>
      </c>
      <c r="Q1364" s="232"/>
      <c r="R1364" s="411"/>
      <c r="T1364" s="134" t="s">
        <v>244</v>
      </c>
      <c r="U1364" s="267" t="s">
        <v>3365</v>
      </c>
      <c r="V1364" s="133" t="s">
        <v>2020</v>
      </c>
      <c r="W1364" s="153" t="s">
        <v>3366</v>
      </c>
    </row>
    <row r="1365" spans="1:23" x14ac:dyDescent="0.25">
      <c r="A1365" s="405">
        <v>3001063</v>
      </c>
      <c r="B1365" s="406">
        <v>42437</v>
      </c>
      <c r="C1365" s="405" t="s">
        <v>327</v>
      </c>
      <c r="D1365" s="401" t="s">
        <v>3367</v>
      </c>
      <c r="E1365" s="120">
        <v>475</v>
      </c>
      <c r="F1365" s="133" t="s">
        <v>198</v>
      </c>
      <c r="G1365" s="404" t="s">
        <v>45</v>
      </c>
      <c r="H1365" s="411">
        <v>1250</v>
      </c>
      <c r="I1365" s="411">
        <v>0</v>
      </c>
      <c r="J1365" s="90">
        <f>-((H1365*0.022)+0.3)</f>
        <v>-27.8</v>
      </c>
      <c r="K1365" s="90">
        <f t="shared" si="219"/>
        <v>1222.2</v>
      </c>
      <c r="L1365" s="131">
        <v>1693</v>
      </c>
      <c r="M1365" s="187">
        <v>294.47000000000003</v>
      </c>
      <c r="N1365" s="91">
        <f t="shared" si="225"/>
        <v>1098.645</v>
      </c>
      <c r="O1365" s="411">
        <f t="shared" si="224"/>
        <v>123.55500000000006</v>
      </c>
      <c r="P1365" s="132" t="s">
        <v>52</v>
      </c>
      <c r="Q1365" s="232"/>
      <c r="R1365" s="411"/>
      <c r="T1365" s="134" t="s">
        <v>244</v>
      </c>
      <c r="U1365" s="267" t="s">
        <v>3368</v>
      </c>
      <c r="V1365" s="133" t="s">
        <v>2020</v>
      </c>
      <c r="W1365" s="153" t="s">
        <v>3369</v>
      </c>
    </row>
    <row r="1366" spans="1:23" ht="24" x14ac:dyDescent="0.25">
      <c r="A1366" s="405">
        <v>3001064</v>
      </c>
      <c r="B1366" s="406">
        <v>42437</v>
      </c>
      <c r="C1366" s="405" t="s">
        <v>327</v>
      </c>
      <c r="D1366" s="401" t="s">
        <v>1521</v>
      </c>
      <c r="E1366" s="120">
        <v>50</v>
      </c>
      <c r="F1366" s="133" t="s">
        <v>114</v>
      </c>
      <c r="G1366" s="404" t="s">
        <v>45</v>
      </c>
      <c r="H1366" s="411">
        <v>184.67</v>
      </c>
      <c r="I1366" s="411">
        <v>0</v>
      </c>
      <c r="J1366" s="90">
        <f>-((H1366*0.022)+0.3)</f>
        <v>-4.3627399999999996</v>
      </c>
      <c r="K1366" s="90">
        <f t="shared" si="219"/>
        <v>180.30725999999999</v>
      </c>
      <c r="L1366" s="131">
        <v>835</v>
      </c>
      <c r="M1366" s="187">
        <v>16.89</v>
      </c>
      <c r="N1366" s="91">
        <f t="shared" si="225"/>
        <v>58.64</v>
      </c>
      <c r="O1366" s="411">
        <f t="shared" si="224"/>
        <v>121.66725999999998</v>
      </c>
      <c r="P1366" s="132" t="s">
        <v>52</v>
      </c>
      <c r="Q1366" s="232"/>
      <c r="R1366" s="411">
        <v>14.67</v>
      </c>
      <c r="S1366" s="133" t="s">
        <v>52</v>
      </c>
      <c r="T1366" s="134" t="s">
        <v>145</v>
      </c>
      <c r="U1366" s="267" t="s">
        <v>3370</v>
      </c>
      <c r="W1366" s="153" t="s">
        <v>1524</v>
      </c>
    </row>
    <row r="1367" spans="1:23" x14ac:dyDescent="0.25">
      <c r="A1367" s="405">
        <v>3001065</v>
      </c>
      <c r="B1367" s="406">
        <v>42437</v>
      </c>
      <c r="C1367" s="405" t="s">
        <v>141</v>
      </c>
      <c r="D1367" s="401" t="s">
        <v>3371</v>
      </c>
      <c r="E1367" s="120">
        <v>1000</v>
      </c>
      <c r="F1367" s="133" t="s">
        <v>3372</v>
      </c>
      <c r="G1367" s="404" t="s">
        <v>45</v>
      </c>
      <c r="H1367" s="411">
        <v>2300</v>
      </c>
      <c r="I1367" s="411">
        <v>0</v>
      </c>
      <c r="J1367" s="90">
        <f>-((H1367*0.0325)+0.3)</f>
        <v>-75.05</v>
      </c>
      <c r="K1367" s="90">
        <f t="shared" si="219"/>
        <v>2224.9499999999998</v>
      </c>
      <c r="L1367" s="158">
        <v>1700</v>
      </c>
      <c r="M1367" s="131">
        <v>0</v>
      </c>
      <c r="N1367" s="91">
        <f t="shared" si="225"/>
        <v>1700</v>
      </c>
      <c r="O1367" s="411">
        <f t="shared" si="224"/>
        <v>524.94999999999982</v>
      </c>
      <c r="P1367" s="132" t="s">
        <v>926</v>
      </c>
      <c r="Q1367" s="232"/>
      <c r="R1367" s="411"/>
      <c r="T1367" s="134" t="s">
        <v>1346</v>
      </c>
      <c r="U1367" s="267" t="s">
        <v>3373</v>
      </c>
      <c r="W1367" s="153" t="s">
        <v>3374</v>
      </c>
    </row>
    <row r="1368" spans="1:23" ht="24" x14ac:dyDescent="0.25">
      <c r="A1368" s="405">
        <v>3001066</v>
      </c>
      <c r="B1368" s="406">
        <v>42437</v>
      </c>
      <c r="C1368" s="405" t="s">
        <v>63</v>
      </c>
      <c r="D1368" s="401" t="s">
        <v>3375</v>
      </c>
      <c r="E1368" s="120">
        <v>65</v>
      </c>
      <c r="F1368" s="133" t="s">
        <v>3376</v>
      </c>
      <c r="G1368" s="404" t="s">
        <v>45</v>
      </c>
      <c r="H1368" s="411">
        <v>247</v>
      </c>
      <c r="I1368" s="411">
        <v>0</v>
      </c>
      <c r="J1368" s="90">
        <f>-((H1368*0.022)+0.3)</f>
        <v>-5.7339999999999991</v>
      </c>
      <c r="K1368" s="90">
        <f t="shared" si="219"/>
        <v>241.26599999999999</v>
      </c>
      <c r="L1368" s="187">
        <v>2360</v>
      </c>
      <c r="M1368" s="187">
        <v>42.92</v>
      </c>
      <c r="N1368" s="91">
        <f t="shared" si="225"/>
        <v>196.32</v>
      </c>
      <c r="O1368" s="411">
        <f t="shared" si="224"/>
        <v>44.945999999999998</v>
      </c>
      <c r="P1368" s="132" t="s">
        <v>183</v>
      </c>
      <c r="Q1368" s="232"/>
      <c r="R1368" s="411"/>
      <c r="T1368" s="134" t="s">
        <v>145</v>
      </c>
      <c r="U1368" s="267" t="s">
        <v>3377</v>
      </c>
      <c r="W1368" s="153" t="s">
        <v>3378</v>
      </c>
    </row>
    <row r="1369" spans="1:23" x14ac:dyDescent="0.25">
      <c r="A1369" s="405">
        <v>3001067</v>
      </c>
      <c r="B1369" s="406">
        <v>42437</v>
      </c>
      <c r="C1369" s="405" t="s">
        <v>56</v>
      </c>
      <c r="D1369" s="401" t="s">
        <v>3379</v>
      </c>
      <c r="E1369" s="120">
        <v>750</v>
      </c>
      <c r="F1369" s="133" t="s">
        <v>3380</v>
      </c>
      <c r="G1369" s="404" t="s">
        <v>45</v>
      </c>
      <c r="H1369" s="411">
        <v>4062.5</v>
      </c>
      <c r="I1369" s="411">
        <v>0</v>
      </c>
      <c r="J1369" s="411">
        <v>0</v>
      </c>
      <c r="K1369" s="90">
        <f t="shared" si="219"/>
        <v>4062.5</v>
      </c>
      <c r="L1369" s="131">
        <v>3300</v>
      </c>
      <c r="M1369" s="187">
        <v>84.1</v>
      </c>
      <c r="N1369" s="91">
        <f t="shared" si="225"/>
        <v>2559.1</v>
      </c>
      <c r="O1369" s="411">
        <f t="shared" si="224"/>
        <v>1503.4</v>
      </c>
      <c r="P1369" s="132" t="s">
        <v>52</v>
      </c>
      <c r="Q1369" s="232"/>
      <c r="R1369" s="411"/>
      <c r="T1369" s="134" t="s">
        <v>760</v>
      </c>
      <c r="U1369" s="267" t="s">
        <v>3381</v>
      </c>
      <c r="V1369" s="133" t="s">
        <v>1934</v>
      </c>
    </row>
    <row r="1370" spans="1:23" x14ac:dyDescent="0.25">
      <c r="A1370" s="419">
        <v>3001068</v>
      </c>
      <c r="B1370" s="421">
        <v>42437</v>
      </c>
      <c r="C1370" s="419" t="s">
        <v>56</v>
      </c>
      <c r="D1370" s="417" t="s">
        <v>3382</v>
      </c>
      <c r="E1370" s="120">
        <v>400</v>
      </c>
      <c r="F1370" s="133" t="s">
        <v>3383</v>
      </c>
      <c r="G1370" s="434" t="s">
        <v>45</v>
      </c>
      <c r="H1370" s="427">
        <v>2220.5</v>
      </c>
      <c r="I1370" s="427">
        <v>0</v>
      </c>
      <c r="J1370" s="427">
        <v>0</v>
      </c>
      <c r="K1370" s="425">
        <f t="shared" si="219"/>
        <v>2220.5</v>
      </c>
      <c r="M1370" s="468">
        <v>121.29</v>
      </c>
      <c r="N1370" s="91">
        <f t="shared" si="225"/>
        <v>121.29</v>
      </c>
      <c r="O1370" s="411">
        <f t="shared" si="224"/>
        <v>2099.21</v>
      </c>
      <c r="P1370" s="132" t="s">
        <v>52</v>
      </c>
      <c r="Q1370" s="232"/>
      <c r="R1370" s="411"/>
      <c r="T1370" s="439" t="s">
        <v>53</v>
      </c>
      <c r="U1370" s="446" t="s">
        <v>3384</v>
      </c>
      <c r="V1370" s="133" t="s">
        <v>2564</v>
      </c>
      <c r="W1370" s="153" t="s">
        <v>3385</v>
      </c>
    </row>
    <row r="1371" spans="1:23" x14ac:dyDescent="0.25">
      <c r="A1371" s="432"/>
      <c r="B1371" s="433"/>
      <c r="C1371" s="432"/>
      <c r="D1371" s="454"/>
      <c r="E1371" s="120">
        <v>500</v>
      </c>
      <c r="F1371" s="133" t="s">
        <v>1273</v>
      </c>
      <c r="G1371" s="435"/>
      <c r="H1371" s="438"/>
      <c r="I1371" s="438"/>
      <c r="J1371" s="438"/>
      <c r="K1371" s="437"/>
      <c r="L1371" s="131">
        <v>616</v>
      </c>
      <c r="M1371" s="469"/>
      <c r="N1371" s="91">
        <f t="shared" si="225"/>
        <v>308</v>
      </c>
      <c r="O1371" s="411">
        <f t="shared" si="224"/>
        <v>-308</v>
      </c>
      <c r="P1371" s="132" t="s">
        <v>52</v>
      </c>
      <c r="Q1371" s="232"/>
      <c r="R1371" s="411"/>
      <c r="T1371" s="441"/>
      <c r="U1371" s="447"/>
    </row>
    <row r="1372" spans="1:23" x14ac:dyDescent="0.25">
      <c r="A1372" s="432"/>
      <c r="B1372" s="433"/>
      <c r="C1372" s="432"/>
      <c r="D1372" s="454"/>
      <c r="E1372" s="120">
        <v>210</v>
      </c>
      <c r="F1372" s="133" t="s">
        <v>3386</v>
      </c>
      <c r="G1372" s="435"/>
      <c r="H1372" s="438"/>
      <c r="I1372" s="438"/>
      <c r="J1372" s="438"/>
      <c r="K1372" s="437"/>
      <c r="L1372" s="131">
        <v>1900</v>
      </c>
      <c r="N1372" s="91">
        <f t="shared" si="225"/>
        <v>399</v>
      </c>
      <c r="O1372" s="411">
        <f t="shared" si="224"/>
        <v>-399</v>
      </c>
      <c r="P1372" s="132" t="s">
        <v>86</v>
      </c>
      <c r="Q1372" s="232"/>
      <c r="R1372" s="411"/>
      <c r="T1372" s="470" t="s">
        <v>851</v>
      </c>
      <c r="U1372" s="505" t="s">
        <v>852</v>
      </c>
      <c r="V1372" s="133" t="s">
        <v>3387</v>
      </c>
    </row>
    <row r="1373" spans="1:23" x14ac:dyDescent="0.25">
      <c r="A1373" s="420"/>
      <c r="B1373" s="422"/>
      <c r="C1373" s="420"/>
      <c r="D1373" s="418"/>
      <c r="E1373" s="120">
        <v>200</v>
      </c>
      <c r="F1373" s="133" t="s">
        <v>3388</v>
      </c>
      <c r="G1373" s="436"/>
      <c r="H1373" s="428"/>
      <c r="I1373" s="428"/>
      <c r="J1373" s="428"/>
      <c r="K1373" s="426"/>
      <c r="L1373" s="131">
        <v>2560</v>
      </c>
      <c r="N1373" s="91">
        <f t="shared" si="225"/>
        <v>512</v>
      </c>
      <c r="O1373" s="411">
        <f t="shared" si="224"/>
        <v>-512</v>
      </c>
      <c r="P1373" s="132" t="s">
        <v>86</v>
      </c>
      <c r="Q1373" s="232"/>
      <c r="R1373" s="411"/>
      <c r="T1373" s="472"/>
      <c r="U1373" s="490"/>
      <c r="V1373" s="133" t="s">
        <v>3387</v>
      </c>
    </row>
    <row r="1374" spans="1:23" x14ac:dyDescent="0.25">
      <c r="A1374" s="405">
        <v>3001069</v>
      </c>
      <c r="B1374" s="406">
        <v>42437</v>
      </c>
      <c r="C1374" s="405" t="s">
        <v>327</v>
      </c>
      <c r="D1374" s="401" t="s">
        <v>3389</v>
      </c>
      <c r="E1374" s="120">
        <v>1250</v>
      </c>
      <c r="F1374" s="133" t="s">
        <v>3390</v>
      </c>
      <c r="G1374" s="404" t="s">
        <v>45</v>
      </c>
      <c r="H1374" s="411">
        <v>2247</v>
      </c>
      <c r="I1374" s="411">
        <v>0</v>
      </c>
      <c r="J1374" s="90">
        <f>-((H1374*0.022)+0.3)</f>
        <v>-49.733999999999995</v>
      </c>
      <c r="K1374" s="90">
        <f t="shared" ref="K1374:K1404" si="226">SUM(H1374:J1374)</f>
        <v>2197.2660000000001</v>
      </c>
      <c r="L1374" s="131">
        <v>1021</v>
      </c>
      <c r="M1374" s="187">
        <v>289.89</v>
      </c>
      <c r="N1374" s="91">
        <f t="shared" si="225"/>
        <v>1566.1399999999999</v>
      </c>
      <c r="O1374" s="411">
        <f t="shared" si="224"/>
        <v>631.1260000000002</v>
      </c>
      <c r="P1374" s="132" t="s">
        <v>52</v>
      </c>
      <c r="Q1374" s="232"/>
      <c r="R1374" s="411"/>
      <c r="T1374" s="134" t="s">
        <v>53</v>
      </c>
      <c r="U1374" s="267" t="s">
        <v>3391</v>
      </c>
      <c r="V1374" s="133" t="s">
        <v>2020</v>
      </c>
      <c r="W1374" s="153" t="s">
        <v>3392</v>
      </c>
    </row>
    <row r="1375" spans="1:23" x14ac:dyDescent="0.25">
      <c r="A1375" s="405">
        <v>3001070</v>
      </c>
      <c r="B1375" s="406">
        <v>42437</v>
      </c>
      <c r="C1375" s="405" t="s">
        <v>327</v>
      </c>
      <c r="D1375" s="401" t="s">
        <v>3393</v>
      </c>
      <c r="E1375" s="120">
        <v>600</v>
      </c>
      <c r="F1375" s="133" t="s">
        <v>165</v>
      </c>
      <c r="G1375" s="404" t="s">
        <v>45</v>
      </c>
      <c r="H1375" s="411">
        <v>600</v>
      </c>
      <c r="I1375" s="411">
        <v>0</v>
      </c>
      <c r="J1375" s="90">
        <f>-((H1375*0.022)+0.3)</f>
        <v>-13.5</v>
      </c>
      <c r="K1375" s="90">
        <f t="shared" si="226"/>
        <v>586.5</v>
      </c>
      <c r="L1375" s="131">
        <v>480</v>
      </c>
      <c r="M1375" s="187">
        <v>150.16999999999999</v>
      </c>
      <c r="N1375" s="91">
        <f t="shared" si="225"/>
        <v>438.16999999999996</v>
      </c>
      <c r="O1375" s="411">
        <f t="shared" si="224"/>
        <v>148.33000000000004</v>
      </c>
      <c r="P1375" s="132" t="s">
        <v>86</v>
      </c>
      <c r="Q1375" s="232"/>
      <c r="R1375" s="411"/>
      <c r="T1375" s="134" t="s">
        <v>97</v>
      </c>
      <c r="U1375" s="267" t="s">
        <v>3394</v>
      </c>
      <c r="V1375" s="133" t="s">
        <v>2020</v>
      </c>
      <c r="W1375" s="153" t="s">
        <v>3395</v>
      </c>
    </row>
    <row r="1376" spans="1:23" x14ac:dyDescent="0.25">
      <c r="A1376" s="405">
        <v>3001071</v>
      </c>
      <c r="B1376" s="406">
        <v>42437</v>
      </c>
      <c r="C1376" s="405" t="s">
        <v>63</v>
      </c>
      <c r="D1376" s="401" t="s">
        <v>3029</v>
      </c>
      <c r="E1376" s="120">
        <v>1000</v>
      </c>
      <c r="F1376" s="133" t="s">
        <v>3396</v>
      </c>
      <c r="G1376" s="404" t="s">
        <v>45</v>
      </c>
      <c r="H1376" s="411">
        <v>615</v>
      </c>
      <c r="I1376" s="411">
        <v>0</v>
      </c>
      <c r="J1376" s="90">
        <f>-((H1376*0.022)+0.3)</f>
        <v>-13.83</v>
      </c>
      <c r="K1376" s="90">
        <f t="shared" si="226"/>
        <v>601.16999999999996</v>
      </c>
      <c r="L1376" s="131">
        <v>300</v>
      </c>
      <c r="M1376" s="187">
        <v>113.54</v>
      </c>
      <c r="N1376" s="91">
        <f t="shared" si="225"/>
        <v>413.54</v>
      </c>
      <c r="O1376" s="411">
        <f t="shared" si="224"/>
        <v>187.62999999999994</v>
      </c>
      <c r="P1376" s="132" t="s">
        <v>52</v>
      </c>
      <c r="Q1376" s="232"/>
      <c r="R1376" s="411"/>
      <c r="T1376" s="134" t="s">
        <v>97</v>
      </c>
      <c r="U1376" s="267" t="s">
        <v>3397</v>
      </c>
      <c r="V1376" s="133" t="s">
        <v>2020</v>
      </c>
      <c r="W1376" s="153" t="s">
        <v>3398</v>
      </c>
    </row>
    <row r="1377" spans="1:23" ht="24" x14ac:dyDescent="0.25">
      <c r="A1377" s="405">
        <v>3001072</v>
      </c>
      <c r="B1377" s="406">
        <v>42437</v>
      </c>
      <c r="C1377" s="405" t="s">
        <v>327</v>
      </c>
      <c r="D1377" s="401" t="s">
        <v>3399</v>
      </c>
      <c r="E1377" s="120">
        <v>4680</v>
      </c>
      <c r="F1377" s="133" t="s">
        <v>3400</v>
      </c>
      <c r="G1377" s="404" t="s">
        <v>45</v>
      </c>
      <c r="H1377" s="411">
        <v>4820</v>
      </c>
      <c r="I1377" s="411">
        <v>0</v>
      </c>
      <c r="J1377" s="90">
        <f>-((H1377*0.022)+0.3)</f>
        <v>-106.33999999999999</v>
      </c>
      <c r="K1377" s="90">
        <f t="shared" si="226"/>
        <v>4713.66</v>
      </c>
      <c r="L1377" s="187">
        <v>750</v>
      </c>
      <c r="M1377" s="187">
        <v>416.18</v>
      </c>
      <c r="N1377" s="91">
        <f t="shared" si="225"/>
        <v>3926.18</v>
      </c>
      <c r="O1377" s="411">
        <f t="shared" si="224"/>
        <v>787.48</v>
      </c>
      <c r="P1377" s="179" t="s">
        <v>3401</v>
      </c>
      <c r="Q1377" s="232"/>
      <c r="R1377" s="411"/>
      <c r="T1377" s="134" t="s">
        <v>244</v>
      </c>
      <c r="U1377" s="267" t="s">
        <v>3402</v>
      </c>
      <c r="W1377" s="153" t="s">
        <v>3403</v>
      </c>
    </row>
    <row r="1378" spans="1:23" ht="24" x14ac:dyDescent="0.25">
      <c r="A1378" s="405">
        <v>3001073</v>
      </c>
      <c r="B1378" s="406">
        <v>42437</v>
      </c>
      <c r="C1378" s="405" t="s">
        <v>141</v>
      </c>
      <c r="D1378" s="401" t="s">
        <v>3404</v>
      </c>
      <c r="E1378" s="120">
        <v>1000</v>
      </c>
      <c r="F1378" s="133" t="s">
        <v>3405</v>
      </c>
      <c r="G1378" s="404" t="s">
        <v>45</v>
      </c>
      <c r="H1378" s="411">
        <v>1100</v>
      </c>
      <c r="I1378" s="411">
        <v>0</v>
      </c>
      <c r="J1378" s="90">
        <f>-((H1378*0.0325)+0.3)</f>
        <v>-36.049999999999997</v>
      </c>
      <c r="K1378" s="90">
        <f t="shared" si="226"/>
        <v>1063.95</v>
      </c>
      <c r="L1378" s="187">
        <v>800</v>
      </c>
      <c r="M1378" s="187">
        <v>115</v>
      </c>
      <c r="N1378" s="91">
        <f t="shared" si="225"/>
        <v>915</v>
      </c>
      <c r="O1378" s="411">
        <f t="shared" si="224"/>
        <v>148.95000000000005</v>
      </c>
      <c r="P1378" s="132" t="s">
        <v>183</v>
      </c>
      <c r="Q1378" s="232"/>
      <c r="R1378" s="411"/>
      <c r="T1378" s="134" t="s">
        <v>260</v>
      </c>
      <c r="U1378" s="267" t="s">
        <v>3406</v>
      </c>
      <c r="W1378" s="153" t="s">
        <v>3407</v>
      </c>
    </row>
    <row r="1379" spans="1:23" x14ac:dyDescent="0.25">
      <c r="A1379" s="405">
        <v>3001074</v>
      </c>
      <c r="B1379" s="406">
        <v>42437</v>
      </c>
      <c r="C1379" s="405" t="s">
        <v>42</v>
      </c>
      <c r="D1379" s="401" t="s">
        <v>2994</v>
      </c>
      <c r="E1379" s="120">
        <v>250</v>
      </c>
      <c r="F1379" s="133" t="s">
        <v>3408</v>
      </c>
      <c r="G1379" s="404" t="s">
        <v>45</v>
      </c>
      <c r="H1379" s="411">
        <v>699.87</v>
      </c>
      <c r="I1379" s="89">
        <f t="shared" ref="I1379:I1392" si="227">-(H1379*0.09)</f>
        <v>-62.988299999999995</v>
      </c>
      <c r="J1379" s="90">
        <f t="shared" ref="J1379:J1392" si="228">-((H1379*0.019)+0.3)</f>
        <v>-13.597530000000001</v>
      </c>
      <c r="K1379" s="90">
        <f t="shared" si="226"/>
        <v>623.28417000000002</v>
      </c>
      <c r="L1379" s="187">
        <v>1675</v>
      </c>
      <c r="M1379" s="187">
        <v>84.89</v>
      </c>
      <c r="N1379" s="91">
        <f t="shared" si="225"/>
        <v>503.64</v>
      </c>
      <c r="O1379" s="411">
        <f t="shared" si="224"/>
        <v>119.64417000000003</v>
      </c>
      <c r="P1379" s="132" t="s">
        <v>235</v>
      </c>
      <c r="Q1379" s="232"/>
      <c r="R1379" s="411"/>
      <c r="T1379" s="134" t="s">
        <v>3409</v>
      </c>
      <c r="U1379" s="267" t="s">
        <v>3410</v>
      </c>
    </row>
    <row r="1380" spans="1:23" ht="24" x14ac:dyDescent="0.25">
      <c r="A1380" s="405">
        <v>3001075</v>
      </c>
      <c r="B1380" s="406">
        <v>42437</v>
      </c>
      <c r="C1380" s="405" t="s">
        <v>42</v>
      </c>
      <c r="D1380" s="401" t="s">
        <v>3411</v>
      </c>
      <c r="E1380" s="120">
        <v>100</v>
      </c>
      <c r="F1380" s="133" t="s">
        <v>161</v>
      </c>
      <c r="G1380" s="404" t="s">
        <v>45</v>
      </c>
      <c r="H1380" s="411">
        <v>235</v>
      </c>
      <c r="I1380" s="89">
        <f t="shared" si="227"/>
        <v>-21.15</v>
      </c>
      <c r="J1380" s="90">
        <f t="shared" si="228"/>
        <v>-4.7649999999999997</v>
      </c>
      <c r="K1380" s="90">
        <f t="shared" si="226"/>
        <v>209.08500000000001</v>
      </c>
      <c r="L1380" s="131">
        <v>1322</v>
      </c>
      <c r="M1380" s="187">
        <v>17.02</v>
      </c>
      <c r="N1380" s="91">
        <f t="shared" si="225"/>
        <v>149.22000000000003</v>
      </c>
      <c r="O1380" s="411">
        <f t="shared" si="224"/>
        <v>59.864999999999981</v>
      </c>
      <c r="P1380" s="132" t="s">
        <v>52</v>
      </c>
      <c r="Q1380" s="232"/>
      <c r="R1380" s="411"/>
      <c r="T1380" s="134" t="s">
        <v>145</v>
      </c>
      <c r="U1380" s="267" t="s">
        <v>3412</v>
      </c>
    </row>
    <row r="1381" spans="1:23" ht="24" x14ac:dyDescent="0.25">
      <c r="A1381" s="405">
        <v>3001076</v>
      </c>
      <c r="B1381" s="406">
        <v>42437</v>
      </c>
      <c r="C1381" s="405" t="s">
        <v>42</v>
      </c>
      <c r="D1381" s="401" t="s">
        <v>3413</v>
      </c>
      <c r="E1381" s="120">
        <v>100</v>
      </c>
      <c r="F1381" s="133" t="s">
        <v>165</v>
      </c>
      <c r="G1381" s="404" t="s">
        <v>45</v>
      </c>
      <c r="H1381" s="411">
        <v>100.35</v>
      </c>
      <c r="I1381" s="89">
        <f t="shared" si="227"/>
        <v>-9.0314999999999994</v>
      </c>
      <c r="J1381" s="90">
        <f t="shared" si="228"/>
        <v>-2.2066499999999998</v>
      </c>
      <c r="K1381" s="90">
        <f t="shared" si="226"/>
        <v>89.111850000000004</v>
      </c>
      <c r="L1381" s="131">
        <v>480</v>
      </c>
      <c r="M1381" s="187">
        <v>36.590000000000003</v>
      </c>
      <c r="N1381" s="91">
        <f t="shared" si="225"/>
        <v>84.59</v>
      </c>
      <c r="O1381" s="411">
        <f t="shared" si="224"/>
        <v>4.5218500000000006</v>
      </c>
      <c r="P1381" s="132" t="s">
        <v>52</v>
      </c>
      <c r="Q1381" s="232"/>
      <c r="R1381" s="411"/>
      <c r="T1381" s="134" t="s">
        <v>145</v>
      </c>
      <c r="U1381" s="267" t="s">
        <v>3414</v>
      </c>
    </row>
    <row r="1382" spans="1:23" ht="24" x14ac:dyDescent="0.25">
      <c r="A1382" s="405">
        <v>3001077</v>
      </c>
      <c r="B1382" s="406">
        <v>42437</v>
      </c>
      <c r="C1382" s="405" t="s">
        <v>42</v>
      </c>
      <c r="D1382" s="401" t="s">
        <v>3415</v>
      </c>
      <c r="E1382" s="120">
        <v>175</v>
      </c>
      <c r="F1382" s="133" t="s">
        <v>247</v>
      </c>
      <c r="G1382" s="404" t="s">
        <v>45</v>
      </c>
      <c r="H1382" s="411">
        <v>212.43</v>
      </c>
      <c r="I1382" s="89">
        <f t="shared" si="227"/>
        <v>-19.1187</v>
      </c>
      <c r="J1382" s="90">
        <f t="shared" si="228"/>
        <v>-4.3361700000000001</v>
      </c>
      <c r="K1382" s="90">
        <f t="shared" si="226"/>
        <v>188.97513000000001</v>
      </c>
      <c r="L1382" s="131">
        <v>480</v>
      </c>
      <c r="M1382" s="187">
        <v>19.690000000000001</v>
      </c>
      <c r="N1382" s="91">
        <f t="shared" si="225"/>
        <v>103.69000000000001</v>
      </c>
      <c r="O1382" s="411">
        <f t="shared" si="224"/>
        <v>85.285129999999995</v>
      </c>
      <c r="P1382" s="132" t="s">
        <v>52</v>
      </c>
      <c r="Q1382" s="232"/>
      <c r="R1382" s="411"/>
      <c r="T1382" s="134" t="s">
        <v>145</v>
      </c>
      <c r="U1382" s="267" t="s">
        <v>3416</v>
      </c>
    </row>
    <row r="1383" spans="1:23" ht="24" x14ac:dyDescent="0.25">
      <c r="A1383" s="405">
        <v>3001078</v>
      </c>
      <c r="B1383" s="406">
        <v>42437</v>
      </c>
      <c r="C1383" s="405" t="s">
        <v>42</v>
      </c>
      <c r="D1383" s="401" t="s">
        <v>3417</v>
      </c>
      <c r="E1383" s="120">
        <v>300</v>
      </c>
      <c r="F1383" s="133" t="s">
        <v>227</v>
      </c>
      <c r="G1383" s="404" t="s">
        <v>45</v>
      </c>
      <c r="H1383" s="411">
        <v>243.28</v>
      </c>
      <c r="I1383" s="89">
        <f t="shared" si="227"/>
        <v>-21.895199999999999</v>
      </c>
      <c r="J1383" s="90">
        <f t="shared" si="228"/>
        <v>-4.92232</v>
      </c>
      <c r="K1383" s="90">
        <f t="shared" si="226"/>
        <v>216.46248</v>
      </c>
      <c r="L1383" s="131">
        <v>350</v>
      </c>
      <c r="M1383" s="187">
        <v>30.48</v>
      </c>
      <c r="N1383" s="91">
        <f t="shared" si="225"/>
        <v>135.47999999999999</v>
      </c>
      <c r="O1383" s="411">
        <f t="shared" si="224"/>
        <v>80.98248000000001</v>
      </c>
      <c r="P1383" s="132" t="s">
        <v>52</v>
      </c>
      <c r="Q1383" s="232"/>
      <c r="R1383" s="411"/>
      <c r="T1383" s="134" t="s">
        <v>145</v>
      </c>
      <c r="U1383" s="267" t="s">
        <v>3418</v>
      </c>
    </row>
    <row r="1384" spans="1:23" ht="24" x14ac:dyDescent="0.25">
      <c r="A1384" s="405">
        <v>3001079</v>
      </c>
      <c r="B1384" s="406">
        <v>42437</v>
      </c>
      <c r="C1384" s="405" t="s">
        <v>42</v>
      </c>
      <c r="D1384" s="401" t="s">
        <v>3419</v>
      </c>
      <c r="E1384" s="120">
        <v>75</v>
      </c>
      <c r="F1384" s="133" t="s">
        <v>288</v>
      </c>
      <c r="G1384" s="404" t="s">
        <v>45</v>
      </c>
      <c r="H1384" s="411">
        <v>175.75</v>
      </c>
      <c r="I1384" s="89">
        <f t="shared" si="227"/>
        <v>-15.817499999999999</v>
      </c>
      <c r="J1384" s="90">
        <f t="shared" si="228"/>
        <v>-3.6392499999999997</v>
      </c>
      <c r="K1384" s="90">
        <f t="shared" si="226"/>
        <v>156.29325</v>
      </c>
      <c r="L1384" s="131">
        <v>950</v>
      </c>
      <c r="M1384" s="187">
        <v>19.5</v>
      </c>
      <c r="N1384" s="91">
        <f t="shared" si="225"/>
        <v>90.75</v>
      </c>
      <c r="O1384" s="411">
        <f t="shared" si="224"/>
        <v>65.54325</v>
      </c>
      <c r="P1384" s="132" t="s">
        <v>52</v>
      </c>
      <c r="Q1384" s="232"/>
      <c r="R1384" s="411"/>
      <c r="T1384" s="134" t="s">
        <v>145</v>
      </c>
      <c r="U1384" s="267" t="s">
        <v>3420</v>
      </c>
    </row>
    <row r="1385" spans="1:23" ht="24" x14ac:dyDescent="0.25">
      <c r="A1385" s="405">
        <v>3001080</v>
      </c>
      <c r="B1385" s="406">
        <v>42437</v>
      </c>
      <c r="C1385" s="405" t="s">
        <v>42</v>
      </c>
      <c r="D1385" s="401" t="s">
        <v>3421</v>
      </c>
      <c r="E1385" s="120">
        <v>250</v>
      </c>
      <c r="F1385" s="133" t="s">
        <v>2238</v>
      </c>
      <c r="G1385" s="404" t="s">
        <v>45</v>
      </c>
      <c r="H1385" s="411">
        <v>123.5</v>
      </c>
      <c r="I1385" s="89">
        <f t="shared" si="227"/>
        <v>-11.115</v>
      </c>
      <c r="J1385" s="90">
        <f t="shared" si="228"/>
        <v>-2.6464999999999996</v>
      </c>
      <c r="K1385" s="90">
        <f t="shared" si="226"/>
        <v>109.7385</v>
      </c>
      <c r="L1385" s="131">
        <v>200</v>
      </c>
      <c r="M1385" s="187">
        <v>17.329999999999998</v>
      </c>
      <c r="N1385" s="91">
        <f t="shared" si="225"/>
        <v>67.33</v>
      </c>
      <c r="O1385" s="411">
        <f t="shared" si="224"/>
        <v>42.408500000000004</v>
      </c>
      <c r="P1385" s="132" t="s">
        <v>86</v>
      </c>
      <c r="Q1385" s="232"/>
      <c r="R1385" s="411"/>
      <c r="T1385" s="134" t="s">
        <v>145</v>
      </c>
      <c r="U1385" s="267" t="s">
        <v>3422</v>
      </c>
    </row>
    <row r="1386" spans="1:23" ht="24" x14ac:dyDescent="0.25">
      <c r="A1386" s="405">
        <v>3001081</v>
      </c>
      <c r="B1386" s="406">
        <v>42437</v>
      </c>
      <c r="C1386" s="405" t="s">
        <v>42</v>
      </c>
      <c r="D1386" s="401" t="s">
        <v>3423</v>
      </c>
      <c r="E1386" s="120">
        <v>100</v>
      </c>
      <c r="F1386" s="133" t="s">
        <v>2610</v>
      </c>
      <c r="G1386" s="404" t="s">
        <v>45</v>
      </c>
      <c r="H1386" s="411">
        <v>107.35</v>
      </c>
      <c r="I1386" s="89">
        <f t="shared" si="227"/>
        <v>-9.6614999999999984</v>
      </c>
      <c r="J1386" s="90">
        <f t="shared" si="228"/>
        <v>-2.3396499999999998</v>
      </c>
      <c r="K1386" s="90">
        <f t="shared" si="226"/>
        <v>95.348849999999985</v>
      </c>
      <c r="L1386" s="187">
        <v>521</v>
      </c>
      <c r="M1386" s="187">
        <v>21.4</v>
      </c>
      <c r="N1386" s="91">
        <f t="shared" si="225"/>
        <v>73.5</v>
      </c>
      <c r="O1386" s="411">
        <f t="shared" si="224"/>
        <v>21.848849999999985</v>
      </c>
      <c r="P1386" s="132" t="s">
        <v>183</v>
      </c>
      <c r="Q1386" s="232"/>
      <c r="R1386" s="411"/>
      <c r="T1386" s="134" t="s">
        <v>145</v>
      </c>
      <c r="U1386" s="267" t="s">
        <v>3424</v>
      </c>
    </row>
    <row r="1387" spans="1:23" ht="24" x14ac:dyDescent="0.25">
      <c r="A1387" s="405">
        <v>3001082</v>
      </c>
      <c r="B1387" s="406">
        <v>42437</v>
      </c>
      <c r="C1387" s="405" t="s">
        <v>42</v>
      </c>
      <c r="D1387" s="401" t="s">
        <v>3425</v>
      </c>
      <c r="E1387" s="120">
        <v>250</v>
      </c>
      <c r="F1387" s="133" t="s">
        <v>1472</v>
      </c>
      <c r="G1387" s="404" t="s">
        <v>45</v>
      </c>
      <c r="H1387" s="411">
        <v>133</v>
      </c>
      <c r="I1387" s="89">
        <f t="shared" si="227"/>
        <v>-11.969999999999999</v>
      </c>
      <c r="J1387" s="90">
        <f t="shared" si="228"/>
        <v>-2.827</v>
      </c>
      <c r="K1387" s="90">
        <f t="shared" si="226"/>
        <v>118.203</v>
      </c>
      <c r="L1387" s="131">
        <v>210</v>
      </c>
      <c r="M1387" s="187">
        <v>38.31</v>
      </c>
      <c r="N1387" s="91">
        <f t="shared" si="225"/>
        <v>90.81</v>
      </c>
      <c r="O1387" s="411">
        <f t="shared" si="224"/>
        <v>27.393000000000001</v>
      </c>
      <c r="P1387" s="132" t="s">
        <v>52</v>
      </c>
      <c r="Q1387" s="232"/>
      <c r="R1387" s="411"/>
      <c r="T1387" s="134" t="s">
        <v>145</v>
      </c>
      <c r="U1387" s="267" t="s">
        <v>3426</v>
      </c>
    </row>
    <row r="1388" spans="1:23" ht="24" x14ac:dyDescent="0.25">
      <c r="A1388" s="405">
        <v>3001083</v>
      </c>
      <c r="B1388" s="406">
        <v>42437</v>
      </c>
      <c r="C1388" s="405" t="s">
        <v>42</v>
      </c>
      <c r="D1388" s="401" t="s">
        <v>3427</v>
      </c>
      <c r="E1388" s="120">
        <v>100</v>
      </c>
      <c r="F1388" s="133" t="s">
        <v>288</v>
      </c>
      <c r="G1388" s="404" t="s">
        <v>45</v>
      </c>
      <c r="H1388" s="411">
        <v>187.16</v>
      </c>
      <c r="I1388" s="89">
        <f t="shared" si="227"/>
        <v>-16.8444</v>
      </c>
      <c r="J1388" s="90">
        <f t="shared" si="228"/>
        <v>-3.8560399999999997</v>
      </c>
      <c r="K1388" s="90">
        <f t="shared" si="226"/>
        <v>166.45955999999998</v>
      </c>
      <c r="L1388" s="131">
        <v>950</v>
      </c>
      <c r="M1388" s="187">
        <v>32.86</v>
      </c>
      <c r="N1388" s="91">
        <f t="shared" si="225"/>
        <v>127.86</v>
      </c>
      <c r="O1388" s="411">
        <f t="shared" si="224"/>
        <v>38.599559999999983</v>
      </c>
      <c r="P1388" s="132" t="s">
        <v>52</v>
      </c>
      <c r="Q1388" s="232"/>
      <c r="R1388" s="411"/>
      <c r="T1388" s="134" t="s">
        <v>145</v>
      </c>
      <c r="U1388" s="267" t="s">
        <v>3428</v>
      </c>
    </row>
    <row r="1389" spans="1:23" ht="24" x14ac:dyDescent="0.25">
      <c r="A1389" s="405">
        <v>3001084</v>
      </c>
      <c r="B1389" s="406">
        <v>42437</v>
      </c>
      <c r="C1389" s="405" t="s">
        <v>42</v>
      </c>
      <c r="D1389" s="401" t="s">
        <v>3429</v>
      </c>
      <c r="E1389" s="120">
        <v>175</v>
      </c>
      <c r="F1389" s="133" t="s">
        <v>227</v>
      </c>
      <c r="G1389" s="404" t="s">
        <v>45</v>
      </c>
      <c r="H1389" s="411">
        <v>141.91</v>
      </c>
      <c r="I1389" s="89">
        <f t="shared" si="227"/>
        <v>-12.771899999999999</v>
      </c>
      <c r="J1389" s="90">
        <f t="shared" si="228"/>
        <v>-2.9962899999999997</v>
      </c>
      <c r="K1389" s="90">
        <f t="shared" si="226"/>
        <v>126.14181000000001</v>
      </c>
      <c r="L1389" s="131">
        <v>350</v>
      </c>
      <c r="M1389" s="187">
        <v>43.16</v>
      </c>
      <c r="N1389" s="91">
        <f t="shared" si="225"/>
        <v>104.41</v>
      </c>
      <c r="O1389" s="411">
        <f t="shared" si="224"/>
        <v>21.73181000000001</v>
      </c>
      <c r="P1389" s="132" t="s">
        <v>52</v>
      </c>
      <c r="Q1389" s="232"/>
      <c r="R1389" s="411"/>
      <c r="T1389" s="134" t="s">
        <v>145</v>
      </c>
      <c r="U1389" s="267" t="s">
        <v>3430</v>
      </c>
    </row>
    <row r="1390" spans="1:23" ht="24" x14ac:dyDescent="0.25">
      <c r="A1390" s="405">
        <v>3001085</v>
      </c>
      <c r="B1390" s="406">
        <v>42437</v>
      </c>
      <c r="C1390" s="405" t="s">
        <v>42</v>
      </c>
      <c r="D1390" s="401" t="s">
        <v>3431</v>
      </c>
      <c r="E1390" s="120">
        <v>300</v>
      </c>
      <c r="F1390" s="133" t="s">
        <v>165</v>
      </c>
      <c r="G1390" s="404" t="s">
        <v>45</v>
      </c>
      <c r="H1390" s="411">
        <v>284.05</v>
      </c>
      <c r="I1390" s="89">
        <f t="shared" si="227"/>
        <v>-25.564499999999999</v>
      </c>
      <c r="J1390" s="90">
        <f t="shared" si="228"/>
        <v>-5.6969500000000002</v>
      </c>
      <c r="K1390" s="90">
        <f t="shared" si="226"/>
        <v>252.78855000000001</v>
      </c>
      <c r="L1390" s="131">
        <v>480</v>
      </c>
      <c r="M1390" s="187">
        <v>49.04</v>
      </c>
      <c r="N1390" s="91">
        <f t="shared" si="225"/>
        <v>193.04</v>
      </c>
      <c r="O1390" s="411">
        <f t="shared" si="224"/>
        <v>59.748550000000023</v>
      </c>
      <c r="P1390" s="132" t="s">
        <v>86</v>
      </c>
      <c r="Q1390" s="232"/>
      <c r="R1390" s="411"/>
      <c r="T1390" s="134" t="s">
        <v>145</v>
      </c>
      <c r="U1390" s="267" t="s">
        <v>3432</v>
      </c>
    </row>
    <row r="1391" spans="1:23" ht="24" x14ac:dyDescent="0.25">
      <c r="A1391" s="405">
        <v>3001086</v>
      </c>
      <c r="B1391" s="406">
        <v>42437</v>
      </c>
      <c r="C1391" s="405" t="s">
        <v>42</v>
      </c>
      <c r="D1391" s="401" t="s">
        <v>3433</v>
      </c>
      <c r="E1391" s="120">
        <v>50</v>
      </c>
      <c r="F1391" s="133" t="s">
        <v>3434</v>
      </c>
      <c r="G1391" s="404" t="s">
        <v>45</v>
      </c>
      <c r="H1391" s="411">
        <v>178.23</v>
      </c>
      <c r="I1391" s="89">
        <f t="shared" si="227"/>
        <v>-16.040699999999998</v>
      </c>
      <c r="J1391" s="90">
        <f t="shared" si="228"/>
        <v>-3.6863699999999997</v>
      </c>
      <c r="K1391" s="90">
        <f t="shared" si="226"/>
        <v>158.50292999999999</v>
      </c>
      <c r="L1391" s="187">
        <v>1750</v>
      </c>
      <c r="M1391" s="187">
        <v>18.46</v>
      </c>
      <c r="N1391" s="91">
        <f t="shared" si="225"/>
        <v>105.96000000000001</v>
      </c>
      <c r="O1391" s="411">
        <f t="shared" si="224"/>
        <v>52.542929999999984</v>
      </c>
      <c r="P1391" s="132" t="s">
        <v>235</v>
      </c>
      <c r="Q1391" s="232"/>
      <c r="R1391" s="411">
        <v>13.2</v>
      </c>
      <c r="S1391" s="133" t="s">
        <v>3435</v>
      </c>
      <c r="T1391" s="134" t="s">
        <v>145</v>
      </c>
      <c r="U1391" s="267" t="s">
        <v>3436</v>
      </c>
    </row>
    <row r="1392" spans="1:23" ht="24" x14ac:dyDescent="0.25">
      <c r="A1392" s="405">
        <v>3001087</v>
      </c>
      <c r="B1392" s="406">
        <v>42437</v>
      </c>
      <c r="C1392" s="405" t="s">
        <v>42</v>
      </c>
      <c r="D1392" s="401" t="s">
        <v>3437</v>
      </c>
      <c r="E1392" s="120">
        <v>250</v>
      </c>
      <c r="F1392" s="133" t="s">
        <v>1137</v>
      </c>
      <c r="G1392" s="404" t="s">
        <v>45</v>
      </c>
      <c r="H1392" s="411">
        <v>133</v>
      </c>
      <c r="I1392" s="89">
        <f t="shared" si="227"/>
        <v>-11.969999999999999</v>
      </c>
      <c r="J1392" s="90">
        <f t="shared" si="228"/>
        <v>-2.827</v>
      </c>
      <c r="K1392" s="90">
        <f t="shared" si="226"/>
        <v>118.203</v>
      </c>
      <c r="L1392" s="131">
        <v>220</v>
      </c>
      <c r="M1392" s="187">
        <v>29.09</v>
      </c>
      <c r="N1392" s="91">
        <f t="shared" si="225"/>
        <v>84.09</v>
      </c>
      <c r="O1392" s="411">
        <f t="shared" si="224"/>
        <v>34.113</v>
      </c>
      <c r="P1392" s="132" t="s">
        <v>52</v>
      </c>
      <c r="Q1392" s="232"/>
      <c r="R1392" s="411"/>
      <c r="T1392" s="134" t="s">
        <v>145</v>
      </c>
      <c r="U1392" s="267" t="s">
        <v>3438</v>
      </c>
    </row>
    <row r="1393" spans="1:23" ht="24" customHeight="1" x14ac:dyDescent="0.25">
      <c r="A1393" s="419">
        <v>3001088</v>
      </c>
      <c r="B1393" s="421">
        <v>42437</v>
      </c>
      <c r="C1393" s="419" t="s">
        <v>237</v>
      </c>
      <c r="D1393" s="417" t="s">
        <v>3439</v>
      </c>
      <c r="E1393" s="120">
        <v>50</v>
      </c>
      <c r="F1393" s="133" t="s">
        <v>3440</v>
      </c>
      <c r="G1393" s="434" t="s">
        <v>45</v>
      </c>
      <c r="H1393" s="427">
        <v>195.03</v>
      </c>
      <c r="I1393" s="500">
        <f>-(H1393*0.15)</f>
        <v>-29.2545</v>
      </c>
      <c r="J1393" s="427">
        <v>0</v>
      </c>
      <c r="K1393" s="425">
        <f t="shared" si="226"/>
        <v>165.77549999999999</v>
      </c>
      <c r="L1393" s="158">
        <v>959</v>
      </c>
      <c r="N1393" s="91">
        <f t="shared" si="225"/>
        <v>47.95</v>
      </c>
      <c r="O1393" s="411">
        <f t="shared" si="224"/>
        <v>117.82549999999999</v>
      </c>
      <c r="P1393" s="132" t="s">
        <v>926</v>
      </c>
      <c r="Q1393" s="232"/>
      <c r="R1393" s="411"/>
      <c r="T1393" s="439" t="s">
        <v>324</v>
      </c>
      <c r="U1393" s="481" t="s">
        <v>3441</v>
      </c>
    </row>
    <row r="1394" spans="1:23" x14ac:dyDescent="0.25">
      <c r="A1394" s="420"/>
      <c r="B1394" s="422"/>
      <c r="C1394" s="420"/>
      <c r="D1394" s="418"/>
      <c r="E1394" s="120">
        <v>50</v>
      </c>
      <c r="F1394" s="133" t="s">
        <v>3442</v>
      </c>
      <c r="G1394" s="436"/>
      <c r="H1394" s="428"/>
      <c r="I1394" s="501"/>
      <c r="J1394" s="428"/>
      <c r="K1394" s="426"/>
      <c r="L1394" s="158">
        <v>959</v>
      </c>
      <c r="N1394" s="91">
        <f t="shared" si="225"/>
        <v>47.95</v>
      </c>
      <c r="O1394" s="411">
        <f t="shared" si="224"/>
        <v>-47.95</v>
      </c>
      <c r="P1394" s="132" t="s">
        <v>926</v>
      </c>
      <c r="Q1394" s="232"/>
      <c r="R1394" s="411"/>
      <c r="T1394" s="441"/>
      <c r="U1394" s="483"/>
    </row>
    <row r="1395" spans="1:23" ht="24" customHeight="1" x14ac:dyDescent="0.25">
      <c r="A1395" s="419">
        <v>3001089</v>
      </c>
      <c r="B1395" s="421">
        <v>42437</v>
      </c>
      <c r="C1395" s="419" t="s">
        <v>237</v>
      </c>
      <c r="D1395" s="417" t="s">
        <v>3443</v>
      </c>
      <c r="E1395" s="120">
        <v>25</v>
      </c>
      <c r="F1395" s="133" t="s">
        <v>2483</v>
      </c>
      <c r="G1395" s="434" t="s">
        <v>45</v>
      </c>
      <c r="H1395" s="427">
        <v>154.44</v>
      </c>
      <c r="I1395" s="500">
        <f>-(H1395*0.15)</f>
        <v>-23.166</v>
      </c>
      <c r="J1395" s="427">
        <v>0</v>
      </c>
      <c r="K1395" s="425">
        <f t="shared" si="226"/>
        <v>131.274</v>
      </c>
      <c r="L1395" s="158">
        <v>1427</v>
      </c>
      <c r="N1395" s="91">
        <f t="shared" si="225"/>
        <v>35.675000000000004</v>
      </c>
      <c r="O1395" s="411">
        <f t="shared" si="224"/>
        <v>95.59899999999999</v>
      </c>
      <c r="P1395" s="132" t="s">
        <v>926</v>
      </c>
      <c r="Q1395" s="232"/>
      <c r="R1395" s="411"/>
      <c r="T1395" s="439" t="s">
        <v>324</v>
      </c>
      <c r="U1395" s="481" t="s">
        <v>3444</v>
      </c>
    </row>
    <row r="1396" spans="1:23" x14ac:dyDescent="0.25">
      <c r="A1396" s="420"/>
      <c r="B1396" s="422"/>
      <c r="C1396" s="420"/>
      <c r="D1396" s="418"/>
      <c r="E1396" s="120">
        <v>25</v>
      </c>
      <c r="F1396" s="133" t="s">
        <v>3345</v>
      </c>
      <c r="G1396" s="436"/>
      <c r="H1396" s="428"/>
      <c r="I1396" s="501"/>
      <c r="J1396" s="428"/>
      <c r="K1396" s="426"/>
      <c r="L1396" s="158">
        <v>1462</v>
      </c>
      <c r="N1396" s="91">
        <f t="shared" si="225"/>
        <v>36.550000000000004</v>
      </c>
      <c r="O1396" s="411">
        <f t="shared" si="224"/>
        <v>-36.550000000000004</v>
      </c>
      <c r="P1396" s="132" t="s">
        <v>926</v>
      </c>
      <c r="Q1396" s="232"/>
      <c r="R1396" s="411"/>
      <c r="T1396" s="441"/>
      <c r="U1396" s="483"/>
    </row>
    <row r="1397" spans="1:23" x14ac:dyDescent="0.25">
      <c r="A1397" s="419">
        <v>3001090</v>
      </c>
      <c r="B1397" s="421">
        <v>42437</v>
      </c>
      <c r="C1397" s="419" t="s">
        <v>327</v>
      </c>
      <c r="D1397" s="417" t="s">
        <v>3445</v>
      </c>
      <c r="E1397" s="120">
        <v>2000</v>
      </c>
      <c r="F1397" s="133" t="s">
        <v>3446</v>
      </c>
      <c r="G1397" s="434" t="s">
        <v>45</v>
      </c>
      <c r="H1397" s="427">
        <v>5637.6</v>
      </c>
      <c r="I1397" s="427">
        <v>0</v>
      </c>
      <c r="J1397" s="425">
        <f>-((H1397*0.022)+0.3)</f>
        <v>-124.3272</v>
      </c>
      <c r="K1397" s="425">
        <f t="shared" si="226"/>
        <v>5513.2728000000006</v>
      </c>
      <c r="L1397" s="187">
        <v>1680</v>
      </c>
      <c r="N1397" s="91">
        <f t="shared" si="225"/>
        <v>3360</v>
      </c>
      <c r="O1397" s="411">
        <f t="shared" si="224"/>
        <v>2153.2728000000006</v>
      </c>
      <c r="P1397" s="132" t="s">
        <v>313</v>
      </c>
      <c r="Q1397" s="232"/>
      <c r="R1397" s="411"/>
      <c r="T1397" s="439" t="s">
        <v>473</v>
      </c>
      <c r="U1397" s="446" t="s">
        <v>3447</v>
      </c>
      <c r="V1397" s="133" t="s">
        <v>3448</v>
      </c>
      <c r="W1397" s="153" t="s">
        <v>3449</v>
      </c>
    </row>
    <row r="1398" spans="1:23" x14ac:dyDescent="0.25">
      <c r="A1398" s="420"/>
      <c r="B1398" s="422"/>
      <c r="C1398" s="420"/>
      <c r="D1398" s="418"/>
      <c r="E1398" s="120">
        <v>476</v>
      </c>
      <c r="F1398" s="133" t="s">
        <v>3450</v>
      </c>
      <c r="G1398" s="436"/>
      <c r="H1398" s="428"/>
      <c r="I1398" s="428"/>
      <c r="J1398" s="426"/>
      <c r="K1398" s="426"/>
      <c r="L1398" s="187">
        <v>1730</v>
      </c>
      <c r="M1398" s="131">
        <v>0</v>
      </c>
      <c r="N1398" s="91">
        <f t="shared" si="225"/>
        <v>823.48</v>
      </c>
      <c r="O1398" s="411">
        <f t="shared" si="224"/>
        <v>-823.48</v>
      </c>
      <c r="P1398" s="132" t="s">
        <v>313</v>
      </c>
      <c r="Q1398" s="232"/>
      <c r="R1398" s="411"/>
      <c r="T1398" s="441"/>
      <c r="U1398" s="447"/>
    </row>
    <row r="1399" spans="1:23" x14ac:dyDescent="0.25">
      <c r="A1399" s="405">
        <v>3001091</v>
      </c>
      <c r="B1399" s="406">
        <v>42437</v>
      </c>
      <c r="C1399" s="405" t="s">
        <v>63</v>
      </c>
      <c r="D1399" s="401" t="s">
        <v>3451</v>
      </c>
      <c r="E1399" s="120">
        <v>250</v>
      </c>
      <c r="F1399" s="133" t="s">
        <v>307</v>
      </c>
      <c r="G1399" s="404" t="s">
        <v>45</v>
      </c>
      <c r="H1399" s="411">
        <v>380</v>
      </c>
      <c r="I1399" s="411">
        <v>0</v>
      </c>
      <c r="J1399" s="90">
        <f>-((H1399*0.022)+0.3)</f>
        <v>-8.66</v>
      </c>
      <c r="K1399" s="90">
        <f t="shared" si="226"/>
        <v>371.34</v>
      </c>
      <c r="L1399" s="187">
        <v>800</v>
      </c>
      <c r="M1399" s="187">
        <v>51.68</v>
      </c>
      <c r="N1399" s="91">
        <f t="shared" si="225"/>
        <v>251.68</v>
      </c>
      <c r="O1399" s="411">
        <f t="shared" si="224"/>
        <v>119.65999999999997</v>
      </c>
      <c r="P1399" s="132" t="s">
        <v>313</v>
      </c>
      <c r="Q1399" s="232"/>
      <c r="R1399" s="411"/>
      <c r="T1399" s="134" t="s">
        <v>314</v>
      </c>
      <c r="U1399" s="267" t="s">
        <v>3452</v>
      </c>
      <c r="W1399" s="153" t="s">
        <v>3453</v>
      </c>
    </row>
    <row r="1400" spans="1:23" ht="24" x14ac:dyDescent="0.25">
      <c r="A1400" s="405">
        <v>3001092</v>
      </c>
      <c r="B1400" s="406">
        <v>42438</v>
      </c>
      <c r="C1400" s="405" t="s">
        <v>42</v>
      </c>
      <c r="D1400" s="401" t="s">
        <v>3454</v>
      </c>
      <c r="E1400" s="120">
        <v>100</v>
      </c>
      <c r="F1400" s="133" t="s">
        <v>247</v>
      </c>
      <c r="G1400" s="404" t="s">
        <v>45</v>
      </c>
      <c r="H1400" s="411">
        <v>121.39</v>
      </c>
      <c r="I1400" s="89">
        <f t="shared" ref="I1400" si="229">-(H1400*0.09)</f>
        <v>-10.9251</v>
      </c>
      <c r="J1400" s="90">
        <f t="shared" ref="J1400:J1402" si="230">-((H1400*0.019)+0.3)</f>
        <v>-2.6064099999999999</v>
      </c>
      <c r="K1400" s="90">
        <f t="shared" si="226"/>
        <v>107.85849</v>
      </c>
      <c r="L1400" s="131">
        <v>480</v>
      </c>
      <c r="M1400" s="187">
        <v>37.090000000000003</v>
      </c>
      <c r="N1400" s="91">
        <f t="shared" si="225"/>
        <v>85.09</v>
      </c>
      <c r="O1400" s="411">
        <f t="shared" si="224"/>
        <v>22.76849</v>
      </c>
      <c r="P1400" s="132" t="s">
        <v>52</v>
      </c>
      <c r="Q1400" s="232"/>
      <c r="R1400" s="411"/>
      <c r="T1400" s="134" t="s">
        <v>145</v>
      </c>
      <c r="U1400" s="267" t="s">
        <v>3455</v>
      </c>
    </row>
    <row r="1401" spans="1:23" x14ac:dyDescent="0.25">
      <c r="A1401" s="405">
        <v>3001093</v>
      </c>
      <c r="B1401" s="406">
        <v>42438</v>
      </c>
      <c r="C1401" s="405" t="s">
        <v>63</v>
      </c>
      <c r="D1401" s="401" t="s">
        <v>3456</v>
      </c>
      <c r="E1401" s="120">
        <v>330</v>
      </c>
      <c r="F1401" s="133" t="s">
        <v>3457</v>
      </c>
      <c r="G1401" s="404" t="s">
        <v>45</v>
      </c>
      <c r="H1401" s="411">
        <v>1162.5</v>
      </c>
      <c r="I1401" s="411">
        <v>0</v>
      </c>
      <c r="J1401" s="90">
        <f>-((H1401*0.022)+0.3)</f>
        <v>-25.875</v>
      </c>
      <c r="K1401" s="90">
        <f t="shared" si="226"/>
        <v>1136.625</v>
      </c>
      <c r="L1401" s="187">
        <v>2720</v>
      </c>
      <c r="M1401" s="158">
        <v>0</v>
      </c>
      <c r="N1401" s="91">
        <f t="shared" si="225"/>
        <v>897.6</v>
      </c>
      <c r="O1401" s="411">
        <f t="shared" si="224"/>
        <v>239.02499999999998</v>
      </c>
      <c r="P1401" s="132" t="s">
        <v>59</v>
      </c>
      <c r="Q1401" s="232"/>
      <c r="R1401" s="411"/>
      <c r="T1401" s="134" t="s">
        <v>639</v>
      </c>
      <c r="U1401" s="267" t="s">
        <v>3458</v>
      </c>
      <c r="W1401" s="153" t="s">
        <v>3459</v>
      </c>
    </row>
    <row r="1402" spans="1:23" ht="24" x14ac:dyDescent="0.25">
      <c r="A1402" s="405">
        <v>3001094</v>
      </c>
      <c r="B1402" s="406">
        <v>42438</v>
      </c>
      <c r="C1402" s="405" t="s">
        <v>78</v>
      </c>
      <c r="D1402" s="401" t="s">
        <v>3460</v>
      </c>
      <c r="E1402" s="120">
        <v>50</v>
      </c>
      <c r="F1402" s="133" t="s">
        <v>1083</v>
      </c>
      <c r="G1402" s="404" t="s">
        <v>45</v>
      </c>
      <c r="H1402" s="411">
        <v>175</v>
      </c>
      <c r="I1402" s="411">
        <v>0</v>
      </c>
      <c r="J1402" s="90">
        <f t="shared" si="230"/>
        <v>-3.6249999999999996</v>
      </c>
      <c r="K1402" s="90">
        <f t="shared" si="226"/>
        <v>171.375</v>
      </c>
      <c r="L1402" s="187">
        <v>1650</v>
      </c>
      <c r="M1402" s="187">
        <v>33.090000000000003</v>
      </c>
      <c r="N1402" s="91">
        <f t="shared" si="225"/>
        <v>115.59</v>
      </c>
      <c r="O1402" s="411">
        <f t="shared" si="224"/>
        <v>55.784999999999997</v>
      </c>
      <c r="P1402" s="132" t="s">
        <v>235</v>
      </c>
      <c r="Q1402" s="232"/>
      <c r="R1402" s="411"/>
      <c r="T1402" s="134" t="s">
        <v>145</v>
      </c>
      <c r="U1402" s="267" t="s">
        <v>3461</v>
      </c>
      <c r="W1402" s="153" t="s">
        <v>3462</v>
      </c>
    </row>
    <row r="1403" spans="1:23" ht="24" x14ac:dyDescent="0.25">
      <c r="A1403" s="405">
        <v>3001095</v>
      </c>
      <c r="B1403" s="406">
        <v>42438</v>
      </c>
      <c r="C1403" s="405" t="s">
        <v>63</v>
      </c>
      <c r="D1403" s="401" t="s">
        <v>3463</v>
      </c>
      <c r="E1403" s="120">
        <v>35</v>
      </c>
      <c r="F1403" s="133" t="s">
        <v>448</v>
      </c>
      <c r="G1403" s="404" t="s">
        <v>45</v>
      </c>
      <c r="H1403" s="411">
        <v>176.65</v>
      </c>
      <c r="I1403" s="411">
        <v>0</v>
      </c>
      <c r="J1403" s="90">
        <f>-((H1403*0.022)+0.3)</f>
        <v>-4.1863000000000001</v>
      </c>
      <c r="K1403" s="90">
        <f t="shared" si="226"/>
        <v>172.46370000000002</v>
      </c>
      <c r="L1403" s="187">
        <v>3350</v>
      </c>
      <c r="M1403" s="187">
        <v>32.51</v>
      </c>
      <c r="N1403" s="91">
        <f t="shared" si="225"/>
        <v>149.76000000000002</v>
      </c>
      <c r="O1403" s="411">
        <f t="shared" si="224"/>
        <v>22.703699999999998</v>
      </c>
      <c r="P1403" s="132" t="s">
        <v>183</v>
      </c>
      <c r="Q1403" s="232"/>
      <c r="R1403" s="411"/>
      <c r="T1403" s="134" t="s">
        <v>145</v>
      </c>
      <c r="U1403" s="267" t="s">
        <v>3464</v>
      </c>
      <c r="W1403" s="153" t="s">
        <v>3465</v>
      </c>
    </row>
    <row r="1404" spans="1:23" ht="24" customHeight="1" x14ac:dyDescent="0.25">
      <c r="A1404" s="419">
        <v>3001096</v>
      </c>
      <c r="B1404" s="421">
        <v>42438</v>
      </c>
      <c r="C1404" s="419" t="s">
        <v>63</v>
      </c>
      <c r="D1404" s="417" t="s">
        <v>74</v>
      </c>
      <c r="E1404" s="120">
        <v>20000</v>
      </c>
      <c r="F1404" s="133" t="s">
        <v>3466</v>
      </c>
      <c r="G1404" s="434" t="s">
        <v>45</v>
      </c>
      <c r="H1404" s="427">
        <v>15200</v>
      </c>
      <c r="I1404" s="427">
        <v>0</v>
      </c>
      <c r="J1404" s="425">
        <f>-((H1404*0.022)+0.3)</f>
        <v>-334.7</v>
      </c>
      <c r="K1404" s="425">
        <f t="shared" si="226"/>
        <v>14865.3</v>
      </c>
      <c r="L1404" s="187">
        <v>296</v>
      </c>
      <c r="M1404" s="131">
        <v>0</v>
      </c>
      <c r="N1404" s="91">
        <f t="shared" si="225"/>
        <v>5920</v>
      </c>
      <c r="O1404" s="411">
        <f t="shared" si="224"/>
        <v>8945.2999999999993</v>
      </c>
      <c r="P1404" s="132" t="s">
        <v>2846</v>
      </c>
      <c r="Q1404" s="232"/>
      <c r="R1404" s="411"/>
      <c r="T1404" s="470" t="s">
        <v>3467</v>
      </c>
      <c r="U1404" s="505" t="s">
        <v>3467</v>
      </c>
      <c r="W1404" s="153" t="s">
        <v>77</v>
      </c>
    </row>
    <row r="1405" spans="1:23" x14ac:dyDescent="0.25">
      <c r="A1405" s="432"/>
      <c r="B1405" s="433"/>
      <c r="C1405" s="432"/>
      <c r="D1405" s="454"/>
      <c r="E1405" s="120">
        <v>10000</v>
      </c>
      <c r="F1405" s="133" t="s">
        <v>3468</v>
      </c>
      <c r="G1405" s="435"/>
      <c r="H1405" s="438"/>
      <c r="I1405" s="438"/>
      <c r="J1405" s="437"/>
      <c r="K1405" s="437"/>
      <c r="L1405" s="187">
        <v>296</v>
      </c>
      <c r="M1405" s="131">
        <v>0</v>
      </c>
      <c r="N1405" s="91">
        <f t="shared" si="225"/>
        <v>2960</v>
      </c>
      <c r="O1405" s="411">
        <f t="shared" si="224"/>
        <v>-2960</v>
      </c>
      <c r="P1405" s="132" t="s">
        <v>2846</v>
      </c>
      <c r="Q1405" s="232"/>
      <c r="R1405" s="411"/>
      <c r="T1405" s="471"/>
      <c r="U1405" s="506"/>
    </row>
    <row r="1406" spans="1:23" x14ac:dyDescent="0.25">
      <c r="A1406" s="420"/>
      <c r="B1406" s="422"/>
      <c r="C1406" s="420"/>
      <c r="D1406" s="418"/>
      <c r="E1406" s="120">
        <v>10000</v>
      </c>
      <c r="F1406" s="133" t="s">
        <v>3469</v>
      </c>
      <c r="G1406" s="436"/>
      <c r="H1406" s="428"/>
      <c r="I1406" s="428"/>
      <c r="J1406" s="426"/>
      <c r="K1406" s="426"/>
      <c r="L1406" s="187">
        <v>296</v>
      </c>
      <c r="M1406" s="131">
        <v>0</v>
      </c>
      <c r="N1406" s="91">
        <f t="shared" si="225"/>
        <v>2960</v>
      </c>
      <c r="O1406" s="411">
        <f t="shared" si="224"/>
        <v>-2960</v>
      </c>
      <c r="P1406" s="132" t="s">
        <v>2846</v>
      </c>
      <c r="Q1406" s="232"/>
      <c r="R1406" s="411"/>
      <c r="T1406" s="472"/>
      <c r="U1406" s="490"/>
    </row>
    <row r="1407" spans="1:23" x14ac:dyDescent="0.25">
      <c r="A1407" s="419">
        <v>3001097</v>
      </c>
      <c r="B1407" s="421">
        <v>42438</v>
      </c>
      <c r="C1407" s="419" t="s">
        <v>327</v>
      </c>
      <c r="D1407" s="417" t="s">
        <v>3278</v>
      </c>
      <c r="E1407" s="120">
        <v>6</v>
      </c>
      <c r="F1407" s="133" t="s">
        <v>3470</v>
      </c>
      <c r="G1407" s="434" t="s">
        <v>45</v>
      </c>
      <c r="H1407" s="427">
        <v>1156</v>
      </c>
      <c r="I1407" s="427">
        <v>0</v>
      </c>
      <c r="J1407" s="425">
        <f>-((H1407*0.022)+0.3)</f>
        <v>-25.731999999999999</v>
      </c>
      <c r="K1407" s="425">
        <f t="shared" ref="K1407" si="231">SUM(H1407:J1407)</f>
        <v>1130.268</v>
      </c>
      <c r="L1407" s="187">
        <v>7230</v>
      </c>
      <c r="M1407" s="187">
        <v>105</v>
      </c>
      <c r="N1407" s="91">
        <f t="shared" si="225"/>
        <v>148.38</v>
      </c>
      <c r="O1407" s="411">
        <f t="shared" si="224"/>
        <v>981.88800000000003</v>
      </c>
      <c r="P1407" s="132" t="s">
        <v>183</v>
      </c>
      <c r="Q1407" s="232"/>
      <c r="R1407" s="411"/>
      <c r="T1407" s="470" t="s">
        <v>576</v>
      </c>
      <c r="U1407" s="481" t="s">
        <v>3471</v>
      </c>
      <c r="W1407" s="153" t="s">
        <v>3472</v>
      </c>
    </row>
    <row r="1408" spans="1:23" x14ac:dyDescent="0.25">
      <c r="A1408" s="432"/>
      <c r="B1408" s="433"/>
      <c r="C1408" s="432"/>
      <c r="D1408" s="454"/>
      <c r="E1408" s="120">
        <v>6</v>
      </c>
      <c r="F1408" s="133" t="s">
        <v>3473</v>
      </c>
      <c r="G1408" s="435"/>
      <c r="H1408" s="438"/>
      <c r="I1408" s="438"/>
      <c r="J1408" s="437"/>
      <c r="K1408" s="437"/>
      <c r="L1408" s="187">
        <v>11950</v>
      </c>
      <c r="M1408" s="187"/>
      <c r="N1408" s="91">
        <f t="shared" si="225"/>
        <v>71.7</v>
      </c>
      <c r="O1408" s="411">
        <f t="shared" si="224"/>
        <v>-71.7</v>
      </c>
      <c r="P1408" s="132" t="s">
        <v>183</v>
      </c>
      <c r="Q1408" s="232"/>
      <c r="R1408" s="411"/>
      <c r="T1408" s="471"/>
      <c r="U1408" s="482"/>
    </row>
    <row r="1409" spans="1:23" x14ac:dyDescent="0.25">
      <c r="A1409" s="432"/>
      <c r="B1409" s="433"/>
      <c r="C1409" s="432"/>
      <c r="D1409" s="454"/>
      <c r="E1409" s="120">
        <v>6</v>
      </c>
      <c r="F1409" s="133" t="s">
        <v>3474</v>
      </c>
      <c r="G1409" s="435"/>
      <c r="H1409" s="438"/>
      <c r="I1409" s="438"/>
      <c r="J1409" s="437"/>
      <c r="K1409" s="437"/>
      <c r="L1409" s="187">
        <v>1900</v>
      </c>
      <c r="M1409" s="187"/>
      <c r="N1409" s="91">
        <f t="shared" si="225"/>
        <v>11.4</v>
      </c>
      <c r="O1409" s="411">
        <f t="shared" si="224"/>
        <v>-11.4</v>
      </c>
      <c r="P1409" s="132" t="s">
        <v>183</v>
      </c>
      <c r="Q1409" s="232"/>
      <c r="R1409" s="411"/>
      <c r="T1409" s="472"/>
      <c r="U1409" s="483"/>
    </row>
    <row r="1410" spans="1:23" x14ac:dyDescent="0.25">
      <c r="A1410" s="432"/>
      <c r="B1410" s="433"/>
      <c r="C1410" s="432"/>
      <c r="D1410" s="454"/>
      <c r="E1410" s="120">
        <v>6</v>
      </c>
      <c r="F1410" s="133" t="s">
        <v>3475</v>
      </c>
      <c r="G1410" s="435"/>
      <c r="H1410" s="438"/>
      <c r="I1410" s="438"/>
      <c r="J1410" s="437"/>
      <c r="K1410" s="437"/>
      <c r="L1410" s="131">
        <v>0</v>
      </c>
      <c r="M1410" s="131">
        <v>112.31</v>
      </c>
      <c r="N1410" s="91">
        <f t="shared" si="225"/>
        <v>112.31</v>
      </c>
      <c r="O1410" s="411">
        <f t="shared" si="224"/>
        <v>-112.31</v>
      </c>
      <c r="P1410" s="132" t="s">
        <v>3401</v>
      </c>
      <c r="Q1410" s="232"/>
      <c r="R1410" s="411"/>
      <c r="T1410" s="134" t="s">
        <v>324</v>
      </c>
      <c r="U1410" s="266"/>
      <c r="V1410" s="133" t="s">
        <v>3476</v>
      </c>
    </row>
    <row r="1411" spans="1:23" x14ac:dyDescent="0.25">
      <c r="A1411" s="432"/>
      <c r="B1411" s="433"/>
      <c r="C1411" s="432"/>
      <c r="D1411" s="454"/>
      <c r="E1411" s="120">
        <v>6</v>
      </c>
      <c r="F1411" s="133" t="s">
        <v>3477</v>
      </c>
      <c r="G1411" s="435"/>
      <c r="H1411" s="438"/>
      <c r="I1411" s="438"/>
      <c r="J1411" s="437"/>
      <c r="K1411" s="437"/>
      <c r="L1411" s="187">
        <v>1000</v>
      </c>
      <c r="N1411" s="91">
        <f t="shared" si="225"/>
        <v>6</v>
      </c>
      <c r="O1411" s="411">
        <f t="shared" si="224"/>
        <v>-6</v>
      </c>
      <c r="P1411" s="132" t="s">
        <v>183</v>
      </c>
      <c r="Q1411" s="232"/>
      <c r="R1411" s="411"/>
      <c r="T1411" s="470" t="s">
        <v>576</v>
      </c>
      <c r="U1411" s="481" t="s">
        <v>3471</v>
      </c>
    </row>
    <row r="1412" spans="1:23" x14ac:dyDescent="0.25">
      <c r="A1412" s="432"/>
      <c r="B1412" s="433"/>
      <c r="C1412" s="432"/>
      <c r="D1412" s="454"/>
      <c r="E1412" s="120">
        <v>6</v>
      </c>
      <c r="F1412" s="133" t="s">
        <v>3478</v>
      </c>
      <c r="G1412" s="435"/>
      <c r="H1412" s="438"/>
      <c r="I1412" s="438"/>
      <c r="J1412" s="437"/>
      <c r="K1412" s="437"/>
      <c r="L1412" s="187">
        <v>1250</v>
      </c>
      <c r="N1412" s="91">
        <f t="shared" si="225"/>
        <v>7.5</v>
      </c>
      <c r="O1412" s="411">
        <f t="shared" si="224"/>
        <v>-7.5</v>
      </c>
      <c r="P1412" s="132" t="s">
        <v>183</v>
      </c>
      <c r="Q1412" s="232"/>
      <c r="R1412" s="411"/>
      <c r="T1412" s="471"/>
      <c r="U1412" s="482"/>
    </row>
    <row r="1413" spans="1:23" x14ac:dyDescent="0.25">
      <c r="A1413" s="432"/>
      <c r="B1413" s="433"/>
      <c r="C1413" s="432"/>
      <c r="D1413" s="454"/>
      <c r="E1413" s="120">
        <v>6</v>
      </c>
      <c r="F1413" s="133" t="s">
        <v>3479</v>
      </c>
      <c r="G1413" s="435"/>
      <c r="H1413" s="438"/>
      <c r="I1413" s="438"/>
      <c r="J1413" s="437"/>
      <c r="K1413" s="437"/>
      <c r="L1413" s="187">
        <v>1500</v>
      </c>
      <c r="N1413" s="91">
        <f t="shared" si="225"/>
        <v>9</v>
      </c>
      <c r="O1413" s="411">
        <f t="shared" si="224"/>
        <v>-9</v>
      </c>
      <c r="P1413" s="132" t="s">
        <v>183</v>
      </c>
      <c r="Q1413" s="232"/>
      <c r="R1413" s="411"/>
      <c r="T1413" s="471"/>
      <c r="U1413" s="482"/>
    </row>
    <row r="1414" spans="1:23" x14ac:dyDescent="0.25">
      <c r="A1414" s="432"/>
      <c r="B1414" s="433"/>
      <c r="C1414" s="432"/>
      <c r="D1414" s="454"/>
      <c r="E1414" s="120">
        <v>6</v>
      </c>
      <c r="F1414" s="133" t="s">
        <v>3480</v>
      </c>
      <c r="G1414" s="435"/>
      <c r="H1414" s="438"/>
      <c r="I1414" s="438"/>
      <c r="J1414" s="437"/>
      <c r="K1414" s="437"/>
      <c r="L1414" s="187">
        <v>2000</v>
      </c>
      <c r="N1414" s="91">
        <f t="shared" si="225"/>
        <v>12</v>
      </c>
      <c r="O1414" s="411">
        <f t="shared" si="224"/>
        <v>-12</v>
      </c>
      <c r="P1414" s="132" t="s">
        <v>183</v>
      </c>
      <c r="Q1414" s="232"/>
      <c r="R1414" s="411"/>
      <c r="T1414" s="471"/>
      <c r="U1414" s="482"/>
    </row>
    <row r="1415" spans="1:23" x14ac:dyDescent="0.25">
      <c r="A1415" s="432"/>
      <c r="B1415" s="433"/>
      <c r="C1415" s="432"/>
      <c r="D1415" s="454"/>
      <c r="E1415" s="120">
        <v>6</v>
      </c>
      <c r="F1415" s="133" t="s">
        <v>3481</v>
      </c>
      <c r="G1415" s="435"/>
      <c r="H1415" s="438"/>
      <c r="I1415" s="438"/>
      <c r="J1415" s="437"/>
      <c r="K1415" s="437"/>
      <c r="L1415" s="187">
        <v>3500</v>
      </c>
      <c r="N1415" s="91">
        <f t="shared" si="225"/>
        <v>21</v>
      </c>
      <c r="O1415" s="411">
        <f t="shared" si="224"/>
        <v>-21</v>
      </c>
      <c r="P1415" s="132" t="s">
        <v>183</v>
      </c>
      <c r="Q1415" s="232"/>
      <c r="R1415" s="411"/>
      <c r="T1415" s="471"/>
      <c r="U1415" s="482"/>
    </row>
    <row r="1416" spans="1:23" x14ac:dyDescent="0.25">
      <c r="A1416" s="420"/>
      <c r="B1416" s="422"/>
      <c r="C1416" s="420"/>
      <c r="D1416" s="418"/>
      <c r="E1416" s="120">
        <v>6</v>
      </c>
      <c r="F1416" s="133" t="s">
        <v>3482</v>
      </c>
      <c r="G1416" s="436"/>
      <c r="H1416" s="428"/>
      <c r="I1416" s="428"/>
      <c r="J1416" s="426"/>
      <c r="K1416" s="426"/>
      <c r="L1416" s="187">
        <v>3000</v>
      </c>
      <c r="N1416" s="91">
        <f t="shared" si="225"/>
        <v>18</v>
      </c>
      <c r="O1416" s="411">
        <f t="shared" si="224"/>
        <v>-18</v>
      </c>
      <c r="P1416" s="132" t="s">
        <v>183</v>
      </c>
      <c r="Q1416" s="232"/>
      <c r="R1416" s="411"/>
      <c r="T1416" s="472"/>
      <c r="U1416" s="483"/>
    </row>
    <row r="1417" spans="1:23" x14ac:dyDescent="0.25">
      <c r="A1417" s="419">
        <v>3001098</v>
      </c>
      <c r="B1417" s="421">
        <v>42438</v>
      </c>
      <c r="C1417" s="419" t="s">
        <v>78</v>
      </c>
      <c r="D1417" s="417" t="s">
        <v>269</v>
      </c>
      <c r="E1417" s="120">
        <v>1000</v>
      </c>
      <c r="F1417" s="133" t="s">
        <v>207</v>
      </c>
      <c r="G1417" s="434" t="s">
        <v>45</v>
      </c>
      <c r="H1417" s="427">
        <v>1371</v>
      </c>
      <c r="I1417" s="427">
        <v>0</v>
      </c>
      <c r="J1417" s="425">
        <f t="shared" ref="J1417" si="232">-((H1417*0.019)+0.3)</f>
        <v>-26.349</v>
      </c>
      <c r="K1417" s="425">
        <f t="shared" ref="K1417" si="233">SUM(H1417:J1417)</f>
        <v>1344.6510000000001</v>
      </c>
      <c r="L1417" s="131">
        <v>570</v>
      </c>
      <c r="N1417" s="91">
        <f t="shared" si="225"/>
        <v>570</v>
      </c>
      <c r="O1417" s="411">
        <f t="shared" ref="O1417:O1480" si="234">K1417-N1417</f>
        <v>774.65100000000007</v>
      </c>
      <c r="P1417" s="132" t="s">
        <v>86</v>
      </c>
      <c r="Q1417" s="232"/>
      <c r="R1417" s="411"/>
      <c r="T1417" s="134" t="s">
        <v>717</v>
      </c>
      <c r="U1417" s="267" t="s">
        <v>3483</v>
      </c>
    </row>
    <row r="1418" spans="1:23" ht="72" x14ac:dyDescent="0.25">
      <c r="A1418" s="420"/>
      <c r="B1418" s="422"/>
      <c r="C1418" s="420"/>
      <c r="D1418" s="418"/>
      <c r="E1418" s="120">
        <v>1000</v>
      </c>
      <c r="F1418" s="133" t="s">
        <v>1622</v>
      </c>
      <c r="G1418" s="436"/>
      <c r="H1418" s="428"/>
      <c r="I1418" s="428"/>
      <c r="J1418" s="426"/>
      <c r="K1418" s="426"/>
      <c r="M1418" s="187">
        <v>13.43</v>
      </c>
      <c r="N1418" s="91">
        <v>53.72</v>
      </c>
      <c r="O1418" s="411">
        <f t="shared" si="234"/>
        <v>-53.72</v>
      </c>
      <c r="P1418" s="132" t="s">
        <v>52</v>
      </c>
      <c r="Q1418" s="232"/>
      <c r="R1418" s="411"/>
      <c r="T1418" s="134" t="s">
        <v>145</v>
      </c>
      <c r="U1418" s="267" t="s">
        <v>3484</v>
      </c>
      <c r="V1418" s="133" t="s">
        <v>3485</v>
      </c>
    </row>
    <row r="1419" spans="1:23" ht="24" x14ac:dyDescent="0.25">
      <c r="A1419" s="405">
        <v>3001099</v>
      </c>
      <c r="B1419" s="406">
        <v>42438</v>
      </c>
      <c r="C1419" s="405" t="s">
        <v>42</v>
      </c>
      <c r="D1419" s="401" t="s">
        <v>3486</v>
      </c>
      <c r="E1419" s="120">
        <v>1500</v>
      </c>
      <c r="F1419" s="133" t="s">
        <v>3487</v>
      </c>
      <c r="G1419" s="404" t="s">
        <v>45</v>
      </c>
      <c r="H1419" s="411">
        <v>3849</v>
      </c>
      <c r="I1419" s="89">
        <f t="shared" ref="I1419" si="235">-(H1419*0.09)</f>
        <v>-346.40999999999997</v>
      </c>
      <c r="J1419" s="90">
        <f t="shared" ref="J1419" si="236">-((H1419*0.019)+0.3)</f>
        <v>-73.430999999999997</v>
      </c>
      <c r="K1419" s="90">
        <f t="shared" ref="K1419:K1428" si="237">SUM(H1419:J1419)</f>
        <v>3429.1590000000001</v>
      </c>
      <c r="L1419" s="187">
        <v>1634</v>
      </c>
      <c r="M1419" s="187">
        <v>123.36</v>
      </c>
      <c r="N1419" s="91">
        <f t="shared" si="225"/>
        <v>2574.36</v>
      </c>
      <c r="O1419" s="411">
        <f t="shared" si="234"/>
        <v>854.79899999999998</v>
      </c>
      <c r="P1419" s="132" t="s">
        <v>183</v>
      </c>
      <c r="Q1419" s="232"/>
      <c r="R1419" s="411"/>
      <c r="T1419" s="134" t="s">
        <v>3488</v>
      </c>
      <c r="U1419" s="267" t="s">
        <v>3489</v>
      </c>
    </row>
    <row r="1420" spans="1:23" ht="24" x14ac:dyDescent="0.25">
      <c r="A1420" s="405">
        <v>3001100</v>
      </c>
      <c r="B1420" s="406">
        <v>42438</v>
      </c>
      <c r="C1420" s="405" t="s">
        <v>63</v>
      </c>
      <c r="D1420" s="401" t="s">
        <v>3490</v>
      </c>
      <c r="E1420" s="120">
        <v>32</v>
      </c>
      <c r="F1420" s="133" t="s">
        <v>70</v>
      </c>
      <c r="G1420" s="404" t="s">
        <v>45</v>
      </c>
      <c r="H1420" s="411">
        <v>98.25</v>
      </c>
      <c r="I1420" s="411">
        <v>0</v>
      </c>
      <c r="J1420" s="90">
        <f>-((H1420*0.022)+0.3)</f>
        <v>-2.4614999999999996</v>
      </c>
      <c r="K1420" s="90">
        <f t="shared" si="237"/>
        <v>95.788499999999999</v>
      </c>
      <c r="L1420" s="131">
        <v>1540</v>
      </c>
      <c r="M1420" s="187">
        <v>19.809999999999999</v>
      </c>
      <c r="N1420" s="91">
        <f t="shared" si="225"/>
        <v>69.09</v>
      </c>
      <c r="O1420" s="411">
        <f t="shared" si="234"/>
        <v>26.698499999999996</v>
      </c>
      <c r="P1420" s="132" t="s">
        <v>52</v>
      </c>
      <c r="Q1420" s="232"/>
      <c r="R1420" s="411"/>
      <c r="T1420" s="134" t="s">
        <v>145</v>
      </c>
      <c r="U1420" s="267" t="s">
        <v>3491</v>
      </c>
      <c r="W1420" s="153" t="s">
        <v>3492</v>
      </c>
    </row>
    <row r="1421" spans="1:23" ht="24" x14ac:dyDescent="0.25">
      <c r="A1421" s="405">
        <v>3001101</v>
      </c>
      <c r="B1421" s="406">
        <v>42438</v>
      </c>
      <c r="C1421" s="405" t="s">
        <v>327</v>
      </c>
      <c r="D1421" s="401" t="s">
        <v>3493</v>
      </c>
      <c r="E1421" s="120">
        <v>80</v>
      </c>
      <c r="F1421" s="133" t="s">
        <v>3494</v>
      </c>
      <c r="G1421" s="404" t="s">
        <v>45</v>
      </c>
      <c r="H1421" s="411">
        <v>1350</v>
      </c>
      <c r="I1421" s="411">
        <v>0</v>
      </c>
      <c r="J1421" s="90">
        <f>-((H1421*0.022)+0.3)</f>
        <v>-30</v>
      </c>
      <c r="K1421" s="90">
        <f t="shared" si="237"/>
        <v>1320</v>
      </c>
      <c r="L1421" s="187">
        <v>10500</v>
      </c>
      <c r="M1421" s="187">
        <v>131</v>
      </c>
      <c r="N1421" s="91">
        <f t="shared" ref="N1421:N1484" si="238">((L1421)*(E1421*0.001))+M1421</f>
        <v>971</v>
      </c>
      <c r="O1421" s="411">
        <f t="shared" si="234"/>
        <v>349</v>
      </c>
      <c r="P1421" s="132" t="s">
        <v>235</v>
      </c>
      <c r="Q1421" s="232"/>
      <c r="R1421" s="411"/>
      <c r="T1421" s="134" t="s">
        <v>3495</v>
      </c>
      <c r="U1421" s="267" t="s">
        <v>3496</v>
      </c>
      <c r="W1421" s="153" t="s">
        <v>3497</v>
      </c>
    </row>
    <row r="1422" spans="1:23" ht="24" x14ac:dyDescent="0.25">
      <c r="A1422" s="405">
        <v>3001102</v>
      </c>
      <c r="B1422" s="406">
        <v>42438</v>
      </c>
      <c r="C1422" s="405" t="s">
        <v>42</v>
      </c>
      <c r="D1422" s="401" t="s">
        <v>3498</v>
      </c>
      <c r="E1422" s="120">
        <v>500</v>
      </c>
      <c r="F1422" s="133" t="s">
        <v>451</v>
      </c>
      <c r="G1422" s="404" t="s">
        <v>45</v>
      </c>
      <c r="H1422" s="411">
        <v>295</v>
      </c>
      <c r="I1422" s="89">
        <f t="shared" ref="I1422:I1427" si="239">-(H1422*0.09)</f>
        <v>-26.55</v>
      </c>
      <c r="J1422" s="90">
        <f t="shared" ref="J1422:J1427" si="240">-((H1422*0.019)+0.3)</f>
        <v>-5.9049999999999994</v>
      </c>
      <c r="K1422" s="90">
        <f t="shared" si="237"/>
        <v>262.54500000000002</v>
      </c>
      <c r="L1422" s="131">
        <v>300</v>
      </c>
      <c r="M1422" s="187">
        <v>39.840000000000003</v>
      </c>
      <c r="N1422" s="91">
        <f t="shared" si="238"/>
        <v>189.84</v>
      </c>
      <c r="O1422" s="411">
        <f t="shared" si="234"/>
        <v>72.705000000000013</v>
      </c>
      <c r="P1422" s="132" t="s">
        <v>52</v>
      </c>
      <c r="Q1422" s="232"/>
      <c r="R1422" s="411"/>
      <c r="T1422" s="134" t="s">
        <v>145</v>
      </c>
      <c r="U1422" s="267" t="s">
        <v>3499</v>
      </c>
    </row>
    <row r="1423" spans="1:23" ht="24" x14ac:dyDescent="0.25">
      <c r="A1423" s="405">
        <v>3001103</v>
      </c>
      <c r="B1423" s="406">
        <v>42438</v>
      </c>
      <c r="C1423" s="405" t="s">
        <v>42</v>
      </c>
      <c r="D1423" s="401" t="s">
        <v>3500</v>
      </c>
      <c r="E1423" s="120">
        <v>500</v>
      </c>
      <c r="F1423" s="119" t="s">
        <v>3501</v>
      </c>
      <c r="G1423" s="404" t="s">
        <v>45</v>
      </c>
      <c r="H1423" s="411">
        <v>141.1</v>
      </c>
      <c r="I1423" s="89">
        <f t="shared" si="239"/>
        <v>-12.699</v>
      </c>
      <c r="J1423" s="90">
        <f t="shared" si="240"/>
        <v>-2.9808999999999997</v>
      </c>
      <c r="K1423" s="90">
        <f t="shared" si="237"/>
        <v>125.42009999999998</v>
      </c>
      <c r="L1423" s="187">
        <v>110</v>
      </c>
      <c r="M1423" s="187">
        <v>14.91</v>
      </c>
      <c r="N1423" s="91">
        <f t="shared" si="238"/>
        <v>69.91</v>
      </c>
      <c r="O1423" s="411">
        <f t="shared" si="234"/>
        <v>55.51009999999998</v>
      </c>
      <c r="P1423" s="132" t="s">
        <v>183</v>
      </c>
      <c r="Q1423" s="232"/>
      <c r="R1423" s="411"/>
      <c r="T1423" s="134" t="s">
        <v>145</v>
      </c>
      <c r="U1423" s="267" t="s">
        <v>3502</v>
      </c>
    </row>
    <row r="1424" spans="1:23" ht="24" x14ac:dyDescent="0.25">
      <c r="A1424" s="405">
        <v>3001104</v>
      </c>
      <c r="B1424" s="406">
        <v>42438</v>
      </c>
      <c r="C1424" s="405" t="s">
        <v>42</v>
      </c>
      <c r="D1424" s="401" t="s">
        <v>3503</v>
      </c>
      <c r="E1424" s="120">
        <v>125</v>
      </c>
      <c r="F1424" s="133" t="s">
        <v>161</v>
      </c>
      <c r="G1424" s="404" t="s">
        <v>45</v>
      </c>
      <c r="H1424" s="411">
        <v>332.5</v>
      </c>
      <c r="I1424" s="89">
        <f t="shared" si="239"/>
        <v>-29.924999999999997</v>
      </c>
      <c r="J1424" s="90">
        <f t="shared" si="240"/>
        <v>-6.6174999999999997</v>
      </c>
      <c r="K1424" s="90">
        <f t="shared" si="237"/>
        <v>295.95749999999998</v>
      </c>
      <c r="L1424" s="131">
        <v>1322</v>
      </c>
      <c r="M1424" s="187">
        <v>49.13</v>
      </c>
      <c r="N1424" s="91">
        <f t="shared" si="238"/>
        <v>214.38</v>
      </c>
      <c r="O1424" s="411">
        <f t="shared" si="234"/>
        <v>81.577499999999986</v>
      </c>
      <c r="P1424" s="132" t="s">
        <v>52</v>
      </c>
      <c r="Q1424" s="232"/>
      <c r="R1424" s="411"/>
      <c r="T1424" s="134" t="s">
        <v>145</v>
      </c>
      <c r="U1424" s="267" t="s">
        <v>3504</v>
      </c>
    </row>
    <row r="1425" spans="1:23" ht="24" x14ac:dyDescent="0.25">
      <c r="A1425" s="405">
        <v>3001105</v>
      </c>
      <c r="B1425" s="406">
        <v>42438</v>
      </c>
      <c r="C1425" s="405" t="s">
        <v>42</v>
      </c>
      <c r="D1425" s="401" t="s">
        <v>3505</v>
      </c>
      <c r="E1425" s="120">
        <v>125</v>
      </c>
      <c r="F1425" s="133" t="s">
        <v>288</v>
      </c>
      <c r="G1425" s="404" t="s">
        <v>45</v>
      </c>
      <c r="H1425" s="411">
        <v>258.39999999999998</v>
      </c>
      <c r="I1425" s="89">
        <f t="shared" si="239"/>
        <v>-23.255999999999997</v>
      </c>
      <c r="J1425" s="90">
        <f t="shared" si="240"/>
        <v>-5.2095999999999991</v>
      </c>
      <c r="K1425" s="90">
        <f t="shared" si="237"/>
        <v>229.93439999999998</v>
      </c>
      <c r="L1425" s="131">
        <v>950</v>
      </c>
      <c r="M1425" s="187">
        <v>30.18</v>
      </c>
      <c r="N1425" s="91">
        <f t="shared" si="238"/>
        <v>148.93</v>
      </c>
      <c r="O1425" s="411">
        <f t="shared" si="234"/>
        <v>81.004399999999976</v>
      </c>
      <c r="P1425" s="132" t="s">
        <v>52</v>
      </c>
      <c r="Q1425" s="232"/>
      <c r="R1425" s="411"/>
      <c r="T1425" s="134" t="s">
        <v>145</v>
      </c>
      <c r="U1425" s="267" t="s">
        <v>3506</v>
      </c>
    </row>
    <row r="1426" spans="1:23" ht="24" x14ac:dyDescent="0.25">
      <c r="A1426" s="405">
        <v>3001106</v>
      </c>
      <c r="B1426" s="406">
        <v>42438</v>
      </c>
      <c r="C1426" s="405" t="s">
        <v>42</v>
      </c>
      <c r="D1426" s="401" t="s">
        <v>3507</v>
      </c>
      <c r="E1426" s="120">
        <v>500</v>
      </c>
      <c r="F1426" s="133" t="s">
        <v>983</v>
      </c>
      <c r="G1426" s="404" t="s">
        <v>45</v>
      </c>
      <c r="H1426" s="411">
        <v>295</v>
      </c>
      <c r="I1426" s="89">
        <f t="shared" si="239"/>
        <v>-26.55</v>
      </c>
      <c r="J1426" s="90">
        <f t="shared" si="240"/>
        <v>-5.9049999999999994</v>
      </c>
      <c r="K1426" s="90">
        <f t="shared" si="237"/>
        <v>262.54500000000002</v>
      </c>
      <c r="L1426" s="131">
        <v>300</v>
      </c>
      <c r="M1426" s="187">
        <v>61.28</v>
      </c>
      <c r="N1426" s="91">
        <f t="shared" si="238"/>
        <v>211.28</v>
      </c>
      <c r="O1426" s="411">
        <f t="shared" si="234"/>
        <v>51.265000000000015</v>
      </c>
      <c r="P1426" s="132" t="s">
        <v>52</v>
      </c>
      <c r="Q1426" s="232"/>
      <c r="R1426" s="411"/>
      <c r="T1426" s="134" t="s">
        <v>145</v>
      </c>
      <c r="U1426" s="267" t="s">
        <v>3508</v>
      </c>
    </row>
    <row r="1427" spans="1:23" ht="24" x14ac:dyDescent="0.25">
      <c r="A1427" s="405">
        <v>3001107</v>
      </c>
      <c r="B1427" s="406">
        <v>42438</v>
      </c>
      <c r="C1427" s="405" t="s">
        <v>42</v>
      </c>
      <c r="D1427" s="401" t="s">
        <v>3509</v>
      </c>
      <c r="E1427" s="120">
        <v>1000</v>
      </c>
      <c r="F1427" s="119" t="s">
        <v>3510</v>
      </c>
      <c r="G1427" s="404" t="s">
        <v>45</v>
      </c>
      <c r="H1427" s="411">
        <v>351.83</v>
      </c>
      <c r="I1427" s="89">
        <f t="shared" si="239"/>
        <v>-31.664699999999996</v>
      </c>
      <c r="J1427" s="90">
        <f t="shared" si="240"/>
        <v>-6.9847699999999993</v>
      </c>
      <c r="K1427" s="90">
        <f t="shared" si="237"/>
        <v>313.18052999999998</v>
      </c>
      <c r="L1427" s="187">
        <v>217</v>
      </c>
      <c r="M1427" s="187">
        <v>24.24</v>
      </c>
      <c r="N1427" s="91">
        <f t="shared" si="238"/>
        <v>241.24</v>
      </c>
      <c r="O1427" s="411">
        <f t="shared" si="234"/>
        <v>71.940529999999967</v>
      </c>
      <c r="P1427" s="132" t="s">
        <v>183</v>
      </c>
      <c r="Q1427" s="232"/>
      <c r="R1427" s="411"/>
      <c r="T1427" s="134" t="s">
        <v>145</v>
      </c>
      <c r="U1427" s="267" t="s">
        <v>3511</v>
      </c>
    </row>
    <row r="1428" spans="1:23" x14ac:dyDescent="0.25">
      <c r="A1428" s="419">
        <v>3001108</v>
      </c>
      <c r="B1428" s="421">
        <v>42438</v>
      </c>
      <c r="C1428" s="419" t="s">
        <v>327</v>
      </c>
      <c r="D1428" s="417" t="s">
        <v>3278</v>
      </c>
      <c r="E1428" s="120">
        <v>6</v>
      </c>
      <c r="F1428" s="133" t="s">
        <v>3512</v>
      </c>
      <c r="G1428" s="434" t="s">
        <v>45</v>
      </c>
      <c r="H1428" s="427">
        <v>1496.4</v>
      </c>
      <c r="I1428" s="427">
        <v>0</v>
      </c>
      <c r="J1428" s="425">
        <f>-((H1428*0.022)+0.3)</f>
        <v>-33.220799999999997</v>
      </c>
      <c r="K1428" s="425">
        <f t="shared" si="237"/>
        <v>1463.1792</v>
      </c>
      <c r="L1428" s="131">
        <v>500</v>
      </c>
      <c r="N1428" s="91">
        <f t="shared" si="238"/>
        <v>3</v>
      </c>
      <c r="O1428" s="411">
        <f t="shared" si="234"/>
        <v>1460.1792</v>
      </c>
      <c r="P1428" s="132" t="s">
        <v>183</v>
      </c>
      <c r="Q1428" s="232"/>
      <c r="R1428" s="411"/>
      <c r="T1428" s="470" t="s">
        <v>576</v>
      </c>
      <c r="U1428" s="481" t="s">
        <v>3513</v>
      </c>
      <c r="W1428" s="153" t="s">
        <v>3472</v>
      </c>
    </row>
    <row r="1429" spans="1:23" x14ac:dyDescent="0.25">
      <c r="A1429" s="432"/>
      <c r="B1429" s="433"/>
      <c r="C1429" s="432"/>
      <c r="D1429" s="454"/>
      <c r="E1429" s="120">
        <v>6</v>
      </c>
      <c r="F1429" s="133" t="s">
        <v>3514</v>
      </c>
      <c r="G1429" s="435"/>
      <c r="H1429" s="438"/>
      <c r="I1429" s="438"/>
      <c r="J1429" s="437"/>
      <c r="K1429" s="437"/>
      <c r="L1429" s="131">
        <v>850</v>
      </c>
      <c r="N1429" s="91">
        <f t="shared" si="238"/>
        <v>5.1000000000000005</v>
      </c>
      <c r="O1429" s="411">
        <f t="shared" si="234"/>
        <v>-5.1000000000000005</v>
      </c>
      <c r="P1429" s="132" t="s">
        <v>183</v>
      </c>
      <c r="Q1429" s="232"/>
      <c r="R1429" s="411"/>
      <c r="T1429" s="471"/>
      <c r="U1429" s="482"/>
    </row>
    <row r="1430" spans="1:23" x14ac:dyDescent="0.25">
      <c r="A1430" s="432"/>
      <c r="B1430" s="433"/>
      <c r="C1430" s="432"/>
      <c r="D1430" s="454"/>
      <c r="E1430" s="120">
        <v>6</v>
      </c>
      <c r="F1430" s="133" t="s">
        <v>3515</v>
      </c>
      <c r="G1430" s="435"/>
      <c r="H1430" s="438"/>
      <c r="I1430" s="438"/>
      <c r="J1430" s="437"/>
      <c r="K1430" s="437"/>
      <c r="L1430" s="131">
        <v>1330</v>
      </c>
      <c r="N1430" s="91">
        <f t="shared" si="238"/>
        <v>7.98</v>
      </c>
      <c r="O1430" s="411">
        <f t="shared" si="234"/>
        <v>-7.98</v>
      </c>
      <c r="P1430" s="132" t="s">
        <v>183</v>
      </c>
      <c r="Q1430" s="232"/>
      <c r="R1430" s="411"/>
      <c r="T1430" s="471"/>
      <c r="U1430" s="482"/>
    </row>
    <row r="1431" spans="1:23" x14ac:dyDescent="0.25">
      <c r="A1431" s="432"/>
      <c r="B1431" s="433"/>
      <c r="C1431" s="432"/>
      <c r="D1431" s="454"/>
      <c r="E1431" s="120">
        <v>6</v>
      </c>
      <c r="F1431" s="133" t="s">
        <v>3516</v>
      </c>
      <c r="G1431" s="435"/>
      <c r="H1431" s="438"/>
      <c r="I1431" s="438"/>
      <c r="J1431" s="437"/>
      <c r="K1431" s="437"/>
      <c r="L1431" s="131">
        <v>1670</v>
      </c>
      <c r="N1431" s="91">
        <f t="shared" si="238"/>
        <v>10.02</v>
      </c>
      <c r="O1431" s="411">
        <f t="shared" si="234"/>
        <v>-10.02</v>
      </c>
      <c r="P1431" s="132" t="s">
        <v>183</v>
      </c>
      <c r="Q1431" s="232"/>
      <c r="R1431" s="411"/>
      <c r="T1431" s="471"/>
      <c r="U1431" s="482"/>
    </row>
    <row r="1432" spans="1:23" x14ac:dyDescent="0.25">
      <c r="A1432" s="432"/>
      <c r="B1432" s="433"/>
      <c r="C1432" s="432"/>
      <c r="D1432" s="454"/>
      <c r="E1432" s="120">
        <v>6</v>
      </c>
      <c r="F1432" s="133" t="s">
        <v>3517</v>
      </c>
      <c r="G1432" s="435"/>
      <c r="H1432" s="438"/>
      <c r="I1432" s="438"/>
      <c r="J1432" s="437"/>
      <c r="K1432" s="437"/>
      <c r="L1432" s="131">
        <v>2140</v>
      </c>
      <c r="N1432" s="91">
        <f t="shared" si="238"/>
        <v>12.84</v>
      </c>
      <c r="O1432" s="411">
        <f t="shared" si="234"/>
        <v>-12.84</v>
      </c>
      <c r="P1432" s="132" t="s">
        <v>183</v>
      </c>
      <c r="Q1432" s="232"/>
      <c r="R1432" s="411"/>
      <c r="T1432" s="471"/>
      <c r="U1432" s="482"/>
    </row>
    <row r="1433" spans="1:23" x14ac:dyDescent="0.25">
      <c r="A1433" s="432"/>
      <c r="B1433" s="433"/>
      <c r="C1433" s="432"/>
      <c r="D1433" s="454"/>
      <c r="E1433" s="120">
        <v>6</v>
      </c>
      <c r="F1433" s="133" t="s">
        <v>3518</v>
      </c>
      <c r="G1433" s="435"/>
      <c r="H1433" s="438"/>
      <c r="I1433" s="438"/>
      <c r="J1433" s="437"/>
      <c r="K1433" s="437"/>
      <c r="L1433" s="131">
        <v>2570</v>
      </c>
      <c r="N1433" s="91">
        <f t="shared" si="238"/>
        <v>15.42</v>
      </c>
      <c r="O1433" s="411">
        <f t="shared" si="234"/>
        <v>-15.42</v>
      </c>
      <c r="P1433" s="132" t="s">
        <v>183</v>
      </c>
      <c r="Q1433" s="232"/>
      <c r="R1433" s="411"/>
      <c r="T1433" s="471"/>
      <c r="U1433" s="482"/>
      <c r="V1433" s="133" t="s">
        <v>3519</v>
      </c>
    </row>
    <row r="1434" spans="1:23" x14ac:dyDescent="0.25">
      <c r="A1434" s="432"/>
      <c r="B1434" s="433"/>
      <c r="C1434" s="432"/>
      <c r="D1434" s="454"/>
      <c r="E1434" s="120">
        <v>6</v>
      </c>
      <c r="F1434" s="133" t="s">
        <v>3520</v>
      </c>
      <c r="G1434" s="435"/>
      <c r="H1434" s="438"/>
      <c r="I1434" s="438"/>
      <c r="J1434" s="437"/>
      <c r="K1434" s="437"/>
      <c r="L1434" s="131">
        <v>3220</v>
      </c>
      <c r="N1434" s="91">
        <f t="shared" si="238"/>
        <v>19.32</v>
      </c>
      <c r="O1434" s="411">
        <f t="shared" si="234"/>
        <v>-19.32</v>
      </c>
      <c r="P1434" s="132" t="s">
        <v>183</v>
      </c>
      <c r="Q1434" s="232"/>
      <c r="R1434" s="411"/>
      <c r="T1434" s="471"/>
      <c r="U1434" s="482"/>
    </row>
    <row r="1435" spans="1:23" x14ac:dyDescent="0.25">
      <c r="A1435" s="432"/>
      <c r="B1435" s="433"/>
      <c r="C1435" s="432"/>
      <c r="D1435" s="454"/>
      <c r="E1435" s="120">
        <v>6</v>
      </c>
      <c r="F1435" s="133" t="s">
        <v>3521</v>
      </c>
      <c r="G1435" s="435"/>
      <c r="H1435" s="438"/>
      <c r="I1435" s="438"/>
      <c r="J1435" s="437"/>
      <c r="K1435" s="437"/>
      <c r="L1435" s="131">
        <v>4110</v>
      </c>
      <c r="N1435" s="91">
        <f t="shared" si="238"/>
        <v>24.66</v>
      </c>
      <c r="O1435" s="411">
        <f t="shared" si="234"/>
        <v>-24.66</v>
      </c>
      <c r="P1435" s="132" t="s">
        <v>183</v>
      </c>
      <c r="Q1435" s="232"/>
      <c r="R1435" s="411"/>
      <c r="T1435" s="471"/>
      <c r="U1435" s="482"/>
    </row>
    <row r="1436" spans="1:23" x14ac:dyDescent="0.25">
      <c r="A1436" s="432"/>
      <c r="B1436" s="433"/>
      <c r="C1436" s="432"/>
      <c r="D1436" s="454"/>
      <c r="E1436" s="120">
        <v>6</v>
      </c>
      <c r="F1436" s="133" t="s">
        <v>3522</v>
      </c>
      <c r="G1436" s="435"/>
      <c r="H1436" s="438"/>
      <c r="I1436" s="438"/>
      <c r="J1436" s="437"/>
      <c r="K1436" s="437"/>
      <c r="L1436" s="131">
        <v>5150</v>
      </c>
      <c r="N1436" s="91">
        <f t="shared" si="238"/>
        <v>30.900000000000002</v>
      </c>
      <c r="O1436" s="411">
        <f t="shared" si="234"/>
        <v>-30.900000000000002</v>
      </c>
      <c r="P1436" s="132" t="s">
        <v>183</v>
      </c>
      <c r="Q1436" s="232"/>
      <c r="R1436" s="411"/>
      <c r="T1436" s="471"/>
      <c r="U1436" s="482"/>
    </row>
    <row r="1437" spans="1:23" x14ac:dyDescent="0.25">
      <c r="A1437" s="432"/>
      <c r="B1437" s="433"/>
      <c r="C1437" s="432"/>
      <c r="D1437" s="454"/>
      <c r="E1437" s="120">
        <v>6</v>
      </c>
      <c r="F1437" s="133" t="s">
        <v>3523</v>
      </c>
      <c r="G1437" s="435"/>
      <c r="H1437" s="438"/>
      <c r="I1437" s="438"/>
      <c r="J1437" s="437"/>
      <c r="K1437" s="437"/>
      <c r="L1437" s="131">
        <v>6130</v>
      </c>
      <c r="N1437" s="91">
        <f t="shared" si="238"/>
        <v>36.78</v>
      </c>
      <c r="O1437" s="411">
        <f t="shared" si="234"/>
        <v>-36.78</v>
      </c>
      <c r="P1437" s="132" t="s">
        <v>183</v>
      </c>
      <c r="Q1437" s="232"/>
      <c r="R1437" s="411"/>
      <c r="T1437" s="471"/>
      <c r="U1437" s="482"/>
    </row>
    <row r="1438" spans="1:23" x14ac:dyDescent="0.25">
      <c r="A1438" s="432"/>
      <c r="B1438" s="433"/>
      <c r="C1438" s="432"/>
      <c r="D1438" s="454"/>
      <c r="E1438" s="120">
        <v>6</v>
      </c>
      <c r="F1438" s="133" t="s">
        <v>3524</v>
      </c>
      <c r="G1438" s="435"/>
      <c r="H1438" s="438"/>
      <c r="I1438" s="438"/>
      <c r="J1438" s="437"/>
      <c r="K1438" s="437"/>
      <c r="L1438" s="131">
        <v>8460</v>
      </c>
      <c r="N1438" s="91">
        <f t="shared" si="238"/>
        <v>50.76</v>
      </c>
      <c r="O1438" s="411">
        <f t="shared" si="234"/>
        <v>-50.76</v>
      </c>
      <c r="P1438" s="132" t="s">
        <v>183</v>
      </c>
      <c r="Q1438" s="232"/>
      <c r="R1438" s="411"/>
      <c r="T1438" s="471"/>
      <c r="U1438" s="482"/>
    </row>
    <row r="1439" spans="1:23" x14ac:dyDescent="0.25">
      <c r="A1439" s="432"/>
      <c r="B1439" s="433"/>
      <c r="C1439" s="432"/>
      <c r="D1439" s="454"/>
      <c r="E1439" s="120">
        <v>6</v>
      </c>
      <c r="F1439" s="133" t="s">
        <v>3525</v>
      </c>
      <c r="G1439" s="435"/>
      <c r="H1439" s="438"/>
      <c r="I1439" s="438"/>
      <c r="J1439" s="437"/>
      <c r="K1439" s="437"/>
      <c r="L1439" s="131">
        <v>9620</v>
      </c>
      <c r="N1439" s="91">
        <f t="shared" si="238"/>
        <v>57.72</v>
      </c>
      <c r="O1439" s="411">
        <f t="shared" si="234"/>
        <v>-57.72</v>
      </c>
      <c r="P1439" s="132" t="s">
        <v>183</v>
      </c>
      <c r="Q1439" s="232"/>
      <c r="R1439" s="411"/>
      <c r="T1439" s="471"/>
      <c r="U1439" s="482"/>
    </row>
    <row r="1440" spans="1:23" x14ac:dyDescent="0.25">
      <c r="A1440" s="432"/>
      <c r="B1440" s="433"/>
      <c r="C1440" s="432"/>
      <c r="D1440" s="454"/>
      <c r="E1440" s="120">
        <v>6</v>
      </c>
      <c r="F1440" s="133" t="s">
        <v>3526</v>
      </c>
      <c r="G1440" s="435"/>
      <c r="H1440" s="438"/>
      <c r="I1440" s="438"/>
      <c r="J1440" s="437"/>
      <c r="K1440" s="437"/>
      <c r="L1440" s="131">
        <v>10360</v>
      </c>
      <c r="N1440" s="91">
        <f t="shared" si="238"/>
        <v>62.160000000000004</v>
      </c>
      <c r="O1440" s="411">
        <f t="shared" si="234"/>
        <v>-62.160000000000004</v>
      </c>
      <c r="P1440" s="132" t="s">
        <v>183</v>
      </c>
      <c r="Q1440" s="232"/>
      <c r="R1440" s="411"/>
      <c r="T1440" s="471"/>
      <c r="U1440" s="482"/>
    </row>
    <row r="1441" spans="1:21" x14ac:dyDescent="0.25">
      <c r="A1441" s="432"/>
      <c r="B1441" s="433"/>
      <c r="C1441" s="432"/>
      <c r="D1441" s="454"/>
      <c r="E1441" s="120">
        <v>6</v>
      </c>
      <c r="F1441" s="133" t="s">
        <v>3527</v>
      </c>
      <c r="G1441" s="435"/>
      <c r="H1441" s="438"/>
      <c r="I1441" s="438"/>
      <c r="J1441" s="437"/>
      <c r="K1441" s="437"/>
      <c r="L1441" s="131">
        <v>12280</v>
      </c>
      <c r="N1441" s="91">
        <f t="shared" si="238"/>
        <v>73.680000000000007</v>
      </c>
      <c r="O1441" s="411">
        <f t="shared" si="234"/>
        <v>-73.680000000000007</v>
      </c>
      <c r="P1441" s="132" t="s">
        <v>183</v>
      </c>
      <c r="Q1441" s="232"/>
      <c r="R1441" s="411"/>
      <c r="T1441" s="471"/>
      <c r="U1441" s="482"/>
    </row>
    <row r="1442" spans="1:21" x14ac:dyDescent="0.25">
      <c r="A1442" s="432"/>
      <c r="B1442" s="433"/>
      <c r="C1442" s="432"/>
      <c r="D1442" s="454"/>
      <c r="G1442" s="435"/>
      <c r="H1442" s="438"/>
      <c r="I1442" s="438"/>
      <c r="J1442" s="437"/>
      <c r="K1442" s="437"/>
      <c r="N1442" s="91">
        <f t="shared" si="238"/>
        <v>0</v>
      </c>
      <c r="O1442" s="411">
        <f t="shared" si="234"/>
        <v>0</v>
      </c>
      <c r="P1442" s="132" t="s">
        <v>183</v>
      </c>
      <c r="Q1442" s="232"/>
      <c r="R1442" s="411"/>
      <c r="T1442" s="471"/>
      <c r="U1442" s="482"/>
    </row>
    <row r="1443" spans="1:21" x14ac:dyDescent="0.25">
      <c r="A1443" s="432"/>
      <c r="B1443" s="433"/>
      <c r="C1443" s="432"/>
      <c r="D1443" s="454"/>
      <c r="E1443" s="120">
        <v>6</v>
      </c>
      <c r="F1443" s="133" t="s">
        <v>3528</v>
      </c>
      <c r="G1443" s="435"/>
      <c r="H1443" s="438"/>
      <c r="I1443" s="438"/>
      <c r="J1443" s="437"/>
      <c r="K1443" s="437"/>
      <c r="L1443" s="131">
        <v>940</v>
      </c>
      <c r="N1443" s="91">
        <f t="shared" si="238"/>
        <v>5.64</v>
      </c>
      <c r="O1443" s="411">
        <f t="shared" si="234"/>
        <v>-5.64</v>
      </c>
      <c r="P1443" s="132" t="s">
        <v>183</v>
      </c>
      <c r="Q1443" s="232"/>
      <c r="R1443" s="411"/>
      <c r="T1443" s="471"/>
      <c r="U1443" s="482"/>
    </row>
    <row r="1444" spans="1:21" x14ac:dyDescent="0.25">
      <c r="A1444" s="432"/>
      <c r="B1444" s="433"/>
      <c r="C1444" s="432"/>
      <c r="D1444" s="454"/>
      <c r="E1444" s="120">
        <v>6</v>
      </c>
      <c r="F1444" s="133" t="s">
        <v>3529</v>
      </c>
      <c r="G1444" s="435"/>
      <c r="H1444" s="438"/>
      <c r="I1444" s="438"/>
      <c r="J1444" s="437"/>
      <c r="K1444" s="437"/>
      <c r="L1444" s="131">
        <v>1000</v>
      </c>
      <c r="N1444" s="91">
        <f t="shared" si="238"/>
        <v>6</v>
      </c>
      <c r="O1444" s="411">
        <f t="shared" si="234"/>
        <v>-6</v>
      </c>
      <c r="P1444" s="132" t="s">
        <v>183</v>
      </c>
      <c r="Q1444" s="232"/>
      <c r="R1444" s="411"/>
      <c r="T1444" s="471"/>
      <c r="U1444" s="482"/>
    </row>
    <row r="1445" spans="1:21" x14ac:dyDescent="0.25">
      <c r="A1445" s="432"/>
      <c r="B1445" s="433"/>
      <c r="C1445" s="432"/>
      <c r="D1445" s="454"/>
      <c r="E1445" s="120">
        <v>6</v>
      </c>
      <c r="F1445" s="133" t="s">
        <v>3530</v>
      </c>
      <c r="G1445" s="435"/>
      <c r="H1445" s="438"/>
      <c r="I1445" s="438"/>
      <c r="J1445" s="437"/>
      <c r="K1445" s="437"/>
      <c r="L1445" s="131">
        <v>1050</v>
      </c>
      <c r="N1445" s="91">
        <f t="shared" si="238"/>
        <v>6.3</v>
      </c>
      <c r="O1445" s="411">
        <f t="shared" si="234"/>
        <v>-6.3</v>
      </c>
      <c r="P1445" s="132" t="s">
        <v>183</v>
      </c>
      <c r="Q1445" s="232"/>
      <c r="R1445" s="411"/>
      <c r="T1445" s="471"/>
      <c r="U1445" s="482"/>
    </row>
    <row r="1446" spans="1:21" x14ac:dyDescent="0.25">
      <c r="A1446" s="432"/>
      <c r="B1446" s="433"/>
      <c r="C1446" s="432"/>
      <c r="D1446" s="454"/>
      <c r="E1446" s="120">
        <v>6</v>
      </c>
      <c r="F1446" s="133" t="s">
        <v>3531</v>
      </c>
      <c r="G1446" s="435"/>
      <c r="H1446" s="438"/>
      <c r="I1446" s="438"/>
      <c r="J1446" s="437"/>
      <c r="K1446" s="437"/>
      <c r="L1446" s="131">
        <v>1100</v>
      </c>
      <c r="N1446" s="91">
        <f t="shared" si="238"/>
        <v>6.6000000000000005</v>
      </c>
      <c r="O1446" s="411">
        <f t="shared" si="234"/>
        <v>-6.6000000000000005</v>
      </c>
      <c r="P1446" s="132" t="s">
        <v>183</v>
      </c>
      <c r="Q1446" s="232"/>
      <c r="R1446" s="411"/>
      <c r="T1446" s="471"/>
      <c r="U1446" s="482"/>
    </row>
    <row r="1447" spans="1:21" x14ac:dyDescent="0.25">
      <c r="A1447" s="432"/>
      <c r="B1447" s="433"/>
      <c r="C1447" s="432"/>
      <c r="D1447" s="454"/>
      <c r="E1447" s="120">
        <v>6</v>
      </c>
      <c r="F1447" s="133" t="s">
        <v>3532</v>
      </c>
      <c r="G1447" s="435"/>
      <c r="H1447" s="438"/>
      <c r="I1447" s="438"/>
      <c r="J1447" s="437"/>
      <c r="K1447" s="437"/>
      <c r="L1447" s="131">
        <v>1150</v>
      </c>
      <c r="N1447" s="91">
        <f t="shared" si="238"/>
        <v>6.9</v>
      </c>
      <c r="O1447" s="411">
        <f t="shared" si="234"/>
        <v>-6.9</v>
      </c>
      <c r="P1447" s="132" t="s">
        <v>183</v>
      </c>
      <c r="Q1447" s="232"/>
      <c r="R1447" s="411"/>
      <c r="T1447" s="471"/>
      <c r="U1447" s="482"/>
    </row>
    <row r="1448" spans="1:21" x14ac:dyDescent="0.25">
      <c r="A1448" s="432"/>
      <c r="B1448" s="433"/>
      <c r="C1448" s="432"/>
      <c r="D1448" s="454"/>
      <c r="E1448" s="120">
        <v>6</v>
      </c>
      <c r="F1448" s="133" t="s">
        <v>3533</v>
      </c>
      <c r="G1448" s="435"/>
      <c r="H1448" s="438"/>
      <c r="I1448" s="438"/>
      <c r="J1448" s="437"/>
      <c r="K1448" s="437"/>
      <c r="L1448" s="131">
        <v>1210</v>
      </c>
      <c r="N1448" s="91">
        <f t="shared" si="238"/>
        <v>7.26</v>
      </c>
      <c r="O1448" s="411">
        <f t="shared" si="234"/>
        <v>-7.26</v>
      </c>
      <c r="P1448" s="132" t="s">
        <v>183</v>
      </c>
      <c r="Q1448" s="232"/>
      <c r="R1448" s="411"/>
      <c r="T1448" s="471"/>
      <c r="U1448" s="482"/>
    </row>
    <row r="1449" spans="1:21" x14ac:dyDescent="0.25">
      <c r="A1449" s="432"/>
      <c r="B1449" s="433"/>
      <c r="C1449" s="432"/>
      <c r="D1449" s="454"/>
      <c r="E1449" s="120">
        <v>6</v>
      </c>
      <c r="F1449" s="133" t="s">
        <v>3534</v>
      </c>
      <c r="G1449" s="435"/>
      <c r="H1449" s="438"/>
      <c r="I1449" s="438"/>
      <c r="J1449" s="437"/>
      <c r="K1449" s="437"/>
      <c r="L1449" s="131">
        <v>1300</v>
      </c>
      <c r="N1449" s="91">
        <f t="shared" si="238"/>
        <v>7.8</v>
      </c>
      <c r="O1449" s="411">
        <f t="shared" si="234"/>
        <v>-7.8</v>
      </c>
      <c r="P1449" s="132" t="s">
        <v>183</v>
      </c>
      <c r="Q1449" s="232"/>
      <c r="R1449" s="411"/>
      <c r="T1449" s="471"/>
      <c r="U1449" s="482"/>
    </row>
    <row r="1450" spans="1:21" x14ac:dyDescent="0.25">
      <c r="A1450" s="432"/>
      <c r="B1450" s="433"/>
      <c r="C1450" s="432"/>
      <c r="D1450" s="454"/>
      <c r="E1450" s="120">
        <v>6</v>
      </c>
      <c r="F1450" s="133" t="s">
        <v>3535</v>
      </c>
      <c r="G1450" s="435"/>
      <c r="H1450" s="438"/>
      <c r="I1450" s="438"/>
      <c r="J1450" s="437"/>
      <c r="K1450" s="437"/>
      <c r="L1450" s="131">
        <v>1400</v>
      </c>
      <c r="N1450" s="91">
        <f t="shared" si="238"/>
        <v>8.4</v>
      </c>
      <c r="O1450" s="411">
        <f t="shared" si="234"/>
        <v>-8.4</v>
      </c>
      <c r="P1450" s="132" t="s">
        <v>183</v>
      </c>
      <c r="Q1450" s="232"/>
      <c r="R1450" s="411"/>
      <c r="T1450" s="471"/>
      <c r="U1450" s="482"/>
    </row>
    <row r="1451" spans="1:21" x14ac:dyDescent="0.25">
      <c r="A1451" s="432"/>
      <c r="B1451" s="433"/>
      <c r="C1451" s="432"/>
      <c r="D1451" s="454"/>
      <c r="E1451" s="120">
        <v>6</v>
      </c>
      <c r="F1451" s="133" t="s">
        <v>3536</v>
      </c>
      <c r="G1451" s="435"/>
      <c r="H1451" s="438"/>
      <c r="I1451" s="438"/>
      <c r="J1451" s="437"/>
      <c r="K1451" s="437"/>
      <c r="L1451" s="131">
        <v>1500</v>
      </c>
      <c r="N1451" s="91">
        <f t="shared" si="238"/>
        <v>9</v>
      </c>
      <c r="O1451" s="411">
        <f t="shared" si="234"/>
        <v>-9</v>
      </c>
      <c r="P1451" s="132" t="s">
        <v>183</v>
      </c>
      <c r="Q1451" s="232"/>
      <c r="R1451" s="411"/>
      <c r="T1451" s="471"/>
      <c r="U1451" s="482"/>
    </row>
    <row r="1452" spans="1:21" x14ac:dyDescent="0.25">
      <c r="A1452" s="432"/>
      <c r="B1452" s="433"/>
      <c r="C1452" s="432"/>
      <c r="D1452" s="454"/>
      <c r="E1452" s="120">
        <v>6</v>
      </c>
      <c r="F1452" s="133" t="s">
        <v>3537</v>
      </c>
      <c r="G1452" s="435"/>
      <c r="H1452" s="438"/>
      <c r="I1452" s="438"/>
      <c r="J1452" s="437"/>
      <c r="K1452" s="437"/>
      <c r="L1452" s="131">
        <v>1700</v>
      </c>
      <c r="N1452" s="91">
        <f t="shared" si="238"/>
        <v>10.200000000000001</v>
      </c>
      <c r="O1452" s="411">
        <f t="shared" si="234"/>
        <v>-10.200000000000001</v>
      </c>
      <c r="P1452" s="132" t="s">
        <v>183</v>
      </c>
      <c r="Q1452" s="232"/>
      <c r="R1452" s="411"/>
      <c r="T1452" s="471"/>
      <c r="U1452" s="482"/>
    </row>
    <row r="1453" spans="1:21" x14ac:dyDescent="0.25">
      <c r="A1453" s="432"/>
      <c r="B1453" s="433"/>
      <c r="C1453" s="432"/>
      <c r="D1453" s="454"/>
      <c r="E1453" s="120">
        <v>6</v>
      </c>
      <c r="F1453" s="133" t="s">
        <v>3538</v>
      </c>
      <c r="G1453" s="435"/>
      <c r="H1453" s="438"/>
      <c r="I1453" s="438"/>
      <c r="J1453" s="437"/>
      <c r="K1453" s="437"/>
      <c r="L1453" s="131">
        <v>1750</v>
      </c>
      <c r="N1453" s="91">
        <f t="shared" si="238"/>
        <v>10.5</v>
      </c>
      <c r="O1453" s="411">
        <f t="shared" si="234"/>
        <v>-10.5</v>
      </c>
      <c r="P1453" s="132" t="s">
        <v>183</v>
      </c>
      <c r="Q1453" s="232"/>
      <c r="R1453" s="411"/>
      <c r="T1453" s="471"/>
      <c r="U1453" s="482"/>
    </row>
    <row r="1454" spans="1:21" x14ac:dyDescent="0.25">
      <c r="A1454" s="420"/>
      <c r="B1454" s="422"/>
      <c r="C1454" s="420"/>
      <c r="D1454" s="418"/>
      <c r="E1454" s="120">
        <v>6</v>
      </c>
      <c r="F1454" s="133" t="s">
        <v>3539</v>
      </c>
      <c r="G1454" s="436"/>
      <c r="H1454" s="428"/>
      <c r="I1454" s="428"/>
      <c r="J1454" s="426"/>
      <c r="K1454" s="426"/>
      <c r="L1454" s="131">
        <v>2250</v>
      </c>
      <c r="N1454" s="91">
        <f t="shared" si="238"/>
        <v>13.5</v>
      </c>
      <c r="O1454" s="411">
        <f t="shared" si="234"/>
        <v>-13.5</v>
      </c>
      <c r="P1454" s="132" t="s">
        <v>183</v>
      </c>
      <c r="Q1454" s="232"/>
      <c r="R1454" s="411"/>
      <c r="T1454" s="472"/>
      <c r="U1454" s="483"/>
    </row>
    <row r="1455" spans="1:21" x14ac:dyDescent="0.25">
      <c r="A1455" s="419">
        <v>3001109</v>
      </c>
      <c r="B1455" s="421">
        <v>42438</v>
      </c>
      <c r="C1455" s="419" t="s">
        <v>237</v>
      </c>
      <c r="D1455" s="417" t="s">
        <v>3540</v>
      </c>
      <c r="E1455" s="120">
        <v>50</v>
      </c>
      <c r="F1455" s="133" t="s">
        <v>3345</v>
      </c>
      <c r="G1455" s="434" t="s">
        <v>45</v>
      </c>
      <c r="H1455" s="427">
        <v>308.88</v>
      </c>
      <c r="I1455" s="500">
        <f>-(H1455*0.15)</f>
        <v>-46.332000000000001</v>
      </c>
      <c r="J1455" s="427">
        <v>0</v>
      </c>
      <c r="K1455" s="425">
        <f t="shared" ref="K1455" si="241">SUM(H1455:J1455)</f>
        <v>262.548</v>
      </c>
      <c r="L1455" s="158">
        <v>1462</v>
      </c>
      <c r="M1455" s="187">
        <v>11.86</v>
      </c>
      <c r="N1455" s="91">
        <f t="shared" si="238"/>
        <v>84.960000000000008</v>
      </c>
      <c r="O1455" s="411">
        <f t="shared" si="234"/>
        <v>177.58799999999999</v>
      </c>
      <c r="P1455" s="132" t="s">
        <v>926</v>
      </c>
      <c r="Q1455" s="232"/>
      <c r="R1455" s="411"/>
      <c r="T1455" s="439" t="s">
        <v>145</v>
      </c>
      <c r="U1455" s="446" t="s">
        <v>3541</v>
      </c>
    </row>
    <row r="1456" spans="1:21" x14ac:dyDescent="0.25">
      <c r="A1456" s="420"/>
      <c r="B1456" s="422"/>
      <c r="C1456" s="420"/>
      <c r="D1456" s="418"/>
      <c r="E1456" s="120">
        <v>50</v>
      </c>
      <c r="F1456" s="133" t="s">
        <v>2483</v>
      </c>
      <c r="G1456" s="436"/>
      <c r="H1456" s="428"/>
      <c r="I1456" s="501"/>
      <c r="J1456" s="428"/>
      <c r="K1456" s="426"/>
      <c r="L1456" s="158">
        <v>1462</v>
      </c>
      <c r="M1456" s="187"/>
      <c r="N1456" s="91">
        <f t="shared" si="238"/>
        <v>73.100000000000009</v>
      </c>
      <c r="O1456" s="411">
        <f t="shared" si="234"/>
        <v>-73.100000000000009</v>
      </c>
      <c r="P1456" s="132" t="s">
        <v>926</v>
      </c>
      <c r="Q1456" s="232"/>
      <c r="R1456" s="411"/>
      <c r="T1456" s="441"/>
      <c r="U1456" s="447"/>
    </row>
    <row r="1457" spans="1:23" ht="24" x14ac:dyDescent="0.25">
      <c r="A1457" s="405">
        <v>3001110</v>
      </c>
      <c r="B1457" s="406">
        <v>42438</v>
      </c>
      <c r="C1457" s="405" t="s">
        <v>237</v>
      </c>
      <c r="D1457" s="401" t="s">
        <v>3542</v>
      </c>
      <c r="E1457" s="120">
        <v>100</v>
      </c>
      <c r="F1457" s="133" t="s">
        <v>2483</v>
      </c>
      <c r="G1457" s="404" t="s">
        <v>45</v>
      </c>
      <c r="H1457" s="411">
        <v>300.95999999999998</v>
      </c>
      <c r="I1457" s="397">
        <f>-(H1457*0.15)</f>
        <v>-45.143999999999998</v>
      </c>
      <c r="J1457" s="411">
        <v>0</v>
      </c>
      <c r="K1457" s="90">
        <f t="shared" ref="K1457:K1458" si="242">SUM(H1457:J1457)</f>
        <v>255.81599999999997</v>
      </c>
      <c r="M1457" s="187">
        <v>40.47</v>
      </c>
      <c r="N1457" s="91">
        <f t="shared" si="238"/>
        <v>40.47</v>
      </c>
      <c r="O1457" s="411">
        <f t="shared" si="234"/>
        <v>215.34599999999998</v>
      </c>
      <c r="P1457" s="132" t="s">
        <v>52</v>
      </c>
      <c r="Q1457" s="232"/>
      <c r="R1457" s="411"/>
      <c r="T1457" s="134" t="s">
        <v>145</v>
      </c>
      <c r="U1457" s="267" t="s">
        <v>3543</v>
      </c>
    </row>
    <row r="1458" spans="1:23" x14ac:dyDescent="0.25">
      <c r="A1458" s="419">
        <v>3001111</v>
      </c>
      <c r="B1458" s="421">
        <v>42439</v>
      </c>
      <c r="C1458" s="419" t="s">
        <v>78</v>
      </c>
      <c r="D1458" s="417" t="s">
        <v>3544</v>
      </c>
      <c r="E1458" s="120">
        <v>328</v>
      </c>
      <c r="F1458" s="133" t="s">
        <v>3545</v>
      </c>
      <c r="G1458" s="434" t="s">
        <v>45</v>
      </c>
      <c r="H1458" s="427">
        <v>1300</v>
      </c>
      <c r="I1458" s="484">
        <v>0</v>
      </c>
      <c r="J1458" s="425">
        <f t="shared" ref="J1458" si="243">-((H1458*0.019)+0.3)</f>
        <v>-25</v>
      </c>
      <c r="K1458" s="425">
        <f t="shared" si="242"/>
        <v>1275</v>
      </c>
      <c r="L1458" s="187">
        <v>540</v>
      </c>
      <c r="M1458" s="468">
        <v>377.34</v>
      </c>
      <c r="N1458" s="91">
        <f t="shared" si="238"/>
        <v>554.46</v>
      </c>
      <c r="O1458" s="411">
        <f t="shared" si="234"/>
        <v>720.54</v>
      </c>
      <c r="P1458" s="132" t="s">
        <v>235</v>
      </c>
      <c r="Q1458" s="232"/>
      <c r="R1458" s="411"/>
      <c r="T1458" s="439" t="s">
        <v>3546</v>
      </c>
      <c r="U1458" s="446" t="s">
        <v>3547</v>
      </c>
      <c r="V1458" s="133" t="s">
        <v>55</v>
      </c>
      <c r="W1458" s="153" t="s">
        <v>3548</v>
      </c>
    </row>
    <row r="1459" spans="1:23" x14ac:dyDescent="0.25">
      <c r="A1459" s="432"/>
      <c r="B1459" s="433"/>
      <c r="C1459" s="432"/>
      <c r="D1459" s="454"/>
      <c r="E1459" s="120">
        <v>328</v>
      </c>
      <c r="F1459" s="133" t="s">
        <v>3549</v>
      </c>
      <c r="G1459" s="435"/>
      <c r="H1459" s="438"/>
      <c r="I1459" s="484"/>
      <c r="J1459" s="437"/>
      <c r="K1459" s="437"/>
      <c r="L1459" s="187">
        <v>380</v>
      </c>
      <c r="M1459" s="491"/>
      <c r="N1459" s="91">
        <f t="shared" si="238"/>
        <v>124.64</v>
      </c>
      <c r="O1459" s="411">
        <f t="shared" si="234"/>
        <v>-124.64</v>
      </c>
      <c r="P1459" s="132" t="s">
        <v>235</v>
      </c>
      <c r="Q1459" s="232"/>
      <c r="R1459" s="411"/>
      <c r="T1459" s="440"/>
      <c r="U1459" s="448"/>
    </row>
    <row r="1460" spans="1:23" x14ac:dyDescent="0.25">
      <c r="A1460" s="420"/>
      <c r="B1460" s="422"/>
      <c r="C1460" s="420"/>
      <c r="D1460" s="418"/>
      <c r="E1460" s="120">
        <v>328</v>
      </c>
      <c r="F1460" s="133" t="s">
        <v>3550</v>
      </c>
      <c r="G1460" s="436"/>
      <c r="H1460" s="428"/>
      <c r="I1460" s="453"/>
      <c r="J1460" s="426"/>
      <c r="K1460" s="426"/>
      <c r="L1460" s="187">
        <v>170</v>
      </c>
      <c r="M1460" s="469"/>
      <c r="N1460" s="91">
        <f t="shared" si="238"/>
        <v>55.760000000000005</v>
      </c>
      <c r="O1460" s="411">
        <f t="shared" si="234"/>
        <v>-55.760000000000005</v>
      </c>
      <c r="P1460" s="132" t="s">
        <v>235</v>
      </c>
      <c r="Q1460" s="232"/>
      <c r="R1460" s="411"/>
      <c r="T1460" s="441"/>
      <c r="U1460" s="447"/>
    </row>
    <row r="1461" spans="1:23" ht="24" x14ac:dyDescent="0.25">
      <c r="A1461" s="405">
        <v>3001112</v>
      </c>
      <c r="B1461" s="406">
        <v>42439</v>
      </c>
      <c r="C1461" s="405" t="s">
        <v>63</v>
      </c>
      <c r="D1461" s="401" t="s">
        <v>3551</v>
      </c>
      <c r="E1461" s="120">
        <v>125</v>
      </c>
      <c r="F1461" s="133" t="s">
        <v>1589</v>
      </c>
      <c r="G1461" s="404" t="s">
        <v>45</v>
      </c>
      <c r="H1461" s="411">
        <v>596.1</v>
      </c>
      <c r="I1461" s="411">
        <v>0</v>
      </c>
      <c r="J1461" s="90">
        <f>-((H1461*0.022)+0.3)</f>
        <v>-13.414200000000001</v>
      </c>
      <c r="K1461" s="90">
        <f t="shared" ref="K1461:K1476" si="244">SUM(H1461:J1461)</f>
        <v>582.68579999999997</v>
      </c>
      <c r="L1461" s="187">
        <v>3000</v>
      </c>
      <c r="M1461" s="187">
        <v>68.19</v>
      </c>
      <c r="N1461" s="91">
        <f t="shared" si="238"/>
        <v>443.19</v>
      </c>
      <c r="O1461" s="411">
        <f t="shared" si="234"/>
        <v>139.49579999999997</v>
      </c>
      <c r="P1461" s="132" t="s">
        <v>235</v>
      </c>
      <c r="Q1461" s="232"/>
      <c r="R1461" s="411"/>
      <c r="T1461" s="134" t="s">
        <v>145</v>
      </c>
      <c r="U1461" s="267" t="s">
        <v>3552</v>
      </c>
      <c r="W1461" s="153" t="s">
        <v>3553</v>
      </c>
    </row>
    <row r="1462" spans="1:23" ht="24" x14ac:dyDescent="0.25">
      <c r="A1462" s="405">
        <v>3001113</v>
      </c>
      <c r="B1462" s="406">
        <v>42439</v>
      </c>
      <c r="C1462" s="405" t="s">
        <v>42</v>
      </c>
      <c r="D1462" s="401" t="s">
        <v>3554</v>
      </c>
      <c r="E1462" s="120">
        <v>250</v>
      </c>
      <c r="F1462" s="133" t="s">
        <v>1472</v>
      </c>
      <c r="G1462" s="404" t="s">
        <v>45</v>
      </c>
      <c r="H1462" s="411">
        <v>133</v>
      </c>
      <c r="I1462" s="89">
        <f t="shared" ref="I1462:I1468" si="245">-(H1462*0.09)</f>
        <v>-11.969999999999999</v>
      </c>
      <c r="J1462" s="90">
        <f t="shared" ref="J1462:J1468" si="246">-((H1462*0.019)+0.3)</f>
        <v>-2.827</v>
      </c>
      <c r="K1462" s="90">
        <f t="shared" si="244"/>
        <v>118.203</v>
      </c>
      <c r="L1462" s="131">
        <v>210</v>
      </c>
      <c r="M1462" s="187">
        <v>40.090000000000003</v>
      </c>
      <c r="N1462" s="91">
        <f t="shared" si="238"/>
        <v>92.59</v>
      </c>
      <c r="O1462" s="411">
        <f t="shared" si="234"/>
        <v>25.613</v>
      </c>
      <c r="P1462" s="132" t="s">
        <v>52</v>
      </c>
      <c r="Q1462" s="232"/>
      <c r="R1462" s="411"/>
      <c r="T1462" s="134" t="s">
        <v>145</v>
      </c>
      <c r="U1462" s="267" t="s">
        <v>3555</v>
      </c>
    </row>
    <row r="1463" spans="1:23" ht="24" x14ac:dyDescent="0.25">
      <c r="A1463" s="405">
        <v>3001114</v>
      </c>
      <c r="B1463" s="406">
        <v>42439</v>
      </c>
      <c r="C1463" s="405" t="s">
        <v>42</v>
      </c>
      <c r="D1463" s="401" t="s">
        <v>3556</v>
      </c>
      <c r="E1463" s="120">
        <v>250</v>
      </c>
      <c r="F1463" s="133" t="s">
        <v>983</v>
      </c>
      <c r="G1463" s="404" t="s">
        <v>45</v>
      </c>
      <c r="H1463" s="411">
        <v>152.1</v>
      </c>
      <c r="I1463" s="89">
        <f t="shared" si="245"/>
        <v>-13.688999999999998</v>
      </c>
      <c r="J1463" s="90">
        <f t="shared" si="246"/>
        <v>-3.1898999999999997</v>
      </c>
      <c r="K1463" s="90">
        <f t="shared" si="244"/>
        <v>135.22110000000001</v>
      </c>
      <c r="L1463" s="131">
        <v>300</v>
      </c>
      <c r="M1463" s="187">
        <v>28</v>
      </c>
      <c r="N1463" s="91">
        <f t="shared" si="238"/>
        <v>103</v>
      </c>
      <c r="O1463" s="411">
        <f t="shared" si="234"/>
        <v>32.221100000000007</v>
      </c>
      <c r="P1463" s="132" t="s">
        <v>52</v>
      </c>
      <c r="Q1463" s="232"/>
      <c r="R1463" s="411"/>
      <c r="T1463" s="134" t="s">
        <v>145</v>
      </c>
      <c r="U1463" s="267" t="s">
        <v>3557</v>
      </c>
    </row>
    <row r="1464" spans="1:23" x14ac:dyDescent="0.25">
      <c r="A1464" s="405">
        <v>3001115</v>
      </c>
      <c r="B1464" s="406">
        <v>42439</v>
      </c>
      <c r="C1464" s="405" t="s">
        <v>42</v>
      </c>
      <c r="D1464" s="401" t="s">
        <v>3558</v>
      </c>
      <c r="E1464" s="120">
        <v>450</v>
      </c>
      <c r="F1464" s="133" t="s">
        <v>605</v>
      </c>
      <c r="G1464" s="404" t="s">
        <v>45</v>
      </c>
      <c r="H1464" s="411">
        <v>645.67999999999995</v>
      </c>
      <c r="I1464" s="89">
        <f t="shared" si="245"/>
        <v>-58.111199999999997</v>
      </c>
      <c r="J1464" s="90">
        <f t="shared" si="246"/>
        <v>-12.567919999999999</v>
      </c>
      <c r="K1464" s="90">
        <f t="shared" si="244"/>
        <v>575.00088000000005</v>
      </c>
      <c r="M1464" s="187">
        <v>157.49</v>
      </c>
      <c r="N1464" s="91">
        <f t="shared" si="238"/>
        <v>157.49</v>
      </c>
      <c r="O1464" s="411">
        <f t="shared" si="234"/>
        <v>417.51088000000004</v>
      </c>
      <c r="P1464" s="132" t="s">
        <v>52</v>
      </c>
      <c r="Q1464" s="232"/>
      <c r="R1464" s="411"/>
      <c r="T1464" s="134" t="s">
        <v>97</v>
      </c>
      <c r="U1464" s="267" t="s">
        <v>3559</v>
      </c>
    </row>
    <row r="1465" spans="1:23" ht="36" x14ac:dyDescent="0.25">
      <c r="A1465" s="405">
        <v>3001116</v>
      </c>
      <c r="B1465" s="406">
        <v>42439</v>
      </c>
      <c r="C1465" s="405" t="s">
        <v>42</v>
      </c>
      <c r="D1465" s="401" t="s">
        <v>3560</v>
      </c>
      <c r="E1465" s="120">
        <v>600</v>
      </c>
      <c r="F1465" s="133" t="s">
        <v>3561</v>
      </c>
      <c r="G1465" s="404" t="s">
        <v>45</v>
      </c>
      <c r="H1465" s="411">
        <v>662.4</v>
      </c>
      <c r="I1465" s="89">
        <f t="shared" si="245"/>
        <v>-59.615999999999993</v>
      </c>
      <c r="J1465" s="90">
        <f t="shared" si="246"/>
        <v>-12.8856</v>
      </c>
      <c r="K1465" s="90">
        <f t="shared" si="244"/>
        <v>589.89840000000004</v>
      </c>
      <c r="L1465" s="187">
        <v>680</v>
      </c>
      <c r="M1465" s="187">
        <v>88.89</v>
      </c>
      <c r="N1465" s="91">
        <f t="shared" si="238"/>
        <v>496.89</v>
      </c>
      <c r="O1465" s="411">
        <f t="shared" si="234"/>
        <v>93.008400000000051</v>
      </c>
      <c r="P1465" s="132" t="s">
        <v>235</v>
      </c>
      <c r="Q1465" s="232"/>
      <c r="R1465" s="411"/>
      <c r="T1465" s="134" t="s">
        <v>145</v>
      </c>
      <c r="U1465" s="266" t="s">
        <v>3562</v>
      </c>
    </row>
    <row r="1466" spans="1:23" ht="24" x14ac:dyDescent="0.25">
      <c r="A1466" s="405">
        <v>3001117</v>
      </c>
      <c r="B1466" s="406">
        <v>42439</v>
      </c>
      <c r="C1466" s="405" t="s">
        <v>42</v>
      </c>
      <c r="D1466" s="401" t="s">
        <v>3563</v>
      </c>
      <c r="E1466" s="120">
        <v>50</v>
      </c>
      <c r="F1466" s="133" t="s">
        <v>288</v>
      </c>
      <c r="G1466" s="404" t="s">
        <v>45</v>
      </c>
      <c r="H1466" s="411">
        <v>102.41</v>
      </c>
      <c r="I1466" s="89">
        <f t="shared" si="245"/>
        <v>-9.216899999999999</v>
      </c>
      <c r="J1466" s="90">
        <f t="shared" si="246"/>
        <v>-2.24579</v>
      </c>
      <c r="K1466" s="90">
        <f t="shared" si="244"/>
        <v>90.947310000000002</v>
      </c>
      <c r="L1466" s="131">
        <v>950</v>
      </c>
      <c r="M1466" s="187">
        <v>22.55</v>
      </c>
      <c r="N1466" s="91">
        <f t="shared" si="238"/>
        <v>70.05</v>
      </c>
      <c r="O1466" s="411">
        <f t="shared" si="234"/>
        <v>20.897310000000004</v>
      </c>
      <c r="P1466" s="132" t="s">
        <v>52</v>
      </c>
      <c r="Q1466" s="232"/>
      <c r="R1466" s="411"/>
      <c r="T1466" s="134" t="s">
        <v>145</v>
      </c>
      <c r="U1466" s="267" t="s">
        <v>3564</v>
      </c>
    </row>
    <row r="1467" spans="1:23" ht="24" x14ac:dyDescent="0.25">
      <c r="A1467" s="405">
        <v>3001118</v>
      </c>
      <c r="B1467" s="406">
        <v>42439</v>
      </c>
      <c r="C1467" s="405" t="s">
        <v>42</v>
      </c>
      <c r="D1467" s="401" t="s">
        <v>3565</v>
      </c>
      <c r="E1467" s="120">
        <v>100</v>
      </c>
      <c r="F1467" s="133" t="s">
        <v>247</v>
      </c>
      <c r="G1467" s="404" t="s">
        <v>45</v>
      </c>
      <c r="H1467" s="411">
        <v>121.39</v>
      </c>
      <c r="I1467" s="89">
        <f t="shared" si="245"/>
        <v>-10.9251</v>
      </c>
      <c r="J1467" s="90">
        <f t="shared" si="246"/>
        <v>-2.6064099999999999</v>
      </c>
      <c r="K1467" s="90">
        <f t="shared" si="244"/>
        <v>107.85849</v>
      </c>
      <c r="L1467" s="131">
        <v>480</v>
      </c>
      <c r="M1467" s="187">
        <v>34.24</v>
      </c>
      <c r="N1467" s="91">
        <f t="shared" si="238"/>
        <v>82.240000000000009</v>
      </c>
      <c r="O1467" s="411">
        <f t="shared" si="234"/>
        <v>25.618489999999994</v>
      </c>
      <c r="P1467" s="132" t="s">
        <v>52</v>
      </c>
      <c r="Q1467" s="232"/>
      <c r="R1467" s="411"/>
      <c r="T1467" s="134" t="s">
        <v>145</v>
      </c>
      <c r="U1467" s="267" t="s">
        <v>3566</v>
      </c>
    </row>
    <row r="1468" spans="1:23" ht="24" x14ac:dyDescent="0.25">
      <c r="A1468" s="405">
        <v>3001119</v>
      </c>
      <c r="B1468" s="406">
        <v>42439</v>
      </c>
      <c r="C1468" s="405" t="s">
        <v>42</v>
      </c>
      <c r="D1468" s="401" t="s">
        <v>3567</v>
      </c>
      <c r="E1468" s="120">
        <v>100</v>
      </c>
      <c r="F1468" s="133" t="s">
        <v>829</v>
      </c>
      <c r="G1468" s="404" t="s">
        <v>45</v>
      </c>
      <c r="H1468" s="411">
        <v>114</v>
      </c>
      <c r="I1468" s="89">
        <f t="shared" si="245"/>
        <v>-10.26</v>
      </c>
      <c r="J1468" s="90">
        <f t="shared" si="246"/>
        <v>-2.4659999999999997</v>
      </c>
      <c r="K1468" s="90">
        <f t="shared" si="244"/>
        <v>101.274</v>
      </c>
      <c r="L1468" s="131">
        <v>510</v>
      </c>
      <c r="M1468" s="187">
        <v>26.1</v>
      </c>
      <c r="N1468" s="91">
        <f t="shared" si="238"/>
        <v>77.099999999999994</v>
      </c>
      <c r="O1468" s="411">
        <f t="shared" si="234"/>
        <v>24.174000000000007</v>
      </c>
      <c r="P1468" s="132" t="s">
        <v>52</v>
      </c>
      <c r="Q1468" s="232"/>
      <c r="R1468" s="411"/>
      <c r="T1468" s="134" t="s">
        <v>145</v>
      </c>
      <c r="U1468" s="267" t="s">
        <v>3568</v>
      </c>
    </row>
    <row r="1469" spans="1:23" ht="24" x14ac:dyDescent="0.25">
      <c r="A1469" s="405">
        <v>3001120</v>
      </c>
      <c r="B1469" s="406">
        <v>42439</v>
      </c>
      <c r="C1469" s="405" t="s">
        <v>327</v>
      </c>
      <c r="D1469" s="401" t="s">
        <v>3569</v>
      </c>
      <c r="E1469" s="120">
        <v>1450</v>
      </c>
      <c r="F1469" s="133" t="s">
        <v>874</v>
      </c>
      <c r="G1469" s="404" t="s">
        <v>45</v>
      </c>
      <c r="H1469" s="411">
        <v>4060</v>
      </c>
      <c r="I1469" s="411">
        <v>0</v>
      </c>
      <c r="J1469" s="90">
        <f>-((H1469*0.022)+0.3)</f>
        <v>-89.61999999999999</v>
      </c>
      <c r="K1469" s="90">
        <f t="shared" si="244"/>
        <v>3970.38</v>
      </c>
      <c r="L1469" s="131">
        <v>1750</v>
      </c>
      <c r="M1469" s="187">
        <v>289.47000000000003</v>
      </c>
      <c r="N1469" s="91">
        <f t="shared" si="238"/>
        <v>2826.9700000000003</v>
      </c>
      <c r="O1469" s="411">
        <f t="shared" si="234"/>
        <v>1143.4099999999999</v>
      </c>
      <c r="P1469" s="132" t="s">
        <v>52</v>
      </c>
      <c r="Q1469" s="232"/>
      <c r="R1469" s="411"/>
      <c r="T1469" s="134" t="s">
        <v>1209</v>
      </c>
      <c r="U1469" s="267" t="s">
        <v>3570</v>
      </c>
      <c r="V1469" s="133" t="s">
        <v>55</v>
      </c>
      <c r="W1469" s="153" t="s">
        <v>3571</v>
      </c>
    </row>
    <row r="1470" spans="1:23" ht="24" x14ac:dyDescent="0.25">
      <c r="A1470" s="405">
        <v>3001121</v>
      </c>
      <c r="B1470" s="406">
        <v>42439</v>
      </c>
      <c r="C1470" s="405" t="s">
        <v>237</v>
      </c>
      <c r="D1470" s="401" t="s">
        <v>3572</v>
      </c>
      <c r="E1470" s="120">
        <v>150</v>
      </c>
      <c r="F1470" s="133" t="s">
        <v>247</v>
      </c>
      <c r="G1470" s="404" t="s">
        <v>45</v>
      </c>
      <c r="H1470" s="411">
        <v>172.41</v>
      </c>
      <c r="I1470" s="397">
        <f>-(H1470*0.15)</f>
        <v>-25.861499999999999</v>
      </c>
      <c r="J1470" s="411">
        <v>0</v>
      </c>
      <c r="K1470" s="90">
        <f t="shared" si="244"/>
        <v>146.54849999999999</v>
      </c>
      <c r="L1470" s="131">
        <v>480</v>
      </c>
      <c r="M1470" s="187">
        <v>51.21</v>
      </c>
      <c r="N1470" s="91">
        <f t="shared" si="238"/>
        <v>123.21000000000001</v>
      </c>
      <c r="O1470" s="411">
        <f t="shared" si="234"/>
        <v>23.338499999999982</v>
      </c>
      <c r="P1470" s="132" t="s">
        <v>52</v>
      </c>
      <c r="Q1470" s="232"/>
      <c r="R1470" s="411"/>
      <c r="T1470" s="134" t="s">
        <v>145</v>
      </c>
      <c r="U1470" s="267" t="s">
        <v>3573</v>
      </c>
    </row>
    <row r="1471" spans="1:23" ht="24" x14ac:dyDescent="0.25">
      <c r="A1471" s="405">
        <v>3001122</v>
      </c>
      <c r="B1471" s="406">
        <v>42439</v>
      </c>
      <c r="C1471" s="405" t="s">
        <v>237</v>
      </c>
      <c r="D1471" s="401" t="s">
        <v>3574</v>
      </c>
      <c r="E1471" s="120">
        <v>100</v>
      </c>
      <c r="F1471" s="133" t="s">
        <v>161</v>
      </c>
      <c r="G1471" s="404" t="s">
        <v>45</v>
      </c>
      <c r="H1471" s="411">
        <v>256</v>
      </c>
      <c r="I1471" s="397">
        <f>-(H1471*0.15)</f>
        <v>-38.4</v>
      </c>
      <c r="J1471" s="411">
        <v>0</v>
      </c>
      <c r="K1471" s="90">
        <f t="shared" si="244"/>
        <v>217.6</v>
      </c>
      <c r="L1471" s="131">
        <v>1322</v>
      </c>
      <c r="N1471" s="91">
        <f t="shared" si="238"/>
        <v>132.20000000000002</v>
      </c>
      <c r="O1471" s="411">
        <f t="shared" si="234"/>
        <v>85.399999999999977</v>
      </c>
      <c r="P1471" s="132" t="s">
        <v>52</v>
      </c>
      <c r="Q1471" s="232"/>
      <c r="R1471" s="411"/>
      <c r="T1471" s="134" t="s">
        <v>145</v>
      </c>
      <c r="U1471" s="267" t="s">
        <v>3575</v>
      </c>
    </row>
    <row r="1472" spans="1:23" ht="24" x14ac:dyDescent="0.25">
      <c r="A1472" s="405">
        <v>3001123</v>
      </c>
      <c r="B1472" s="406">
        <v>42439</v>
      </c>
      <c r="C1472" s="405" t="s">
        <v>237</v>
      </c>
      <c r="D1472" s="401" t="s">
        <v>3576</v>
      </c>
      <c r="E1472" s="120">
        <v>100</v>
      </c>
      <c r="F1472" s="133" t="s">
        <v>288</v>
      </c>
      <c r="G1472" s="404" t="s">
        <v>45</v>
      </c>
      <c r="H1472" s="411">
        <v>221.75</v>
      </c>
      <c r="I1472" s="397">
        <f>-(H1472*0.15)</f>
        <v>-33.262499999999996</v>
      </c>
      <c r="J1472" s="411">
        <v>0</v>
      </c>
      <c r="K1472" s="90">
        <f t="shared" si="244"/>
        <v>188.48750000000001</v>
      </c>
      <c r="L1472" s="131">
        <v>950</v>
      </c>
      <c r="N1472" s="91">
        <f t="shared" si="238"/>
        <v>95</v>
      </c>
      <c r="O1472" s="411">
        <f t="shared" si="234"/>
        <v>93.487500000000011</v>
      </c>
      <c r="P1472" s="132" t="s">
        <v>52</v>
      </c>
      <c r="Q1472" s="232"/>
      <c r="R1472" s="411"/>
      <c r="T1472" s="134" t="s">
        <v>145</v>
      </c>
      <c r="U1472" s="267" t="s">
        <v>3577</v>
      </c>
    </row>
    <row r="1473" spans="1:23" ht="24" x14ac:dyDescent="0.25">
      <c r="A1473" s="405">
        <v>3001124</v>
      </c>
      <c r="B1473" s="406">
        <v>42439</v>
      </c>
      <c r="C1473" s="405" t="s">
        <v>237</v>
      </c>
      <c r="D1473" s="401" t="s">
        <v>3578</v>
      </c>
      <c r="E1473" s="120">
        <v>200</v>
      </c>
      <c r="F1473" s="133" t="s">
        <v>3579</v>
      </c>
      <c r="G1473" s="404" t="s">
        <v>45</v>
      </c>
      <c r="H1473" s="411">
        <v>273.45999999999998</v>
      </c>
      <c r="I1473" s="397">
        <f>-(H1473*0.15)</f>
        <v>-41.018999999999998</v>
      </c>
      <c r="J1473" s="411">
        <v>0</v>
      </c>
      <c r="K1473" s="90">
        <f t="shared" si="244"/>
        <v>232.44099999999997</v>
      </c>
      <c r="L1473" s="131">
        <v>731</v>
      </c>
      <c r="M1473" s="187">
        <v>29.16</v>
      </c>
      <c r="N1473" s="91">
        <f t="shared" si="238"/>
        <v>175.36</v>
      </c>
      <c r="O1473" s="411">
        <f t="shared" si="234"/>
        <v>57.08099999999996</v>
      </c>
      <c r="P1473" s="132" t="s">
        <v>926</v>
      </c>
      <c r="Q1473" s="232"/>
      <c r="R1473" s="411"/>
      <c r="T1473" s="134" t="s">
        <v>145</v>
      </c>
      <c r="U1473" s="267" t="s">
        <v>3580</v>
      </c>
    </row>
    <row r="1474" spans="1:23" ht="24" x14ac:dyDescent="0.25">
      <c r="A1474" s="405">
        <v>3001125</v>
      </c>
      <c r="B1474" s="406">
        <v>42439</v>
      </c>
      <c r="C1474" s="405" t="s">
        <v>42</v>
      </c>
      <c r="D1474" s="401" t="s">
        <v>3581</v>
      </c>
      <c r="E1474" s="120">
        <v>125</v>
      </c>
      <c r="F1474" s="133" t="s">
        <v>247</v>
      </c>
      <c r="G1474" s="404" t="s">
        <v>45</v>
      </c>
      <c r="H1474" s="411">
        <v>151.72999999999999</v>
      </c>
      <c r="I1474" s="89">
        <f t="shared" ref="I1474:I1475" si="247">-(H1474*0.09)</f>
        <v>-13.655699999999998</v>
      </c>
      <c r="J1474" s="90">
        <f t="shared" ref="J1474:J1475" si="248">-((H1474*0.019)+0.3)</f>
        <v>-3.1828699999999994</v>
      </c>
      <c r="K1474" s="90">
        <f t="shared" si="244"/>
        <v>134.89142999999999</v>
      </c>
      <c r="L1474" s="131">
        <v>480</v>
      </c>
      <c r="M1474" s="187">
        <v>26.01</v>
      </c>
      <c r="N1474" s="91">
        <f t="shared" si="238"/>
        <v>86.01</v>
      </c>
      <c r="O1474" s="411">
        <f t="shared" si="234"/>
        <v>48.88142999999998</v>
      </c>
      <c r="P1474" s="132" t="s">
        <v>52</v>
      </c>
      <c r="Q1474" s="232"/>
      <c r="R1474" s="411"/>
      <c r="T1474" s="134" t="s">
        <v>145</v>
      </c>
      <c r="U1474" s="267" t="s">
        <v>3582</v>
      </c>
    </row>
    <row r="1475" spans="1:23" ht="24" x14ac:dyDescent="0.25">
      <c r="A1475" s="405">
        <v>3001126</v>
      </c>
      <c r="B1475" s="406">
        <v>42439</v>
      </c>
      <c r="C1475" s="405" t="s">
        <v>42</v>
      </c>
      <c r="D1475" s="401" t="s">
        <v>3583</v>
      </c>
      <c r="E1475" s="120">
        <v>100</v>
      </c>
      <c r="F1475" s="133" t="s">
        <v>70</v>
      </c>
      <c r="G1475" s="404" t="s">
        <v>45</v>
      </c>
      <c r="H1475" s="411">
        <v>291.94</v>
      </c>
      <c r="I1475" s="89">
        <f t="shared" si="247"/>
        <v>-26.2746</v>
      </c>
      <c r="J1475" s="90">
        <f t="shared" si="248"/>
        <v>-5.8468599999999995</v>
      </c>
      <c r="K1475" s="90">
        <f t="shared" si="244"/>
        <v>259.81853999999998</v>
      </c>
      <c r="L1475" s="131">
        <v>1540</v>
      </c>
      <c r="M1475" s="187">
        <v>68.98</v>
      </c>
      <c r="N1475" s="91">
        <f t="shared" si="238"/>
        <v>222.98000000000002</v>
      </c>
      <c r="O1475" s="411">
        <f t="shared" si="234"/>
        <v>36.838539999999966</v>
      </c>
      <c r="P1475" s="132" t="s">
        <v>52</v>
      </c>
      <c r="Q1475" s="232"/>
      <c r="R1475" s="411"/>
      <c r="T1475" s="134" t="s">
        <v>145</v>
      </c>
      <c r="U1475" s="267" t="s">
        <v>3584</v>
      </c>
    </row>
    <row r="1476" spans="1:23" ht="24" x14ac:dyDescent="0.25">
      <c r="A1476" s="419">
        <v>3001127</v>
      </c>
      <c r="B1476" s="421">
        <v>42439</v>
      </c>
      <c r="C1476" s="419" t="s">
        <v>56</v>
      </c>
      <c r="D1476" s="417" t="s">
        <v>3585</v>
      </c>
      <c r="E1476" s="120">
        <v>1000</v>
      </c>
      <c r="F1476" s="119" t="s">
        <v>3586</v>
      </c>
      <c r="G1476" s="434" t="s">
        <v>45</v>
      </c>
      <c r="H1476" s="427">
        <v>28279</v>
      </c>
      <c r="I1476" s="427">
        <v>0</v>
      </c>
      <c r="J1476" s="427">
        <v>0</v>
      </c>
      <c r="K1476" s="425">
        <f t="shared" si="244"/>
        <v>28279</v>
      </c>
      <c r="M1476" s="510">
        <v>139.49</v>
      </c>
      <c r="N1476" s="91">
        <f t="shared" si="238"/>
        <v>139.49</v>
      </c>
      <c r="O1476" s="411">
        <f t="shared" si="234"/>
        <v>28139.51</v>
      </c>
      <c r="P1476" s="132" t="s">
        <v>86</v>
      </c>
      <c r="Q1476" s="232"/>
      <c r="R1476" s="411"/>
      <c r="T1476" s="439" t="s">
        <v>53</v>
      </c>
      <c r="U1476" s="481" t="s">
        <v>3587</v>
      </c>
      <c r="V1476" s="133" t="s">
        <v>3588</v>
      </c>
    </row>
    <row r="1477" spans="1:23" x14ac:dyDescent="0.25">
      <c r="A1477" s="432"/>
      <c r="B1477" s="433"/>
      <c r="C1477" s="432"/>
      <c r="D1477" s="454"/>
      <c r="E1477" s="120">
        <v>1000</v>
      </c>
      <c r="F1477" s="133" t="s">
        <v>3589</v>
      </c>
      <c r="G1477" s="435"/>
      <c r="H1477" s="438"/>
      <c r="I1477" s="438"/>
      <c r="J1477" s="438"/>
      <c r="K1477" s="437"/>
      <c r="M1477" s="511"/>
      <c r="N1477" s="91">
        <f t="shared" si="238"/>
        <v>0</v>
      </c>
      <c r="O1477" s="411">
        <f t="shared" si="234"/>
        <v>0</v>
      </c>
      <c r="P1477" s="132" t="s">
        <v>86</v>
      </c>
      <c r="Q1477" s="232"/>
      <c r="R1477" s="411"/>
      <c r="T1477" s="440"/>
      <c r="U1477" s="482"/>
      <c r="V1477" s="133" t="s">
        <v>55</v>
      </c>
    </row>
    <row r="1478" spans="1:23" x14ac:dyDescent="0.25">
      <c r="A1478" s="432"/>
      <c r="B1478" s="433"/>
      <c r="C1478" s="432"/>
      <c r="D1478" s="454"/>
      <c r="E1478" s="120">
        <v>1000</v>
      </c>
      <c r="F1478" s="133" t="s">
        <v>3590</v>
      </c>
      <c r="G1478" s="435"/>
      <c r="H1478" s="438"/>
      <c r="I1478" s="438"/>
      <c r="J1478" s="438"/>
      <c r="K1478" s="437"/>
      <c r="M1478" s="512"/>
      <c r="N1478" s="91">
        <f t="shared" si="238"/>
        <v>0</v>
      </c>
      <c r="O1478" s="411">
        <f t="shared" si="234"/>
        <v>0</v>
      </c>
      <c r="P1478" s="132" t="s">
        <v>86</v>
      </c>
      <c r="Q1478" s="232"/>
      <c r="R1478" s="411"/>
      <c r="T1478" s="441"/>
      <c r="U1478" s="483"/>
    </row>
    <row r="1479" spans="1:23" ht="22.5" customHeight="1" x14ac:dyDescent="0.25">
      <c r="A1479" s="420"/>
      <c r="B1479" s="422"/>
      <c r="C1479" s="420"/>
      <c r="D1479" s="418"/>
      <c r="E1479" s="120">
        <v>32800</v>
      </c>
      <c r="F1479" s="133" t="s">
        <v>3591</v>
      </c>
      <c r="G1479" s="436"/>
      <c r="H1479" s="428"/>
      <c r="I1479" s="428"/>
      <c r="J1479" s="428"/>
      <c r="K1479" s="426"/>
      <c r="L1479" s="187">
        <v>597.56100000000004</v>
      </c>
      <c r="M1479" s="167"/>
      <c r="N1479" s="91">
        <f t="shared" si="238"/>
        <v>19600.000799999998</v>
      </c>
      <c r="O1479" s="411">
        <f t="shared" si="234"/>
        <v>-19600.000799999998</v>
      </c>
      <c r="P1479" s="132" t="s">
        <v>3592</v>
      </c>
      <c r="Q1479" s="232"/>
      <c r="R1479" s="411"/>
      <c r="T1479" s="134" t="s">
        <v>145</v>
      </c>
      <c r="U1479" s="267" t="s">
        <v>3593</v>
      </c>
      <c r="V1479" s="133" t="s">
        <v>3594</v>
      </c>
    </row>
    <row r="1480" spans="1:23" x14ac:dyDescent="0.25">
      <c r="A1480" s="419">
        <v>3001128</v>
      </c>
      <c r="B1480" s="421">
        <v>42439</v>
      </c>
      <c r="C1480" s="419" t="s">
        <v>56</v>
      </c>
      <c r="D1480" s="429" t="s">
        <v>3595</v>
      </c>
      <c r="E1480" s="120">
        <v>10000</v>
      </c>
      <c r="F1480" s="133" t="s">
        <v>3596</v>
      </c>
      <c r="G1480" s="434" t="s">
        <v>45</v>
      </c>
      <c r="H1480" s="427">
        <v>8760</v>
      </c>
      <c r="I1480" s="427">
        <v>0</v>
      </c>
      <c r="J1480" s="427">
        <v>0</v>
      </c>
      <c r="K1480" s="425">
        <f t="shared" ref="K1480" si="249">SUM(H1480:J1480)</f>
        <v>8760</v>
      </c>
      <c r="L1480" s="187">
        <v>171</v>
      </c>
      <c r="M1480" s="131">
        <v>0</v>
      </c>
      <c r="N1480" s="91">
        <f t="shared" si="238"/>
        <v>1710</v>
      </c>
      <c r="O1480" s="411">
        <f t="shared" si="234"/>
        <v>7050</v>
      </c>
      <c r="P1480" s="132" t="s">
        <v>3597</v>
      </c>
      <c r="Q1480" s="232"/>
      <c r="R1480" s="411"/>
      <c r="T1480" s="470" t="s">
        <v>3598</v>
      </c>
      <c r="U1480" s="446" t="s">
        <v>3599</v>
      </c>
      <c r="V1480" s="133" t="s">
        <v>3600</v>
      </c>
      <c r="W1480" s="153" t="s">
        <v>298</v>
      </c>
    </row>
    <row r="1481" spans="1:23" x14ac:dyDescent="0.25">
      <c r="A1481" s="432"/>
      <c r="B1481" s="433"/>
      <c r="C1481" s="432"/>
      <c r="D1481" s="430"/>
      <c r="E1481" s="120">
        <v>10000</v>
      </c>
      <c r="F1481" s="133" t="s">
        <v>3601</v>
      </c>
      <c r="G1481" s="435"/>
      <c r="H1481" s="438"/>
      <c r="I1481" s="438"/>
      <c r="J1481" s="438"/>
      <c r="K1481" s="437"/>
      <c r="L1481" s="187">
        <v>113</v>
      </c>
      <c r="N1481" s="91">
        <f t="shared" si="238"/>
        <v>1130</v>
      </c>
      <c r="O1481" s="411">
        <f t="shared" ref="O1481:O1544" si="250">K1481-N1481</f>
        <v>-1130</v>
      </c>
      <c r="P1481" s="132" t="s">
        <v>3597</v>
      </c>
      <c r="Q1481" s="232"/>
      <c r="R1481" s="411"/>
      <c r="T1481" s="471"/>
      <c r="U1481" s="448"/>
    </row>
    <row r="1482" spans="1:23" x14ac:dyDescent="0.25">
      <c r="A1482" s="432"/>
      <c r="B1482" s="433"/>
      <c r="C1482" s="432"/>
      <c r="D1482" s="430"/>
      <c r="E1482" s="120">
        <v>10000</v>
      </c>
      <c r="F1482" s="133" t="s">
        <v>3602</v>
      </c>
      <c r="G1482" s="435"/>
      <c r="H1482" s="438"/>
      <c r="I1482" s="438"/>
      <c r="J1482" s="438"/>
      <c r="K1482" s="437"/>
      <c r="L1482" s="187">
        <v>171</v>
      </c>
      <c r="N1482" s="91">
        <f t="shared" si="238"/>
        <v>1710</v>
      </c>
      <c r="O1482" s="411">
        <f t="shared" si="250"/>
        <v>-1710</v>
      </c>
      <c r="P1482" s="132" t="s">
        <v>3597</v>
      </c>
      <c r="Q1482" s="232"/>
      <c r="R1482" s="411"/>
      <c r="T1482" s="471"/>
      <c r="U1482" s="448"/>
    </row>
    <row r="1483" spans="1:23" x14ac:dyDescent="0.25">
      <c r="A1483" s="420"/>
      <c r="B1483" s="422"/>
      <c r="C1483" s="420"/>
      <c r="D1483" s="431"/>
      <c r="E1483" s="120">
        <v>10000</v>
      </c>
      <c r="F1483" s="133" t="s">
        <v>3603</v>
      </c>
      <c r="G1483" s="436"/>
      <c r="H1483" s="428"/>
      <c r="I1483" s="428"/>
      <c r="J1483" s="428"/>
      <c r="K1483" s="426"/>
      <c r="L1483" s="187">
        <v>171</v>
      </c>
      <c r="N1483" s="91">
        <f t="shared" si="238"/>
        <v>1710</v>
      </c>
      <c r="O1483" s="411">
        <f t="shared" si="250"/>
        <v>-1710</v>
      </c>
      <c r="P1483" s="132" t="s">
        <v>3597</v>
      </c>
      <c r="Q1483" s="232"/>
      <c r="R1483" s="411"/>
      <c r="T1483" s="472"/>
      <c r="U1483" s="447"/>
    </row>
    <row r="1484" spans="1:23" ht="24" x14ac:dyDescent="0.25">
      <c r="A1484" s="405">
        <v>3001129</v>
      </c>
      <c r="B1484" s="406">
        <v>42439</v>
      </c>
      <c r="C1484" s="405" t="s">
        <v>42</v>
      </c>
      <c r="D1484" s="401" t="s">
        <v>3604</v>
      </c>
      <c r="E1484" s="120">
        <v>250</v>
      </c>
      <c r="F1484" s="133" t="s">
        <v>972</v>
      </c>
      <c r="G1484" s="404" t="s">
        <v>45</v>
      </c>
      <c r="H1484" s="411">
        <v>120</v>
      </c>
      <c r="I1484" s="89">
        <f t="shared" ref="I1484:I1494" si="251">-(H1484*0.09)</f>
        <v>-10.799999999999999</v>
      </c>
      <c r="J1484" s="90">
        <f t="shared" ref="J1484:J1494" si="252">-((H1484*0.019)+0.3)</f>
        <v>-2.5799999999999996</v>
      </c>
      <c r="K1484" s="90">
        <f t="shared" ref="K1484:K1498" si="253">SUM(H1484:J1484)</f>
        <v>106.62</v>
      </c>
      <c r="M1484" s="187">
        <v>31.01</v>
      </c>
      <c r="N1484" s="91">
        <f t="shared" si="238"/>
        <v>31.01</v>
      </c>
      <c r="O1484" s="411">
        <f t="shared" si="250"/>
        <v>75.61</v>
      </c>
      <c r="P1484" s="132" t="s">
        <v>52</v>
      </c>
      <c r="Q1484" s="232"/>
      <c r="R1484" s="411"/>
      <c r="T1484" s="134" t="s">
        <v>145</v>
      </c>
      <c r="U1484" s="267" t="s">
        <v>3605</v>
      </c>
    </row>
    <row r="1485" spans="1:23" x14ac:dyDescent="0.25">
      <c r="A1485" s="405">
        <v>3001130</v>
      </c>
      <c r="B1485" s="406">
        <v>42440</v>
      </c>
      <c r="C1485" s="405" t="s">
        <v>42</v>
      </c>
      <c r="D1485" s="401" t="s">
        <v>3606</v>
      </c>
      <c r="E1485" s="120">
        <v>50</v>
      </c>
      <c r="F1485" s="133" t="s">
        <v>300</v>
      </c>
      <c r="G1485" s="404" t="s">
        <v>45</v>
      </c>
      <c r="H1485" s="411">
        <v>203.08</v>
      </c>
      <c r="I1485" s="89">
        <f t="shared" si="251"/>
        <v>-18.277200000000001</v>
      </c>
      <c r="J1485" s="90">
        <f t="shared" si="252"/>
        <v>-4.1585200000000002</v>
      </c>
      <c r="K1485" s="90">
        <f t="shared" si="253"/>
        <v>180.64428000000001</v>
      </c>
      <c r="L1485" s="187">
        <v>3500</v>
      </c>
      <c r="N1485" s="91">
        <f t="shared" ref="N1485:N1548" si="254">((L1485)*(E1485*0.001))+M1485</f>
        <v>175</v>
      </c>
      <c r="O1485" s="411">
        <f t="shared" si="250"/>
        <v>5.6442800000000091</v>
      </c>
      <c r="P1485" s="132" t="s">
        <v>313</v>
      </c>
      <c r="Q1485" s="232"/>
      <c r="R1485" s="411"/>
      <c r="T1485" s="134"/>
      <c r="U1485" s="266"/>
    </row>
    <row r="1486" spans="1:23" ht="24" x14ac:dyDescent="0.25">
      <c r="A1486" s="419">
        <v>3001131</v>
      </c>
      <c r="B1486" s="421">
        <v>42440</v>
      </c>
      <c r="C1486" s="419" t="s">
        <v>42</v>
      </c>
      <c r="D1486" s="417" t="s">
        <v>3607</v>
      </c>
      <c r="E1486" s="120">
        <v>500</v>
      </c>
      <c r="F1486" s="119" t="s">
        <v>994</v>
      </c>
      <c r="G1486" s="434" t="s">
        <v>45</v>
      </c>
      <c r="H1486" s="427">
        <v>204.82</v>
      </c>
      <c r="I1486" s="452">
        <f t="shared" si="251"/>
        <v>-18.433799999999998</v>
      </c>
      <c r="J1486" s="425">
        <f t="shared" si="252"/>
        <v>-4.1915800000000001</v>
      </c>
      <c r="K1486" s="425">
        <f t="shared" si="253"/>
        <v>182.19462000000001</v>
      </c>
      <c r="L1486" s="187">
        <v>140</v>
      </c>
      <c r="M1486" s="187">
        <v>24.36</v>
      </c>
      <c r="N1486" s="91">
        <f t="shared" si="254"/>
        <v>94.36</v>
      </c>
      <c r="O1486" s="411">
        <f t="shared" si="250"/>
        <v>87.834620000000015</v>
      </c>
      <c r="P1486" s="132" t="s">
        <v>313</v>
      </c>
      <c r="Q1486" s="232"/>
      <c r="R1486" s="411"/>
      <c r="T1486" s="439" t="s">
        <v>314</v>
      </c>
      <c r="U1486" s="446" t="s">
        <v>3608</v>
      </c>
    </row>
    <row r="1487" spans="1:23" ht="24" x14ac:dyDescent="0.25">
      <c r="A1487" s="420"/>
      <c r="B1487" s="422"/>
      <c r="C1487" s="420"/>
      <c r="D1487" s="418"/>
      <c r="E1487" s="120">
        <v>250</v>
      </c>
      <c r="F1487" s="119" t="s">
        <v>466</v>
      </c>
      <c r="G1487" s="436"/>
      <c r="H1487" s="428"/>
      <c r="I1487" s="453"/>
      <c r="J1487" s="426"/>
      <c r="K1487" s="426"/>
      <c r="L1487" s="187">
        <v>229</v>
      </c>
      <c r="M1487" s="187"/>
      <c r="N1487" s="91">
        <f t="shared" si="254"/>
        <v>57.25</v>
      </c>
      <c r="O1487" s="411">
        <f t="shared" si="250"/>
        <v>-57.25</v>
      </c>
      <c r="P1487" s="132" t="s">
        <v>313</v>
      </c>
      <c r="Q1487" s="232"/>
      <c r="R1487" s="411"/>
      <c r="T1487" s="441"/>
      <c r="U1487" s="447"/>
    </row>
    <row r="1488" spans="1:23" ht="24" x14ac:dyDescent="0.25">
      <c r="A1488" s="405">
        <v>3001132</v>
      </c>
      <c r="B1488" s="406">
        <v>42440</v>
      </c>
      <c r="C1488" s="405" t="s">
        <v>42</v>
      </c>
      <c r="D1488" s="401" t="s">
        <v>3609</v>
      </c>
      <c r="E1488" s="120">
        <v>250</v>
      </c>
      <c r="F1488" s="133" t="s">
        <v>877</v>
      </c>
      <c r="G1488" s="404" t="s">
        <v>45</v>
      </c>
      <c r="H1488" s="411">
        <v>175.15</v>
      </c>
      <c r="I1488" s="89">
        <f t="shared" si="251"/>
        <v>-15.763500000000001</v>
      </c>
      <c r="J1488" s="90">
        <f t="shared" si="252"/>
        <v>-3.62785</v>
      </c>
      <c r="K1488" s="90">
        <f t="shared" si="253"/>
        <v>155.75865000000002</v>
      </c>
      <c r="L1488" s="131">
        <v>235</v>
      </c>
      <c r="M1488" s="187">
        <v>33.18</v>
      </c>
      <c r="N1488" s="91">
        <f t="shared" si="254"/>
        <v>91.93</v>
      </c>
      <c r="O1488" s="411">
        <f t="shared" si="250"/>
        <v>63.82865000000001</v>
      </c>
      <c r="P1488" s="132" t="s">
        <v>52</v>
      </c>
      <c r="Q1488" s="232"/>
      <c r="R1488" s="411">
        <v>12.97</v>
      </c>
      <c r="S1488" s="133" t="s">
        <v>3610</v>
      </c>
      <c r="T1488" s="134" t="s">
        <v>145</v>
      </c>
      <c r="U1488" s="267" t="s">
        <v>3611</v>
      </c>
    </row>
    <row r="1489" spans="1:23" ht="24" x14ac:dyDescent="0.25">
      <c r="A1489" s="405">
        <v>3001133</v>
      </c>
      <c r="B1489" s="406">
        <v>42440</v>
      </c>
      <c r="C1489" s="405" t="s">
        <v>42</v>
      </c>
      <c r="D1489" s="401" t="s">
        <v>3612</v>
      </c>
      <c r="E1489" s="120">
        <v>150</v>
      </c>
      <c r="F1489" s="133" t="s">
        <v>165</v>
      </c>
      <c r="G1489" s="404" t="s">
        <v>45</v>
      </c>
      <c r="H1489" s="411">
        <v>150.54</v>
      </c>
      <c r="I1489" s="89">
        <f t="shared" si="251"/>
        <v>-13.548599999999999</v>
      </c>
      <c r="J1489" s="90">
        <f t="shared" si="252"/>
        <v>-3.1602599999999996</v>
      </c>
      <c r="K1489" s="90">
        <f t="shared" si="253"/>
        <v>133.83114</v>
      </c>
      <c r="L1489" s="131">
        <v>480</v>
      </c>
      <c r="M1489" s="187">
        <v>36.450000000000003</v>
      </c>
      <c r="N1489" s="91">
        <f t="shared" si="254"/>
        <v>108.45</v>
      </c>
      <c r="O1489" s="411">
        <f t="shared" si="250"/>
        <v>25.381140000000002</v>
      </c>
      <c r="P1489" s="132" t="s">
        <v>86</v>
      </c>
      <c r="Q1489" s="232"/>
      <c r="R1489" s="411"/>
      <c r="T1489" s="134" t="s">
        <v>145</v>
      </c>
      <c r="U1489" s="267" t="s">
        <v>3613</v>
      </c>
    </row>
    <row r="1490" spans="1:23" ht="24" x14ac:dyDescent="0.25">
      <c r="A1490" s="405">
        <v>3001134</v>
      </c>
      <c r="B1490" s="406">
        <v>42440</v>
      </c>
      <c r="C1490" s="405" t="s">
        <v>42</v>
      </c>
      <c r="D1490" s="401" t="s">
        <v>3614</v>
      </c>
      <c r="E1490" s="120">
        <v>500</v>
      </c>
      <c r="F1490" s="133" t="s">
        <v>272</v>
      </c>
      <c r="G1490" s="404" t="s">
        <v>45</v>
      </c>
      <c r="H1490" s="411">
        <v>279.07</v>
      </c>
      <c r="I1490" s="89">
        <f t="shared" si="251"/>
        <v>-25.116299999999999</v>
      </c>
      <c r="J1490" s="90">
        <f t="shared" si="252"/>
        <v>-5.6023299999999994</v>
      </c>
      <c r="K1490" s="90">
        <f t="shared" si="253"/>
        <v>248.35137</v>
      </c>
      <c r="L1490" s="131">
        <v>200</v>
      </c>
      <c r="M1490" s="187">
        <v>23.91</v>
      </c>
      <c r="N1490" s="91">
        <f t="shared" si="254"/>
        <v>123.91</v>
      </c>
      <c r="O1490" s="411">
        <f t="shared" si="250"/>
        <v>124.44137000000001</v>
      </c>
      <c r="P1490" s="132" t="s">
        <v>52</v>
      </c>
      <c r="Q1490" s="232"/>
      <c r="R1490" s="411">
        <v>20.67</v>
      </c>
      <c r="S1490" s="133" t="s">
        <v>1396</v>
      </c>
      <c r="T1490" s="134" t="s">
        <v>145</v>
      </c>
      <c r="U1490" s="267" t="s">
        <v>3615</v>
      </c>
    </row>
    <row r="1491" spans="1:23" ht="24" x14ac:dyDescent="0.25">
      <c r="A1491" s="405">
        <v>3001135</v>
      </c>
      <c r="B1491" s="406">
        <v>42440</v>
      </c>
      <c r="C1491" s="405" t="s">
        <v>42</v>
      </c>
      <c r="D1491" s="401" t="s">
        <v>3616</v>
      </c>
      <c r="E1491" s="120">
        <v>100</v>
      </c>
      <c r="F1491" s="133" t="s">
        <v>288</v>
      </c>
      <c r="G1491" s="404" t="s">
        <v>45</v>
      </c>
      <c r="H1491" s="411">
        <v>187.16</v>
      </c>
      <c r="I1491" s="89">
        <f t="shared" si="251"/>
        <v>-16.8444</v>
      </c>
      <c r="J1491" s="90">
        <f t="shared" si="252"/>
        <v>-3.8560399999999997</v>
      </c>
      <c r="K1491" s="90">
        <f t="shared" si="253"/>
        <v>166.45955999999998</v>
      </c>
      <c r="L1491" s="131">
        <v>950</v>
      </c>
      <c r="M1491" s="187">
        <v>42.73</v>
      </c>
      <c r="N1491" s="91">
        <f t="shared" si="254"/>
        <v>137.72999999999999</v>
      </c>
      <c r="O1491" s="411">
        <f t="shared" si="250"/>
        <v>28.729559999999992</v>
      </c>
      <c r="P1491" s="132" t="s">
        <v>52</v>
      </c>
      <c r="Q1491" s="232"/>
      <c r="R1491" s="411"/>
      <c r="T1491" s="134" t="s">
        <v>145</v>
      </c>
      <c r="U1491" s="267" t="s">
        <v>3617</v>
      </c>
    </row>
    <row r="1492" spans="1:23" ht="24" x14ac:dyDescent="0.25">
      <c r="A1492" s="405">
        <v>3001136</v>
      </c>
      <c r="B1492" s="406">
        <v>42440</v>
      </c>
      <c r="C1492" s="405" t="s">
        <v>42</v>
      </c>
      <c r="D1492" s="401" t="s">
        <v>3618</v>
      </c>
      <c r="E1492" s="120">
        <v>100</v>
      </c>
      <c r="F1492" s="133" t="s">
        <v>161</v>
      </c>
      <c r="G1492" s="404" t="s">
        <v>45</v>
      </c>
      <c r="H1492" s="411">
        <v>235</v>
      </c>
      <c r="I1492" s="89">
        <f t="shared" si="251"/>
        <v>-21.15</v>
      </c>
      <c r="J1492" s="90">
        <f t="shared" si="252"/>
        <v>-4.7649999999999997</v>
      </c>
      <c r="K1492" s="90">
        <f t="shared" si="253"/>
        <v>209.08500000000001</v>
      </c>
      <c r="L1492" s="131">
        <v>1322</v>
      </c>
      <c r="M1492" s="187">
        <v>51.64</v>
      </c>
      <c r="N1492" s="91">
        <f t="shared" si="254"/>
        <v>183.84000000000003</v>
      </c>
      <c r="O1492" s="411">
        <f t="shared" si="250"/>
        <v>25.244999999999976</v>
      </c>
      <c r="P1492" s="132" t="s">
        <v>52</v>
      </c>
      <c r="Q1492" s="232"/>
      <c r="R1492" s="411"/>
      <c r="T1492" s="134" t="s">
        <v>145</v>
      </c>
      <c r="U1492" s="267" t="s">
        <v>3619</v>
      </c>
    </row>
    <row r="1493" spans="1:23" ht="24" x14ac:dyDescent="0.25">
      <c r="A1493" s="405">
        <v>3001137</v>
      </c>
      <c r="B1493" s="406">
        <v>42440</v>
      </c>
      <c r="C1493" s="405" t="s">
        <v>42</v>
      </c>
      <c r="D1493" s="401" t="s">
        <v>3620</v>
      </c>
      <c r="E1493" s="120">
        <v>100</v>
      </c>
      <c r="F1493" s="133" t="s">
        <v>1692</v>
      </c>
      <c r="G1493" s="404" t="s">
        <v>45</v>
      </c>
      <c r="H1493" s="411">
        <v>137.09</v>
      </c>
      <c r="I1493" s="89">
        <f t="shared" si="251"/>
        <v>-12.338100000000001</v>
      </c>
      <c r="J1493" s="90">
        <f t="shared" si="252"/>
        <v>-2.9047099999999997</v>
      </c>
      <c r="K1493" s="90">
        <f t="shared" si="253"/>
        <v>121.84719000000001</v>
      </c>
      <c r="L1493" s="187">
        <v>550</v>
      </c>
      <c r="M1493" s="187">
        <v>13.99</v>
      </c>
      <c r="N1493" s="91">
        <f t="shared" si="254"/>
        <v>68.989999999999995</v>
      </c>
      <c r="O1493" s="411">
        <f t="shared" si="250"/>
        <v>52.857190000000017</v>
      </c>
      <c r="P1493" s="132" t="s">
        <v>235</v>
      </c>
      <c r="Q1493" s="232"/>
      <c r="R1493" s="411"/>
      <c r="T1493" s="134" t="s">
        <v>145</v>
      </c>
      <c r="U1493" s="267" t="s">
        <v>3621</v>
      </c>
    </row>
    <row r="1494" spans="1:23" ht="24" x14ac:dyDescent="0.25">
      <c r="A1494" s="405">
        <v>3001138</v>
      </c>
      <c r="B1494" s="406">
        <v>42440</v>
      </c>
      <c r="C1494" s="405" t="s">
        <v>42</v>
      </c>
      <c r="D1494" s="401" t="s">
        <v>3622</v>
      </c>
      <c r="E1494" s="120">
        <v>400</v>
      </c>
      <c r="F1494" s="133" t="s">
        <v>1547</v>
      </c>
      <c r="G1494" s="404" t="s">
        <v>45</v>
      </c>
      <c r="H1494" s="411">
        <v>400.59</v>
      </c>
      <c r="I1494" s="89">
        <f t="shared" si="251"/>
        <v>-36.053099999999993</v>
      </c>
      <c r="J1494" s="90">
        <f t="shared" si="252"/>
        <v>-7.9112099999999987</v>
      </c>
      <c r="K1494" s="90">
        <f t="shared" si="253"/>
        <v>356.62569000000002</v>
      </c>
      <c r="L1494" s="131">
        <v>385</v>
      </c>
      <c r="M1494" s="187">
        <v>53.5</v>
      </c>
      <c r="N1494" s="91">
        <f t="shared" si="254"/>
        <v>207.5</v>
      </c>
      <c r="O1494" s="411">
        <f t="shared" si="250"/>
        <v>149.12569000000002</v>
      </c>
      <c r="P1494" s="132" t="s">
        <v>52</v>
      </c>
      <c r="Q1494" s="232"/>
      <c r="R1494" s="411"/>
      <c r="T1494" s="134" t="s">
        <v>145</v>
      </c>
      <c r="U1494" s="267" t="s">
        <v>3623</v>
      </c>
    </row>
    <row r="1495" spans="1:23" x14ac:dyDescent="0.25">
      <c r="A1495" s="419">
        <v>3001139</v>
      </c>
      <c r="B1495" s="421">
        <v>42440</v>
      </c>
      <c r="C1495" s="419" t="s">
        <v>237</v>
      </c>
      <c r="D1495" s="417" t="s">
        <v>3624</v>
      </c>
      <c r="E1495" s="120">
        <v>50</v>
      </c>
      <c r="F1495" s="133" t="s">
        <v>3440</v>
      </c>
      <c r="G1495" s="434" t="s">
        <v>45</v>
      </c>
      <c r="H1495" s="427">
        <v>195.03</v>
      </c>
      <c r="I1495" s="452">
        <f>-(H1495*0.15)</f>
        <v>-29.2545</v>
      </c>
      <c r="J1495" s="427">
        <v>0</v>
      </c>
      <c r="K1495" s="425">
        <f t="shared" si="253"/>
        <v>165.77549999999999</v>
      </c>
      <c r="L1495" s="158">
        <v>930</v>
      </c>
      <c r="N1495" s="91">
        <f t="shared" si="254"/>
        <v>46.5</v>
      </c>
      <c r="O1495" s="411">
        <f t="shared" si="250"/>
        <v>119.27549999999999</v>
      </c>
      <c r="P1495" s="132" t="s">
        <v>926</v>
      </c>
      <c r="Q1495" s="232"/>
      <c r="R1495" s="411"/>
      <c r="T1495" s="439" t="s">
        <v>145</v>
      </c>
      <c r="U1495" s="475" t="s">
        <v>3625</v>
      </c>
    </row>
    <row r="1496" spans="1:23" x14ac:dyDescent="0.25">
      <c r="A1496" s="420"/>
      <c r="B1496" s="422"/>
      <c r="C1496" s="420"/>
      <c r="D1496" s="418"/>
      <c r="E1496" s="120">
        <v>50</v>
      </c>
      <c r="F1496" s="133" t="s">
        <v>3442</v>
      </c>
      <c r="G1496" s="436"/>
      <c r="H1496" s="428"/>
      <c r="I1496" s="453"/>
      <c r="J1496" s="428"/>
      <c r="K1496" s="426"/>
      <c r="L1496" s="158">
        <v>959</v>
      </c>
      <c r="N1496" s="91">
        <f t="shared" si="254"/>
        <v>47.95</v>
      </c>
      <c r="O1496" s="411">
        <f t="shared" si="250"/>
        <v>-47.95</v>
      </c>
      <c r="P1496" s="132" t="s">
        <v>926</v>
      </c>
      <c r="Q1496" s="232"/>
      <c r="R1496" s="411"/>
      <c r="T1496" s="441"/>
      <c r="U1496" s="477"/>
    </row>
    <row r="1497" spans="1:23" x14ac:dyDescent="0.25">
      <c r="A1497" s="405">
        <v>3001140</v>
      </c>
      <c r="B1497" s="406">
        <v>42440</v>
      </c>
      <c r="C1497" s="405" t="s">
        <v>42</v>
      </c>
      <c r="D1497" s="401" t="s">
        <v>3626</v>
      </c>
      <c r="E1497" s="120">
        <v>325</v>
      </c>
      <c r="F1497" s="133" t="s">
        <v>3627</v>
      </c>
      <c r="G1497" s="404" t="s">
        <v>45</v>
      </c>
      <c r="H1497" s="411">
        <v>698.85</v>
      </c>
      <c r="I1497" s="89">
        <f t="shared" ref="I1497" si="255">-(H1497*0.09)</f>
        <v>-62.896500000000003</v>
      </c>
      <c r="J1497" s="90">
        <f t="shared" ref="J1497" si="256">-((H1497*0.019)+0.3)</f>
        <v>-13.578150000000001</v>
      </c>
      <c r="K1497" s="90">
        <f t="shared" si="253"/>
        <v>622.37535000000003</v>
      </c>
      <c r="L1497" s="187">
        <v>858</v>
      </c>
      <c r="M1497" s="187">
        <v>105</v>
      </c>
      <c r="N1497" s="91">
        <f t="shared" si="254"/>
        <v>383.85</v>
      </c>
      <c r="O1497" s="411">
        <f t="shared" si="250"/>
        <v>238.52535</v>
      </c>
      <c r="P1497" s="132" t="s">
        <v>183</v>
      </c>
      <c r="Q1497" s="232"/>
      <c r="R1497" s="411"/>
      <c r="T1497" s="134" t="s">
        <v>760</v>
      </c>
      <c r="U1497" s="267" t="s">
        <v>3628</v>
      </c>
    </row>
    <row r="1498" spans="1:23" x14ac:dyDescent="0.25">
      <c r="A1498" s="419">
        <v>3001141</v>
      </c>
      <c r="B1498" s="421">
        <v>42440</v>
      </c>
      <c r="C1498" s="419" t="s">
        <v>63</v>
      </c>
      <c r="D1498" s="417" t="s">
        <v>3357</v>
      </c>
      <c r="E1498" s="120">
        <v>1200</v>
      </c>
      <c r="F1498" s="133" t="s">
        <v>3629</v>
      </c>
      <c r="G1498" s="434" t="s">
        <v>45</v>
      </c>
      <c r="H1498" s="427">
        <v>10763</v>
      </c>
      <c r="I1498" s="427">
        <v>0</v>
      </c>
      <c r="J1498" s="425">
        <f>-((H1498*0.022)+0.3)</f>
        <v>-237.08599999999998</v>
      </c>
      <c r="K1498" s="425">
        <f t="shared" si="253"/>
        <v>10525.914000000001</v>
      </c>
      <c r="L1498" s="131">
        <v>3243</v>
      </c>
      <c r="M1498" s="468">
        <v>305.58</v>
      </c>
      <c r="N1498" s="91">
        <f t="shared" si="254"/>
        <v>4197.18</v>
      </c>
      <c r="O1498" s="411">
        <f t="shared" si="250"/>
        <v>6328.7340000000004</v>
      </c>
      <c r="P1498" s="132" t="s">
        <v>86</v>
      </c>
      <c r="Q1498" s="232"/>
      <c r="R1498" s="411"/>
      <c r="T1498" s="439" t="s">
        <v>1209</v>
      </c>
      <c r="U1498" s="481" t="s">
        <v>3630</v>
      </c>
      <c r="V1498" s="133" t="s">
        <v>55</v>
      </c>
      <c r="W1498" s="153" t="s">
        <v>3360</v>
      </c>
    </row>
    <row r="1499" spans="1:23" x14ac:dyDescent="0.25">
      <c r="A1499" s="432"/>
      <c r="B1499" s="433"/>
      <c r="C1499" s="432"/>
      <c r="D1499" s="454"/>
      <c r="E1499" s="120">
        <v>250</v>
      </c>
      <c r="F1499" s="133" t="s">
        <v>3631</v>
      </c>
      <c r="G1499" s="435"/>
      <c r="H1499" s="438"/>
      <c r="I1499" s="438"/>
      <c r="J1499" s="437"/>
      <c r="K1499" s="437"/>
      <c r="L1499" s="187">
        <v>4675</v>
      </c>
      <c r="M1499" s="491"/>
      <c r="N1499" s="91">
        <f t="shared" si="254"/>
        <v>1168.75</v>
      </c>
      <c r="O1499" s="411">
        <f t="shared" si="250"/>
        <v>-1168.75</v>
      </c>
      <c r="P1499" s="132" t="s">
        <v>76</v>
      </c>
      <c r="Q1499" s="232"/>
      <c r="R1499" s="411"/>
      <c r="T1499" s="440"/>
      <c r="U1499" s="482"/>
      <c r="V1499" s="133" t="s">
        <v>3632</v>
      </c>
    </row>
    <row r="1500" spans="1:23" x14ac:dyDescent="0.25">
      <c r="A1500" s="432"/>
      <c r="B1500" s="433"/>
      <c r="C1500" s="432"/>
      <c r="D1500" s="454"/>
      <c r="E1500" s="120">
        <v>300</v>
      </c>
      <c r="F1500" s="133" t="s">
        <v>3633</v>
      </c>
      <c r="G1500" s="435"/>
      <c r="H1500" s="438"/>
      <c r="I1500" s="438"/>
      <c r="J1500" s="437"/>
      <c r="K1500" s="437"/>
      <c r="L1500" s="187">
        <v>1816</v>
      </c>
      <c r="M1500" s="469"/>
      <c r="N1500" s="91">
        <f t="shared" si="254"/>
        <v>544.79999999999995</v>
      </c>
      <c r="O1500" s="411">
        <f t="shared" si="250"/>
        <v>-544.79999999999995</v>
      </c>
      <c r="P1500" s="132" t="s">
        <v>76</v>
      </c>
      <c r="Q1500" s="232"/>
      <c r="R1500" s="411"/>
      <c r="T1500" s="441"/>
      <c r="U1500" s="483"/>
      <c r="V1500" s="133" t="s">
        <v>3632</v>
      </c>
    </row>
    <row r="1501" spans="1:23" x14ac:dyDescent="0.25">
      <c r="A1501" s="432"/>
      <c r="B1501" s="433"/>
      <c r="C1501" s="432"/>
      <c r="D1501" s="454"/>
      <c r="E1501" s="120">
        <v>1200</v>
      </c>
      <c r="F1501" s="133" t="s">
        <v>3634</v>
      </c>
      <c r="G1501" s="435"/>
      <c r="H1501" s="438"/>
      <c r="I1501" s="438"/>
      <c r="J1501" s="437"/>
      <c r="K1501" s="437"/>
      <c r="L1501" s="187">
        <v>1099</v>
      </c>
      <c r="M1501" s="187">
        <v>115</v>
      </c>
      <c r="N1501" s="91">
        <f t="shared" si="254"/>
        <v>1433.8</v>
      </c>
      <c r="O1501" s="411">
        <f t="shared" si="250"/>
        <v>-1433.8</v>
      </c>
      <c r="P1501" s="132" t="s">
        <v>183</v>
      </c>
      <c r="Q1501" s="232"/>
      <c r="R1501" s="411"/>
      <c r="T1501" s="439" t="s">
        <v>389</v>
      </c>
      <c r="U1501" s="446" t="s">
        <v>3635</v>
      </c>
      <c r="V1501" s="133" t="s">
        <v>3636</v>
      </c>
    </row>
    <row r="1502" spans="1:23" x14ac:dyDescent="0.25">
      <c r="A1502" s="432"/>
      <c r="B1502" s="433"/>
      <c r="C1502" s="432"/>
      <c r="D1502" s="454"/>
      <c r="E1502" s="120">
        <v>300</v>
      </c>
      <c r="F1502" s="133" t="s">
        <v>3637</v>
      </c>
      <c r="G1502" s="435"/>
      <c r="H1502" s="438"/>
      <c r="I1502" s="438"/>
      <c r="J1502" s="437"/>
      <c r="K1502" s="437"/>
      <c r="L1502" s="131">
        <v>360</v>
      </c>
      <c r="N1502" s="91">
        <f t="shared" si="254"/>
        <v>108</v>
      </c>
      <c r="O1502" s="411">
        <f t="shared" si="250"/>
        <v>-108</v>
      </c>
      <c r="P1502" s="132" t="s">
        <v>183</v>
      </c>
      <c r="Q1502" s="232"/>
      <c r="R1502" s="411"/>
      <c r="T1502" s="441"/>
      <c r="U1502" s="447"/>
      <c r="V1502" s="133" t="s">
        <v>3636</v>
      </c>
    </row>
    <row r="1503" spans="1:23" ht="24" x14ac:dyDescent="0.25">
      <c r="A1503" s="432"/>
      <c r="B1503" s="433"/>
      <c r="C1503" s="432"/>
      <c r="D1503" s="454"/>
      <c r="E1503" s="120">
        <v>300</v>
      </c>
      <c r="F1503" s="133" t="s">
        <v>3638</v>
      </c>
      <c r="G1503" s="435"/>
      <c r="H1503" s="438"/>
      <c r="I1503" s="438"/>
      <c r="J1503" s="437"/>
      <c r="K1503" s="437"/>
      <c r="L1503" s="187">
        <v>650</v>
      </c>
      <c r="M1503" s="131">
        <v>75</v>
      </c>
      <c r="N1503" s="91">
        <f t="shared" si="254"/>
        <v>270</v>
      </c>
      <c r="O1503" s="411">
        <f t="shared" si="250"/>
        <v>-270</v>
      </c>
      <c r="P1503" s="132" t="s">
        <v>76</v>
      </c>
      <c r="Q1503" s="232"/>
      <c r="R1503" s="411"/>
      <c r="T1503" s="134" t="s">
        <v>1209</v>
      </c>
      <c r="U1503" s="267" t="s">
        <v>3630</v>
      </c>
      <c r="V1503" s="133" t="s">
        <v>3639</v>
      </c>
    </row>
    <row r="1504" spans="1:23" ht="24" x14ac:dyDescent="0.25">
      <c r="A1504" s="420"/>
      <c r="B1504" s="422"/>
      <c r="C1504" s="420"/>
      <c r="D1504" s="418"/>
      <c r="E1504" s="120">
        <v>5000</v>
      </c>
      <c r="F1504" s="133" t="s">
        <v>3640</v>
      </c>
      <c r="G1504" s="436"/>
      <c r="H1504" s="428"/>
      <c r="I1504" s="428"/>
      <c r="J1504" s="426"/>
      <c r="K1504" s="426"/>
      <c r="L1504" s="131">
        <v>89.95</v>
      </c>
      <c r="N1504" s="91">
        <f t="shared" si="254"/>
        <v>449.75</v>
      </c>
      <c r="O1504" s="411">
        <f t="shared" si="250"/>
        <v>-449.75</v>
      </c>
      <c r="P1504" s="132" t="s">
        <v>42</v>
      </c>
      <c r="Q1504" s="232"/>
      <c r="R1504" s="411"/>
      <c r="T1504" s="134" t="s">
        <v>204</v>
      </c>
      <c r="U1504" s="267" t="s">
        <v>3641</v>
      </c>
    </row>
    <row r="1505" spans="1:23" x14ac:dyDescent="0.25">
      <c r="A1505" s="405">
        <v>3001142</v>
      </c>
      <c r="B1505" s="406">
        <v>42440</v>
      </c>
      <c r="C1505" s="405" t="s">
        <v>327</v>
      </c>
      <c r="D1505" s="401" t="s">
        <v>3642</v>
      </c>
      <c r="E1505" s="120">
        <v>400</v>
      </c>
      <c r="F1505" s="133" t="s">
        <v>3643</v>
      </c>
      <c r="G1505" s="404" t="s">
        <v>45</v>
      </c>
      <c r="H1505" s="411">
        <v>2280</v>
      </c>
      <c r="I1505" s="411">
        <v>0</v>
      </c>
      <c r="J1505" s="90">
        <f>-((H1505*0.022)+0.3)</f>
        <v>-50.459999999999994</v>
      </c>
      <c r="K1505" s="90">
        <f t="shared" ref="K1505:K1548" si="257">SUM(H1505:J1505)</f>
        <v>2229.54</v>
      </c>
      <c r="L1505" s="187">
        <v>4140</v>
      </c>
      <c r="M1505" s="187">
        <v>221</v>
      </c>
      <c r="N1505" s="91">
        <f t="shared" si="254"/>
        <v>1877</v>
      </c>
      <c r="O1505" s="411">
        <f t="shared" si="250"/>
        <v>352.53999999999996</v>
      </c>
      <c r="P1505" s="132" t="s">
        <v>183</v>
      </c>
      <c r="Q1505" s="232"/>
      <c r="R1505" s="411"/>
      <c r="T1505" s="134" t="s">
        <v>3644</v>
      </c>
      <c r="U1505" s="267" t="s">
        <v>3645</v>
      </c>
      <c r="W1505" s="153" t="s">
        <v>3646</v>
      </c>
    </row>
    <row r="1506" spans="1:23" ht="24" x14ac:dyDescent="0.25">
      <c r="A1506" s="405">
        <v>3001143</v>
      </c>
      <c r="B1506" s="406">
        <v>42440</v>
      </c>
      <c r="C1506" s="405" t="s">
        <v>42</v>
      </c>
      <c r="D1506" s="401" t="s">
        <v>3647</v>
      </c>
      <c r="E1506" s="120">
        <v>250</v>
      </c>
      <c r="F1506" s="133" t="s">
        <v>1293</v>
      </c>
      <c r="G1506" s="404" t="s">
        <v>45</v>
      </c>
      <c r="H1506" s="411">
        <v>269.8</v>
      </c>
      <c r="I1506" s="89">
        <f t="shared" ref="I1506:I1510" si="258">-(H1506*0.09)</f>
        <v>-24.282</v>
      </c>
      <c r="J1506" s="90">
        <f t="shared" ref="J1506:J1529" si="259">-((H1506*0.019)+0.3)</f>
        <v>-5.4261999999999997</v>
      </c>
      <c r="K1506" s="90">
        <f t="shared" si="257"/>
        <v>240.09180000000001</v>
      </c>
      <c r="L1506" s="131">
        <v>513</v>
      </c>
      <c r="M1506" s="187">
        <v>52.62</v>
      </c>
      <c r="N1506" s="91">
        <f t="shared" si="254"/>
        <v>180.87</v>
      </c>
      <c r="O1506" s="411">
        <f t="shared" si="250"/>
        <v>59.221800000000002</v>
      </c>
      <c r="P1506" s="132" t="s">
        <v>52</v>
      </c>
      <c r="Q1506" s="232"/>
      <c r="R1506" s="411"/>
      <c r="T1506" s="134" t="s">
        <v>145</v>
      </c>
      <c r="U1506" s="267" t="s">
        <v>3648</v>
      </c>
    </row>
    <row r="1507" spans="1:23" ht="24" x14ac:dyDescent="0.25">
      <c r="A1507" s="405">
        <v>3001144</v>
      </c>
      <c r="B1507" s="406">
        <v>42440</v>
      </c>
      <c r="C1507" s="405" t="s">
        <v>42</v>
      </c>
      <c r="D1507" s="401" t="s">
        <v>3649</v>
      </c>
      <c r="E1507" s="120">
        <v>250</v>
      </c>
      <c r="F1507" s="133" t="s">
        <v>1550</v>
      </c>
      <c r="G1507" s="404" t="s">
        <v>45</v>
      </c>
      <c r="H1507" s="411">
        <v>294.39999999999998</v>
      </c>
      <c r="I1507" s="89">
        <f t="shared" si="258"/>
        <v>-26.495999999999999</v>
      </c>
      <c r="J1507" s="90">
        <f t="shared" si="259"/>
        <v>-5.8935999999999993</v>
      </c>
      <c r="K1507" s="90">
        <f t="shared" si="257"/>
        <v>262.0104</v>
      </c>
      <c r="M1507" s="187">
        <v>61.38</v>
      </c>
      <c r="N1507" s="91">
        <f t="shared" si="254"/>
        <v>61.38</v>
      </c>
      <c r="O1507" s="411">
        <f t="shared" si="250"/>
        <v>200.63040000000001</v>
      </c>
      <c r="P1507" s="132" t="s">
        <v>52</v>
      </c>
      <c r="Q1507" s="232"/>
      <c r="R1507" s="411"/>
      <c r="T1507" s="134" t="s">
        <v>145</v>
      </c>
      <c r="U1507" s="267" t="s">
        <v>3650</v>
      </c>
    </row>
    <row r="1508" spans="1:23" ht="24" x14ac:dyDescent="0.25">
      <c r="A1508" s="405">
        <v>3001145</v>
      </c>
      <c r="B1508" s="406">
        <v>42440</v>
      </c>
      <c r="C1508" s="405" t="s">
        <v>42</v>
      </c>
      <c r="D1508" s="401" t="s">
        <v>3651</v>
      </c>
      <c r="E1508" s="120">
        <v>50</v>
      </c>
      <c r="F1508" s="133" t="s">
        <v>431</v>
      </c>
      <c r="G1508" s="404" t="s">
        <v>45</v>
      </c>
      <c r="H1508" s="411">
        <v>135.09</v>
      </c>
      <c r="I1508" s="89">
        <f t="shared" si="258"/>
        <v>-12.158099999999999</v>
      </c>
      <c r="J1508" s="90">
        <f t="shared" si="259"/>
        <v>-2.8667099999999999</v>
      </c>
      <c r="K1508" s="90">
        <f t="shared" si="257"/>
        <v>120.06519</v>
      </c>
      <c r="L1508" s="131">
        <v>990</v>
      </c>
      <c r="M1508" s="187">
        <v>34.76</v>
      </c>
      <c r="N1508" s="91">
        <f t="shared" si="254"/>
        <v>84.259999999999991</v>
      </c>
      <c r="O1508" s="411">
        <f t="shared" si="250"/>
        <v>35.80519000000001</v>
      </c>
      <c r="P1508" s="132" t="s">
        <v>52</v>
      </c>
      <c r="Q1508" s="232"/>
      <c r="R1508" s="411"/>
      <c r="T1508" s="134" t="s">
        <v>145</v>
      </c>
      <c r="U1508" s="267" t="s">
        <v>3652</v>
      </c>
    </row>
    <row r="1509" spans="1:23" ht="24" x14ac:dyDescent="0.25">
      <c r="A1509" s="405">
        <v>3001146</v>
      </c>
      <c r="B1509" s="406">
        <v>42440</v>
      </c>
      <c r="C1509" s="405" t="s">
        <v>42</v>
      </c>
      <c r="D1509" s="401" t="s">
        <v>3653</v>
      </c>
      <c r="E1509" s="120">
        <v>50</v>
      </c>
      <c r="F1509" s="133" t="s">
        <v>3654</v>
      </c>
      <c r="G1509" s="404" t="s">
        <v>45</v>
      </c>
      <c r="H1509" s="411">
        <v>161.69999999999999</v>
      </c>
      <c r="I1509" s="89">
        <f t="shared" si="258"/>
        <v>-14.552999999999999</v>
      </c>
      <c r="J1509" s="90">
        <f t="shared" si="259"/>
        <v>-3.3722999999999996</v>
      </c>
      <c r="K1509" s="90">
        <f t="shared" si="257"/>
        <v>143.7747</v>
      </c>
      <c r="L1509" s="131">
        <v>2306</v>
      </c>
      <c r="M1509" s="187">
        <v>25.55</v>
      </c>
      <c r="N1509" s="91">
        <f t="shared" si="254"/>
        <v>140.85000000000002</v>
      </c>
      <c r="O1509" s="411">
        <f t="shared" si="250"/>
        <v>2.924699999999973</v>
      </c>
      <c r="P1509" s="132" t="s">
        <v>926</v>
      </c>
      <c r="Q1509" s="232"/>
      <c r="R1509" s="411"/>
      <c r="T1509" s="134" t="s">
        <v>145</v>
      </c>
      <c r="U1509" s="267" t="s">
        <v>3655</v>
      </c>
    </row>
    <row r="1510" spans="1:23" ht="24" x14ac:dyDescent="0.25">
      <c r="A1510" s="405">
        <v>3001147</v>
      </c>
      <c r="B1510" s="406">
        <v>42440</v>
      </c>
      <c r="C1510" s="405" t="s">
        <v>42</v>
      </c>
      <c r="D1510" s="401" t="s">
        <v>206</v>
      </c>
      <c r="E1510" s="120">
        <v>250</v>
      </c>
      <c r="F1510" s="133" t="s">
        <v>207</v>
      </c>
      <c r="G1510" s="404" t="s">
        <v>45</v>
      </c>
      <c r="H1510" s="411">
        <v>249.85</v>
      </c>
      <c r="I1510" s="89">
        <f t="shared" si="258"/>
        <v>-22.486499999999999</v>
      </c>
      <c r="J1510" s="90">
        <f t="shared" si="259"/>
        <v>-5.0471499999999994</v>
      </c>
      <c r="K1510" s="90">
        <f t="shared" si="257"/>
        <v>222.31635</v>
      </c>
      <c r="L1510" s="131">
        <v>570</v>
      </c>
      <c r="M1510" s="187">
        <v>32.94</v>
      </c>
      <c r="N1510" s="91">
        <f t="shared" si="254"/>
        <v>175.44</v>
      </c>
      <c r="O1510" s="411">
        <f t="shared" si="250"/>
        <v>46.876350000000002</v>
      </c>
      <c r="P1510" s="132" t="s">
        <v>86</v>
      </c>
      <c r="Q1510" s="232"/>
      <c r="R1510" s="411"/>
      <c r="T1510" s="134" t="s">
        <v>145</v>
      </c>
      <c r="U1510" s="267" t="s">
        <v>3656</v>
      </c>
    </row>
    <row r="1511" spans="1:23" ht="24" x14ac:dyDescent="0.25">
      <c r="A1511" s="405">
        <v>3001148</v>
      </c>
      <c r="B1511" s="406">
        <v>42440</v>
      </c>
      <c r="C1511" s="405" t="s">
        <v>327</v>
      </c>
      <c r="D1511" s="401" t="s">
        <v>3657</v>
      </c>
      <c r="E1511" s="120">
        <v>50</v>
      </c>
      <c r="F1511" s="133" t="s">
        <v>288</v>
      </c>
      <c r="G1511" s="404" t="s">
        <v>45</v>
      </c>
      <c r="H1511" s="411">
        <v>100</v>
      </c>
      <c r="I1511" s="411">
        <v>0</v>
      </c>
      <c r="J1511" s="90">
        <f>-((H1511*0.022)+0.3)</f>
        <v>-2.4999999999999996</v>
      </c>
      <c r="K1511" s="90">
        <f t="shared" si="257"/>
        <v>97.5</v>
      </c>
      <c r="L1511" s="131">
        <v>950</v>
      </c>
      <c r="M1511" s="187">
        <v>8.93</v>
      </c>
      <c r="N1511" s="91">
        <f t="shared" si="254"/>
        <v>56.43</v>
      </c>
      <c r="O1511" s="411">
        <f t="shared" si="250"/>
        <v>41.07</v>
      </c>
      <c r="P1511" s="132" t="s">
        <v>86</v>
      </c>
      <c r="Q1511" s="232"/>
      <c r="R1511" s="411"/>
      <c r="T1511" s="134" t="s">
        <v>145</v>
      </c>
      <c r="U1511" s="307" t="s">
        <v>3658</v>
      </c>
    </row>
    <row r="1512" spans="1:23" x14ac:dyDescent="0.25">
      <c r="A1512" s="405">
        <v>3001149</v>
      </c>
      <c r="B1512" s="406">
        <v>42443</v>
      </c>
      <c r="C1512" s="405" t="s">
        <v>78</v>
      </c>
      <c r="D1512" s="401" t="s">
        <v>269</v>
      </c>
      <c r="E1512" s="120">
        <v>1000</v>
      </c>
      <c r="F1512" s="133" t="s">
        <v>161</v>
      </c>
      <c r="G1512" s="404" t="s">
        <v>45</v>
      </c>
      <c r="H1512" s="411">
        <v>2200</v>
      </c>
      <c r="I1512" s="411">
        <v>0</v>
      </c>
      <c r="J1512" s="90">
        <f t="shared" si="259"/>
        <v>-42.099999999999994</v>
      </c>
      <c r="K1512" s="90">
        <f t="shared" si="257"/>
        <v>2157.9</v>
      </c>
      <c r="L1512" s="131">
        <v>1322</v>
      </c>
      <c r="N1512" s="91">
        <f t="shared" si="254"/>
        <v>1322</v>
      </c>
      <c r="O1512" s="411">
        <f t="shared" si="250"/>
        <v>835.90000000000009</v>
      </c>
      <c r="P1512" s="132" t="s">
        <v>86</v>
      </c>
      <c r="Q1512" s="232"/>
      <c r="R1512" s="411"/>
      <c r="T1512" s="134" t="s">
        <v>717</v>
      </c>
      <c r="U1512" s="267" t="s">
        <v>3659</v>
      </c>
      <c r="W1512" s="153" t="s">
        <v>271</v>
      </c>
    </row>
    <row r="1513" spans="1:23" ht="24" x14ac:dyDescent="0.25">
      <c r="A1513" s="405">
        <v>3001150</v>
      </c>
      <c r="B1513" s="406">
        <v>42443</v>
      </c>
      <c r="C1513" s="405" t="s">
        <v>42</v>
      </c>
      <c r="D1513" s="401" t="s">
        <v>3660</v>
      </c>
      <c r="E1513" s="120">
        <v>250</v>
      </c>
      <c r="F1513" s="133" t="s">
        <v>2796</v>
      </c>
      <c r="G1513" s="404" t="s">
        <v>45</v>
      </c>
      <c r="H1513" s="411">
        <v>165.06</v>
      </c>
      <c r="I1513" s="89">
        <f t="shared" ref="I1513:I1529" si="260">-(H1513*0.09)</f>
        <v>-14.855399999999999</v>
      </c>
      <c r="J1513" s="90">
        <f t="shared" si="259"/>
        <v>-3.43614</v>
      </c>
      <c r="K1513" s="90">
        <f t="shared" si="257"/>
        <v>146.76846</v>
      </c>
      <c r="L1513" s="187">
        <v>300</v>
      </c>
      <c r="M1513" s="187">
        <v>32.15</v>
      </c>
      <c r="N1513" s="91">
        <f t="shared" si="254"/>
        <v>107.15</v>
      </c>
      <c r="O1513" s="411">
        <f t="shared" si="250"/>
        <v>39.618459999999999</v>
      </c>
      <c r="P1513" s="132" t="s">
        <v>235</v>
      </c>
      <c r="Q1513" s="232"/>
      <c r="R1513" s="411"/>
      <c r="T1513" s="134" t="s">
        <v>145</v>
      </c>
      <c r="U1513" s="267" t="s">
        <v>3661</v>
      </c>
    </row>
    <row r="1514" spans="1:23" ht="24" x14ac:dyDescent="0.25">
      <c r="A1514" s="405">
        <v>3001151</v>
      </c>
      <c r="B1514" s="406">
        <v>42443</v>
      </c>
      <c r="C1514" s="405" t="s">
        <v>42</v>
      </c>
      <c r="D1514" s="401" t="s">
        <v>3662</v>
      </c>
      <c r="E1514" s="120">
        <v>200</v>
      </c>
      <c r="F1514" s="133" t="s">
        <v>3663</v>
      </c>
      <c r="G1514" s="404" t="s">
        <v>45</v>
      </c>
      <c r="H1514" s="411">
        <v>499.8</v>
      </c>
      <c r="I1514" s="89">
        <f t="shared" si="260"/>
        <v>-44.981999999999999</v>
      </c>
      <c r="J1514" s="90">
        <f t="shared" si="259"/>
        <v>-9.7962000000000007</v>
      </c>
      <c r="K1514" s="90">
        <f t="shared" si="257"/>
        <v>445.02179999999998</v>
      </c>
      <c r="L1514" s="131">
        <v>1462</v>
      </c>
      <c r="M1514" s="187">
        <v>38.049999999999997</v>
      </c>
      <c r="N1514" s="91">
        <f t="shared" si="254"/>
        <v>330.45000000000005</v>
      </c>
      <c r="O1514" s="411">
        <f t="shared" si="250"/>
        <v>114.57179999999994</v>
      </c>
      <c r="P1514" s="132" t="s">
        <v>926</v>
      </c>
      <c r="Q1514" s="232"/>
      <c r="R1514" s="411"/>
      <c r="T1514" s="134" t="s">
        <v>145</v>
      </c>
      <c r="U1514" s="267" t="s">
        <v>3664</v>
      </c>
    </row>
    <row r="1515" spans="1:23" ht="24" x14ac:dyDescent="0.25">
      <c r="A1515" s="405">
        <v>3001152</v>
      </c>
      <c r="B1515" s="406">
        <v>42443</v>
      </c>
      <c r="C1515" s="405" t="s">
        <v>42</v>
      </c>
      <c r="D1515" s="401" t="s">
        <v>3665</v>
      </c>
      <c r="E1515" s="120">
        <v>200</v>
      </c>
      <c r="F1515" s="133" t="s">
        <v>422</v>
      </c>
      <c r="G1515" s="404" t="s">
        <v>45</v>
      </c>
      <c r="H1515" s="411">
        <v>358.04</v>
      </c>
      <c r="I1515" s="89">
        <f t="shared" si="260"/>
        <v>-32.223599999999998</v>
      </c>
      <c r="J1515" s="90">
        <f t="shared" si="259"/>
        <v>-7.10276</v>
      </c>
      <c r="K1515" s="90">
        <f t="shared" si="257"/>
        <v>318.71364000000005</v>
      </c>
      <c r="L1515" s="131">
        <v>690</v>
      </c>
      <c r="M1515" s="187">
        <v>56.08</v>
      </c>
      <c r="N1515" s="91">
        <f t="shared" si="254"/>
        <v>194.07999999999998</v>
      </c>
      <c r="O1515" s="411">
        <f t="shared" si="250"/>
        <v>124.63364000000007</v>
      </c>
      <c r="P1515" s="132" t="s">
        <v>52</v>
      </c>
      <c r="Q1515" s="232"/>
      <c r="R1515" s="411"/>
      <c r="T1515" s="134" t="s">
        <v>145</v>
      </c>
      <c r="U1515" s="267" t="s">
        <v>3666</v>
      </c>
    </row>
    <row r="1516" spans="1:23" ht="24" x14ac:dyDescent="0.25">
      <c r="A1516" s="405">
        <v>3001153</v>
      </c>
      <c r="B1516" s="406">
        <v>42443</v>
      </c>
      <c r="C1516" s="405" t="s">
        <v>42</v>
      </c>
      <c r="D1516" s="401" t="s">
        <v>3667</v>
      </c>
      <c r="E1516" s="120">
        <v>500</v>
      </c>
      <c r="F1516" s="133" t="s">
        <v>3668</v>
      </c>
      <c r="G1516" s="404" t="s">
        <v>45</v>
      </c>
      <c r="H1516" s="411">
        <v>450</v>
      </c>
      <c r="I1516" s="89">
        <f t="shared" si="260"/>
        <v>-40.5</v>
      </c>
      <c r="J1516" s="90">
        <f t="shared" si="259"/>
        <v>-8.85</v>
      </c>
      <c r="K1516" s="90">
        <f t="shared" si="257"/>
        <v>400.65</v>
      </c>
      <c r="L1516" s="187">
        <v>283.86</v>
      </c>
      <c r="N1516" s="91">
        <f t="shared" si="254"/>
        <v>141.93</v>
      </c>
      <c r="O1516" s="411">
        <f t="shared" si="250"/>
        <v>258.71999999999997</v>
      </c>
      <c r="P1516" s="132" t="s">
        <v>330</v>
      </c>
      <c r="Q1516" s="232"/>
      <c r="R1516" s="411"/>
      <c r="T1516" s="134" t="s">
        <v>204</v>
      </c>
      <c r="U1516" s="267" t="s">
        <v>3669</v>
      </c>
    </row>
    <row r="1517" spans="1:23" x14ac:dyDescent="0.25">
      <c r="A1517" s="405">
        <v>3001154</v>
      </c>
      <c r="B1517" s="406">
        <v>42443</v>
      </c>
      <c r="C1517" s="405" t="s">
        <v>42</v>
      </c>
      <c r="D1517" s="401" t="s">
        <v>3670</v>
      </c>
      <c r="E1517" s="120">
        <v>1000</v>
      </c>
      <c r="F1517" s="133" t="s">
        <v>51</v>
      </c>
      <c r="G1517" s="404" t="s">
        <v>45</v>
      </c>
      <c r="H1517" s="411">
        <v>1710</v>
      </c>
      <c r="I1517" s="89">
        <f t="shared" si="260"/>
        <v>-153.9</v>
      </c>
      <c r="J1517" s="90">
        <f t="shared" si="259"/>
        <v>-32.79</v>
      </c>
      <c r="K1517" s="90">
        <f t="shared" si="257"/>
        <v>1523.31</v>
      </c>
      <c r="L1517" s="131">
        <v>1015</v>
      </c>
      <c r="M1517" s="187">
        <v>173.49</v>
      </c>
      <c r="N1517" s="91">
        <f t="shared" si="254"/>
        <v>1188.49</v>
      </c>
      <c r="O1517" s="411">
        <f t="shared" si="250"/>
        <v>334.81999999999994</v>
      </c>
      <c r="P1517" s="132" t="s">
        <v>52</v>
      </c>
      <c r="Q1517" s="232"/>
      <c r="R1517" s="411"/>
      <c r="T1517" s="134" t="s">
        <v>89</v>
      </c>
      <c r="U1517" s="267" t="s">
        <v>3671</v>
      </c>
      <c r="V1517" s="133" t="s">
        <v>55</v>
      </c>
    </row>
    <row r="1518" spans="1:23" ht="24" x14ac:dyDescent="0.25">
      <c r="A1518" s="405">
        <v>3001155</v>
      </c>
      <c r="B1518" s="406">
        <v>42443</v>
      </c>
      <c r="C1518" s="405" t="s">
        <v>42</v>
      </c>
      <c r="D1518" s="401" t="s">
        <v>3672</v>
      </c>
      <c r="E1518" s="120">
        <v>50</v>
      </c>
      <c r="F1518" s="133" t="s">
        <v>431</v>
      </c>
      <c r="G1518" s="404" t="s">
        <v>45</v>
      </c>
      <c r="H1518" s="411">
        <v>135.09</v>
      </c>
      <c r="I1518" s="89">
        <f t="shared" si="260"/>
        <v>-12.158099999999999</v>
      </c>
      <c r="J1518" s="90">
        <f t="shared" si="259"/>
        <v>-2.8667099999999999</v>
      </c>
      <c r="K1518" s="90">
        <f t="shared" si="257"/>
        <v>120.06519</v>
      </c>
      <c r="L1518" s="131">
        <v>990</v>
      </c>
      <c r="M1518" s="187">
        <v>20.75</v>
      </c>
      <c r="N1518" s="91">
        <f t="shared" si="254"/>
        <v>70.25</v>
      </c>
      <c r="O1518" s="411">
        <f t="shared" si="250"/>
        <v>49.815190000000001</v>
      </c>
      <c r="P1518" s="132" t="s">
        <v>52</v>
      </c>
      <c r="Q1518" s="232"/>
      <c r="R1518" s="411"/>
      <c r="T1518" s="134" t="s">
        <v>145</v>
      </c>
      <c r="U1518" s="267" t="s">
        <v>3673</v>
      </c>
    </row>
    <row r="1519" spans="1:23" ht="24" x14ac:dyDescent="0.25">
      <c r="A1519" s="405">
        <v>3001156</v>
      </c>
      <c r="B1519" s="406">
        <v>42443</v>
      </c>
      <c r="C1519" s="405" t="s">
        <v>42</v>
      </c>
      <c r="D1519" s="401" t="s">
        <v>3674</v>
      </c>
      <c r="E1519" s="120">
        <v>150</v>
      </c>
      <c r="F1519" s="133" t="s">
        <v>829</v>
      </c>
      <c r="G1519" s="404" t="s">
        <v>45</v>
      </c>
      <c r="H1519" s="411">
        <v>158.03</v>
      </c>
      <c r="I1519" s="89">
        <f t="shared" si="260"/>
        <v>-14.2227</v>
      </c>
      <c r="J1519" s="90">
        <f t="shared" si="259"/>
        <v>-3.3025699999999998</v>
      </c>
      <c r="K1519" s="90">
        <f t="shared" si="257"/>
        <v>140.50473</v>
      </c>
      <c r="L1519" s="131">
        <v>510</v>
      </c>
      <c r="M1519" s="187">
        <v>55.18</v>
      </c>
      <c r="N1519" s="91">
        <f t="shared" si="254"/>
        <v>131.68</v>
      </c>
      <c r="O1519" s="411">
        <f t="shared" si="250"/>
        <v>8.8247299999999882</v>
      </c>
      <c r="P1519" s="132" t="s">
        <v>52</v>
      </c>
      <c r="Q1519" s="232"/>
      <c r="R1519" s="411"/>
      <c r="T1519" s="134" t="s">
        <v>145</v>
      </c>
      <c r="U1519" s="267" t="s">
        <v>3675</v>
      </c>
    </row>
    <row r="1520" spans="1:23" ht="24" x14ac:dyDescent="0.25">
      <c r="A1520" s="405">
        <v>3001157</v>
      </c>
      <c r="B1520" s="406">
        <v>42443</v>
      </c>
      <c r="C1520" s="405" t="s">
        <v>42</v>
      </c>
      <c r="D1520" s="401" t="s">
        <v>3676</v>
      </c>
      <c r="E1520" s="120">
        <v>450</v>
      </c>
      <c r="F1520" s="133" t="s">
        <v>829</v>
      </c>
      <c r="G1520" s="404" t="s">
        <v>45</v>
      </c>
      <c r="H1520" s="411">
        <v>450.67</v>
      </c>
      <c r="I1520" s="89">
        <f t="shared" si="260"/>
        <v>-40.560299999999998</v>
      </c>
      <c r="J1520" s="90">
        <f t="shared" si="259"/>
        <v>-8.8627300000000009</v>
      </c>
      <c r="K1520" s="90">
        <f t="shared" si="257"/>
        <v>401.24697000000003</v>
      </c>
      <c r="L1520" s="131">
        <v>510</v>
      </c>
      <c r="M1520" s="187">
        <v>75.92</v>
      </c>
      <c r="N1520" s="91">
        <f t="shared" si="254"/>
        <v>305.42</v>
      </c>
      <c r="O1520" s="411">
        <f t="shared" si="250"/>
        <v>95.826970000000017</v>
      </c>
      <c r="P1520" s="132" t="s">
        <v>52</v>
      </c>
      <c r="Q1520" s="232"/>
      <c r="R1520" s="411"/>
      <c r="T1520" s="134" t="s">
        <v>145</v>
      </c>
      <c r="U1520" s="267" t="s">
        <v>3677</v>
      </c>
    </row>
    <row r="1521" spans="1:27" ht="24" x14ac:dyDescent="0.25">
      <c r="A1521" s="405">
        <v>3001158</v>
      </c>
      <c r="B1521" s="406">
        <v>42443</v>
      </c>
      <c r="C1521" s="405" t="s">
        <v>42</v>
      </c>
      <c r="D1521" s="401" t="s">
        <v>3678</v>
      </c>
      <c r="E1521" s="120">
        <v>150</v>
      </c>
      <c r="F1521" s="133" t="s">
        <v>227</v>
      </c>
      <c r="G1521" s="404" t="s">
        <v>45</v>
      </c>
      <c r="H1521" s="411">
        <v>130.15</v>
      </c>
      <c r="I1521" s="89">
        <f t="shared" si="260"/>
        <v>-11.7135</v>
      </c>
      <c r="J1521" s="90">
        <f t="shared" si="259"/>
        <v>-2.77285</v>
      </c>
      <c r="K1521" s="90">
        <f t="shared" si="257"/>
        <v>115.66365</v>
      </c>
      <c r="L1521" s="131">
        <v>350</v>
      </c>
      <c r="M1521" s="187">
        <v>27.71</v>
      </c>
      <c r="N1521" s="91">
        <f t="shared" si="254"/>
        <v>80.210000000000008</v>
      </c>
      <c r="O1521" s="411">
        <f t="shared" si="250"/>
        <v>35.453649999999996</v>
      </c>
      <c r="P1521" s="132" t="s">
        <v>52</v>
      </c>
      <c r="Q1521" s="232"/>
      <c r="R1521" s="411">
        <v>8.51</v>
      </c>
      <c r="S1521" s="133" t="s">
        <v>3679</v>
      </c>
      <c r="T1521" s="134" t="s">
        <v>145</v>
      </c>
      <c r="U1521" s="267" t="s">
        <v>3680</v>
      </c>
      <c r="AA1521" s="218"/>
    </row>
    <row r="1522" spans="1:27" ht="24" x14ac:dyDescent="0.25">
      <c r="A1522" s="405">
        <v>3001159</v>
      </c>
      <c r="B1522" s="406">
        <v>42443</v>
      </c>
      <c r="C1522" s="405" t="s">
        <v>42</v>
      </c>
      <c r="D1522" s="401" t="s">
        <v>3681</v>
      </c>
      <c r="E1522" s="120">
        <v>100</v>
      </c>
      <c r="F1522" s="133" t="s">
        <v>3682</v>
      </c>
      <c r="G1522" s="404" t="s">
        <v>45</v>
      </c>
      <c r="H1522" s="411">
        <v>247.95</v>
      </c>
      <c r="I1522" s="89">
        <f t="shared" si="260"/>
        <v>-22.315499999999997</v>
      </c>
      <c r="J1522" s="90">
        <f t="shared" si="259"/>
        <v>-5.0110499999999991</v>
      </c>
      <c r="K1522" s="90">
        <f t="shared" si="257"/>
        <v>220.62344999999999</v>
      </c>
      <c r="L1522" s="187">
        <v>1250</v>
      </c>
      <c r="M1522" s="187">
        <v>33.29</v>
      </c>
      <c r="N1522" s="91">
        <f t="shared" si="254"/>
        <v>158.29</v>
      </c>
      <c r="O1522" s="411">
        <f t="shared" si="250"/>
        <v>62.333449999999999</v>
      </c>
      <c r="P1522" s="132" t="s">
        <v>235</v>
      </c>
      <c r="Q1522" s="232"/>
      <c r="R1522" s="411"/>
      <c r="T1522" s="134" t="s">
        <v>145</v>
      </c>
      <c r="U1522" s="267" t="s">
        <v>3683</v>
      </c>
      <c r="AA1522" s="218"/>
    </row>
    <row r="1523" spans="1:27" ht="24" x14ac:dyDescent="0.25">
      <c r="A1523" s="405">
        <v>3001160</v>
      </c>
      <c r="B1523" s="406">
        <v>42443</v>
      </c>
      <c r="C1523" s="405" t="s">
        <v>42</v>
      </c>
      <c r="D1523" s="401" t="s">
        <v>3684</v>
      </c>
      <c r="E1523" s="120">
        <v>150</v>
      </c>
      <c r="F1523" s="133" t="s">
        <v>3685</v>
      </c>
      <c r="G1523" s="404" t="s">
        <v>45</v>
      </c>
      <c r="H1523" s="411">
        <v>156.44999999999999</v>
      </c>
      <c r="I1523" s="89">
        <f t="shared" si="260"/>
        <v>-14.080499999999999</v>
      </c>
      <c r="J1523" s="90">
        <f t="shared" si="259"/>
        <v>-3.2725499999999994</v>
      </c>
      <c r="K1523" s="90">
        <f t="shared" si="257"/>
        <v>139.09694999999999</v>
      </c>
      <c r="L1523" s="187">
        <v>1100</v>
      </c>
      <c r="M1523" s="187">
        <v>47.21</v>
      </c>
      <c r="N1523" s="91">
        <f t="shared" si="254"/>
        <v>212.21</v>
      </c>
      <c r="O1523" s="411">
        <f t="shared" si="250"/>
        <v>-73.113050000000015</v>
      </c>
      <c r="P1523" s="132" t="s">
        <v>235</v>
      </c>
      <c r="Q1523" s="232"/>
      <c r="R1523" s="411"/>
      <c r="T1523" s="134" t="s">
        <v>145</v>
      </c>
      <c r="U1523" s="267" t="s">
        <v>3686</v>
      </c>
      <c r="AA1523" s="218"/>
    </row>
    <row r="1524" spans="1:27" ht="24" x14ac:dyDescent="0.25">
      <c r="A1524" s="405">
        <v>3001161</v>
      </c>
      <c r="B1524" s="406">
        <v>42443</v>
      </c>
      <c r="C1524" s="405" t="s">
        <v>42</v>
      </c>
      <c r="D1524" s="401" t="s">
        <v>3687</v>
      </c>
      <c r="E1524" s="120">
        <v>175</v>
      </c>
      <c r="F1524" s="133" t="s">
        <v>247</v>
      </c>
      <c r="G1524" s="404" t="s">
        <v>45</v>
      </c>
      <c r="H1524" s="411">
        <v>212.43</v>
      </c>
      <c r="I1524" s="89">
        <f t="shared" si="260"/>
        <v>-19.1187</v>
      </c>
      <c r="J1524" s="90">
        <f t="shared" si="259"/>
        <v>-4.3361700000000001</v>
      </c>
      <c r="K1524" s="90">
        <f t="shared" si="257"/>
        <v>188.97513000000001</v>
      </c>
      <c r="L1524" s="131">
        <v>480</v>
      </c>
      <c r="M1524" s="187">
        <v>55.79</v>
      </c>
      <c r="N1524" s="91">
        <f t="shared" si="254"/>
        <v>139.79000000000002</v>
      </c>
      <c r="O1524" s="411">
        <f t="shared" si="250"/>
        <v>49.185129999999987</v>
      </c>
      <c r="P1524" s="132" t="s">
        <v>52</v>
      </c>
      <c r="Q1524" s="232"/>
      <c r="R1524" s="411"/>
      <c r="T1524" s="134" t="s">
        <v>145</v>
      </c>
      <c r="U1524" s="267" t="s">
        <v>3688</v>
      </c>
      <c r="AA1524" s="218"/>
    </row>
    <row r="1525" spans="1:27" ht="24" x14ac:dyDescent="0.25">
      <c r="A1525" s="405">
        <v>3001162</v>
      </c>
      <c r="B1525" s="406">
        <v>42443</v>
      </c>
      <c r="C1525" s="405" t="s">
        <v>42</v>
      </c>
      <c r="D1525" s="401" t="s">
        <v>3689</v>
      </c>
      <c r="E1525" s="120">
        <v>250</v>
      </c>
      <c r="F1525" s="133" t="s">
        <v>207</v>
      </c>
      <c r="G1525" s="404" t="s">
        <v>45</v>
      </c>
      <c r="H1525" s="411">
        <v>249.85</v>
      </c>
      <c r="I1525" s="89">
        <f t="shared" si="260"/>
        <v>-22.486499999999999</v>
      </c>
      <c r="J1525" s="90">
        <f t="shared" si="259"/>
        <v>-5.0471499999999994</v>
      </c>
      <c r="K1525" s="90">
        <f t="shared" si="257"/>
        <v>222.31635</v>
      </c>
      <c r="L1525" s="131">
        <v>570</v>
      </c>
      <c r="M1525" s="187">
        <v>54.73</v>
      </c>
      <c r="N1525" s="91">
        <f t="shared" si="254"/>
        <v>197.23</v>
      </c>
      <c r="O1525" s="411">
        <f t="shared" si="250"/>
        <v>25.08635000000001</v>
      </c>
      <c r="P1525" s="132" t="s">
        <v>86</v>
      </c>
      <c r="Q1525" s="232"/>
      <c r="R1525" s="411"/>
      <c r="T1525" s="134" t="s">
        <v>145</v>
      </c>
      <c r="U1525" s="267" t="s">
        <v>3690</v>
      </c>
      <c r="AA1525" s="218"/>
    </row>
    <row r="1526" spans="1:27" ht="24" x14ac:dyDescent="0.25">
      <c r="A1526" s="405">
        <v>3001163</v>
      </c>
      <c r="B1526" s="406">
        <v>42443</v>
      </c>
      <c r="C1526" s="405" t="s">
        <v>42</v>
      </c>
      <c r="D1526" s="401" t="s">
        <v>3691</v>
      </c>
      <c r="E1526" s="120">
        <v>150</v>
      </c>
      <c r="F1526" s="133" t="s">
        <v>247</v>
      </c>
      <c r="G1526" s="404" t="s">
        <v>45</v>
      </c>
      <c r="H1526" s="411">
        <v>182.08</v>
      </c>
      <c r="I1526" s="89">
        <f t="shared" si="260"/>
        <v>-16.3872</v>
      </c>
      <c r="J1526" s="90">
        <f t="shared" si="259"/>
        <v>-3.7595200000000002</v>
      </c>
      <c r="K1526" s="90">
        <f t="shared" si="257"/>
        <v>161.93328</v>
      </c>
      <c r="L1526" s="131">
        <v>480</v>
      </c>
      <c r="M1526" s="187">
        <v>44.5</v>
      </c>
      <c r="N1526" s="91">
        <f t="shared" si="254"/>
        <v>116.5</v>
      </c>
      <c r="O1526" s="411">
        <f t="shared" si="250"/>
        <v>45.433279999999996</v>
      </c>
      <c r="P1526" s="132" t="s">
        <v>52</v>
      </c>
      <c r="Q1526" s="232"/>
      <c r="R1526" s="411"/>
      <c r="T1526" s="134" t="s">
        <v>145</v>
      </c>
      <c r="U1526" s="267" t="s">
        <v>3692</v>
      </c>
      <c r="AA1526" s="218"/>
    </row>
    <row r="1527" spans="1:27" ht="24" x14ac:dyDescent="0.25">
      <c r="A1527" s="405">
        <v>3001164</v>
      </c>
      <c r="B1527" s="406">
        <v>42443</v>
      </c>
      <c r="C1527" s="405" t="s">
        <v>42</v>
      </c>
      <c r="D1527" s="401" t="s">
        <v>3693</v>
      </c>
      <c r="E1527" s="120">
        <v>250</v>
      </c>
      <c r="F1527" s="133" t="s">
        <v>1137</v>
      </c>
      <c r="G1527" s="404" t="s">
        <v>45</v>
      </c>
      <c r="H1527" s="411">
        <v>131.96</v>
      </c>
      <c r="I1527" s="89">
        <f t="shared" si="260"/>
        <v>-11.8764</v>
      </c>
      <c r="J1527" s="90">
        <f t="shared" si="259"/>
        <v>-2.8072399999999997</v>
      </c>
      <c r="K1527" s="90">
        <f t="shared" si="257"/>
        <v>117.27636000000001</v>
      </c>
      <c r="M1527" s="187">
        <v>34.4</v>
      </c>
      <c r="N1527" s="91">
        <f t="shared" si="254"/>
        <v>34.4</v>
      </c>
      <c r="O1527" s="411">
        <f t="shared" si="250"/>
        <v>82.876360000000005</v>
      </c>
      <c r="P1527" s="132" t="s">
        <v>52</v>
      </c>
      <c r="Q1527" s="232"/>
      <c r="R1527" s="411"/>
      <c r="T1527" s="134" t="s">
        <v>145</v>
      </c>
      <c r="U1527" s="267" t="s">
        <v>3694</v>
      </c>
      <c r="AA1527" s="218"/>
    </row>
    <row r="1528" spans="1:27" ht="24" x14ac:dyDescent="0.25">
      <c r="A1528" s="405">
        <v>3001165</v>
      </c>
      <c r="B1528" s="406">
        <v>42443</v>
      </c>
      <c r="C1528" s="405" t="s">
        <v>42</v>
      </c>
      <c r="D1528" s="401" t="s">
        <v>3695</v>
      </c>
      <c r="E1528" s="120">
        <v>225</v>
      </c>
      <c r="F1528" s="133" t="s">
        <v>422</v>
      </c>
      <c r="G1528" s="404" t="s">
        <v>45</v>
      </c>
      <c r="H1528" s="411">
        <v>366.17</v>
      </c>
      <c r="I1528" s="89">
        <f t="shared" si="260"/>
        <v>-32.955300000000001</v>
      </c>
      <c r="J1528" s="90">
        <f t="shared" si="259"/>
        <v>-7.2572299999999998</v>
      </c>
      <c r="K1528" s="90">
        <f t="shared" si="257"/>
        <v>325.95747</v>
      </c>
      <c r="L1528" s="131">
        <v>690</v>
      </c>
      <c r="M1528" s="187">
        <v>65.41</v>
      </c>
      <c r="N1528" s="91">
        <f t="shared" si="254"/>
        <v>220.66</v>
      </c>
      <c r="O1528" s="411">
        <f t="shared" si="250"/>
        <v>105.29747</v>
      </c>
      <c r="P1528" s="132" t="s">
        <v>52</v>
      </c>
      <c r="Q1528" s="232"/>
      <c r="R1528" s="411"/>
      <c r="T1528" s="134" t="s">
        <v>145</v>
      </c>
      <c r="U1528" s="267" t="s">
        <v>3696</v>
      </c>
      <c r="AA1528" s="218"/>
    </row>
    <row r="1529" spans="1:27" x14ac:dyDescent="0.25">
      <c r="A1529" s="405">
        <v>3001166</v>
      </c>
      <c r="B1529" s="406">
        <v>42443</v>
      </c>
      <c r="C1529" s="405" t="s">
        <v>42</v>
      </c>
      <c r="D1529" s="401" t="s">
        <v>3697</v>
      </c>
      <c r="E1529" s="120">
        <v>400</v>
      </c>
      <c r="F1529" s="133" t="s">
        <v>182</v>
      </c>
      <c r="G1529" s="404" t="s">
        <v>45</v>
      </c>
      <c r="H1529" s="411">
        <v>750</v>
      </c>
      <c r="I1529" s="89">
        <f t="shared" si="260"/>
        <v>-67.5</v>
      </c>
      <c r="J1529" s="90">
        <f t="shared" si="259"/>
        <v>-14.55</v>
      </c>
      <c r="K1529" s="90">
        <f t="shared" si="257"/>
        <v>667.95</v>
      </c>
      <c r="L1529" s="131">
        <v>1060</v>
      </c>
      <c r="M1529" s="187">
        <v>156.26</v>
      </c>
      <c r="N1529" s="91">
        <f t="shared" si="254"/>
        <v>580.26</v>
      </c>
      <c r="O1529" s="411">
        <f t="shared" si="250"/>
        <v>87.690000000000055</v>
      </c>
      <c r="P1529" s="132" t="s">
        <v>52</v>
      </c>
      <c r="Q1529" s="232"/>
      <c r="R1529" s="411"/>
      <c r="T1529" s="134" t="s">
        <v>97</v>
      </c>
      <c r="U1529" s="267" t="s">
        <v>3698</v>
      </c>
      <c r="V1529" s="133" t="s">
        <v>55</v>
      </c>
      <c r="AA1529" s="218"/>
    </row>
    <row r="1530" spans="1:27" ht="24" x14ac:dyDescent="0.25">
      <c r="A1530" s="405">
        <v>3001167</v>
      </c>
      <c r="B1530" s="406">
        <v>42443</v>
      </c>
      <c r="C1530" s="405" t="s">
        <v>237</v>
      </c>
      <c r="D1530" s="401" t="s">
        <v>3699</v>
      </c>
      <c r="E1530" s="120">
        <v>75</v>
      </c>
      <c r="F1530" s="133" t="s">
        <v>161</v>
      </c>
      <c r="G1530" s="404" t="s">
        <v>45</v>
      </c>
      <c r="H1530" s="411">
        <v>150</v>
      </c>
      <c r="I1530" s="397">
        <f t="shared" ref="I1530:I1539" si="261">-(H1530*0.15)</f>
        <v>-22.5</v>
      </c>
      <c r="J1530" s="411">
        <v>0</v>
      </c>
      <c r="K1530" s="90">
        <f t="shared" si="257"/>
        <v>127.5</v>
      </c>
      <c r="L1530" s="131">
        <v>1322</v>
      </c>
      <c r="M1530" s="187">
        <v>35.340000000000003</v>
      </c>
      <c r="N1530" s="91">
        <f t="shared" si="254"/>
        <v>134.49</v>
      </c>
      <c r="O1530" s="411">
        <f t="shared" si="250"/>
        <v>-6.9900000000000091</v>
      </c>
      <c r="P1530" s="132" t="s">
        <v>52</v>
      </c>
      <c r="Q1530" s="232"/>
      <c r="R1530" s="411"/>
      <c r="T1530" s="134" t="s">
        <v>145</v>
      </c>
      <c r="U1530" s="267" t="s">
        <v>3700</v>
      </c>
      <c r="AA1530" s="218"/>
    </row>
    <row r="1531" spans="1:27" ht="24" x14ac:dyDescent="0.25">
      <c r="A1531" s="405">
        <v>3001168</v>
      </c>
      <c r="B1531" s="406">
        <v>42443</v>
      </c>
      <c r="C1531" s="405" t="s">
        <v>237</v>
      </c>
      <c r="D1531" s="401" t="s">
        <v>3701</v>
      </c>
      <c r="E1531" s="120">
        <v>100</v>
      </c>
      <c r="F1531" s="133" t="s">
        <v>288</v>
      </c>
      <c r="G1531" s="404" t="s">
        <v>45</v>
      </c>
      <c r="H1531" s="411">
        <v>221.75</v>
      </c>
      <c r="I1531" s="397">
        <f t="shared" si="261"/>
        <v>-33.262499999999996</v>
      </c>
      <c r="J1531" s="411">
        <v>0</v>
      </c>
      <c r="K1531" s="90">
        <f t="shared" si="257"/>
        <v>188.48750000000001</v>
      </c>
      <c r="L1531" s="131">
        <v>950</v>
      </c>
      <c r="M1531" s="187">
        <v>19.93</v>
      </c>
      <c r="N1531" s="91">
        <f t="shared" si="254"/>
        <v>114.93</v>
      </c>
      <c r="O1531" s="411">
        <f t="shared" si="250"/>
        <v>73.557500000000005</v>
      </c>
      <c r="P1531" s="132" t="s">
        <v>52</v>
      </c>
      <c r="Q1531" s="232"/>
      <c r="R1531" s="411"/>
      <c r="T1531" s="134" t="s">
        <v>145</v>
      </c>
      <c r="U1531" s="267" t="s">
        <v>3702</v>
      </c>
      <c r="AA1531" s="218"/>
    </row>
    <row r="1532" spans="1:27" ht="24" x14ac:dyDescent="0.25">
      <c r="A1532" s="405">
        <v>3001169</v>
      </c>
      <c r="B1532" s="406">
        <v>42443</v>
      </c>
      <c r="C1532" s="405" t="s">
        <v>237</v>
      </c>
      <c r="D1532" s="401" t="s">
        <v>3703</v>
      </c>
      <c r="E1532" s="120">
        <v>150</v>
      </c>
      <c r="F1532" s="133" t="s">
        <v>3704</v>
      </c>
      <c r="G1532" s="404" t="s">
        <v>45</v>
      </c>
      <c r="H1532" s="411">
        <v>122.62</v>
      </c>
      <c r="I1532" s="397">
        <f t="shared" si="261"/>
        <v>-18.393000000000001</v>
      </c>
      <c r="J1532" s="411">
        <v>0</v>
      </c>
      <c r="K1532" s="90">
        <f t="shared" si="257"/>
        <v>104.227</v>
      </c>
      <c r="L1532" s="187">
        <v>370</v>
      </c>
      <c r="M1532" s="187">
        <v>20.69</v>
      </c>
      <c r="N1532" s="91">
        <f t="shared" si="254"/>
        <v>76.19</v>
      </c>
      <c r="O1532" s="411">
        <f t="shared" si="250"/>
        <v>28.037000000000006</v>
      </c>
      <c r="P1532" s="132" t="s">
        <v>183</v>
      </c>
      <c r="Q1532" s="232"/>
      <c r="R1532" s="411"/>
      <c r="T1532" s="134" t="s">
        <v>145</v>
      </c>
      <c r="U1532" s="267" t="s">
        <v>3705</v>
      </c>
      <c r="AA1532" s="218"/>
    </row>
    <row r="1533" spans="1:27" ht="24" x14ac:dyDescent="0.25">
      <c r="A1533" s="405">
        <v>3001170</v>
      </c>
      <c r="B1533" s="406">
        <v>42443</v>
      </c>
      <c r="C1533" s="405" t="s">
        <v>237</v>
      </c>
      <c r="D1533" s="401" t="s">
        <v>3706</v>
      </c>
      <c r="E1533" s="120">
        <v>75</v>
      </c>
      <c r="F1533" s="133" t="s">
        <v>161</v>
      </c>
      <c r="G1533" s="404" t="s">
        <v>45</v>
      </c>
      <c r="H1533" s="411">
        <v>150</v>
      </c>
      <c r="I1533" s="397">
        <f t="shared" si="261"/>
        <v>-22.5</v>
      </c>
      <c r="J1533" s="411">
        <v>0</v>
      </c>
      <c r="K1533" s="90">
        <f t="shared" si="257"/>
        <v>127.5</v>
      </c>
      <c r="L1533" s="131">
        <v>1322</v>
      </c>
      <c r="M1533" s="187">
        <v>40.86</v>
      </c>
      <c r="N1533" s="91">
        <f t="shared" si="254"/>
        <v>140.01</v>
      </c>
      <c r="O1533" s="411">
        <f t="shared" si="250"/>
        <v>-12.509999999999991</v>
      </c>
      <c r="P1533" s="132" t="s">
        <v>52</v>
      </c>
      <c r="Q1533" s="232"/>
      <c r="R1533" s="411"/>
      <c r="T1533" s="134" t="s">
        <v>145</v>
      </c>
      <c r="U1533" s="267" t="s">
        <v>3707</v>
      </c>
      <c r="AA1533" s="218"/>
    </row>
    <row r="1534" spans="1:27" ht="24" x14ac:dyDescent="0.25">
      <c r="A1534" s="405">
        <v>3001171</v>
      </c>
      <c r="B1534" s="406">
        <v>42443</v>
      </c>
      <c r="C1534" s="405" t="s">
        <v>237</v>
      </c>
      <c r="D1534" s="401" t="s">
        <v>3708</v>
      </c>
      <c r="E1534" s="120">
        <v>100</v>
      </c>
      <c r="F1534" s="133" t="s">
        <v>590</v>
      </c>
      <c r="G1534" s="404" t="s">
        <v>45</v>
      </c>
      <c r="H1534" s="411">
        <v>143.61000000000001</v>
      </c>
      <c r="I1534" s="397">
        <f t="shared" si="261"/>
        <v>-21.541500000000003</v>
      </c>
      <c r="J1534" s="411">
        <v>0</v>
      </c>
      <c r="K1534" s="90">
        <f t="shared" si="257"/>
        <v>122.06850000000001</v>
      </c>
      <c r="L1534" s="131">
        <v>620</v>
      </c>
      <c r="M1534" s="187">
        <v>21.65</v>
      </c>
      <c r="N1534" s="91">
        <f t="shared" si="254"/>
        <v>83.65</v>
      </c>
      <c r="O1534" s="411">
        <f t="shared" si="250"/>
        <v>38.418500000000009</v>
      </c>
      <c r="P1534" s="132" t="s">
        <v>52</v>
      </c>
      <c r="Q1534" s="232"/>
      <c r="R1534" s="411"/>
      <c r="T1534" s="134" t="s">
        <v>145</v>
      </c>
      <c r="U1534" s="267" t="s">
        <v>3709</v>
      </c>
      <c r="AA1534" s="218"/>
    </row>
    <row r="1535" spans="1:27" ht="24" x14ac:dyDescent="0.25">
      <c r="A1535" s="405">
        <v>3001172</v>
      </c>
      <c r="B1535" s="406">
        <v>42443</v>
      </c>
      <c r="C1535" s="405" t="s">
        <v>237</v>
      </c>
      <c r="D1535" s="401" t="s">
        <v>3710</v>
      </c>
      <c r="E1535" s="120">
        <v>100</v>
      </c>
      <c r="F1535" s="133" t="s">
        <v>590</v>
      </c>
      <c r="G1535" s="404" t="s">
        <v>45</v>
      </c>
      <c r="H1535" s="411">
        <v>143.61000000000001</v>
      </c>
      <c r="I1535" s="397">
        <f t="shared" si="261"/>
        <v>-21.541500000000003</v>
      </c>
      <c r="J1535" s="411">
        <v>0</v>
      </c>
      <c r="K1535" s="90">
        <f t="shared" si="257"/>
        <v>122.06850000000001</v>
      </c>
      <c r="L1535" s="131">
        <v>620</v>
      </c>
      <c r="M1535" s="187">
        <v>25.47</v>
      </c>
      <c r="N1535" s="91">
        <f t="shared" si="254"/>
        <v>87.47</v>
      </c>
      <c r="O1535" s="411">
        <f t="shared" si="250"/>
        <v>34.598500000000016</v>
      </c>
      <c r="P1535" s="132" t="s">
        <v>52</v>
      </c>
      <c r="Q1535" s="232"/>
      <c r="R1535" s="411"/>
      <c r="T1535" s="134" t="s">
        <v>145</v>
      </c>
      <c r="U1535" s="267" t="s">
        <v>3711</v>
      </c>
      <c r="AA1535" s="218"/>
    </row>
    <row r="1536" spans="1:27" x14ac:dyDescent="0.25">
      <c r="A1536" s="405">
        <v>3001173</v>
      </c>
      <c r="B1536" s="406">
        <v>42443</v>
      </c>
      <c r="C1536" s="405" t="s">
        <v>237</v>
      </c>
      <c r="D1536" s="401" t="s">
        <v>3712</v>
      </c>
      <c r="E1536" s="120">
        <v>2000</v>
      </c>
      <c r="F1536" s="133" t="s">
        <v>3713</v>
      </c>
      <c r="G1536" s="404" t="s">
        <v>45</v>
      </c>
      <c r="H1536" s="411">
        <v>1288.48</v>
      </c>
      <c r="I1536" s="397">
        <f t="shared" si="261"/>
        <v>-193.27199999999999</v>
      </c>
      <c r="J1536" s="411">
        <v>0</v>
      </c>
      <c r="K1536" s="90">
        <f t="shared" si="257"/>
        <v>1095.2080000000001</v>
      </c>
      <c r="L1536" s="131">
        <v>300</v>
      </c>
      <c r="M1536" s="187">
        <v>102.85</v>
      </c>
      <c r="N1536" s="91">
        <f t="shared" si="254"/>
        <v>702.85</v>
      </c>
      <c r="O1536" s="411">
        <f t="shared" si="250"/>
        <v>392.35800000000006</v>
      </c>
      <c r="P1536" s="132" t="s">
        <v>52</v>
      </c>
      <c r="Q1536" s="232"/>
      <c r="R1536" s="411"/>
      <c r="T1536" s="134" t="s">
        <v>244</v>
      </c>
      <c r="U1536" s="267" t="s">
        <v>3714</v>
      </c>
      <c r="V1536" s="133" t="s">
        <v>55</v>
      </c>
      <c r="AA1536" s="218"/>
    </row>
    <row r="1537" spans="1:27" ht="36" x14ac:dyDescent="0.25">
      <c r="A1537" s="405">
        <v>3001174</v>
      </c>
      <c r="B1537" s="406">
        <v>42443</v>
      </c>
      <c r="C1537" s="405" t="s">
        <v>237</v>
      </c>
      <c r="D1537" s="401" t="s">
        <v>3715</v>
      </c>
      <c r="E1537" s="120">
        <v>250</v>
      </c>
      <c r="F1537" s="119" t="s">
        <v>3716</v>
      </c>
      <c r="G1537" s="404" t="s">
        <v>45</v>
      </c>
      <c r="H1537" s="411">
        <v>183.62</v>
      </c>
      <c r="I1537" s="397">
        <f t="shared" si="261"/>
        <v>-27.542999999999999</v>
      </c>
      <c r="J1537" s="411">
        <v>0</v>
      </c>
      <c r="K1537" s="90">
        <f t="shared" si="257"/>
        <v>156.077</v>
      </c>
      <c r="L1537" s="187">
        <v>550</v>
      </c>
      <c r="M1537" s="187">
        <v>13.27</v>
      </c>
      <c r="N1537" s="91">
        <f t="shared" si="254"/>
        <v>150.77000000000001</v>
      </c>
      <c r="O1537" s="411">
        <f t="shared" si="250"/>
        <v>5.3069999999999879</v>
      </c>
      <c r="P1537" s="132" t="s">
        <v>643</v>
      </c>
      <c r="Q1537" s="232"/>
      <c r="R1537" s="411"/>
      <c r="T1537" s="134" t="s">
        <v>145</v>
      </c>
      <c r="U1537" s="267" t="s">
        <v>3717</v>
      </c>
      <c r="AA1537" s="218"/>
    </row>
    <row r="1538" spans="1:27" ht="24" x14ac:dyDescent="0.25">
      <c r="A1538" s="405">
        <v>3001175</v>
      </c>
      <c r="B1538" s="406">
        <v>42443</v>
      </c>
      <c r="C1538" s="405" t="s">
        <v>237</v>
      </c>
      <c r="D1538" s="401" t="s">
        <v>3718</v>
      </c>
      <c r="E1538" s="120">
        <v>100</v>
      </c>
      <c r="F1538" s="133" t="s">
        <v>3719</v>
      </c>
      <c r="G1538" s="404" t="s">
        <v>45</v>
      </c>
      <c r="H1538" s="411">
        <v>243.54</v>
      </c>
      <c r="I1538" s="397">
        <f t="shared" si="261"/>
        <v>-36.530999999999999</v>
      </c>
      <c r="J1538" s="411">
        <v>0</v>
      </c>
      <c r="K1538" s="90">
        <f t="shared" si="257"/>
        <v>207.00899999999999</v>
      </c>
      <c r="L1538" s="131">
        <v>1154</v>
      </c>
      <c r="M1538" s="187">
        <v>24.85</v>
      </c>
      <c r="N1538" s="91">
        <f t="shared" si="254"/>
        <v>140.25</v>
      </c>
      <c r="O1538" s="411">
        <f t="shared" si="250"/>
        <v>66.758999999999986</v>
      </c>
      <c r="P1538" s="132" t="s">
        <v>926</v>
      </c>
      <c r="Q1538" s="232"/>
      <c r="R1538" s="411"/>
      <c r="T1538" s="134" t="s">
        <v>145</v>
      </c>
      <c r="U1538" s="267" t="s">
        <v>3720</v>
      </c>
      <c r="AA1538" s="218"/>
    </row>
    <row r="1539" spans="1:27" ht="24" x14ac:dyDescent="0.25">
      <c r="A1539" s="405">
        <v>3001176</v>
      </c>
      <c r="B1539" s="406">
        <v>42443</v>
      </c>
      <c r="C1539" s="405" t="s">
        <v>237</v>
      </c>
      <c r="D1539" s="401" t="s">
        <v>3721</v>
      </c>
      <c r="E1539" s="120">
        <v>100</v>
      </c>
      <c r="F1539" s="133" t="s">
        <v>288</v>
      </c>
      <c r="G1539" s="404" t="s">
        <v>45</v>
      </c>
      <c r="H1539" s="411">
        <v>221.75</v>
      </c>
      <c r="I1539" s="397">
        <f t="shared" si="261"/>
        <v>-33.262499999999996</v>
      </c>
      <c r="J1539" s="411">
        <v>0</v>
      </c>
      <c r="K1539" s="90">
        <f t="shared" si="257"/>
        <v>188.48750000000001</v>
      </c>
      <c r="L1539" s="131">
        <v>950</v>
      </c>
      <c r="M1539" s="187">
        <v>32.42</v>
      </c>
      <c r="N1539" s="91">
        <f t="shared" si="254"/>
        <v>127.42</v>
      </c>
      <c r="O1539" s="411">
        <f t="shared" si="250"/>
        <v>61.06750000000001</v>
      </c>
      <c r="P1539" s="132" t="s">
        <v>52</v>
      </c>
      <c r="Q1539" s="232"/>
      <c r="R1539" s="411"/>
      <c r="T1539" s="134" t="s">
        <v>145</v>
      </c>
      <c r="U1539" s="267" t="s">
        <v>3722</v>
      </c>
      <c r="AA1539" s="218"/>
    </row>
    <row r="1540" spans="1:27" ht="24" x14ac:dyDescent="0.25">
      <c r="A1540" s="405">
        <v>3001177</v>
      </c>
      <c r="B1540" s="406">
        <v>42443</v>
      </c>
      <c r="C1540" s="405" t="s">
        <v>42</v>
      </c>
      <c r="D1540" s="401" t="s">
        <v>3723</v>
      </c>
      <c r="E1540" s="120">
        <v>250</v>
      </c>
      <c r="F1540" s="133" t="s">
        <v>3724</v>
      </c>
      <c r="G1540" s="404" t="s">
        <v>45</v>
      </c>
      <c r="H1540" s="411">
        <v>340.4</v>
      </c>
      <c r="I1540" s="89">
        <f t="shared" ref="I1540" si="262">-(H1540*0.09)</f>
        <v>-30.635999999999996</v>
      </c>
      <c r="J1540" s="90">
        <f t="shared" ref="J1540" si="263">-((H1540*0.019)+0.3)</f>
        <v>-6.7675999999999989</v>
      </c>
      <c r="K1540" s="90">
        <f t="shared" si="257"/>
        <v>302.99639999999999</v>
      </c>
      <c r="L1540" s="187">
        <v>1100</v>
      </c>
      <c r="M1540" s="187">
        <v>47.81</v>
      </c>
      <c r="N1540" s="91">
        <f t="shared" si="254"/>
        <v>322.81</v>
      </c>
      <c r="O1540" s="411">
        <f t="shared" si="250"/>
        <v>-19.813600000000008</v>
      </c>
      <c r="P1540" s="132" t="s">
        <v>235</v>
      </c>
      <c r="Q1540" s="232"/>
      <c r="R1540" s="411"/>
      <c r="T1540" s="134" t="s">
        <v>145</v>
      </c>
      <c r="U1540" s="267" t="s">
        <v>3725</v>
      </c>
      <c r="AA1540" s="218"/>
    </row>
    <row r="1541" spans="1:27" x14ac:dyDescent="0.25">
      <c r="A1541" s="405">
        <v>3001188</v>
      </c>
      <c r="B1541" s="406">
        <v>42443</v>
      </c>
      <c r="C1541" s="405" t="s">
        <v>63</v>
      </c>
      <c r="D1541" s="401" t="s">
        <v>3726</v>
      </c>
      <c r="E1541" s="120">
        <v>1140</v>
      </c>
      <c r="F1541" s="133" t="s">
        <v>3727</v>
      </c>
      <c r="G1541" s="404" t="s">
        <v>45</v>
      </c>
      <c r="H1541" s="411">
        <v>3180</v>
      </c>
      <c r="I1541" s="411">
        <v>0</v>
      </c>
      <c r="J1541" s="90">
        <f>-((H1541*0.022)+0.3)</f>
        <v>-70.259999999999991</v>
      </c>
      <c r="K1541" s="90">
        <f t="shared" si="257"/>
        <v>3109.74</v>
      </c>
      <c r="L1541" s="131">
        <v>1575</v>
      </c>
      <c r="M1541" s="187">
        <v>229.79</v>
      </c>
      <c r="N1541" s="91">
        <f t="shared" si="254"/>
        <v>2025.2900000000002</v>
      </c>
      <c r="O1541" s="411">
        <f t="shared" si="250"/>
        <v>1084.4499999999996</v>
      </c>
      <c r="P1541" s="132" t="s">
        <v>86</v>
      </c>
      <c r="Q1541" s="232"/>
      <c r="R1541" s="411"/>
      <c r="T1541" s="134" t="s">
        <v>53</v>
      </c>
      <c r="U1541" s="267" t="s">
        <v>3728</v>
      </c>
      <c r="V1541" s="133" t="s">
        <v>55</v>
      </c>
      <c r="W1541" s="153" t="s">
        <v>3729</v>
      </c>
      <c r="AA1541" s="218"/>
    </row>
    <row r="1542" spans="1:27" ht="24" x14ac:dyDescent="0.25">
      <c r="A1542" s="405">
        <v>3001189</v>
      </c>
      <c r="B1542" s="406">
        <v>42443</v>
      </c>
      <c r="C1542" s="405" t="s">
        <v>63</v>
      </c>
      <c r="D1542" s="401" t="s">
        <v>74</v>
      </c>
      <c r="E1542" s="120">
        <v>6380</v>
      </c>
      <c r="F1542" s="133" t="s">
        <v>3730</v>
      </c>
      <c r="G1542" s="404" t="s">
        <v>45</v>
      </c>
      <c r="H1542" s="411">
        <v>16859</v>
      </c>
      <c r="I1542" s="411">
        <v>0</v>
      </c>
      <c r="J1542" s="90">
        <f>-((H1542*0.022)+0.3)</f>
        <v>-371.19799999999998</v>
      </c>
      <c r="K1542" s="90">
        <f t="shared" si="257"/>
        <v>16487.802</v>
      </c>
      <c r="L1542" s="187">
        <v>2100</v>
      </c>
      <c r="M1542" s="187">
        <v>783.09</v>
      </c>
      <c r="N1542" s="91">
        <f t="shared" si="254"/>
        <v>14181.09</v>
      </c>
      <c r="O1542" s="411">
        <f t="shared" si="250"/>
        <v>2306.7119999999995</v>
      </c>
      <c r="P1542" s="132" t="s">
        <v>76</v>
      </c>
      <c r="Q1542" s="232"/>
      <c r="R1542" s="411"/>
      <c r="T1542" s="134" t="s">
        <v>3731</v>
      </c>
      <c r="U1542" s="267" t="s">
        <v>3732</v>
      </c>
      <c r="W1542" s="153" t="s">
        <v>77</v>
      </c>
      <c r="AA1542" s="218"/>
    </row>
    <row r="1543" spans="1:27" ht="23.25" customHeight="1" x14ac:dyDescent="0.25">
      <c r="A1543" s="419">
        <v>3001190</v>
      </c>
      <c r="B1543" s="421">
        <v>42443</v>
      </c>
      <c r="C1543" s="419" t="s">
        <v>56</v>
      </c>
      <c r="D1543" s="417" t="s">
        <v>3733</v>
      </c>
      <c r="E1543" s="120">
        <v>9840</v>
      </c>
      <c r="F1543" s="133" t="s">
        <v>3734</v>
      </c>
      <c r="G1543" s="434" t="s">
        <v>45</v>
      </c>
      <c r="H1543" s="427">
        <v>17121.599999999999</v>
      </c>
      <c r="I1543" s="427">
        <v>0</v>
      </c>
      <c r="J1543" s="427">
        <v>0</v>
      </c>
      <c r="K1543" s="425">
        <f t="shared" si="257"/>
        <v>17121.599999999999</v>
      </c>
      <c r="L1543" s="187">
        <v>597</v>
      </c>
      <c r="M1543" s="131">
        <v>549</v>
      </c>
      <c r="N1543" s="91">
        <f t="shared" si="254"/>
        <v>6423.48</v>
      </c>
      <c r="O1543" s="411">
        <f t="shared" si="250"/>
        <v>10698.119999999999</v>
      </c>
      <c r="P1543" s="132" t="s">
        <v>3592</v>
      </c>
      <c r="Q1543" s="232"/>
      <c r="R1543" s="411"/>
      <c r="T1543" s="470" t="s">
        <v>145</v>
      </c>
      <c r="U1543" s="481" t="s">
        <v>3735</v>
      </c>
      <c r="V1543" s="133" t="s">
        <v>3214</v>
      </c>
      <c r="AA1543" s="218"/>
    </row>
    <row r="1544" spans="1:27" ht="21.75" customHeight="1" x14ac:dyDescent="0.25">
      <c r="A1544" s="420"/>
      <c r="B1544" s="422"/>
      <c r="C1544" s="420"/>
      <c r="D1544" s="418"/>
      <c r="E1544" s="120">
        <v>7872</v>
      </c>
      <c r="F1544" s="133" t="s">
        <v>3736</v>
      </c>
      <c r="G1544" s="436"/>
      <c r="H1544" s="428"/>
      <c r="I1544" s="428"/>
      <c r="J1544" s="428"/>
      <c r="K1544" s="426"/>
      <c r="L1544" s="187">
        <v>750</v>
      </c>
      <c r="N1544" s="91">
        <f t="shared" si="254"/>
        <v>5904</v>
      </c>
      <c r="O1544" s="411">
        <f t="shared" si="250"/>
        <v>-5904</v>
      </c>
      <c r="P1544" s="132" t="s">
        <v>3592</v>
      </c>
      <c r="Q1544" s="232"/>
      <c r="R1544" s="411"/>
      <c r="T1544" s="472"/>
      <c r="U1544" s="483"/>
      <c r="AA1544" s="218"/>
    </row>
    <row r="1545" spans="1:27" ht="24" x14ac:dyDescent="0.25">
      <c r="A1545" s="405">
        <v>3001191</v>
      </c>
      <c r="B1545" s="406">
        <v>42444</v>
      </c>
      <c r="C1545" s="405" t="s">
        <v>63</v>
      </c>
      <c r="D1545" s="401" t="s">
        <v>2037</v>
      </c>
      <c r="E1545" s="120">
        <v>1000</v>
      </c>
      <c r="F1545" s="133" t="s">
        <v>3737</v>
      </c>
      <c r="G1545" s="404" t="s">
        <v>45</v>
      </c>
      <c r="H1545" s="411">
        <v>100</v>
      </c>
      <c r="I1545" s="411">
        <v>0</v>
      </c>
      <c r="J1545" s="90">
        <f>-((H1545*0.022)+0.3)</f>
        <v>-2.4999999999999996</v>
      </c>
      <c r="K1545" s="90">
        <f t="shared" si="257"/>
        <v>97.5</v>
      </c>
      <c r="L1545" s="131">
        <v>89.95</v>
      </c>
      <c r="N1545" s="91">
        <f t="shared" si="254"/>
        <v>89.95</v>
      </c>
      <c r="O1545" s="411">
        <f t="shared" ref="O1545:O1608" si="264">K1545-N1545</f>
        <v>7.5499999999999972</v>
      </c>
      <c r="P1545" s="132" t="s">
        <v>42</v>
      </c>
      <c r="Q1545" s="232"/>
      <c r="R1545" s="411"/>
      <c r="T1545" s="134" t="s">
        <v>204</v>
      </c>
      <c r="U1545" s="267" t="s">
        <v>3738</v>
      </c>
      <c r="W1545" s="153" t="s">
        <v>2040</v>
      </c>
      <c r="AA1545" s="218"/>
    </row>
    <row r="1546" spans="1:27" ht="24" x14ac:dyDescent="0.25">
      <c r="A1546" s="405">
        <v>3001192</v>
      </c>
      <c r="B1546" s="406">
        <v>42444</v>
      </c>
      <c r="C1546" s="405" t="s">
        <v>42</v>
      </c>
      <c r="D1546" s="401" t="s">
        <v>3739</v>
      </c>
      <c r="E1546" s="120">
        <v>50</v>
      </c>
      <c r="F1546" s="133" t="s">
        <v>161</v>
      </c>
      <c r="G1546" s="404" t="s">
        <v>45</v>
      </c>
      <c r="H1546" s="411">
        <v>156.66</v>
      </c>
      <c r="I1546" s="89">
        <f t="shared" ref="I1546:I1548" si="265">-(H1546*0.09)</f>
        <v>-14.099399999999999</v>
      </c>
      <c r="J1546" s="90">
        <f t="shared" ref="J1546:J1548" si="266">-((H1546*0.019)+0.3)</f>
        <v>-3.2765399999999998</v>
      </c>
      <c r="K1546" s="90">
        <f t="shared" si="257"/>
        <v>139.28405999999998</v>
      </c>
      <c r="L1546" s="131">
        <v>1322</v>
      </c>
      <c r="M1546" s="187">
        <v>17.03</v>
      </c>
      <c r="N1546" s="91">
        <f t="shared" si="254"/>
        <v>83.13000000000001</v>
      </c>
      <c r="O1546" s="411">
        <f t="shared" si="264"/>
        <v>56.154059999999973</v>
      </c>
      <c r="P1546" s="132" t="s">
        <v>52</v>
      </c>
      <c r="Q1546" s="232"/>
      <c r="R1546" s="411">
        <v>11.6</v>
      </c>
      <c r="S1546" s="133" t="s">
        <v>2024</v>
      </c>
      <c r="T1546" s="134" t="s">
        <v>145</v>
      </c>
      <c r="U1546" s="267" t="s">
        <v>3740</v>
      </c>
      <c r="AA1546" s="218"/>
    </row>
    <row r="1547" spans="1:27" ht="24" x14ac:dyDescent="0.25">
      <c r="A1547" s="405">
        <v>3001193</v>
      </c>
      <c r="B1547" s="406">
        <v>42444</v>
      </c>
      <c r="C1547" s="405" t="s">
        <v>42</v>
      </c>
      <c r="D1547" s="401" t="s">
        <v>3741</v>
      </c>
      <c r="E1547" s="120">
        <v>51</v>
      </c>
      <c r="F1547" s="133" t="s">
        <v>1081</v>
      </c>
      <c r="G1547" s="404" t="s">
        <v>45</v>
      </c>
      <c r="H1547" s="411">
        <v>109.25</v>
      </c>
      <c r="I1547" s="89">
        <f t="shared" si="265"/>
        <v>-9.8324999999999996</v>
      </c>
      <c r="J1547" s="90">
        <f t="shared" si="266"/>
        <v>-2.3757499999999996</v>
      </c>
      <c r="K1547" s="90">
        <f t="shared" si="257"/>
        <v>97.041750000000008</v>
      </c>
      <c r="L1547" s="187">
        <v>1400</v>
      </c>
      <c r="M1547" s="187">
        <v>20.72</v>
      </c>
      <c r="N1547" s="91">
        <f t="shared" si="254"/>
        <v>92.12</v>
      </c>
      <c r="O1547" s="411">
        <f t="shared" si="264"/>
        <v>4.921750000000003</v>
      </c>
      <c r="P1547" s="132" t="s">
        <v>183</v>
      </c>
      <c r="Q1547" s="232"/>
      <c r="R1547" s="411"/>
      <c r="T1547" s="134" t="s">
        <v>145</v>
      </c>
      <c r="U1547" s="267" t="s">
        <v>3742</v>
      </c>
      <c r="AA1547" s="218"/>
    </row>
    <row r="1548" spans="1:27" x14ac:dyDescent="0.25">
      <c r="A1548" s="419">
        <v>3001194</v>
      </c>
      <c r="B1548" s="421">
        <v>42444</v>
      </c>
      <c r="C1548" s="419" t="s">
        <v>42</v>
      </c>
      <c r="D1548" s="429" t="s">
        <v>3743</v>
      </c>
      <c r="E1548" s="120">
        <v>750</v>
      </c>
      <c r="F1548" s="133" t="s">
        <v>3744</v>
      </c>
      <c r="G1548" s="434" t="s">
        <v>45</v>
      </c>
      <c r="H1548" s="427">
        <v>699.48</v>
      </c>
      <c r="I1548" s="452">
        <f t="shared" si="265"/>
        <v>-62.953200000000002</v>
      </c>
      <c r="J1548" s="425">
        <f t="shared" si="266"/>
        <v>-13.590120000000001</v>
      </c>
      <c r="K1548" s="425">
        <f t="shared" si="257"/>
        <v>622.93668000000002</v>
      </c>
      <c r="M1548" s="468">
        <v>90.87</v>
      </c>
      <c r="N1548" s="91">
        <f t="shared" si="254"/>
        <v>90.87</v>
      </c>
      <c r="O1548" s="411">
        <f t="shared" si="264"/>
        <v>532.06668000000002</v>
      </c>
      <c r="P1548" s="132" t="s">
        <v>52</v>
      </c>
      <c r="Q1548" s="232"/>
      <c r="R1548" s="411"/>
      <c r="T1548" s="470" t="s">
        <v>244</v>
      </c>
      <c r="U1548" s="481" t="s">
        <v>3745</v>
      </c>
      <c r="V1548" s="133" t="s">
        <v>55</v>
      </c>
      <c r="AA1548" s="218"/>
    </row>
    <row r="1549" spans="1:27" x14ac:dyDescent="0.25">
      <c r="A1549" s="432"/>
      <c r="B1549" s="433"/>
      <c r="C1549" s="432"/>
      <c r="D1549" s="430"/>
      <c r="E1549" s="120">
        <v>250</v>
      </c>
      <c r="F1549" s="133" t="s">
        <v>1137</v>
      </c>
      <c r="G1549" s="435"/>
      <c r="H1549" s="438"/>
      <c r="I1549" s="484"/>
      <c r="J1549" s="437"/>
      <c r="K1549" s="437"/>
      <c r="L1549" s="131">
        <v>220</v>
      </c>
      <c r="M1549" s="491"/>
      <c r="N1549" s="91">
        <f t="shared" ref="N1549:N1612" si="267">((L1549)*(E1549*0.001))+M1549</f>
        <v>55</v>
      </c>
      <c r="O1549" s="411">
        <f t="shared" si="264"/>
        <v>-55</v>
      </c>
      <c r="P1549" s="132" t="s">
        <v>52</v>
      </c>
      <c r="Q1549" s="232"/>
      <c r="R1549" s="411"/>
      <c r="T1549" s="471"/>
      <c r="U1549" s="482"/>
      <c r="V1549" s="133" t="s">
        <v>2711</v>
      </c>
      <c r="AA1549" s="218"/>
    </row>
    <row r="1550" spans="1:27" x14ac:dyDescent="0.25">
      <c r="A1550" s="432"/>
      <c r="B1550" s="433"/>
      <c r="C1550" s="432"/>
      <c r="D1550" s="430"/>
      <c r="E1550" s="120">
        <v>250</v>
      </c>
      <c r="F1550" s="133" t="s">
        <v>983</v>
      </c>
      <c r="G1550" s="435"/>
      <c r="H1550" s="438"/>
      <c r="I1550" s="484"/>
      <c r="J1550" s="437"/>
      <c r="K1550" s="437"/>
      <c r="L1550" s="131">
        <v>300</v>
      </c>
      <c r="M1550" s="491"/>
      <c r="N1550" s="91">
        <f t="shared" si="267"/>
        <v>75</v>
      </c>
      <c r="O1550" s="411">
        <f t="shared" si="264"/>
        <v>-75</v>
      </c>
      <c r="P1550" s="132" t="s">
        <v>52</v>
      </c>
      <c r="Q1550" s="232"/>
      <c r="R1550" s="411"/>
      <c r="T1550" s="471"/>
      <c r="U1550" s="482"/>
      <c r="AA1550" s="218"/>
    </row>
    <row r="1551" spans="1:27" x14ac:dyDescent="0.25">
      <c r="A1551" s="420"/>
      <c r="B1551" s="422"/>
      <c r="C1551" s="420"/>
      <c r="D1551" s="431"/>
      <c r="E1551" s="120">
        <v>100</v>
      </c>
      <c r="F1551" s="133" t="s">
        <v>593</v>
      </c>
      <c r="G1551" s="436"/>
      <c r="H1551" s="428"/>
      <c r="I1551" s="453"/>
      <c r="J1551" s="426"/>
      <c r="K1551" s="426"/>
      <c r="L1551" s="131">
        <v>660</v>
      </c>
      <c r="M1551" s="469"/>
      <c r="N1551" s="91">
        <f t="shared" si="267"/>
        <v>66</v>
      </c>
      <c r="O1551" s="411">
        <f t="shared" si="264"/>
        <v>-66</v>
      </c>
      <c r="P1551" s="132" t="s">
        <v>52</v>
      </c>
      <c r="Q1551" s="232"/>
      <c r="R1551" s="411"/>
      <c r="T1551" s="472"/>
      <c r="U1551" s="483"/>
      <c r="AA1551" s="218"/>
    </row>
    <row r="1552" spans="1:27" ht="24" x14ac:dyDescent="0.25">
      <c r="A1552" s="405">
        <v>3001195</v>
      </c>
      <c r="B1552" s="406">
        <v>42444</v>
      </c>
      <c r="C1552" s="405" t="s">
        <v>42</v>
      </c>
      <c r="D1552" s="401" t="s">
        <v>3746</v>
      </c>
      <c r="E1552" s="120">
        <v>50</v>
      </c>
      <c r="F1552" s="133" t="s">
        <v>3747</v>
      </c>
      <c r="G1552" s="404" t="s">
        <v>45</v>
      </c>
      <c r="H1552" s="411">
        <v>182</v>
      </c>
      <c r="I1552" s="89">
        <f t="shared" ref="I1552:I1558" si="268">-(H1552*0.09)</f>
        <v>-16.38</v>
      </c>
      <c r="J1552" s="90">
        <f t="shared" ref="J1552:J1558" si="269">-((H1552*0.019)+0.3)</f>
        <v>-3.7579999999999996</v>
      </c>
      <c r="K1552" s="90">
        <f t="shared" ref="K1552:K1568" si="270">SUM(H1552:J1552)</f>
        <v>161.86199999999999</v>
      </c>
      <c r="L1552" s="131">
        <v>2600</v>
      </c>
      <c r="M1552" s="187">
        <v>20.43</v>
      </c>
      <c r="N1552" s="91">
        <f t="shared" si="267"/>
        <v>150.43</v>
      </c>
      <c r="O1552" s="411">
        <f t="shared" si="264"/>
        <v>11.431999999999988</v>
      </c>
      <c r="P1552" s="132" t="s">
        <v>235</v>
      </c>
      <c r="Q1552" s="232"/>
      <c r="R1552" s="411"/>
      <c r="T1552" s="134" t="s">
        <v>145</v>
      </c>
      <c r="U1552" s="267" t="s">
        <v>3748</v>
      </c>
      <c r="AA1552" s="218"/>
    </row>
    <row r="1553" spans="1:27" ht="24" x14ac:dyDescent="0.25">
      <c r="A1553" s="405">
        <v>3001196</v>
      </c>
      <c r="B1553" s="406">
        <v>42444</v>
      </c>
      <c r="C1553" s="405" t="s">
        <v>42</v>
      </c>
      <c r="D1553" s="401" t="s">
        <v>3749</v>
      </c>
      <c r="E1553" s="120">
        <v>200</v>
      </c>
      <c r="F1553" s="133" t="s">
        <v>161</v>
      </c>
      <c r="G1553" s="404" t="s">
        <v>45</v>
      </c>
      <c r="H1553" s="411">
        <v>427.02</v>
      </c>
      <c r="I1553" s="89">
        <f t="shared" si="268"/>
        <v>-38.431799999999996</v>
      </c>
      <c r="J1553" s="90">
        <f t="shared" si="269"/>
        <v>-8.4133800000000001</v>
      </c>
      <c r="K1553" s="90">
        <f t="shared" si="270"/>
        <v>380.17481999999995</v>
      </c>
      <c r="L1553" s="131">
        <v>1322</v>
      </c>
      <c r="M1553" s="187">
        <v>73.209999999999994</v>
      </c>
      <c r="N1553" s="91">
        <f t="shared" si="267"/>
        <v>337.61</v>
      </c>
      <c r="O1553" s="411">
        <f t="shared" si="264"/>
        <v>42.564819999999941</v>
      </c>
      <c r="P1553" s="132" t="s">
        <v>52</v>
      </c>
      <c r="Q1553" s="232"/>
      <c r="R1553" s="411"/>
      <c r="T1553" s="134" t="s">
        <v>145</v>
      </c>
      <c r="U1553" s="267" t="s">
        <v>3750</v>
      </c>
      <c r="AA1553" s="218"/>
    </row>
    <row r="1554" spans="1:27" ht="24" x14ac:dyDescent="0.25">
      <c r="A1554" s="405">
        <v>3001197</v>
      </c>
      <c r="B1554" s="406">
        <v>42444</v>
      </c>
      <c r="C1554" s="405" t="s">
        <v>42</v>
      </c>
      <c r="D1554" s="401" t="s">
        <v>3751</v>
      </c>
      <c r="E1554" s="120">
        <v>100</v>
      </c>
      <c r="F1554" s="133" t="s">
        <v>431</v>
      </c>
      <c r="G1554" s="404" t="s">
        <v>45</v>
      </c>
      <c r="H1554" s="411">
        <v>216.11</v>
      </c>
      <c r="I1554" s="89">
        <f t="shared" si="268"/>
        <v>-19.4499</v>
      </c>
      <c r="J1554" s="90">
        <f t="shared" si="269"/>
        <v>-4.4060899999999998</v>
      </c>
      <c r="K1554" s="90">
        <f t="shared" si="270"/>
        <v>192.25400999999999</v>
      </c>
      <c r="L1554" s="131">
        <v>990</v>
      </c>
      <c r="M1554" s="187">
        <v>43.64</v>
      </c>
      <c r="N1554" s="91">
        <f t="shared" si="267"/>
        <v>142.63999999999999</v>
      </c>
      <c r="O1554" s="411">
        <f t="shared" si="264"/>
        <v>49.614010000000007</v>
      </c>
      <c r="P1554" s="132" t="s">
        <v>52</v>
      </c>
      <c r="Q1554" s="232"/>
      <c r="R1554" s="411"/>
      <c r="T1554" s="134" t="s">
        <v>145</v>
      </c>
      <c r="U1554" s="267" t="s">
        <v>3752</v>
      </c>
      <c r="AA1554" s="218"/>
    </row>
    <row r="1555" spans="1:27" ht="24" x14ac:dyDescent="0.25">
      <c r="A1555" s="405">
        <v>3001198</v>
      </c>
      <c r="B1555" s="406">
        <v>42444</v>
      </c>
      <c r="C1555" s="405" t="s">
        <v>42</v>
      </c>
      <c r="D1555" s="401" t="s">
        <v>3753</v>
      </c>
      <c r="E1555" s="120">
        <v>50</v>
      </c>
      <c r="F1555" s="133" t="s">
        <v>431</v>
      </c>
      <c r="G1555" s="404" t="s">
        <v>45</v>
      </c>
      <c r="H1555" s="411">
        <v>135.09</v>
      </c>
      <c r="I1555" s="89">
        <f t="shared" si="268"/>
        <v>-12.158099999999999</v>
      </c>
      <c r="J1555" s="90">
        <f t="shared" si="269"/>
        <v>-2.8667099999999999</v>
      </c>
      <c r="K1555" s="90">
        <f t="shared" si="270"/>
        <v>120.06519</v>
      </c>
      <c r="L1555" s="131">
        <v>990</v>
      </c>
      <c r="M1555" s="187">
        <v>27.83</v>
      </c>
      <c r="N1555" s="91">
        <f t="shared" si="267"/>
        <v>77.33</v>
      </c>
      <c r="O1555" s="411">
        <f t="shared" si="264"/>
        <v>42.735190000000003</v>
      </c>
      <c r="P1555" s="132" t="s">
        <v>52</v>
      </c>
      <c r="Q1555" s="232"/>
      <c r="R1555" s="411"/>
      <c r="T1555" s="134" t="s">
        <v>145</v>
      </c>
      <c r="U1555" s="267" t="s">
        <v>3754</v>
      </c>
      <c r="AA1555" s="218"/>
    </row>
    <row r="1556" spans="1:27" ht="24" x14ac:dyDescent="0.25">
      <c r="A1556" s="405">
        <v>3001199</v>
      </c>
      <c r="B1556" s="406">
        <v>42444</v>
      </c>
      <c r="C1556" s="405" t="s">
        <v>42</v>
      </c>
      <c r="D1556" s="401" t="s">
        <v>3755</v>
      </c>
      <c r="E1556" s="120">
        <v>50</v>
      </c>
      <c r="F1556" s="133" t="s">
        <v>161</v>
      </c>
      <c r="G1556" s="404" t="s">
        <v>45</v>
      </c>
      <c r="H1556" s="411">
        <v>156.66</v>
      </c>
      <c r="I1556" s="89">
        <f t="shared" si="268"/>
        <v>-14.099399999999999</v>
      </c>
      <c r="J1556" s="90">
        <f t="shared" si="269"/>
        <v>-3.2765399999999998</v>
      </c>
      <c r="K1556" s="90">
        <f t="shared" si="270"/>
        <v>139.28405999999998</v>
      </c>
      <c r="L1556" s="131">
        <v>1322</v>
      </c>
      <c r="M1556" s="187">
        <v>30.58</v>
      </c>
      <c r="N1556" s="91">
        <f t="shared" si="267"/>
        <v>96.68</v>
      </c>
      <c r="O1556" s="411">
        <f t="shared" si="264"/>
        <v>42.604059999999976</v>
      </c>
      <c r="P1556" s="132" t="s">
        <v>52</v>
      </c>
      <c r="Q1556" s="232"/>
      <c r="R1556" s="411">
        <v>11.6</v>
      </c>
      <c r="S1556" s="133" t="s">
        <v>1117</v>
      </c>
      <c r="T1556" s="134" t="s">
        <v>145</v>
      </c>
      <c r="U1556" s="267" t="s">
        <v>3756</v>
      </c>
      <c r="AA1556" s="218"/>
    </row>
    <row r="1557" spans="1:27" ht="24" x14ac:dyDescent="0.25">
      <c r="A1557" s="405">
        <v>3001200</v>
      </c>
      <c r="B1557" s="406">
        <v>42444</v>
      </c>
      <c r="C1557" s="405" t="s">
        <v>42</v>
      </c>
      <c r="D1557" s="401" t="s">
        <v>3757</v>
      </c>
      <c r="E1557" s="120">
        <v>100</v>
      </c>
      <c r="F1557" s="133" t="s">
        <v>341</v>
      </c>
      <c r="G1557" s="404" t="s">
        <v>45</v>
      </c>
      <c r="H1557" s="411">
        <v>199.08</v>
      </c>
      <c r="I1557" s="89">
        <f t="shared" si="268"/>
        <v>-17.917200000000001</v>
      </c>
      <c r="J1557" s="90">
        <f t="shared" si="269"/>
        <v>-4.0825200000000006</v>
      </c>
      <c r="K1557" s="90">
        <f t="shared" si="270"/>
        <v>177.08028000000002</v>
      </c>
      <c r="M1557" s="187">
        <v>49.41</v>
      </c>
      <c r="N1557" s="91">
        <f t="shared" si="267"/>
        <v>49.41</v>
      </c>
      <c r="O1557" s="411">
        <f t="shared" si="264"/>
        <v>127.67028000000002</v>
      </c>
      <c r="P1557" s="132" t="s">
        <v>52</v>
      </c>
      <c r="Q1557" s="232"/>
      <c r="R1557" s="411"/>
      <c r="T1557" s="134" t="s">
        <v>145</v>
      </c>
      <c r="U1557" s="267" t="s">
        <v>3758</v>
      </c>
      <c r="AA1557" s="218"/>
    </row>
    <row r="1558" spans="1:27" ht="24" x14ac:dyDescent="0.25">
      <c r="A1558" s="405">
        <v>3001201</v>
      </c>
      <c r="B1558" s="406">
        <v>42444</v>
      </c>
      <c r="C1558" s="405" t="s">
        <v>42</v>
      </c>
      <c r="D1558" s="401" t="s">
        <v>3759</v>
      </c>
      <c r="E1558" s="120">
        <v>150</v>
      </c>
      <c r="F1558" s="133" t="s">
        <v>247</v>
      </c>
      <c r="G1558" s="404" t="s">
        <v>45</v>
      </c>
      <c r="H1558" s="411">
        <v>182.08</v>
      </c>
      <c r="I1558" s="89">
        <f t="shared" si="268"/>
        <v>-16.3872</v>
      </c>
      <c r="J1558" s="90">
        <f t="shared" si="269"/>
        <v>-3.7595200000000002</v>
      </c>
      <c r="K1558" s="90">
        <f t="shared" si="270"/>
        <v>161.93328</v>
      </c>
      <c r="L1558" s="131">
        <v>480</v>
      </c>
      <c r="M1558" s="187">
        <v>36.6</v>
      </c>
      <c r="N1558" s="91">
        <f t="shared" si="267"/>
        <v>108.6</v>
      </c>
      <c r="O1558" s="411">
        <f t="shared" si="264"/>
        <v>53.333280000000002</v>
      </c>
      <c r="P1558" s="132" t="s">
        <v>52</v>
      </c>
      <c r="Q1558" s="232"/>
      <c r="R1558" s="411"/>
      <c r="T1558" s="134" t="s">
        <v>145</v>
      </c>
      <c r="U1558" s="267" t="s">
        <v>3760</v>
      </c>
      <c r="AA1558" s="218"/>
    </row>
    <row r="1559" spans="1:27" ht="24" x14ac:dyDescent="0.25">
      <c r="A1559" s="405">
        <v>3001202</v>
      </c>
      <c r="B1559" s="406">
        <v>42444</v>
      </c>
      <c r="C1559" s="405" t="s">
        <v>237</v>
      </c>
      <c r="D1559" s="401" t="s">
        <v>3761</v>
      </c>
      <c r="E1559" s="120">
        <v>100</v>
      </c>
      <c r="F1559" s="133" t="s">
        <v>288</v>
      </c>
      <c r="G1559" s="404" t="s">
        <v>45</v>
      </c>
      <c r="H1559" s="411">
        <v>221.75</v>
      </c>
      <c r="I1559" s="397">
        <f t="shared" ref="I1559:I1565" si="271">-(H1559*0.15)</f>
        <v>-33.262499999999996</v>
      </c>
      <c r="J1559" s="411">
        <v>0</v>
      </c>
      <c r="K1559" s="90">
        <f t="shared" si="270"/>
        <v>188.48750000000001</v>
      </c>
      <c r="L1559" s="131">
        <v>950</v>
      </c>
      <c r="M1559" s="187">
        <v>23.05</v>
      </c>
      <c r="N1559" s="91">
        <f t="shared" si="267"/>
        <v>118.05</v>
      </c>
      <c r="O1559" s="411">
        <f t="shared" si="264"/>
        <v>70.437500000000014</v>
      </c>
      <c r="P1559" s="132" t="s">
        <v>52</v>
      </c>
      <c r="Q1559" s="232"/>
      <c r="R1559" s="411"/>
      <c r="T1559" s="134" t="s">
        <v>145</v>
      </c>
      <c r="U1559" s="267" t="s">
        <v>3762</v>
      </c>
      <c r="AA1559" s="218"/>
    </row>
    <row r="1560" spans="1:27" ht="24" x14ac:dyDescent="0.25">
      <c r="A1560" s="405">
        <v>3001203</v>
      </c>
      <c r="B1560" s="406">
        <v>42444</v>
      </c>
      <c r="C1560" s="405" t="s">
        <v>237</v>
      </c>
      <c r="D1560" s="401" t="s">
        <v>3763</v>
      </c>
      <c r="E1560" s="120">
        <v>50</v>
      </c>
      <c r="F1560" s="133" t="s">
        <v>3307</v>
      </c>
      <c r="G1560" s="404" t="s">
        <v>45</v>
      </c>
      <c r="H1560" s="411">
        <v>128.69999999999999</v>
      </c>
      <c r="I1560" s="397">
        <f t="shared" si="271"/>
        <v>-19.304999999999996</v>
      </c>
      <c r="J1560" s="411">
        <v>0</v>
      </c>
      <c r="K1560" s="90">
        <f t="shared" si="270"/>
        <v>109.395</v>
      </c>
      <c r="L1560" s="131">
        <v>1186</v>
      </c>
      <c r="M1560" s="187">
        <v>16.5</v>
      </c>
      <c r="N1560" s="91">
        <f t="shared" si="267"/>
        <v>75.800000000000011</v>
      </c>
      <c r="O1560" s="411">
        <f t="shared" si="264"/>
        <v>33.594999999999985</v>
      </c>
      <c r="P1560" s="132" t="s">
        <v>926</v>
      </c>
      <c r="Q1560" s="232"/>
      <c r="R1560" s="411"/>
      <c r="T1560" s="134" t="s">
        <v>145</v>
      </c>
      <c r="U1560" s="267" t="s">
        <v>3764</v>
      </c>
      <c r="AA1560" s="218"/>
    </row>
    <row r="1561" spans="1:27" ht="24" x14ac:dyDescent="0.25">
      <c r="A1561" s="405">
        <v>3001204</v>
      </c>
      <c r="B1561" s="406">
        <v>42444</v>
      </c>
      <c r="C1561" s="405" t="s">
        <v>237</v>
      </c>
      <c r="D1561" s="401" t="s">
        <v>3765</v>
      </c>
      <c r="E1561" s="120">
        <v>150</v>
      </c>
      <c r="F1561" s="133" t="s">
        <v>247</v>
      </c>
      <c r="G1561" s="404" t="s">
        <v>45</v>
      </c>
      <c r="H1561" s="411">
        <v>172.41</v>
      </c>
      <c r="I1561" s="397">
        <f t="shared" si="271"/>
        <v>-25.861499999999999</v>
      </c>
      <c r="J1561" s="411">
        <v>0</v>
      </c>
      <c r="K1561" s="90">
        <f t="shared" si="270"/>
        <v>146.54849999999999</v>
      </c>
      <c r="L1561" s="131">
        <v>480</v>
      </c>
      <c r="M1561" s="187">
        <v>44.5</v>
      </c>
      <c r="N1561" s="91">
        <f t="shared" si="267"/>
        <v>116.5</v>
      </c>
      <c r="O1561" s="411">
        <f t="shared" si="264"/>
        <v>30.04849999999999</v>
      </c>
      <c r="P1561" s="132" t="s">
        <v>52</v>
      </c>
      <c r="Q1561" s="232"/>
      <c r="R1561" s="411"/>
      <c r="T1561" s="134" t="s">
        <v>145</v>
      </c>
      <c r="U1561" s="267" t="s">
        <v>3766</v>
      </c>
      <c r="AA1561" s="218"/>
    </row>
    <row r="1562" spans="1:27" ht="24" x14ac:dyDescent="0.25">
      <c r="A1562" s="405">
        <v>3001205</v>
      </c>
      <c r="B1562" s="406">
        <v>42444</v>
      </c>
      <c r="C1562" s="405" t="s">
        <v>237</v>
      </c>
      <c r="D1562" s="401" t="s">
        <v>3767</v>
      </c>
      <c r="E1562" s="120">
        <v>100</v>
      </c>
      <c r="F1562" s="133" t="s">
        <v>829</v>
      </c>
      <c r="G1562" s="404" t="s">
        <v>45</v>
      </c>
      <c r="H1562" s="411">
        <v>124.72</v>
      </c>
      <c r="I1562" s="397">
        <f t="shared" si="271"/>
        <v>-18.707999999999998</v>
      </c>
      <c r="J1562" s="411">
        <v>0</v>
      </c>
      <c r="K1562" s="90">
        <f t="shared" si="270"/>
        <v>106.012</v>
      </c>
      <c r="L1562" s="131">
        <v>510</v>
      </c>
      <c r="M1562" s="187">
        <v>32.89</v>
      </c>
      <c r="N1562" s="91">
        <f t="shared" si="267"/>
        <v>83.89</v>
      </c>
      <c r="O1562" s="411">
        <f t="shared" si="264"/>
        <v>22.122</v>
      </c>
      <c r="P1562" s="132" t="s">
        <v>52</v>
      </c>
      <c r="Q1562" s="232"/>
      <c r="R1562" s="411"/>
      <c r="T1562" s="134" t="s">
        <v>145</v>
      </c>
      <c r="U1562" s="267" t="s">
        <v>3768</v>
      </c>
      <c r="AA1562" s="218"/>
    </row>
    <row r="1563" spans="1:27" ht="24" x14ac:dyDescent="0.25">
      <c r="A1563" s="405">
        <v>3001206</v>
      </c>
      <c r="B1563" s="406">
        <v>42444</v>
      </c>
      <c r="C1563" s="405" t="s">
        <v>237</v>
      </c>
      <c r="D1563" s="401" t="s">
        <v>3769</v>
      </c>
      <c r="E1563" s="120">
        <v>100</v>
      </c>
      <c r="F1563" s="133" t="s">
        <v>829</v>
      </c>
      <c r="G1563" s="404" t="s">
        <v>45</v>
      </c>
      <c r="H1563" s="411">
        <v>124.72</v>
      </c>
      <c r="I1563" s="397">
        <f t="shared" si="271"/>
        <v>-18.707999999999998</v>
      </c>
      <c r="J1563" s="411">
        <v>0</v>
      </c>
      <c r="K1563" s="90">
        <f t="shared" si="270"/>
        <v>106.012</v>
      </c>
      <c r="L1563" s="131">
        <v>510</v>
      </c>
      <c r="M1563" s="187">
        <v>37.11</v>
      </c>
      <c r="N1563" s="91">
        <f t="shared" si="267"/>
        <v>88.11</v>
      </c>
      <c r="O1563" s="411">
        <f t="shared" si="264"/>
        <v>17.902000000000001</v>
      </c>
      <c r="P1563" s="132" t="s">
        <v>52</v>
      </c>
      <c r="Q1563" s="232"/>
      <c r="R1563" s="411"/>
      <c r="T1563" s="134" t="s">
        <v>145</v>
      </c>
      <c r="U1563" s="267" t="s">
        <v>3770</v>
      </c>
      <c r="AA1563" s="218"/>
    </row>
    <row r="1564" spans="1:27" ht="24" x14ac:dyDescent="0.25">
      <c r="A1564" s="405">
        <v>3001207</v>
      </c>
      <c r="B1564" s="406">
        <v>42444</v>
      </c>
      <c r="C1564" s="405" t="s">
        <v>237</v>
      </c>
      <c r="D1564" s="401" t="s">
        <v>3771</v>
      </c>
      <c r="E1564" s="120">
        <v>100</v>
      </c>
      <c r="F1564" s="133" t="s">
        <v>1293</v>
      </c>
      <c r="G1564" s="404" t="s">
        <v>45</v>
      </c>
      <c r="H1564" s="411">
        <v>130.4</v>
      </c>
      <c r="I1564" s="397">
        <f t="shared" si="271"/>
        <v>-19.559999999999999</v>
      </c>
      <c r="J1564" s="411">
        <v>0</v>
      </c>
      <c r="K1564" s="90">
        <f t="shared" si="270"/>
        <v>110.84</v>
      </c>
      <c r="L1564" s="131">
        <v>513</v>
      </c>
      <c r="M1564" s="187">
        <v>27.06</v>
      </c>
      <c r="N1564" s="91">
        <f t="shared" si="267"/>
        <v>78.36</v>
      </c>
      <c r="O1564" s="411">
        <f t="shared" si="264"/>
        <v>32.480000000000004</v>
      </c>
      <c r="P1564" s="132" t="s">
        <v>52</v>
      </c>
      <c r="Q1564" s="232"/>
      <c r="R1564" s="411"/>
      <c r="T1564" s="134" t="s">
        <v>145</v>
      </c>
      <c r="U1564" s="267" t="s">
        <v>3772</v>
      </c>
      <c r="AA1564" s="218"/>
    </row>
    <row r="1565" spans="1:27" ht="24" x14ac:dyDescent="0.25">
      <c r="A1565" s="405">
        <v>3001208</v>
      </c>
      <c r="B1565" s="406">
        <v>42444</v>
      </c>
      <c r="C1565" s="405" t="s">
        <v>237</v>
      </c>
      <c r="D1565" s="401" t="s">
        <v>3773</v>
      </c>
      <c r="E1565" s="120">
        <v>100</v>
      </c>
      <c r="F1565" s="133" t="s">
        <v>70</v>
      </c>
      <c r="G1565" s="404" t="s">
        <v>45</v>
      </c>
      <c r="H1565" s="411">
        <v>343.43</v>
      </c>
      <c r="I1565" s="397">
        <f t="shared" si="271"/>
        <v>-51.514499999999998</v>
      </c>
      <c r="J1565" s="411">
        <v>0</v>
      </c>
      <c r="K1565" s="90">
        <f t="shared" si="270"/>
        <v>291.91550000000001</v>
      </c>
      <c r="L1565" s="131">
        <v>1540</v>
      </c>
      <c r="M1565" s="187">
        <v>49.1</v>
      </c>
      <c r="N1565" s="91">
        <f t="shared" si="267"/>
        <v>203.1</v>
      </c>
      <c r="O1565" s="411">
        <f t="shared" si="264"/>
        <v>88.815500000000014</v>
      </c>
      <c r="P1565" s="132" t="s">
        <v>52</v>
      </c>
      <c r="Q1565" s="232"/>
      <c r="R1565" s="411"/>
      <c r="T1565" s="134" t="s">
        <v>145</v>
      </c>
      <c r="U1565" s="267" t="s">
        <v>3774</v>
      </c>
      <c r="AA1565" s="218"/>
    </row>
    <row r="1566" spans="1:27" ht="24" x14ac:dyDescent="0.25">
      <c r="A1566" s="405">
        <v>3001209</v>
      </c>
      <c r="B1566" s="406">
        <v>42444</v>
      </c>
      <c r="C1566" s="405" t="s">
        <v>141</v>
      </c>
      <c r="D1566" s="401" t="s">
        <v>3775</v>
      </c>
      <c r="E1566" s="120">
        <v>250</v>
      </c>
      <c r="F1566" s="133" t="s">
        <v>2063</v>
      </c>
      <c r="G1566" s="404" t="s">
        <v>45</v>
      </c>
      <c r="H1566" s="411">
        <v>1090</v>
      </c>
      <c r="I1566" s="411">
        <v>0</v>
      </c>
      <c r="J1566" s="90">
        <f>-((H1566*0.0325)+0.3)</f>
        <v>-35.725000000000001</v>
      </c>
      <c r="K1566" s="90">
        <f t="shared" si="270"/>
        <v>1054.2750000000001</v>
      </c>
      <c r="L1566" s="187">
        <v>2150</v>
      </c>
      <c r="N1566" s="91">
        <f t="shared" si="267"/>
        <v>537.5</v>
      </c>
      <c r="O1566" s="411">
        <f t="shared" si="264"/>
        <v>516.77500000000009</v>
      </c>
      <c r="P1566" s="132" t="s">
        <v>601</v>
      </c>
      <c r="Q1566" s="232"/>
      <c r="R1566" s="411"/>
      <c r="T1566" s="134" t="s">
        <v>473</v>
      </c>
      <c r="U1566" s="266" t="s">
        <v>3776</v>
      </c>
      <c r="W1566" s="153" t="s">
        <v>3777</v>
      </c>
      <c r="AA1566" s="218"/>
    </row>
    <row r="1567" spans="1:27" ht="24" x14ac:dyDescent="0.25">
      <c r="A1567" s="405">
        <v>3001210</v>
      </c>
      <c r="B1567" s="406">
        <v>42444</v>
      </c>
      <c r="C1567" s="405" t="s">
        <v>280</v>
      </c>
      <c r="D1567" s="401" t="s">
        <v>3778</v>
      </c>
      <c r="E1567" s="120">
        <v>2900</v>
      </c>
      <c r="F1567" s="133" t="s">
        <v>3779</v>
      </c>
      <c r="G1567" s="404" t="s">
        <v>45</v>
      </c>
      <c r="H1567" s="411">
        <v>2465</v>
      </c>
      <c r="I1567" s="411">
        <v>0</v>
      </c>
      <c r="J1567" s="90">
        <f>-((H1567*0.022)+0.3)</f>
        <v>-54.529999999999994</v>
      </c>
      <c r="K1567" s="90">
        <f t="shared" si="270"/>
        <v>2410.4699999999998</v>
      </c>
      <c r="L1567" s="131">
        <v>480</v>
      </c>
      <c r="M1567" s="187">
        <v>171.13</v>
      </c>
      <c r="N1567" s="91">
        <f t="shared" si="267"/>
        <v>1563.13</v>
      </c>
      <c r="O1567" s="411">
        <f t="shared" si="264"/>
        <v>847.33999999999969</v>
      </c>
      <c r="P1567" s="132" t="s">
        <v>52</v>
      </c>
      <c r="Q1567" s="232"/>
      <c r="R1567" s="411"/>
      <c r="T1567" s="134" t="s">
        <v>1209</v>
      </c>
      <c r="U1567" s="267" t="s">
        <v>3780</v>
      </c>
      <c r="V1567" s="133" t="s">
        <v>55</v>
      </c>
      <c r="W1567" s="153" t="s">
        <v>3781</v>
      </c>
      <c r="AA1567" s="218"/>
    </row>
    <row r="1568" spans="1:27" x14ac:dyDescent="0.25">
      <c r="A1568" s="419">
        <v>3001211</v>
      </c>
      <c r="B1568" s="421">
        <v>42444</v>
      </c>
      <c r="C1568" s="419" t="s">
        <v>141</v>
      </c>
      <c r="D1568" s="417" t="s">
        <v>3782</v>
      </c>
      <c r="E1568" s="120">
        <v>1000</v>
      </c>
      <c r="F1568" s="133" t="s">
        <v>161</v>
      </c>
      <c r="G1568" s="434" t="s">
        <v>45</v>
      </c>
      <c r="H1568" s="427">
        <v>3390</v>
      </c>
      <c r="I1568" s="427">
        <v>0</v>
      </c>
      <c r="J1568" s="425">
        <f>-((H1568*0.0325)+0.3)</f>
        <v>-110.47499999999999</v>
      </c>
      <c r="K1568" s="425">
        <f t="shared" si="270"/>
        <v>3279.5250000000001</v>
      </c>
      <c r="L1568" s="131">
        <v>1322</v>
      </c>
      <c r="M1568" s="468">
        <v>128.07</v>
      </c>
      <c r="N1568" s="91">
        <f t="shared" si="267"/>
        <v>1450.07</v>
      </c>
      <c r="O1568" s="411">
        <f t="shared" si="264"/>
        <v>1829.4550000000002</v>
      </c>
      <c r="P1568" s="132" t="s">
        <v>52</v>
      </c>
      <c r="Q1568" s="232"/>
      <c r="R1568" s="411"/>
      <c r="T1568" s="470" t="s">
        <v>53</v>
      </c>
      <c r="U1568" s="446" t="s">
        <v>3783</v>
      </c>
      <c r="V1568" s="133" t="s">
        <v>55</v>
      </c>
      <c r="W1568" s="153" t="s">
        <v>3784</v>
      </c>
      <c r="AA1568" s="218"/>
    </row>
    <row r="1569" spans="1:27" x14ac:dyDescent="0.25">
      <c r="A1569" s="432"/>
      <c r="B1569" s="433"/>
      <c r="C1569" s="432"/>
      <c r="D1569" s="454"/>
      <c r="E1569" s="120">
        <v>500</v>
      </c>
      <c r="F1569" s="133" t="s">
        <v>3785</v>
      </c>
      <c r="G1569" s="435"/>
      <c r="H1569" s="438"/>
      <c r="I1569" s="438"/>
      <c r="J1569" s="437"/>
      <c r="K1569" s="437"/>
      <c r="L1569" s="131">
        <v>700</v>
      </c>
      <c r="M1569" s="491"/>
      <c r="N1569" s="91">
        <f t="shared" si="267"/>
        <v>350</v>
      </c>
      <c r="O1569" s="411">
        <f t="shared" si="264"/>
        <v>-350</v>
      </c>
      <c r="P1569" s="132" t="s">
        <v>52</v>
      </c>
      <c r="Q1569" s="232"/>
      <c r="R1569" s="411"/>
      <c r="T1569" s="471"/>
      <c r="U1569" s="448"/>
      <c r="AA1569" s="218"/>
    </row>
    <row r="1570" spans="1:27" x14ac:dyDescent="0.25">
      <c r="A1570" s="420"/>
      <c r="B1570" s="422"/>
      <c r="C1570" s="420"/>
      <c r="D1570" s="418"/>
      <c r="E1570" s="120">
        <v>500</v>
      </c>
      <c r="F1570" s="133" t="s">
        <v>590</v>
      </c>
      <c r="G1570" s="436"/>
      <c r="H1570" s="428"/>
      <c r="I1570" s="428"/>
      <c r="J1570" s="426"/>
      <c r="K1570" s="426"/>
      <c r="L1570" s="131">
        <v>620</v>
      </c>
      <c r="M1570" s="469"/>
      <c r="N1570" s="91">
        <f t="shared" si="267"/>
        <v>310</v>
      </c>
      <c r="O1570" s="411">
        <f t="shared" si="264"/>
        <v>-310</v>
      </c>
      <c r="P1570" s="132" t="s">
        <v>52</v>
      </c>
      <c r="Q1570" s="232"/>
      <c r="R1570" s="411"/>
      <c r="T1570" s="472"/>
      <c r="U1570" s="447"/>
      <c r="AA1570" s="218"/>
    </row>
    <row r="1571" spans="1:27" x14ac:dyDescent="0.25">
      <c r="A1571" s="405">
        <v>3001212</v>
      </c>
      <c r="B1571" s="406">
        <v>42444</v>
      </c>
      <c r="C1571" s="405" t="s">
        <v>141</v>
      </c>
      <c r="D1571" s="401" t="s">
        <v>3786</v>
      </c>
      <c r="E1571" s="120">
        <v>300</v>
      </c>
      <c r="F1571" s="133" t="s">
        <v>3787</v>
      </c>
      <c r="G1571" s="404" t="s">
        <v>45</v>
      </c>
      <c r="H1571" s="411">
        <v>1027.5</v>
      </c>
      <c r="I1571" s="411">
        <v>0</v>
      </c>
      <c r="J1571" s="90">
        <f>-((H1571*0.0325)+0.3)</f>
        <v>-33.693750000000001</v>
      </c>
      <c r="K1571" s="90">
        <f t="shared" ref="K1571:K1575" si="272">SUM(H1571:J1571)</f>
        <v>993.80624999999998</v>
      </c>
      <c r="L1571" s="187">
        <v>1240</v>
      </c>
      <c r="M1571" s="187">
        <v>125.95</v>
      </c>
      <c r="N1571" s="91">
        <f t="shared" si="267"/>
        <v>497.95</v>
      </c>
      <c r="O1571" s="411">
        <f t="shared" si="264"/>
        <v>495.85624999999999</v>
      </c>
      <c r="P1571" s="132" t="s">
        <v>3184</v>
      </c>
      <c r="Q1571" s="232"/>
      <c r="R1571" s="411"/>
      <c r="T1571" s="134" t="s">
        <v>2652</v>
      </c>
      <c r="U1571" s="267" t="s">
        <v>3788</v>
      </c>
      <c r="W1571" s="153" t="s">
        <v>3789</v>
      </c>
      <c r="AA1571" s="218"/>
    </row>
    <row r="1572" spans="1:27" x14ac:dyDescent="0.25">
      <c r="A1572" s="405">
        <v>3001213</v>
      </c>
      <c r="B1572" s="406">
        <v>42444</v>
      </c>
      <c r="C1572" s="405" t="s">
        <v>63</v>
      </c>
      <c r="D1572" s="401" t="s">
        <v>3790</v>
      </c>
      <c r="E1572" s="120">
        <v>200</v>
      </c>
      <c r="F1572" s="133" t="s">
        <v>3791</v>
      </c>
      <c r="G1572" s="404" t="s">
        <v>45</v>
      </c>
      <c r="H1572" s="411">
        <v>1045.25</v>
      </c>
      <c r="I1572" s="411">
        <v>0</v>
      </c>
      <c r="J1572" s="90">
        <f>-((H1572*0.022)+0.3)</f>
        <v>-23.295500000000001</v>
      </c>
      <c r="K1572" s="90">
        <f t="shared" si="272"/>
        <v>1021.9545000000001</v>
      </c>
      <c r="L1572" s="131">
        <v>2485</v>
      </c>
      <c r="M1572" s="187">
        <v>100</v>
      </c>
      <c r="N1572" s="91">
        <f t="shared" si="267"/>
        <v>597</v>
      </c>
      <c r="O1572" s="411">
        <f t="shared" si="264"/>
        <v>424.95450000000005</v>
      </c>
      <c r="P1572" s="132" t="s">
        <v>52</v>
      </c>
      <c r="Q1572" s="232"/>
      <c r="R1572" s="411">
        <v>85.25</v>
      </c>
      <c r="S1572" s="133" t="s">
        <v>3792</v>
      </c>
      <c r="T1572" s="134" t="s">
        <v>3793</v>
      </c>
      <c r="U1572" s="267" t="s">
        <v>3794</v>
      </c>
      <c r="W1572" s="153" t="s">
        <v>3795</v>
      </c>
      <c r="AA1572" s="218"/>
    </row>
    <row r="1573" spans="1:27" ht="24" x14ac:dyDescent="0.25">
      <c r="A1573" s="405">
        <v>3001214</v>
      </c>
      <c r="B1573" s="406">
        <v>42444</v>
      </c>
      <c r="C1573" s="405" t="s">
        <v>42</v>
      </c>
      <c r="D1573" s="401" t="s">
        <v>3796</v>
      </c>
      <c r="E1573" s="120">
        <v>500</v>
      </c>
      <c r="F1573" s="133" t="s">
        <v>983</v>
      </c>
      <c r="G1573" s="404" t="s">
        <v>45</v>
      </c>
      <c r="H1573" s="411">
        <v>295</v>
      </c>
      <c r="I1573" s="89">
        <f t="shared" ref="I1573" si="273">-(H1573*0.09)</f>
        <v>-26.55</v>
      </c>
      <c r="J1573" s="90">
        <f t="shared" ref="J1573" si="274">-((H1573*0.019)+0.3)</f>
        <v>-5.9049999999999994</v>
      </c>
      <c r="K1573" s="90">
        <f t="shared" si="272"/>
        <v>262.54500000000002</v>
      </c>
      <c r="L1573" s="131">
        <v>300</v>
      </c>
      <c r="M1573" s="187">
        <v>34.090000000000003</v>
      </c>
      <c r="N1573" s="91">
        <f t="shared" si="267"/>
        <v>184.09</v>
      </c>
      <c r="O1573" s="411">
        <f t="shared" si="264"/>
        <v>78.455000000000013</v>
      </c>
      <c r="P1573" s="132" t="s">
        <v>52</v>
      </c>
      <c r="Q1573" s="232"/>
      <c r="R1573" s="411"/>
      <c r="T1573" s="134" t="s">
        <v>145</v>
      </c>
      <c r="U1573" s="267" t="s">
        <v>3797</v>
      </c>
      <c r="AA1573" s="218"/>
    </row>
    <row r="1574" spans="1:27" x14ac:dyDescent="0.25">
      <c r="A1574" s="405">
        <v>3001215</v>
      </c>
      <c r="B1574" s="406">
        <v>42444</v>
      </c>
      <c r="C1574" s="405" t="s">
        <v>56</v>
      </c>
      <c r="D1574" s="401" t="s">
        <v>2457</v>
      </c>
      <c r="E1574" s="120">
        <v>1000</v>
      </c>
      <c r="F1574" s="133" t="s">
        <v>1707</v>
      </c>
      <c r="G1574" s="404" t="s">
        <v>45</v>
      </c>
      <c r="H1574" s="411">
        <v>900</v>
      </c>
      <c r="I1574" s="411">
        <v>0</v>
      </c>
      <c r="J1574" s="411">
        <v>0</v>
      </c>
      <c r="K1574" s="90">
        <f t="shared" si="272"/>
        <v>900</v>
      </c>
      <c r="M1574" s="187">
        <v>90.87</v>
      </c>
      <c r="N1574" s="91">
        <f t="shared" si="267"/>
        <v>90.87</v>
      </c>
      <c r="O1574" s="411">
        <f t="shared" si="264"/>
        <v>809.13</v>
      </c>
      <c r="P1574" s="132" t="s">
        <v>52</v>
      </c>
      <c r="Q1574" s="232"/>
      <c r="R1574" s="411"/>
      <c r="T1574" s="134" t="s">
        <v>244</v>
      </c>
      <c r="U1574" s="267" t="s">
        <v>3798</v>
      </c>
      <c r="V1574" s="133" t="s">
        <v>1934</v>
      </c>
      <c r="W1574" s="153" t="s">
        <v>2460</v>
      </c>
      <c r="AA1574" s="218"/>
    </row>
    <row r="1575" spans="1:27" x14ac:dyDescent="0.25">
      <c r="A1575" s="419">
        <v>3001216</v>
      </c>
      <c r="B1575" s="421">
        <v>42445</v>
      </c>
      <c r="C1575" s="419" t="s">
        <v>141</v>
      </c>
      <c r="D1575" s="429" t="s">
        <v>3799</v>
      </c>
      <c r="E1575" s="120">
        <v>713</v>
      </c>
      <c r="F1575" s="133" t="s">
        <v>3800</v>
      </c>
      <c r="G1575" s="434" t="s">
        <v>45</v>
      </c>
      <c r="H1575" s="427">
        <v>5797.4</v>
      </c>
      <c r="I1575" s="427">
        <v>0</v>
      </c>
      <c r="J1575" s="425">
        <f>-((H1575*0.0325)+0.3)</f>
        <v>-188.71550000000002</v>
      </c>
      <c r="K1575" s="425">
        <f t="shared" si="272"/>
        <v>5608.6844999999994</v>
      </c>
      <c r="L1575" s="131">
        <v>700</v>
      </c>
      <c r="M1575" s="187">
        <v>197.08</v>
      </c>
      <c r="N1575" s="91">
        <f t="shared" si="267"/>
        <v>696.18</v>
      </c>
      <c r="O1575" s="411">
        <f t="shared" si="264"/>
        <v>4912.5044999999991</v>
      </c>
      <c r="P1575" s="132" t="s">
        <v>52</v>
      </c>
      <c r="Q1575" s="232"/>
      <c r="R1575" s="411"/>
      <c r="T1575" s="134" t="s">
        <v>97</v>
      </c>
      <c r="U1575" s="267" t="s">
        <v>3801</v>
      </c>
      <c r="W1575" s="153" t="s">
        <v>3802</v>
      </c>
      <c r="AA1575" s="218"/>
    </row>
    <row r="1576" spans="1:27" ht="24" x14ac:dyDescent="0.25">
      <c r="A1576" s="432"/>
      <c r="B1576" s="433"/>
      <c r="C1576" s="432"/>
      <c r="D1576" s="430"/>
      <c r="E1576" s="120">
        <v>672</v>
      </c>
      <c r="F1576" s="133" t="s">
        <v>3803</v>
      </c>
      <c r="G1576" s="435"/>
      <c r="H1576" s="438"/>
      <c r="I1576" s="438"/>
      <c r="J1576" s="437"/>
      <c r="K1576" s="437"/>
      <c r="L1576" s="131">
        <v>700</v>
      </c>
      <c r="M1576" s="187">
        <v>183.17</v>
      </c>
      <c r="N1576" s="91">
        <f t="shared" si="267"/>
        <v>653.57000000000005</v>
      </c>
      <c r="O1576" s="411">
        <f t="shared" si="264"/>
        <v>-653.57000000000005</v>
      </c>
      <c r="P1576" s="132" t="s">
        <v>86</v>
      </c>
      <c r="Q1576" s="232"/>
      <c r="R1576" s="411"/>
      <c r="T1576" s="134" t="s">
        <v>1209</v>
      </c>
      <c r="U1576" s="267" t="s">
        <v>3804</v>
      </c>
      <c r="V1576" s="133" t="s">
        <v>3805</v>
      </c>
      <c r="AA1576" s="218"/>
    </row>
    <row r="1577" spans="1:27" ht="24" x14ac:dyDescent="0.25">
      <c r="A1577" s="420"/>
      <c r="B1577" s="422"/>
      <c r="C1577" s="420"/>
      <c r="D1577" s="431"/>
      <c r="E1577" s="120">
        <v>1443</v>
      </c>
      <c r="F1577" s="119" t="s">
        <v>3806</v>
      </c>
      <c r="G1577" s="436"/>
      <c r="H1577" s="428"/>
      <c r="I1577" s="428"/>
      <c r="J1577" s="426"/>
      <c r="K1577" s="426"/>
      <c r="L1577" s="187">
        <v>1100</v>
      </c>
      <c r="M1577" s="187">
        <v>204.04</v>
      </c>
      <c r="N1577" s="91">
        <f t="shared" si="267"/>
        <v>1791.34</v>
      </c>
      <c r="O1577" s="411">
        <f t="shared" si="264"/>
        <v>-1791.34</v>
      </c>
      <c r="P1577" s="132" t="s">
        <v>2895</v>
      </c>
      <c r="Q1577" s="232"/>
      <c r="R1577" s="411"/>
      <c r="T1577" s="134" t="s">
        <v>1209</v>
      </c>
      <c r="U1577" s="267" t="s">
        <v>3807</v>
      </c>
      <c r="V1577" s="133" t="s">
        <v>3808</v>
      </c>
      <c r="AA1577" s="218"/>
    </row>
    <row r="1578" spans="1:27" ht="24" x14ac:dyDescent="0.25">
      <c r="A1578" s="405">
        <v>3001217</v>
      </c>
      <c r="B1578" s="406">
        <v>42445</v>
      </c>
      <c r="C1578" s="405" t="s">
        <v>63</v>
      </c>
      <c r="D1578" s="401" t="s">
        <v>1341</v>
      </c>
      <c r="E1578" s="120">
        <v>1000</v>
      </c>
      <c r="F1578" s="133" t="s">
        <v>3668</v>
      </c>
      <c r="G1578" s="404" t="s">
        <v>45</v>
      </c>
      <c r="H1578" s="411">
        <v>500</v>
      </c>
      <c r="I1578" s="411">
        <v>0</v>
      </c>
      <c r="J1578" s="90">
        <f>-((H1578*0.022)+0.3)</f>
        <v>-11.3</v>
      </c>
      <c r="K1578" s="90">
        <f t="shared" ref="K1578:K1611" si="275">SUM(H1578:J1578)</f>
        <v>488.7</v>
      </c>
      <c r="L1578" s="187">
        <v>281.01</v>
      </c>
      <c r="M1578" s="187">
        <v>57.13</v>
      </c>
      <c r="N1578" s="91">
        <f t="shared" si="267"/>
        <v>338.14</v>
      </c>
      <c r="O1578" s="411">
        <f t="shared" si="264"/>
        <v>150.56</v>
      </c>
      <c r="P1578" s="132" t="s">
        <v>330</v>
      </c>
      <c r="Q1578" s="232"/>
      <c r="R1578" s="411"/>
      <c r="T1578" s="134" t="s">
        <v>204</v>
      </c>
      <c r="U1578" s="266" t="s">
        <v>3809</v>
      </c>
      <c r="W1578" s="153" t="s">
        <v>1344</v>
      </c>
      <c r="AA1578" s="218"/>
    </row>
    <row r="1579" spans="1:27" ht="48" x14ac:dyDescent="0.25">
      <c r="A1579" s="405">
        <v>3001218</v>
      </c>
      <c r="B1579" s="406">
        <v>42445</v>
      </c>
      <c r="C1579" s="405" t="s">
        <v>56</v>
      </c>
      <c r="D1579" s="401" t="s">
        <v>3810</v>
      </c>
      <c r="E1579" s="120">
        <v>1000</v>
      </c>
      <c r="F1579" s="133" t="s">
        <v>3811</v>
      </c>
      <c r="G1579" s="404" t="s">
        <v>45</v>
      </c>
      <c r="H1579" s="411">
        <v>280</v>
      </c>
      <c r="I1579" s="411">
        <v>0</v>
      </c>
      <c r="J1579" s="411">
        <v>0</v>
      </c>
      <c r="K1579" s="90">
        <f t="shared" si="275"/>
        <v>280</v>
      </c>
      <c r="M1579" s="131">
        <v>39.83</v>
      </c>
      <c r="N1579" s="91">
        <f t="shared" si="267"/>
        <v>39.83</v>
      </c>
      <c r="O1579" s="411">
        <f t="shared" si="264"/>
        <v>240.17000000000002</v>
      </c>
      <c r="P1579" s="132" t="s">
        <v>52</v>
      </c>
      <c r="Q1579" s="232"/>
      <c r="R1579" s="411"/>
      <c r="T1579" s="134" t="s">
        <v>145</v>
      </c>
      <c r="U1579" s="266" t="s">
        <v>3812</v>
      </c>
      <c r="V1579" s="133" t="s">
        <v>3813</v>
      </c>
      <c r="AA1579" s="218"/>
    </row>
    <row r="1580" spans="1:27" x14ac:dyDescent="0.25">
      <c r="A1580" s="405">
        <v>3001219</v>
      </c>
      <c r="B1580" s="406">
        <v>42445</v>
      </c>
      <c r="C1580" s="405" t="s">
        <v>141</v>
      </c>
      <c r="D1580" s="401" t="s">
        <v>2646</v>
      </c>
      <c r="E1580" s="120">
        <v>710</v>
      </c>
      <c r="F1580" s="133" t="s">
        <v>3814</v>
      </c>
      <c r="G1580" s="404" t="s">
        <v>45</v>
      </c>
      <c r="H1580" s="411">
        <v>1100.5</v>
      </c>
      <c r="I1580" s="411">
        <v>0</v>
      </c>
      <c r="J1580" s="90">
        <f>-((H1580*0.0325)+0.3)</f>
        <v>-36.066249999999997</v>
      </c>
      <c r="K1580" s="90">
        <f t="shared" si="275"/>
        <v>1064.4337499999999</v>
      </c>
      <c r="L1580" s="187">
        <v>1079</v>
      </c>
      <c r="M1580" s="131">
        <v>0</v>
      </c>
      <c r="N1580" s="91">
        <f t="shared" si="267"/>
        <v>766.08999999999992</v>
      </c>
      <c r="O1580" s="411">
        <f t="shared" si="264"/>
        <v>298.34375</v>
      </c>
      <c r="P1580" s="132" t="s">
        <v>59</v>
      </c>
      <c r="Q1580" s="232"/>
      <c r="R1580" s="411"/>
      <c r="T1580" s="134" t="s">
        <v>639</v>
      </c>
      <c r="U1580" s="267" t="s">
        <v>3815</v>
      </c>
      <c r="W1580" s="153" t="s">
        <v>2649</v>
      </c>
      <c r="AA1580" s="218"/>
    </row>
    <row r="1581" spans="1:27" x14ac:dyDescent="0.25">
      <c r="A1581" s="405">
        <v>3001220</v>
      </c>
      <c r="B1581" s="406">
        <v>42445</v>
      </c>
      <c r="C1581" s="405" t="s">
        <v>327</v>
      </c>
      <c r="D1581" s="401" t="s">
        <v>3816</v>
      </c>
      <c r="E1581" s="120">
        <v>500</v>
      </c>
      <c r="F1581" s="133" t="s">
        <v>288</v>
      </c>
      <c r="G1581" s="404" t="s">
        <v>45</v>
      </c>
      <c r="H1581" s="411">
        <v>810</v>
      </c>
      <c r="I1581" s="411">
        <v>0</v>
      </c>
      <c r="J1581" s="90">
        <f>-((H1581*0.022)+0.3)</f>
        <v>-18.12</v>
      </c>
      <c r="K1581" s="90">
        <f t="shared" si="275"/>
        <v>791.88</v>
      </c>
      <c r="L1581" s="131">
        <v>950</v>
      </c>
      <c r="M1581" s="187">
        <v>90.86</v>
      </c>
      <c r="N1581" s="91">
        <f t="shared" si="267"/>
        <v>565.86</v>
      </c>
      <c r="O1581" s="411">
        <f t="shared" si="264"/>
        <v>226.01999999999998</v>
      </c>
      <c r="P1581" s="132" t="s">
        <v>52</v>
      </c>
      <c r="Q1581" s="232"/>
      <c r="R1581" s="411"/>
      <c r="T1581" s="134" t="s">
        <v>244</v>
      </c>
      <c r="U1581" s="267" t="s">
        <v>3817</v>
      </c>
      <c r="V1581" s="133" t="s">
        <v>55</v>
      </c>
      <c r="W1581" s="153" t="s">
        <v>3818</v>
      </c>
      <c r="AA1581" s="218"/>
    </row>
    <row r="1582" spans="1:27" ht="24" x14ac:dyDescent="0.25">
      <c r="A1582" s="405">
        <v>3001221</v>
      </c>
      <c r="B1582" s="406">
        <v>42445</v>
      </c>
      <c r="C1582" s="405" t="s">
        <v>78</v>
      </c>
      <c r="D1582" s="401" t="s">
        <v>3819</v>
      </c>
      <c r="E1582" s="120">
        <v>1000</v>
      </c>
      <c r="F1582" s="133" t="s">
        <v>3820</v>
      </c>
      <c r="G1582" s="404" t="s">
        <v>45</v>
      </c>
      <c r="H1582" s="411">
        <v>240</v>
      </c>
      <c r="I1582" s="411">
        <v>0</v>
      </c>
      <c r="J1582" s="90">
        <f t="shared" ref="J1582" si="276">-((H1582*0.019)+0.3)</f>
        <v>-4.8599999999999994</v>
      </c>
      <c r="K1582" s="90">
        <f t="shared" si="275"/>
        <v>235.14</v>
      </c>
      <c r="L1582" s="187">
        <v>217</v>
      </c>
      <c r="M1582" s="187">
        <v>24.34</v>
      </c>
      <c r="N1582" s="91">
        <f t="shared" si="267"/>
        <v>241.34</v>
      </c>
      <c r="O1582" s="411">
        <f t="shared" si="264"/>
        <v>-6.2000000000000171</v>
      </c>
      <c r="P1582" s="132" t="s">
        <v>183</v>
      </c>
      <c r="Q1582" s="232"/>
      <c r="R1582" s="411"/>
      <c r="T1582" s="134" t="s">
        <v>145</v>
      </c>
      <c r="U1582" s="267" t="s">
        <v>3821</v>
      </c>
      <c r="W1582" s="153" t="s">
        <v>3822</v>
      </c>
      <c r="AA1582" s="218"/>
    </row>
    <row r="1583" spans="1:27" x14ac:dyDescent="0.25">
      <c r="A1583" s="405">
        <v>3001222</v>
      </c>
      <c r="B1583" s="406">
        <v>42445</v>
      </c>
      <c r="C1583" s="405" t="s">
        <v>63</v>
      </c>
      <c r="D1583" s="401" t="s">
        <v>3823</v>
      </c>
      <c r="E1583" s="120">
        <v>1800</v>
      </c>
      <c r="F1583" s="133" t="s">
        <v>3824</v>
      </c>
      <c r="G1583" s="404" t="s">
        <v>45</v>
      </c>
      <c r="H1583" s="411">
        <v>2842.2</v>
      </c>
      <c r="I1583" s="411">
        <v>0</v>
      </c>
      <c r="J1583" s="90">
        <f>-((H1583*0.022)+0.3)</f>
        <v>-62.828399999999988</v>
      </c>
      <c r="K1583" s="90">
        <f t="shared" si="275"/>
        <v>2779.3715999999999</v>
      </c>
      <c r="L1583" s="187">
        <v>1150</v>
      </c>
      <c r="M1583" s="187">
        <v>267.33</v>
      </c>
      <c r="N1583" s="91">
        <f t="shared" si="267"/>
        <v>2337.33</v>
      </c>
      <c r="O1583" s="411">
        <f t="shared" si="264"/>
        <v>442.04160000000002</v>
      </c>
      <c r="P1583" s="132" t="s">
        <v>3401</v>
      </c>
      <c r="Q1583" s="232"/>
      <c r="R1583" s="411"/>
      <c r="T1583" s="134" t="s">
        <v>97</v>
      </c>
      <c r="U1583" s="267" t="s">
        <v>3825</v>
      </c>
      <c r="V1583" s="133" t="s">
        <v>55</v>
      </c>
      <c r="W1583" s="153" t="s">
        <v>3826</v>
      </c>
      <c r="AA1583" s="218"/>
    </row>
    <row r="1584" spans="1:27" ht="24" customHeight="1" x14ac:dyDescent="0.25">
      <c r="A1584" s="419">
        <v>3001223</v>
      </c>
      <c r="B1584" s="421">
        <v>42445</v>
      </c>
      <c r="C1584" s="419" t="s">
        <v>555</v>
      </c>
      <c r="D1584" s="417" t="s">
        <v>3827</v>
      </c>
      <c r="E1584" s="120">
        <v>4000</v>
      </c>
      <c r="F1584" s="133" t="s">
        <v>3828</v>
      </c>
      <c r="G1584" s="434" t="s">
        <v>45</v>
      </c>
      <c r="H1584" s="427">
        <v>8250</v>
      </c>
      <c r="I1584" s="427">
        <v>0</v>
      </c>
      <c r="J1584" s="427">
        <v>0</v>
      </c>
      <c r="K1584" s="425">
        <f t="shared" si="275"/>
        <v>8250</v>
      </c>
      <c r="L1584" s="187">
        <v>850</v>
      </c>
      <c r="M1584" s="131">
        <v>0</v>
      </c>
      <c r="N1584" s="91">
        <f t="shared" si="267"/>
        <v>3400</v>
      </c>
      <c r="O1584" s="411">
        <f t="shared" si="264"/>
        <v>4850</v>
      </c>
      <c r="P1584" s="179" t="s">
        <v>66</v>
      </c>
      <c r="Q1584" s="232"/>
      <c r="R1584" s="411"/>
      <c r="T1584" s="470" t="s">
        <v>1254</v>
      </c>
      <c r="U1584" s="481" t="s">
        <v>3829</v>
      </c>
      <c r="V1584" s="119"/>
      <c r="W1584" s="153" t="s">
        <v>3830</v>
      </c>
      <c r="AA1584" s="218"/>
    </row>
    <row r="1585" spans="1:27" x14ac:dyDescent="0.25">
      <c r="A1585" s="420"/>
      <c r="B1585" s="422"/>
      <c r="C1585" s="420"/>
      <c r="D1585" s="418"/>
      <c r="E1585" s="120">
        <v>3000</v>
      </c>
      <c r="F1585" s="133" t="s">
        <v>3831</v>
      </c>
      <c r="G1585" s="436"/>
      <c r="H1585" s="428"/>
      <c r="I1585" s="428"/>
      <c r="J1585" s="428"/>
      <c r="K1585" s="426"/>
      <c r="L1585" s="187">
        <v>850</v>
      </c>
      <c r="M1585" s="131">
        <v>0</v>
      </c>
      <c r="N1585" s="91">
        <f t="shared" si="267"/>
        <v>2550</v>
      </c>
      <c r="O1585" s="411">
        <f t="shared" si="264"/>
        <v>-2550</v>
      </c>
      <c r="P1585" s="179" t="s">
        <v>66</v>
      </c>
      <c r="Q1585" s="232"/>
      <c r="R1585" s="411"/>
      <c r="T1585" s="472"/>
      <c r="U1585" s="483"/>
      <c r="V1585" s="119" t="s">
        <v>3832</v>
      </c>
      <c r="W1585" s="153"/>
      <c r="AA1585" s="218"/>
    </row>
    <row r="1586" spans="1:27" ht="24" customHeight="1" x14ac:dyDescent="0.25">
      <c r="A1586" s="419">
        <v>3001224</v>
      </c>
      <c r="B1586" s="421">
        <v>42445</v>
      </c>
      <c r="C1586" s="419" t="s">
        <v>63</v>
      </c>
      <c r="D1586" s="417" t="s">
        <v>600</v>
      </c>
      <c r="E1586" s="120">
        <v>500</v>
      </c>
      <c r="F1586" s="133" t="s">
        <v>2199</v>
      </c>
      <c r="G1586" s="434" t="s">
        <v>45</v>
      </c>
      <c r="H1586" s="427">
        <v>1949</v>
      </c>
      <c r="I1586" s="427">
        <v>0</v>
      </c>
      <c r="J1586" s="425">
        <f>-((H1586*0.022)+0.3)</f>
        <v>-43.177999999999997</v>
      </c>
      <c r="K1586" s="425">
        <f t="shared" si="275"/>
        <v>1905.8220000000001</v>
      </c>
      <c r="L1586" s="187">
        <v>1130</v>
      </c>
      <c r="M1586" s="187">
        <v>0</v>
      </c>
      <c r="N1586" s="91">
        <f t="shared" si="267"/>
        <v>565</v>
      </c>
      <c r="O1586" s="411">
        <f t="shared" si="264"/>
        <v>1340.8220000000001</v>
      </c>
      <c r="P1586" s="132" t="s">
        <v>601</v>
      </c>
      <c r="Q1586" s="232"/>
      <c r="R1586" s="411"/>
      <c r="T1586" s="470" t="s">
        <v>260</v>
      </c>
      <c r="U1586" s="446" t="s">
        <v>3833</v>
      </c>
      <c r="W1586" s="153" t="s">
        <v>603</v>
      </c>
      <c r="AA1586" s="218"/>
    </row>
    <row r="1587" spans="1:27" x14ac:dyDescent="0.25">
      <c r="A1587" s="420"/>
      <c r="B1587" s="422"/>
      <c r="C1587" s="420"/>
      <c r="D1587" s="418"/>
      <c r="E1587" s="120">
        <v>500</v>
      </c>
      <c r="F1587" s="133" t="s">
        <v>445</v>
      </c>
      <c r="G1587" s="436"/>
      <c r="H1587" s="428"/>
      <c r="I1587" s="428"/>
      <c r="J1587" s="426"/>
      <c r="K1587" s="426"/>
      <c r="L1587" s="187">
        <v>1370</v>
      </c>
      <c r="M1587" s="187">
        <v>0</v>
      </c>
      <c r="N1587" s="91">
        <f t="shared" si="267"/>
        <v>685</v>
      </c>
      <c r="O1587" s="411">
        <f t="shared" si="264"/>
        <v>-685</v>
      </c>
      <c r="P1587" s="132" t="s">
        <v>601</v>
      </c>
      <c r="Q1587" s="232"/>
      <c r="R1587" s="411"/>
      <c r="T1587" s="472"/>
      <c r="U1587" s="447"/>
      <c r="AA1587" s="218"/>
    </row>
    <row r="1588" spans="1:27" ht="24" x14ac:dyDescent="0.25">
      <c r="A1588" s="405">
        <v>3001225</v>
      </c>
      <c r="B1588" s="406">
        <v>42445</v>
      </c>
      <c r="C1588" s="405" t="s">
        <v>63</v>
      </c>
      <c r="D1588" s="401" t="s">
        <v>3834</v>
      </c>
      <c r="E1588" s="120">
        <v>50</v>
      </c>
      <c r="F1588" s="133" t="s">
        <v>1832</v>
      </c>
      <c r="G1588" s="404" t="s">
        <v>45</v>
      </c>
      <c r="H1588" s="411">
        <v>176.4</v>
      </c>
      <c r="I1588" s="411">
        <v>0</v>
      </c>
      <c r="J1588" s="90">
        <f>-((H1588*0.022)+0.3)</f>
        <v>-4.1807999999999996</v>
      </c>
      <c r="K1588" s="90">
        <f t="shared" si="275"/>
        <v>172.2192</v>
      </c>
      <c r="L1588" s="187">
        <v>1789</v>
      </c>
      <c r="M1588" s="187">
        <v>19</v>
      </c>
      <c r="N1588" s="91">
        <f t="shared" si="267"/>
        <v>108.45</v>
      </c>
      <c r="O1588" s="411">
        <f t="shared" si="264"/>
        <v>63.769199999999998</v>
      </c>
      <c r="P1588" s="132" t="s">
        <v>601</v>
      </c>
      <c r="Q1588" s="232"/>
      <c r="R1588" s="411"/>
      <c r="T1588" s="134" t="s">
        <v>145</v>
      </c>
      <c r="U1588" s="267" t="s">
        <v>3835</v>
      </c>
      <c r="W1588" s="153" t="s">
        <v>3836</v>
      </c>
      <c r="AA1588" s="218"/>
    </row>
    <row r="1589" spans="1:27" ht="24" x14ac:dyDescent="0.25">
      <c r="A1589" s="405">
        <v>3001226</v>
      </c>
      <c r="B1589" s="406">
        <v>42445</v>
      </c>
      <c r="C1589" s="405" t="s">
        <v>42</v>
      </c>
      <c r="D1589" s="401" t="s">
        <v>3837</v>
      </c>
      <c r="E1589" s="120">
        <v>225</v>
      </c>
      <c r="F1589" s="133" t="s">
        <v>3838</v>
      </c>
      <c r="G1589" s="404" t="s">
        <v>45</v>
      </c>
      <c r="H1589" s="411">
        <v>273.12</v>
      </c>
      <c r="I1589" s="89">
        <f t="shared" ref="I1589:I1596" si="277">-(H1589*0.09)</f>
        <v>-24.5808</v>
      </c>
      <c r="J1589" s="90">
        <f t="shared" ref="J1589:J1596" si="278">-((H1589*0.019)+0.3)</f>
        <v>-5.4892799999999999</v>
      </c>
      <c r="K1589" s="90">
        <f t="shared" si="275"/>
        <v>243.04991999999999</v>
      </c>
      <c r="L1589" s="131">
        <v>480</v>
      </c>
      <c r="M1589" s="187">
        <v>44.94</v>
      </c>
      <c r="N1589" s="91">
        <f t="shared" si="267"/>
        <v>152.94</v>
      </c>
      <c r="O1589" s="411">
        <f t="shared" si="264"/>
        <v>90.109919999999988</v>
      </c>
      <c r="P1589" s="132" t="s">
        <v>52</v>
      </c>
      <c r="Q1589" s="232"/>
      <c r="R1589" s="411"/>
      <c r="T1589" s="134" t="s">
        <v>145</v>
      </c>
      <c r="U1589" s="267" t="s">
        <v>3839</v>
      </c>
      <c r="AA1589" s="218"/>
    </row>
    <row r="1590" spans="1:27" ht="24" x14ac:dyDescent="0.25">
      <c r="A1590" s="405">
        <v>3001227</v>
      </c>
      <c r="B1590" s="406">
        <v>42445</v>
      </c>
      <c r="C1590" s="405" t="s">
        <v>42</v>
      </c>
      <c r="D1590" s="401" t="s">
        <v>3840</v>
      </c>
      <c r="E1590" s="120">
        <v>250</v>
      </c>
      <c r="F1590" s="133" t="s">
        <v>2524</v>
      </c>
      <c r="G1590" s="404" t="s">
        <v>45</v>
      </c>
      <c r="H1590" s="411">
        <v>138.07</v>
      </c>
      <c r="I1590" s="89">
        <f t="shared" si="277"/>
        <v>-12.426299999999999</v>
      </c>
      <c r="J1590" s="90">
        <f t="shared" si="278"/>
        <v>-2.9233299999999995</v>
      </c>
      <c r="K1590" s="90">
        <f t="shared" si="275"/>
        <v>122.72037</v>
      </c>
      <c r="L1590" s="187">
        <v>288.49</v>
      </c>
      <c r="M1590" s="131">
        <v>5</v>
      </c>
      <c r="N1590" s="91">
        <f t="shared" si="267"/>
        <v>77.122500000000002</v>
      </c>
      <c r="O1590" s="411">
        <f t="shared" si="264"/>
        <v>45.59787</v>
      </c>
      <c r="P1590" s="132" t="s">
        <v>76</v>
      </c>
      <c r="Q1590" s="232"/>
      <c r="R1590" s="411"/>
      <c r="T1590" s="134" t="s">
        <v>204</v>
      </c>
      <c r="U1590" s="267" t="s">
        <v>3841</v>
      </c>
      <c r="V1590" s="133" t="s">
        <v>3842</v>
      </c>
      <c r="AA1590" s="218"/>
    </row>
    <row r="1591" spans="1:27" ht="24" x14ac:dyDescent="0.25">
      <c r="A1591" s="405">
        <v>3001228</v>
      </c>
      <c r="B1591" s="406">
        <v>42445</v>
      </c>
      <c r="C1591" s="405" t="s">
        <v>42</v>
      </c>
      <c r="D1591" s="401" t="s">
        <v>3843</v>
      </c>
      <c r="E1591" s="120">
        <v>250</v>
      </c>
      <c r="F1591" s="133" t="s">
        <v>307</v>
      </c>
      <c r="G1591" s="404" t="s">
        <v>45</v>
      </c>
      <c r="H1591" s="411">
        <v>351.5</v>
      </c>
      <c r="I1591" s="89">
        <f t="shared" si="277"/>
        <v>-31.634999999999998</v>
      </c>
      <c r="J1591" s="90">
        <f t="shared" si="278"/>
        <v>-6.9784999999999995</v>
      </c>
      <c r="K1591" s="90">
        <f t="shared" si="275"/>
        <v>312.88650000000001</v>
      </c>
      <c r="L1591" s="131">
        <v>700</v>
      </c>
      <c r="M1591" s="187">
        <v>50.63</v>
      </c>
      <c r="N1591" s="91">
        <f t="shared" si="267"/>
        <v>225.63</v>
      </c>
      <c r="O1591" s="411">
        <f t="shared" si="264"/>
        <v>87.256500000000017</v>
      </c>
      <c r="P1591" s="132" t="s">
        <v>52</v>
      </c>
      <c r="Q1591" s="232"/>
      <c r="R1591" s="411"/>
      <c r="T1591" s="134" t="s">
        <v>145</v>
      </c>
      <c r="U1591" s="267" t="s">
        <v>3844</v>
      </c>
      <c r="AA1591" s="218"/>
    </row>
    <row r="1592" spans="1:27" x14ac:dyDescent="0.25">
      <c r="A1592" s="405">
        <v>3001229</v>
      </c>
      <c r="B1592" s="406">
        <v>42445</v>
      </c>
      <c r="C1592" s="405" t="s">
        <v>42</v>
      </c>
      <c r="D1592" s="401" t="s">
        <v>3845</v>
      </c>
      <c r="E1592" s="120">
        <v>250</v>
      </c>
      <c r="F1592" s="133" t="s">
        <v>3846</v>
      </c>
      <c r="G1592" s="404" t="s">
        <v>45</v>
      </c>
      <c r="H1592" s="411">
        <v>831.25</v>
      </c>
      <c r="I1592" s="89">
        <f t="shared" si="277"/>
        <v>-74.8125</v>
      </c>
      <c r="J1592" s="90">
        <f t="shared" si="278"/>
        <v>-16.09375</v>
      </c>
      <c r="K1592" s="90">
        <f t="shared" si="275"/>
        <v>740.34375</v>
      </c>
      <c r="L1592" s="187">
        <v>1324.89</v>
      </c>
      <c r="M1592" s="187">
        <v>98</v>
      </c>
      <c r="N1592" s="91">
        <f t="shared" si="267"/>
        <v>429.22250000000003</v>
      </c>
      <c r="O1592" s="411">
        <f t="shared" si="264"/>
        <v>311.12124999999997</v>
      </c>
      <c r="P1592" s="132" t="s">
        <v>46</v>
      </c>
      <c r="Q1592" s="232"/>
      <c r="R1592" s="411"/>
      <c r="T1592" s="134" t="s">
        <v>3847</v>
      </c>
      <c r="U1592" s="267" t="s">
        <v>3848</v>
      </c>
      <c r="AA1592" s="218"/>
    </row>
    <row r="1593" spans="1:27" ht="24" x14ac:dyDescent="0.25">
      <c r="A1593" s="405">
        <v>3001230</v>
      </c>
      <c r="B1593" s="406">
        <v>42445</v>
      </c>
      <c r="C1593" s="405" t="s">
        <v>42</v>
      </c>
      <c r="D1593" s="401" t="s">
        <v>3849</v>
      </c>
      <c r="E1593" s="120">
        <v>300</v>
      </c>
      <c r="F1593" s="133" t="s">
        <v>2949</v>
      </c>
      <c r="G1593" s="404" t="s">
        <v>45</v>
      </c>
      <c r="H1593" s="411">
        <v>786.6</v>
      </c>
      <c r="I1593" s="89">
        <f t="shared" si="277"/>
        <v>-70.793999999999997</v>
      </c>
      <c r="J1593" s="90">
        <f t="shared" si="278"/>
        <v>-15.2454</v>
      </c>
      <c r="K1593" s="90">
        <f t="shared" si="275"/>
        <v>700.56060000000002</v>
      </c>
      <c r="M1593" s="187">
        <v>93.09</v>
      </c>
      <c r="N1593" s="91">
        <f t="shared" si="267"/>
        <v>93.09</v>
      </c>
      <c r="O1593" s="411">
        <f t="shared" si="264"/>
        <v>607.47059999999999</v>
      </c>
      <c r="P1593" s="132" t="s">
        <v>52</v>
      </c>
      <c r="Q1593" s="232"/>
      <c r="R1593" s="411"/>
      <c r="T1593" s="134" t="s">
        <v>145</v>
      </c>
      <c r="U1593" s="267" t="s">
        <v>3850</v>
      </c>
      <c r="AA1593" s="218"/>
    </row>
    <row r="1594" spans="1:27" ht="24" x14ac:dyDescent="0.25">
      <c r="A1594" s="405">
        <v>3001231</v>
      </c>
      <c r="B1594" s="406">
        <v>42445</v>
      </c>
      <c r="C1594" s="405" t="s">
        <v>42</v>
      </c>
      <c r="D1594" s="401" t="s">
        <v>3851</v>
      </c>
      <c r="E1594" s="120">
        <v>200</v>
      </c>
      <c r="F1594" s="133" t="s">
        <v>3270</v>
      </c>
      <c r="G1594" s="404" t="s">
        <v>45</v>
      </c>
      <c r="H1594" s="411">
        <v>470</v>
      </c>
      <c r="I1594" s="89">
        <f t="shared" si="277"/>
        <v>-42.3</v>
      </c>
      <c r="J1594" s="90">
        <f t="shared" si="278"/>
        <v>-9.23</v>
      </c>
      <c r="K1594" s="90">
        <f t="shared" si="275"/>
        <v>418.46999999999997</v>
      </c>
      <c r="L1594" s="131">
        <v>1322</v>
      </c>
      <c r="M1594" s="187">
        <v>22.82</v>
      </c>
      <c r="N1594" s="91">
        <f t="shared" si="267"/>
        <v>287.22000000000003</v>
      </c>
      <c r="O1594" s="411">
        <f t="shared" si="264"/>
        <v>131.24999999999994</v>
      </c>
      <c r="P1594" s="132" t="s">
        <v>52</v>
      </c>
      <c r="Q1594" s="232"/>
      <c r="R1594" s="411"/>
      <c r="T1594" s="134" t="s">
        <v>145</v>
      </c>
      <c r="U1594" s="266" t="s">
        <v>3852</v>
      </c>
      <c r="AA1594" s="218"/>
    </row>
    <row r="1595" spans="1:27" ht="24" x14ac:dyDescent="0.25">
      <c r="A1595" s="405">
        <v>3001232</v>
      </c>
      <c r="B1595" s="406">
        <v>42445</v>
      </c>
      <c r="C1595" s="405" t="s">
        <v>42</v>
      </c>
      <c r="D1595" s="401" t="s">
        <v>3853</v>
      </c>
      <c r="E1595" s="120">
        <v>250</v>
      </c>
      <c r="F1595" s="133" t="s">
        <v>307</v>
      </c>
      <c r="G1595" s="404" t="s">
        <v>45</v>
      </c>
      <c r="H1595" s="411">
        <v>351.5</v>
      </c>
      <c r="I1595" s="89">
        <f t="shared" si="277"/>
        <v>-31.634999999999998</v>
      </c>
      <c r="J1595" s="90">
        <f t="shared" si="278"/>
        <v>-6.9784999999999995</v>
      </c>
      <c r="K1595" s="90">
        <f t="shared" si="275"/>
        <v>312.88650000000001</v>
      </c>
      <c r="L1595" s="131">
        <v>700</v>
      </c>
      <c r="M1595" s="187">
        <v>54.9</v>
      </c>
      <c r="N1595" s="91">
        <f t="shared" si="267"/>
        <v>229.9</v>
      </c>
      <c r="O1595" s="411">
        <f t="shared" si="264"/>
        <v>82.986500000000007</v>
      </c>
      <c r="P1595" s="132" t="s">
        <v>52</v>
      </c>
      <c r="Q1595" s="232"/>
      <c r="R1595" s="411"/>
      <c r="T1595" s="134" t="s">
        <v>145</v>
      </c>
      <c r="U1595" s="267" t="s">
        <v>3854</v>
      </c>
      <c r="AA1595" s="218"/>
    </row>
    <row r="1596" spans="1:27" ht="24" x14ac:dyDescent="0.25">
      <c r="A1596" s="405">
        <v>3001233</v>
      </c>
      <c r="B1596" s="406">
        <v>42445</v>
      </c>
      <c r="C1596" s="405" t="s">
        <v>42</v>
      </c>
      <c r="D1596" s="401" t="s">
        <v>3855</v>
      </c>
      <c r="E1596" s="120">
        <v>150</v>
      </c>
      <c r="F1596" s="133" t="s">
        <v>3856</v>
      </c>
      <c r="G1596" s="404" t="s">
        <v>45</v>
      </c>
      <c r="H1596" s="411">
        <v>313.5</v>
      </c>
      <c r="I1596" s="89">
        <f t="shared" si="277"/>
        <v>-28.215</v>
      </c>
      <c r="J1596" s="90">
        <f t="shared" si="278"/>
        <v>-6.2565</v>
      </c>
      <c r="K1596" s="90">
        <f t="shared" si="275"/>
        <v>279.02850000000001</v>
      </c>
      <c r="L1596" s="131">
        <v>850</v>
      </c>
      <c r="M1596" s="187">
        <v>49.01</v>
      </c>
      <c r="N1596" s="91">
        <f t="shared" si="267"/>
        <v>176.51</v>
      </c>
      <c r="O1596" s="411">
        <f t="shared" si="264"/>
        <v>102.51850000000002</v>
      </c>
      <c r="P1596" s="132" t="s">
        <v>52</v>
      </c>
      <c r="Q1596" s="232"/>
      <c r="R1596" s="411"/>
      <c r="T1596" s="134" t="s">
        <v>145</v>
      </c>
      <c r="U1596" s="267" t="s">
        <v>3857</v>
      </c>
      <c r="AA1596" s="218"/>
    </row>
    <row r="1597" spans="1:27" ht="24" x14ac:dyDescent="0.25">
      <c r="A1597" s="405">
        <v>3001234</v>
      </c>
      <c r="B1597" s="406">
        <v>42445</v>
      </c>
      <c r="C1597" s="405" t="s">
        <v>237</v>
      </c>
      <c r="D1597" s="401" t="s">
        <v>3858</v>
      </c>
      <c r="E1597" s="120">
        <v>100</v>
      </c>
      <c r="F1597" s="133" t="s">
        <v>173</v>
      </c>
      <c r="G1597" s="404" t="s">
        <v>45</v>
      </c>
      <c r="H1597" s="411">
        <v>116.62</v>
      </c>
      <c r="I1597" s="397">
        <f>-(H1597*0.15)</f>
        <v>-17.492999999999999</v>
      </c>
      <c r="J1597" s="411">
        <v>0</v>
      </c>
      <c r="K1597" s="90">
        <f t="shared" si="275"/>
        <v>99.12700000000001</v>
      </c>
      <c r="L1597" s="131">
        <v>399</v>
      </c>
      <c r="M1597" s="187">
        <v>38.770000000000003</v>
      </c>
      <c r="N1597" s="91">
        <f t="shared" si="267"/>
        <v>78.670000000000016</v>
      </c>
      <c r="O1597" s="411">
        <f t="shared" si="264"/>
        <v>20.456999999999994</v>
      </c>
      <c r="P1597" s="132" t="s">
        <v>52</v>
      </c>
      <c r="Q1597" s="232"/>
      <c r="R1597" s="411"/>
      <c r="T1597" s="134" t="s">
        <v>145</v>
      </c>
      <c r="U1597" s="267" t="s">
        <v>3859</v>
      </c>
      <c r="AA1597" s="218"/>
    </row>
    <row r="1598" spans="1:27" ht="24" x14ac:dyDescent="0.25">
      <c r="A1598" s="405">
        <v>3001235</v>
      </c>
      <c r="B1598" s="406">
        <v>42445</v>
      </c>
      <c r="C1598" s="405" t="s">
        <v>237</v>
      </c>
      <c r="D1598" s="401" t="s">
        <v>3860</v>
      </c>
      <c r="E1598" s="120">
        <v>50</v>
      </c>
      <c r="F1598" s="133" t="s">
        <v>288</v>
      </c>
      <c r="G1598" s="404" t="s">
        <v>45</v>
      </c>
      <c r="H1598" s="411">
        <v>95</v>
      </c>
      <c r="I1598" s="397">
        <f>-(H1598*0.15)</f>
        <v>-14.25</v>
      </c>
      <c r="J1598" s="411">
        <v>0</v>
      </c>
      <c r="K1598" s="90">
        <f t="shared" si="275"/>
        <v>80.75</v>
      </c>
      <c r="L1598" s="131">
        <v>950</v>
      </c>
      <c r="M1598" s="187">
        <v>26.32</v>
      </c>
      <c r="N1598" s="91">
        <f t="shared" si="267"/>
        <v>73.819999999999993</v>
      </c>
      <c r="O1598" s="411">
        <f t="shared" si="264"/>
        <v>6.9300000000000068</v>
      </c>
      <c r="P1598" s="132" t="s">
        <v>52</v>
      </c>
      <c r="Q1598" s="232"/>
      <c r="R1598" s="411"/>
      <c r="T1598" s="134" t="s">
        <v>145</v>
      </c>
      <c r="U1598" s="267" t="s">
        <v>3861</v>
      </c>
      <c r="AA1598" s="218"/>
    </row>
    <row r="1599" spans="1:27" ht="24" x14ac:dyDescent="0.25">
      <c r="A1599" s="405">
        <v>3001236</v>
      </c>
      <c r="B1599" s="406">
        <v>42445</v>
      </c>
      <c r="C1599" s="405" t="s">
        <v>237</v>
      </c>
      <c r="D1599" s="401" t="s">
        <v>3862</v>
      </c>
      <c r="E1599" s="120">
        <v>250</v>
      </c>
      <c r="F1599" s="133" t="s">
        <v>1273</v>
      </c>
      <c r="G1599" s="404" t="s">
        <v>45</v>
      </c>
      <c r="H1599" s="411">
        <v>463.39</v>
      </c>
      <c r="I1599" s="397">
        <f>-(H1599*0.15)</f>
        <v>-69.508499999999998</v>
      </c>
      <c r="J1599" s="411">
        <v>0</v>
      </c>
      <c r="K1599" s="90">
        <f t="shared" si="275"/>
        <v>393.88149999999996</v>
      </c>
      <c r="L1599" s="131">
        <v>616</v>
      </c>
      <c r="M1599" s="187">
        <v>41.75</v>
      </c>
      <c r="N1599" s="91">
        <f t="shared" si="267"/>
        <v>195.75</v>
      </c>
      <c r="O1599" s="411">
        <f t="shared" si="264"/>
        <v>198.13149999999996</v>
      </c>
      <c r="P1599" s="132" t="s">
        <v>52</v>
      </c>
      <c r="Q1599" s="232"/>
      <c r="R1599" s="411"/>
      <c r="T1599" s="134" t="s">
        <v>145</v>
      </c>
      <c r="U1599" s="267" t="s">
        <v>3863</v>
      </c>
      <c r="AA1599" s="218"/>
    </row>
    <row r="1600" spans="1:27" x14ac:dyDescent="0.25">
      <c r="A1600" s="405">
        <v>3001237</v>
      </c>
      <c r="B1600" s="406">
        <v>42445</v>
      </c>
      <c r="C1600" s="405" t="s">
        <v>63</v>
      </c>
      <c r="D1600" s="401" t="s">
        <v>3445</v>
      </c>
      <c r="E1600" s="120">
        <v>2000</v>
      </c>
      <c r="F1600" s="133" t="s">
        <v>3864</v>
      </c>
      <c r="G1600" s="404" t="s">
        <v>45</v>
      </c>
      <c r="H1600" s="411">
        <v>4400</v>
      </c>
      <c r="I1600" s="411">
        <v>0</v>
      </c>
      <c r="J1600" s="90">
        <f>-((H1600*0.022)+0.3)</f>
        <v>-97.1</v>
      </c>
      <c r="K1600" s="90">
        <f t="shared" si="275"/>
        <v>4302.8999999999996</v>
      </c>
      <c r="L1600" s="187">
        <v>1705</v>
      </c>
      <c r="M1600" s="131">
        <v>0</v>
      </c>
      <c r="N1600" s="91">
        <f t="shared" si="267"/>
        <v>3410</v>
      </c>
      <c r="O1600" s="411">
        <f t="shared" si="264"/>
        <v>892.89999999999964</v>
      </c>
      <c r="P1600" s="132" t="s">
        <v>313</v>
      </c>
      <c r="Q1600" s="232"/>
      <c r="R1600" s="411"/>
      <c r="T1600" s="134" t="s">
        <v>3865</v>
      </c>
      <c r="U1600" s="267" t="s">
        <v>3866</v>
      </c>
      <c r="V1600" s="171"/>
      <c r="W1600" s="153" t="s">
        <v>3449</v>
      </c>
      <c r="AA1600" s="218"/>
    </row>
    <row r="1601" spans="1:27" x14ac:dyDescent="0.25">
      <c r="A1601" s="405">
        <v>3001238</v>
      </c>
      <c r="B1601" s="406">
        <v>42445</v>
      </c>
      <c r="C1601" s="405" t="s">
        <v>237</v>
      </c>
      <c r="D1601" s="401" t="s">
        <v>3867</v>
      </c>
      <c r="E1601" s="120">
        <v>1000</v>
      </c>
      <c r="F1601" s="133" t="s">
        <v>3868</v>
      </c>
      <c r="G1601" s="404" t="s">
        <v>45</v>
      </c>
      <c r="H1601" s="411">
        <v>405.65</v>
      </c>
      <c r="I1601" s="397">
        <f>-(H1601*0.15)</f>
        <v>-60.847499999999997</v>
      </c>
      <c r="J1601" s="411">
        <v>0</v>
      </c>
      <c r="K1601" s="90">
        <f t="shared" si="275"/>
        <v>344.80250000000001</v>
      </c>
      <c r="L1601" s="131">
        <v>337.4</v>
      </c>
      <c r="N1601" s="91">
        <f t="shared" si="267"/>
        <v>337.4</v>
      </c>
      <c r="O1601" s="411">
        <f t="shared" si="264"/>
        <v>7.4025000000000318</v>
      </c>
      <c r="P1601" s="132" t="s">
        <v>42</v>
      </c>
      <c r="Q1601" s="232"/>
      <c r="R1601" s="411"/>
      <c r="T1601" s="134" t="s">
        <v>314</v>
      </c>
      <c r="U1601" s="267" t="s">
        <v>3869</v>
      </c>
      <c r="AA1601" s="218"/>
    </row>
    <row r="1602" spans="1:27" ht="24" x14ac:dyDescent="0.25">
      <c r="A1602" s="405">
        <v>3001239</v>
      </c>
      <c r="B1602" s="406">
        <v>42446</v>
      </c>
      <c r="C1602" s="405" t="s">
        <v>42</v>
      </c>
      <c r="D1602" s="401" t="s">
        <v>3870</v>
      </c>
      <c r="E1602" s="120">
        <v>250</v>
      </c>
      <c r="F1602" s="133" t="s">
        <v>2220</v>
      </c>
      <c r="G1602" s="404" t="s">
        <v>45</v>
      </c>
      <c r="H1602" s="411">
        <v>142.5</v>
      </c>
      <c r="I1602" s="89">
        <f t="shared" ref="I1602:I1610" si="279">-(H1602*0.09)</f>
        <v>-12.824999999999999</v>
      </c>
      <c r="J1602" s="90">
        <f t="shared" ref="J1602:J1610" si="280">-((H1602*0.019)+0.3)</f>
        <v>-3.0074999999999998</v>
      </c>
      <c r="K1602" s="90">
        <f t="shared" si="275"/>
        <v>126.66750000000002</v>
      </c>
      <c r="L1602" s="187">
        <v>260</v>
      </c>
      <c r="M1602" s="187">
        <v>22.19</v>
      </c>
      <c r="N1602" s="91">
        <f t="shared" si="267"/>
        <v>87.19</v>
      </c>
      <c r="O1602" s="411">
        <f t="shared" si="264"/>
        <v>39.47750000000002</v>
      </c>
      <c r="P1602" s="132" t="s">
        <v>235</v>
      </c>
      <c r="Q1602" s="232"/>
      <c r="R1602" s="411"/>
      <c r="T1602" s="134" t="s">
        <v>145</v>
      </c>
      <c r="U1602" s="267" t="s">
        <v>3871</v>
      </c>
      <c r="AA1602" s="218"/>
    </row>
    <row r="1603" spans="1:27" ht="24" x14ac:dyDescent="0.25">
      <c r="A1603" s="405">
        <v>3001240</v>
      </c>
      <c r="B1603" s="406">
        <v>42446</v>
      </c>
      <c r="C1603" s="405" t="s">
        <v>42</v>
      </c>
      <c r="D1603" s="401" t="s">
        <v>3872</v>
      </c>
      <c r="E1603" s="120">
        <v>100</v>
      </c>
      <c r="F1603" s="133" t="s">
        <v>593</v>
      </c>
      <c r="G1603" s="404" t="s">
        <v>45</v>
      </c>
      <c r="H1603" s="411">
        <v>138.9</v>
      </c>
      <c r="I1603" s="89">
        <f t="shared" si="279"/>
        <v>-12.500999999999999</v>
      </c>
      <c r="J1603" s="90">
        <f t="shared" si="280"/>
        <v>-2.9390999999999998</v>
      </c>
      <c r="K1603" s="90">
        <f t="shared" si="275"/>
        <v>123.4599</v>
      </c>
      <c r="M1603" s="187">
        <v>44.75</v>
      </c>
      <c r="N1603" s="91">
        <f t="shared" si="267"/>
        <v>44.75</v>
      </c>
      <c r="O1603" s="411">
        <f t="shared" si="264"/>
        <v>78.709900000000005</v>
      </c>
      <c r="P1603" s="132" t="s">
        <v>52</v>
      </c>
      <c r="Q1603" s="232"/>
      <c r="R1603" s="411"/>
      <c r="T1603" s="134" t="s">
        <v>145</v>
      </c>
      <c r="U1603" s="267" t="s">
        <v>3873</v>
      </c>
      <c r="AA1603" s="218"/>
    </row>
    <row r="1604" spans="1:27" ht="24" x14ac:dyDescent="0.25">
      <c r="A1604" s="405">
        <v>3001241</v>
      </c>
      <c r="B1604" s="406">
        <v>42446</v>
      </c>
      <c r="C1604" s="405" t="s">
        <v>42</v>
      </c>
      <c r="D1604" s="401" t="s">
        <v>3874</v>
      </c>
      <c r="E1604" s="120">
        <v>200</v>
      </c>
      <c r="F1604" s="133" t="s">
        <v>983</v>
      </c>
      <c r="G1604" s="404" t="s">
        <v>45</v>
      </c>
      <c r="H1604" s="411">
        <v>133</v>
      </c>
      <c r="I1604" s="89">
        <f t="shared" si="279"/>
        <v>-11.969999999999999</v>
      </c>
      <c r="J1604" s="90">
        <f t="shared" si="280"/>
        <v>-2.827</v>
      </c>
      <c r="K1604" s="90">
        <f t="shared" si="275"/>
        <v>118.203</v>
      </c>
      <c r="L1604" s="131">
        <v>300</v>
      </c>
      <c r="M1604" s="187">
        <v>28.81</v>
      </c>
      <c r="N1604" s="91">
        <f t="shared" si="267"/>
        <v>88.81</v>
      </c>
      <c r="O1604" s="411">
        <f t="shared" si="264"/>
        <v>29.393000000000001</v>
      </c>
      <c r="P1604" s="132" t="s">
        <v>52</v>
      </c>
      <c r="Q1604" s="232"/>
      <c r="R1604" s="411"/>
      <c r="T1604" s="134" t="s">
        <v>145</v>
      </c>
      <c r="U1604" s="267" t="s">
        <v>3875</v>
      </c>
      <c r="AA1604" s="218"/>
    </row>
    <row r="1605" spans="1:27" ht="24" x14ac:dyDescent="0.25">
      <c r="A1605" s="405">
        <v>3001242</v>
      </c>
      <c r="B1605" s="406">
        <v>42446</v>
      </c>
      <c r="C1605" s="405" t="s">
        <v>42</v>
      </c>
      <c r="D1605" s="401" t="s">
        <v>3876</v>
      </c>
      <c r="E1605" s="120">
        <v>75</v>
      </c>
      <c r="F1605" s="133" t="s">
        <v>1273</v>
      </c>
      <c r="G1605" s="404" t="s">
        <v>45</v>
      </c>
      <c r="H1605" s="411">
        <v>152</v>
      </c>
      <c r="I1605" s="89">
        <f t="shared" si="279"/>
        <v>-13.68</v>
      </c>
      <c r="J1605" s="90">
        <f t="shared" si="280"/>
        <v>-3.1879999999999997</v>
      </c>
      <c r="K1605" s="90">
        <f t="shared" si="275"/>
        <v>135.13200000000001</v>
      </c>
      <c r="L1605" s="131">
        <v>616</v>
      </c>
      <c r="M1605" s="187">
        <v>24.16</v>
      </c>
      <c r="N1605" s="91">
        <f t="shared" si="267"/>
        <v>70.36</v>
      </c>
      <c r="O1605" s="411">
        <f t="shared" si="264"/>
        <v>64.772000000000006</v>
      </c>
      <c r="P1605" s="132" t="s">
        <v>52</v>
      </c>
      <c r="Q1605" s="232"/>
      <c r="R1605" s="411"/>
      <c r="T1605" s="134" t="s">
        <v>145</v>
      </c>
      <c r="U1605" s="267" t="s">
        <v>3877</v>
      </c>
      <c r="AA1605" s="218"/>
    </row>
    <row r="1606" spans="1:27" ht="24" x14ac:dyDescent="0.25">
      <c r="A1606" s="405">
        <v>3001243</v>
      </c>
      <c r="B1606" s="406">
        <v>42446</v>
      </c>
      <c r="C1606" s="405" t="s">
        <v>237</v>
      </c>
      <c r="D1606" s="401" t="s">
        <v>3878</v>
      </c>
      <c r="E1606" s="120">
        <v>50</v>
      </c>
      <c r="F1606" s="133" t="s">
        <v>161</v>
      </c>
      <c r="G1606" s="404" t="s">
        <v>45</v>
      </c>
      <c r="H1606" s="411">
        <v>113.84</v>
      </c>
      <c r="I1606" s="397">
        <f>-(H1606*0.15)</f>
        <v>-17.076000000000001</v>
      </c>
      <c r="J1606" s="90">
        <v>0</v>
      </c>
      <c r="K1606" s="90">
        <f t="shared" si="275"/>
        <v>96.76400000000001</v>
      </c>
      <c r="L1606" s="131">
        <v>1322</v>
      </c>
      <c r="M1606" s="187">
        <v>25.47</v>
      </c>
      <c r="N1606" s="91">
        <f t="shared" si="267"/>
        <v>91.570000000000007</v>
      </c>
      <c r="O1606" s="411">
        <f t="shared" si="264"/>
        <v>5.1940000000000026</v>
      </c>
      <c r="P1606" s="132" t="s">
        <v>52</v>
      </c>
      <c r="Q1606" s="232"/>
      <c r="R1606" s="411"/>
      <c r="T1606" s="134" t="s">
        <v>145</v>
      </c>
      <c r="U1606" s="267" t="s">
        <v>3879</v>
      </c>
      <c r="AA1606" s="218"/>
    </row>
    <row r="1607" spans="1:27" ht="36" x14ac:dyDescent="0.25">
      <c r="A1607" s="405">
        <v>3001244</v>
      </c>
      <c r="B1607" s="406">
        <v>42446</v>
      </c>
      <c r="C1607" s="405" t="s">
        <v>237</v>
      </c>
      <c r="D1607" s="401" t="s">
        <v>3880</v>
      </c>
      <c r="E1607" s="120">
        <v>5000</v>
      </c>
      <c r="F1607" s="133" t="s">
        <v>3881</v>
      </c>
      <c r="G1607" s="404" t="s">
        <v>45</v>
      </c>
      <c r="H1607" s="411">
        <v>380.73</v>
      </c>
      <c r="I1607" s="397">
        <f>-(H1607*0.15)</f>
        <v>-57.109500000000004</v>
      </c>
      <c r="J1607" s="411">
        <v>0</v>
      </c>
      <c r="K1607" s="90">
        <f t="shared" si="275"/>
        <v>323.62049999999999</v>
      </c>
      <c r="L1607" s="187">
        <v>50</v>
      </c>
      <c r="M1607" s="187">
        <v>31.71</v>
      </c>
      <c r="N1607" s="91">
        <f t="shared" si="267"/>
        <v>281.70999999999998</v>
      </c>
      <c r="O1607" s="411">
        <f t="shared" si="264"/>
        <v>41.910500000000013</v>
      </c>
      <c r="P1607" s="132" t="s">
        <v>888</v>
      </c>
      <c r="Q1607" s="232"/>
      <c r="R1607" s="411"/>
      <c r="T1607" s="134" t="s">
        <v>145</v>
      </c>
      <c r="U1607" s="266" t="s">
        <v>3882</v>
      </c>
      <c r="V1607" s="133" t="s">
        <v>3883</v>
      </c>
      <c r="AA1607" s="218"/>
    </row>
    <row r="1608" spans="1:27" ht="24" x14ac:dyDescent="0.25">
      <c r="A1608" s="405">
        <v>3001245</v>
      </c>
      <c r="B1608" s="406">
        <v>42446</v>
      </c>
      <c r="C1608" s="405" t="s">
        <v>42</v>
      </c>
      <c r="D1608" s="401" t="s">
        <v>3884</v>
      </c>
      <c r="E1608" s="120">
        <v>250</v>
      </c>
      <c r="F1608" s="133" t="s">
        <v>983</v>
      </c>
      <c r="G1608" s="404" t="s">
        <v>45</v>
      </c>
      <c r="H1608" s="411">
        <v>152.1</v>
      </c>
      <c r="I1608" s="89">
        <f t="shared" si="279"/>
        <v>-13.688999999999998</v>
      </c>
      <c r="J1608" s="90">
        <f t="shared" si="280"/>
        <v>-3.1898999999999997</v>
      </c>
      <c r="K1608" s="90">
        <f t="shared" si="275"/>
        <v>135.22110000000001</v>
      </c>
      <c r="L1608" s="131">
        <v>300</v>
      </c>
      <c r="M1608" s="187">
        <v>46.24</v>
      </c>
      <c r="N1608" s="91">
        <f t="shared" si="267"/>
        <v>121.24000000000001</v>
      </c>
      <c r="O1608" s="411">
        <f t="shared" si="264"/>
        <v>13.981099999999998</v>
      </c>
      <c r="P1608" s="132" t="s">
        <v>52</v>
      </c>
      <c r="Q1608" s="232"/>
      <c r="R1608" s="411"/>
      <c r="T1608" s="134" t="s">
        <v>145</v>
      </c>
      <c r="U1608" s="267" t="s">
        <v>3885</v>
      </c>
      <c r="AA1608" s="218"/>
    </row>
    <row r="1609" spans="1:27" ht="24" x14ac:dyDescent="0.25">
      <c r="A1609" s="405">
        <v>3001246</v>
      </c>
      <c r="B1609" s="406">
        <v>42446</v>
      </c>
      <c r="C1609" s="405" t="s">
        <v>327</v>
      </c>
      <c r="D1609" s="401" t="s">
        <v>3886</v>
      </c>
      <c r="E1609" s="120">
        <v>80</v>
      </c>
      <c r="F1609" s="133" t="s">
        <v>300</v>
      </c>
      <c r="G1609" s="404" t="s">
        <v>45</v>
      </c>
      <c r="H1609" s="411">
        <v>325</v>
      </c>
      <c r="I1609" s="411">
        <v>0</v>
      </c>
      <c r="J1609" s="90">
        <f>-((H1609*0.022)+0.3)</f>
        <v>-7.4499999999999993</v>
      </c>
      <c r="K1609" s="90">
        <f t="shared" si="275"/>
        <v>317.55</v>
      </c>
      <c r="L1609" s="131">
        <v>2200</v>
      </c>
      <c r="M1609" s="187">
        <v>50.02</v>
      </c>
      <c r="N1609" s="91">
        <f t="shared" si="267"/>
        <v>226.02</v>
      </c>
      <c r="O1609" s="411">
        <f t="shared" ref="O1609:O1672" si="281">K1609-N1609</f>
        <v>91.53</v>
      </c>
      <c r="P1609" s="132" t="s">
        <v>52</v>
      </c>
      <c r="Q1609" s="232"/>
      <c r="R1609" s="411"/>
      <c r="T1609" s="134" t="s">
        <v>145</v>
      </c>
      <c r="U1609" s="267" t="s">
        <v>3887</v>
      </c>
      <c r="W1609" s="153" t="s">
        <v>3888</v>
      </c>
      <c r="AA1609" s="218"/>
    </row>
    <row r="1610" spans="1:27" x14ac:dyDescent="0.25">
      <c r="A1610" s="405">
        <v>3001247</v>
      </c>
      <c r="B1610" s="406">
        <v>42446</v>
      </c>
      <c r="C1610" s="405" t="s">
        <v>42</v>
      </c>
      <c r="D1610" s="401" t="s">
        <v>3889</v>
      </c>
      <c r="E1610" s="120">
        <v>225</v>
      </c>
      <c r="F1610" s="133" t="s">
        <v>178</v>
      </c>
      <c r="G1610" s="404" t="s">
        <v>45</v>
      </c>
      <c r="H1610" s="411">
        <v>611.14</v>
      </c>
      <c r="I1610" s="89">
        <f t="shared" si="279"/>
        <v>-55.002599999999994</v>
      </c>
      <c r="J1610" s="90">
        <f t="shared" si="280"/>
        <v>-11.911659999999999</v>
      </c>
      <c r="K1610" s="90">
        <f t="shared" si="275"/>
        <v>544.22573999999997</v>
      </c>
      <c r="L1610" s="131">
        <v>1079</v>
      </c>
      <c r="M1610" s="187">
        <v>153.11000000000001</v>
      </c>
      <c r="N1610" s="91">
        <f t="shared" si="267"/>
        <v>395.88499999999999</v>
      </c>
      <c r="O1610" s="411">
        <f t="shared" si="281"/>
        <v>148.34073999999998</v>
      </c>
      <c r="P1610" s="132" t="s">
        <v>52</v>
      </c>
      <c r="Q1610" s="232"/>
      <c r="R1610" s="411"/>
      <c r="T1610" s="134" t="s">
        <v>97</v>
      </c>
      <c r="U1610" s="267" t="s">
        <v>3890</v>
      </c>
      <c r="V1610" s="133" t="s">
        <v>55</v>
      </c>
      <c r="AA1610" s="218"/>
    </row>
    <row r="1611" spans="1:27" x14ac:dyDescent="0.25">
      <c r="A1611" s="419">
        <v>3001248</v>
      </c>
      <c r="B1611" s="421">
        <v>42446</v>
      </c>
      <c r="C1611" s="419" t="s">
        <v>56</v>
      </c>
      <c r="D1611" s="417" t="s">
        <v>1303</v>
      </c>
      <c r="E1611" s="120">
        <v>250</v>
      </c>
      <c r="F1611" s="133" t="s">
        <v>2631</v>
      </c>
      <c r="G1611" s="434" t="s">
        <v>45</v>
      </c>
      <c r="H1611" s="427">
        <v>3831.75</v>
      </c>
      <c r="I1611" s="427">
        <v>0</v>
      </c>
      <c r="J1611" s="427">
        <v>0</v>
      </c>
      <c r="K1611" s="425">
        <f t="shared" si="275"/>
        <v>3831.75</v>
      </c>
      <c r="L1611" s="187">
        <v>462.3</v>
      </c>
      <c r="M1611" s="187">
        <v>115.18</v>
      </c>
      <c r="N1611" s="91">
        <f t="shared" si="267"/>
        <v>230.755</v>
      </c>
      <c r="O1611" s="411">
        <f t="shared" si="281"/>
        <v>3600.9949999999999</v>
      </c>
      <c r="P1611" s="132" t="s">
        <v>46</v>
      </c>
      <c r="Q1611" s="232"/>
      <c r="R1611" s="411"/>
      <c r="T1611" s="439" t="s">
        <v>47</v>
      </c>
      <c r="U1611" s="481" t="s">
        <v>3891</v>
      </c>
      <c r="V1611" s="133" t="s">
        <v>3892</v>
      </c>
      <c r="W1611" s="153" t="s">
        <v>1796</v>
      </c>
      <c r="AA1611" s="218"/>
    </row>
    <row r="1612" spans="1:27" x14ac:dyDescent="0.25">
      <c r="A1612" s="432"/>
      <c r="B1612" s="433"/>
      <c r="C1612" s="432"/>
      <c r="D1612" s="454"/>
      <c r="E1612" s="120">
        <v>250</v>
      </c>
      <c r="F1612" s="133" t="s">
        <v>3893</v>
      </c>
      <c r="G1612" s="435"/>
      <c r="H1612" s="438"/>
      <c r="I1612" s="438"/>
      <c r="J1612" s="438"/>
      <c r="K1612" s="437"/>
      <c r="L1612" s="187">
        <v>2391.15</v>
      </c>
      <c r="M1612" s="187"/>
      <c r="N1612" s="91">
        <f t="shared" si="267"/>
        <v>597.78750000000002</v>
      </c>
      <c r="O1612" s="411">
        <f t="shared" si="281"/>
        <v>-597.78750000000002</v>
      </c>
      <c r="P1612" s="132" t="s">
        <v>46</v>
      </c>
      <c r="Q1612" s="232"/>
      <c r="R1612" s="411"/>
      <c r="T1612" s="440"/>
      <c r="U1612" s="482"/>
      <c r="AA1612" s="218"/>
    </row>
    <row r="1613" spans="1:27" x14ac:dyDescent="0.25">
      <c r="A1613" s="432"/>
      <c r="B1613" s="433"/>
      <c r="C1613" s="432"/>
      <c r="D1613" s="454"/>
      <c r="E1613" s="120">
        <v>750</v>
      </c>
      <c r="F1613" s="133" t="s">
        <v>2634</v>
      </c>
      <c r="G1613" s="435"/>
      <c r="H1613" s="438"/>
      <c r="I1613" s="438"/>
      <c r="J1613" s="438"/>
      <c r="K1613" s="437"/>
      <c r="L1613" s="187">
        <v>1528.81</v>
      </c>
      <c r="M1613" s="187"/>
      <c r="N1613" s="91">
        <f t="shared" ref="N1613:N1677" si="282">((L1613)*(E1613*0.001))+M1613</f>
        <v>1146.6075000000001</v>
      </c>
      <c r="O1613" s="411">
        <f t="shared" si="281"/>
        <v>-1146.6075000000001</v>
      </c>
      <c r="P1613" s="132" t="s">
        <v>46</v>
      </c>
      <c r="Q1613" s="232"/>
      <c r="R1613" s="411"/>
      <c r="T1613" s="441"/>
      <c r="U1613" s="483"/>
      <c r="AA1613" s="218"/>
    </row>
    <row r="1614" spans="1:27" x14ac:dyDescent="0.25">
      <c r="A1614" s="432"/>
      <c r="B1614" s="433"/>
      <c r="C1614" s="432"/>
      <c r="D1614" s="454"/>
      <c r="E1614" s="120">
        <v>1000</v>
      </c>
      <c r="F1614" s="133" t="s">
        <v>1314</v>
      </c>
      <c r="G1614" s="435"/>
      <c r="H1614" s="438"/>
      <c r="I1614" s="438"/>
      <c r="J1614" s="438"/>
      <c r="K1614" s="437"/>
      <c r="L1614" s="187">
        <v>145</v>
      </c>
      <c r="M1614" s="510">
        <v>114</v>
      </c>
      <c r="N1614" s="91">
        <f t="shared" si="282"/>
        <v>259</v>
      </c>
      <c r="O1614" s="411">
        <f t="shared" si="281"/>
        <v>-259</v>
      </c>
      <c r="P1614" s="132" t="s">
        <v>235</v>
      </c>
      <c r="Q1614" s="232"/>
      <c r="R1614" s="411"/>
      <c r="T1614" s="439" t="s">
        <v>565</v>
      </c>
      <c r="U1614" s="481" t="s">
        <v>3894</v>
      </c>
      <c r="V1614" s="133" t="s">
        <v>3895</v>
      </c>
      <c r="AA1614" s="218"/>
    </row>
    <row r="1615" spans="1:27" x14ac:dyDescent="0.25">
      <c r="A1615" s="432"/>
      <c r="B1615" s="433"/>
      <c r="C1615" s="432"/>
      <c r="D1615" s="454"/>
      <c r="E1615" s="120">
        <v>1000</v>
      </c>
      <c r="F1615" s="133" t="s">
        <v>1315</v>
      </c>
      <c r="G1615" s="435"/>
      <c r="H1615" s="438"/>
      <c r="I1615" s="438"/>
      <c r="J1615" s="438"/>
      <c r="K1615" s="437"/>
      <c r="L1615" s="187">
        <v>210</v>
      </c>
      <c r="M1615" s="511"/>
      <c r="N1615" s="91">
        <f t="shared" si="282"/>
        <v>210</v>
      </c>
      <c r="O1615" s="411">
        <f t="shared" si="281"/>
        <v>-210</v>
      </c>
      <c r="P1615" s="132" t="s">
        <v>235</v>
      </c>
      <c r="Q1615" s="232"/>
      <c r="R1615" s="411"/>
      <c r="T1615" s="440"/>
      <c r="U1615" s="482"/>
      <c r="V1615" s="133" t="s">
        <v>3895</v>
      </c>
      <c r="AA1615" s="218"/>
    </row>
    <row r="1616" spans="1:27" x14ac:dyDescent="0.25">
      <c r="A1616" s="432"/>
      <c r="B1616" s="433"/>
      <c r="C1616" s="432"/>
      <c r="D1616" s="454"/>
      <c r="E1616" s="120">
        <v>500</v>
      </c>
      <c r="F1616" s="133" t="s">
        <v>3896</v>
      </c>
      <c r="G1616" s="435"/>
      <c r="H1616" s="438"/>
      <c r="I1616" s="438"/>
      <c r="J1616" s="438"/>
      <c r="K1616" s="437"/>
      <c r="L1616" s="187">
        <v>190</v>
      </c>
      <c r="M1616" s="511"/>
      <c r="N1616" s="91">
        <f t="shared" si="282"/>
        <v>95</v>
      </c>
      <c r="O1616" s="411">
        <f t="shared" si="281"/>
        <v>-95</v>
      </c>
      <c r="P1616" s="132" t="s">
        <v>235</v>
      </c>
      <c r="Q1616" s="232"/>
      <c r="R1616" s="411"/>
      <c r="T1616" s="440"/>
      <c r="U1616" s="482"/>
      <c r="V1616" s="133" t="s">
        <v>3895</v>
      </c>
      <c r="AA1616" s="218"/>
    </row>
    <row r="1617" spans="1:27" x14ac:dyDescent="0.25">
      <c r="A1617" s="432"/>
      <c r="B1617" s="433"/>
      <c r="C1617" s="432"/>
      <c r="D1617" s="454"/>
      <c r="E1617" s="120">
        <v>2000</v>
      </c>
      <c r="F1617" s="133" t="s">
        <v>3897</v>
      </c>
      <c r="G1617" s="435"/>
      <c r="H1617" s="438"/>
      <c r="I1617" s="438"/>
      <c r="J1617" s="438"/>
      <c r="K1617" s="437"/>
      <c r="L1617" s="187">
        <v>190</v>
      </c>
      <c r="M1617" s="511"/>
      <c r="N1617" s="91">
        <f t="shared" si="282"/>
        <v>380</v>
      </c>
      <c r="O1617" s="411">
        <f t="shared" si="281"/>
        <v>-380</v>
      </c>
      <c r="P1617" s="132" t="s">
        <v>235</v>
      </c>
      <c r="Q1617" s="232"/>
      <c r="R1617" s="411"/>
      <c r="T1617" s="440"/>
      <c r="U1617" s="482"/>
      <c r="V1617" s="133" t="s">
        <v>3895</v>
      </c>
      <c r="AA1617" s="218"/>
    </row>
    <row r="1618" spans="1:27" x14ac:dyDescent="0.25">
      <c r="A1618" s="432"/>
      <c r="B1618" s="433"/>
      <c r="C1618" s="432"/>
      <c r="D1618" s="454"/>
      <c r="E1618" s="120">
        <v>500</v>
      </c>
      <c r="F1618" s="133" t="s">
        <v>3898</v>
      </c>
      <c r="G1618" s="435"/>
      <c r="H1618" s="438"/>
      <c r="I1618" s="438"/>
      <c r="J1618" s="438"/>
      <c r="K1618" s="437"/>
      <c r="L1618" s="187">
        <v>80</v>
      </c>
      <c r="M1618" s="511"/>
      <c r="N1618" s="91">
        <f t="shared" si="282"/>
        <v>40</v>
      </c>
      <c r="O1618" s="411">
        <f t="shared" si="281"/>
        <v>-40</v>
      </c>
      <c r="P1618" s="132" t="s">
        <v>235</v>
      </c>
      <c r="Q1618" s="232"/>
      <c r="R1618" s="411"/>
      <c r="T1618" s="440"/>
      <c r="U1618" s="482"/>
      <c r="V1618" s="133" t="s">
        <v>3895</v>
      </c>
      <c r="AA1618" s="218"/>
    </row>
    <row r="1619" spans="1:27" x14ac:dyDescent="0.25">
      <c r="A1619" s="432"/>
      <c r="B1619" s="433"/>
      <c r="C1619" s="432"/>
      <c r="D1619" s="454"/>
      <c r="E1619" s="120">
        <v>500</v>
      </c>
      <c r="F1619" s="133" t="s">
        <v>3899</v>
      </c>
      <c r="G1619" s="435"/>
      <c r="H1619" s="438"/>
      <c r="I1619" s="438"/>
      <c r="J1619" s="438"/>
      <c r="K1619" s="437"/>
      <c r="L1619" s="187">
        <v>55</v>
      </c>
      <c r="M1619" s="512"/>
      <c r="N1619" s="91">
        <f t="shared" si="282"/>
        <v>27.5</v>
      </c>
      <c r="O1619" s="411">
        <f t="shared" si="281"/>
        <v>-27.5</v>
      </c>
      <c r="P1619" s="132" t="s">
        <v>235</v>
      </c>
      <c r="Q1619" s="232"/>
      <c r="R1619" s="411"/>
      <c r="T1619" s="441"/>
      <c r="U1619" s="483"/>
      <c r="V1619" s="133" t="s">
        <v>3895</v>
      </c>
      <c r="AA1619" s="218"/>
    </row>
    <row r="1620" spans="1:27" ht="24" x14ac:dyDescent="0.25">
      <c r="A1620" s="420"/>
      <c r="B1620" s="422"/>
      <c r="C1620" s="420"/>
      <c r="D1620" s="418"/>
      <c r="E1620" s="120">
        <v>1000</v>
      </c>
      <c r="F1620" s="119" t="s">
        <v>3900</v>
      </c>
      <c r="G1620" s="436"/>
      <c r="H1620" s="428"/>
      <c r="I1620" s="428"/>
      <c r="J1620" s="428"/>
      <c r="K1620" s="426"/>
      <c r="L1620" s="187">
        <v>35</v>
      </c>
      <c r="M1620" s="187">
        <v>12.54</v>
      </c>
      <c r="N1620" s="91">
        <f t="shared" si="282"/>
        <v>47.54</v>
      </c>
      <c r="O1620" s="411">
        <f t="shared" si="281"/>
        <v>-47.54</v>
      </c>
      <c r="P1620" s="132" t="s">
        <v>313</v>
      </c>
      <c r="Q1620" s="232"/>
      <c r="R1620" s="411"/>
      <c r="T1620" s="134" t="s">
        <v>314</v>
      </c>
      <c r="U1620" s="267" t="s">
        <v>3901</v>
      </c>
      <c r="V1620" s="133" t="s">
        <v>3902</v>
      </c>
      <c r="AA1620" s="218"/>
    </row>
    <row r="1621" spans="1:27" x14ac:dyDescent="0.25">
      <c r="A1621" s="419">
        <v>3001249</v>
      </c>
      <c r="B1621" s="421">
        <v>42446</v>
      </c>
      <c r="C1621" s="419" t="s">
        <v>56</v>
      </c>
      <c r="D1621" s="417" t="s">
        <v>87</v>
      </c>
      <c r="E1621" s="120">
        <v>3000</v>
      </c>
      <c r="F1621" s="133" t="s">
        <v>3903</v>
      </c>
      <c r="G1621" s="434"/>
      <c r="H1621" s="427">
        <v>38858.97</v>
      </c>
      <c r="I1621" s="427">
        <v>0</v>
      </c>
      <c r="J1621" s="427">
        <v>0</v>
      </c>
      <c r="K1621" s="425">
        <f t="shared" ref="K1621" si="283">SUM(H1621:J1621)</f>
        <v>38858.97</v>
      </c>
      <c r="M1621" s="468">
        <v>746.93</v>
      </c>
      <c r="N1621" s="91">
        <f t="shared" si="282"/>
        <v>746.93</v>
      </c>
      <c r="O1621" s="411">
        <f t="shared" si="281"/>
        <v>38112.04</v>
      </c>
      <c r="P1621" s="132" t="s">
        <v>86</v>
      </c>
      <c r="Q1621" s="232"/>
      <c r="R1621" s="411"/>
      <c r="T1621" s="439" t="s">
        <v>1209</v>
      </c>
      <c r="U1621" s="481" t="s">
        <v>3904</v>
      </c>
      <c r="V1621" s="133" t="s">
        <v>3905</v>
      </c>
      <c r="AA1621" s="218"/>
    </row>
    <row r="1622" spans="1:27" x14ac:dyDescent="0.25">
      <c r="A1622" s="432"/>
      <c r="B1622" s="433"/>
      <c r="C1622" s="432"/>
      <c r="D1622" s="454"/>
      <c r="E1622" s="120">
        <v>2100</v>
      </c>
      <c r="F1622" s="133" t="s">
        <v>3906</v>
      </c>
      <c r="G1622" s="435"/>
      <c r="H1622" s="438"/>
      <c r="I1622" s="438"/>
      <c r="J1622" s="438"/>
      <c r="K1622" s="437"/>
      <c r="M1622" s="491"/>
      <c r="N1622" s="91">
        <f t="shared" si="282"/>
        <v>0</v>
      </c>
      <c r="O1622" s="411">
        <f t="shared" si="281"/>
        <v>0</v>
      </c>
      <c r="P1622" s="132" t="s">
        <v>86</v>
      </c>
      <c r="Q1622" s="232"/>
      <c r="R1622" s="411"/>
      <c r="T1622" s="440"/>
      <c r="U1622" s="482"/>
      <c r="V1622" s="133" t="s">
        <v>3907</v>
      </c>
      <c r="AA1622" s="218"/>
    </row>
    <row r="1623" spans="1:27" x14ac:dyDescent="0.25">
      <c r="A1623" s="432"/>
      <c r="B1623" s="433"/>
      <c r="C1623" s="432"/>
      <c r="D1623" s="454"/>
      <c r="E1623" s="120">
        <v>4014</v>
      </c>
      <c r="F1623" s="133" t="s">
        <v>3908</v>
      </c>
      <c r="G1623" s="435"/>
      <c r="H1623" s="438"/>
      <c r="I1623" s="438"/>
      <c r="J1623" s="438"/>
      <c r="K1623" s="437"/>
      <c r="M1623" s="491"/>
      <c r="N1623" s="91">
        <f t="shared" si="282"/>
        <v>0</v>
      </c>
      <c r="O1623" s="411">
        <f t="shared" si="281"/>
        <v>0</v>
      </c>
      <c r="P1623" s="132" t="s">
        <v>86</v>
      </c>
      <c r="Q1623" s="232"/>
      <c r="R1623" s="411"/>
      <c r="T1623" s="440"/>
      <c r="U1623" s="482"/>
      <c r="V1623" s="133" t="s">
        <v>3909</v>
      </c>
      <c r="AA1623" s="218"/>
    </row>
    <row r="1624" spans="1:27" x14ac:dyDescent="0.25">
      <c r="A1624" s="432"/>
      <c r="B1624" s="433"/>
      <c r="C1624" s="432"/>
      <c r="D1624" s="454"/>
      <c r="E1624" s="120">
        <v>4000</v>
      </c>
      <c r="F1624" s="133" t="s">
        <v>3910</v>
      </c>
      <c r="G1624" s="435"/>
      <c r="H1624" s="438"/>
      <c r="I1624" s="438"/>
      <c r="J1624" s="438"/>
      <c r="K1624" s="437"/>
      <c r="M1624" s="491"/>
      <c r="N1624" s="91">
        <f t="shared" si="282"/>
        <v>0</v>
      </c>
      <c r="O1624" s="411">
        <f t="shared" si="281"/>
        <v>0</v>
      </c>
      <c r="P1624" s="132" t="s">
        <v>86</v>
      </c>
      <c r="Q1624" s="232"/>
      <c r="R1624" s="411"/>
      <c r="T1624" s="440"/>
      <c r="U1624" s="482"/>
      <c r="AA1624" s="218"/>
    </row>
    <row r="1625" spans="1:27" x14ac:dyDescent="0.25">
      <c r="A1625" s="432"/>
      <c r="B1625" s="433"/>
      <c r="C1625" s="432"/>
      <c r="D1625" s="454"/>
      <c r="E1625" s="120">
        <v>1000</v>
      </c>
      <c r="F1625" s="133" t="s">
        <v>3911</v>
      </c>
      <c r="G1625" s="435"/>
      <c r="H1625" s="438"/>
      <c r="I1625" s="438"/>
      <c r="J1625" s="438"/>
      <c r="K1625" s="437"/>
      <c r="M1625" s="491"/>
      <c r="N1625" s="91">
        <f t="shared" si="282"/>
        <v>0</v>
      </c>
      <c r="O1625" s="411">
        <f t="shared" si="281"/>
        <v>0</v>
      </c>
      <c r="P1625" s="132" t="s">
        <v>86</v>
      </c>
      <c r="Q1625" s="232"/>
      <c r="R1625" s="411"/>
      <c r="T1625" s="440"/>
      <c r="U1625" s="482"/>
      <c r="AA1625" s="218"/>
    </row>
    <row r="1626" spans="1:27" x14ac:dyDescent="0.25">
      <c r="A1626" s="432"/>
      <c r="B1626" s="433"/>
      <c r="C1626" s="432"/>
      <c r="D1626" s="454"/>
      <c r="E1626" s="120">
        <v>1050</v>
      </c>
      <c r="F1626" s="133" t="s">
        <v>3912</v>
      </c>
      <c r="G1626" s="435"/>
      <c r="H1626" s="438"/>
      <c r="I1626" s="438"/>
      <c r="J1626" s="438"/>
      <c r="K1626" s="437"/>
      <c r="M1626" s="491"/>
      <c r="N1626" s="91">
        <f t="shared" si="282"/>
        <v>0</v>
      </c>
      <c r="O1626" s="411">
        <f t="shared" si="281"/>
        <v>0</v>
      </c>
      <c r="P1626" s="132" t="s">
        <v>86</v>
      </c>
      <c r="Q1626" s="232"/>
      <c r="R1626" s="411"/>
      <c r="T1626" s="440"/>
      <c r="U1626" s="482"/>
      <c r="AA1626" s="218"/>
    </row>
    <row r="1627" spans="1:27" x14ac:dyDescent="0.25">
      <c r="A1627" s="432"/>
      <c r="B1627" s="433"/>
      <c r="C1627" s="432"/>
      <c r="D1627" s="454"/>
      <c r="E1627" s="120">
        <v>122</v>
      </c>
      <c r="F1627" s="133" t="s">
        <v>3913</v>
      </c>
      <c r="G1627" s="435"/>
      <c r="H1627" s="438"/>
      <c r="I1627" s="438"/>
      <c r="J1627" s="438"/>
      <c r="K1627" s="437"/>
      <c r="M1627" s="491"/>
      <c r="N1627" s="91">
        <f t="shared" si="282"/>
        <v>0</v>
      </c>
      <c r="O1627" s="411">
        <f t="shared" si="281"/>
        <v>0</v>
      </c>
      <c r="P1627" s="132" t="s">
        <v>86</v>
      </c>
      <c r="Q1627" s="232"/>
      <c r="R1627" s="411"/>
      <c r="T1627" s="440"/>
      <c r="U1627" s="482"/>
      <c r="AA1627" s="218"/>
    </row>
    <row r="1628" spans="1:27" x14ac:dyDescent="0.25">
      <c r="A1628" s="432"/>
      <c r="B1628" s="433"/>
      <c r="C1628" s="432"/>
      <c r="D1628" s="454"/>
      <c r="E1628" s="120">
        <v>219</v>
      </c>
      <c r="F1628" s="133" t="s">
        <v>3914</v>
      </c>
      <c r="G1628" s="435"/>
      <c r="H1628" s="438"/>
      <c r="I1628" s="438"/>
      <c r="J1628" s="438"/>
      <c r="K1628" s="437"/>
      <c r="M1628" s="491"/>
      <c r="N1628" s="91">
        <f t="shared" si="282"/>
        <v>0</v>
      </c>
      <c r="O1628" s="411">
        <f t="shared" si="281"/>
        <v>0</v>
      </c>
      <c r="P1628" s="132" t="s">
        <v>86</v>
      </c>
      <c r="Q1628" s="232"/>
      <c r="R1628" s="411"/>
      <c r="T1628" s="440"/>
      <c r="U1628" s="482"/>
      <c r="AA1628" s="218"/>
    </row>
    <row r="1629" spans="1:27" x14ac:dyDescent="0.25">
      <c r="A1629" s="432"/>
      <c r="B1629" s="433"/>
      <c r="C1629" s="432"/>
      <c r="D1629" s="454"/>
      <c r="E1629" s="120">
        <v>1208</v>
      </c>
      <c r="F1629" s="133" t="s">
        <v>3915</v>
      </c>
      <c r="G1629" s="435"/>
      <c r="H1629" s="438"/>
      <c r="I1629" s="438"/>
      <c r="J1629" s="438"/>
      <c r="K1629" s="437"/>
      <c r="M1629" s="491"/>
      <c r="N1629" s="91">
        <f t="shared" si="282"/>
        <v>0</v>
      </c>
      <c r="O1629" s="411">
        <f t="shared" si="281"/>
        <v>0</v>
      </c>
      <c r="P1629" s="132" t="s">
        <v>86</v>
      </c>
      <c r="Q1629" s="232"/>
      <c r="R1629" s="411"/>
      <c r="T1629" s="440"/>
      <c r="U1629" s="482"/>
      <c r="AA1629" s="218"/>
    </row>
    <row r="1630" spans="1:27" ht="24" x14ac:dyDescent="0.25">
      <c r="A1630" s="432"/>
      <c r="B1630" s="433"/>
      <c r="C1630" s="432"/>
      <c r="D1630" s="454"/>
      <c r="E1630" s="120">
        <v>1845</v>
      </c>
      <c r="F1630" s="119" t="s">
        <v>3916</v>
      </c>
      <c r="G1630" s="435"/>
      <c r="H1630" s="438"/>
      <c r="I1630" s="438"/>
      <c r="J1630" s="438"/>
      <c r="K1630" s="437"/>
      <c r="M1630" s="491"/>
      <c r="N1630" s="91">
        <f t="shared" si="282"/>
        <v>0</v>
      </c>
      <c r="O1630" s="411">
        <f t="shared" si="281"/>
        <v>0</v>
      </c>
      <c r="P1630" s="132" t="s">
        <v>86</v>
      </c>
      <c r="Q1630" s="232"/>
      <c r="R1630" s="411"/>
      <c r="T1630" s="440"/>
      <c r="U1630" s="482"/>
      <c r="AA1630" s="218"/>
    </row>
    <row r="1631" spans="1:27" ht="24" x14ac:dyDescent="0.25">
      <c r="A1631" s="432"/>
      <c r="B1631" s="433"/>
      <c r="C1631" s="432"/>
      <c r="D1631" s="454"/>
      <c r="E1631" s="120">
        <v>2316</v>
      </c>
      <c r="F1631" s="119" t="s">
        <v>3917</v>
      </c>
      <c r="G1631" s="435"/>
      <c r="H1631" s="438"/>
      <c r="I1631" s="438"/>
      <c r="J1631" s="438"/>
      <c r="K1631" s="437"/>
      <c r="M1631" s="491"/>
      <c r="N1631" s="91">
        <f t="shared" si="282"/>
        <v>0</v>
      </c>
      <c r="O1631" s="411">
        <f t="shared" si="281"/>
        <v>0</v>
      </c>
      <c r="P1631" s="132" t="s">
        <v>86</v>
      </c>
      <c r="Q1631" s="232"/>
      <c r="R1631" s="411"/>
      <c r="T1631" s="440"/>
      <c r="U1631" s="482"/>
      <c r="AA1631" s="218"/>
    </row>
    <row r="1632" spans="1:27" x14ac:dyDescent="0.25">
      <c r="A1632" s="432"/>
      <c r="B1632" s="433"/>
      <c r="C1632" s="432"/>
      <c r="D1632" s="454"/>
      <c r="E1632" s="120">
        <v>2075</v>
      </c>
      <c r="F1632" s="119" t="s">
        <v>3918</v>
      </c>
      <c r="G1632" s="435"/>
      <c r="H1632" s="438"/>
      <c r="I1632" s="438"/>
      <c r="J1632" s="438"/>
      <c r="K1632" s="437"/>
      <c r="M1632" s="469"/>
      <c r="N1632" s="91">
        <f t="shared" si="282"/>
        <v>0</v>
      </c>
      <c r="O1632" s="411">
        <f t="shared" si="281"/>
        <v>0</v>
      </c>
      <c r="P1632" s="132" t="s">
        <v>86</v>
      </c>
      <c r="Q1632" s="232"/>
      <c r="R1632" s="411"/>
      <c r="T1632" s="441"/>
      <c r="U1632" s="483"/>
      <c r="AA1632" s="218"/>
    </row>
    <row r="1633" spans="1:27" x14ac:dyDescent="0.25">
      <c r="A1633" s="432"/>
      <c r="B1633" s="433"/>
      <c r="C1633" s="432"/>
      <c r="D1633" s="454"/>
      <c r="E1633" s="120">
        <v>1000</v>
      </c>
      <c r="F1633" s="133" t="s">
        <v>3919</v>
      </c>
      <c r="G1633" s="435"/>
      <c r="H1633" s="438"/>
      <c r="I1633" s="438"/>
      <c r="J1633" s="438"/>
      <c r="K1633" s="437"/>
      <c r="M1633" s="468">
        <v>760</v>
      </c>
      <c r="N1633" s="91">
        <f t="shared" si="282"/>
        <v>760</v>
      </c>
      <c r="O1633" s="411">
        <f t="shared" si="281"/>
        <v>-760</v>
      </c>
      <c r="P1633" s="132" t="s">
        <v>52</v>
      </c>
      <c r="Q1633" s="232"/>
      <c r="R1633" s="411"/>
      <c r="T1633" s="439" t="s">
        <v>97</v>
      </c>
      <c r="U1633" s="481" t="s">
        <v>3920</v>
      </c>
      <c r="V1633" s="133" t="s">
        <v>3921</v>
      </c>
      <c r="AA1633" s="218"/>
    </row>
    <row r="1634" spans="1:27" x14ac:dyDescent="0.25">
      <c r="A1634" s="432"/>
      <c r="B1634" s="433"/>
      <c r="C1634" s="432"/>
      <c r="D1634" s="454"/>
      <c r="E1634" s="120">
        <v>1000</v>
      </c>
      <c r="F1634" s="133" t="s">
        <v>3922</v>
      </c>
      <c r="G1634" s="435"/>
      <c r="H1634" s="438"/>
      <c r="I1634" s="438"/>
      <c r="J1634" s="438"/>
      <c r="K1634" s="437"/>
      <c r="M1634" s="491"/>
      <c r="N1634" s="91">
        <f t="shared" si="282"/>
        <v>0</v>
      </c>
      <c r="O1634" s="411">
        <f t="shared" si="281"/>
        <v>0</v>
      </c>
      <c r="P1634" s="132" t="s">
        <v>52</v>
      </c>
      <c r="Q1634" s="232"/>
      <c r="R1634" s="411"/>
      <c r="T1634" s="440"/>
      <c r="U1634" s="482"/>
      <c r="V1634" s="133" t="s">
        <v>3921</v>
      </c>
      <c r="AA1634" s="218"/>
    </row>
    <row r="1635" spans="1:27" x14ac:dyDescent="0.25">
      <c r="A1635" s="432"/>
      <c r="B1635" s="433"/>
      <c r="C1635" s="432"/>
      <c r="D1635" s="454"/>
      <c r="E1635" s="120">
        <v>1000</v>
      </c>
      <c r="F1635" s="133" t="s">
        <v>3923</v>
      </c>
      <c r="G1635" s="435"/>
      <c r="H1635" s="438"/>
      <c r="I1635" s="438"/>
      <c r="J1635" s="438"/>
      <c r="K1635" s="437"/>
      <c r="M1635" s="491"/>
      <c r="N1635" s="91">
        <f t="shared" si="282"/>
        <v>0</v>
      </c>
      <c r="O1635" s="411">
        <f t="shared" si="281"/>
        <v>0</v>
      </c>
      <c r="P1635" s="132" t="s">
        <v>52</v>
      </c>
      <c r="Q1635" s="232"/>
      <c r="R1635" s="411"/>
      <c r="T1635" s="440"/>
      <c r="U1635" s="482"/>
      <c r="V1635" s="133" t="s">
        <v>3921</v>
      </c>
      <c r="AA1635" s="218"/>
    </row>
    <row r="1636" spans="1:27" x14ac:dyDescent="0.25">
      <c r="A1636" s="432"/>
      <c r="B1636" s="433"/>
      <c r="C1636" s="432"/>
      <c r="D1636" s="454"/>
      <c r="E1636" s="120">
        <v>3000</v>
      </c>
      <c r="F1636" s="133" t="s">
        <v>3924</v>
      </c>
      <c r="G1636" s="435"/>
      <c r="H1636" s="438"/>
      <c r="I1636" s="438"/>
      <c r="J1636" s="438"/>
      <c r="K1636" s="437"/>
      <c r="M1636" s="491"/>
      <c r="N1636" s="91">
        <f t="shared" si="282"/>
        <v>0</v>
      </c>
      <c r="O1636" s="411">
        <f t="shared" si="281"/>
        <v>0</v>
      </c>
      <c r="P1636" s="132" t="s">
        <v>52</v>
      </c>
      <c r="Q1636" s="232"/>
      <c r="R1636" s="411"/>
      <c r="T1636" s="440"/>
      <c r="U1636" s="482"/>
      <c r="V1636" s="133" t="s">
        <v>3921</v>
      </c>
      <c r="AA1636" s="218"/>
    </row>
    <row r="1637" spans="1:27" x14ac:dyDescent="0.25">
      <c r="A1637" s="432"/>
      <c r="B1637" s="433"/>
      <c r="C1637" s="432"/>
      <c r="D1637" s="454"/>
      <c r="E1637" s="120">
        <v>497</v>
      </c>
      <c r="F1637" s="133" t="s">
        <v>3925</v>
      </c>
      <c r="G1637" s="435"/>
      <c r="H1637" s="438"/>
      <c r="I1637" s="438"/>
      <c r="J1637" s="438"/>
      <c r="K1637" s="437"/>
      <c r="M1637" s="491"/>
      <c r="N1637" s="91">
        <f t="shared" si="282"/>
        <v>0</v>
      </c>
      <c r="O1637" s="411">
        <f t="shared" si="281"/>
        <v>0</v>
      </c>
      <c r="P1637" s="132" t="s">
        <v>52</v>
      </c>
      <c r="Q1637" s="232"/>
      <c r="R1637" s="411"/>
      <c r="T1637" s="440"/>
      <c r="U1637" s="482"/>
      <c r="V1637" s="133" t="s">
        <v>3921</v>
      </c>
      <c r="AA1637" s="218"/>
    </row>
    <row r="1638" spans="1:27" ht="24" x14ac:dyDescent="0.25">
      <c r="A1638" s="432"/>
      <c r="B1638" s="433"/>
      <c r="C1638" s="432"/>
      <c r="D1638" s="454"/>
      <c r="E1638" s="120">
        <v>1304</v>
      </c>
      <c r="F1638" s="119" t="s">
        <v>3926</v>
      </c>
      <c r="G1638" s="435"/>
      <c r="H1638" s="438"/>
      <c r="I1638" s="438"/>
      <c r="J1638" s="438"/>
      <c r="K1638" s="437"/>
      <c r="M1638" s="491"/>
      <c r="N1638" s="91">
        <f t="shared" si="282"/>
        <v>0</v>
      </c>
      <c r="O1638" s="411">
        <f t="shared" si="281"/>
        <v>0</v>
      </c>
      <c r="P1638" s="132" t="s">
        <v>52</v>
      </c>
      <c r="Q1638" s="232"/>
      <c r="R1638" s="411"/>
      <c r="T1638" s="440"/>
      <c r="U1638" s="482"/>
      <c r="V1638" s="133" t="s">
        <v>3921</v>
      </c>
      <c r="AA1638" s="218"/>
    </row>
    <row r="1639" spans="1:27" ht="24" x14ac:dyDescent="0.25">
      <c r="A1639" s="432"/>
      <c r="B1639" s="433"/>
      <c r="C1639" s="432"/>
      <c r="D1639" s="454"/>
      <c r="E1639" s="120">
        <v>1356</v>
      </c>
      <c r="F1639" s="119" t="s">
        <v>3927</v>
      </c>
      <c r="G1639" s="435"/>
      <c r="H1639" s="438"/>
      <c r="I1639" s="438"/>
      <c r="J1639" s="438"/>
      <c r="K1639" s="437"/>
      <c r="M1639" s="491"/>
      <c r="N1639" s="91">
        <f t="shared" si="282"/>
        <v>0</v>
      </c>
      <c r="O1639" s="411">
        <f t="shared" si="281"/>
        <v>0</v>
      </c>
      <c r="P1639" s="132" t="s">
        <v>52</v>
      </c>
      <c r="Q1639" s="232"/>
      <c r="R1639" s="411"/>
      <c r="T1639" s="440"/>
      <c r="U1639" s="482"/>
      <c r="V1639" s="133" t="s">
        <v>3921</v>
      </c>
      <c r="AA1639" s="218"/>
    </row>
    <row r="1640" spans="1:27" ht="24" x14ac:dyDescent="0.25">
      <c r="A1640" s="432"/>
      <c r="B1640" s="433"/>
      <c r="C1640" s="432"/>
      <c r="D1640" s="454"/>
      <c r="E1640" s="120">
        <v>1328</v>
      </c>
      <c r="F1640" s="119" t="s">
        <v>3928</v>
      </c>
      <c r="G1640" s="435"/>
      <c r="H1640" s="438"/>
      <c r="I1640" s="438"/>
      <c r="J1640" s="438"/>
      <c r="K1640" s="437"/>
      <c r="M1640" s="491"/>
      <c r="N1640" s="91">
        <f t="shared" si="282"/>
        <v>0</v>
      </c>
      <c r="O1640" s="411">
        <f t="shared" si="281"/>
        <v>0</v>
      </c>
      <c r="P1640" s="132" t="s">
        <v>52</v>
      </c>
      <c r="Q1640" s="232"/>
      <c r="R1640" s="411"/>
      <c r="T1640" s="440"/>
      <c r="U1640" s="482"/>
      <c r="V1640" s="133" t="s">
        <v>3921</v>
      </c>
      <c r="AA1640" s="218"/>
    </row>
    <row r="1641" spans="1:27" x14ac:dyDescent="0.25">
      <c r="A1641" s="432"/>
      <c r="B1641" s="433"/>
      <c r="C1641" s="432"/>
      <c r="D1641" s="454"/>
      <c r="E1641" s="120">
        <v>1240</v>
      </c>
      <c r="F1641" s="133" t="s">
        <v>3929</v>
      </c>
      <c r="G1641" s="435"/>
      <c r="H1641" s="438"/>
      <c r="I1641" s="438"/>
      <c r="J1641" s="438"/>
      <c r="K1641" s="437"/>
      <c r="M1641" s="491"/>
      <c r="N1641" s="91">
        <f t="shared" si="282"/>
        <v>0</v>
      </c>
      <c r="O1641" s="411">
        <f t="shared" si="281"/>
        <v>0</v>
      </c>
      <c r="P1641" s="132" t="s">
        <v>52</v>
      </c>
      <c r="Q1641" s="232"/>
      <c r="R1641" s="411"/>
      <c r="T1641" s="440"/>
      <c r="U1641" s="482"/>
      <c r="V1641" s="133" t="s">
        <v>3921</v>
      </c>
      <c r="AA1641" s="218"/>
    </row>
    <row r="1642" spans="1:27" x14ac:dyDescent="0.25">
      <c r="A1642" s="432"/>
      <c r="B1642" s="433"/>
      <c r="C1642" s="432"/>
      <c r="D1642" s="454"/>
      <c r="E1642" s="120">
        <v>778</v>
      </c>
      <c r="F1642" s="133" t="s">
        <v>3930</v>
      </c>
      <c r="G1642" s="435"/>
      <c r="H1642" s="438"/>
      <c r="I1642" s="438"/>
      <c r="J1642" s="438"/>
      <c r="K1642" s="437"/>
      <c r="M1642" s="491"/>
      <c r="N1642" s="91">
        <f t="shared" si="282"/>
        <v>0</v>
      </c>
      <c r="O1642" s="411">
        <f t="shared" si="281"/>
        <v>0</v>
      </c>
      <c r="P1642" s="132" t="s">
        <v>52</v>
      </c>
      <c r="Q1642" s="232"/>
      <c r="R1642" s="411"/>
      <c r="T1642" s="440"/>
      <c r="U1642" s="482"/>
      <c r="V1642" s="133" t="s">
        <v>3921</v>
      </c>
      <c r="AA1642" s="218"/>
    </row>
    <row r="1643" spans="1:27" x14ac:dyDescent="0.25">
      <c r="A1643" s="432"/>
      <c r="B1643" s="433"/>
      <c r="C1643" s="432"/>
      <c r="D1643" s="454"/>
      <c r="E1643" s="120">
        <v>1032</v>
      </c>
      <c r="F1643" s="133" t="s">
        <v>3931</v>
      </c>
      <c r="G1643" s="435"/>
      <c r="H1643" s="438"/>
      <c r="I1643" s="438"/>
      <c r="J1643" s="438"/>
      <c r="K1643" s="437"/>
      <c r="M1643" s="491"/>
      <c r="N1643" s="91">
        <f t="shared" si="282"/>
        <v>0</v>
      </c>
      <c r="O1643" s="411">
        <f t="shared" si="281"/>
        <v>0</v>
      </c>
      <c r="P1643" s="132" t="s">
        <v>52</v>
      </c>
      <c r="Q1643" s="232"/>
      <c r="R1643" s="411"/>
      <c r="T1643" s="440"/>
      <c r="U1643" s="482"/>
      <c r="V1643" s="133" t="s">
        <v>3921</v>
      </c>
      <c r="AA1643" s="218"/>
    </row>
    <row r="1644" spans="1:27" ht="24" x14ac:dyDescent="0.25">
      <c r="A1644" s="432"/>
      <c r="B1644" s="433"/>
      <c r="C1644" s="432"/>
      <c r="D1644" s="454"/>
      <c r="E1644" s="120">
        <v>1359</v>
      </c>
      <c r="F1644" s="119" t="s">
        <v>3932</v>
      </c>
      <c r="G1644" s="435"/>
      <c r="H1644" s="438"/>
      <c r="I1644" s="438"/>
      <c r="J1644" s="438"/>
      <c r="K1644" s="437"/>
      <c r="M1644" s="491"/>
      <c r="N1644" s="91">
        <f t="shared" si="282"/>
        <v>0</v>
      </c>
      <c r="O1644" s="411">
        <f t="shared" si="281"/>
        <v>0</v>
      </c>
      <c r="P1644" s="132" t="s">
        <v>52</v>
      </c>
      <c r="Q1644" s="232"/>
      <c r="R1644" s="411"/>
      <c r="T1644" s="440"/>
      <c r="U1644" s="482"/>
      <c r="V1644" s="133" t="s">
        <v>3921</v>
      </c>
      <c r="AA1644" s="218"/>
    </row>
    <row r="1645" spans="1:27" ht="24" x14ac:dyDescent="0.25">
      <c r="A1645" s="432"/>
      <c r="B1645" s="433"/>
      <c r="C1645" s="432"/>
      <c r="D1645" s="454"/>
      <c r="E1645" s="120">
        <v>1490</v>
      </c>
      <c r="F1645" s="119" t="s">
        <v>3933</v>
      </c>
      <c r="G1645" s="435"/>
      <c r="H1645" s="438"/>
      <c r="I1645" s="438"/>
      <c r="J1645" s="438"/>
      <c r="K1645" s="437"/>
      <c r="M1645" s="491"/>
      <c r="N1645" s="91">
        <f t="shared" si="282"/>
        <v>0</v>
      </c>
      <c r="O1645" s="411">
        <f t="shared" si="281"/>
        <v>0</v>
      </c>
      <c r="P1645" s="132" t="s">
        <v>52</v>
      </c>
      <c r="Q1645" s="232"/>
      <c r="R1645" s="411"/>
      <c r="T1645" s="440"/>
      <c r="U1645" s="482"/>
      <c r="V1645" s="133" t="s">
        <v>3921</v>
      </c>
      <c r="AA1645" s="218"/>
    </row>
    <row r="1646" spans="1:27" x14ac:dyDescent="0.25">
      <c r="A1646" s="432"/>
      <c r="B1646" s="433"/>
      <c r="C1646" s="432"/>
      <c r="D1646" s="454"/>
      <c r="E1646" s="120">
        <v>1158</v>
      </c>
      <c r="F1646" s="119" t="s">
        <v>3934</v>
      </c>
      <c r="G1646" s="435"/>
      <c r="H1646" s="438"/>
      <c r="I1646" s="438"/>
      <c r="J1646" s="438"/>
      <c r="K1646" s="437"/>
      <c r="M1646" s="491"/>
      <c r="N1646" s="91">
        <f t="shared" si="282"/>
        <v>0</v>
      </c>
      <c r="O1646" s="411">
        <f t="shared" si="281"/>
        <v>0</v>
      </c>
      <c r="P1646" s="132" t="s">
        <v>52</v>
      </c>
      <c r="Q1646" s="232"/>
      <c r="R1646" s="411"/>
      <c r="T1646" s="440"/>
      <c r="U1646" s="482"/>
      <c r="V1646" s="133" t="s">
        <v>3921</v>
      </c>
      <c r="AA1646" s="218"/>
    </row>
    <row r="1647" spans="1:27" x14ac:dyDescent="0.25">
      <c r="A1647" s="432"/>
      <c r="B1647" s="433"/>
      <c r="C1647" s="432"/>
      <c r="D1647" s="454"/>
      <c r="E1647" s="120">
        <v>290</v>
      </c>
      <c r="F1647" s="119" t="s">
        <v>3935</v>
      </c>
      <c r="G1647" s="435"/>
      <c r="H1647" s="438"/>
      <c r="I1647" s="438"/>
      <c r="J1647" s="438"/>
      <c r="K1647" s="437"/>
      <c r="M1647" s="491"/>
      <c r="N1647" s="91">
        <f t="shared" si="282"/>
        <v>0</v>
      </c>
      <c r="O1647" s="411">
        <f t="shared" si="281"/>
        <v>0</v>
      </c>
      <c r="P1647" s="132" t="s">
        <v>52</v>
      </c>
      <c r="Q1647" s="232"/>
      <c r="R1647" s="411"/>
      <c r="T1647" s="440"/>
      <c r="U1647" s="482"/>
      <c r="V1647" s="133" t="s">
        <v>3921</v>
      </c>
      <c r="AA1647" s="218"/>
    </row>
    <row r="1648" spans="1:27" x14ac:dyDescent="0.25">
      <c r="A1648" s="432"/>
      <c r="B1648" s="433"/>
      <c r="C1648" s="432"/>
      <c r="D1648" s="454"/>
      <c r="E1648" s="120">
        <v>340</v>
      </c>
      <c r="F1648" s="119" t="s">
        <v>3936</v>
      </c>
      <c r="G1648" s="435"/>
      <c r="H1648" s="438"/>
      <c r="I1648" s="438"/>
      <c r="J1648" s="438"/>
      <c r="K1648" s="437"/>
      <c r="M1648" s="491"/>
      <c r="N1648" s="91">
        <f t="shared" si="282"/>
        <v>0</v>
      </c>
      <c r="O1648" s="411">
        <f t="shared" si="281"/>
        <v>0</v>
      </c>
      <c r="P1648" s="132" t="s">
        <v>52</v>
      </c>
      <c r="Q1648" s="232"/>
      <c r="R1648" s="411"/>
      <c r="T1648" s="440"/>
      <c r="U1648" s="482"/>
      <c r="V1648" s="133" t="s">
        <v>3921</v>
      </c>
      <c r="AA1648" s="218"/>
    </row>
    <row r="1649" spans="1:27" ht="24" x14ac:dyDescent="0.25">
      <c r="A1649" s="432"/>
      <c r="B1649" s="433"/>
      <c r="C1649" s="432"/>
      <c r="D1649" s="454"/>
      <c r="E1649" s="120">
        <v>1201</v>
      </c>
      <c r="F1649" s="119" t="s">
        <v>3937</v>
      </c>
      <c r="G1649" s="435"/>
      <c r="H1649" s="438"/>
      <c r="I1649" s="438"/>
      <c r="J1649" s="438"/>
      <c r="K1649" s="437"/>
      <c r="M1649" s="491"/>
      <c r="N1649" s="91">
        <f t="shared" si="282"/>
        <v>0</v>
      </c>
      <c r="O1649" s="411">
        <f t="shared" si="281"/>
        <v>0</v>
      </c>
      <c r="P1649" s="132" t="s">
        <v>52</v>
      </c>
      <c r="Q1649" s="232"/>
      <c r="R1649" s="411"/>
      <c r="T1649" s="440"/>
      <c r="U1649" s="482"/>
      <c r="V1649" s="133" t="s">
        <v>3921</v>
      </c>
      <c r="AA1649" s="218"/>
    </row>
    <row r="1650" spans="1:27" x14ac:dyDescent="0.25">
      <c r="A1650" s="432"/>
      <c r="B1650" s="433"/>
      <c r="C1650" s="432"/>
      <c r="D1650" s="454"/>
      <c r="E1650" s="120">
        <v>750</v>
      </c>
      <c r="F1650" s="119" t="s">
        <v>3938</v>
      </c>
      <c r="G1650" s="435"/>
      <c r="H1650" s="438"/>
      <c r="I1650" s="438"/>
      <c r="J1650" s="438"/>
      <c r="K1650" s="437"/>
      <c r="M1650" s="491"/>
      <c r="N1650" s="91">
        <f t="shared" si="282"/>
        <v>0</v>
      </c>
      <c r="O1650" s="411">
        <f t="shared" si="281"/>
        <v>0</v>
      </c>
      <c r="P1650" s="132" t="s">
        <v>52</v>
      </c>
      <c r="Q1650" s="232"/>
      <c r="R1650" s="411"/>
      <c r="T1650" s="440"/>
      <c r="U1650" s="482"/>
      <c r="V1650" s="133" t="s">
        <v>3921</v>
      </c>
      <c r="AA1650" s="218"/>
    </row>
    <row r="1651" spans="1:27" x14ac:dyDescent="0.25">
      <c r="A1651" s="432"/>
      <c r="B1651" s="433"/>
      <c r="C1651" s="432"/>
      <c r="D1651" s="454"/>
      <c r="E1651" s="120">
        <v>257</v>
      </c>
      <c r="F1651" s="119" t="s">
        <v>3939</v>
      </c>
      <c r="G1651" s="435"/>
      <c r="H1651" s="438"/>
      <c r="I1651" s="438"/>
      <c r="J1651" s="438"/>
      <c r="K1651" s="437"/>
      <c r="M1651" s="491"/>
      <c r="N1651" s="91">
        <f t="shared" si="282"/>
        <v>0</v>
      </c>
      <c r="O1651" s="411">
        <f t="shared" si="281"/>
        <v>0</v>
      </c>
      <c r="P1651" s="132" t="s">
        <v>52</v>
      </c>
      <c r="Q1651" s="232"/>
      <c r="R1651" s="411"/>
      <c r="T1651" s="440"/>
      <c r="U1651" s="482"/>
      <c r="V1651" s="133" t="s">
        <v>3921</v>
      </c>
      <c r="AA1651" s="218"/>
    </row>
    <row r="1652" spans="1:27" ht="24" x14ac:dyDescent="0.25">
      <c r="A1652" s="432"/>
      <c r="B1652" s="433"/>
      <c r="C1652" s="432"/>
      <c r="D1652" s="454"/>
      <c r="E1652" s="120">
        <v>1020</v>
      </c>
      <c r="F1652" s="119" t="s">
        <v>3940</v>
      </c>
      <c r="G1652" s="435"/>
      <c r="H1652" s="438"/>
      <c r="I1652" s="438"/>
      <c r="J1652" s="438"/>
      <c r="K1652" s="437"/>
      <c r="M1652" s="491"/>
      <c r="N1652" s="91">
        <f t="shared" si="282"/>
        <v>0</v>
      </c>
      <c r="O1652" s="411">
        <f t="shared" si="281"/>
        <v>0</v>
      </c>
      <c r="P1652" s="132" t="s">
        <v>52</v>
      </c>
      <c r="Q1652" s="232"/>
      <c r="R1652" s="411"/>
      <c r="T1652" s="440"/>
      <c r="U1652" s="482"/>
      <c r="V1652" s="133" t="s">
        <v>3921</v>
      </c>
      <c r="AA1652" s="218"/>
    </row>
    <row r="1653" spans="1:27" x14ac:dyDescent="0.25">
      <c r="A1653" s="432"/>
      <c r="B1653" s="433"/>
      <c r="C1653" s="432"/>
      <c r="D1653" s="454"/>
      <c r="E1653" s="120">
        <v>1240</v>
      </c>
      <c r="F1653" s="119" t="s">
        <v>3941</v>
      </c>
      <c r="G1653" s="435"/>
      <c r="H1653" s="438"/>
      <c r="I1653" s="438"/>
      <c r="J1653" s="438"/>
      <c r="K1653" s="437"/>
      <c r="M1653" s="491"/>
      <c r="N1653" s="91">
        <f t="shared" si="282"/>
        <v>0</v>
      </c>
      <c r="O1653" s="411">
        <f t="shared" si="281"/>
        <v>0</v>
      </c>
      <c r="P1653" s="132" t="s">
        <v>52</v>
      </c>
      <c r="Q1653" s="232"/>
      <c r="R1653" s="411"/>
      <c r="T1653" s="440"/>
      <c r="U1653" s="482"/>
      <c r="V1653" s="133" t="s">
        <v>3921</v>
      </c>
      <c r="AA1653" s="218"/>
    </row>
    <row r="1654" spans="1:27" x14ac:dyDescent="0.25">
      <c r="A1654" s="432"/>
      <c r="B1654" s="433"/>
      <c r="C1654" s="432"/>
      <c r="D1654" s="454"/>
      <c r="E1654" s="120">
        <v>2000</v>
      </c>
      <c r="F1654" s="119" t="s">
        <v>3942</v>
      </c>
      <c r="G1654" s="435"/>
      <c r="H1654" s="438"/>
      <c r="I1654" s="438"/>
      <c r="J1654" s="438"/>
      <c r="K1654" s="437"/>
      <c r="M1654" s="491"/>
      <c r="N1654" s="91">
        <f t="shared" si="282"/>
        <v>0</v>
      </c>
      <c r="O1654" s="411">
        <f t="shared" si="281"/>
        <v>0</v>
      </c>
      <c r="P1654" s="132" t="s">
        <v>52</v>
      </c>
      <c r="Q1654" s="232"/>
      <c r="R1654" s="411"/>
      <c r="T1654" s="440"/>
      <c r="U1654" s="482"/>
      <c r="V1654" s="133" t="s">
        <v>3921</v>
      </c>
      <c r="AA1654" s="218"/>
    </row>
    <row r="1655" spans="1:27" x14ac:dyDescent="0.25">
      <c r="A1655" s="432"/>
      <c r="B1655" s="433"/>
      <c r="C1655" s="432"/>
      <c r="D1655" s="454"/>
      <c r="E1655" s="120">
        <v>225</v>
      </c>
      <c r="F1655" s="119" t="s">
        <v>3943</v>
      </c>
      <c r="G1655" s="435"/>
      <c r="H1655" s="438"/>
      <c r="I1655" s="438"/>
      <c r="J1655" s="438"/>
      <c r="K1655" s="437"/>
      <c r="M1655" s="491"/>
      <c r="N1655" s="91">
        <f t="shared" si="282"/>
        <v>0</v>
      </c>
      <c r="O1655" s="411">
        <f t="shared" si="281"/>
        <v>0</v>
      </c>
      <c r="P1655" s="132" t="s">
        <v>52</v>
      </c>
      <c r="Q1655" s="232"/>
      <c r="R1655" s="411"/>
      <c r="T1655" s="440"/>
      <c r="U1655" s="482"/>
      <c r="V1655" s="133" t="s">
        <v>3921</v>
      </c>
      <c r="AA1655" s="218"/>
    </row>
    <row r="1656" spans="1:27" x14ac:dyDescent="0.25">
      <c r="A1656" s="432"/>
      <c r="B1656" s="433"/>
      <c r="C1656" s="432"/>
      <c r="D1656" s="454"/>
      <c r="E1656" s="120">
        <v>500</v>
      </c>
      <c r="F1656" s="119" t="s">
        <v>2196</v>
      </c>
      <c r="G1656" s="435"/>
      <c r="H1656" s="438"/>
      <c r="I1656" s="438"/>
      <c r="J1656" s="438"/>
      <c r="K1656" s="437"/>
      <c r="M1656" s="491"/>
      <c r="N1656" s="91">
        <f t="shared" si="282"/>
        <v>0</v>
      </c>
      <c r="O1656" s="411">
        <f t="shared" si="281"/>
        <v>0</v>
      </c>
      <c r="P1656" s="132" t="s">
        <v>52</v>
      </c>
      <c r="Q1656" s="232"/>
      <c r="R1656" s="411"/>
      <c r="T1656" s="440"/>
      <c r="U1656" s="482"/>
      <c r="V1656" s="133" t="s">
        <v>3921</v>
      </c>
      <c r="AA1656" s="218"/>
    </row>
    <row r="1657" spans="1:27" x14ac:dyDescent="0.25">
      <c r="A1657" s="432"/>
      <c r="B1657" s="433"/>
      <c r="C1657" s="432"/>
      <c r="D1657" s="454"/>
      <c r="E1657" s="120">
        <v>110</v>
      </c>
      <c r="F1657" s="119" t="s">
        <v>3944</v>
      </c>
      <c r="G1657" s="435"/>
      <c r="H1657" s="438"/>
      <c r="I1657" s="438"/>
      <c r="J1657" s="438"/>
      <c r="K1657" s="437"/>
      <c r="M1657" s="491"/>
      <c r="N1657" s="91">
        <f t="shared" si="282"/>
        <v>0</v>
      </c>
      <c r="O1657" s="411">
        <f t="shared" si="281"/>
        <v>0</v>
      </c>
      <c r="P1657" s="132" t="s">
        <v>52</v>
      </c>
      <c r="Q1657" s="232"/>
      <c r="R1657" s="411"/>
      <c r="T1657" s="440"/>
      <c r="U1657" s="482"/>
      <c r="V1657" s="133" t="s">
        <v>3921</v>
      </c>
      <c r="AA1657" s="218"/>
    </row>
    <row r="1658" spans="1:27" x14ac:dyDescent="0.25">
      <c r="A1658" s="432"/>
      <c r="B1658" s="433"/>
      <c r="C1658" s="432"/>
      <c r="D1658" s="454"/>
      <c r="E1658" s="120">
        <v>210</v>
      </c>
      <c r="F1658" s="119" t="s">
        <v>3945</v>
      </c>
      <c r="G1658" s="435"/>
      <c r="H1658" s="438"/>
      <c r="I1658" s="438"/>
      <c r="J1658" s="438"/>
      <c r="K1658" s="437"/>
      <c r="M1658" s="491"/>
      <c r="N1658" s="91">
        <f t="shared" si="282"/>
        <v>0</v>
      </c>
      <c r="O1658" s="411">
        <f t="shared" si="281"/>
        <v>0</v>
      </c>
      <c r="P1658" s="132" t="s">
        <v>52</v>
      </c>
      <c r="Q1658" s="232"/>
      <c r="R1658" s="411"/>
      <c r="T1658" s="440"/>
      <c r="U1658" s="482"/>
      <c r="V1658" s="133" t="s">
        <v>3921</v>
      </c>
      <c r="AA1658" s="218"/>
    </row>
    <row r="1659" spans="1:27" x14ac:dyDescent="0.25">
      <c r="A1659" s="432"/>
      <c r="B1659" s="433"/>
      <c r="C1659" s="432"/>
      <c r="D1659" s="454"/>
      <c r="E1659" s="120">
        <v>1000</v>
      </c>
      <c r="F1659" s="119" t="s">
        <v>3946</v>
      </c>
      <c r="G1659" s="435"/>
      <c r="H1659" s="438"/>
      <c r="I1659" s="438"/>
      <c r="J1659" s="438"/>
      <c r="K1659" s="437"/>
      <c r="M1659" s="491"/>
      <c r="N1659" s="91">
        <f t="shared" si="282"/>
        <v>0</v>
      </c>
      <c r="O1659" s="411">
        <f t="shared" si="281"/>
        <v>0</v>
      </c>
      <c r="P1659" s="132" t="s">
        <v>52</v>
      </c>
      <c r="Q1659" s="232"/>
      <c r="R1659" s="411"/>
      <c r="T1659" s="440"/>
      <c r="U1659" s="482"/>
      <c r="V1659" s="133" t="s">
        <v>3921</v>
      </c>
      <c r="AA1659" s="218"/>
    </row>
    <row r="1660" spans="1:27" x14ac:dyDescent="0.25">
      <c r="A1660" s="432"/>
      <c r="B1660" s="433"/>
      <c r="C1660" s="432"/>
      <c r="D1660" s="454"/>
      <c r="E1660" s="120">
        <v>250</v>
      </c>
      <c r="F1660" s="119" t="s">
        <v>3947</v>
      </c>
      <c r="G1660" s="435"/>
      <c r="H1660" s="438"/>
      <c r="I1660" s="438"/>
      <c r="J1660" s="438"/>
      <c r="K1660" s="437"/>
      <c r="M1660" s="469"/>
      <c r="N1660" s="91">
        <f t="shared" si="282"/>
        <v>0</v>
      </c>
      <c r="O1660" s="411">
        <f t="shared" si="281"/>
        <v>0</v>
      </c>
      <c r="P1660" s="132" t="s">
        <v>52</v>
      </c>
      <c r="Q1660" s="232"/>
      <c r="R1660" s="411"/>
      <c r="T1660" s="441"/>
      <c r="U1660" s="483"/>
      <c r="V1660" s="133" t="s">
        <v>3921</v>
      </c>
      <c r="AA1660" s="218"/>
    </row>
    <row r="1661" spans="1:27" x14ac:dyDescent="0.25">
      <c r="A1661" s="432"/>
      <c r="B1661" s="433"/>
      <c r="C1661" s="432"/>
      <c r="D1661" s="454"/>
      <c r="E1661" s="120">
        <v>500</v>
      </c>
      <c r="F1661" s="119" t="s">
        <v>1172</v>
      </c>
      <c r="G1661" s="435"/>
      <c r="H1661" s="438"/>
      <c r="I1661" s="438"/>
      <c r="J1661" s="438"/>
      <c r="K1661" s="437"/>
      <c r="L1661" s="187">
        <v>711</v>
      </c>
      <c r="M1661" s="131">
        <v>0</v>
      </c>
      <c r="N1661" s="91">
        <f t="shared" si="282"/>
        <v>355.5</v>
      </c>
      <c r="O1661" s="411">
        <f t="shared" si="281"/>
        <v>-355.5</v>
      </c>
      <c r="P1661" s="132" t="s">
        <v>926</v>
      </c>
      <c r="Q1661" s="232"/>
      <c r="R1661" s="411"/>
      <c r="T1661" s="439" t="s">
        <v>314</v>
      </c>
      <c r="U1661" s="446" t="s">
        <v>3948</v>
      </c>
      <c r="V1661" s="133" t="s">
        <v>3949</v>
      </c>
      <c r="AA1661" s="218"/>
    </row>
    <row r="1662" spans="1:27" x14ac:dyDescent="0.25">
      <c r="A1662" s="420"/>
      <c r="B1662" s="422"/>
      <c r="C1662" s="420"/>
      <c r="D1662" s="418"/>
      <c r="E1662" s="120">
        <v>250</v>
      </c>
      <c r="F1662" s="119" t="s">
        <v>3950</v>
      </c>
      <c r="G1662" s="436"/>
      <c r="H1662" s="428"/>
      <c r="I1662" s="428"/>
      <c r="J1662" s="428"/>
      <c r="K1662" s="426"/>
      <c r="L1662" s="187">
        <v>911</v>
      </c>
      <c r="N1662" s="91">
        <f t="shared" si="282"/>
        <v>227.75</v>
      </c>
      <c r="O1662" s="411">
        <f t="shared" si="281"/>
        <v>-227.75</v>
      </c>
      <c r="P1662" s="132" t="s">
        <v>926</v>
      </c>
      <c r="Q1662" s="232"/>
      <c r="R1662" s="411"/>
      <c r="T1662" s="441"/>
      <c r="U1662" s="447"/>
      <c r="V1662" s="133" t="s">
        <v>3949</v>
      </c>
      <c r="AA1662" s="218"/>
    </row>
    <row r="1663" spans="1:27" ht="24" x14ac:dyDescent="0.25">
      <c r="A1663" s="405">
        <v>3001250</v>
      </c>
      <c r="B1663" s="406">
        <v>42446</v>
      </c>
      <c r="C1663" s="405" t="s">
        <v>42</v>
      </c>
      <c r="D1663" s="401" t="s">
        <v>3951</v>
      </c>
      <c r="E1663" s="120">
        <v>150</v>
      </c>
      <c r="F1663" s="133" t="s">
        <v>3952</v>
      </c>
      <c r="G1663" s="404" t="s">
        <v>45</v>
      </c>
      <c r="H1663" s="411">
        <v>235.79</v>
      </c>
      <c r="I1663" s="89">
        <f t="shared" ref="I1663:I1664" si="284">-(H1663*0.09)</f>
        <v>-21.2211</v>
      </c>
      <c r="J1663" s="90">
        <f t="shared" ref="J1663:J1664" si="285">-((H1663*0.019)+0.3)</f>
        <v>-4.7800099999999999</v>
      </c>
      <c r="K1663" s="90">
        <f t="shared" ref="K1663:K1680" si="286">SUM(H1663:J1663)</f>
        <v>209.78888999999998</v>
      </c>
      <c r="M1663" s="187">
        <v>59.91</v>
      </c>
      <c r="N1663" s="91">
        <f t="shared" si="282"/>
        <v>59.91</v>
      </c>
      <c r="O1663" s="411">
        <f t="shared" si="281"/>
        <v>149.87888999999998</v>
      </c>
      <c r="P1663" s="132" t="s">
        <v>52</v>
      </c>
      <c r="Q1663" s="232"/>
      <c r="R1663" s="411"/>
      <c r="T1663" s="134" t="s">
        <v>145</v>
      </c>
      <c r="U1663" s="267" t="s">
        <v>3953</v>
      </c>
      <c r="AA1663" s="218"/>
    </row>
    <row r="1664" spans="1:27" x14ac:dyDescent="0.25">
      <c r="A1664" s="419">
        <v>3001251</v>
      </c>
      <c r="B1664" s="421">
        <v>42446</v>
      </c>
      <c r="C1664" s="419" t="s">
        <v>42</v>
      </c>
      <c r="D1664" s="417" t="s">
        <v>3954</v>
      </c>
      <c r="E1664" s="120">
        <v>250</v>
      </c>
      <c r="F1664" s="133" t="s">
        <v>3955</v>
      </c>
      <c r="G1664" s="434" t="s">
        <v>45</v>
      </c>
      <c r="H1664" s="427">
        <v>907.35</v>
      </c>
      <c r="I1664" s="452">
        <f t="shared" si="284"/>
        <v>-81.661500000000004</v>
      </c>
      <c r="J1664" s="425">
        <f t="shared" si="285"/>
        <v>-17.539650000000002</v>
      </c>
      <c r="K1664" s="425">
        <f t="shared" si="286"/>
        <v>808.14884999999992</v>
      </c>
      <c r="L1664" s="187">
        <v>445</v>
      </c>
      <c r="M1664" s="187">
        <v>18.79</v>
      </c>
      <c r="N1664" s="91">
        <f t="shared" si="282"/>
        <v>130.04</v>
      </c>
      <c r="O1664" s="411">
        <f t="shared" si="281"/>
        <v>678.10884999999996</v>
      </c>
      <c r="P1664" s="132" t="s">
        <v>235</v>
      </c>
      <c r="Q1664" s="232"/>
      <c r="R1664" s="411"/>
      <c r="T1664" s="439" t="s">
        <v>145</v>
      </c>
      <c r="U1664" s="267" t="s">
        <v>3956</v>
      </c>
      <c r="AA1664" s="218"/>
    </row>
    <row r="1665" spans="1:27" ht="36" x14ac:dyDescent="0.25">
      <c r="A1665" s="420"/>
      <c r="B1665" s="422"/>
      <c r="C1665" s="420"/>
      <c r="D1665" s="418"/>
      <c r="E1665" s="120">
        <v>750</v>
      </c>
      <c r="F1665" s="133" t="s">
        <v>3957</v>
      </c>
      <c r="G1665" s="436"/>
      <c r="H1665" s="428"/>
      <c r="I1665" s="453"/>
      <c r="J1665" s="426"/>
      <c r="K1665" s="426"/>
      <c r="L1665" s="187">
        <v>545</v>
      </c>
      <c r="M1665" s="187">
        <v>60.4</v>
      </c>
      <c r="N1665" s="91">
        <f t="shared" si="282"/>
        <v>469.15</v>
      </c>
      <c r="O1665" s="411">
        <f t="shared" si="281"/>
        <v>-469.15</v>
      </c>
      <c r="P1665" s="132" t="s">
        <v>235</v>
      </c>
      <c r="Q1665" s="232"/>
      <c r="R1665" s="411"/>
      <c r="T1665" s="441"/>
      <c r="U1665" s="266" t="s">
        <v>3958</v>
      </c>
      <c r="V1665" s="133" t="s">
        <v>3959</v>
      </c>
      <c r="AA1665" s="218"/>
    </row>
    <row r="1666" spans="1:27" x14ac:dyDescent="0.25">
      <c r="A1666" s="405">
        <v>3001252</v>
      </c>
      <c r="B1666" s="406">
        <v>42447</v>
      </c>
      <c r="C1666" s="405" t="s">
        <v>141</v>
      </c>
      <c r="D1666" s="401" t="s">
        <v>3960</v>
      </c>
      <c r="E1666" s="120">
        <v>500</v>
      </c>
      <c r="F1666" s="133" t="s">
        <v>161</v>
      </c>
      <c r="G1666" s="404" t="s">
        <v>45</v>
      </c>
      <c r="H1666" s="411">
        <v>1080</v>
      </c>
      <c r="I1666" s="411">
        <v>0</v>
      </c>
      <c r="J1666" s="90">
        <f>-((H1666*0.0325)+0.3)</f>
        <v>-35.4</v>
      </c>
      <c r="K1666" s="90">
        <f t="shared" si="286"/>
        <v>1044.5999999999999</v>
      </c>
      <c r="L1666" s="131">
        <v>1322</v>
      </c>
      <c r="M1666" s="187">
        <v>103.32</v>
      </c>
      <c r="N1666" s="91">
        <f t="shared" si="282"/>
        <v>764.31999999999994</v>
      </c>
      <c r="O1666" s="411">
        <f t="shared" si="281"/>
        <v>280.27999999999997</v>
      </c>
      <c r="P1666" s="132" t="s">
        <v>52</v>
      </c>
      <c r="Q1666" s="232"/>
      <c r="R1666" s="411"/>
      <c r="T1666" s="134" t="s">
        <v>244</v>
      </c>
      <c r="U1666" s="267" t="s">
        <v>3961</v>
      </c>
      <c r="V1666" s="133" t="s">
        <v>55</v>
      </c>
      <c r="W1666" s="153" t="s">
        <v>3962</v>
      </c>
      <c r="AA1666" s="218"/>
    </row>
    <row r="1667" spans="1:27" x14ac:dyDescent="0.25">
      <c r="A1667" s="405">
        <v>3001253</v>
      </c>
      <c r="B1667" s="406">
        <v>42447</v>
      </c>
      <c r="C1667" s="405" t="s">
        <v>63</v>
      </c>
      <c r="D1667" s="401" t="s">
        <v>3963</v>
      </c>
      <c r="E1667" s="120">
        <v>260</v>
      </c>
      <c r="F1667" s="133" t="s">
        <v>3964</v>
      </c>
      <c r="G1667" s="404" t="s">
        <v>45</v>
      </c>
      <c r="H1667" s="411">
        <v>1108.2</v>
      </c>
      <c r="I1667" s="411">
        <v>0</v>
      </c>
      <c r="J1667" s="90">
        <f>-((H1667*0.022)+0.3)</f>
        <v>-24.680399999999999</v>
      </c>
      <c r="K1667" s="90">
        <f t="shared" si="286"/>
        <v>1083.5196000000001</v>
      </c>
      <c r="L1667" s="131">
        <v>2436</v>
      </c>
      <c r="M1667" s="187">
        <v>228.69</v>
      </c>
      <c r="N1667" s="91">
        <f t="shared" si="282"/>
        <v>862.05</v>
      </c>
      <c r="O1667" s="411">
        <f t="shared" si="281"/>
        <v>221.46960000000013</v>
      </c>
      <c r="P1667" s="132" t="s">
        <v>52</v>
      </c>
      <c r="Q1667" s="232"/>
      <c r="R1667" s="411"/>
      <c r="T1667" s="134" t="s">
        <v>244</v>
      </c>
      <c r="U1667" s="267" t="s">
        <v>3965</v>
      </c>
      <c r="V1667" s="133" t="s">
        <v>55</v>
      </c>
      <c r="W1667" s="153" t="s">
        <v>3966</v>
      </c>
      <c r="AA1667" s="218"/>
    </row>
    <row r="1668" spans="1:27" ht="24" x14ac:dyDescent="0.25">
      <c r="A1668" s="405">
        <v>3001254</v>
      </c>
      <c r="B1668" s="406">
        <v>42447</v>
      </c>
      <c r="C1668" s="405" t="s">
        <v>42</v>
      </c>
      <c r="D1668" s="401" t="s">
        <v>3967</v>
      </c>
      <c r="E1668" s="120">
        <v>100</v>
      </c>
      <c r="F1668" s="133" t="s">
        <v>300</v>
      </c>
      <c r="G1668" s="404" t="s">
        <v>45</v>
      </c>
      <c r="H1668" s="411">
        <v>427.5</v>
      </c>
      <c r="I1668" s="89">
        <f t="shared" ref="I1668:I1671" si="287">-(H1668*0.09)</f>
        <v>-38.475000000000001</v>
      </c>
      <c r="J1668" s="90">
        <f t="shared" ref="J1668:J1671" si="288">-((H1668*0.019)+0.3)</f>
        <v>-8.4225000000000012</v>
      </c>
      <c r="K1668" s="90">
        <f t="shared" si="286"/>
        <v>380.60249999999996</v>
      </c>
      <c r="L1668" s="131">
        <v>2200</v>
      </c>
      <c r="M1668" s="187">
        <v>64.03</v>
      </c>
      <c r="N1668" s="91">
        <f t="shared" si="282"/>
        <v>284.02999999999997</v>
      </c>
      <c r="O1668" s="411">
        <f t="shared" si="281"/>
        <v>96.572499999999991</v>
      </c>
      <c r="P1668" s="132" t="s">
        <v>52</v>
      </c>
      <c r="Q1668" s="232"/>
      <c r="R1668" s="411"/>
      <c r="T1668" s="134" t="s">
        <v>145</v>
      </c>
      <c r="U1668" s="267" t="s">
        <v>3968</v>
      </c>
      <c r="AA1668" s="218"/>
    </row>
    <row r="1669" spans="1:27" ht="24" x14ac:dyDescent="0.25">
      <c r="A1669" s="405">
        <v>3001255</v>
      </c>
      <c r="B1669" s="406">
        <v>42447</v>
      </c>
      <c r="C1669" s="405" t="s">
        <v>42</v>
      </c>
      <c r="D1669" s="401" t="s">
        <v>3969</v>
      </c>
      <c r="E1669" s="120">
        <v>52</v>
      </c>
      <c r="F1669" s="133" t="s">
        <v>1081</v>
      </c>
      <c r="G1669" s="404" t="s">
        <v>45</v>
      </c>
      <c r="H1669" s="411">
        <v>109.25</v>
      </c>
      <c r="I1669" s="89">
        <f t="shared" si="287"/>
        <v>-9.8324999999999996</v>
      </c>
      <c r="J1669" s="90">
        <f t="shared" si="288"/>
        <v>-2.3757499999999996</v>
      </c>
      <c r="K1669" s="90">
        <f t="shared" si="286"/>
        <v>97.041750000000008</v>
      </c>
      <c r="L1669" s="187">
        <v>1350</v>
      </c>
      <c r="M1669" s="187">
        <v>36.21</v>
      </c>
      <c r="N1669" s="91">
        <f t="shared" si="282"/>
        <v>106.41</v>
      </c>
      <c r="O1669" s="411">
        <f t="shared" si="281"/>
        <v>-9.3682499999999891</v>
      </c>
      <c r="P1669" s="132" t="s">
        <v>183</v>
      </c>
      <c r="Q1669" s="232"/>
      <c r="R1669" s="411"/>
      <c r="T1669" s="134" t="s">
        <v>145</v>
      </c>
      <c r="U1669" s="267" t="s">
        <v>3970</v>
      </c>
      <c r="AA1669" s="218"/>
    </row>
    <row r="1670" spans="1:27" ht="24" x14ac:dyDescent="0.25">
      <c r="A1670" s="405">
        <v>3001256</v>
      </c>
      <c r="B1670" s="406">
        <v>42447</v>
      </c>
      <c r="C1670" s="405" t="s">
        <v>42</v>
      </c>
      <c r="D1670" s="401" t="s">
        <v>3971</v>
      </c>
      <c r="E1670" s="120">
        <v>100</v>
      </c>
      <c r="F1670" s="133" t="s">
        <v>161</v>
      </c>
      <c r="G1670" s="404" t="s">
        <v>45</v>
      </c>
      <c r="H1670" s="411">
        <v>235</v>
      </c>
      <c r="I1670" s="89">
        <f t="shared" si="287"/>
        <v>-21.15</v>
      </c>
      <c r="J1670" s="90">
        <f t="shared" si="288"/>
        <v>-4.7649999999999997</v>
      </c>
      <c r="K1670" s="90">
        <f t="shared" si="286"/>
        <v>209.08500000000001</v>
      </c>
      <c r="L1670" s="131">
        <v>1322</v>
      </c>
      <c r="M1670" s="187">
        <v>59.91</v>
      </c>
      <c r="N1670" s="91">
        <f t="shared" si="282"/>
        <v>192.11</v>
      </c>
      <c r="O1670" s="411">
        <f t="shared" si="281"/>
        <v>16.974999999999994</v>
      </c>
      <c r="P1670" s="132" t="s">
        <v>52</v>
      </c>
      <c r="Q1670" s="232"/>
      <c r="R1670" s="411"/>
      <c r="T1670" s="134" t="s">
        <v>145</v>
      </c>
      <c r="U1670" s="267" t="s">
        <v>3972</v>
      </c>
      <c r="AA1670" s="218"/>
    </row>
    <row r="1671" spans="1:27" ht="24" x14ac:dyDescent="0.25">
      <c r="A1671" s="405">
        <v>3001257</v>
      </c>
      <c r="B1671" s="406">
        <v>42447</v>
      </c>
      <c r="C1671" s="405" t="s">
        <v>42</v>
      </c>
      <c r="D1671" s="401" t="s">
        <v>3973</v>
      </c>
      <c r="E1671" s="120">
        <v>150</v>
      </c>
      <c r="F1671" s="133" t="s">
        <v>227</v>
      </c>
      <c r="G1671" s="404" t="s">
        <v>45</v>
      </c>
      <c r="H1671" s="411">
        <v>121.64</v>
      </c>
      <c r="I1671" s="89">
        <f t="shared" si="287"/>
        <v>-10.9476</v>
      </c>
      <c r="J1671" s="90">
        <f t="shared" si="288"/>
        <v>-2.6111599999999999</v>
      </c>
      <c r="K1671" s="90">
        <f t="shared" si="286"/>
        <v>108.08124000000001</v>
      </c>
      <c r="L1671" s="131">
        <v>350</v>
      </c>
      <c r="M1671" s="187">
        <v>37.450000000000003</v>
      </c>
      <c r="N1671" s="91">
        <f t="shared" si="282"/>
        <v>89.95</v>
      </c>
      <c r="O1671" s="411">
        <f t="shared" si="281"/>
        <v>18.131240000000005</v>
      </c>
      <c r="P1671" s="132" t="s">
        <v>52</v>
      </c>
      <c r="Q1671" s="232"/>
      <c r="R1671" s="411"/>
      <c r="T1671" s="134" t="s">
        <v>145</v>
      </c>
      <c r="U1671" s="267" t="s">
        <v>3974</v>
      </c>
      <c r="AA1671" s="218"/>
    </row>
    <row r="1672" spans="1:27" ht="24" x14ac:dyDescent="0.25">
      <c r="A1672" s="405">
        <v>3001258</v>
      </c>
      <c r="B1672" s="406">
        <v>42447</v>
      </c>
      <c r="C1672" s="405" t="s">
        <v>237</v>
      </c>
      <c r="D1672" s="401" t="s">
        <v>3975</v>
      </c>
      <c r="E1672" s="120">
        <v>75</v>
      </c>
      <c r="F1672" s="133" t="s">
        <v>161</v>
      </c>
      <c r="G1672" s="404" t="s">
        <v>45</v>
      </c>
      <c r="H1672" s="411">
        <v>150</v>
      </c>
      <c r="I1672" s="397">
        <f>-(H1672*0.15)</f>
        <v>-22.5</v>
      </c>
      <c r="J1672" s="411">
        <v>0</v>
      </c>
      <c r="K1672" s="90">
        <f t="shared" si="286"/>
        <v>127.5</v>
      </c>
      <c r="L1672" s="131">
        <v>1322</v>
      </c>
      <c r="M1672" s="187">
        <v>36.9</v>
      </c>
      <c r="N1672" s="91">
        <f t="shared" si="282"/>
        <v>136.04999999999998</v>
      </c>
      <c r="O1672" s="411">
        <f t="shared" si="281"/>
        <v>-8.5499999999999829</v>
      </c>
      <c r="P1672" s="132" t="s">
        <v>52</v>
      </c>
      <c r="Q1672" s="232"/>
      <c r="R1672" s="411"/>
      <c r="T1672" s="134" t="s">
        <v>145</v>
      </c>
      <c r="U1672" s="267" t="s">
        <v>3976</v>
      </c>
      <c r="AA1672" s="218"/>
    </row>
    <row r="1673" spans="1:27" x14ac:dyDescent="0.25">
      <c r="A1673" s="405">
        <v>3001259</v>
      </c>
      <c r="B1673" s="406">
        <v>42447</v>
      </c>
      <c r="C1673" s="405" t="s">
        <v>327</v>
      </c>
      <c r="D1673" s="401" t="s">
        <v>3977</v>
      </c>
      <c r="E1673" s="120">
        <v>120</v>
      </c>
      <c r="F1673" s="133" t="s">
        <v>3978</v>
      </c>
      <c r="G1673" s="404" t="s">
        <v>45</v>
      </c>
      <c r="H1673" s="411">
        <v>816</v>
      </c>
      <c r="I1673" s="411">
        <v>0</v>
      </c>
      <c r="J1673" s="90">
        <f>-((H1673*0.022)+0.3)</f>
        <v>-18.251999999999999</v>
      </c>
      <c r="K1673" s="90">
        <f t="shared" si="286"/>
        <v>797.74800000000005</v>
      </c>
      <c r="L1673" s="187">
        <v>1700</v>
      </c>
      <c r="M1673" s="187">
        <v>105</v>
      </c>
      <c r="N1673" s="91">
        <f t="shared" si="282"/>
        <v>309</v>
      </c>
      <c r="O1673" s="411">
        <f t="shared" ref="O1673:O1736" si="289">K1673-N1673</f>
        <v>488.74800000000005</v>
      </c>
      <c r="P1673" s="132" t="s">
        <v>183</v>
      </c>
      <c r="Q1673" s="232"/>
      <c r="R1673" s="411"/>
      <c r="T1673" s="134" t="s">
        <v>576</v>
      </c>
      <c r="U1673" s="267" t="s">
        <v>3979</v>
      </c>
      <c r="W1673" s="153" t="s">
        <v>3980</v>
      </c>
      <c r="AA1673" s="218"/>
    </row>
    <row r="1674" spans="1:27" ht="24" x14ac:dyDescent="0.25">
      <c r="A1674" s="405">
        <v>3001260</v>
      </c>
      <c r="B1674" s="406">
        <v>42447</v>
      </c>
      <c r="C1674" s="405" t="s">
        <v>141</v>
      </c>
      <c r="D1674" s="401" t="s">
        <v>3981</v>
      </c>
      <c r="E1674" s="120">
        <v>5000</v>
      </c>
      <c r="F1674" s="133" t="s">
        <v>877</v>
      </c>
      <c r="G1674" s="404" t="s">
        <v>45</v>
      </c>
      <c r="H1674" s="411">
        <v>2350</v>
      </c>
      <c r="I1674" s="411">
        <v>0</v>
      </c>
      <c r="J1674" s="90">
        <f>-((H1674*0.0325)+0.3)</f>
        <v>-76.674999999999997</v>
      </c>
      <c r="K1674" s="90">
        <f t="shared" si="286"/>
        <v>2273.3249999999998</v>
      </c>
      <c r="L1674" s="131">
        <v>235</v>
      </c>
      <c r="M1674" s="187">
        <v>139.07</v>
      </c>
      <c r="N1674" s="91">
        <f t="shared" si="282"/>
        <v>1314.07</v>
      </c>
      <c r="O1674" s="411">
        <f t="shared" si="289"/>
        <v>959.25499999999988</v>
      </c>
      <c r="P1674" s="132" t="s">
        <v>86</v>
      </c>
      <c r="Q1674" s="232"/>
      <c r="R1674" s="411"/>
      <c r="T1674" s="134" t="s">
        <v>1209</v>
      </c>
      <c r="U1674" s="267" t="s">
        <v>3982</v>
      </c>
      <c r="V1674" s="133" t="s">
        <v>55</v>
      </c>
      <c r="W1674" s="153" t="s">
        <v>3983</v>
      </c>
      <c r="AA1674" s="218"/>
    </row>
    <row r="1675" spans="1:27" ht="24" x14ac:dyDescent="0.25">
      <c r="A1675" s="405">
        <v>3001261</v>
      </c>
      <c r="B1675" s="406">
        <v>42447</v>
      </c>
      <c r="C1675" s="405" t="s">
        <v>63</v>
      </c>
      <c r="D1675" s="401" t="s">
        <v>3984</v>
      </c>
      <c r="E1675" s="120">
        <v>12</v>
      </c>
      <c r="F1675" s="133" t="s">
        <v>549</v>
      </c>
      <c r="G1675" s="404" t="s">
        <v>45</v>
      </c>
      <c r="H1675" s="411">
        <v>75.75</v>
      </c>
      <c r="I1675" s="411">
        <v>0</v>
      </c>
      <c r="J1675" s="90">
        <f>-((H1675*0.022)+0.3)</f>
        <v>-1.9664999999999999</v>
      </c>
      <c r="K1675" s="90">
        <f t="shared" si="286"/>
        <v>73.783500000000004</v>
      </c>
      <c r="L1675" s="187">
        <v>4200</v>
      </c>
      <c r="M1675" s="187">
        <v>17.72</v>
      </c>
      <c r="N1675" s="91">
        <f t="shared" si="282"/>
        <v>68.12</v>
      </c>
      <c r="O1675" s="411">
        <f t="shared" si="289"/>
        <v>5.6634999999999991</v>
      </c>
      <c r="P1675" s="132" t="s">
        <v>183</v>
      </c>
      <c r="Q1675" s="232"/>
      <c r="R1675" s="411"/>
      <c r="T1675" s="134" t="s">
        <v>145</v>
      </c>
      <c r="U1675" s="267" t="s">
        <v>3985</v>
      </c>
      <c r="W1675" s="153" t="s">
        <v>3986</v>
      </c>
      <c r="AA1675" s="218"/>
    </row>
    <row r="1676" spans="1:27" ht="24" x14ac:dyDescent="0.25">
      <c r="A1676" s="405">
        <v>3001262</v>
      </c>
      <c r="B1676" s="406">
        <v>42447</v>
      </c>
      <c r="C1676" s="405" t="s">
        <v>159</v>
      </c>
      <c r="D1676" s="401" t="s">
        <v>3987</v>
      </c>
      <c r="E1676" s="120">
        <v>80</v>
      </c>
      <c r="F1676" s="133" t="s">
        <v>1085</v>
      </c>
      <c r="G1676" s="404" t="s">
        <v>45</v>
      </c>
      <c r="H1676" s="411">
        <v>680</v>
      </c>
      <c r="I1676" s="411">
        <v>0</v>
      </c>
      <c r="J1676" s="90">
        <f t="shared" ref="J1676" si="290">-((H1676*0.019)+0.3)</f>
        <v>-13.22</v>
      </c>
      <c r="K1676" s="90">
        <f t="shared" si="286"/>
        <v>666.78</v>
      </c>
      <c r="L1676" s="131">
        <v>4240</v>
      </c>
      <c r="M1676" s="187">
        <v>50.48</v>
      </c>
      <c r="N1676" s="91">
        <f t="shared" si="282"/>
        <v>389.68</v>
      </c>
      <c r="O1676" s="411">
        <f t="shared" si="289"/>
        <v>277.09999999999997</v>
      </c>
      <c r="P1676" s="132" t="s">
        <v>52</v>
      </c>
      <c r="Q1676" s="232"/>
      <c r="R1676" s="411"/>
      <c r="T1676" s="134" t="s">
        <v>145</v>
      </c>
      <c r="U1676" s="267" t="s">
        <v>3988</v>
      </c>
      <c r="W1676" s="153" t="s">
        <v>3989</v>
      </c>
      <c r="AA1676" s="218"/>
    </row>
    <row r="1677" spans="1:27" ht="24" x14ac:dyDescent="0.25">
      <c r="A1677" s="405">
        <v>3001263</v>
      </c>
      <c r="B1677" s="406">
        <v>42447</v>
      </c>
      <c r="C1677" s="405" t="s">
        <v>63</v>
      </c>
      <c r="D1677" s="401" t="s">
        <v>3990</v>
      </c>
      <c r="E1677" s="120">
        <v>2700</v>
      </c>
      <c r="F1677" s="133" t="s">
        <v>3991</v>
      </c>
      <c r="G1677" s="404" t="s">
        <v>45</v>
      </c>
      <c r="H1677" s="411">
        <v>2220</v>
      </c>
      <c r="I1677" s="411">
        <v>0</v>
      </c>
      <c r="J1677" s="90">
        <f>-((H1677*0.022)+0.3)</f>
        <v>-49.139999999999993</v>
      </c>
      <c r="K1677" s="90">
        <f t="shared" si="286"/>
        <v>2170.86</v>
      </c>
      <c r="L1677" s="131">
        <v>385</v>
      </c>
      <c r="M1677" s="131">
        <v>206.46</v>
      </c>
      <c r="N1677" s="91">
        <f t="shared" si="282"/>
        <v>1245.96</v>
      </c>
      <c r="O1677" s="411">
        <f t="shared" si="289"/>
        <v>924.90000000000009</v>
      </c>
      <c r="P1677" s="132" t="s">
        <v>52</v>
      </c>
      <c r="Q1677" s="232"/>
      <c r="R1677" s="411"/>
      <c r="T1677" s="134" t="s">
        <v>906</v>
      </c>
      <c r="U1677" s="267" t="s">
        <v>3992</v>
      </c>
      <c r="V1677" s="133" t="s">
        <v>55</v>
      </c>
      <c r="W1677" s="153" t="s">
        <v>3993</v>
      </c>
      <c r="AA1677" s="218"/>
    </row>
    <row r="1678" spans="1:27" ht="24" x14ac:dyDescent="0.25">
      <c r="A1678" s="405">
        <v>3001264</v>
      </c>
      <c r="B1678" s="406">
        <v>42447</v>
      </c>
      <c r="C1678" s="405" t="s">
        <v>63</v>
      </c>
      <c r="D1678" s="401" t="s">
        <v>3994</v>
      </c>
      <c r="E1678" s="120">
        <v>200</v>
      </c>
      <c r="F1678" s="133" t="s">
        <v>3995</v>
      </c>
      <c r="G1678" s="404" t="s">
        <v>45</v>
      </c>
      <c r="H1678" s="411">
        <v>1075.3</v>
      </c>
      <c r="I1678" s="411">
        <v>0</v>
      </c>
      <c r="J1678" s="90">
        <f>-((H1678*0.022)+0.3)</f>
        <v>-23.956599999999998</v>
      </c>
      <c r="K1678" s="90">
        <f t="shared" si="286"/>
        <v>1051.3434</v>
      </c>
      <c r="L1678" s="187">
        <v>2300</v>
      </c>
      <c r="M1678" s="187">
        <v>327.5</v>
      </c>
      <c r="N1678" s="91">
        <f t="shared" ref="N1678:N1742" si="291">((L1678)*(E1678*0.001))+M1678</f>
        <v>787.5</v>
      </c>
      <c r="O1678" s="411">
        <f t="shared" si="289"/>
        <v>263.84339999999997</v>
      </c>
      <c r="P1678" s="132" t="s">
        <v>183</v>
      </c>
      <c r="Q1678" s="232"/>
      <c r="R1678" s="411"/>
      <c r="T1678" s="134" t="s">
        <v>473</v>
      </c>
      <c r="U1678" s="267" t="s">
        <v>3996</v>
      </c>
      <c r="W1678" s="153" t="s">
        <v>3997</v>
      </c>
      <c r="AA1678" s="218"/>
    </row>
    <row r="1679" spans="1:27" ht="24" x14ac:dyDescent="0.25">
      <c r="A1679" s="405">
        <v>3001265</v>
      </c>
      <c r="B1679" s="406">
        <v>42450</v>
      </c>
      <c r="C1679" s="405" t="s">
        <v>63</v>
      </c>
      <c r="D1679" s="401" t="s">
        <v>3998</v>
      </c>
      <c r="E1679" s="120">
        <v>150</v>
      </c>
      <c r="F1679" s="133" t="s">
        <v>1547</v>
      </c>
      <c r="G1679" s="404" t="s">
        <v>45</v>
      </c>
      <c r="H1679" s="411">
        <v>148.5</v>
      </c>
      <c r="I1679" s="411">
        <v>0</v>
      </c>
      <c r="J1679" s="90">
        <f>-((H1679*0.022)+0.3)</f>
        <v>-3.5669999999999997</v>
      </c>
      <c r="K1679" s="90">
        <f t="shared" si="286"/>
        <v>144.93299999999999</v>
      </c>
      <c r="L1679" s="131">
        <v>385</v>
      </c>
      <c r="M1679" s="187">
        <v>33.9</v>
      </c>
      <c r="N1679" s="91">
        <f t="shared" si="291"/>
        <v>91.65</v>
      </c>
      <c r="O1679" s="411">
        <f t="shared" si="289"/>
        <v>53.282999999999987</v>
      </c>
      <c r="P1679" s="132" t="s">
        <v>52</v>
      </c>
      <c r="Q1679" s="232"/>
      <c r="R1679" s="411"/>
      <c r="T1679" s="134" t="s">
        <v>145</v>
      </c>
      <c r="U1679" s="267" t="s">
        <v>3999</v>
      </c>
      <c r="W1679" s="153" t="s">
        <v>4000</v>
      </c>
      <c r="AA1679" s="218"/>
    </row>
    <row r="1680" spans="1:27" x14ac:dyDescent="0.25">
      <c r="A1680" s="419">
        <v>3001266</v>
      </c>
      <c r="B1680" s="421">
        <v>42450</v>
      </c>
      <c r="C1680" s="419" t="s">
        <v>56</v>
      </c>
      <c r="D1680" s="417" t="s">
        <v>1925</v>
      </c>
      <c r="E1680" s="120">
        <v>100</v>
      </c>
      <c r="F1680" s="133" t="s">
        <v>4001</v>
      </c>
      <c r="G1680" s="434" t="s">
        <v>45</v>
      </c>
      <c r="H1680" s="427">
        <v>128</v>
      </c>
      <c r="I1680" s="427">
        <v>0</v>
      </c>
      <c r="J1680" s="427">
        <v>0</v>
      </c>
      <c r="K1680" s="425">
        <f t="shared" si="286"/>
        <v>128</v>
      </c>
      <c r="L1680" s="187">
        <v>150</v>
      </c>
      <c r="M1680" s="187">
        <v>9.0299999999999994</v>
      </c>
      <c r="N1680" s="91">
        <f t="shared" si="291"/>
        <v>24.03</v>
      </c>
      <c r="O1680" s="411">
        <f t="shared" si="289"/>
        <v>103.97</v>
      </c>
      <c r="P1680" s="132" t="s">
        <v>235</v>
      </c>
      <c r="Q1680" s="232"/>
      <c r="R1680" s="411"/>
      <c r="T1680" s="439" t="s">
        <v>145</v>
      </c>
      <c r="U1680" s="446" t="s">
        <v>4002</v>
      </c>
      <c r="V1680" s="133" t="s">
        <v>3214</v>
      </c>
      <c r="W1680" s="153" t="s">
        <v>1928</v>
      </c>
      <c r="AA1680" s="218"/>
    </row>
    <row r="1681" spans="1:27" x14ac:dyDescent="0.25">
      <c r="A1681" s="432"/>
      <c r="B1681" s="433"/>
      <c r="C1681" s="432"/>
      <c r="D1681" s="454"/>
      <c r="E1681" s="120">
        <v>100</v>
      </c>
      <c r="F1681" s="133" t="s">
        <v>4003</v>
      </c>
      <c r="G1681" s="435"/>
      <c r="H1681" s="438"/>
      <c r="I1681" s="438"/>
      <c r="J1681" s="438"/>
      <c r="K1681" s="437"/>
      <c r="L1681" s="187">
        <v>150</v>
      </c>
      <c r="N1681" s="91">
        <f t="shared" si="291"/>
        <v>15</v>
      </c>
      <c r="O1681" s="411">
        <f t="shared" si="289"/>
        <v>-15</v>
      </c>
      <c r="P1681" s="132" t="s">
        <v>235</v>
      </c>
      <c r="Q1681" s="232"/>
      <c r="R1681" s="411"/>
      <c r="T1681" s="440"/>
      <c r="U1681" s="448"/>
      <c r="AA1681" s="218"/>
    </row>
    <row r="1682" spans="1:27" x14ac:dyDescent="0.25">
      <c r="A1682" s="432"/>
      <c r="B1682" s="433"/>
      <c r="C1682" s="432"/>
      <c r="D1682" s="454"/>
      <c r="E1682" s="120">
        <v>100</v>
      </c>
      <c r="F1682" s="133" t="s">
        <v>4004</v>
      </c>
      <c r="G1682" s="435"/>
      <c r="H1682" s="438"/>
      <c r="I1682" s="438"/>
      <c r="J1682" s="438"/>
      <c r="K1682" s="437"/>
      <c r="L1682" s="187">
        <v>150</v>
      </c>
      <c r="N1682" s="91">
        <f t="shared" si="291"/>
        <v>15</v>
      </c>
      <c r="O1682" s="411">
        <f t="shared" si="289"/>
        <v>-15</v>
      </c>
      <c r="P1682" s="132" t="s">
        <v>235</v>
      </c>
      <c r="Q1682" s="232"/>
      <c r="R1682" s="411"/>
      <c r="T1682" s="440"/>
      <c r="U1682" s="448"/>
      <c r="AA1682" s="218"/>
    </row>
    <row r="1683" spans="1:27" x14ac:dyDescent="0.25">
      <c r="A1683" s="420"/>
      <c r="B1683" s="422"/>
      <c r="C1683" s="420"/>
      <c r="D1683" s="418"/>
      <c r="E1683" s="120">
        <v>100</v>
      </c>
      <c r="F1683" s="133" t="s">
        <v>4005</v>
      </c>
      <c r="G1683" s="436"/>
      <c r="H1683" s="428"/>
      <c r="I1683" s="428"/>
      <c r="J1683" s="428"/>
      <c r="K1683" s="426"/>
      <c r="L1683" s="187">
        <v>150</v>
      </c>
      <c r="N1683" s="91">
        <f t="shared" si="291"/>
        <v>15</v>
      </c>
      <c r="O1683" s="411">
        <f t="shared" si="289"/>
        <v>-15</v>
      </c>
      <c r="P1683" s="132" t="s">
        <v>235</v>
      </c>
      <c r="Q1683" s="232"/>
      <c r="R1683" s="411"/>
      <c r="T1683" s="441"/>
      <c r="U1683" s="447"/>
      <c r="AA1683" s="218"/>
    </row>
    <row r="1684" spans="1:27" x14ac:dyDescent="0.25">
      <c r="A1684" s="405">
        <v>3001267</v>
      </c>
      <c r="B1684" s="406">
        <v>42450</v>
      </c>
      <c r="C1684" s="405" t="s">
        <v>78</v>
      </c>
      <c r="D1684" s="401" t="s">
        <v>4006</v>
      </c>
      <c r="E1684" s="120">
        <v>250</v>
      </c>
      <c r="F1684" s="133" t="s">
        <v>4007</v>
      </c>
      <c r="G1684" s="404" t="s">
        <v>45</v>
      </c>
      <c r="H1684" s="411">
        <v>2875</v>
      </c>
      <c r="I1684" s="411">
        <v>0</v>
      </c>
      <c r="J1684" s="90">
        <f t="shared" ref="J1684:J1708" si="292">-((H1684*0.019)+0.3)</f>
        <v>-54.924999999999997</v>
      </c>
      <c r="K1684" s="90">
        <f t="shared" ref="K1684:K1711" si="293">SUM(H1684:J1684)</f>
        <v>2820.0749999999998</v>
      </c>
      <c r="L1684" s="187">
        <v>6927</v>
      </c>
      <c r="M1684" s="187">
        <v>116.14</v>
      </c>
      <c r="N1684" s="91">
        <f t="shared" si="291"/>
        <v>1847.89</v>
      </c>
      <c r="O1684" s="411">
        <f t="shared" si="289"/>
        <v>972.18499999999972</v>
      </c>
      <c r="P1684" s="132" t="s">
        <v>59</v>
      </c>
      <c r="Q1684" s="232"/>
      <c r="R1684" s="411"/>
      <c r="T1684" s="134" t="s">
        <v>364</v>
      </c>
      <c r="U1684" s="267" t="s">
        <v>4008</v>
      </c>
      <c r="W1684" s="153" t="s">
        <v>4009</v>
      </c>
      <c r="AA1684" s="218"/>
    </row>
    <row r="1685" spans="1:27" ht="24" x14ac:dyDescent="0.25">
      <c r="A1685" s="405">
        <v>3001268</v>
      </c>
      <c r="B1685" s="406">
        <v>42450</v>
      </c>
      <c r="C1685" s="405" t="s">
        <v>78</v>
      </c>
      <c r="D1685" s="401" t="s">
        <v>4010</v>
      </c>
      <c r="E1685" s="120">
        <v>585</v>
      </c>
      <c r="F1685" s="133" t="s">
        <v>4011</v>
      </c>
      <c r="G1685" s="404" t="s">
        <v>45</v>
      </c>
      <c r="H1685" s="411">
        <v>278</v>
      </c>
      <c r="I1685" s="411">
        <v>0</v>
      </c>
      <c r="J1685" s="90">
        <f t="shared" si="292"/>
        <v>-5.5819999999999999</v>
      </c>
      <c r="K1685" s="90">
        <f t="shared" si="293"/>
        <v>272.41800000000001</v>
      </c>
      <c r="L1685" s="131">
        <v>118</v>
      </c>
      <c r="M1685" s="187">
        <v>62.02</v>
      </c>
      <c r="N1685" s="91">
        <f t="shared" si="291"/>
        <v>131.05000000000001</v>
      </c>
      <c r="O1685" s="411">
        <f t="shared" si="289"/>
        <v>141.36799999999999</v>
      </c>
      <c r="P1685" s="132" t="s">
        <v>52</v>
      </c>
      <c r="Q1685" s="232"/>
      <c r="R1685" s="411"/>
      <c r="T1685" s="134" t="s">
        <v>145</v>
      </c>
      <c r="U1685" s="267" t="s">
        <v>4012</v>
      </c>
      <c r="W1685" s="153" t="s">
        <v>4013</v>
      </c>
      <c r="AA1685" s="218"/>
    </row>
    <row r="1686" spans="1:27" ht="24" x14ac:dyDescent="0.25">
      <c r="A1686" s="405">
        <v>3001269</v>
      </c>
      <c r="B1686" s="406">
        <v>42450</v>
      </c>
      <c r="C1686" s="405" t="s">
        <v>327</v>
      </c>
      <c r="D1686" s="401" t="s">
        <v>4014</v>
      </c>
      <c r="E1686" s="120">
        <v>250</v>
      </c>
      <c r="F1686" s="133" t="s">
        <v>4015</v>
      </c>
      <c r="G1686" s="404" t="s">
        <v>45</v>
      </c>
      <c r="H1686" s="411">
        <v>243</v>
      </c>
      <c r="I1686" s="411">
        <v>0</v>
      </c>
      <c r="J1686" s="90">
        <f>-((H1686*0.022)+0.3)</f>
        <v>-5.6459999999999999</v>
      </c>
      <c r="K1686" s="90">
        <f t="shared" si="293"/>
        <v>237.35400000000001</v>
      </c>
      <c r="L1686" s="167">
        <v>692.97</v>
      </c>
      <c r="M1686" s="187">
        <v>23.21</v>
      </c>
      <c r="N1686" s="91">
        <f t="shared" si="291"/>
        <v>196.45250000000001</v>
      </c>
      <c r="O1686" s="411">
        <f t="shared" si="289"/>
        <v>40.901499999999999</v>
      </c>
      <c r="P1686" s="132" t="s">
        <v>330</v>
      </c>
      <c r="Q1686" s="232"/>
      <c r="R1686" s="411"/>
      <c r="T1686" s="134" t="s">
        <v>204</v>
      </c>
      <c r="U1686" s="267" t="s">
        <v>4016</v>
      </c>
      <c r="W1686" s="153" t="s">
        <v>4017</v>
      </c>
      <c r="AA1686" s="218"/>
    </row>
    <row r="1687" spans="1:27" ht="24" x14ac:dyDescent="0.25">
      <c r="A1687" s="405">
        <v>3001270</v>
      </c>
      <c r="B1687" s="406">
        <v>42450</v>
      </c>
      <c r="C1687" s="405" t="s">
        <v>78</v>
      </c>
      <c r="D1687" s="401" t="s">
        <v>1606</v>
      </c>
      <c r="E1687" s="120">
        <v>1200</v>
      </c>
      <c r="F1687" s="133" t="s">
        <v>70</v>
      </c>
      <c r="G1687" s="404" t="s">
        <v>45</v>
      </c>
      <c r="H1687" s="411">
        <v>2784</v>
      </c>
      <c r="I1687" s="411">
        <v>0</v>
      </c>
      <c r="J1687" s="90">
        <f t="shared" si="292"/>
        <v>-53.195999999999998</v>
      </c>
      <c r="K1687" s="90">
        <f t="shared" si="293"/>
        <v>2730.8040000000001</v>
      </c>
      <c r="L1687" s="131">
        <v>1540</v>
      </c>
      <c r="M1687" s="187">
        <v>295.45</v>
      </c>
      <c r="N1687" s="91">
        <f t="shared" si="291"/>
        <v>2143.4499999999998</v>
      </c>
      <c r="O1687" s="411">
        <f t="shared" si="289"/>
        <v>587.35400000000027</v>
      </c>
      <c r="P1687" s="132" t="s">
        <v>52</v>
      </c>
      <c r="Q1687" s="232"/>
      <c r="R1687" s="411"/>
      <c r="T1687" s="134" t="s">
        <v>1209</v>
      </c>
      <c r="U1687" s="267" t="s">
        <v>4018</v>
      </c>
      <c r="V1687" s="133" t="s">
        <v>55</v>
      </c>
      <c r="W1687" s="153" t="s">
        <v>4019</v>
      </c>
      <c r="AA1687" s="218"/>
    </row>
    <row r="1688" spans="1:27" ht="24" x14ac:dyDescent="0.25">
      <c r="A1688" s="405">
        <v>3001271</v>
      </c>
      <c r="B1688" s="406">
        <v>42450</v>
      </c>
      <c r="C1688" s="405" t="s">
        <v>56</v>
      </c>
      <c r="D1688" s="401" t="s">
        <v>4020</v>
      </c>
      <c r="E1688" s="120">
        <v>500</v>
      </c>
      <c r="F1688" s="133" t="s">
        <v>451</v>
      </c>
      <c r="G1688" s="404" t="s">
        <v>45</v>
      </c>
      <c r="H1688" s="411">
        <v>260</v>
      </c>
      <c r="I1688" s="411">
        <v>0</v>
      </c>
      <c r="J1688" s="411">
        <v>0</v>
      </c>
      <c r="K1688" s="90">
        <f t="shared" si="293"/>
        <v>260</v>
      </c>
      <c r="N1688" s="91">
        <f t="shared" si="291"/>
        <v>0</v>
      </c>
      <c r="O1688" s="411">
        <f t="shared" si="289"/>
        <v>260</v>
      </c>
      <c r="P1688" s="132" t="s">
        <v>86</v>
      </c>
      <c r="Q1688" s="232"/>
      <c r="R1688" s="411"/>
      <c r="T1688" s="134" t="s">
        <v>204</v>
      </c>
      <c r="U1688" s="267" t="s">
        <v>4021</v>
      </c>
      <c r="V1688" s="133" t="s">
        <v>2342</v>
      </c>
      <c r="W1688" s="153" t="s">
        <v>298</v>
      </c>
      <c r="AA1688" s="218"/>
    </row>
    <row r="1689" spans="1:27" ht="24" x14ac:dyDescent="0.25">
      <c r="A1689" s="405">
        <v>3001272</v>
      </c>
      <c r="B1689" s="406">
        <v>42450</v>
      </c>
      <c r="C1689" s="405" t="s">
        <v>42</v>
      </c>
      <c r="D1689" s="401" t="s">
        <v>4022</v>
      </c>
      <c r="E1689" s="120">
        <v>200</v>
      </c>
      <c r="F1689" s="133" t="s">
        <v>877</v>
      </c>
      <c r="G1689" s="404" t="s">
        <v>45</v>
      </c>
      <c r="H1689" s="411">
        <v>139.76</v>
      </c>
      <c r="I1689" s="89">
        <f t="shared" ref="I1689:I1708" si="294">-(H1689*0.09)</f>
        <v>-12.578399999999998</v>
      </c>
      <c r="J1689" s="90">
        <f t="shared" si="292"/>
        <v>-2.9554399999999994</v>
      </c>
      <c r="K1689" s="90">
        <f t="shared" si="293"/>
        <v>124.22615999999999</v>
      </c>
      <c r="L1689" s="131">
        <v>235</v>
      </c>
      <c r="M1689" s="187">
        <v>34.909999999999997</v>
      </c>
      <c r="N1689" s="91">
        <f t="shared" si="291"/>
        <v>81.91</v>
      </c>
      <c r="O1689" s="411">
        <f t="shared" si="289"/>
        <v>42.316159999999996</v>
      </c>
      <c r="P1689" s="132" t="s">
        <v>52</v>
      </c>
      <c r="Q1689" s="232"/>
      <c r="R1689" s="411">
        <v>9.14</v>
      </c>
      <c r="S1689" s="133" t="s">
        <v>4023</v>
      </c>
      <c r="T1689" s="134" t="s">
        <v>145</v>
      </c>
      <c r="U1689" s="267" t="s">
        <v>4024</v>
      </c>
      <c r="AA1689" s="218"/>
    </row>
    <row r="1690" spans="1:27" ht="24" x14ac:dyDescent="0.25">
      <c r="A1690" s="405">
        <v>3001273</v>
      </c>
      <c r="B1690" s="406">
        <v>42450</v>
      </c>
      <c r="C1690" s="405" t="s">
        <v>42</v>
      </c>
      <c r="D1690" s="401" t="s">
        <v>4025</v>
      </c>
      <c r="E1690" s="120">
        <v>350</v>
      </c>
      <c r="F1690" s="133" t="s">
        <v>227</v>
      </c>
      <c r="G1690" s="404" t="s">
        <v>45</v>
      </c>
      <c r="H1690" s="411">
        <v>283.82</v>
      </c>
      <c r="I1690" s="89">
        <f t="shared" si="294"/>
        <v>-25.543799999999997</v>
      </c>
      <c r="J1690" s="90">
        <f t="shared" si="292"/>
        <v>-5.6925799999999995</v>
      </c>
      <c r="K1690" s="90">
        <f t="shared" si="293"/>
        <v>252.58362000000002</v>
      </c>
      <c r="L1690" s="131">
        <v>350</v>
      </c>
      <c r="M1690" s="187">
        <v>34.71</v>
      </c>
      <c r="N1690" s="91">
        <f t="shared" si="291"/>
        <v>157.21</v>
      </c>
      <c r="O1690" s="411">
        <f t="shared" si="289"/>
        <v>95.373620000000017</v>
      </c>
      <c r="P1690" s="132" t="s">
        <v>52</v>
      </c>
      <c r="Q1690" s="232"/>
      <c r="R1690" s="411"/>
      <c r="T1690" s="134" t="s">
        <v>145</v>
      </c>
      <c r="U1690" s="267" t="s">
        <v>4026</v>
      </c>
      <c r="AA1690" s="218"/>
    </row>
    <row r="1691" spans="1:27" ht="24" x14ac:dyDescent="0.25">
      <c r="A1691" s="405">
        <v>3001274</v>
      </c>
      <c r="B1691" s="406">
        <v>42450</v>
      </c>
      <c r="C1691" s="405" t="s">
        <v>42</v>
      </c>
      <c r="D1691" s="401" t="s">
        <v>2666</v>
      </c>
      <c r="E1691" s="120">
        <v>250</v>
      </c>
      <c r="F1691" s="133" t="s">
        <v>2667</v>
      </c>
      <c r="G1691" s="404" t="s">
        <v>45</v>
      </c>
      <c r="H1691" s="411">
        <v>80.75</v>
      </c>
      <c r="I1691" s="89">
        <f t="shared" si="294"/>
        <v>-7.2675000000000001</v>
      </c>
      <c r="J1691" s="90">
        <f t="shared" si="292"/>
        <v>-1.8342499999999999</v>
      </c>
      <c r="K1691" s="90">
        <f t="shared" si="293"/>
        <v>71.648250000000004</v>
      </c>
      <c r="M1691" s="187">
        <v>14.76</v>
      </c>
      <c r="N1691" s="91">
        <f t="shared" si="291"/>
        <v>14.76</v>
      </c>
      <c r="O1691" s="411">
        <f t="shared" si="289"/>
        <v>56.888250000000006</v>
      </c>
      <c r="P1691" s="132" t="s">
        <v>86</v>
      </c>
      <c r="Q1691" s="232"/>
      <c r="R1691" s="411"/>
      <c r="T1691" s="134" t="s">
        <v>145</v>
      </c>
      <c r="U1691" s="267" t="s">
        <v>4027</v>
      </c>
      <c r="AA1691" s="218"/>
    </row>
    <row r="1692" spans="1:27" ht="24" x14ac:dyDescent="0.25">
      <c r="A1692" s="405">
        <v>3001275</v>
      </c>
      <c r="B1692" s="406">
        <v>42450</v>
      </c>
      <c r="C1692" s="405" t="s">
        <v>42</v>
      </c>
      <c r="D1692" s="401" t="s">
        <v>4028</v>
      </c>
      <c r="E1692" s="120">
        <v>100</v>
      </c>
      <c r="F1692" s="133" t="s">
        <v>247</v>
      </c>
      <c r="G1692" s="404" t="s">
        <v>45</v>
      </c>
      <c r="H1692" s="411">
        <v>121.39</v>
      </c>
      <c r="I1692" s="89">
        <f t="shared" si="294"/>
        <v>-10.9251</v>
      </c>
      <c r="J1692" s="90">
        <f t="shared" si="292"/>
        <v>-2.6064099999999999</v>
      </c>
      <c r="K1692" s="90">
        <f t="shared" si="293"/>
        <v>107.85849</v>
      </c>
      <c r="L1692" s="131">
        <v>480</v>
      </c>
      <c r="M1692" s="187">
        <v>34.32</v>
      </c>
      <c r="N1692" s="91">
        <f t="shared" si="291"/>
        <v>82.32</v>
      </c>
      <c r="O1692" s="411">
        <f t="shared" si="289"/>
        <v>25.53849000000001</v>
      </c>
      <c r="P1692" s="132" t="s">
        <v>52</v>
      </c>
      <c r="Q1692" s="232"/>
      <c r="R1692" s="411"/>
      <c r="T1692" s="134" t="s">
        <v>145</v>
      </c>
      <c r="U1692" s="267" t="s">
        <v>4029</v>
      </c>
      <c r="AA1692" s="218"/>
    </row>
    <row r="1693" spans="1:27" ht="24" x14ac:dyDescent="0.25">
      <c r="A1693" s="405">
        <v>3001276</v>
      </c>
      <c r="B1693" s="406">
        <v>42450</v>
      </c>
      <c r="C1693" s="405" t="s">
        <v>42</v>
      </c>
      <c r="D1693" s="401" t="s">
        <v>4030</v>
      </c>
      <c r="E1693" s="120">
        <v>150</v>
      </c>
      <c r="F1693" s="133" t="s">
        <v>247</v>
      </c>
      <c r="G1693" s="404" t="s">
        <v>45</v>
      </c>
      <c r="H1693" s="411">
        <v>182.08</v>
      </c>
      <c r="I1693" s="89">
        <f t="shared" si="294"/>
        <v>-16.3872</v>
      </c>
      <c r="J1693" s="90">
        <f t="shared" si="292"/>
        <v>-3.7595200000000002</v>
      </c>
      <c r="K1693" s="90">
        <f t="shared" si="293"/>
        <v>161.93328</v>
      </c>
      <c r="L1693" s="131">
        <v>480</v>
      </c>
      <c r="M1693" s="187">
        <v>35.29</v>
      </c>
      <c r="N1693" s="91">
        <f t="shared" si="291"/>
        <v>107.28999999999999</v>
      </c>
      <c r="O1693" s="411">
        <f t="shared" si="289"/>
        <v>54.643280000000004</v>
      </c>
      <c r="P1693" s="132" t="s">
        <v>52</v>
      </c>
      <c r="Q1693" s="232"/>
      <c r="R1693" s="411"/>
      <c r="T1693" s="134" t="s">
        <v>145</v>
      </c>
      <c r="U1693" s="267" t="s">
        <v>4031</v>
      </c>
      <c r="AA1693" s="218"/>
    </row>
    <row r="1694" spans="1:27" ht="24" x14ac:dyDescent="0.25">
      <c r="A1694" s="405">
        <v>3001277</v>
      </c>
      <c r="B1694" s="406">
        <v>42450</v>
      </c>
      <c r="C1694" s="405" t="s">
        <v>42</v>
      </c>
      <c r="D1694" s="401" t="s">
        <v>4032</v>
      </c>
      <c r="E1694" s="120">
        <v>250</v>
      </c>
      <c r="F1694" s="119" t="s">
        <v>4033</v>
      </c>
      <c r="G1694" s="404" t="s">
        <v>45</v>
      </c>
      <c r="H1694" s="411">
        <v>157.5</v>
      </c>
      <c r="I1694" s="89">
        <f t="shared" si="294"/>
        <v>-14.174999999999999</v>
      </c>
      <c r="J1694" s="90">
        <f t="shared" si="292"/>
        <v>-3.2924999999999995</v>
      </c>
      <c r="K1694" s="90">
        <f t="shared" si="293"/>
        <v>140.0325</v>
      </c>
      <c r="L1694" s="187">
        <v>330</v>
      </c>
      <c r="M1694" s="187">
        <v>19.41</v>
      </c>
      <c r="N1694" s="91">
        <f t="shared" si="291"/>
        <v>101.91</v>
      </c>
      <c r="O1694" s="411">
        <f t="shared" si="289"/>
        <v>38.122500000000002</v>
      </c>
      <c r="P1694" s="132" t="s">
        <v>1505</v>
      </c>
      <c r="Q1694" s="232"/>
      <c r="R1694" s="411"/>
      <c r="T1694" s="134" t="s">
        <v>145</v>
      </c>
      <c r="U1694" s="267" t="s">
        <v>4034</v>
      </c>
      <c r="AA1694" s="218"/>
    </row>
    <row r="1695" spans="1:27" ht="24" x14ac:dyDescent="0.25">
      <c r="A1695" s="405">
        <v>3001278</v>
      </c>
      <c r="B1695" s="406">
        <v>42450</v>
      </c>
      <c r="C1695" s="405" t="s">
        <v>42</v>
      </c>
      <c r="D1695" s="401" t="s">
        <v>4035</v>
      </c>
      <c r="E1695" s="120">
        <v>100</v>
      </c>
      <c r="F1695" s="133" t="s">
        <v>288</v>
      </c>
      <c r="G1695" s="404" t="s">
        <v>45</v>
      </c>
      <c r="H1695" s="411">
        <v>187.16</v>
      </c>
      <c r="I1695" s="89">
        <f t="shared" si="294"/>
        <v>-16.8444</v>
      </c>
      <c r="J1695" s="90">
        <f t="shared" si="292"/>
        <v>-3.8560399999999997</v>
      </c>
      <c r="K1695" s="90">
        <f t="shared" si="293"/>
        <v>166.45955999999998</v>
      </c>
      <c r="L1695" s="131">
        <v>950</v>
      </c>
      <c r="M1695" s="187">
        <v>40.93</v>
      </c>
      <c r="N1695" s="91">
        <f t="shared" si="291"/>
        <v>135.93</v>
      </c>
      <c r="O1695" s="411">
        <f t="shared" si="289"/>
        <v>30.529559999999975</v>
      </c>
      <c r="P1695" s="132" t="s">
        <v>52</v>
      </c>
      <c r="Q1695" s="232"/>
      <c r="R1695" s="411"/>
      <c r="T1695" s="134" t="s">
        <v>145</v>
      </c>
      <c r="U1695" s="267" t="s">
        <v>4036</v>
      </c>
      <c r="AA1695" s="218"/>
    </row>
    <row r="1696" spans="1:27" ht="24" x14ac:dyDescent="0.25">
      <c r="A1696" s="405">
        <v>3001279</v>
      </c>
      <c r="B1696" s="406">
        <v>42450</v>
      </c>
      <c r="C1696" s="405" t="s">
        <v>42</v>
      </c>
      <c r="D1696" s="401" t="s">
        <v>4037</v>
      </c>
      <c r="E1696" s="120">
        <v>100</v>
      </c>
      <c r="F1696" s="133" t="s">
        <v>300</v>
      </c>
      <c r="G1696" s="404" t="s">
        <v>45</v>
      </c>
      <c r="H1696" s="411">
        <v>427.5</v>
      </c>
      <c r="I1696" s="89">
        <f t="shared" si="294"/>
        <v>-38.475000000000001</v>
      </c>
      <c r="J1696" s="90">
        <f t="shared" si="292"/>
        <v>-8.4225000000000012</v>
      </c>
      <c r="K1696" s="90">
        <f t="shared" si="293"/>
        <v>380.60249999999996</v>
      </c>
      <c r="L1696" s="131">
        <v>2200</v>
      </c>
      <c r="M1696" s="187">
        <v>50.62</v>
      </c>
      <c r="N1696" s="91">
        <f t="shared" si="291"/>
        <v>270.62</v>
      </c>
      <c r="O1696" s="411">
        <f t="shared" si="289"/>
        <v>109.98249999999996</v>
      </c>
      <c r="P1696" s="132" t="s">
        <v>52</v>
      </c>
      <c r="Q1696" s="232"/>
      <c r="R1696" s="411"/>
      <c r="T1696" s="134" t="s">
        <v>145</v>
      </c>
      <c r="U1696" s="267" t="s">
        <v>4038</v>
      </c>
      <c r="AA1696" s="218"/>
    </row>
    <row r="1697" spans="1:27" ht="24" x14ac:dyDescent="0.25">
      <c r="A1697" s="405">
        <v>3001280</v>
      </c>
      <c r="B1697" s="406">
        <v>42450</v>
      </c>
      <c r="C1697" s="405" t="s">
        <v>42</v>
      </c>
      <c r="D1697" s="401" t="s">
        <v>3132</v>
      </c>
      <c r="E1697" s="120">
        <v>100</v>
      </c>
      <c r="F1697" s="133" t="s">
        <v>431</v>
      </c>
      <c r="G1697" s="404" t="s">
        <v>45</v>
      </c>
      <c r="H1697" s="411">
        <v>216.11</v>
      </c>
      <c r="I1697" s="89">
        <f t="shared" si="294"/>
        <v>-19.4499</v>
      </c>
      <c r="J1697" s="90">
        <f t="shared" si="292"/>
        <v>-4.4060899999999998</v>
      </c>
      <c r="K1697" s="90">
        <f t="shared" si="293"/>
        <v>192.25400999999999</v>
      </c>
      <c r="L1697" s="131">
        <v>990</v>
      </c>
      <c r="M1697" s="187">
        <v>35.18</v>
      </c>
      <c r="N1697" s="91">
        <f t="shared" si="291"/>
        <v>134.18</v>
      </c>
      <c r="O1697" s="411">
        <f t="shared" si="289"/>
        <v>58.074009999999987</v>
      </c>
      <c r="P1697" s="132" t="s">
        <v>52</v>
      </c>
      <c r="Q1697" s="232"/>
      <c r="R1697" s="411"/>
      <c r="T1697" s="134" t="s">
        <v>145</v>
      </c>
      <c r="U1697" s="267" t="s">
        <v>4039</v>
      </c>
      <c r="AA1697" s="218"/>
    </row>
    <row r="1698" spans="1:27" ht="24" x14ac:dyDescent="0.25">
      <c r="A1698" s="405">
        <v>3001281</v>
      </c>
      <c r="B1698" s="406">
        <v>42450</v>
      </c>
      <c r="C1698" s="405" t="s">
        <v>42</v>
      </c>
      <c r="D1698" s="401" t="s">
        <v>4040</v>
      </c>
      <c r="E1698" s="120">
        <v>125</v>
      </c>
      <c r="F1698" s="133" t="s">
        <v>165</v>
      </c>
      <c r="G1698" s="404" t="s">
        <v>45</v>
      </c>
      <c r="H1698" s="411">
        <v>125.44</v>
      </c>
      <c r="I1698" s="89">
        <f t="shared" si="294"/>
        <v>-11.2896</v>
      </c>
      <c r="J1698" s="90">
        <f t="shared" si="292"/>
        <v>-2.6833599999999995</v>
      </c>
      <c r="K1698" s="90">
        <f t="shared" si="293"/>
        <v>111.46704</v>
      </c>
      <c r="L1698" s="131">
        <v>480</v>
      </c>
      <c r="M1698" s="187">
        <v>23.93</v>
      </c>
      <c r="N1698" s="91">
        <f t="shared" si="291"/>
        <v>83.93</v>
      </c>
      <c r="O1698" s="411">
        <f t="shared" si="289"/>
        <v>27.53703999999999</v>
      </c>
      <c r="P1698" s="132" t="s">
        <v>86</v>
      </c>
      <c r="Q1698" s="232"/>
      <c r="R1698" s="411"/>
      <c r="T1698" s="134" t="s">
        <v>145</v>
      </c>
      <c r="U1698" s="267" t="s">
        <v>4041</v>
      </c>
      <c r="AA1698" s="218"/>
    </row>
    <row r="1699" spans="1:27" ht="24" x14ac:dyDescent="0.25">
      <c r="A1699" s="405">
        <v>3001282</v>
      </c>
      <c r="B1699" s="406">
        <v>42450</v>
      </c>
      <c r="C1699" s="405" t="s">
        <v>42</v>
      </c>
      <c r="D1699" s="401" t="s">
        <v>4042</v>
      </c>
      <c r="E1699" s="120">
        <v>100</v>
      </c>
      <c r="F1699" s="133" t="s">
        <v>161</v>
      </c>
      <c r="G1699" s="404" t="s">
        <v>45</v>
      </c>
      <c r="H1699" s="411">
        <v>235</v>
      </c>
      <c r="I1699" s="89">
        <f t="shared" si="294"/>
        <v>-21.15</v>
      </c>
      <c r="J1699" s="90">
        <f t="shared" si="292"/>
        <v>-4.7649999999999997</v>
      </c>
      <c r="K1699" s="90">
        <f t="shared" si="293"/>
        <v>209.08500000000001</v>
      </c>
      <c r="L1699" s="131">
        <v>1322</v>
      </c>
      <c r="M1699" s="187">
        <v>45.09</v>
      </c>
      <c r="N1699" s="91">
        <f t="shared" si="291"/>
        <v>177.29000000000002</v>
      </c>
      <c r="O1699" s="411">
        <f t="shared" si="289"/>
        <v>31.794999999999987</v>
      </c>
      <c r="P1699" s="132" t="s">
        <v>52</v>
      </c>
      <c r="Q1699" s="232"/>
      <c r="R1699" s="411"/>
      <c r="T1699" s="134" t="s">
        <v>145</v>
      </c>
      <c r="U1699" s="267" t="s">
        <v>4043</v>
      </c>
      <c r="AA1699" s="218"/>
    </row>
    <row r="1700" spans="1:27" ht="24" x14ac:dyDescent="0.25">
      <c r="A1700" s="405">
        <v>3001283</v>
      </c>
      <c r="B1700" s="406">
        <v>42450</v>
      </c>
      <c r="C1700" s="405" t="s">
        <v>42</v>
      </c>
      <c r="D1700" s="401" t="s">
        <v>4044</v>
      </c>
      <c r="E1700" s="120">
        <v>100</v>
      </c>
      <c r="F1700" s="133" t="s">
        <v>605</v>
      </c>
      <c r="G1700" s="404" t="s">
        <v>45</v>
      </c>
      <c r="H1700" s="411">
        <v>151.03</v>
      </c>
      <c r="I1700" s="89">
        <f t="shared" si="294"/>
        <v>-13.592699999999999</v>
      </c>
      <c r="J1700" s="90">
        <f t="shared" si="292"/>
        <v>-3.1695699999999998</v>
      </c>
      <c r="K1700" s="90">
        <f t="shared" si="293"/>
        <v>134.26773</v>
      </c>
      <c r="L1700" s="131">
        <v>600</v>
      </c>
      <c r="M1700" s="187">
        <v>39.520000000000003</v>
      </c>
      <c r="N1700" s="91">
        <f t="shared" si="291"/>
        <v>99.52000000000001</v>
      </c>
      <c r="O1700" s="411">
        <f t="shared" si="289"/>
        <v>34.74772999999999</v>
      </c>
      <c r="P1700" s="132" t="s">
        <v>52</v>
      </c>
      <c r="Q1700" s="232"/>
      <c r="R1700" s="411"/>
      <c r="T1700" s="134" t="s">
        <v>145</v>
      </c>
      <c r="U1700" s="267" t="s">
        <v>4045</v>
      </c>
      <c r="AA1700" s="218"/>
    </row>
    <row r="1701" spans="1:27" ht="24" x14ac:dyDescent="0.25">
      <c r="A1701" s="405">
        <v>3001284</v>
      </c>
      <c r="B1701" s="406">
        <v>42450</v>
      </c>
      <c r="C1701" s="405" t="s">
        <v>42</v>
      </c>
      <c r="D1701" s="401" t="s">
        <v>4046</v>
      </c>
      <c r="E1701" s="120">
        <v>50</v>
      </c>
      <c r="F1701" s="133" t="s">
        <v>1081</v>
      </c>
      <c r="G1701" s="404" t="s">
        <v>45</v>
      </c>
      <c r="H1701" s="411">
        <v>109.25</v>
      </c>
      <c r="I1701" s="89">
        <f t="shared" si="294"/>
        <v>-9.8324999999999996</v>
      </c>
      <c r="J1701" s="90">
        <f t="shared" si="292"/>
        <v>-2.3757499999999996</v>
      </c>
      <c r="K1701" s="90">
        <f t="shared" si="293"/>
        <v>97.041750000000008</v>
      </c>
      <c r="L1701" s="187">
        <v>1700</v>
      </c>
      <c r="M1701" s="187">
        <v>30.18</v>
      </c>
      <c r="N1701" s="91">
        <f t="shared" si="291"/>
        <v>115.18</v>
      </c>
      <c r="O1701" s="411">
        <f t="shared" si="289"/>
        <v>-18.138249999999999</v>
      </c>
      <c r="P1701" s="132" t="s">
        <v>235</v>
      </c>
      <c r="Q1701" s="232"/>
      <c r="R1701" s="411"/>
      <c r="T1701" s="134" t="s">
        <v>145</v>
      </c>
      <c r="U1701" s="267" t="s">
        <v>4047</v>
      </c>
      <c r="AA1701" s="218"/>
    </row>
    <row r="1702" spans="1:27" x14ac:dyDescent="0.25">
      <c r="A1702" s="405">
        <v>3001285</v>
      </c>
      <c r="B1702" s="406">
        <v>42450</v>
      </c>
      <c r="C1702" s="405" t="s">
        <v>42</v>
      </c>
      <c r="D1702" s="401" t="s">
        <v>1503</v>
      </c>
      <c r="E1702" s="120">
        <v>250</v>
      </c>
      <c r="F1702" s="133" t="s">
        <v>1083</v>
      </c>
      <c r="G1702" s="404" t="s">
        <v>45</v>
      </c>
      <c r="H1702" s="411">
        <v>593.75</v>
      </c>
      <c r="I1702" s="89">
        <f t="shared" si="294"/>
        <v>-53.4375</v>
      </c>
      <c r="J1702" s="90">
        <f t="shared" si="292"/>
        <v>-11.581250000000001</v>
      </c>
      <c r="K1702" s="90">
        <f t="shared" si="293"/>
        <v>528.73125000000005</v>
      </c>
      <c r="L1702" s="187">
        <v>1180</v>
      </c>
      <c r="N1702" s="91">
        <f t="shared" si="291"/>
        <v>295</v>
      </c>
      <c r="O1702" s="411">
        <f t="shared" si="289"/>
        <v>233.73125000000005</v>
      </c>
      <c r="P1702" s="132" t="s">
        <v>46</v>
      </c>
      <c r="Q1702" s="232"/>
      <c r="R1702" s="411"/>
      <c r="T1702" s="134" t="s">
        <v>463</v>
      </c>
      <c r="U1702" s="267" t="s">
        <v>4048</v>
      </c>
      <c r="AA1702" s="218"/>
    </row>
    <row r="1703" spans="1:27" ht="24" x14ac:dyDescent="0.25">
      <c r="A1703" s="405">
        <v>3001286</v>
      </c>
      <c r="B1703" s="406">
        <v>42450</v>
      </c>
      <c r="C1703" s="405" t="s">
        <v>42</v>
      </c>
      <c r="D1703" s="401" t="s">
        <v>2876</v>
      </c>
      <c r="E1703" s="120">
        <v>250</v>
      </c>
      <c r="F1703" s="133" t="s">
        <v>1798</v>
      </c>
      <c r="G1703" s="404" t="s">
        <v>45</v>
      </c>
      <c r="H1703" s="411">
        <v>99.6</v>
      </c>
      <c r="I1703" s="89">
        <f t="shared" si="294"/>
        <v>-8.9639999999999986</v>
      </c>
      <c r="J1703" s="90">
        <f t="shared" si="292"/>
        <v>-2.1923999999999997</v>
      </c>
      <c r="K1703" s="90">
        <f t="shared" si="293"/>
        <v>88.443599999999989</v>
      </c>
      <c r="L1703" s="131">
        <v>197</v>
      </c>
      <c r="M1703" s="187">
        <v>12.43</v>
      </c>
      <c r="N1703" s="91">
        <f t="shared" si="291"/>
        <v>61.68</v>
      </c>
      <c r="O1703" s="411">
        <f t="shared" si="289"/>
        <v>26.76359999999999</v>
      </c>
      <c r="P1703" s="132" t="s">
        <v>86</v>
      </c>
      <c r="Q1703" s="232"/>
      <c r="R1703" s="411"/>
      <c r="T1703" s="134" t="s">
        <v>145</v>
      </c>
      <c r="U1703" s="267" t="s">
        <v>4049</v>
      </c>
      <c r="AA1703" s="218"/>
    </row>
    <row r="1704" spans="1:27" ht="24" x14ac:dyDescent="0.25">
      <c r="A1704" s="405">
        <v>3001287</v>
      </c>
      <c r="B1704" s="406">
        <v>42450</v>
      </c>
      <c r="C1704" s="405" t="s">
        <v>42</v>
      </c>
      <c r="D1704" s="401" t="s">
        <v>4050</v>
      </c>
      <c r="E1704" s="120">
        <v>200</v>
      </c>
      <c r="F1704" s="133" t="s">
        <v>605</v>
      </c>
      <c r="G1704" s="404" t="s">
        <v>45</v>
      </c>
      <c r="H1704" s="411">
        <v>302.07</v>
      </c>
      <c r="I1704" s="89">
        <f t="shared" si="294"/>
        <v>-27.186299999999999</v>
      </c>
      <c r="J1704" s="90">
        <f t="shared" si="292"/>
        <v>-6.0393299999999996</v>
      </c>
      <c r="K1704" s="90">
        <f t="shared" si="293"/>
        <v>268.84436999999997</v>
      </c>
      <c r="L1704" s="131">
        <v>600</v>
      </c>
      <c r="M1704" s="187">
        <v>41.88</v>
      </c>
      <c r="N1704" s="91">
        <f t="shared" si="291"/>
        <v>161.88</v>
      </c>
      <c r="O1704" s="411">
        <f t="shared" si="289"/>
        <v>106.96436999999997</v>
      </c>
      <c r="P1704" s="132" t="s">
        <v>52</v>
      </c>
      <c r="Q1704" s="232"/>
      <c r="R1704" s="411"/>
      <c r="T1704" s="134" t="s">
        <v>145</v>
      </c>
      <c r="U1704" s="267" t="s">
        <v>4051</v>
      </c>
      <c r="AA1704" s="218"/>
    </row>
    <row r="1705" spans="1:27" ht="24" x14ac:dyDescent="0.25">
      <c r="A1705" s="405">
        <v>3001288</v>
      </c>
      <c r="B1705" s="406">
        <v>42450</v>
      </c>
      <c r="C1705" s="405" t="s">
        <v>42</v>
      </c>
      <c r="D1705" s="401" t="s">
        <v>4052</v>
      </c>
      <c r="E1705" s="120">
        <v>200</v>
      </c>
      <c r="F1705" s="133" t="s">
        <v>4053</v>
      </c>
      <c r="G1705" s="404" t="s">
        <v>45</v>
      </c>
      <c r="H1705" s="411">
        <v>855</v>
      </c>
      <c r="I1705" s="89">
        <f t="shared" si="294"/>
        <v>-76.95</v>
      </c>
      <c r="J1705" s="90">
        <f t="shared" si="292"/>
        <v>-16.545000000000002</v>
      </c>
      <c r="K1705" s="90">
        <f t="shared" si="293"/>
        <v>761.505</v>
      </c>
      <c r="L1705" s="131">
        <v>2200</v>
      </c>
      <c r="M1705" s="187">
        <v>115.14</v>
      </c>
      <c r="N1705" s="91">
        <f t="shared" si="291"/>
        <v>555.14</v>
      </c>
      <c r="O1705" s="411">
        <f t="shared" si="289"/>
        <v>206.36500000000001</v>
      </c>
      <c r="P1705" s="132" t="s">
        <v>52</v>
      </c>
      <c r="Q1705" s="232"/>
      <c r="R1705" s="411"/>
      <c r="T1705" s="134" t="s">
        <v>145</v>
      </c>
      <c r="U1705" s="267" t="s">
        <v>4054</v>
      </c>
      <c r="V1705" s="133" t="s">
        <v>4055</v>
      </c>
      <c r="AA1705" s="218"/>
    </row>
    <row r="1706" spans="1:27" ht="24" x14ac:dyDescent="0.25">
      <c r="A1706" s="405">
        <v>3001289</v>
      </c>
      <c r="B1706" s="406">
        <v>42450</v>
      </c>
      <c r="C1706" s="405" t="s">
        <v>42</v>
      </c>
      <c r="D1706" s="401" t="s">
        <v>4056</v>
      </c>
      <c r="E1706" s="120">
        <v>300</v>
      </c>
      <c r="F1706" s="133" t="s">
        <v>877</v>
      </c>
      <c r="G1706" s="404" t="s">
        <v>45</v>
      </c>
      <c r="H1706" s="411">
        <v>194.62</v>
      </c>
      <c r="I1706" s="89">
        <f t="shared" si="294"/>
        <v>-17.515799999999999</v>
      </c>
      <c r="J1706" s="90">
        <f t="shared" si="292"/>
        <v>-3.9977799999999997</v>
      </c>
      <c r="K1706" s="90">
        <f t="shared" si="293"/>
        <v>173.10641999999999</v>
      </c>
      <c r="L1706" s="131">
        <v>235</v>
      </c>
      <c r="M1706" s="187">
        <v>27.87</v>
      </c>
      <c r="N1706" s="91">
        <f t="shared" si="291"/>
        <v>98.37</v>
      </c>
      <c r="O1706" s="411">
        <f t="shared" si="289"/>
        <v>74.736419999999981</v>
      </c>
      <c r="P1706" s="132" t="s">
        <v>52</v>
      </c>
      <c r="Q1706" s="232"/>
      <c r="R1706" s="411"/>
      <c r="T1706" s="134" t="s">
        <v>145</v>
      </c>
      <c r="U1706" s="267" t="s">
        <v>4057</v>
      </c>
      <c r="AA1706" s="218"/>
    </row>
    <row r="1707" spans="1:27" ht="24" x14ac:dyDescent="0.25">
      <c r="A1707" s="405">
        <v>3001290</v>
      </c>
      <c r="B1707" s="406">
        <v>42450</v>
      </c>
      <c r="C1707" s="405" t="s">
        <v>42</v>
      </c>
      <c r="D1707" s="401" t="s">
        <v>4058</v>
      </c>
      <c r="E1707" s="120">
        <v>150</v>
      </c>
      <c r="F1707" s="133" t="s">
        <v>247</v>
      </c>
      <c r="G1707" s="404" t="s">
        <v>45</v>
      </c>
      <c r="H1707" s="411">
        <v>182.08</v>
      </c>
      <c r="I1707" s="89">
        <f t="shared" si="294"/>
        <v>-16.3872</v>
      </c>
      <c r="J1707" s="90">
        <f t="shared" si="292"/>
        <v>-3.7595200000000002</v>
      </c>
      <c r="K1707" s="90">
        <f t="shared" si="293"/>
        <v>161.93328</v>
      </c>
      <c r="L1707" s="131">
        <v>480</v>
      </c>
      <c r="M1707" s="187">
        <v>30.32</v>
      </c>
      <c r="N1707" s="91">
        <f t="shared" si="291"/>
        <v>102.32</v>
      </c>
      <c r="O1707" s="411">
        <f t="shared" si="289"/>
        <v>59.613280000000003</v>
      </c>
      <c r="P1707" s="132" t="s">
        <v>52</v>
      </c>
      <c r="Q1707" s="232"/>
      <c r="R1707" s="411"/>
      <c r="T1707" s="134" t="s">
        <v>145</v>
      </c>
      <c r="U1707" s="267" t="s">
        <v>4059</v>
      </c>
      <c r="AA1707" s="218"/>
    </row>
    <row r="1708" spans="1:27" ht="24" x14ac:dyDescent="0.25">
      <c r="A1708" s="405">
        <v>3001291</v>
      </c>
      <c r="B1708" s="406">
        <v>42450</v>
      </c>
      <c r="C1708" s="405" t="s">
        <v>42</v>
      </c>
      <c r="D1708" s="401" t="s">
        <v>4060</v>
      </c>
      <c r="E1708" s="120">
        <v>250</v>
      </c>
      <c r="F1708" s="133" t="s">
        <v>972</v>
      </c>
      <c r="G1708" s="404" t="s">
        <v>45</v>
      </c>
      <c r="H1708" s="411">
        <v>120</v>
      </c>
      <c r="I1708" s="89">
        <f t="shared" si="294"/>
        <v>-10.799999999999999</v>
      </c>
      <c r="J1708" s="90">
        <f t="shared" si="292"/>
        <v>-2.5799999999999996</v>
      </c>
      <c r="K1708" s="90">
        <f t="shared" si="293"/>
        <v>106.62</v>
      </c>
      <c r="M1708" s="187">
        <v>28.33</v>
      </c>
      <c r="N1708" s="91">
        <f t="shared" si="291"/>
        <v>28.33</v>
      </c>
      <c r="O1708" s="411">
        <f t="shared" si="289"/>
        <v>78.290000000000006</v>
      </c>
      <c r="P1708" s="132" t="s">
        <v>52</v>
      </c>
      <c r="Q1708" s="232"/>
      <c r="R1708" s="411"/>
      <c r="T1708" s="134" t="s">
        <v>145</v>
      </c>
      <c r="U1708" s="267" t="s">
        <v>4061</v>
      </c>
      <c r="AA1708" s="218"/>
    </row>
    <row r="1709" spans="1:27" ht="24" customHeight="1" x14ac:dyDescent="0.25">
      <c r="A1709" s="419">
        <v>3001292</v>
      </c>
      <c r="B1709" s="421">
        <v>42450</v>
      </c>
      <c r="C1709" s="419" t="s">
        <v>141</v>
      </c>
      <c r="D1709" s="417" t="s">
        <v>4062</v>
      </c>
      <c r="E1709" s="120">
        <v>75</v>
      </c>
      <c r="F1709" s="133" t="s">
        <v>4063</v>
      </c>
      <c r="G1709" s="434" t="s">
        <v>45</v>
      </c>
      <c r="H1709" s="427">
        <v>243</v>
      </c>
      <c r="I1709" s="427">
        <v>0</v>
      </c>
      <c r="J1709" s="425">
        <f>-((H1709*0.0325)+0.3)</f>
        <v>-8.1974999999999998</v>
      </c>
      <c r="K1709" s="425">
        <f t="shared" si="293"/>
        <v>234.80250000000001</v>
      </c>
      <c r="L1709" s="131">
        <v>1237</v>
      </c>
      <c r="M1709" s="187">
        <v>42.54</v>
      </c>
      <c r="N1709" s="91">
        <f t="shared" si="291"/>
        <v>135.315</v>
      </c>
      <c r="O1709" s="411">
        <f t="shared" si="289"/>
        <v>99.487500000000011</v>
      </c>
      <c r="P1709" s="132" t="s">
        <v>52</v>
      </c>
      <c r="Q1709" s="232"/>
      <c r="R1709" s="411"/>
      <c r="T1709" s="470" t="s">
        <v>145</v>
      </c>
      <c r="U1709" s="446" t="s">
        <v>4064</v>
      </c>
      <c r="W1709" s="153" t="s">
        <v>4065</v>
      </c>
      <c r="AA1709" s="218"/>
    </row>
    <row r="1710" spans="1:27" x14ac:dyDescent="0.25">
      <c r="A1710" s="420"/>
      <c r="B1710" s="422"/>
      <c r="C1710" s="420"/>
      <c r="D1710" s="418"/>
      <c r="E1710" s="120">
        <v>10</v>
      </c>
      <c r="F1710" s="133" t="s">
        <v>4066</v>
      </c>
      <c r="G1710" s="436"/>
      <c r="H1710" s="428"/>
      <c r="I1710" s="428"/>
      <c r="J1710" s="426"/>
      <c r="K1710" s="426"/>
      <c r="L1710" s="131">
        <v>700</v>
      </c>
      <c r="N1710" s="91">
        <f t="shared" si="291"/>
        <v>7</v>
      </c>
      <c r="O1710" s="411">
        <f t="shared" si="289"/>
        <v>-7</v>
      </c>
      <c r="P1710" s="132" t="s">
        <v>52</v>
      </c>
      <c r="Q1710" s="232"/>
      <c r="R1710" s="411"/>
      <c r="T1710" s="472"/>
      <c r="U1710" s="447"/>
      <c r="AA1710" s="218"/>
    </row>
    <row r="1711" spans="1:27" x14ac:dyDescent="0.25">
      <c r="A1711" s="419">
        <v>3001293</v>
      </c>
      <c r="B1711" s="421">
        <v>42450</v>
      </c>
      <c r="C1711" s="419" t="s">
        <v>327</v>
      </c>
      <c r="D1711" s="417" t="s">
        <v>4067</v>
      </c>
      <c r="E1711" s="120">
        <v>500</v>
      </c>
      <c r="F1711" s="133" t="s">
        <v>307</v>
      </c>
      <c r="G1711" s="434" t="s">
        <v>45</v>
      </c>
      <c r="H1711" s="427">
        <v>4300</v>
      </c>
      <c r="I1711" s="427">
        <v>0</v>
      </c>
      <c r="J1711" s="425">
        <f>-((H1711*0.022)+0.3)</f>
        <v>-94.899999999999991</v>
      </c>
      <c r="K1711" s="425">
        <f t="shared" si="293"/>
        <v>4205.1000000000004</v>
      </c>
      <c r="L1711" s="131">
        <v>690</v>
      </c>
      <c r="M1711" s="468">
        <v>280</v>
      </c>
      <c r="N1711" s="91">
        <f t="shared" si="291"/>
        <v>625</v>
      </c>
      <c r="O1711" s="411">
        <f t="shared" si="289"/>
        <v>3580.1000000000004</v>
      </c>
      <c r="P1711" s="132" t="s">
        <v>52</v>
      </c>
      <c r="Q1711" s="232"/>
      <c r="R1711" s="411"/>
      <c r="T1711" s="439" t="s">
        <v>97</v>
      </c>
      <c r="U1711" s="446" t="s">
        <v>4068</v>
      </c>
      <c r="W1711" s="153" t="s">
        <v>4069</v>
      </c>
      <c r="AA1711" s="218"/>
    </row>
    <row r="1712" spans="1:27" x14ac:dyDescent="0.25">
      <c r="A1712" s="432"/>
      <c r="B1712" s="433"/>
      <c r="C1712" s="432"/>
      <c r="D1712" s="454"/>
      <c r="E1712" s="120">
        <v>300</v>
      </c>
      <c r="F1712" s="133" t="s">
        <v>288</v>
      </c>
      <c r="G1712" s="435"/>
      <c r="H1712" s="438"/>
      <c r="I1712" s="438"/>
      <c r="J1712" s="437"/>
      <c r="K1712" s="437"/>
      <c r="L1712" s="131">
        <v>950</v>
      </c>
      <c r="M1712" s="491"/>
      <c r="N1712" s="91">
        <f t="shared" si="291"/>
        <v>285</v>
      </c>
      <c r="O1712" s="411">
        <f t="shared" si="289"/>
        <v>-285</v>
      </c>
      <c r="P1712" s="132" t="s">
        <v>52</v>
      </c>
      <c r="Q1712" s="232"/>
      <c r="R1712" s="411"/>
      <c r="T1712" s="440"/>
      <c r="U1712" s="448"/>
      <c r="AA1712" s="218"/>
    </row>
    <row r="1713" spans="1:27" x14ac:dyDescent="0.25">
      <c r="A1713" s="432"/>
      <c r="B1713" s="433"/>
      <c r="C1713" s="432"/>
      <c r="D1713" s="454"/>
      <c r="E1713" s="120">
        <v>400</v>
      </c>
      <c r="F1713" s="133" t="s">
        <v>860</v>
      </c>
      <c r="G1713" s="435"/>
      <c r="H1713" s="438"/>
      <c r="I1713" s="438"/>
      <c r="J1713" s="437"/>
      <c r="K1713" s="437"/>
      <c r="L1713" s="131">
        <v>3700</v>
      </c>
      <c r="M1713" s="491"/>
      <c r="N1713" s="91">
        <f t="shared" si="291"/>
        <v>1480</v>
      </c>
      <c r="O1713" s="411">
        <f t="shared" si="289"/>
        <v>-1480</v>
      </c>
      <c r="P1713" s="132" t="s">
        <v>52</v>
      </c>
      <c r="Q1713" s="232"/>
      <c r="R1713" s="411"/>
      <c r="T1713" s="440"/>
      <c r="U1713" s="448"/>
      <c r="AA1713" s="218"/>
    </row>
    <row r="1714" spans="1:27" x14ac:dyDescent="0.25">
      <c r="A1714" s="420"/>
      <c r="B1714" s="422"/>
      <c r="C1714" s="420"/>
      <c r="D1714" s="418"/>
      <c r="E1714" s="120">
        <v>400</v>
      </c>
      <c r="F1714" s="133" t="s">
        <v>300</v>
      </c>
      <c r="G1714" s="436"/>
      <c r="H1714" s="428"/>
      <c r="I1714" s="428"/>
      <c r="J1714" s="426"/>
      <c r="K1714" s="426"/>
      <c r="L1714" s="131">
        <v>2100</v>
      </c>
      <c r="M1714" s="469"/>
      <c r="N1714" s="91">
        <f t="shared" si="291"/>
        <v>840</v>
      </c>
      <c r="O1714" s="411">
        <f t="shared" si="289"/>
        <v>-840</v>
      </c>
      <c r="P1714" s="132" t="s">
        <v>52</v>
      </c>
      <c r="Q1714" s="232"/>
      <c r="R1714" s="411"/>
      <c r="T1714" s="441"/>
      <c r="U1714" s="447"/>
      <c r="V1714" s="133" t="s">
        <v>55</v>
      </c>
      <c r="AA1714" s="218"/>
    </row>
    <row r="1715" spans="1:27" ht="24" x14ac:dyDescent="0.25">
      <c r="A1715" s="405">
        <v>3001294</v>
      </c>
      <c r="B1715" s="406">
        <v>42450</v>
      </c>
      <c r="C1715" s="405" t="s">
        <v>237</v>
      </c>
      <c r="D1715" s="401" t="s">
        <v>4070</v>
      </c>
      <c r="E1715" s="120">
        <v>100</v>
      </c>
      <c r="F1715" s="133" t="s">
        <v>3299</v>
      </c>
      <c r="G1715" s="404" t="s">
        <v>45</v>
      </c>
      <c r="H1715" s="411">
        <v>143.55000000000001</v>
      </c>
      <c r="I1715" s="397">
        <f t="shared" ref="I1715:I1725" si="295">-(H1715*0.15)</f>
        <v>-21.532500000000002</v>
      </c>
      <c r="J1715" s="411">
        <v>0</v>
      </c>
      <c r="K1715" s="90">
        <f t="shared" ref="K1715:K1755" si="296">SUM(H1715:J1715)</f>
        <v>122.01750000000001</v>
      </c>
      <c r="L1715" s="187">
        <v>750</v>
      </c>
      <c r="M1715" s="187">
        <v>12.73</v>
      </c>
      <c r="N1715" s="91">
        <f t="shared" si="291"/>
        <v>87.73</v>
      </c>
      <c r="O1715" s="411">
        <f t="shared" si="289"/>
        <v>34.287500000000009</v>
      </c>
      <c r="P1715" s="132" t="s">
        <v>926</v>
      </c>
      <c r="Q1715" s="232"/>
      <c r="R1715" s="411"/>
      <c r="T1715" s="134" t="s">
        <v>145</v>
      </c>
      <c r="U1715" s="267" t="s">
        <v>4071</v>
      </c>
      <c r="AA1715" s="218"/>
    </row>
    <row r="1716" spans="1:27" ht="24" x14ac:dyDescent="0.25">
      <c r="A1716" s="405">
        <v>3001295</v>
      </c>
      <c r="B1716" s="406">
        <v>42450</v>
      </c>
      <c r="C1716" s="405" t="s">
        <v>237</v>
      </c>
      <c r="D1716" s="401" t="s">
        <v>4072</v>
      </c>
      <c r="E1716" s="120">
        <v>50</v>
      </c>
      <c r="F1716" s="133" t="s">
        <v>161</v>
      </c>
      <c r="G1716" s="404" t="s">
        <v>45</v>
      </c>
      <c r="H1716" s="411">
        <v>111.57</v>
      </c>
      <c r="I1716" s="397">
        <f t="shared" si="295"/>
        <v>-16.735499999999998</v>
      </c>
      <c r="J1716" s="411">
        <v>0</v>
      </c>
      <c r="K1716" s="90">
        <f t="shared" si="296"/>
        <v>94.834499999999991</v>
      </c>
      <c r="L1716" s="131">
        <v>1322</v>
      </c>
      <c r="M1716" s="187">
        <v>44.67</v>
      </c>
      <c r="N1716" s="91">
        <f t="shared" si="291"/>
        <v>110.77000000000001</v>
      </c>
      <c r="O1716" s="411">
        <f t="shared" si="289"/>
        <v>-15.935500000000019</v>
      </c>
      <c r="P1716" s="132" t="s">
        <v>52</v>
      </c>
      <c r="Q1716" s="232"/>
      <c r="R1716" s="411"/>
      <c r="T1716" s="134" t="s">
        <v>145</v>
      </c>
      <c r="U1716" s="267" t="s">
        <v>4073</v>
      </c>
      <c r="AA1716" s="218"/>
    </row>
    <row r="1717" spans="1:27" ht="24" x14ac:dyDescent="0.25">
      <c r="A1717" s="405">
        <v>3001296</v>
      </c>
      <c r="B1717" s="406">
        <v>42450</v>
      </c>
      <c r="C1717" s="405" t="s">
        <v>237</v>
      </c>
      <c r="D1717" s="401" t="s">
        <v>4074</v>
      </c>
      <c r="E1717" s="120">
        <v>100</v>
      </c>
      <c r="F1717" s="133" t="s">
        <v>431</v>
      </c>
      <c r="G1717" s="404" t="s">
        <v>45</v>
      </c>
      <c r="H1717" s="411">
        <v>231.87</v>
      </c>
      <c r="I1717" s="397">
        <f t="shared" si="295"/>
        <v>-34.780499999999996</v>
      </c>
      <c r="J1717" s="411">
        <v>0</v>
      </c>
      <c r="K1717" s="90">
        <f t="shared" si="296"/>
        <v>197.08950000000002</v>
      </c>
      <c r="L1717" s="131">
        <v>990</v>
      </c>
      <c r="M1717" s="187">
        <v>35.982999999999997</v>
      </c>
      <c r="N1717" s="91">
        <f t="shared" si="291"/>
        <v>134.983</v>
      </c>
      <c r="O1717" s="411">
        <f t="shared" si="289"/>
        <v>62.106500000000011</v>
      </c>
      <c r="P1717" s="132" t="s">
        <v>52</v>
      </c>
      <c r="Q1717" s="232"/>
      <c r="R1717" s="411"/>
      <c r="T1717" s="134" t="s">
        <v>145</v>
      </c>
      <c r="U1717" s="267" t="s">
        <v>4075</v>
      </c>
      <c r="AA1717" s="218"/>
    </row>
    <row r="1718" spans="1:27" ht="24" x14ac:dyDescent="0.25">
      <c r="A1718" s="405">
        <v>3001297</v>
      </c>
      <c r="B1718" s="406">
        <v>42450</v>
      </c>
      <c r="C1718" s="405" t="s">
        <v>237</v>
      </c>
      <c r="D1718" s="401" t="s">
        <v>4076</v>
      </c>
      <c r="E1718" s="120">
        <v>100</v>
      </c>
      <c r="F1718" s="133" t="s">
        <v>173</v>
      </c>
      <c r="G1718" s="404" t="s">
        <v>45</v>
      </c>
      <c r="H1718" s="411">
        <v>112</v>
      </c>
      <c r="I1718" s="397">
        <f t="shared" si="295"/>
        <v>-16.8</v>
      </c>
      <c r="J1718" s="411">
        <v>0</v>
      </c>
      <c r="K1718" s="90">
        <f t="shared" si="296"/>
        <v>95.2</v>
      </c>
      <c r="L1718" s="131">
        <v>407</v>
      </c>
      <c r="M1718" s="187">
        <v>15.15</v>
      </c>
      <c r="N1718" s="91">
        <f t="shared" si="291"/>
        <v>55.85</v>
      </c>
      <c r="O1718" s="411">
        <f t="shared" si="289"/>
        <v>39.35</v>
      </c>
      <c r="P1718" s="132" t="s">
        <v>52</v>
      </c>
      <c r="Q1718" s="232"/>
      <c r="R1718" s="411"/>
      <c r="T1718" s="134" t="s">
        <v>145</v>
      </c>
      <c r="U1718" s="267" t="s">
        <v>4077</v>
      </c>
      <c r="AA1718" s="218"/>
    </row>
    <row r="1719" spans="1:27" ht="24" x14ac:dyDescent="0.25">
      <c r="A1719" s="405">
        <v>3001298</v>
      </c>
      <c r="B1719" s="406">
        <v>42450</v>
      </c>
      <c r="C1719" s="405" t="s">
        <v>237</v>
      </c>
      <c r="D1719" s="401" t="s">
        <v>4078</v>
      </c>
      <c r="E1719" s="120">
        <v>50</v>
      </c>
      <c r="F1719" s="133" t="s">
        <v>431</v>
      </c>
      <c r="G1719" s="404" t="s">
        <v>45</v>
      </c>
      <c r="H1719" s="411">
        <v>123.26</v>
      </c>
      <c r="I1719" s="397">
        <f t="shared" si="295"/>
        <v>-18.489000000000001</v>
      </c>
      <c r="J1719" s="411">
        <v>0</v>
      </c>
      <c r="K1719" s="90">
        <f t="shared" si="296"/>
        <v>104.771</v>
      </c>
      <c r="L1719" s="131">
        <v>990</v>
      </c>
      <c r="M1719" s="187">
        <v>19.2</v>
      </c>
      <c r="N1719" s="91">
        <f t="shared" si="291"/>
        <v>68.7</v>
      </c>
      <c r="O1719" s="411">
        <f t="shared" si="289"/>
        <v>36.070999999999998</v>
      </c>
      <c r="P1719" s="132" t="s">
        <v>52</v>
      </c>
      <c r="Q1719" s="232"/>
      <c r="R1719" s="411"/>
      <c r="T1719" s="134" t="s">
        <v>145</v>
      </c>
      <c r="U1719" s="267" t="s">
        <v>4079</v>
      </c>
      <c r="AA1719" s="218"/>
    </row>
    <row r="1720" spans="1:27" ht="24" x14ac:dyDescent="0.25">
      <c r="A1720" s="405">
        <v>3001299</v>
      </c>
      <c r="B1720" s="406">
        <v>42450</v>
      </c>
      <c r="C1720" s="405" t="s">
        <v>237</v>
      </c>
      <c r="D1720" s="401" t="s">
        <v>4080</v>
      </c>
      <c r="E1720" s="120">
        <v>50</v>
      </c>
      <c r="F1720" s="133" t="s">
        <v>161</v>
      </c>
      <c r="G1720" s="404" t="s">
        <v>45</v>
      </c>
      <c r="H1720" s="411">
        <v>111.57</v>
      </c>
      <c r="I1720" s="397">
        <f t="shared" si="295"/>
        <v>-16.735499999999998</v>
      </c>
      <c r="J1720" s="411">
        <v>0</v>
      </c>
      <c r="K1720" s="90">
        <f t="shared" si="296"/>
        <v>94.834499999999991</v>
      </c>
      <c r="L1720" s="131">
        <v>1322</v>
      </c>
      <c r="M1720" s="187">
        <v>43.74</v>
      </c>
      <c r="N1720" s="91">
        <f t="shared" si="291"/>
        <v>109.84</v>
      </c>
      <c r="O1720" s="411">
        <f t="shared" si="289"/>
        <v>-15.005500000000012</v>
      </c>
      <c r="P1720" s="132" t="s">
        <v>52</v>
      </c>
      <c r="Q1720" s="232"/>
      <c r="R1720" s="411"/>
      <c r="T1720" s="134" t="s">
        <v>145</v>
      </c>
      <c r="U1720" s="267" t="s">
        <v>4081</v>
      </c>
      <c r="AA1720" s="218"/>
    </row>
    <row r="1721" spans="1:27" ht="24" x14ac:dyDescent="0.25">
      <c r="A1721" s="405">
        <v>3001300</v>
      </c>
      <c r="B1721" s="406">
        <v>42450</v>
      </c>
      <c r="C1721" s="405" t="s">
        <v>237</v>
      </c>
      <c r="D1721" s="401" t="s">
        <v>4082</v>
      </c>
      <c r="E1721" s="120">
        <v>200</v>
      </c>
      <c r="F1721" s="133" t="s">
        <v>4083</v>
      </c>
      <c r="G1721" s="404" t="s">
        <v>45</v>
      </c>
      <c r="H1721" s="411">
        <v>287.10000000000002</v>
      </c>
      <c r="I1721" s="397">
        <f t="shared" si="295"/>
        <v>-43.065000000000005</v>
      </c>
      <c r="J1721" s="411">
        <v>0</v>
      </c>
      <c r="K1721" s="90">
        <f t="shared" si="296"/>
        <v>244.03500000000003</v>
      </c>
      <c r="L1721" s="187">
        <v>750</v>
      </c>
      <c r="M1721" s="187">
        <v>34.53</v>
      </c>
      <c r="N1721" s="91">
        <f t="shared" si="291"/>
        <v>184.53</v>
      </c>
      <c r="O1721" s="411">
        <f t="shared" si="289"/>
        <v>59.505000000000024</v>
      </c>
      <c r="P1721" s="132" t="s">
        <v>926</v>
      </c>
      <c r="Q1721" s="232"/>
      <c r="R1721" s="411"/>
      <c r="T1721" s="134" t="s">
        <v>145</v>
      </c>
      <c r="U1721" s="267" t="s">
        <v>4084</v>
      </c>
      <c r="AA1721" s="218"/>
    </row>
    <row r="1722" spans="1:27" ht="24" x14ac:dyDescent="0.25">
      <c r="A1722" s="405">
        <v>3001301</v>
      </c>
      <c r="B1722" s="406">
        <v>42450</v>
      </c>
      <c r="C1722" s="405" t="s">
        <v>237</v>
      </c>
      <c r="D1722" s="401" t="s">
        <v>4085</v>
      </c>
      <c r="E1722" s="120">
        <v>250</v>
      </c>
      <c r="F1722" s="133" t="s">
        <v>2238</v>
      </c>
      <c r="G1722" s="404" t="s">
        <v>45</v>
      </c>
      <c r="H1722" s="411">
        <v>107.79</v>
      </c>
      <c r="I1722" s="397">
        <f t="shared" si="295"/>
        <v>-16.168500000000002</v>
      </c>
      <c r="J1722" s="411">
        <v>0</v>
      </c>
      <c r="K1722" s="90">
        <f t="shared" si="296"/>
        <v>91.621499999999997</v>
      </c>
      <c r="L1722" s="131">
        <v>200</v>
      </c>
      <c r="M1722" s="187">
        <v>14.98</v>
      </c>
      <c r="N1722" s="91">
        <f t="shared" si="291"/>
        <v>64.98</v>
      </c>
      <c r="O1722" s="411">
        <f t="shared" si="289"/>
        <v>26.641499999999994</v>
      </c>
      <c r="P1722" s="132" t="s">
        <v>52</v>
      </c>
      <c r="Q1722" s="232"/>
      <c r="R1722" s="411"/>
      <c r="T1722" s="134" t="s">
        <v>145</v>
      </c>
      <c r="U1722" s="267" t="s">
        <v>4086</v>
      </c>
      <c r="AA1722" s="218"/>
    </row>
    <row r="1723" spans="1:27" ht="24" x14ac:dyDescent="0.25">
      <c r="A1723" s="405">
        <v>3001302</v>
      </c>
      <c r="B1723" s="406">
        <v>42450</v>
      </c>
      <c r="C1723" s="405" t="s">
        <v>237</v>
      </c>
      <c r="D1723" s="401" t="s">
        <v>4087</v>
      </c>
      <c r="E1723" s="120">
        <v>100</v>
      </c>
      <c r="F1723" s="194" t="s">
        <v>4088</v>
      </c>
      <c r="G1723" s="404" t="s">
        <v>45</v>
      </c>
      <c r="H1723" s="411">
        <v>82.46</v>
      </c>
      <c r="I1723" s="397">
        <f t="shared" si="295"/>
        <v>-12.368999999999998</v>
      </c>
      <c r="J1723" s="411">
        <v>0</v>
      </c>
      <c r="K1723" s="90">
        <f t="shared" si="296"/>
        <v>70.090999999999994</v>
      </c>
      <c r="L1723" s="187">
        <v>484.79</v>
      </c>
      <c r="M1723" s="187">
        <v>23.52</v>
      </c>
      <c r="N1723" s="91">
        <f t="shared" si="291"/>
        <v>71.999000000000009</v>
      </c>
      <c r="O1723" s="411">
        <f t="shared" si="289"/>
        <v>-1.9080000000000155</v>
      </c>
      <c r="P1723" s="132" t="s">
        <v>4089</v>
      </c>
      <c r="Q1723" s="232"/>
      <c r="R1723" s="411"/>
      <c r="T1723" s="134" t="s">
        <v>145</v>
      </c>
      <c r="U1723" s="267" t="s">
        <v>4090</v>
      </c>
      <c r="AA1723" s="218"/>
    </row>
    <row r="1724" spans="1:27" ht="24" x14ac:dyDescent="0.25">
      <c r="A1724" s="405">
        <v>3001303</v>
      </c>
      <c r="B1724" s="406">
        <v>42450</v>
      </c>
      <c r="C1724" s="405" t="s">
        <v>237</v>
      </c>
      <c r="D1724" s="401" t="s">
        <v>4091</v>
      </c>
      <c r="E1724" s="120">
        <v>268</v>
      </c>
      <c r="F1724" s="133" t="s">
        <v>4092</v>
      </c>
      <c r="G1724" s="404" t="s">
        <v>45</v>
      </c>
      <c r="H1724" s="411">
        <v>198.4</v>
      </c>
      <c r="I1724" s="397">
        <f t="shared" si="295"/>
        <v>-29.759999999999998</v>
      </c>
      <c r="J1724" s="411">
        <v>0</v>
      </c>
      <c r="K1724" s="90">
        <f t="shared" si="296"/>
        <v>168.64000000000001</v>
      </c>
      <c r="L1724" s="187">
        <v>400</v>
      </c>
      <c r="M1724" s="187">
        <v>18.04</v>
      </c>
      <c r="N1724" s="91">
        <f t="shared" si="291"/>
        <v>125.24000000000001</v>
      </c>
      <c r="O1724" s="411">
        <f t="shared" si="289"/>
        <v>43.400000000000006</v>
      </c>
      <c r="P1724" s="132" t="s">
        <v>183</v>
      </c>
      <c r="Q1724" s="232"/>
      <c r="R1724" s="411"/>
      <c r="T1724" s="134" t="s">
        <v>204</v>
      </c>
      <c r="U1724" s="267" t="s">
        <v>4093</v>
      </c>
      <c r="AA1724" s="218"/>
    </row>
    <row r="1725" spans="1:27" ht="24" x14ac:dyDescent="0.25">
      <c r="A1725" s="405">
        <v>3001304</v>
      </c>
      <c r="B1725" s="406">
        <v>42450</v>
      </c>
      <c r="C1725" s="405" t="s">
        <v>237</v>
      </c>
      <c r="D1725" s="401" t="s">
        <v>4094</v>
      </c>
      <c r="E1725" s="120">
        <v>100</v>
      </c>
      <c r="F1725" s="133" t="s">
        <v>161</v>
      </c>
      <c r="G1725" s="404" t="s">
        <v>45</v>
      </c>
      <c r="H1725" s="411">
        <v>250</v>
      </c>
      <c r="I1725" s="397">
        <f t="shared" si="295"/>
        <v>-37.5</v>
      </c>
      <c r="J1725" s="411">
        <v>0</v>
      </c>
      <c r="K1725" s="90">
        <f t="shared" si="296"/>
        <v>212.5</v>
      </c>
      <c r="M1725" s="187">
        <v>37.06</v>
      </c>
      <c r="N1725" s="91">
        <f t="shared" si="291"/>
        <v>37.06</v>
      </c>
      <c r="O1725" s="411">
        <f t="shared" si="289"/>
        <v>175.44</v>
      </c>
      <c r="P1725" s="132" t="s">
        <v>52</v>
      </c>
      <c r="Q1725" s="232"/>
      <c r="R1725" s="411"/>
      <c r="T1725" s="134" t="s">
        <v>145</v>
      </c>
      <c r="U1725" s="267" t="s">
        <v>4095</v>
      </c>
      <c r="AA1725" s="218"/>
    </row>
    <row r="1726" spans="1:27" x14ac:dyDescent="0.25">
      <c r="A1726" s="405">
        <v>3001305</v>
      </c>
      <c r="B1726" s="406">
        <v>42451</v>
      </c>
      <c r="C1726" s="405" t="s">
        <v>327</v>
      </c>
      <c r="D1726" s="401" t="s">
        <v>1192</v>
      </c>
      <c r="E1726" s="120">
        <v>2000</v>
      </c>
      <c r="F1726" s="133" t="s">
        <v>4096</v>
      </c>
      <c r="G1726" s="404" t="s">
        <v>45</v>
      </c>
      <c r="H1726" s="411">
        <v>3140</v>
      </c>
      <c r="I1726" s="411">
        <v>0</v>
      </c>
      <c r="J1726" s="90">
        <f>-((H1726*0.022)+0.3)</f>
        <v>-69.38</v>
      </c>
      <c r="K1726" s="90">
        <f t="shared" si="296"/>
        <v>3070.62</v>
      </c>
      <c r="L1726" s="187">
        <v>1150</v>
      </c>
      <c r="M1726" s="187">
        <v>125.09</v>
      </c>
      <c r="N1726" s="91">
        <f t="shared" si="291"/>
        <v>2425.09</v>
      </c>
      <c r="O1726" s="411">
        <f t="shared" si="289"/>
        <v>645.52999999999975</v>
      </c>
      <c r="P1726" s="132" t="s">
        <v>643</v>
      </c>
      <c r="Q1726" s="232"/>
      <c r="R1726" s="411"/>
      <c r="T1726" s="134" t="s">
        <v>97</v>
      </c>
      <c r="U1726" s="267" t="s">
        <v>4097</v>
      </c>
      <c r="V1726" s="133" t="s">
        <v>55</v>
      </c>
      <c r="W1726" s="153" t="s">
        <v>1193</v>
      </c>
      <c r="AA1726" s="218"/>
    </row>
    <row r="1727" spans="1:27" x14ac:dyDescent="0.25">
      <c r="A1727" s="405">
        <v>3001306</v>
      </c>
      <c r="B1727" s="406">
        <v>42451</v>
      </c>
      <c r="C1727" s="405" t="s">
        <v>141</v>
      </c>
      <c r="D1727" s="401" t="s">
        <v>4098</v>
      </c>
      <c r="E1727" s="120">
        <v>1000</v>
      </c>
      <c r="F1727" s="133" t="s">
        <v>288</v>
      </c>
      <c r="G1727" s="404" t="s">
        <v>45</v>
      </c>
      <c r="H1727" s="411">
        <v>1600</v>
      </c>
      <c r="I1727" s="411">
        <v>0</v>
      </c>
      <c r="J1727" s="90">
        <f>-((H1727*0.0325)+0.3)</f>
        <v>-52.3</v>
      </c>
      <c r="K1727" s="90">
        <f t="shared" si="296"/>
        <v>1547.7</v>
      </c>
      <c r="L1727" s="131">
        <v>950</v>
      </c>
      <c r="M1727" s="187">
        <v>110</v>
      </c>
      <c r="N1727" s="91">
        <f t="shared" si="291"/>
        <v>1060</v>
      </c>
      <c r="O1727" s="411">
        <f t="shared" si="289"/>
        <v>487.70000000000005</v>
      </c>
      <c r="P1727" s="132" t="s">
        <v>52</v>
      </c>
      <c r="Q1727" s="232"/>
      <c r="R1727" s="411"/>
      <c r="T1727" s="134" t="s">
        <v>331</v>
      </c>
      <c r="U1727" s="267" t="s">
        <v>4099</v>
      </c>
      <c r="W1727" s="153" t="s">
        <v>4100</v>
      </c>
      <c r="AA1727" s="218"/>
    </row>
    <row r="1728" spans="1:27" ht="24" x14ac:dyDescent="0.25">
      <c r="A1728" s="405">
        <v>3001307</v>
      </c>
      <c r="B1728" s="406">
        <v>42451</v>
      </c>
      <c r="C1728" s="405" t="s">
        <v>56</v>
      </c>
      <c r="D1728" s="401" t="s">
        <v>4101</v>
      </c>
      <c r="E1728" s="120">
        <v>350</v>
      </c>
      <c r="F1728" s="133" t="s">
        <v>4102</v>
      </c>
      <c r="G1728" s="404" t="s">
        <v>45</v>
      </c>
      <c r="H1728" s="411">
        <v>353.5</v>
      </c>
      <c r="I1728" s="411">
        <v>0</v>
      </c>
      <c r="J1728" s="411">
        <v>0</v>
      </c>
      <c r="K1728" s="90">
        <f t="shared" si="296"/>
        <v>353.5</v>
      </c>
      <c r="L1728" s="187">
        <v>440</v>
      </c>
      <c r="M1728" s="187">
        <v>52.49</v>
      </c>
      <c r="N1728" s="91">
        <f t="shared" si="291"/>
        <v>206.49000000000004</v>
      </c>
      <c r="O1728" s="411">
        <f t="shared" si="289"/>
        <v>147.00999999999996</v>
      </c>
      <c r="P1728" s="132" t="s">
        <v>3597</v>
      </c>
      <c r="Q1728" s="232"/>
      <c r="R1728" s="411"/>
      <c r="T1728" s="134" t="s">
        <v>145</v>
      </c>
      <c r="U1728" s="267" t="s">
        <v>4103</v>
      </c>
      <c r="V1728" s="133" t="s">
        <v>4104</v>
      </c>
      <c r="AA1728" s="218"/>
    </row>
    <row r="1729" spans="1:27" x14ac:dyDescent="0.25">
      <c r="A1729" s="405">
        <v>3001308</v>
      </c>
      <c r="B1729" s="406">
        <v>42451</v>
      </c>
      <c r="C1729" s="405" t="s">
        <v>327</v>
      </c>
      <c r="D1729" s="401" t="s">
        <v>4105</v>
      </c>
      <c r="E1729" s="120">
        <v>535</v>
      </c>
      <c r="F1729" s="133" t="s">
        <v>4066</v>
      </c>
      <c r="G1729" s="404" t="s">
        <v>45</v>
      </c>
      <c r="H1729" s="411">
        <v>567</v>
      </c>
      <c r="I1729" s="411">
        <v>0</v>
      </c>
      <c r="J1729" s="90">
        <f>-((H1729*0.022)+0.3)</f>
        <v>-12.773999999999999</v>
      </c>
      <c r="K1729" s="90">
        <f t="shared" si="296"/>
        <v>554.226</v>
      </c>
      <c r="L1729" s="131">
        <v>700</v>
      </c>
      <c r="M1729" s="187">
        <v>91.23</v>
      </c>
      <c r="N1729" s="91">
        <f t="shared" si="291"/>
        <v>465.73</v>
      </c>
      <c r="O1729" s="411">
        <f t="shared" si="289"/>
        <v>88.495999999999981</v>
      </c>
      <c r="P1729" s="132" t="s">
        <v>52</v>
      </c>
      <c r="Q1729" s="232"/>
      <c r="R1729" s="411"/>
      <c r="T1729" s="134" t="s">
        <v>244</v>
      </c>
      <c r="U1729" s="267" t="s">
        <v>4106</v>
      </c>
      <c r="V1729" s="133" t="s">
        <v>55</v>
      </c>
      <c r="W1729" s="153" t="s">
        <v>4107</v>
      </c>
      <c r="AA1729" s="218"/>
    </row>
    <row r="1730" spans="1:27" ht="24" x14ac:dyDescent="0.25">
      <c r="A1730" s="405">
        <v>3001309</v>
      </c>
      <c r="B1730" s="406">
        <v>42451</v>
      </c>
      <c r="C1730" s="405" t="s">
        <v>42</v>
      </c>
      <c r="D1730" s="401" t="s">
        <v>3837</v>
      </c>
      <c r="E1730" s="120">
        <v>150</v>
      </c>
      <c r="F1730" s="133" t="s">
        <v>247</v>
      </c>
      <c r="G1730" s="404" t="s">
        <v>45</v>
      </c>
      <c r="H1730" s="411">
        <v>182.08</v>
      </c>
      <c r="I1730" s="89">
        <f t="shared" ref="I1730:I1736" si="297">-(H1730*0.09)</f>
        <v>-16.3872</v>
      </c>
      <c r="J1730" s="90">
        <f t="shared" ref="J1730:J1738" si="298">-((H1730*0.019)+0.3)</f>
        <v>-3.7595200000000002</v>
      </c>
      <c r="K1730" s="90">
        <f t="shared" si="296"/>
        <v>161.93328</v>
      </c>
      <c r="L1730" s="131">
        <v>480</v>
      </c>
      <c r="M1730" s="187">
        <v>30.32</v>
      </c>
      <c r="N1730" s="91">
        <f t="shared" si="291"/>
        <v>102.32</v>
      </c>
      <c r="O1730" s="411">
        <f t="shared" si="289"/>
        <v>59.613280000000003</v>
      </c>
      <c r="P1730" s="132" t="s">
        <v>52</v>
      </c>
      <c r="Q1730" s="232"/>
      <c r="R1730" s="411"/>
      <c r="T1730" s="134" t="s">
        <v>145</v>
      </c>
      <c r="U1730" s="267" t="s">
        <v>4108</v>
      </c>
      <c r="AA1730" s="218"/>
    </row>
    <row r="1731" spans="1:27" ht="24" x14ac:dyDescent="0.25">
      <c r="A1731" s="405">
        <v>3001310</v>
      </c>
      <c r="B1731" s="406">
        <v>42451</v>
      </c>
      <c r="C1731" s="405" t="s">
        <v>42</v>
      </c>
      <c r="D1731" s="401" t="s">
        <v>4109</v>
      </c>
      <c r="E1731" s="120">
        <v>250</v>
      </c>
      <c r="F1731" s="133" t="s">
        <v>877</v>
      </c>
      <c r="G1731" s="404" t="s">
        <v>45</v>
      </c>
      <c r="H1731" s="411">
        <v>162.18</v>
      </c>
      <c r="I1731" s="89">
        <f t="shared" si="297"/>
        <v>-14.5962</v>
      </c>
      <c r="J1731" s="90">
        <f t="shared" si="298"/>
        <v>-3.3814199999999999</v>
      </c>
      <c r="K1731" s="90">
        <f t="shared" si="296"/>
        <v>144.20238000000001</v>
      </c>
      <c r="L1731" s="131">
        <v>235</v>
      </c>
      <c r="M1731" s="187">
        <v>39.69</v>
      </c>
      <c r="N1731" s="91">
        <f t="shared" si="291"/>
        <v>98.44</v>
      </c>
      <c r="O1731" s="411">
        <f t="shared" si="289"/>
        <v>45.762380000000007</v>
      </c>
      <c r="P1731" s="132" t="s">
        <v>52</v>
      </c>
      <c r="Q1731" s="232"/>
      <c r="R1731" s="411"/>
      <c r="T1731" s="134" t="s">
        <v>145</v>
      </c>
      <c r="U1731" s="267" t="s">
        <v>4110</v>
      </c>
      <c r="AA1731" s="218"/>
    </row>
    <row r="1732" spans="1:27" ht="24" x14ac:dyDescent="0.25">
      <c r="A1732" s="405">
        <v>3001311</v>
      </c>
      <c r="B1732" s="406">
        <v>42451</v>
      </c>
      <c r="C1732" s="405" t="s">
        <v>42</v>
      </c>
      <c r="D1732" s="401" t="s">
        <v>4111</v>
      </c>
      <c r="E1732" s="120">
        <v>100</v>
      </c>
      <c r="F1732" s="133" t="s">
        <v>593</v>
      </c>
      <c r="G1732" s="404" t="s">
        <v>45</v>
      </c>
      <c r="H1732" s="411">
        <v>144.12</v>
      </c>
      <c r="I1732" s="89">
        <f t="shared" si="297"/>
        <v>-12.970800000000001</v>
      </c>
      <c r="J1732" s="90">
        <f t="shared" si="298"/>
        <v>-3.0382799999999999</v>
      </c>
      <c r="K1732" s="90">
        <f t="shared" si="296"/>
        <v>128.11092000000002</v>
      </c>
      <c r="L1732" s="131">
        <v>660</v>
      </c>
      <c r="M1732" s="187">
        <v>27.56</v>
      </c>
      <c r="N1732" s="91">
        <f t="shared" si="291"/>
        <v>93.56</v>
      </c>
      <c r="O1732" s="411">
        <f t="shared" si="289"/>
        <v>34.550920000000019</v>
      </c>
      <c r="P1732" s="132" t="s">
        <v>52</v>
      </c>
      <c r="Q1732" s="232"/>
      <c r="R1732" s="411"/>
      <c r="T1732" s="134" t="s">
        <v>145</v>
      </c>
      <c r="U1732" s="267" t="s">
        <v>4112</v>
      </c>
      <c r="AA1732" s="218"/>
    </row>
    <row r="1733" spans="1:27" ht="24" x14ac:dyDescent="0.25">
      <c r="A1733" s="405">
        <v>3001312</v>
      </c>
      <c r="B1733" s="406">
        <v>42451</v>
      </c>
      <c r="C1733" s="405" t="s">
        <v>42</v>
      </c>
      <c r="D1733" s="401" t="s">
        <v>4113</v>
      </c>
      <c r="E1733" s="120">
        <v>125</v>
      </c>
      <c r="F1733" s="133" t="s">
        <v>165</v>
      </c>
      <c r="G1733" s="404" t="s">
        <v>45</v>
      </c>
      <c r="H1733" s="411">
        <v>125.44</v>
      </c>
      <c r="I1733" s="89">
        <f t="shared" si="297"/>
        <v>-11.2896</v>
      </c>
      <c r="J1733" s="90">
        <f t="shared" si="298"/>
        <v>-2.6833599999999995</v>
      </c>
      <c r="K1733" s="90">
        <f t="shared" si="296"/>
        <v>111.46704</v>
      </c>
      <c r="L1733" s="131">
        <v>480</v>
      </c>
      <c r="M1733" s="187">
        <v>30.56</v>
      </c>
      <c r="N1733" s="91">
        <f t="shared" si="291"/>
        <v>90.56</v>
      </c>
      <c r="O1733" s="411">
        <f t="shared" si="289"/>
        <v>20.907039999999995</v>
      </c>
      <c r="P1733" s="132" t="s">
        <v>86</v>
      </c>
      <c r="Q1733" s="232"/>
      <c r="R1733" s="411"/>
      <c r="T1733" s="134" t="s">
        <v>145</v>
      </c>
      <c r="U1733" s="267" t="s">
        <v>4114</v>
      </c>
      <c r="AA1733" s="218"/>
    </row>
    <row r="1734" spans="1:27" ht="24" x14ac:dyDescent="0.25">
      <c r="A1734" s="405">
        <v>3001313</v>
      </c>
      <c r="B1734" s="406">
        <v>42451</v>
      </c>
      <c r="C1734" s="405" t="s">
        <v>42</v>
      </c>
      <c r="D1734" s="401" t="s">
        <v>4115</v>
      </c>
      <c r="E1734" s="120">
        <v>125</v>
      </c>
      <c r="F1734" s="133" t="s">
        <v>165</v>
      </c>
      <c r="G1734" s="404" t="s">
        <v>45</v>
      </c>
      <c r="H1734" s="411">
        <v>125.44</v>
      </c>
      <c r="I1734" s="89">
        <f t="shared" si="297"/>
        <v>-11.2896</v>
      </c>
      <c r="J1734" s="90">
        <f t="shared" si="298"/>
        <v>-2.6833599999999995</v>
      </c>
      <c r="K1734" s="90">
        <f t="shared" si="296"/>
        <v>111.46704</v>
      </c>
      <c r="L1734" s="131">
        <v>480</v>
      </c>
      <c r="M1734" s="187">
        <v>32.15</v>
      </c>
      <c r="N1734" s="91">
        <f t="shared" si="291"/>
        <v>92.15</v>
      </c>
      <c r="O1734" s="411">
        <f t="shared" si="289"/>
        <v>19.317039999999992</v>
      </c>
      <c r="P1734" s="132" t="s">
        <v>86</v>
      </c>
      <c r="Q1734" s="232"/>
      <c r="R1734" s="411"/>
      <c r="T1734" s="134" t="s">
        <v>145</v>
      </c>
      <c r="U1734" s="267" t="s">
        <v>4116</v>
      </c>
      <c r="AA1734" s="218"/>
    </row>
    <row r="1735" spans="1:27" ht="24" x14ac:dyDescent="0.25">
      <c r="A1735" s="405">
        <v>3001314</v>
      </c>
      <c r="B1735" s="406">
        <v>42451</v>
      </c>
      <c r="C1735" s="405" t="s">
        <v>42</v>
      </c>
      <c r="D1735" s="401" t="s">
        <v>4117</v>
      </c>
      <c r="E1735" s="120">
        <v>500</v>
      </c>
      <c r="F1735" s="133" t="s">
        <v>161</v>
      </c>
      <c r="G1735" s="404" t="s">
        <v>45</v>
      </c>
      <c r="H1735" s="411">
        <v>1060</v>
      </c>
      <c r="I1735" s="89">
        <f t="shared" si="297"/>
        <v>-95.399999999999991</v>
      </c>
      <c r="J1735" s="90">
        <f t="shared" si="298"/>
        <v>-20.440000000000001</v>
      </c>
      <c r="K1735" s="90">
        <f t="shared" si="296"/>
        <v>944.16</v>
      </c>
      <c r="L1735" s="131">
        <v>1322</v>
      </c>
      <c r="M1735" s="187">
        <v>139.72</v>
      </c>
      <c r="N1735" s="91">
        <f t="shared" si="291"/>
        <v>800.72</v>
      </c>
      <c r="O1735" s="411">
        <f t="shared" si="289"/>
        <v>143.43999999999994</v>
      </c>
      <c r="P1735" s="132" t="s">
        <v>52</v>
      </c>
      <c r="Q1735" s="232"/>
      <c r="R1735" s="411"/>
      <c r="T1735" s="134" t="s">
        <v>1209</v>
      </c>
      <c r="U1735" s="267" t="s">
        <v>4118</v>
      </c>
      <c r="V1735" s="133" t="s">
        <v>55</v>
      </c>
      <c r="AA1735" s="218"/>
    </row>
    <row r="1736" spans="1:27" x14ac:dyDescent="0.25">
      <c r="A1736" s="419">
        <v>3001315</v>
      </c>
      <c r="B1736" s="421">
        <v>42451</v>
      </c>
      <c r="C1736" s="419" t="s">
        <v>42</v>
      </c>
      <c r="D1736" s="417" t="s">
        <v>4119</v>
      </c>
      <c r="E1736" s="120">
        <v>100</v>
      </c>
      <c r="F1736" s="133" t="s">
        <v>288</v>
      </c>
      <c r="G1736" s="434" t="s">
        <v>45</v>
      </c>
      <c r="H1736" s="427">
        <v>403.27</v>
      </c>
      <c r="I1736" s="452">
        <f t="shared" si="297"/>
        <v>-36.2943</v>
      </c>
      <c r="J1736" s="425">
        <f t="shared" si="298"/>
        <v>-7.9621299999999993</v>
      </c>
      <c r="K1736" s="425">
        <f t="shared" si="296"/>
        <v>359.01356999999996</v>
      </c>
      <c r="L1736" s="131">
        <v>950</v>
      </c>
      <c r="M1736" s="187">
        <v>48.85</v>
      </c>
      <c r="N1736" s="91">
        <f t="shared" si="291"/>
        <v>143.85</v>
      </c>
      <c r="O1736" s="411">
        <f t="shared" si="289"/>
        <v>215.16356999999996</v>
      </c>
      <c r="P1736" s="132" t="s">
        <v>52</v>
      </c>
      <c r="Q1736" s="232"/>
      <c r="R1736" s="411"/>
      <c r="T1736" s="470" t="s">
        <v>145</v>
      </c>
      <c r="U1736" s="267" t="s">
        <v>4120</v>
      </c>
      <c r="AA1736" s="218"/>
    </row>
    <row r="1737" spans="1:27" x14ac:dyDescent="0.25">
      <c r="A1737" s="420"/>
      <c r="B1737" s="422"/>
      <c r="C1737" s="420"/>
      <c r="D1737" s="418"/>
      <c r="E1737" s="120">
        <v>100</v>
      </c>
      <c r="F1737" s="133" t="s">
        <v>431</v>
      </c>
      <c r="G1737" s="436"/>
      <c r="H1737" s="428"/>
      <c r="I1737" s="453"/>
      <c r="J1737" s="426"/>
      <c r="K1737" s="426"/>
      <c r="L1737" s="131">
        <v>990</v>
      </c>
      <c r="M1737" s="187">
        <v>46.33</v>
      </c>
      <c r="N1737" s="91">
        <f t="shared" si="291"/>
        <v>145.32999999999998</v>
      </c>
      <c r="O1737" s="411">
        <f t="shared" ref="O1737:O1800" si="299">K1737-N1737</f>
        <v>-145.32999999999998</v>
      </c>
      <c r="P1737" s="132" t="s">
        <v>52</v>
      </c>
      <c r="Q1737" s="232"/>
      <c r="R1737" s="411"/>
      <c r="T1737" s="472"/>
      <c r="U1737" s="267" t="s">
        <v>4121</v>
      </c>
      <c r="AA1737" s="218"/>
    </row>
    <row r="1738" spans="1:27" x14ac:dyDescent="0.25">
      <c r="A1738" s="419">
        <v>3001316</v>
      </c>
      <c r="B1738" s="421">
        <v>42451</v>
      </c>
      <c r="C1738" s="419" t="s">
        <v>78</v>
      </c>
      <c r="D1738" s="417" t="s">
        <v>4122</v>
      </c>
      <c r="E1738" s="120">
        <v>100</v>
      </c>
      <c r="F1738" s="133" t="s">
        <v>198</v>
      </c>
      <c r="G1738" s="434" t="s">
        <v>45</v>
      </c>
      <c r="H1738" s="427">
        <v>1078</v>
      </c>
      <c r="I1738" s="427">
        <v>0</v>
      </c>
      <c r="J1738" s="425">
        <f t="shared" si="298"/>
        <v>-20.782</v>
      </c>
      <c r="K1738" s="425">
        <f t="shared" si="296"/>
        <v>1057.2180000000001</v>
      </c>
      <c r="L1738" s="131">
        <v>1693</v>
      </c>
      <c r="M1738" s="468">
        <v>91.23</v>
      </c>
      <c r="N1738" s="91">
        <f t="shared" si="291"/>
        <v>260.53000000000003</v>
      </c>
      <c r="O1738" s="411">
        <f t="shared" si="299"/>
        <v>796.6880000000001</v>
      </c>
      <c r="P1738" s="132" t="s">
        <v>86</v>
      </c>
      <c r="Q1738" s="232"/>
      <c r="R1738" s="411"/>
      <c r="T1738" s="439" t="s">
        <v>244</v>
      </c>
      <c r="U1738" s="446" t="s">
        <v>4123</v>
      </c>
      <c r="W1738" s="153" t="s">
        <v>4124</v>
      </c>
      <c r="AA1738" s="218"/>
    </row>
    <row r="1739" spans="1:27" x14ac:dyDescent="0.25">
      <c r="A1739" s="420"/>
      <c r="B1739" s="422"/>
      <c r="C1739" s="420"/>
      <c r="D1739" s="418"/>
      <c r="E1739" s="120">
        <v>1000</v>
      </c>
      <c r="F1739" s="133" t="s">
        <v>4088</v>
      </c>
      <c r="G1739" s="436"/>
      <c r="H1739" s="428"/>
      <c r="I1739" s="428"/>
      <c r="J1739" s="426"/>
      <c r="K1739" s="426"/>
      <c r="L1739" s="187">
        <v>448.39</v>
      </c>
      <c r="M1739" s="469"/>
      <c r="N1739" s="91">
        <f t="shared" si="291"/>
        <v>448.39</v>
      </c>
      <c r="O1739" s="411">
        <f t="shared" si="299"/>
        <v>-448.39</v>
      </c>
      <c r="P1739" s="132" t="s">
        <v>76</v>
      </c>
      <c r="Q1739" s="232"/>
      <c r="R1739" s="411"/>
      <c r="T1739" s="441"/>
      <c r="U1739" s="447"/>
      <c r="V1739" s="133" t="s">
        <v>4125</v>
      </c>
      <c r="AA1739" s="218"/>
    </row>
    <row r="1740" spans="1:27" ht="24" x14ac:dyDescent="0.25">
      <c r="A1740" s="405">
        <v>3001317</v>
      </c>
      <c r="B1740" s="406">
        <v>42451</v>
      </c>
      <c r="C1740" s="405" t="s">
        <v>237</v>
      </c>
      <c r="D1740" s="401" t="s">
        <v>4126</v>
      </c>
      <c r="E1740" s="120">
        <v>100</v>
      </c>
      <c r="F1740" s="133" t="s">
        <v>4088</v>
      </c>
      <c r="G1740" s="404" t="s">
        <v>45</v>
      </c>
      <c r="H1740" s="411">
        <v>82.46</v>
      </c>
      <c r="I1740" s="397">
        <f>-(H1740*0.15)</f>
        <v>-12.368999999999998</v>
      </c>
      <c r="J1740" s="411">
        <v>0</v>
      </c>
      <c r="K1740" s="90">
        <f t="shared" si="296"/>
        <v>70.090999999999994</v>
      </c>
      <c r="L1740" s="187">
        <v>484.79</v>
      </c>
      <c r="M1740" s="187">
        <v>15.68</v>
      </c>
      <c r="N1740" s="91">
        <f t="shared" si="291"/>
        <v>64.159000000000006</v>
      </c>
      <c r="O1740" s="411">
        <f t="shared" si="299"/>
        <v>5.9319999999999879</v>
      </c>
      <c r="P1740" s="132" t="s">
        <v>4089</v>
      </c>
      <c r="Q1740" s="232"/>
      <c r="R1740" s="411"/>
      <c r="T1740" s="134" t="s">
        <v>145</v>
      </c>
      <c r="U1740" s="267" t="s">
        <v>4127</v>
      </c>
      <c r="AA1740" s="218"/>
    </row>
    <row r="1741" spans="1:27" ht="24" x14ac:dyDescent="0.25">
      <c r="A1741" s="405">
        <v>3001318</v>
      </c>
      <c r="B1741" s="406">
        <v>42451</v>
      </c>
      <c r="C1741" s="405" t="s">
        <v>237</v>
      </c>
      <c r="D1741" s="401" t="s">
        <v>4128</v>
      </c>
      <c r="E1741" s="120">
        <v>100</v>
      </c>
      <c r="F1741" s="133" t="s">
        <v>590</v>
      </c>
      <c r="G1741" s="404" t="s">
        <v>45</v>
      </c>
      <c r="H1741" s="411">
        <v>135.16</v>
      </c>
      <c r="I1741" s="397">
        <f>-(H1741*0.15)</f>
        <v>-20.273999999999997</v>
      </c>
      <c r="J1741" s="411">
        <v>0</v>
      </c>
      <c r="K1741" s="90">
        <f t="shared" si="296"/>
        <v>114.886</v>
      </c>
      <c r="L1741" s="131">
        <v>620</v>
      </c>
      <c r="M1741" s="187">
        <v>33.75</v>
      </c>
      <c r="N1741" s="91">
        <f t="shared" si="291"/>
        <v>95.75</v>
      </c>
      <c r="O1741" s="411">
        <f t="shared" si="299"/>
        <v>19.135999999999996</v>
      </c>
      <c r="P1741" s="132" t="s">
        <v>52</v>
      </c>
      <c r="Q1741" s="232"/>
      <c r="R1741" s="411"/>
      <c r="T1741" s="134" t="s">
        <v>145</v>
      </c>
      <c r="U1741" s="267" t="s">
        <v>4129</v>
      </c>
      <c r="AA1741" s="218"/>
    </row>
    <row r="1742" spans="1:27" ht="36" x14ac:dyDescent="0.25">
      <c r="A1742" s="405">
        <v>3001319</v>
      </c>
      <c r="B1742" s="406">
        <v>42451</v>
      </c>
      <c r="C1742" s="405" t="s">
        <v>237</v>
      </c>
      <c r="D1742" s="401" t="s">
        <v>4130</v>
      </c>
      <c r="E1742" s="120">
        <v>150</v>
      </c>
      <c r="F1742" s="119" t="s">
        <v>4131</v>
      </c>
      <c r="G1742" s="404" t="s">
        <v>45</v>
      </c>
      <c r="H1742" s="411">
        <v>123.78</v>
      </c>
      <c r="I1742" s="397">
        <f>-(H1742*0.15)</f>
        <v>-18.567</v>
      </c>
      <c r="J1742" s="411">
        <v>0</v>
      </c>
      <c r="K1742" s="90">
        <f t="shared" si="296"/>
        <v>105.21299999999999</v>
      </c>
      <c r="L1742" s="187">
        <v>375</v>
      </c>
      <c r="M1742" s="187">
        <v>18.3</v>
      </c>
      <c r="N1742" s="91">
        <f t="shared" si="291"/>
        <v>74.55</v>
      </c>
      <c r="O1742" s="411">
        <f t="shared" si="299"/>
        <v>30.662999999999997</v>
      </c>
      <c r="P1742" s="132" t="s">
        <v>643</v>
      </c>
      <c r="Q1742" s="232"/>
      <c r="R1742" s="411"/>
      <c r="T1742" s="134" t="s">
        <v>145</v>
      </c>
      <c r="U1742" s="267" t="s">
        <v>4132</v>
      </c>
      <c r="AA1742" s="218"/>
    </row>
    <row r="1743" spans="1:27" ht="24" x14ac:dyDescent="0.25">
      <c r="A1743" s="405">
        <v>3001320</v>
      </c>
      <c r="B1743" s="406">
        <v>42451</v>
      </c>
      <c r="C1743" s="405" t="s">
        <v>237</v>
      </c>
      <c r="D1743" s="401" t="s">
        <v>4133</v>
      </c>
      <c r="E1743" s="120">
        <v>300</v>
      </c>
      <c r="F1743" s="133" t="s">
        <v>247</v>
      </c>
      <c r="G1743" s="404" t="s">
        <v>45</v>
      </c>
      <c r="H1743" s="411">
        <v>315.08999999999997</v>
      </c>
      <c r="I1743" s="397">
        <f>-(H1743*0.15)</f>
        <v>-47.263499999999993</v>
      </c>
      <c r="J1743" s="411">
        <v>0</v>
      </c>
      <c r="K1743" s="90">
        <f t="shared" si="296"/>
        <v>267.82650000000001</v>
      </c>
      <c r="L1743" s="131">
        <v>480</v>
      </c>
      <c r="M1743" s="187">
        <v>55.95</v>
      </c>
      <c r="N1743" s="91">
        <f t="shared" ref="N1743:N1806" si="300">((L1743)*(E1743*0.001))+M1743</f>
        <v>199.95</v>
      </c>
      <c r="O1743" s="411">
        <f t="shared" si="299"/>
        <v>67.876500000000021</v>
      </c>
      <c r="P1743" s="132" t="s">
        <v>52</v>
      </c>
      <c r="Q1743" s="232"/>
      <c r="R1743" s="411"/>
      <c r="T1743" s="134" t="s">
        <v>145</v>
      </c>
      <c r="U1743" s="267" t="s">
        <v>4134</v>
      </c>
      <c r="AA1743" s="218"/>
    </row>
    <row r="1744" spans="1:27" ht="24" x14ac:dyDescent="0.25">
      <c r="A1744" s="405">
        <v>3001321</v>
      </c>
      <c r="B1744" s="406">
        <v>42451</v>
      </c>
      <c r="C1744" s="405" t="s">
        <v>63</v>
      </c>
      <c r="D1744" s="401" t="s">
        <v>4135</v>
      </c>
      <c r="E1744" s="120">
        <v>150</v>
      </c>
      <c r="F1744" s="133" t="s">
        <v>307</v>
      </c>
      <c r="G1744" s="404" t="s">
        <v>45</v>
      </c>
      <c r="H1744" s="411">
        <v>189</v>
      </c>
      <c r="I1744" s="411">
        <v>0</v>
      </c>
      <c r="J1744" s="90">
        <f>-((H1744*0.022)+0.3)</f>
        <v>-4.4579999999999993</v>
      </c>
      <c r="K1744" s="90">
        <f t="shared" si="296"/>
        <v>184.542</v>
      </c>
      <c r="L1744" s="131">
        <v>690</v>
      </c>
      <c r="M1744" s="187">
        <v>31.17</v>
      </c>
      <c r="N1744" s="91">
        <f t="shared" si="300"/>
        <v>134.67000000000002</v>
      </c>
      <c r="O1744" s="411">
        <f t="shared" si="299"/>
        <v>49.871999999999986</v>
      </c>
      <c r="P1744" s="132" t="s">
        <v>52</v>
      </c>
      <c r="Q1744" s="232"/>
      <c r="R1744" s="411"/>
      <c r="T1744" s="134" t="s">
        <v>145</v>
      </c>
      <c r="U1744" s="267" t="s">
        <v>4136</v>
      </c>
      <c r="AA1744" s="218"/>
    </row>
    <row r="1745" spans="1:27" ht="24" customHeight="1" x14ac:dyDescent="0.25">
      <c r="A1745" s="419">
        <v>3001322</v>
      </c>
      <c r="B1745" s="421">
        <v>42451</v>
      </c>
      <c r="C1745" s="419" t="s">
        <v>63</v>
      </c>
      <c r="D1745" s="417" t="s">
        <v>4137</v>
      </c>
      <c r="E1745" s="120">
        <v>550</v>
      </c>
      <c r="F1745" s="133" t="s">
        <v>3946</v>
      </c>
      <c r="G1745" s="434" t="s">
        <v>45</v>
      </c>
      <c r="H1745" s="427">
        <v>1880.98</v>
      </c>
      <c r="I1745" s="427">
        <v>0</v>
      </c>
      <c r="J1745" s="425">
        <f>-((H1745*0.022)+0.3)</f>
        <v>-41.681559999999998</v>
      </c>
      <c r="K1745" s="425">
        <f t="shared" si="296"/>
        <v>1839.29844</v>
      </c>
      <c r="L1745" s="131">
        <v>660</v>
      </c>
      <c r="M1745" s="450">
        <v>178.92</v>
      </c>
      <c r="N1745" s="91">
        <f t="shared" si="300"/>
        <v>541.92000000000007</v>
      </c>
      <c r="O1745" s="411">
        <f t="shared" si="299"/>
        <v>1297.37844</v>
      </c>
      <c r="P1745" s="132" t="s">
        <v>52</v>
      </c>
      <c r="Q1745" s="232"/>
      <c r="R1745" s="411"/>
      <c r="T1745" s="470" t="s">
        <v>1209</v>
      </c>
      <c r="U1745" s="481" t="s">
        <v>4138</v>
      </c>
      <c r="V1745" s="133" t="s">
        <v>55</v>
      </c>
      <c r="W1745" s="153" t="s">
        <v>4139</v>
      </c>
      <c r="AA1745" s="218"/>
    </row>
    <row r="1746" spans="1:27" x14ac:dyDescent="0.25">
      <c r="A1746" s="420"/>
      <c r="B1746" s="422"/>
      <c r="C1746" s="420"/>
      <c r="D1746" s="418"/>
      <c r="E1746" s="120">
        <v>211</v>
      </c>
      <c r="F1746" s="133" t="s">
        <v>874</v>
      </c>
      <c r="G1746" s="436"/>
      <c r="H1746" s="428"/>
      <c r="I1746" s="428"/>
      <c r="J1746" s="426"/>
      <c r="K1746" s="426"/>
      <c r="L1746" s="131">
        <v>1750</v>
      </c>
      <c r="M1746" s="451"/>
      <c r="N1746" s="91">
        <f t="shared" si="300"/>
        <v>369.25</v>
      </c>
      <c r="O1746" s="411">
        <f t="shared" si="299"/>
        <v>-369.25</v>
      </c>
      <c r="P1746" s="132" t="s">
        <v>52</v>
      </c>
      <c r="Q1746" s="232"/>
      <c r="R1746" s="411"/>
      <c r="T1746" s="472"/>
      <c r="U1746" s="483"/>
      <c r="AA1746" s="218"/>
    </row>
    <row r="1747" spans="1:27" ht="24" x14ac:dyDescent="0.25">
      <c r="A1747" s="405">
        <v>3001323</v>
      </c>
      <c r="B1747" s="406">
        <v>42451</v>
      </c>
      <c r="C1747" s="405" t="s">
        <v>42</v>
      </c>
      <c r="D1747" s="401" t="s">
        <v>4140</v>
      </c>
      <c r="E1747" s="120">
        <v>250</v>
      </c>
      <c r="F1747" s="133" t="s">
        <v>2524</v>
      </c>
      <c r="G1747" s="404" t="s">
        <v>45</v>
      </c>
      <c r="H1747" s="411">
        <v>138.07</v>
      </c>
      <c r="I1747" s="89">
        <f t="shared" ref="I1747" si="301">-(H1747*0.09)</f>
        <v>-12.426299999999999</v>
      </c>
      <c r="J1747" s="90">
        <f t="shared" ref="J1747" si="302">-((H1747*0.019)+0.3)</f>
        <v>-2.9233299999999995</v>
      </c>
      <c r="K1747" s="90">
        <f t="shared" si="296"/>
        <v>122.72037</v>
      </c>
      <c r="L1747" s="187">
        <v>288.49</v>
      </c>
      <c r="M1747" s="187">
        <v>26.07</v>
      </c>
      <c r="N1747" s="91">
        <f t="shared" si="300"/>
        <v>98.192499999999995</v>
      </c>
      <c r="O1747" s="411">
        <f t="shared" si="299"/>
        <v>24.527870000000007</v>
      </c>
      <c r="P1747" s="132" t="s">
        <v>76</v>
      </c>
      <c r="Q1747" s="232"/>
      <c r="R1747" s="411"/>
      <c r="T1747" s="134" t="s">
        <v>204</v>
      </c>
      <c r="U1747" s="267" t="s">
        <v>4141</v>
      </c>
      <c r="AA1747" s="218"/>
    </row>
    <row r="1748" spans="1:27" x14ac:dyDescent="0.25">
      <c r="A1748" s="419">
        <v>3001324</v>
      </c>
      <c r="B1748" s="421">
        <v>42451</v>
      </c>
      <c r="C1748" s="419" t="s">
        <v>237</v>
      </c>
      <c r="D1748" s="417" t="s">
        <v>4142</v>
      </c>
      <c r="E1748" s="120">
        <v>25</v>
      </c>
      <c r="F1748" s="133" t="s">
        <v>3719</v>
      </c>
      <c r="G1748" s="434" t="s">
        <v>45</v>
      </c>
      <c r="H1748" s="427">
        <v>128.69999999999999</v>
      </c>
      <c r="I1748" s="452">
        <f>-(H1748*0.15)</f>
        <v>-19.304999999999996</v>
      </c>
      <c r="J1748" s="427">
        <v>0</v>
      </c>
      <c r="K1748" s="425">
        <f t="shared" si="296"/>
        <v>109.395</v>
      </c>
      <c r="L1748" s="187">
        <v>1134</v>
      </c>
      <c r="M1748" s="187">
        <v>15.3</v>
      </c>
      <c r="N1748" s="91">
        <f t="shared" si="300"/>
        <v>43.650000000000006</v>
      </c>
      <c r="O1748" s="411">
        <f t="shared" si="299"/>
        <v>65.74499999999999</v>
      </c>
      <c r="P1748" s="132" t="s">
        <v>601</v>
      </c>
      <c r="Q1748" s="232"/>
      <c r="R1748" s="411"/>
      <c r="T1748" s="439" t="s">
        <v>145</v>
      </c>
      <c r="U1748" s="446" t="s">
        <v>4143</v>
      </c>
      <c r="AA1748" s="218"/>
    </row>
    <row r="1749" spans="1:27" x14ac:dyDescent="0.25">
      <c r="A1749" s="420"/>
      <c r="B1749" s="422"/>
      <c r="C1749" s="420"/>
      <c r="D1749" s="418"/>
      <c r="E1749" s="120">
        <v>25</v>
      </c>
      <c r="F1749" s="133" t="s">
        <v>3307</v>
      </c>
      <c r="G1749" s="436"/>
      <c r="H1749" s="428"/>
      <c r="I1749" s="453"/>
      <c r="J1749" s="428"/>
      <c r="K1749" s="426"/>
      <c r="L1749" s="187">
        <v>1160</v>
      </c>
      <c r="M1749" s="187"/>
      <c r="N1749" s="91">
        <f t="shared" si="300"/>
        <v>29</v>
      </c>
      <c r="O1749" s="411">
        <f t="shared" si="299"/>
        <v>-29</v>
      </c>
      <c r="P1749" s="132" t="s">
        <v>601</v>
      </c>
      <c r="Q1749" s="232"/>
      <c r="R1749" s="411"/>
      <c r="T1749" s="441"/>
      <c r="U1749" s="447"/>
      <c r="AA1749" s="218"/>
    </row>
    <row r="1750" spans="1:27" x14ac:dyDescent="0.25">
      <c r="A1750" s="419">
        <v>3001325</v>
      </c>
      <c r="B1750" s="421">
        <v>42451</v>
      </c>
      <c r="C1750" s="419" t="s">
        <v>56</v>
      </c>
      <c r="D1750" s="417" t="s">
        <v>4144</v>
      </c>
      <c r="E1750" s="120">
        <v>1170</v>
      </c>
      <c r="F1750" s="133" t="s">
        <v>4145</v>
      </c>
      <c r="G1750" s="434" t="s">
        <v>4</v>
      </c>
      <c r="H1750" s="427">
        <v>10725</v>
      </c>
      <c r="I1750" s="427">
        <v>0</v>
      </c>
      <c r="J1750" s="427">
        <v>0</v>
      </c>
      <c r="K1750" s="425">
        <f t="shared" si="296"/>
        <v>10725</v>
      </c>
      <c r="L1750" s="167">
        <v>6185</v>
      </c>
      <c r="M1750" s="131">
        <v>350</v>
      </c>
      <c r="N1750" s="91">
        <f t="shared" si="300"/>
        <v>7586.45</v>
      </c>
      <c r="O1750" s="411">
        <f t="shared" si="299"/>
        <v>3138.55</v>
      </c>
      <c r="P1750" s="132" t="s">
        <v>723</v>
      </c>
      <c r="Q1750" s="232"/>
      <c r="R1750" s="411"/>
      <c r="T1750" s="134"/>
      <c r="U1750" s="266"/>
      <c r="AA1750" s="218"/>
    </row>
    <row r="1751" spans="1:27" x14ac:dyDescent="0.25">
      <c r="A1751" s="432"/>
      <c r="B1751" s="433"/>
      <c r="C1751" s="432"/>
      <c r="D1751" s="454"/>
      <c r="E1751" s="120">
        <v>390</v>
      </c>
      <c r="F1751" s="133" t="s">
        <v>4146</v>
      </c>
      <c r="G1751" s="435"/>
      <c r="H1751" s="438"/>
      <c r="I1751" s="438"/>
      <c r="J1751" s="438"/>
      <c r="K1751" s="437"/>
      <c r="L1751" s="167">
        <v>3310</v>
      </c>
      <c r="N1751" s="91">
        <f t="shared" si="300"/>
        <v>1290.9000000000001</v>
      </c>
      <c r="O1751" s="411">
        <f t="shared" si="299"/>
        <v>-1290.9000000000001</v>
      </c>
      <c r="P1751" s="132" t="s">
        <v>723</v>
      </c>
      <c r="Q1751" s="232"/>
      <c r="R1751" s="411"/>
      <c r="T1751" s="134"/>
      <c r="U1751" s="266"/>
      <c r="AA1751" s="218"/>
    </row>
    <row r="1752" spans="1:27" x14ac:dyDescent="0.25">
      <c r="A1752" s="420"/>
      <c r="B1752" s="422"/>
      <c r="C1752" s="420"/>
      <c r="D1752" s="418"/>
      <c r="E1752" s="120">
        <v>390</v>
      </c>
      <c r="F1752" s="133" t="s">
        <v>4147</v>
      </c>
      <c r="G1752" s="436"/>
      <c r="H1752" s="428"/>
      <c r="I1752" s="428"/>
      <c r="J1752" s="428"/>
      <c r="K1752" s="426"/>
      <c r="L1752" s="167">
        <v>1350</v>
      </c>
      <c r="N1752" s="91">
        <f t="shared" si="300"/>
        <v>526.5</v>
      </c>
      <c r="O1752" s="411">
        <f t="shared" si="299"/>
        <v>-526.5</v>
      </c>
      <c r="P1752" s="132" t="s">
        <v>723</v>
      </c>
      <c r="Q1752" s="232"/>
      <c r="R1752" s="411"/>
      <c r="T1752" s="134"/>
      <c r="U1752" s="266"/>
      <c r="AA1752" s="218"/>
    </row>
    <row r="1753" spans="1:27" ht="24" x14ac:dyDescent="0.25">
      <c r="A1753" s="405">
        <v>3001326</v>
      </c>
      <c r="B1753" s="406">
        <v>42451</v>
      </c>
      <c r="C1753" s="405" t="s">
        <v>42</v>
      </c>
      <c r="D1753" s="401" t="s">
        <v>4148</v>
      </c>
      <c r="E1753" s="120">
        <v>125</v>
      </c>
      <c r="F1753" s="133" t="s">
        <v>247</v>
      </c>
      <c r="G1753" s="404" t="s">
        <v>45</v>
      </c>
      <c r="H1753" s="392">
        <v>151.72999999999999</v>
      </c>
      <c r="I1753" s="89">
        <f t="shared" ref="I1753" si="303">-(H1753*0.09)</f>
        <v>-13.655699999999998</v>
      </c>
      <c r="J1753" s="391">
        <f t="shared" ref="J1753" si="304">-((H1753*0.019)+0.3)</f>
        <v>-3.1828699999999994</v>
      </c>
      <c r="K1753" s="391">
        <f t="shared" si="296"/>
        <v>134.89142999999999</v>
      </c>
      <c r="L1753" s="167">
        <v>480</v>
      </c>
      <c r="M1753" s="187">
        <v>27.56</v>
      </c>
      <c r="N1753" s="91">
        <f t="shared" si="300"/>
        <v>87.56</v>
      </c>
      <c r="O1753" s="411">
        <f t="shared" si="299"/>
        <v>47.331429999999983</v>
      </c>
      <c r="P1753" s="132" t="s">
        <v>52</v>
      </c>
      <c r="Q1753" s="232"/>
      <c r="R1753" s="411"/>
      <c r="T1753" s="134" t="s">
        <v>145</v>
      </c>
      <c r="U1753" s="267" t="s">
        <v>4149</v>
      </c>
      <c r="AA1753" s="218"/>
    </row>
    <row r="1754" spans="1:27" x14ac:dyDescent="0.25">
      <c r="A1754" s="405">
        <v>3001327</v>
      </c>
      <c r="B1754" s="406">
        <v>42451</v>
      </c>
      <c r="C1754" s="405" t="s">
        <v>63</v>
      </c>
      <c r="D1754" s="401" t="s">
        <v>4150</v>
      </c>
      <c r="E1754" s="120">
        <v>3955</v>
      </c>
      <c r="F1754" s="133" t="s">
        <v>4151</v>
      </c>
      <c r="G1754" s="404" t="s">
        <v>45</v>
      </c>
      <c r="H1754" s="411">
        <v>692</v>
      </c>
      <c r="I1754" s="411">
        <v>0</v>
      </c>
      <c r="J1754" s="90">
        <f>-((H1754*0.022)+0.3)</f>
        <v>-15.523999999999999</v>
      </c>
      <c r="K1754" s="90">
        <f t="shared" si="296"/>
        <v>676.476</v>
      </c>
      <c r="L1754" s="187">
        <v>97</v>
      </c>
      <c r="M1754" s="187">
        <v>115.62</v>
      </c>
      <c r="N1754" s="91">
        <f t="shared" si="300"/>
        <v>499.255</v>
      </c>
      <c r="O1754" s="411">
        <f t="shared" si="299"/>
        <v>177.221</v>
      </c>
      <c r="P1754" s="132" t="s">
        <v>3597</v>
      </c>
      <c r="Q1754" s="232"/>
      <c r="R1754" s="411"/>
      <c r="T1754" s="134" t="s">
        <v>565</v>
      </c>
      <c r="U1754" s="267" t="s">
        <v>4152</v>
      </c>
      <c r="W1754" s="153" t="s">
        <v>4153</v>
      </c>
      <c r="AA1754" s="218"/>
    </row>
    <row r="1755" spans="1:27" ht="24" x14ac:dyDescent="0.25">
      <c r="A1755" s="405">
        <v>3001328</v>
      </c>
      <c r="B1755" s="406">
        <v>42451</v>
      </c>
      <c r="C1755" s="405" t="s">
        <v>63</v>
      </c>
      <c r="D1755" s="401" t="s">
        <v>4154</v>
      </c>
      <c r="E1755" s="120">
        <v>115</v>
      </c>
      <c r="F1755" s="133" t="s">
        <v>829</v>
      </c>
      <c r="G1755" s="404" t="s">
        <v>45</v>
      </c>
      <c r="H1755" s="411">
        <v>121.23</v>
      </c>
      <c r="I1755" s="411">
        <v>0</v>
      </c>
      <c r="J1755" s="90">
        <f>-((H1755*0.022)+0.3)</f>
        <v>-2.9670599999999996</v>
      </c>
      <c r="K1755" s="90">
        <f t="shared" si="296"/>
        <v>118.26294</v>
      </c>
      <c r="L1755" s="131">
        <v>510</v>
      </c>
      <c r="M1755" s="187">
        <v>31.65</v>
      </c>
      <c r="N1755" s="91">
        <f t="shared" si="300"/>
        <v>90.300000000000011</v>
      </c>
      <c r="O1755" s="411">
        <f t="shared" si="299"/>
        <v>27.962939999999989</v>
      </c>
      <c r="P1755" s="132" t="s">
        <v>52</v>
      </c>
      <c r="Q1755" s="232"/>
      <c r="R1755" s="411"/>
      <c r="T1755" s="134" t="s">
        <v>145</v>
      </c>
      <c r="U1755" s="267" t="s">
        <v>4155</v>
      </c>
      <c r="W1755" s="153" t="s">
        <v>4156</v>
      </c>
      <c r="AA1755" s="218"/>
    </row>
    <row r="1756" spans="1:27" ht="24" customHeight="1" x14ac:dyDescent="0.25">
      <c r="A1756" s="419">
        <v>3001329</v>
      </c>
      <c r="B1756" s="421">
        <v>42451</v>
      </c>
      <c r="C1756" s="419" t="s">
        <v>63</v>
      </c>
      <c r="D1756" s="417" t="s">
        <v>1525</v>
      </c>
      <c r="E1756" s="120">
        <v>1100</v>
      </c>
      <c r="F1756" s="133" t="s">
        <v>4157</v>
      </c>
      <c r="G1756" s="434" t="s">
        <v>45</v>
      </c>
      <c r="H1756" s="427">
        <v>2350</v>
      </c>
      <c r="I1756" s="427">
        <v>0</v>
      </c>
      <c r="J1756" s="425">
        <f t="shared" ref="J1756" si="305">-((H1756*0.022)+0.3)</f>
        <v>-51.999999999999993</v>
      </c>
      <c r="K1756" s="425">
        <f t="shared" ref="K1756" si="306">SUM(H1756:J1756)</f>
        <v>2298</v>
      </c>
      <c r="L1756" s="187">
        <v>1650</v>
      </c>
      <c r="M1756" s="187">
        <v>132.32</v>
      </c>
      <c r="N1756" s="91">
        <f t="shared" si="300"/>
        <v>1947.3200000000002</v>
      </c>
      <c r="O1756" s="411">
        <f t="shared" si="299"/>
        <v>350.67999999999984</v>
      </c>
      <c r="P1756" s="132" t="s">
        <v>76</v>
      </c>
      <c r="Q1756" s="232"/>
      <c r="R1756" s="411"/>
      <c r="T1756" s="470" t="s">
        <v>4158</v>
      </c>
      <c r="U1756" s="505" t="s">
        <v>1229</v>
      </c>
      <c r="AA1756" s="218"/>
    </row>
    <row r="1757" spans="1:27" x14ac:dyDescent="0.25">
      <c r="A1757" s="420"/>
      <c r="B1757" s="422"/>
      <c r="C1757" s="420"/>
      <c r="D1757" s="418"/>
      <c r="E1757" s="120">
        <v>275</v>
      </c>
      <c r="F1757" s="133" t="s">
        <v>4159</v>
      </c>
      <c r="G1757" s="436"/>
      <c r="H1757" s="428"/>
      <c r="I1757" s="428"/>
      <c r="J1757" s="426"/>
      <c r="K1757" s="426"/>
      <c r="L1757" s="187">
        <v>865.82</v>
      </c>
      <c r="M1757" s="187">
        <v>145</v>
      </c>
      <c r="N1757" s="91">
        <f t="shared" si="300"/>
        <v>383.10050000000001</v>
      </c>
      <c r="O1757" s="411">
        <f t="shared" si="299"/>
        <v>-383.10050000000001</v>
      </c>
      <c r="P1757" s="132" t="s">
        <v>76</v>
      </c>
      <c r="Q1757" s="232"/>
      <c r="R1757" s="411"/>
      <c r="T1757" s="472"/>
      <c r="U1757" s="490"/>
      <c r="AA1757" s="218"/>
    </row>
    <row r="1758" spans="1:27" x14ac:dyDescent="0.25">
      <c r="A1758" s="405">
        <v>3001330</v>
      </c>
      <c r="B1758" s="406">
        <v>42451</v>
      </c>
      <c r="C1758" s="405" t="s">
        <v>63</v>
      </c>
      <c r="D1758" s="401" t="s">
        <v>4160</v>
      </c>
      <c r="E1758" s="120">
        <v>100</v>
      </c>
      <c r="F1758" s="133" t="s">
        <v>4161</v>
      </c>
      <c r="G1758" s="404" t="s">
        <v>45</v>
      </c>
      <c r="H1758" s="411">
        <v>783.33</v>
      </c>
      <c r="I1758" s="411">
        <v>0</v>
      </c>
      <c r="J1758" s="90">
        <f>-((H1758*0.022)+0.3)</f>
        <v>-17.533260000000002</v>
      </c>
      <c r="K1758" s="90">
        <f t="shared" ref="K1758:K1773" si="307">SUM(H1758:J1758)</f>
        <v>765.79674</v>
      </c>
      <c r="L1758" s="187">
        <v>4090</v>
      </c>
      <c r="M1758" s="187">
        <v>105</v>
      </c>
      <c r="N1758" s="91">
        <f t="shared" si="300"/>
        <v>514</v>
      </c>
      <c r="O1758" s="411">
        <f t="shared" si="299"/>
        <v>251.79674</v>
      </c>
      <c r="P1758" s="132" t="s">
        <v>183</v>
      </c>
      <c r="Q1758" s="232"/>
      <c r="R1758" s="411"/>
      <c r="T1758" s="134" t="s">
        <v>760</v>
      </c>
      <c r="U1758" s="267" t="s">
        <v>4162</v>
      </c>
      <c r="W1758" s="153" t="s">
        <v>4163</v>
      </c>
      <c r="AA1758" s="218"/>
    </row>
    <row r="1759" spans="1:27" ht="24" x14ac:dyDescent="0.25">
      <c r="A1759" s="405">
        <v>3001331</v>
      </c>
      <c r="B1759" s="406">
        <v>42452</v>
      </c>
      <c r="C1759" s="405" t="s">
        <v>63</v>
      </c>
      <c r="D1759" s="401" t="s">
        <v>2191</v>
      </c>
      <c r="E1759" s="120">
        <v>750</v>
      </c>
      <c r="F1759" s="133" t="s">
        <v>4164</v>
      </c>
      <c r="G1759" s="404" t="s">
        <v>45</v>
      </c>
      <c r="H1759" s="411">
        <v>1012.5</v>
      </c>
      <c r="I1759" s="411">
        <v>0</v>
      </c>
      <c r="J1759" s="90">
        <f>-((H1759*0.022)+0.3)</f>
        <v>-22.574999999999999</v>
      </c>
      <c r="K1759" s="90">
        <f t="shared" si="307"/>
        <v>989.92499999999995</v>
      </c>
      <c r="L1759" s="187">
        <v>900</v>
      </c>
      <c r="N1759" s="91">
        <f t="shared" si="300"/>
        <v>675</v>
      </c>
      <c r="O1759" s="411">
        <f t="shared" si="299"/>
        <v>314.92499999999995</v>
      </c>
      <c r="P1759" s="132" t="s">
        <v>926</v>
      </c>
      <c r="Q1759" s="232"/>
      <c r="R1759" s="411"/>
      <c r="T1759" s="134" t="s">
        <v>145</v>
      </c>
      <c r="U1759" s="267" t="s">
        <v>4165</v>
      </c>
      <c r="W1759" s="153" t="s">
        <v>4166</v>
      </c>
      <c r="AA1759" s="218"/>
    </row>
    <row r="1760" spans="1:27" ht="24" x14ac:dyDescent="0.25">
      <c r="A1760" s="405">
        <v>3001332</v>
      </c>
      <c r="B1760" s="406">
        <v>42452</v>
      </c>
      <c r="C1760" s="405" t="s">
        <v>141</v>
      </c>
      <c r="D1760" s="401" t="s">
        <v>2166</v>
      </c>
      <c r="E1760" s="120">
        <v>1000</v>
      </c>
      <c r="F1760" s="133" t="s">
        <v>4167</v>
      </c>
      <c r="G1760" s="404" t="s">
        <v>45</v>
      </c>
      <c r="H1760" s="411">
        <v>360</v>
      </c>
      <c r="I1760" s="411">
        <v>0</v>
      </c>
      <c r="J1760" s="90">
        <f>-((H1760*0.0325)+0.3)</f>
        <v>-12.000000000000002</v>
      </c>
      <c r="K1760" s="90">
        <f t="shared" si="307"/>
        <v>348</v>
      </c>
      <c r="L1760" s="187">
        <v>141.5</v>
      </c>
      <c r="N1760" s="91">
        <f t="shared" si="300"/>
        <v>141.5</v>
      </c>
      <c r="O1760" s="411">
        <f t="shared" si="299"/>
        <v>206.5</v>
      </c>
      <c r="P1760" s="132" t="s">
        <v>2168</v>
      </c>
      <c r="Q1760" s="232"/>
      <c r="R1760" s="411"/>
      <c r="T1760" s="134" t="s">
        <v>204</v>
      </c>
      <c r="U1760" s="267" t="s">
        <v>4168</v>
      </c>
      <c r="W1760" s="153" t="s">
        <v>2170</v>
      </c>
      <c r="AA1760" s="218"/>
    </row>
    <row r="1761" spans="1:27" ht="24" x14ac:dyDescent="0.25">
      <c r="A1761" s="405">
        <v>3001333</v>
      </c>
      <c r="B1761" s="406">
        <v>42452</v>
      </c>
      <c r="C1761" s="405" t="s">
        <v>63</v>
      </c>
      <c r="D1761" s="401" t="s">
        <v>3039</v>
      </c>
      <c r="E1761" s="120">
        <v>1000</v>
      </c>
      <c r="F1761" s="133" t="s">
        <v>4169</v>
      </c>
      <c r="G1761" s="404" t="s">
        <v>45</v>
      </c>
      <c r="H1761" s="411">
        <v>270</v>
      </c>
      <c r="I1761" s="411">
        <v>0</v>
      </c>
      <c r="J1761" s="90">
        <f>-((H1761*0.022)+0.3)</f>
        <v>-6.2399999999999993</v>
      </c>
      <c r="K1761" s="90">
        <f t="shared" si="307"/>
        <v>263.76</v>
      </c>
      <c r="L1761" s="187">
        <v>161.04</v>
      </c>
      <c r="M1761" s="187">
        <v>51.52</v>
      </c>
      <c r="N1761" s="91">
        <f t="shared" si="300"/>
        <v>212.56</v>
      </c>
      <c r="O1761" s="411">
        <f t="shared" si="299"/>
        <v>51.199999999999989</v>
      </c>
      <c r="P1761" s="132" t="s">
        <v>46</v>
      </c>
      <c r="Q1761" s="232"/>
      <c r="R1761" s="411"/>
      <c r="T1761" s="134" t="s">
        <v>324</v>
      </c>
      <c r="U1761" s="267" t="s">
        <v>4170</v>
      </c>
      <c r="W1761" s="153" t="s">
        <v>3042</v>
      </c>
      <c r="AA1761" s="218"/>
    </row>
    <row r="1762" spans="1:27" ht="24" x14ac:dyDescent="0.25">
      <c r="A1762" s="419">
        <v>3001334</v>
      </c>
      <c r="B1762" s="421">
        <v>42452</v>
      </c>
      <c r="C1762" s="419" t="s">
        <v>327</v>
      </c>
      <c r="D1762" s="417" t="s">
        <v>4171</v>
      </c>
      <c r="E1762" s="120">
        <v>1000</v>
      </c>
      <c r="F1762" s="119" t="s">
        <v>4172</v>
      </c>
      <c r="G1762" s="434" t="s">
        <v>45</v>
      </c>
      <c r="H1762" s="427">
        <v>1240</v>
      </c>
      <c r="I1762" s="427">
        <v>0</v>
      </c>
      <c r="J1762" s="425">
        <f>-((H1762*0.022)+0.3)</f>
        <v>-27.58</v>
      </c>
      <c r="K1762" s="425">
        <f t="shared" si="307"/>
        <v>1212.42</v>
      </c>
      <c r="L1762" s="187">
        <v>250</v>
      </c>
      <c r="M1762" s="187">
        <v>96.34</v>
      </c>
      <c r="N1762" s="91">
        <f t="shared" si="300"/>
        <v>346.34000000000003</v>
      </c>
      <c r="O1762" s="411">
        <f t="shared" si="299"/>
        <v>866.08</v>
      </c>
      <c r="P1762" s="132" t="s">
        <v>643</v>
      </c>
      <c r="Q1762" s="232"/>
      <c r="R1762" s="411"/>
      <c r="T1762" s="470" t="s">
        <v>204</v>
      </c>
      <c r="U1762" s="481" t="s">
        <v>4173</v>
      </c>
      <c r="W1762" s="153" t="s">
        <v>4174</v>
      </c>
      <c r="AA1762" s="218"/>
    </row>
    <row r="1763" spans="1:27" ht="24" x14ac:dyDescent="0.25">
      <c r="A1763" s="420"/>
      <c r="B1763" s="422"/>
      <c r="C1763" s="420"/>
      <c r="D1763" s="418"/>
      <c r="E1763" s="120">
        <v>1000</v>
      </c>
      <c r="F1763" s="119" t="s">
        <v>4175</v>
      </c>
      <c r="G1763" s="436"/>
      <c r="H1763" s="428"/>
      <c r="I1763" s="428"/>
      <c r="J1763" s="426"/>
      <c r="K1763" s="426"/>
      <c r="L1763" s="187">
        <v>480</v>
      </c>
      <c r="N1763" s="91">
        <f t="shared" si="300"/>
        <v>480</v>
      </c>
      <c r="O1763" s="411">
        <f t="shared" si="299"/>
        <v>-480</v>
      </c>
      <c r="P1763" s="132" t="s">
        <v>643</v>
      </c>
      <c r="Q1763" s="232"/>
      <c r="R1763" s="411"/>
      <c r="T1763" s="472"/>
      <c r="U1763" s="483"/>
      <c r="AA1763" s="218"/>
    </row>
    <row r="1764" spans="1:27" ht="24" x14ac:dyDescent="0.25">
      <c r="A1764" s="405">
        <v>3001335</v>
      </c>
      <c r="B1764" s="406">
        <v>42452</v>
      </c>
      <c r="C1764" s="405" t="s">
        <v>42</v>
      </c>
      <c r="D1764" s="401" t="s">
        <v>4176</v>
      </c>
      <c r="E1764" s="120">
        <v>250</v>
      </c>
      <c r="F1764" s="133" t="s">
        <v>3955</v>
      </c>
      <c r="G1764" s="404" t="s">
        <v>45</v>
      </c>
      <c r="H1764" s="411">
        <v>193.2</v>
      </c>
      <c r="I1764" s="89">
        <f t="shared" ref="I1764:I1769" si="308">-(H1764*0.09)</f>
        <v>-17.387999999999998</v>
      </c>
      <c r="J1764" s="391">
        <f t="shared" ref="J1764:J1769" si="309">-((H1764*0.019)+0.3)</f>
        <v>-3.9707999999999997</v>
      </c>
      <c r="K1764" s="90">
        <f t="shared" si="307"/>
        <v>171.84119999999999</v>
      </c>
      <c r="L1764" s="187">
        <v>429.45</v>
      </c>
      <c r="M1764" s="187">
        <v>87.77</v>
      </c>
      <c r="N1764" s="91">
        <f t="shared" si="300"/>
        <v>195.13249999999999</v>
      </c>
      <c r="O1764" s="411">
        <f t="shared" si="299"/>
        <v>-23.291300000000007</v>
      </c>
      <c r="P1764" s="132" t="s">
        <v>76</v>
      </c>
      <c r="Q1764" s="232"/>
      <c r="R1764" s="411"/>
      <c r="T1764" s="134" t="s">
        <v>204</v>
      </c>
      <c r="U1764" s="267" t="s">
        <v>4177</v>
      </c>
      <c r="AA1764" s="218"/>
    </row>
    <row r="1765" spans="1:27" ht="24" x14ac:dyDescent="0.25">
      <c r="A1765" s="405">
        <v>3001336</v>
      </c>
      <c r="B1765" s="406">
        <v>42452</v>
      </c>
      <c r="C1765" s="405" t="s">
        <v>42</v>
      </c>
      <c r="D1765" s="401" t="s">
        <v>4178</v>
      </c>
      <c r="E1765" s="120">
        <v>175</v>
      </c>
      <c r="F1765" s="133" t="s">
        <v>247</v>
      </c>
      <c r="G1765" s="404" t="s">
        <v>45</v>
      </c>
      <c r="H1765" s="411">
        <v>212.43</v>
      </c>
      <c r="I1765" s="89">
        <f t="shared" si="308"/>
        <v>-19.1187</v>
      </c>
      <c r="J1765" s="391">
        <f t="shared" si="309"/>
        <v>-4.3361700000000001</v>
      </c>
      <c r="K1765" s="90">
        <f t="shared" si="307"/>
        <v>188.97513000000001</v>
      </c>
      <c r="L1765" s="131">
        <v>480</v>
      </c>
      <c r="M1765" s="187">
        <v>39.83</v>
      </c>
      <c r="N1765" s="91">
        <f t="shared" si="300"/>
        <v>123.83000000000001</v>
      </c>
      <c r="O1765" s="411">
        <f t="shared" si="299"/>
        <v>65.145129999999995</v>
      </c>
      <c r="P1765" s="132" t="s">
        <v>52</v>
      </c>
      <c r="Q1765" s="232"/>
      <c r="R1765" s="411"/>
      <c r="T1765" s="134" t="s">
        <v>145</v>
      </c>
      <c r="U1765" s="267" t="s">
        <v>4179</v>
      </c>
      <c r="AA1765" s="218"/>
    </row>
    <row r="1766" spans="1:27" ht="24" x14ac:dyDescent="0.25">
      <c r="A1766" s="405">
        <v>3001337</v>
      </c>
      <c r="B1766" s="406">
        <v>42452</v>
      </c>
      <c r="C1766" s="405" t="s">
        <v>42</v>
      </c>
      <c r="D1766" s="401" t="s">
        <v>4180</v>
      </c>
      <c r="E1766" s="120">
        <v>175</v>
      </c>
      <c r="F1766" s="133" t="s">
        <v>605</v>
      </c>
      <c r="G1766" s="404" t="s">
        <v>45</v>
      </c>
      <c r="H1766" s="411">
        <v>264.31</v>
      </c>
      <c r="I1766" s="89">
        <f t="shared" si="308"/>
        <v>-23.7879</v>
      </c>
      <c r="J1766" s="391">
        <f t="shared" si="309"/>
        <v>-5.3218899999999998</v>
      </c>
      <c r="K1766" s="90">
        <f t="shared" si="307"/>
        <v>235.20021</v>
      </c>
      <c r="L1766" s="131">
        <v>600</v>
      </c>
      <c r="M1766" s="187">
        <v>35.53</v>
      </c>
      <c r="N1766" s="91">
        <f t="shared" si="300"/>
        <v>140.53000000000003</v>
      </c>
      <c r="O1766" s="411">
        <f t="shared" si="299"/>
        <v>94.670209999999969</v>
      </c>
      <c r="P1766" s="132" t="s">
        <v>52</v>
      </c>
      <c r="Q1766" s="232"/>
      <c r="R1766" s="411"/>
      <c r="T1766" s="134" t="s">
        <v>145</v>
      </c>
      <c r="U1766" s="267" t="s">
        <v>4181</v>
      </c>
      <c r="AA1766" s="218"/>
    </row>
    <row r="1767" spans="1:27" ht="24" x14ac:dyDescent="0.25">
      <c r="A1767" s="405">
        <v>3001338</v>
      </c>
      <c r="B1767" s="406">
        <v>42452</v>
      </c>
      <c r="C1767" s="405" t="s">
        <v>42</v>
      </c>
      <c r="D1767" s="401" t="s">
        <v>4182</v>
      </c>
      <c r="E1767" s="120">
        <v>50</v>
      </c>
      <c r="F1767" s="133" t="s">
        <v>4183</v>
      </c>
      <c r="G1767" s="404" t="s">
        <v>45</v>
      </c>
      <c r="H1767" s="411">
        <v>190</v>
      </c>
      <c r="I1767" s="89">
        <f t="shared" si="308"/>
        <v>-17.099999999999998</v>
      </c>
      <c r="J1767" s="391">
        <f t="shared" si="309"/>
        <v>-3.9099999999999997</v>
      </c>
      <c r="K1767" s="90">
        <f t="shared" si="307"/>
        <v>168.99</v>
      </c>
      <c r="L1767" s="187">
        <v>1100</v>
      </c>
      <c r="M1767" s="187">
        <v>12.53</v>
      </c>
      <c r="N1767" s="91">
        <f t="shared" si="300"/>
        <v>67.53</v>
      </c>
      <c r="O1767" s="411">
        <f t="shared" si="299"/>
        <v>101.46000000000001</v>
      </c>
      <c r="P1767" s="132" t="s">
        <v>235</v>
      </c>
      <c r="Q1767" s="232"/>
      <c r="R1767" s="411"/>
      <c r="T1767" s="134" t="s">
        <v>145</v>
      </c>
      <c r="U1767" s="267" t="s">
        <v>4184</v>
      </c>
      <c r="AA1767" s="218"/>
    </row>
    <row r="1768" spans="1:27" ht="24" x14ac:dyDescent="0.25">
      <c r="A1768" s="405">
        <v>3001339</v>
      </c>
      <c r="B1768" s="406">
        <v>42452</v>
      </c>
      <c r="C1768" s="405" t="s">
        <v>42</v>
      </c>
      <c r="D1768" s="401" t="s">
        <v>4185</v>
      </c>
      <c r="E1768" s="120">
        <v>225</v>
      </c>
      <c r="F1768" s="133" t="s">
        <v>877</v>
      </c>
      <c r="G1768" s="404" t="s">
        <v>45</v>
      </c>
      <c r="H1768" s="411">
        <v>145.97</v>
      </c>
      <c r="I1768" s="89">
        <f t="shared" si="308"/>
        <v>-13.1373</v>
      </c>
      <c r="J1768" s="391">
        <f t="shared" si="309"/>
        <v>-3.0734299999999997</v>
      </c>
      <c r="K1768" s="90">
        <f t="shared" si="307"/>
        <v>129.75926999999999</v>
      </c>
      <c r="L1768" s="131">
        <v>235</v>
      </c>
      <c r="M1768" s="187">
        <v>24.97</v>
      </c>
      <c r="N1768" s="91">
        <f t="shared" si="300"/>
        <v>77.844999999999999</v>
      </c>
      <c r="O1768" s="411">
        <f t="shared" si="299"/>
        <v>51.914269999999988</v>
      </c>
      <c r="P1768" s="132" t="s">
        <v>52</v>
      </c>
      <c r="Q1768" s="232"/>
      <c r="R1768" s="411"/>
      <c r="T1768" s="134" t="s">
        <v>145</v>
      </c>
      <c r="U1768" s="267" t="s">
        <v>4186</v>
      </c>
      <c r="AA1768" s="218"/>
    </row>
    <row r="1769" spans="1:27" ht="24" x14ac:dyDescent="0.25">
      <c r="A1769" s="405">
        <v>3001340</v>
      </c>
      <c r="B1769" s="406">
        <v>42452</v>
      </c>
      <c r="C1769" s="405" t="s">
        <v>42</v>
      </c>
      <c r="D1769" s="401" t="s">
        <v>4187</v>
      </c>
      <c r="E1769" s="120">
        <v>250</v>
      </c>
      <c r="F1769" s="133" t="s">
        <v>832</v>
      </c>
      <c r="G1769" s="404" t="s">
        <v>45</v>
      </c>
      <c r="H1769" s="411">
        <v>238.05</v>
      </c>
      <c r="I1769" s="89">
        <f t="shared" si="308"/>
        <v>-21.424500000000002</v>
      </c>
      <c r="J1769" s="391">
        <f t="shared" si="309"/>
        <v>-4.8229499999999996</v>
      </c>
      <c r="K1769" s="90">
        <f t="shared" si="307"/>
        <v>211.80255000000002</v>
      </c>
      <c r="L1769" s="131">
        <v>400</v>
      </c>
      <c r="M1769" s="187">
        <v>11.9</v>
      </c>
      <c r="N1769" s="91">
        <f t="shared" si="300"/>
        <v>111.9</v>
      </c>
      <c r="O1769" s="411">
        <f t="shared" si="299"/>
        <v>99.902550000000019</v>
      </c>
      <c r="P1769" s="132" t="s">
        <v>86</v>
      </c>
      <c r="Q1769" s="232"/>
      <c r="R1769" s="411"/>
      <c r="T1769" s="134" t="s">
        <v>145</v>
      </c>
      <c r="U1769" s="267" t="s">
        <v>4188</v>
      </c>
      <c r="AA1769" s="218"/>
    </row>
    <row r="1770" spans="1:27" ht="24" x14ac:dyDescent="0.25">
      <c r="A1770" s="405">
        <v>3001341</v>
      </c>
      <c r="B1770" s="406">
        <v>42452</v>
      </c>
      <c r="C1770" s="405" t="s">
        <v>237</v>
      </c>
      <c r="D1770" s="401" t="s">
        <v>4189</v>
      </c>
      <c r="E1770" s="120">
        <v>150</v>
      </c>
      <c r="F1770" s="133" t="s">
        <v>307</v>
      </c>
      <c r="G1770" s="404" t="s">
        <v>45</v>
      </c>
      <c r="H1770" s="411">
        <v>190.34</v>
      </c>
      <c r="I1770" s="397">
        <f>-(H1770*0.15)</f>
        <v>-28.550999999999998</v>
      </c>
      <c r="J1770" s="411">
        <v>0</v>
      </c>
      <c r="K1770" s="90">
        <f t="shared" si="307"/>
        <v>161.78900000000002</v>
      </c>
      <c r="L1770" s="131">
        <v>690</v>
      </c>
      <c r="M1770" s="187">
        <v>19.91</v>
      </c>
      <c r="N1770" s="91">
        <f t="shared" si="300"/>
        <v>123.41</v>
      </c>
      <c r="O1770" s="411">
        <f t="shared" si="299"/>
        <v>38.379000000000019</v>
      </c>
      <c r="P1770" s="132" t="s">
        <v>52</v>
      </c>
      <c r="Q1770" s="232"/>
      <c r="R1770" s="411"/>
      <c r="T1770" s="134" t="s">
        <v>145</v>
      </c>
      <c r="U1770" s="267" t="s">
        <v>4190</v>
      </c>
      <c r="AA1770" s="218"/>
    </row>
    <row r="1771" spans="1:27" x14ac:dyDescent="0.25">
      <c r="A1771" s="419">
        <v>3001342</v>
      </c>
      <c r="B1771" s="421">
        <v>42452</v>
      </c>
      <c r="C1771" s="419" t="s">
        <v>237</v>
      </c>
      <c r="D1771" s="429" t="s">
        <v>4191</v>
      </c>
      <c r="E1771" s="120">
        <v>50</v>
      </c>
      <c r="F1771" s="133" t="s">
        <v>3301</v>
      </c>
      <c r="G1771" s="434" t="s">
        <v>45</v>
      </c>
      <c r="H1771" s="427">
        <v>143.55000000000001</v>
      </c>
      <c r="I1771" s="452">
        <f>-(H1771*0.15)</f>
        <v>-21.532500000000002</v>
      </c>
      <c r="J1771" s="427">
        <v>0</v>
      </c>
      <c r="K1771" s="425">
        <f t="shared" si="307"/>
        <v>122.01750000000001</v>
      </c>
      <c r="L1771" s="187">
        <v>731</v>
      </c>
      <c r="M1771" s="468">
        <v>200.47</v>
      </c>
      <c r="N1771" s="91">
        <f t="shared" si="300"/>
        <v>237.02</v>
      </c>
      <c r="O1771" s="411">
        <f t="shared" si="299"/>
        <v>-115.0025</v>
      </c>
      <c r="P1771" s="132" t="s">
        <v>926</v>
      </c>
      <c r="Q1771" s="232"/>
      <c r="R1771" s="411"/>
      <c r="T1771" s="439" t="s">
        <v>145</v>
      </c>
      <c r="U1771" s="446" t="s">
        <v>4192</v>
      </c>
      <c r="AA1771" s="218"/>
    </row>
    <row r="1772" spans="1:27" x14ac:dyDescent="0.25">
      <c r="A1772" s="420"/>
      <c r="B1772" s="422"/>
      <c r="C1772" s="420"/>
      <c r="D1772" s="431"/>
      <c r="E1772" s="120">
        <v>50</v>
      </c>
      <c r="F1772" s="133" t="s">
        <v>3299</v>
      </c>
      <c r="G1772" s="436"/>
      <c r="H1772" s="428"/>
      <c r="I1772" s="453"/>
      <c r="J1772" s="428"/>
      <c r="K1772" s="426"/>
      <c r="L1772" s="187">
        <v>750</v>
      </c>
      <c r="M1772" s="469"/>
      <c r="N1772" s="91">
        <f t="shared" si="300"/>
        <v>37.5</v>
      </c>
      <c r="O1772" s="411">
        <f t="shared" si="299"/>
        <v>-37.5</v>
      </c>
      <c r="P1772" s="132" t="s">
        <v>926</v>
      </c>
      <c r="Q1772" s="232"/>
      <c r="R1772" s="411"/>
      <c r="T1772" s="441"/>
      <c r="U1772" s="447"/>
      <c r="AA1772" s="218"/>
    </row>
    <row r="1773" spans="1:27" x14ac:dyDescent="0.25">
      <c r="A1773" s="419">
        <v>3001343</v>
      </c>
      <c r="B1773" s="421">
        <v>42452</v>
      </c>
      <c r="C1773" s="419" t="s">
        <v>56</v>
      </c>
      <c r="D1773" s="417" t="s">
        <v>87</v>
      </c>
      <c r="E1773" s="120">
        <v>421</v>
      </c>
      <c r="F1773" s="133" t="s">
        <v>4193</v>
      </c>
      <c r="G1773" s="434" t="s">
        <v>45</v>
      </c>
      <c r="H1773" s="427">
        <v>6002.1</v>
      </c>
      <c r="I1773" s="427">
        <v>0</v>
      </c>
      <c r="J1773" s="427">
        <v>0</v>
      </c>
      <c r="K1773" s="425">
        <f t="shared" si="307"/>
        <v>6002.1</v>
      </c>
      <c r="L1773" s="131">
        <v>3750</v>
      </c>
      <c r="M1773" s="450">
        <v>200.47</v>
      </c>
      <c r="N1773" s="91">
        <f t="shared" si="300"/>
        <v>1779.22</v>
      </c>
      <c r="O1773" s="411">
        <f t="shared" si="299"/>
        <v>4222.88</v>
      </c>
      <c r="P1773" s="132" t="s">
        <v>52</v>
      </c>
      <c r="Q1773" s="232"/>
      <c r="R1773" s="411"/>
      <c r="T1773" s="439" t="s">
        <v>244</v>
      </c>
      <c r="U1773" s="446" t="s">
        <v>4194</v>
      </c>
      <c r="V1773" s="133" t="s">
        <v>4195</v>
      </c>
      <c r="AA1773" s="218"/>
    </row>
    <row r="1774" spans="1:27" x14ac:dyDescent="0.25">
      <c r="A1774" s="432"/>
      <c r="B1774" s="433"/>
      <c r="C1774" s="432"/>
      <c r="D1774" s="454"/>
      <c r="E1774" s="120">
        <v>500</v>
      </c>
      <c r="F1774" s="133" t="s">
        <v>4196</v>
      </c>
      <c r="G1774" s="435"/>
      <c r="H1774" s="438"/>
      <c r="I1774" s="438"/>
      <c r="J1774" s="438"/>
      <c r="K1774" s="437"/>
      <c r="M1774" s="463"/>
      <c r="N1774" s="91">
        <f t="shared" si="300"/>
        <v>0</v>
      </c>
      <c r="O1774" s="411">
        <f t="shared" si="299"/>
        <v>0</v>
      </c>
      <c r="P1774" s="132" t="s">
        <v>52</v>
      </c>
      <c r="Q1774" s="232"/>
      <c r="R1774" s="411"/>
      <c r="T1774" s="440"/>
      <c r="U1774" s="448"/>
      <c r="AA1774" s="218"/>
    </row>
    <row r="1775" spans="1:27" x14ac:dyDescent="0.25">
      <c r="A1775" s="432"/>
      <c r="B1775" s="433"/>
      <c r="C1775" s="432"/>
      <c r="D1775" s="454"/>
      <c r="E1775" s="120">
        <v>1000</v>
      </c>
      <c r="F1775" s="133" t="s">
        <v>288</v>
      </c>
      <c r="G1775" s="435"/>
      <c r="H1775" s="438"/>
      <c r="I1775" s="438"/>
      <c r="J1775" s="438"/>
      <c r="K1775" s="437"/>
      <c r="L1775" s="131">
        <v>950</v>
      </c>
      <c r="M1775" s="451"/>
      <c r="N1775" s="91">
        <f t="shared" si="300"/>
        <v>950</v>
      </c>
      <c r="O1775" s="411">
        <f t="shared" si="299"/>
        <v>-950</v>
      </c>
      <c r="P1775" s="132" t="s">
        <v>52</v>
      </c>
      <c r="Q1775" s="232"/>
      <c r="R1775" s="411"/>
      <c r="T1775" s="441"/>
      <c r="U1775" s="447"/>
      <c r="AA1775" s="218"/>
    </row>
    <row r="1776" spans="1:27" ht="24" x14ac:dyDescent="0.25">
      <c r="A1776" s="420"/>
      <c r="B1776" s="422"/>
      <c r="C1776" s="420"/>
      <c r="D1776" s="418"/>
      <c r="E1776" s="120">
        <v>110</v>
      </c>
      <c r="F1776" s="133" t="s">
        <v>4197</v>
      </c>
      <c r="G1776" s="436"/>
      <c r="H1776" s="428"/>
      <c r="I1776" s="428"/>
      <c r="J1776" s="428"/>
      <c r="K1776" s="426"/>
      <c r="L1776" s="187">
        <v>13480.59</v>
      </c>
      <c r="M1776" s="187">
        <v>112.03</v>
      </c>
      <c r="N1776" s="91">
        <f t="shared" si="300"/>
        <v>1594.8949</v>
      </c>
      <c r="O1776" s="411">
        <f t="shared" si="299"/>
        <v>-1594.8949</v>
      </c>
      <c r="P1776" s="132" t="s">
        <v>46</v>
      </c>
      <c r="Q1776" s="232"/>
      <c r="R1776" s="411"/>
      <c r="T1776" s="134" t="s">
        <v>260</v>
      </c>
      <c r="U1776" s="267" t="s">
        <v>4198</v>
      </c>
      <c r="V1776" s="133" t="s">
        <v>4199</v>
      </c>
      <c r="AA1776" s="218"/>
    </row>
    <row r="1777" spans="1:27" ht="36" x14ac:dyDescent="0.25">
      <c r="A1777" s="405">
        <v>3001344</v>
      </c>
      <c r="B1777" s="406">
        <v>42452</v>
      </c>
      <c r="C1777" s="405" t="s">
        <v>63</v>
      </c>
      <c r="D1777" s="401" t="s">
        <v>4200</v>
      </c>
      <c r="E1777" s="120">
        <v>385</v>
      </c>
      <c r="F1777" s="133" t="s">
        <v>4201</v>
      </c>
      <c r="G1777" s="404" t="s">
        <v>45</v>
      </c>
      <c r="H1777" s="411">
        <v>995</v>
      </c>
      <c r="I1777" s="411">
        <v>0</v>
      </c>
      <c r="J1777" s="90">
        <f>-((H1777*0.022)+0.3)</f>
        <v>-22.189999999999998</v>
      </c>
      <c r="K1777" s="90">
        <f t="shared" ref="K1777:K1778" si="310">SUM(H1777:J1777)</f>
        <v>972.81</v>
      </c>
      <c r="L1777" s="187">
        <v>1676</v>
      </c>
      <c r="M1777" s="131">
        <v>0</v>
      </c>
      <c r="N1777" s="91">
        <f t="shared" si="300"/>
        <v>645.26</v>
      </c>
      <c r="O1777" s="411">
        <f t="shared" si="299"/>
        <v>327.54999999999995</v>
      </c>
      <c r="P1777" s="132" t="s">
        <v>59</v>
      </c>
      <c r="Q1777" s="232"/>
      <c r="R1777" s="411"/>
      <c r="T1777" s="134" t="s">
        <v>60</v>
      </c>
      <c r="U1777" s="267" t="s">
        <v>4202</v>
      </c>
      <c r="W1777" s="153" t="s">
        <v>4203</v>
      </c>
      <c r="AA1777" s="218"/>
    </row>
    <row r="1778" spans="1:27" x14ac:dyDescent="0.25">
      <c r="A1778" s="419">
        <v>3001345</v>
      </c>
      <c r="B1778" s="421">
        <v>42453</v>
      </c>
      <c r="C1778" s="419" t="s">
        <v>56</v>
      </c>
      <c r="D1778" s="417" t="s">
        <v>4204</v>
      </c>
      <c r="E1778" s="120">
        <v>2000</v>
      </c>
      <c r="F1778" s="133" t="s">
        <v>4205</v>
      </c>
      <c r="G1778" s="434" t="s">
        <v>45</v>
      </c>
      <c r="H1778" s="427">
        <v>12385</v>
      </c>
      <c r="I1778" s="427">
        <v>0</v>
      </c>
      <c r="J1778" s="427">
        <v>0</v>
      </c>
      <c r="K1778" s="425">
        <f t="shared" si="310"/>
        <v>12385</v>
      </c>
      <c r="L1778" s="187">
        <v>609</v>
      </c>
      <c r="M1778" s="131">
        <v>0</v>
      </c>
      <c r="N1778" s="91">
        <f t="shared" si="300"/>
        <v>1218</v>
      </c>
      <c r="O1778" s="411">
        <f t="shared" si="299"/>
        <v>11167</v>
      </c>
      <c r="P1778" s="132" t="s">
        <v>66</v>
      </c>
      <c r="Q1778" s="232"/>
      <c r="R1778" s="411"/>
      <c r="T1778" s="439" t="s">
        <v>314</v>
      </c>
      <c r="U1778" s="266">
        <v>3924072331</v>
      </c>
      <c r="V1778" s="133" t="s">
        <v>1632</v>
      </c>
      <c r="AA1778" s="218"/>
    </row>
    <row r="1779" spans="1:27" x14ac:dyDescent="0.25">
      <c r="A1779" s="432"/>
      <c r="B1779" s="433"/>
      <c r="C1779" s="432"/>
      <c r="D1779" s="454"/>
      <c r="E1779" s="120">
        <v>1000</v>
      </c>
      <c r="F1779" s="133" t="s">
        <v>4206</v>
      </c>
      <c r="G1779" s="435"/>
      <c r="H1779" s="438"/>
      <c r="I1779" s="438"/>
      <c r="J1779" s="438"/>
      <c r="K1779" s="437"/>
      <c r="L1779" s="187">
        <v>725</v>
      </c>
      <c r="M1779" s="131">
        <v>0</v>
      </c>
      <c r="N1779" s="91">
        <f t="shared" si="300"/>
        <v>725</v>
      </c>
      <c r="O1779" s="411">
        <f t="shared" si="299"/>
        <v>-725</v>
      </c>
      <c r="P1779" s="132" t="s">
        <v>66</v>
      </c>
      <c r="Q1779" s="232"/>
      <c r="R1779" s="411"/>
      <c r="T1779" s="440"/>
      <c r="U1779" s="266"/>
      <c r="AA1779" s="218"/>
    </row>
    <row r="1780" spans="1:27" x14ac:dyDescent="0.25">
      <c r="A1780" s="432"/>
      <c r="B1780" s="433"/>
      <c r="C1780" s="432"/>
      <c r="D1780" s="454"/>
      <c r="E1780" s="120">
        <v>2000</v>
      </c>
      <c r="F1780" s="133" t="s">
        <v>4207</v>
      </c>
      <c r="G1780" s="435"/>
      <c r="H1780" s="438"/>
      <c r="I1780" s="438"/>
      <c r="J1780" s="438"/>
      <c r="K1780" s="437"/>
      <c r="L1780" s="187">
        <v>1322</v>
      </c>
      <c r="M1780" s="131">
        <v>0</v>
      </c>
      <c r="N1780" s="91">
        <f t="shared" si="300"/>
        <v>2644</v>
      </c>
      <c r="O1780" s="411">
        <f t="shared" si="299"/>
        <v>-2644</v>
      </c>
      <c r="P1780" s="132" t="s">
        <v>66</v>
      </c>
      <c r="Q1780" s="232"/>
      <c r="R1780" s="411"/>
      <c r="T1780" s="440"/>
      <c r="U1780" s="266"/>
      <c r="AA1780" s="218"/>
    </row>
    <row r="1781" spans="1:27" x14ac:dyDescent="0.25">
      <c r="A1781" s="432"/>
      <c r="B1781" s="433"/>
      <c r="C1781" s="432"/>
      <c r="D1781" s="454"/>
      <c r="E1781" s="120">
        <v>2000</v>
      </c>
      <c r="F1781" s="133" t="s">
        <v>4208</v>
      </c>
      <c r="G1781" s="435"/>
      <c r="H1781" s="438"/>
      <c r="I1781" s="438"/>
      <c r="J1781" s="438"/>
      <c r="K1781" s="437"/>
      <c r="L1781" s="187">
        <v>407</v>
      </c>
      <c r="M1781" s="131">
        <v>0</v>
      </c>
      <c r="N1781" s="91">
        <f t="shared" si="300"/>
        <v>814</v>
      </c>
      <c r="O1781" s="411">
        <f t="shared" si="299"/>
        <v>-814</v>
      </c>
      <c r="P1781" s="132" t="s">
        <v>66</v>
      </c>
      <c r="Q1781" s="232"/>
      <c r="R1781" s="411"/>
      <c r="T1781" s="441"/>
      <c r="U1781" s="266"/>
      <c r="AA1781" s="218"/>
    </row>
    <row r="1782" spans="1:27" x14ac:dyDescent="0.25">
      <c r="A1782" s="432"/>
      <c r="B1782" s="433"/>
      <c r="C1782" s="432"/>
      <c r="D1782" s="454"/>
      <c r="E1782" s="120">
        <v>2000</v>
      </c>
      <c r="F1782" s="133" t="s">
        <v>4209</v>
      </c>
      <c r="G1782" s="435"/>
      <c r="H1782" s="438"/>
      <c r="I1782" s="438"/>
      <c r="J1782" s="438"/>
      <c r="K1782" s="437"/>
      <c r="L1782" s="131">
        <v>1770</v>
      </c>
      <c r="M1782" s="187">
        <v>216.2</v>
      </c>
      <c r="N1782" s="91">
        <f t="shared" si="300"/>
        <v>3756.2</v>
      </c>
      <c r="O1782" s="411">
        <f t="shared" si="299"/>
        <v>-3756.2</v>
      </c>
      <c r="P1782" s="132" t="s">
        <v>52</v>
      </c>
      <c r="Q1782" s="232"/>
      <c r="R1782" s="411"/>
      <c r="T1782" s="134" t="s">
        <v>89</v>
      </c>
      <c r="U1782" s="267" t="s">
        <v>4210</v>
      </c>
      <c r="V1782" s="133" t="s">
        <v>4211</v>
      </c>
      <c r="AA1782" s="218"/>
    </row>
    <row r="1783" spans="1:27" x14ac:dyDescent="0.25">
      <c r="A1783" s="420"/>
      <c r="B1783" s="422"/>
      <c r="C1783" s="420"/>
      <c r="D1783" s="418"/>
      <c r="E1783" s="120">
        <v>3000</v>
      </c>
      <c r="F1783" s="133" t="s">
        <v>4212</v>
      </c>
      <c r="G1783" s="436"/>
      <c r="H1783" s="428"/>
      <c r="I1783" s="428"/>
      <c r="J1783" s="428"/>
      <c r="K1783" s="426"/>
      <c r="L1783" s="187">
        <v>440</v>
      </c>
      <c r="M1783" s="187">
        <v>119.17</v>
      </c>
      <c r="N1783" s="91">
        <f t="shared" si="300"/>
        <v>1439.17</v>
      </c>
      <c r="O1783" s="411">
        <f t="shared" si="299"/>
        <v>-1439.17</v>
      </c>
      <c r="P1783" s="132" t="s">
        <v>3597</v>
      </c>
      <c r="Q1783" s="232"/>
      <c r="R1783" s="411"/>
      <c r="T1783" s="134" t="s">
        <v>97</v>
      </c>
      <c r="U1783" s="267" t="s">
        <v>4213</v>
      </c>
      <c r="V1783" s="164" t="s">
        <v>4214</v>
      </c>
      <c r="AA1783" s="218"/>
    </row>
    <row r="1784" spans="1:27" x14ac:dyDescent="0.25">
      <c r="A1784" s="405">
        <v>3001346</v>
      </c>
      <c r="B1784" s="406">
        <v>42453</v>
      </c>
      <c r="C1784" s="405" t="s">
        <v>63</v>
      </c>
      <c r="D1784" s="401" t="s">
        <v>4215</v>
      </c>
      <c r="E1784" s="120">
        <v>500</v>
      </c>
      <c r="F1784" s="133" t="s">
        <v>1637</v>
      </c>
      <c r="G1784" s="404" t="s">
        <v>45</v>
      </c>
      <c r="H1784" s="411">
        <v>1600</v>
      </c>
      <c r="I1784" s="411">
        <v>0</v>
      </c>
      <c r="J1784" s="90">
        <f>-((H1784*0.022)+0.3)</f>
        <v>-35.499999999999993</v>
      </c>
      <c r="K1784" s="90">
        <f t="shared" ref="K1784:K1786" si="311">SUM(H1784:J1784)</f>
        <v>1564.5</v>
      </c>
      <c r="M1784" s="187">
        <v>137.78</v>
      </c>
      <c r="N1784" s="91">
        <f t="shared" si="300"/>
        <v>137.78</v>
      </c>
      <c r="O1784" s="411">
        <f t="shared" si="299"/>
        <v>1426.72</v>
      </c>
      <c r="P1784" s="132" t="s">
        <v>52</v>
      </c>
      <c r="Q1784" s="232"/>
      <c r="R1784" s="411"/>
      <c r="T1784" s="134" t="s">
        <v>97</v>
      </c>
      <c r="U1784" s="267" t="s">
        <v>4216</v>
      </c>
      <c r="V1784" s="133" t="s">
        <v>55</v>
      </c>
      <c r="W1784" s="153" t="s">
        <v>4217</v>
      </c>
      <c r="AA1784" s="218"/>
    </row>
    <row r="1785" spans="1:27" ht="24" x14ac:dyDescent="0.25">
      <c r="A1785" s="405">
        <v>3001347</v>
      </c>
      <c r="B1785" s="406">
        <v>42453</v>
      </c>
      <c r="C1785" s="405" t="s">
        <v>42</v>
      </c>
      <c r="D1785" s="401" t="s">
        <v>4218</v>
      </c>
      <c r="E1785" s="120">
        <v>100</v>
      </c>
      <c r="F1785" s="133" t="s">
        <v>288</v>
      </c>
      <c r="G1785" s="404" t="s">
        <v>45</v>
      </c>
      <c r="H1785" s="411">
        <v>187.16</v>
      </c>
      <c r="I1785" s="89">
        <f t="shared" ref="I1785" si="312">-(H1785*0.09)</f>
        <v>-16.8444</v>
      </c>
      <c r="J1785" s="391">
        <f t="shared" ref="J1785" si="313">-((H1785*0.019)+0.3)</f>
        <v>-3.8560399999999997</v>
      </c>
      <c r="K1785" s="90">
        <f t="shared" si="311"/>
        <v>166.45955999999998</v>
      </c>
      <c r="L1785" s="131">
        <v>950</v>
      </c>
      <c r="M1785" s="187">
        <v>38.909999999999997</v>
      </c>
      <c r="N1785" s="91">
        <f t="shared" si="300"/>
        <v>133.91</v>
      </c>
      <c r="O1785" s="411">
        <f t="shared" si="299"/>
        <v>32.549559999999985</v>
      </c>
      <c r="P1785" s="132" t="s">
        <v>52</v>
      </c>
      <c r="Q1785" s="232"/>
      <c r="R1785" s="411"/>
      <c r="T1785" s="134" t="s">
        <v>145</v>
      </c>
      <c r="U1785" s="267" t="s">
        <v>4219</v>
      </c>
      <c r="AA1785" s="218"/>
    </row>
    <row r="1786" spans="1:27" ht="16.5" customHeight="1" x14ac:dyDescent="0.25">
      <c r="A1786" s="419">
        <v>3001348</v>
      </c>
      <c r="B1786" s="421">
        <v>42453</v>
      </c>
      <c r="C1786" s="419" t="s">
        <v>56</v>
      </c>
      <c r="D1786" s="417" t="s">
        <v>4220</v>
      </c>
      <c r="E1786" s="120">
        <v>5500</v>
      </c>
      <c r="F1786" s="133" t="s">
        <v>4221</v>
      </c>
      <c r="G1786" s="434" t="s">
        <v>45</v>
      </c>
      <c r="H1786" s="427">
        <v>45000</v>
      </c>
      <c r="I1786" s="427">
        <v>0</v>
      </c>
      <c r="J1786" s="427">
        <v>0</v>
      </c>
      <c r="K1786" s="425">
        <f t="shared" si="311"/>
        <v>45000</v>
      </c>
      <c r="L1786" s="187">
        <v>4536</v>
      </c>
      <c r="N1786" s="91">
        <f t="shared" si="300"/>
        <v>24948</v>
      </c>
      <c r="O1786" s="411">
        <f t="shared" si="299"/>
        <v>20052</v>
      </c>
      <c r="P1786" s="132" t="s">
        <v>4222</v>
      </c>
      <c r="Q1786" s="232"/>
      <c r="R1786" s="411"/>
      <c r="T1786" s="470" t="s">
        <v>4223</v>
      </c>
      <c r="U1786" s="505" t="s">
        <v>4224</v>
      </c>
      <c r="AA1786" s="218"/>
    </row>
    <row r="1787" spans="1:27" x14ac:dyDescent="0.25">
      <c r="A1787" s="432"/>
      <c r="B1787" s="433"/>
      <c r="C1787" s="432"/>
      <c r="D1787" s="454"/>
      <c r="E1787" s="120">
        <v>4700</v>
      </c>
      <c r="F1787" s="133" t="s">
        <v>4225</v>
      </c>
      <c r="G1787" s="435"/>
      <c r="H1787" s="438"/>
      <c r="I1787" s="438"/>
      <c r="J1787" s="438"/>
      <c r="K1787" s="437"/>
      <c r="L1787" s="187">
        <v>3211</v>
      </c>
      <c r="N1787" s="91">
        <f t="shared" si="300"/>
        <v>15091.7</v>
      </c>
      <c r="O1787" s="411">
        <f t="shared" si="299"/>
        <v>-15091.7</v>
      </c>
      <c r="P1787" s="132" t="s">
        <v>4222</v>
      </c>
      <c r="Q1787" s="232"/>
      <c r="R1787" s="411"/>
      <c r="T1787" s="471"/>
      <c r="U1787" s="506"/>
      <c r="AA1787" s="218"/>
    </row>
    <row r="1788" spans="1:27" x14ac:dyDescent="0.25">
      <c r="A1788" s="420"/>
      <c r="B1788" s="422"/>
      <c r="C1788" s="420"/>
      <c r="D1788" s="418"/>
      <c r="E1788" s="120">
        <v>400</v>
      </c>
      <c r="F1788" s="133" t="s">
        <v>4226</v>
      </c>
      <c r="G1788" s="436"/>
      <c r="H1788" s="428"/>
      <c r="I1788" s="428"/>
      <c r="J1788" s="428"/>
      <c r="K1788" s="426"/>
      <c r="L1788" s="187">
        <v>1924</v>
      </c>
      <c r="N1788" s="91">
        <f t="shared" si="300"/>
        <v>769.6</v>
      </c>
      <c r="O1788" s="411">
        <f t="shared" si="299"/>
        <v>-769.6</v>
      </c>
      <c r="P1788" s="132" t="s">
        <v>4222</v>
      </c>
      <c r="Q1788" s="232"/>
      <c r="R1788" s="411"/>
      <c r="T1788" s="472"/>
      <c r="U1788" s="490"/>
      <c r="AA1788" s="218"/>
    </row>
    <row r="1789" spans="1:27" ht="24" x14ac:dyDescent="0.25">
      <c r="A1789" s="405">
        <v>3001349</v>
      </c>
      <c r="B1789" s="406">
        <v>42453</v>
      </c>
      <c r="C1789" s="405" t="s">
        <v>42</v>
      </c>
      <c r="D1789" s="401" t="s">
        <v>4227</v>
      </c>
      <c r="E1789" s="120">
        <v>250</v>
      </c>
      <c r="F1789" s="133" t="s">
        <v>292</v>
      </c>
      <c r="G1789" s="404" t="s">
        <v>45</v>
      </c>
      <c r="H1789" s="411">
        <v>197.6</v>
      </c>
      <c r="I1789" s="89">
        <f t="shared" ref="I1789:I1797" si="314">-(H1789*0.09)</f>
        <v>-17.783999999999999</v>
      </c>
      <c r="J1789" s="391">
        <f t="shared" ref="J1789:J1797" si="315">-((H1789*0.019)+0.3)</f>
        <v>-4.0544000000000002</v>
      </c>
      <c r="K1789" s="90">
        <f t="shared" ref="K1789:K1809" si="316">SUM(H1789:J1789)</f>
        <v>175.76160000000002</v>
      </c>
      <c r="L1789" s="131">
        <v>390</v>
      </c>
      <c r="M1789" s="187">
        <v>402.68</v>
      </c>
      <c r="N1789" s="91">
        <f t="shared" si="300"/>
        <v>500.18</v>
      </c>
      <c r="O1789" s="411">
        <f t="shared" si="299"/>
        <v>-324.41840000000002</v>
      </c>
      <c r="P1789" s="132" t="s">
        <v>52</v>
      </c>
      <c r="Q1789" s="232"/>
      <c r="R1789" s="411"/>
      <c r="T1789" s="134" t="s">
        <v>145</v>
      </c>
      <c r="U1789" s="267" t="s">
        <v>4228</v>
      </c>
      <c r="AA1789" s="218"/>
    </row>
    <row r="1790" spans="1:27" ht="24" x14ac:dyDescent="0.25">
      <c r="A1790" s="405">
        <v>3001350</v>
      </c>
      <c r="B1790" s="406">
        <v>42453</v>
      </c>
      <c r="C1790" s="405" t="s">
        <v>42</v>
      </c>
      <c r="D1790" s="401" t="s">
        <v>4229</v>
      </c>
      <c r="E1790" s="120">
        <v>250</v>
      </c>
      <c r="F1790" s="133" t="s">
        <v>307</v>
      </c>
      <c r="G1790" s="404" t="s">
        <v>45</v>
      </c>
      <c r="H1790" s="411">
        <v>351.5</v>
      </c>
      <c r="I1790" s="89">
        <f t="shared" si="314"/>
        <v>-31.634999999999998</v>
      </c>
      <c r="J1790" s="391">
        <f t="shared" si="315"/>
        <v>-6.9784999999999995</v>
      </c>
      <c r="K1790" s="90">
        <f t="shared" si="316"/>
        <v>312.88650000000001</v>
      </c>
      <c r="L1790" s="131">
        <v>690</v>
      </c>
      <c r="M1790" s="187">
        <v>47.8</v>
      </c>
      <c r="N1790" s="91">
        <f t="shared" si="300"/>
        <v>220.3</v>
      </c>
      <c r="O1790" s="411">
        <f t="shared" si="299"/>
        <v>92.586500000000001</v>
      </c>
      <c r="P1790" s="132" t="s">
        <v>86</v>
      </c>
      <c r="Q1790" s="232"/>
      <c r="R1790" s="411"/>
      <c r="T1790" s="134" t="s">
        <v>145</v>
      </c>
      <c r="U1790" s="267" t="s">
        <v>4230</v>
      </c>
      <c r="AA1790" s="218"/>
    </row>
    <row r="1791" spans="1:27" ht="24" x14ac:dyDescent="0.25">
      <c r="A1791" s="405">
        <v>3001351</v>
      </c>
      <c r="B1791" s="406">
        <v>42453</v>
      </c>
      <c r="C1791" s="405" t="s">
        <v>42</v>
      </c>
      <c r="D1791" s="401" t="s">
        <v>4231</v>
      </c>
      <c r="E1791" s="120">
        <v>125</v>
      </c>
      <c r="F1791" s="133" t="s">
        <v>247</v>
      </c>
      <c r="G1791" s="404" t="s">
        <v>45</v>
      </c>
      <c r="H1791" s="411">
        <v>151.72999999999999</v>
      </c>
      <c r="I1791" s="89">
        <f t="shared" si="314"/>
        <v>-13.655699999999998</v>
      </c>
      <c r="J1791" s="391">
        <f t="shared" si="315"/>
        <v>-3.1828699999999994</v>
      </c>
      <c r="K1791" s="90">
        <f t="shared" si="316"/>
        <v>134.89142999999999</v>
      </c>
      <c r="L1791" s="131">
        <v>480</v>
      </c>
      <c r="M1791" s="187">
        <v>31.38</v>
      </c>
      <c r="N1791" s="91">
        <f t="shared" si="300"/>
        <v>91.38</v>
      </c>
      <c r="O1791" s="411">
        <f t="shared" si="299"/>
        <v>43.51142999999999</v>
      </c>
      <c r="P1791" s="132" t="s">
        <v>52</v>
      </c>
      <c r="Q1791" s="232"/>
      <c r="R1791" s="411"/>
      <c r="T1791" s="134" t="s">
        <v>145</v>
      </c>
      <c r="U1791" s="267" t="s">
        <v>4232</v>
      </c>
      <c r="AA1791" s="218"/>
    </row>
    <row r="1792" spans="1:27" ht="24" customHeight="1" x14ac:dyDescent="0.25">
      <c r="A1792" s="419">
        <v>3001352</v>
      </c>
      <c r="B1792" s="421">
        <v>42453</v>
      </c>
      <c r="C1792" s="419" t="s">
        <v>42</v>
      </c>
      <c r="D1792" s="429" t="s">
        <v>4233</v>
      </c>
      <c r="E1792" s="120">
        <v>100</v>
      </c>
      <c r="F1792" s="133" t="s">
        <v>288</v>
      </c>
      <c r="G1792" s="434" t="s">
        <v>45</v>
      </c>
      <c r="H1792" s="427">
        <v>320.16000000000003</v>
      </c>
      <c r="I1792" s="452">
        <f t="shared" si="314"/>
        <v>-28.814400000000003</v>
      </c>
      <c r="J1792" s="425">
        <f t="shared" si="315"/>
        <v>-6.3830400000000003</v>
      </c>
      <c r="K1792" s="425">
        <f t="shared" si="316"/>
        <v>284.96256000000005</v>
      </c>
      <c r="L1792" s="131">
        <v>950</v>
      </c>
      <c r="M1792" s="187">
        <v>31.75</v>
      </c>
      <c r="N1792" s="91">
        <f t="shared" si="300"/>
        <v>126.75</v>
      </c>
      <c r="O1792" s="411">
        <f t="shared" si="299"/>
        <v>158.21256000000005</v>
      </c>
      <c r="P1792" s="132" t="s">
        <v>52</v>
      </c>
      <c r="Q1792" s="232"/>
      <c r="R1792" s="411"/>
      <c r="T1792" s="470" t="s">
        <v>145</v>
      </c>
      <c r="U1792" s="267" t="s">
        <v>4234</v>
      </c>
      <c r="AA1792" s="218"/>
    </row>
    <row r="1793" spans="1:27" x14ac:dyDescent="0.25">
      <c r="A1793" s="420"/>
      <c r="B1793" s="422"/>
      <c r="C1793" s="420"/>
      <c r="D1793" s="431"/>
      <c r="E1793" s="120">
        <v>250</v>
      </c>
      <c r="F1793" s="133" t="s">
        <v>1137</v>
      </c>
      <c r="G1793" s="436"/>
      <c r="H1793" s="428"/>
      <c r="I1793" s="453"/>
      <c r="J1793" s="426"/>
      <c r="K1793" s="426"/>
      <c r="L1793" s="131">
        <v>250</v>
      </c>
      <c r="M1793" s="187">
        <v>24.42</v>
      </c>
      <c r="N1793" s="91">
        <f t="shared" si="300"/>
        <v>86.92</v>
      </c>
      <c r="O1793" s="411">
        <f t="shared" si="299"/>
        <v>-86.92</v>
      </c>
      <c r="P1793" s="132" t="s">
        <v>52</v>
      </c>
      <c r="Q1793" s="232"/>
      <c r="R1793" s="411"/>
      <c r="T1793" s="472"/>
      <c r="U1793" s="267" t="s">
        <v>4235</v>
      </c>
      <c r="AA1793" s="218"/>
    </row>
    <row r="1794" spans="1:27" ht="24" x14ac:dyDescent="0.25">
      <c r="A1794" s="405">
        <v>3001353</v>
      </c>
      <c r="B1794" s="406">
        <v>42453</v>
      </c>
      <c r="C1794" s="405" t="s">
        <v>42</v>
      </c>
      <c r="D1794" s="401" t="s">
        <v>4236</v>
      </c>
      <c r="E1794" s="120">
        <v>350</v>
      </c>
      <c r="F1794" s="133" t="s">
        <v>227</v>
      </c>
      <c r="G1794" s="404" t="s">
        <v>45</v>
      </c>
      <c r="H1794" s="411">
        <v>332.07</v>
      </c>
      <c r="I1794" s="89">
        <f t="shared" si="314"/>
        <v>-29.886299999999999</v>
      </c>
      <c r="J1794" s="391">
        <f t="shared" si="315"/>
        <v>-6.6093299999999999</v>
      </c>
      <c r="K1794" s="90">
        <f t="shared" si="316"/>
        <v>295.57436999999999</v>
      </c>
      <c r="L1794" s="131">
        <v>350</v>
      </c>
      <c r="M1794" s="187">
        <v>47.55</v>
      </c>
      <c r="N1794" s="91">
        <f t="shared" si="300"/>
        <v>170.05</v>
      </c>
      <c r="O1794" s="411">
        <f t="shared" si="299"/>
        <v>125.52436999999998</v>
      </c>
      <c r="P1794" s="132" t="s">
        <v>52</v>
      </c>
      <c r="Q1794" s="232"/>
      <c r="R1794" s="411"/>
      <c r="T1794" s="134" t="s">
        <v>145</v>
      </c>
      <c r="U1794" s="267" t="s">
        <v>4237</v>
      </c>
      <c r="AA1794" s="218"/>
    </row>
    <row r="1795" spans="1:27" ht="24" x14ac:dyDescent="0.25">
      <c r="A1795" s="405">
        <v>3001354</v>
      </c>
      <c r="B1795" s="406">
        <v>42453</v>
      </c>
      <c r="C1795" s="405" t="s">
        <v>42</v>
      </c>
      <c r="D1795" s="401" t="s">
        <v>4238</v>
      </c>
      <c r="E1795" s="120">
        <v>100</v>
      </c>
      <c r="F1795" s="133" t="s">
        <v>431</v>
      </c>
      <c r="G1795" s="404" t="s">
        <v>45</v>
      </c>
      <c r="H1795" s="411">
        <v>216.11</v>
      </c>
      <c r="I1795" s="89">
        <f t="shared" si="314"/>
        <v>-19.4499</v>
      </c>
      <c r="J1795" s="391">
        <f t="shared" si="315"/>
        <v>-4.4060899999999998</v>
      </c>
      <c r="K1795" s="90">
        <f t="shared" si="316"/>
        <v>192.25400999999999</v>
      </c>
      <c r="L1795" s="131">
        <v>990</v>
      </c>
      <c r="M1795" s="187">
        <v>48.85</v>
      </c>
      <c r="N1795" s="91">
        <f t="shared" si="300"/>
        <v>147.85</v>
      </c>
      <c r="O1795" s="411">
        <f t="shared" si="299"/>
        <v>44.40401</v>
      </c>
      <c r="P1795" s="132" t="s">
        <v>52</v>
      </c>
      <c r="Q1795" s="232"/>
      <c r="R1795" s="411"/>
      <c r="T1795" s="134" t="s">
        <v>145</v>
      </c>
      <c r="U1795" s="267" t="s">
        <v>4239</v>
      </c>
      <c r="AA1795" s="218"/>
    </row>
    <row r="1796" spans="1:27" ht="24" x14ac:dyDescent="0.25">
      <c r="A1796" s="405">
        <v>3001355</v>
      </c>
      <c r="B1796" s="406">
        <v>42453</v>
      </c>
      <c r="C1796" s="405" t="s">
        <v>42</v>
      </c>
      <c r="D1796" s="401" t="s">
        <v>4240</v>
      </c>
      <c r="E1796" s="120">
        <v>300</v>
      </c>
      <c r="F1796" s="133" t="s">
        <v>165</v>
      </c>
      <c r="G1796" s="404" t="s">
        <v>45</v>
      </c>
      <c r="H1796" s="411">
        <v>303.93</v>
      </c>
      <c r="I1796" s="89">
        <f t="shared" si="314"/>
        <v>-27.3537</v>
      </c>
      <c r="J1796" s="391">
        <f t="shared" si="315"/>
        <v>-6.0746700000000002</v>
      </c>
      <c r="K1796" s="90">
        <f t="shared" si="316"/>
        <v>270.50162999999998</v>
      </c>
      <c r="L1796" s="131">
        <v>480</v>
      </c>
      <c r="M1796" s="187">
        <v>45.63</v>
      </c>
      <c r="N1796" s="91">
        <f t="shared" si="300"/>
        <v>189.63</v>
      </c>
      <c r="O1796" s="411">
        <f t="shared" si="299"/>
        <v>80.871629999999982</v>
      </c>
      <c r="P1796" s="132" t="s">
        <v>86</v>
      </c>
      <c r="Q1796" s="232"/>
      <c r="R1796" s="411"/>
      <c r="T1796" s="134" t="s">
        <v>145</v>
      </c>
      <c r="U1796" s="267" t="s">
        <v>4241</v>
      </c>
      <c r="AA1796" s="218"/>
    </row>
    <row r="1797" spans="1:27" x14ac:dyDescent="0.25">
      <c r="A1797" s="419">
        <v>3001356</v>
      </c>
      <c r="B1797" s="421">
        <v>42453</v>
      </c>
      <c r="C1797" s="419" t="s">
        <v>42</v>
      </c>
      <c r="D1797" s="417" t="s">
        <v>4242</v>
      </c>
      <c r="E1797" s="120">
        <v>500</v>
      </c>
      <c r="F1797" s="133" t="s">
        <v>4243</v>
      </c>
      <c r="G1797" s="434" t="s">
        <v>45</v>
      </c>
      <c r="H1797" s="427">
        <v>342.62</v>
      </c>
      <c r="I1797" s="452">
        <f t="shared" si="314"/>
        <v>-30.835799999999999</v>
      </c>
      <c r="J1797" s="425">
        <f t="shared" si="315"/>
        <v>-6.8097799999999999</v>
      </c>
      <c r="K1797" s="425">
        <f t="shared" si="316"/>
        <v>304.97442000000001</v>
      </c>
      <c r="L1797" s="187">
        <v>176</v>
      </c>
      <c r="M1797" s="187">
        <v>21.28</v>
      </c>
      <c r="N1797" s="91">
        <f t="shared" si="300"/>
        <v>109.28</v>
      </c>
      <c r="O1797" s="411">
        <f t="shared" si="299"/>
        <v>195.69442000000001</v>
      </c>
      <c r="P1797" s="132" t="s">
        <v>183</v>
      </c>
      <c r="Q1797" s="232"/>
      <c r="R1797" s="411"/>
      <c r="T1797" s="439" t="s">
        <v>145</v>
      </c>
      <c r="U1797" s="267" t="s">
        <v>4244</v>
      </c>
      <c r="AA1797" s="218"/>
    </row>
    <row r="1798" spans="1:27" x14ac:dyDescent="0.25">
      <c r="A1798" s="420"/>
      <c r="B1798" s="422"/>
      <c r="C1798" s="420"/>
      <c r="D1798" s="418"/>
      <c r="E1798" s="120">
        <v>500</v>
      </c>
      <c r="F1798" s="133" t="s">
        <v>4245</v>
      </c>
      <c r="G1798" s="436"/>
      <c r="H1798" s="428"/>
      <c r="I1798" s="453"/>
      <c r="J1798" s="426"/>
      <c r="K1798" s="426"/>
      <c r="L1798" s="187">
        <v>225</v>
      </c>
      <c r="M1798" s="187">
        <v>25.7</v>
      </c>
      <c r="N1798" s="91">
        <f t="shared" si="300"/>
        <v>138.19999999999999</v>
      </c>
      <c r="O1798" s="411">
        <f t="shared" si="299"/>
        <v>-138.19999999999999</v>
      </c>
      <c r="P1798" s="132" t="s">
        <v>183</v>
      </c>
      <c r="Q1798" s="232"/>
      <c r="R1798" s="411"/>
      <c r="T1798" s="441"/>
      <c r="U1798" s="267" t="s">
        <v>4246</v>
      </c>
      <c r="AA1798" s="218"/>
    </row>
    <row r="1799" spans="1:27" ht="24" x14ac:dyDescent="0.25">
      <c r="A1799" s="405">
        <v>3001357</v>
      </c>
      <c r="B1799" s="406">
        <v>42453</v>
      </c>
      <c r="C1799" s="405" t="s">
        <v>237</v>
      </c>
      <c r="D1799" s="401" t="s">
        <v>4247</v>
      </c>
      <c r="E1799" s="120">
        <v>100</v>
      </c>
      <c r="F1799" s="133" t="s">
        <v>590</v>
      </c>
      <c r="G1799" s="404" t="s">
        <v>45</v>
      </c>
      <c r="H1799" s="411">
        <v>135.16</v>
      </c>
      <c r="I1799" s="397">
        <f>-(H1799*0.15)</f>
        <v>-20.273999999999997</v>
      </c>
      <c r="J1799" s="411">
        <v>0</v>
      </c>
      <c r="K1799" s="90">
        <f t="shared" si="316"/>
        <v>114.886</v>
      </c>
      <c r="L1799" s="131">
        <v>620</v>
      </c>
      <c r="M1799" s="187">
        <v>38.340000000000003</v>
      </c>
      <c r="N1799" s="91">
        <f t="shared" si="300"/>
        <v>100.34</v>
      </c>
      <c r="O1799" s="411">
        <f t="shared" si="299"/>
        <v>14.545999999999992</v>
      </c>
      <c r="P1799" s="132" t="s">
        <v>52</v>
      </c>
      <c r="Q1799" s="232"/>
      <c r="R1799" s="411"/>
      <c r="T1799" s="134" t="s">
        <v>145</v>
      </c>
      <c r="U1799" s="267" t="s">
        <v>4248</v>
      </c>
      <c r="AA1799" s="218"/>
    </row>
    <row r="1800" spans="1:27" ht="24" x14ac:dyDescent="0.25">
      <c r="A1800" s="405">
        <v>3001358</v>
      </c>
      <c r="B1800" s="406">
        <v>42453</v>
      </c>
      <c r="C1800" s="405" t="s">
        <v>237</v>
      </c>
      <c r="D1800" s="401" t="s">
        <v>4249</v>
      </c>
      <c r="E1800" s="120">
        <v>600</v>
      </c>
      <c r="F1800" s="133" t="s">
        <v>829</v>
      </c>
      <c r="G1800" s="404" t="s">
        <v>45</v>
      </c>
      <c r="H1800" s="411">
        <v>547.05999999999995</v>
      </c>
      <c r="I1800" s="397">
        <f>-(H1800*0.15)</f>
        <v>-82.058999999999983</v>
      </c>
      <c r="J1800" s="411">
        <v>0</v>
      </c>
      <c r="K1800" s="90">
        <f t="shared" si="316"/>
        <v>465.00099999999998</v>
      </c>
      <c r="L1800" s="131">
        <v>510</v>
      </c>
      <c r="M1800" s="187">
        <v>201.31</v>
      </c>
      <c r="N1800" s="91">
        <f t="shared" si="300"/>
        <v>507.31</v>
      </c>
      <c r="O1800" s="411">
        <f t="shared" si="299"/>
        <v>-42.309000000000026</v>
      </c>
      <c r="P1800" s="132" t="s">
        <v>52</v>
      </c>
      <c r="Q1800" s="232"/>
      <c r="R1800" s="411"/>
      <c r="T1800" s="134" t="s">
        <v>1209</v>
      </c>
      <c r="U1800" s="267" t="s">
        <v>4250</v>
      </c>
      <c r="V1800" s="133" t="s">
        <v>55</v>
      </c>
      <c r="AA1800" s="218"/>
    </row>
    <row r="1801" spans="1:27" ht="24" x14ac:dyDescent="0.25">
      <c r="A1801" s="405">
        <v>3001359</v>
      </c>
      <c r="B1801" s="406">
        <v>42453</v>
      </c>
      <c r="C1801" s="405" t="s">
        <v>237</v>
      </c>
      <c r="D1801" s="401" t="s">
        <v>4251</v>
      </c>
      <c r="E1801" s="120">
        <v>50</v>
      </c>
      <c r="F1801" s="133" t="s">
        <v>161</v>
      </c>
      <c r="G1801" s="404" t="s">
        <v>45</v>
      </c>
      <c r="H1801" s="411">
        <v>111.57</v>
      </c>
      <c r="I1801" s="397">
        <f>-(H1801*0.15)</f>
        <v>-16.735499999999998</v>
      </c>
      <c r="J1801" s="411">
        <v>0</v>
      </c>
      <c r="K1801" s="90">
        <f t="shared" si="316"/>
        <v>94.834499999999991</v>
      </c>
      <c r="L1801" s="131">
        <v>1322</v>
      </c>
      <c r="M1801" s="187">
        <v>38.65</v>
      </c>
      <c r="N1801" s="91">
        <f t="shared" si="300"/>
        <v>104.75</v>
      </c>
      <c r="O1801" s="411">
        <f t="shared" ref="O1801:O1864" si="317">K1801-N1801</f>
        <v>-9.9155000000000086</v>
      </c>
      <c r="P1801" s="132" t="s">
        <v>52</v>
      </c>
      <c r="Q1801" s="232"/>
      <c r="R1801" s="411"/>
      <c r="T1801" s="134" t="s">
        <v>145</v>
      </c>
      <c r="U1801" s="267" t="s">
        <v>4252</v>
      </c>
      <c r="AA1801" s="218"/>
    </row>
    <row r="1802" spans="1:27" ht="24" x14ac:dyDescent="0.25">
      <c r="A1802" s="405">
        <v>3001360</v>
      </c>
      <c r="B1802" s="406">
        <v>42453</v>
      </c>
      <c r="C1802" s="405" t="s">
        <v>237</v>
      </c>
      <c r="D1802" s="401" t="s">
        <v>4253</v>
      </c>
      <c r="E1802" s="120">
        <v>250</v>
      </c>
      <c r="F1802" s="133" t="s">
        <v>1042</v>
      </c>
      <c r="G1802" s="404" t="s">
        <v>45</v>
      </c>
      <c r="H1802" s="411">
        <v>359.14</v>
      </c>
      <c r="I1802" s="397">
        <f>-(H1802*0.15)</f>
        <v>-53.870999999999995</v>
      </c>
      <c r="J1802" s="411">
        <v>0</v>
      </c>
      <c r="K1802" s="90">
        <f t="shared" si="316"/>
        <v>305.26900000000001</v>
      </c>
      <c r="M1802" s="187">
        <v>23.09</v>
      </c>
      <c r="N1802" s="91">
        <f t="shared" si="300"/>
        <v>23.09</v>
      </c>
      <c r="O1802" s="411">
        <f t="shared" si="317"/>
        <v>282.17900000000003</v>
      </c>
      <c r="P1802" s="132" t="s">
        <v>52</v>
      </c>
      <c r="Q1802" s="232"/>
      <c r="R1802" s="411"/>
      <c r="T1802" s="134" t="s">
        <v>145</v>
      </c>
      <c r="U1802" s="267" t="s">
        <v>4254</v>
      </c>
      <c r="AA1802" s="218"/>
    </row>
    <row r="1803" spans="1:27" ht="24" x14ac:dyDescent="0.25">
      <c r="A1803" s="419">
        <v>3001361</v>
      </c>
      <c r="B1803" s="421">
        <v>42453</v>
      </c>
      <c r="C1803" s="419" t="s">
        <v>56</v>
      </c>
      <c r="D1803" s="417" t="s">
        <v>4101</v>
      </c>
      <c r="E1803" s="120">
        <v>500</v>
      </c>
      <c r="F1803" s="133" t="s">
        <v>438</v>
      </c>
      <c r="G1803" s="434" t="s">
        <v>45</v>
      </c>
      <c r="H1803" s="427">
        <v>1400</v>
      </c>
      <c r="I1803" s="427">
        <v>0</v>
      </c>
      <c r="J1803" s="427">
        <v>0</v>
      </c>
      <c r="K1803" s="425">
        <f t="shared" si="316"/>
        <v>1400</v>
      </c>
      <c r="M1803" s="187">
        <v>19.190000000000001</v>
      </c>
      <c r="N1803" s="91">
        <f t="shared" si="300"/>
        <v>19.190000000000001</v>
      </c>
      <c r="O1803" s="411">
        <f t="shared" si="317"/>
        <v>1380.81</v>
      </c>
      <c r="P1803" s="132" t="s">
        <v>52</v>
      </c>
      <c r="Q1803" s="232"/>
      <c r="R1803" s="411"/>
      <c r="T1803" s="134" t="s">
        <v>145</v>
      </c>
      <c r="U1803" s="267" t="s">
        <v>4255</v>
      </c>
      <c r="V1803" s="133" t="s">
        <v>3181</v>
      </c>
      <c r="W1803" s="153" t="s">
        <v>4256</v>
      </c>
      <c r="AA1803" s="218"/>
    </row>
    <row r="1804" spans="1:27" ht="24" x14ac:dyDescent="0.25">
      <c r="A1804" s="420"/>
      <c r="B1804" s="422"/>
      <c r="C1804" s="420"/>
      <c r="D1804" s="418"/>
      <c r="E1804" s="120">
        <v>500</v>
      </c>
      <c r="F1804" s="133" t="s">
        <v>117</v>
      </c>
      <c r="G1804" s="436"/>
      <c r="H1804" s="428"/>
      <c r="I1804" s="428"/>
      <c r="J1804" s="428"/>
      <c r="K1804" s="426"/>
      <c r="L1804" s="131">
        <v>1367</v>
      </c>
      <c r="M1804" s="131">
        <v>150</v>
      </c>
      <c r="N1804" s="91">
        <f t="shared" si="300"/>
        <v>833.5</v>
      </c>
      <c r="O1804" s="411">
        <f t="shared" si="317"/>
        <v>-833.5</v>
      </c>
      <c r="P1804" s="132" t="s">
        <v>313</v>
      </c>
      <c r="Q1804" s="232"/>
      <c r="R1804" s="411"/>
      <c r="T1804" s="134" t="s">
        <v>473</v>
      </c>
      <c r="U1804" s="267" t="s">
        <v>4257</v>
      </c>
      <c r="V1804" s="133" t="s">
        <v>4258</v>
      </c>
      <c r="AA1804" s="218"/>
    </row>
    <row r="1805" spans="1:27" ht="24" x14ac:dyDescent="0.25">
      <c r="A1805" s="405">
        <v>3001362</v>
      </c>
      <c r="B1805" s="406">
        <v>42453</v>
      </c>
      <c r="C1805" s="405" t="s">
        <v>56</v>
      </c>
      <c r="D1805" s="401" t="s">
        <v>4259</v>
      </c>
      <c r="E1805" s="120">
        <v>100</v>
      </c>
      <c r="F1805" s="133" t="s">
        <v>4260</v>
      </c>
      <c r="G1805" s="404" t="s">
        <v>45</v>
      </c>
      <c r="H1805" s="411">
        <v>330</v>
      </c>
      <c r="I1805" s="411">
        <v>0</v>
      </c>
      <c r="J1805" s="411">
        <v>0</v>
      </c>
      <c r="K1805" s="90">
        <f t="shared" si="316"/>
        <v>330</v>
      </c>
      <c r="N1805" s="91">
        <f t="shared" si="300"/>
        <v>0</v>
      </c>
      <c r="O1805" s="411">
        <f t="shared" si="317"/>
        <v>330</v>
      </c>
      <c r="P1805" s="132" t="s">
        <v>52</v>
      </c>
      <c r="Q1805" s="232"/>
      <c r="R1805" s="411"/>
      <c r="T1805" s="134" t="s">
        <v>145</v>
      </c>
      <c r="U1805" s="267" t="s">
        <v>4261</v>
      </c>
      <c r="V1805" s="133" t="s">
        <v>3214</v>
      </c>
      <c r="W1805" s="153" t="s">
        <v>4262</v>
      </c>
      <c r="AA1805" s="218"/>
    </row>
    <row r="1806" spans="1:27" ht="24" x14ac:dyDescent="0.25">
      <c r="A1806" s="419">
        <v>3001363</v>
      </c>
      <c r="B1806" s="421">
        <v>42453</v>
      </c>
      <c r="C1806" s="419" t="s">
        <v>56</v>
      </c>
      <c r="D1806" s="429" t="s">
        <v>1303</v>
      </c>
      <c r="E1806" s="120">
        <v>1500</v>
      </c>
      <c r="F1806" s="133" t="s">
        <v>4263</v>
      </c>
      <c r="G1806" s="434" t="s">
        <v>45</v>
      </c>
      <c r="H1806" s="427">
        <v>556.25</v>
      </c>
      <c r="I1806" s="427">
        <v>0</v>
      </c>
      <c r="J1806" s="427">
        <v>0</v>
      </c>
      <c r="K1806" s="425">
        <f t="shared" si="316"/>
        <v>556.25</v>
      </c>
      <c r="L1806" s="187">
        <v>120</v>
      </c>
      <c r="M1806" s="187">
        <v>41.66</v>
      </c>
      <c r="N1806" s="91">
        <f t="shared" si="300"/>
        <v>221.66</v>
      </c>
      <c r="O1806" s="411">
        <f t="shared" si="317"/>
        <v>334.59000000000003</v>
      </c>
      <c r="P1806" s="132" t="s">
        <v>235</v>
      </c>
      <c r="Q1806" s="232"/>
      <c r="R1806" s="411"/>
      <c r="T1806" s="439" t="s">
        <v>145</v>
      </c>
      <c r="U1806" s="267" t="s">
        <v>4264</v>
      </c>
      <c r="V1806" s="133" t="s">
        <v>3181</v>
      </c>
      <c r="W1806" s="153" t="s">
        <v>1796</v>
      </c>
      <c r="AA1806" s="218"/>
    </row>
    <row r="1807" spans="1:27" x14ac:dyDescent="0.25">
      <c r="A1807" s="420"/>
      <c r="B1807" s="422"/>
      <c r="C1807" s="420"/>
      <c r="D1807" s="431"/>
      <c r="E1807" s="120">
        <v>1000</v>
      </c>
      <c r="F1807" s="133" t="s">
        <v>4265</v>
      </c>
      <c r="G1807" s="436"/>
      <c r="H1807" s="428"/>
      <c r="I1807" s="428"/>
      <c r="J1807" s="428"/>
      <c r="K1807" s="426"/>
      <c r="L1807" s="187">
        <v>200</v>
      </c>
      <c r="M1807" s="187">
        <v>27.19</v>
      </c>
      <c r="N1807" s="91">
        <f t="shared" ref="N1807:N1870" si="318">((L1807)*(E1807*0.001))+M1807</f>
        <v>227.19</v>
      </c>
      <c r="O1807" s="411">
        <f t="shared" si="317"/>
        <v>-227.19</v>
      </c>
      <c r="P1807" s="132" t="s">
        <v>235</v>
      </c>
      <c r="Q1807" s="232"/>
      <c r="R1807" s="411"/>
      <c r="T1807" s="441"/>
      <c r="U1807" s="267" t="s">
        <v>4266</v>
      </c>
      <c r="AA1807" s="218"/>
    </row>
    <row r="1808" spans="1:27" ht="24" x14ac:dyDescent="0.25">
      <c r="A1808" s="405">
        <v>3001364</v>
      </c>
      <c r="B1808" s="406">
        <v>42453</v>
      </c>
      <c r="C1808" s="405" t="s">
        <v>63</v>
      </c>
      <c r="D1808" s="401" t="s">
        <v>4267</v>
      </c>
      <c r="E1808" s="120">
        <v>200</v>
      </c>
      <c r="F1808" s="133" t="s">
        <v>189</v>
      </c>
      <c r="G1808" s="404" t="s">
        <v>45</v>
      </c>
      <c r="H1808" s="411">
        <v>464.92</v>
      </c>
      <c r="I1808" s="411">
        <v>0</v>
      </c>
      <c r="J1808" s="90">
        <f>-((H1808*0.022)+0.3)</f>
        <v>-10.52824</v>
      </c>
      <c r="K1808" s="90">
        <f t="shared" si="316"/>
        <v>454.39176000000003</v>
      </c>
      <c r="L1808" s="131">
        <v>1322</v>
      </c>
      <c r="M1808" s="187">
        <v>63.62</v>
      </c>
      <c r="N1808" s="91">
        <f t="shared" si="318"/>
        <v>328.02000000000004</v>
      </c>
      <c r="O1808" s="411">
        <f t="shared" si="317"/>
        <v>126.37175999999999</v>
      </c>
      <c r="P1808" s="132" t="s">
        <v>86</v>
      </c>
      <c r="Q1808" s="232"/>
      <c r="R1808" s="411">
        <v>37.9</v>
      </c>
      <c r="S1808" s="133" t="s">
        <v>4268</v>
      </c>
      <c r="T1808" s="134" t="s">
        <v>145</v>
      </c>
      <c r="U1808" s="267" t="s">
        <v>4269</v>
      </c>
      <c r="W1808" s="153" t="s">
        <v>4270</v>
      </c>
      <c r="AA1808" s="218"/>
    </row>
    <row r="1809" spans="1:27" x14ac:dyDescent="0.25">
      <c r="A1809" s="419">
        <v>3001365</v>
      </c>
      <c r="B1809" s="421">
        <v>42453</v>
      </c>
      <c r="C1809" s="419" t="s">
        <v>63</v>
      </c>
      <c r="D1809" s="417" t="s">
        <v>4271</v>
      </c>
      <c r="E1809" s="120">
        <v>1000</v>
      </c>
      <c r="F1809" s="133" t="s">
        <v>4272</v>
      </c>
      <c r="G1809" s="434" t="s">
        <v>45</v>
      </c>
      <c r="H1809" s="427">
        <v>1063.26</v>
      </c>
      <c r="I1809" s="427">
        <v>0</v>
      </c>
      <c r="J1809" s="425">
        <f>-((H1809*0.022)+0.3)</f>
        <v>-23.69172</v>
      </c>
      <c r="K1809" s="425">
        <f t="shared" si="316"/>
        <v>1039.56828</v>
      </c>
      <c r="L1809" s="187">
        <v>269</v>
      </c>
      <c r="M1809" s="131">
        <v>0</v>
      </c>
      <c r="N1809" s="91">
        <f t="shared" si="318"/>
        <v>269</v>
      </c>
      <c r="O1809" s="411">
        <f t="shared" si="317"/>
        <v>770.56827999999996</v>
      </c>
      <c r="P1809" s="132" t="s">
        <v>59</v>
      </c>
      <c r="Q1809" s="232"/>
      <c r="R1809" s="411"/>
      <c r="T1809" s="439" t="s">
        <v>639</v>
      </c>
      <c r="U1809" s="446" t="s">
        <v>4273</v>
      </c>
      <c r="W1809" s="153" t="s">
        <v>4274</v>
      </c>
      <c r="AA1809" s="218"/>
    </row>
    <row r="1810" spans="1:27" x14ac:dyDescent="0.25">
      <c r="A1810" s="432"/>
      <c r="B1810" s="433"/>
      <c r="C1810" s="432"/>
      <c r="D1810" s="454"/>
      <c r="E1810" s="120">
        <v>1000</v>
      </c>
      <c r="F1810" s="198" t="s">
        <v>4275</v>
      </c>
      <c r="G1810" s="435"/>
      <c r="H1810" s="438"/>
      <c r="I1810" s="438"/>
      <c r="J1810" s="437"/>
      <c r="K1810" s="437"/>
      <c r="L1810" s="187">
        <v>269</v>
      </c>
      <c r="M1810" s="131">
        <v>0</v>
      </c>
      <c r="N1810" s="91">
        <f t="shared" si="318"/>
        <v>269</v>
      </c>
      <c r="O1810" s="411">
        <f t="shared" si="317"/>
        <v>-269</v>
      </c>
      <c r="P1810" s="132" t="s">
        <v>59</v>
      </c>
      <c r="Q1810" s="232"/>
      <c r="R1810" s="411"/>
      <c r="T1810" s="441"/>
      <c r="U1810" s="447"/>
      <c r="AA1810" s="218"/>
    </row>
    <row r="1811" spans="1:27" ht="24" x14ac:dyDescent="0.25">
      <c r="A1811" s="420"/>
      <c r="B1811" s="422"/>
      <c r="C1811" s="420"/>
      <c r="D1811" s="418"/>
      <c r="E1811" s="120">
        <v>1198</v>
      </c>
      <c r="F1811" s="133" t="s">
        <v>4276</v>
      </c>
      <c r="G1811" s="436"/>
      <c r="H1811" s="428"/>
      <c r="I1811" s="428"/>
      <c r="J1811" s="426"/>
      <c r="K1811" s="426"/>
      <c r="M1811" s="187">
        <v>88.45</v>
      </c>
      <c r="N1811" s="91">
        <f t="shared" si="318"/>
        <v>88.45</v>
      </c>
      <c r="O1811" s="411">
        <f t="shared" si="317"/>
        <v>-88.45</v>
      </c>
      <c r="P1811" s="132" t="s">
        <v>52</v>
      </c>
      <c r="Q1811" s="232"/>
      <c r="R1811" s="411"/>
      <c r="T1811" s="134" t="s">
        <v>145</v>
      </c>
      <c r="U1811" s="267" t="s">
        <v>4277</v>
      </c>
      <c r="V1811" s="133" t="s">
        <v>4278</v>
      </c>
      <c r="AA1811" s="218"/>
    </row>
    <row r="1812" spans="1:27" x14ac:dyDescent="0.25">
      <c r="A1812" s="405">
        <v>3001366</v>
      </c>
      <c r="B1812" s="406">
        <v>42453</v>
      </c>
      <c r="C1812" s="405" t="s">
        <v>63</v>
      </c>
      <c r="D1812" s="401" t="s">
        <v>4279</v>
      </c>
      <c r="E1812" s="120">
        <v>2000</v>
      </c>
      <c r="F1812" s="133" t="s">
        <v>4280</v>
      </c>
      <c r="G1812" s="404" t="s">
        <v>45</v>
      </c>
      <c r="H1812" s="411">
        <v>740</v>
      </c>
      <c r="I1812" s="411">
        <v>0</v>
      </c>
      <c r="J1812" s="90">
        <f>-((H1812*0.022)+0.3)</f>
        <v>-16.579999999999998</v>
      </c>
      <c r="K1812" s="90">
        <f t="shared" ref="K1812:K1816" si="319">SUM(H1812:J1812)</f>
        <v>723.42</v>
      </c>
      <c r="M1812" s="187">
        <v>123.2</v>
      </c>
      <c r="N1812" s="91">
        <f t="shared" si="318"/>
        <v>123.2</v>
      </c>
      <c r="O1812" s="411">
        <f t="shared" si="317"/>
        <v>600.21999999999991</v>
      </c>
      <c r="P1812" s="132" t="s">
        <v>52</v>
      </c>
      <c r="Q1812" s="232"/>
      <c r="R1812" s="411"/>
      <c r="T1812" s="134" t="s">
        <v>97</v>
      </c>
      <c r="U1812" s="267" t="s">
        <v>4281</v>
      </c>
      <c r="V1812" s="133" t="s">
        <v>55</v>
      </c>
      <c r="W1812" s="153" t="s">
        <v>4282</v>
      </c>
      <c r="AA1812" s="218"/>
    </row>
    <row r="1813" spans="1:27" x14ac:dyDescent="0.25">
      <c r="A1813" s="419">
        <v>3001367</v>
      </c>
      <c r="B1813" s="421">
        <v>42453</v>
      </c>
      <c r="C1813" s="419" t="s">
        <v>63</v>
      </c>
      <c r="D1813" s="417" t="s">
        <v>4283</v>
      </c>
      <c r="E1813" s="120">
        <v>500</v>
      </c>
      <c r="F1813" s="133" t="s">
        <v>85</v>
      </c>
      <c r="G1813" s="434" t="s">
        <v>45</v>
      </c>
      <c r="H1813" s="427">
        <v>1290</v>
      </c>
      <c r="I1813" s="427">
        <v>0</v>
      </c>
      <c r="J1813" s="425">
        <f>-((H1813*0.022)+0.3)</f>
        <v>-28.68</v>
      </c>
      <c r="K1813" s="425">
        <f t="shared" si="319"/>
        <v>1261.32</v>
      </c>
      <c r="M1813" s="468">
        <v>290.14999999999998</v>
      </c>
      <c r="N1813" s="91">
        <f t="shared" si="318"/>
        <v>290.14999999999998</v>
      </c>
      <c r="O1813" s="411">
        <f t="shared" si="317"/>
        <v>971.17</v>
      </c>
      <c r="P1813" s="132" t="s">
        <v>52</v>
      </c>
      <c r="Q1813" s="232"/>
      <c r="R1813" s="411"/>
      <c r="T1813" s="439" t="s">
        <v>97</v>
      </c>
      <c r="U1813" s="446" t="s">
        <v>4284</v>
      </c>
      <c r="V1813" s="133" t="s">
        <v>55</v>
      </c>
      <c r="W1813" s="153" t="s">
        <v>4285</v>
      </c>
      <c r="AA1813" s="218"/>
    </row>
    <row r="1814" spans="1:27" x14ac:dyDescent="0.25">
      <c r="A1814" s="420"/>
      <c r="B1814" s="422"/>
      <c r="C1814" s="420"/>
      <c r="D1814" s="418"/>
      <c r="E1814" s="120">
        <v>500</v>
      </c>
      <c r="F1814" s="133" t="s">
        <v>954</v>
      </c>
      <c r="G1814" s="436"/>
      <c r="H1814" s="428"/>
      <c r="I1814" s="428"/>
      <c r="J1814" s="426"/>
      <c r="K1814" s="426"/>
      <c r="M1814" s="469"/>
      <c r="N1814" s="91">
        <f t="shared" si="318"/>
        <v>0</v>
      </c>
      <c r="O1814" s="411">
        <f t="shared" si="317"/>
        <v>0</v>
      </c>
      <c r="P1814" s="132" t="s">
        <v>52</v>
      </c>
      <c r="Q1814" s="232"/>
      <c r="R1814" s="411"/>
      <c r="T1814" s="441"/>
      <c r="U1814" s="447"/>
      <c r="AA1814" s="218"/>
    </row>
    <row r="1815" spans="1:27" ht="24" x14ac:dyDescent="0.25">
      <c r="A1815" s="405">
        <v>3001368</v>
      </c>
      <c r="B1815" s="406">
        <v>42453</v>
      </c>
      <c r="C1815" s="405" t="s">
        <v>56</v>
      </c>
      <c r="D1815" s="401" t="s">
        <v>4286</v>
      </c>
      <c r="E1815" s="120">
        <v>500</v>
      </c>
      <c r="F1815" s="133" t="s">
        <v>4287</v>
      </c>
      <c r="G1815" s="404" t="s">
        <v>45</v>
      </c>
      <c r="H1815" s="411">
        <v>300</v>
      </c>
      <c r="I1815" s="411">
        <v>0</v>
      </c>
      <c r="J1815" s="411">
        <v>0</v>
      </c>
      <c r="K1815" s="90">
        <f t="shared" si="319"/>
        <v>300</v>
      </c>
      <c r="L1815" s="187">
        <v>230</v>
      </c>
      <c r="M1815" s="187">
        <v>11.87</v>
      </c>
      <c r="N1815" s="91">
        <f t="shared" si="318"/>
        <v>126.87</v>
      </c>
      <c r="O1815" s="411">
        <f t="shared" si="317"/>
        <v>173.13</v>
      </c>
      <c r="P1815" s="132" t="s">
        <v>4288</v>
      </c>
      <c r="Q1815" s="232"/>
      <c r="R1815" s="411"/>
      <c r="T1815" s="134" t="s">
        <v>145</v>
      </c>
      <c r="U1815" s="267" t="s">
        <v>4289</v>
      </c>
      <c r="V1815" s="133" t="s">
        <v>4290</v>
      </c>
      <c r="AA1815" s="218"/>
    </row>
    <row r="1816" spans="1:27" x14ac:dyDescent="0.25">
      <c r="A1816" s="419">
        <v>3001369</v>
      </c>
      <c r="B1816" s="421">
        <v>42454</v>
      </c>
      <c r="C1816" s="419" t="s">
        <v>63</v>
      </c>
      <c r="D1816" s="417" t="s">
        <v>4291</v>
      </c>
      <c r="E1816" s="120">
        <v>500</v>
      </c>
      <c r="F1816" s="133" t="s">
        <v>4292</v>
      </c>
      <c r="G1816" s="434" t="s">
        <v>45</v>
      </c>
      <c r="H1816" s="427">
        <v>756.81</v>
      </c>
      <c r="I1816" s="427">
        <v>0</v>
      </c>
      <c r="J1816" s="425">
        <f>-((H1816*0.022)+0.3)</f>
        <v>-16.949819999999999</v>
      </c>
      <c r="K1816" s="425">
        <f t="shared" si="319"/>
        <v>739.8601799999999</v>
      </c>
      <c r="L1816" s="187">
        <v>120</v>
      </c>
      <c r="M1816" s="187">
        <v>21.39</v>
      </c>
      <c r="N1816" s="91">
        <f t="shared" si="318"/>
        <v>81.39</v>
      </c>
      <c r="O1816" s="411">
        <f t="shared" si="317"/>
        <v>658.47017999999991</v>
      </c>
      <c r="P1816" s="132" t="s">
        <v>235</v>
      </c>
      <c r="Q1816" s="232"/>
      <c r="R1816" s="411"/>
      <c r="T1816" s="470" t="s">
        <v>145</v>
      </c>
      <c r="U1816" s="446" t="s">
        <v>4293</v>
      </c>
      <c r="W1816" s="153" t="s">
        <v>4294</v>
      </c>
      <c r="AA1816" s="218"/>
    </row>
    <row r="1817" spans="1:27" x14ac:dyDescent="0.25">
      <c r="A1817" s="432"/>
      <c r="B1817" s="433"/>
      <c r="C1817" s="432"/>
      <c r="D1817" s="454"/>
      <c r="E1817" s="120">
        <v>500</v>
      </c>
      <c r="F1817" s="133" t="s">
        <v>4295</v>
      </c>
      <c r="G1817" s="435"/>
      <c r="H1817" s="438"/>
      <c r="I1817" s="438"/>
      <c r="J1817" s="437"/>
      <c r="K1817" s="437"/>
      <c r="L1817" s="187">
        <v>120</v>
      </c>
      <c r="M1817" s="187"/>
      <c r="N1817" s="91">
        <f t="shared" si="318"/>
        <v>60</v>
      </c>
      <c r="O1817" s="411">
        <f t="shared" si="317"/>
        <v>-60</v>
      </c>
      <c r="P1817" s="132" t="s">
        <v>235</v>
      </c>
      <c r="Q1817" s="232"/>
      <c r="R1817" s="411"/>
      <c r="T1817" s="471"/>
      <c r="U1817" s="448"/>
      <c r="AA1817" s="218"/>
    </row>
    <row r="1818" spans="1:27" x14ac:dyDescent="0.25">
      <c r="A1818" s="432"/>
      <c r="B1818" s="433"/>
      <c r="C1818" s="432"/>
      <c r="D1818" s="454"/>
      <c r="E1818" s="120">
        <v>500</v>
      </c>
      <c r="F1818" s="133" t="s">
        <v>4296</v>
      </c>
      <c r="G1818" s="435"/>
      <c r="H1818" s="438"/>
      <c r="I1818" s="438"/>
      <c r="J1818" s="437"/>
      <c r="K1818" s="437"/>
      <c r="L1818" s="187">
        <v>120</v>
      </c>
      <c r="M1818" s="187"/>
      <c r="N1818" s="91">
        <f t="shared" si="318"/>
        <v>60</v>
      </c>
      <c r="O1818" s="411">
        <f t="shared" si="317"/>
        <v>-60</v>
      </c>
      <c r="P1818" s="132" t="s">
        <v>235</v>
      </c>
      <c r="Q1818" s="232"/>
      <c r="R1818" s="411"/>
      <c r="T1818" s="471"/>
      <c r="U1818" s="448"/>
      <c r="AA1818" s="218"/>
    </row>
    <row r="1819" spans="1:27" x14ac:dyDescent="0.25">
      <c r="A1819" s="432"/>
      <c r="B1819" s="433"/>
      <c r="C1819" s="432"/>
      <c r="D1819" s="454"/>
      <c r="E1819" s="120">
        <v>150</v>
      </c>
      <c r="F1819" s="133" t="s">
        <v>4297</v>
      </c>
      <c r="G1819" s="435"/>
      <c r="H1819" s="438"/>
      <c r="I1819" s="438"/>
      <c r="J1819" s="437"/>
      <c r="K1819" s="437"/>
      <c r="L1819" s="187">
        <v>215</v>
      </c>
      <c r="M1819" s="187"/>
      <c r="N1819" s="91">
        <f t="shared" si="318"/>
        <v>32.25</v>
      </c>
      <c r="O1819" s="411">
        <f t="shared" si="317"/>
        <v>-32.25</v>
      </c>
      <c r="P1819" s="132" t="s">
        <v>235</v>
      </c>
      <c r="Q1819" s="232"/>
      <c r="R1819" s="411"/>
      <c r="T1819" s="471"/>
      <c r="U1819" s="447"/>
      <c r="AA1819" s="218"/>
    </row>
    <row r="1820" spans="1:27" x14ac:dyDescent="0.25">
      <c r="A1820" s="432"/>
      <c r="B1820" s="433"/>
      <c r="C1820" s="432"/>
      <c r="D1820" s="454"/>
      <c r="E1820" s="120">
        <v>150</v>
      </c>
      <c r="F1820" s="133" t="s">
        <v>4298</v>
      </c>
      <c r="G1820" s="435"/>
      <c r="H1820" s="438"/>
      <c r="I1820" s="438"/>
      <c r="J1820" s="437"/>
      <c r="K1820" s="437"/>
      <c r="L1820" s="187">
        <v>215</v>
      </c>
      <c r="M1820" s="187">
        <v>22.5</v>
      </c>
      <c r="N1820" s="91">
        <f t="shared" si="318"/>
        <v>54.75</v>
      </c>
      <c r="O1820" s="411">
        <f t="shared" si="317"/>
        <v>-54.75</v>
      </c>
      <c r="P1820" s="132" t="s">
        <v>235</v>
      </c>
      <c r="Q1820" s="232"/>
      <c r="R1820" s="411"/>
      <c r="T1820" s="471"/>
      <c r="U1820" s="446" t="s">
        <v>4299</v>
      </c>
      <c r="AA1820" s="218"/>
    </row>
    <row r="1821" spans="1:27" x14ac:dyDescent="0.25">
      <c r="A1821" s="432"/>
      <c r="B1821" s="433"/>
      <c r="C1821" s="432"/>
      <c r="D1821" s="454"/>
      <c r="E1821" s="120">
        <v>150</v>
      </c>
      <c r="F1821" s="133" t="s">
        <v>4300</v>
      </c>
      <c r="G1821" s="435"/>
      <c r="H1821" s="438"/>
      <c r="I1821" s="438"/>
      <c r="J1821" s="437"/>
      <c r="K1821" s="437"/>
      <c r="L1821" s="187">
        <v>215</v>
      </c>
      <c r="M1821" s="187"/>
      <c r="N1821" s="91">
        <f t="shared" si="318"/>
        <v>32.25</v>
      </c>
      <c r="O1821" s="411">
        <f t="shared" si="317"/>
        <v>-32.25</v>
      </c>
      <c r="P1821" s="132" t="s">
        <v>235</v>
      </c>
      <c r="Q1821" s="232"/>
      <c r="R1821" s="411"/>
      <c r="T1821" s="471"/>
      <c r="U1821" s="448"/>
      <c r="AA1821" s="218"/>
    </row>
    <row r="1822" spans="1:27" x14ac:dyDescent="0.25">
      <c r="A1822" s="432"/>
      <c r="B1822" s="433"/>
      <c r="C1822" s="432"/>
      <c r="D1822" s="454"/>
      <c r="E1822" s="120">
        <v>150</v>
      </c>
      <c r="F1822" s="133" t="s">
        <v>4301</v>
      </c>
      <c r="G1822" s="435"/>
      <c r="H1822" s="438"/>
      <c r="I1822" s="438"/>
      <c r="J1822" s="437"/>
      <c r="K1822" s="437"/>
      <c r="L1822" s="187">
        <v>215</v>
      </c>
      <c r="M1822" s="187"/>
      <c r="N1822" s="91">
        <f t="shared" si="318"/>
        <v>32.25</v>
      </c>
      <c r="O1822" s="411">
        <f t="shared" si="317"/>
        <v>-32.25</v>
      </c>
      <c r="P1822" s="132" t="s">
        <v>235</v>
      </c>
      <c r="Q1822" s="232"/>
      <c r="R1822" s="411"/>
      <c r="T1822" s="471"/>
      <c r="U1822" s="448"/>
      <c r="AA1822" s="218"/>
    </row>
    <row r="1823" spans="1:27" x14ac:dyDescent="0.25">
      <c r="A1823" s="432"/>
      <c r="B1823" s="433"/>
      <c r="C1823" s="432"/>
      <c r="D1823" s="454"/>
      <c r="E1823" s="120">
        <v>150</v>
      </c>
      <c r="F1823" s="133" t="s">
        <v>4302</v>
      </c>
      <c r="G1823" s="435"/>
      <c r="H1823" s="438"/>
      <c r="I1823" s="438"/>
      <c r="J1823" s="437"/>
      <c r="K1823" s="437"/>
      <c r="L1823" s="187">
        <v>215</v>
      </c>
      <c r="M1823" s="187"/>
      <c r="N1823" s="91">
        <f t="shared" si="318"/>
        <v>32.25</v>
      </c>
      <c r="O1823" s="411">
        <f t="shared" si="317"/>
        <v>-32.25</v>
      </c>
      <c r="P1823" s="132" t="s">
        <v>235</v>
      </c>
      <c r="Q1823" s="232"/>
      <c r="R1823" s="411"/>
      <c r="T1823" s="471"/>
      <c r="U1823" s="448"/>
      <c r="AA1823" s="218"/>
    </row>
    <row r="1824" spans="1:27" x14ac:dyDescent="0.25">
      <c r="A1824" s="432"/>
      <c r="B1824" s="433"/>
      <c r="C1824" s="432"/>
      <c r="D1824" s="454"/>
      <c r="E1824" s="120">
        <v>90</v>
      </c>
      <c r="F1824" s="133" t="s">
        <v>4303</v>
      </c>
      <c r="G1824" s="435"/>
      <c r="H1824" s="438"/>
      <c r="I1824" s="438"/>
      <c r="J1824" s="437"/>
      <c r="K1824" s="437"/>
      <c r="L1824" s="187">
        <v>310</v>
      </c>
      <c r="M1824" s="187"/>
      <c r="N1824" s="91">
        <f t="shared" si="318"/>
        <v>27.9</v>
      </c>
      <c r="O1824" s="411">
        <f t="shared" si="317"/>
        <v>-27.9</v>
      </c>
      <c r="P1824" s="132" t="s">
        <v>235</v>
      </c>
      <c r="Q1824" s="232"/>
      <c r="R1824" s="411"/>
      <c r="T1824" s="471"/>
      <c r="U1824" s="447"/>
      <c r="AA1824" s="218"/>
    </row>
    <row r="1825" spans="1:27" x14ac:dyDescent="0.25">
      <c r="A1825" s="432"/>
      <c r="B1825" s="433"/>
      <c r="C1825" s="432"/>
      <c r="D1825" s="454"/>
      <c r="E1825" s="120">
        <v>90</v>
      </c>
      <c r="F1825" s="133" t="s">
        <v>4304</v>
      </c>
      <c r="G1825" s="435"/>
      <c r="H1825" s="438"/>
      <c r="I1825" s="438"/>
      <c r="J1825" s="437"/>
      <c r="K1825" s="437"/>
      <c r="L1825" s="187">
        <v>310</v>
      </c>
      <c r="M1825" s="187">
        <v>39.049999999999997</v>
      </c>
      <c r="N1825" s="91">
        <f t="shared" si="318"/>
        <v>66.949999999999989</v>
      </c>
      <c r="O1825" s="411">
        <f t="shared" si="317"/>
        <v>-66.949999999999989</v>
      </c>
      <c r="P1825" s="132" t="s">
        <v>235</v>
      </c>
      <c r="Q1825" s="232"/>
      <c r="R1825" s="411"/>
      <c r="T1825" s="471"/>
      <c r="U1825" s="446" t="s">
        <v>4305</v>
      </c>
      <c r="AA1825" s="218"/>
    </row>
    <row r="1826" spans="1:27" x14ac:dyDescent="0.25">
      <c r="A1826" s="432"/>
      <c r="B1826" s="433"/>
      <c r="C1826" s="432"/>
      <c r="D1826" s="454"/>
      <c r="E1826" s="120">
        <v>90</v>
      </c>
      <c r="F1826" s="133" t="s">
        <v>4306</v>
      </c>
      <c r="G1826" s="435"/>
      <c r="H1826" s="438"/>
      <c r="I1826" s="438"/>
      <c r="J1826" s="437"/>
      <c r="K1826" s="437"/>
      <c r="L1826" s="187">
        <v>310</v>
      </c>
      <c r="M1826" s="187"/>
      <c r="N1826" s="91">
        <f t="shared" si="318"/>
        <v>27.9</v>
      </c>
      <c r="O1826" s="411">
        <f t="shared" si="317"/>
        <v>-27.9</v>
      </c>
      <c r="P1826" s="132" t="s">
        <v>235</v>
      </c>
      <c r="Q1826" s="232"/>
      <c r="R1826" s="411"/>
      <c r="T1826" s="471"/>
      <c r="U1826" s="448"/>
      <c r="AA1826" s="218"/>
    </row>
    <row r="1827" spans="1:27" x14ac:dyDescent="0.25">
      <c r="A1827" s="432"/>
      <c r="B1827" s="433"/>
      <c r="C1827" s="432"/>
      <c r="D1827" s="454"/>
      <c r="E1827" s="120">
        <v>90</v>
      </c>
      <c r="F1827" s="133" t="s">
        <v>4307</v>
      </c>
      <c r="G1827" s="435"/>
      <c r="H1827" s="438"/>
      <c r="I1827" s="438"/>
      <c r="J1827" s="437"/>
      <c r="K1827" s="437"/>
      <c r="L1827" s="187">
        <v>310</v>
      </c>
      <c r="M1827" s="187"/>
      <c r="N1827" s="91">
        <f t="shared" si="318"/>
        <v>27.9</v>
      </c>
      <c r="O1827" s="411">
        <f t="shared" si="317"/>
        <v>-27.9</v>
      </c>
      <c r="P1827" s="132" t="s">
        <v>235</v>
      </c>
      <c r="Q1827" s="232"/>
      <c r="R1827" s="411"/>
      <c r="T1827" s="471"/>
      <c r="U1827" s="448"/>
      <c r="AA1827" s="218"/>
    </row>
    <row r="1828" spans="1:27" x14ac:dyDescent="0.25">
      <c r="A1828" s="432"/>
      <c r="B1828" s="433"/>
      <c r="C1828" s="432"/>
      <c r="D1828" s="454"/>
      <c r="E1828" s="120">
        <v>33</v>
      </c>
      <c r="F1828" s="133" t="s">
        <v>1270</v>
      </c>
      <c r="G1828" s="435"/>
      <c r="H1828" s="438"/>
      <c r="I1828" s="438"/>
      <c r="J1828" s="437"/>
      <c r="K1828" s="437"/>
      <c r="L1828" s="187">
        <v>2000</v>
      </c>
      <c r="M1828" s="187"/>
      <c r="N1828" s="91">
        <f t="shared" si="318"/>
        <v>66</v>
      </c>
      <c r="O1828" s="411">
        <f t="shared" si="317"/>
        <v>-66</v>
      </c>
      <c r="P1828" s="132" t="s">
        <v>235</v>
      </c>
      <c r="Q1828" s="232"/>
      <c r="R1828" s="411"/>
      <c r="T1828" s="471"/>
      <c r="U1828" s="448"/>
      <c r="AA1828" s="218"/>
    </row>
    <row r="1829" spans="1:27" x14ac:dyDescent="0.25">
      <c r="A1829" s="420"/>
      <c r="B1829" s="422"/>
      <c r="C1829" s="420"/>
      <c r="D1829" s="418"/>
      <c r="E1829" s="120">
        <v>20</v>
      </c>
      <c r="F1829" s="133" t="s">
        <v>300</v>
      </c>
      <c r="G1829" s="436"/>
      <c r="H1829" s="428"/>
      <c r="I1829" s="428"/>
      <c r="J1829" s="426"/>
      <c r="K1829" s="426"/>
      <c r="L1829" s="187">
        <v>3000</v>
      </c>
      <c r="M1829" s="187"/>
      <c r="N1829" s="91">
        <f t="shared" si="318"/>
        <v>60</v>
      </c>
      <c r="O1829" s="411">
        <f t="shared" si="317"/>
        <v>-60</v>
      </c>
      <c r="P1829" s="132" t="s">
        <v>235</v>
      </c>
      <c r="Q1829" s="232"/>
      <c r="R1829" s="411"/>
      <c r="T1829" s="472"/>
      <c r="U1829" s="447"/>
      <c r="AA1829" s="218"/>
    </row>
    <row r="1830" spans="1:27" ht="20.25" customHeight="1" x14ac:dyDescent="0.25">
      <c r="A1830" s="419">
        <v>3001370</v>
      </c>
      <c r="B1830" s="421">
        <v>42454</v>
      </c>
      <c r="C1830" s="419" t="s">
        <v>141</v>
      </c>
      <c r="D1830" s="417" t="s">
        <v>4308</v>
      </c>
      <c r="E1830" s="120">
        <v>1000</v>
      </c>
      <c r="F1830" s="133" t="s">
        <v>300</v>
      </c>
      <c r="G1830" s="434" t="s">
        <v>45</v>
      </c>
      <c r="H1830" s="427">
        <v>7100</v>
      </c>
      <c r="I1830" s="427">
        <v>0</v>
      </c>
      <c r="J1830" s="425">
        <f>-((H1830*0.0325)+0.3)</f>
        <v>-231.05</v>
      </c>
      <c r="K1830" s="425">
        <f t="shared" ref="K1830" si="320">SUM(H1830:J1830)</f>
        <v>6868.95</v>
      </c>
      <c r="L1830" s="158">
        <v>2150</v>
      </c>
      <c r="M1830" s="167">
        <v>0</v>
      </c>
      <c r="N1830" s="91">
        <f t="shared" si="318"/>
        <v>2150</v>
      </c>
      <c r="O1830" s="411">
        <f t="shared" si="317"/>
        <v>4718.95</v>
      </c>
      <c r="P1830" s="132" t="s">
        <v>66</v>
      </c>
      <c r="Q1830" s="232"/>
      <c r="R1830" s="411"/>
      <c r="T1830" s="134" t="s">
        <v>4309</v>
      </c>
      <c r="U1830" s="266"/>
      <c r="V1830" s="164"/>
      <c r="W1830" s="153" t="s">
        <v>4310</v>
      </c>
      <c r="AA1830" s="218"/>
    </row>
    <row r="1831" spans="1:27" ht="24" customHeight="1" x14ac:dyDescent="0.25">
      <c r="A1831" s="432"/>
      <c r="B1831" s="433"/>
      <c r="C1831" s="432"/>
      <c r="D1831" s="454"/>
      <c r="E1831" s="120">
        <v>1000</v>
      </c>
      <c r="F1831" s="133" t="s">
        <v>431</v>
      </c>
      <c r="G1831" s="435"/>
      <c r="H1831" s="438"/>
      <c r="I1831" s="438"/>
      <c r="J1831" s="437"/>
      <c r="K1831" s="437"/>
      <c r="L1831" s="131">
        <v>990</v>
      </c>
      <c r="M1831" s="510">
        <v>139.71</v>
      </c>
      <c r="N1831" s="91">
        <f t="shared" si="318"/>
        <v>1129.71</v>
      </c>
      <c r="O1831" s="411">
        <f t="shared" si="317"/>
        <v>-1129.71</v>
      </c>
      <c r="P1831" s="132" t="s">
        <v>52</v>
      </c>
      <c r="Q1831" s="232"/>
      <c r="R1831" s="411"/>
      <c r="T1831" s="470" t="s">
        <v>1209</v>
      </c>
      <c r="U1831" s="481" t="s">
        <v>4311</v>
      </c>
      <c r="V1831" s="133" t="s">
        <v>4312</v>
      </c>
      <c r="AA1831" s="218"/>
    </row>
    <row r="1832" spans="1:27" x14ac:dyDescent="0.25">
      <c r="A1832" s="420"/>
      <c r="B1832" s="422"/>
      <c r="C1832" s="420"/>
      <c r="D1832" s="418"/>
      <c r="E1832" s="120">
        <v>1000</v>
      </c>
      <c r="F1832" s="133" t="s">
        <v>161</v>
      </c>
      <c r="G1832" s="436"/>
      <c r="H1832" s="428"/>
      <c r="I1832" s="428"/>
      <c r="J1832" s="426"/>
      <c r="K1832" s="426"/>
      <c r="L1832" s="131">
        <v>1322</v>
      </c>
      <c r="M1832" s="512"/>
      <c r="N1832" s="91">
        <f t="shared" si="318"/>
        <v>1322</v>
      </c>
      <c r="O1832" s="411">
        <f t="shared" si="317"/>
        <v>-1322</v>
      </c>
      <c r="P1832" s="132" t="s">
        <v>52</v>
      </c>
      <c r="Q1832" s="232"/>
      <c r="R1832" s="411"/>
      <c r="T1832" s="472"/>
      <c r="U1832" s="483"/>
      <c r="V1832" s="133" t="s">
        <v>4313</v>
      </c>
      <c r="AA1832" s="218"/>
    </row>
    <row r="1833" spans="1:27" ht="24" x14ac:dyDescent="0.25">
      <c r="A1833" s="405">
        <v>3001371</v>
      </c>
      <c r="B1833" s="406">
        <v>42454</v>
      </c>
      <c r="C1833" s="405" t="s">
        <v>42</v>
      </c>
      <c r="D1833" s="401" t="s">
        <v>4314</v>
      </c>
      <c r="E1833" s="120">
        <v>150</v>
      </c>
      <c r="F1833" s="133" t="s">
        <v>4315</v>
      </c>
      <c r="G1833" s="404" t="s">
        <v>45</v>
      </c>
      <c r="H1833" s="411">
        <v>393.75</v>
      </c>
      <c r="I1833" s="89">
        <f t="shared" ref="I1833:I1834" si="321">-(H1833*0.09)</f>
        <v>-35.4375</v>
      </c>
      <c r="J1833" s="391">
        <f t="shared" ref="J1833:J1834" si="322">-((H1833*0.019)+0.3)</f>
        <v>-7.78125</v>
      </c>
      <c r="K1833" s="90">
        <f t="shared" ref="K1833:K1837" si="323">SUM(H1833:J1833)</f>
        <v>350.53125</v>
      </c>
      <c r="L1833" s="187">
        <v>1110</v>
      </c>
      <c r="M1833" s="187">
        <v>29.49</v>
      </c>
      <c r="N1833" s="91">
        <f t="shared" si="318"/>
        <v>195.99</v>
      </c>
      <c r="O1833" s="411">
        <f t="shared" si="317"/>
        <v>154.54124999999999</v>
      </c>
      <c r="P1833" s="132" t="s">
        <v>926</v>
      </c>
      <c r="Q1833" s="232"/>
      <c r="R1833" s="411"/>
      <c r="T1833" s="134" t="s">
        <v>145</v>
      </c>
      <c r="U1833" s="267" t="s">
        <v>4316</v>
      </c>
      <c r="AA1833" s="218"/>
    </row>
    <row r="1834" spans="1:27" ht="24" x14ac:dyDescent="0.25">
      <c r="A1834" s="405">
        <v>3001372</v>
      </c>
      <c r="B1834" s="406">
        <v>42454</v>
      </c>
      <c r="C1834" s="405" t="s">
        <v>42</v>
      </c>
      <c r="D1834" s="401" t="s">
        <v>4317</v>
      </c>
      <c r="E1834" s="120">
        <v>125</v>
      </c>
      <c r="F1834" s="133" t="s">
        <v>300</v>
      </c>
      <c r="G1834" s="404" t="s">
        <v>45</v>
      </c>
      <c r="H1834" s="411">
        <v>480</v>
      </c>
      <c r="I1834" s="89">
        <f t="shared" si="321"/>
        <v>-43.199999999999996</v>
      </c>
      <c r="J1834" s="391">
        <f t="shared" si="322"/>
        <v>-9.42</v>
      </c>
      <c r="K1834" s="90">
        <f t="shared" si="323"/>
        <v>427.38</v>
      </c>
      <c r="L1834" s="131">
        <v>2200</v>
      </c>
      <c r="M1834" s="187">
        <v>64.44</v>
      </c>
      <c r="N1834" s="91">
        <f t="shared" si="318"/>
        <v>339.44</v>
      </c>
      <c r="O1834" s="411">
        <f t="shared" si="317"/>
        <v>87.94</v>
      </c>
      <c r="P1834" s="132" t="s">
        <v>52</v>
      </c>
      <c r="Q1834" s="232"/>
      <c r="R1834" s="411"/>
      <c r="T1834" s="134" t="s">
        <v>145</v>
      </c>
      <c r="U1834" s="267" t="s">
        <v>4318</v>
      </c>
      <c r="AA1834" s="218"/>
    </row>
    <row r="1835" spans="1:27" ht="24" x14ac:dyDescent="0.25">
      <c r="A1835" s="405">
        <v>3001373</v>
      </c>
      <c r="B1835" s="406">
        <v>42454</v>
      </c>
      <c r="C1835" s="405" t="s">
        <v>237</v>
      </c>
      <c r="D1835" s="401" t="s">
        <v>4319</v>
      </c>
      <c r="E1835" s="120">
        <v>50</v>
      </c>
      <c r="F1835" s="133" t="s">
        <v>1819</v>
      </c>
      <c r="G1835" s="404" t="s">
        <v>45</v>
      </c>
      <c r="H1835" s="411">
        <v>198.99</v>
      </c>
      <c r="I1835" s="397">
        <f>-(H1835*0.15)</f>
        <v>-29.848500000000001</v>
      </c>
      <c r="J1835" s="411">
        <v>0</v>
      </c>
      <c r="K1835" s="90">
        <f t="shared" si="323"/>
        <v>169.14150000000001</v>
      </c>
      <c r="L1835" s="187">
        <v>1796</v>
      </c>
      <c r="M1835" s="187">
        <v>16.649999999999999</v>
      </c>
      <c r="N1835" s="91">
        <f t="shared" si="318"/>
        <v>106.45000000000002</v>
      </c>
      <c r="O1835" s="411">
        <f t="shared" si="317"/>
        <v>62.691499999999991</v>
      </c>
      <c r="P1835" s="132" t="s">
        <v>926</v>
      </c>
      <c r="Q1835" s="232"/>
      <c r="R1835" s="411"/>
      <c r="T1835" s="134" t="s">
        <v>145</v>
      </c>
      <c r="U1835" s="267" t="s">
        <v>4320</v>
      </c>
      <c r="AA1835" s="218"/>
    </row>
    <row r="1836" spans="1:27" ht="24" x14ac:dyDescent="0.25">
      <c r="A1836" s="405">
        <v>3001374</v>
      </c>
      <c r="B1836" s="406">
        <v>42454</v>
      </c>
      <c r="C1836" s="405" t="s">
        <v>237</v>
      </c>
      <c r="D1836" s="401" t="s">
        <v>4321</v>
      </c>
      <c r="E1836" s="120">
        <v>50</v>
      </c>
      <c r="F1836" s="133" t="s">
        <v>431</v>
      </c>
      <c r="G1836" s="404" t="s">
        <v>45</v>
      </c>
      <c r="H1836" s="411">
        <v>123.26</v>
      </c>
      <c r="I1836" s="397">
        <f>-(H1836*0.15)</f>
        <v>-18.489000000000001</v>
      </c>
      <c r="J1836" s="411">
        <v>0</v>
      </c>
      <c r="K1836" s="90">
        <f t="shared" si="323"/>
        <v>104.771</v>
      </c>
      <c r="L1836" s="131">
        <v>990</v>
      </c>
      <c r="M1836" s="187">
        <v>30.16</v>
      </c>
      <c r="N1836" s="91">
        <f t="shared" si="318"/>
        <v>79.66</v>
      </c>
      <c r="O1836" s="411">
        <f t="shared" si="317"/>
        <v>25.111000000000004</v>
      </c>
      <c r="P1836" s="132" t="s">
        <v>52</v>
      </c>
      <c r="Q1836" s="232"/>
      <c r="R1836" s="411"/>
      <c r="T1836" s="134" t="s">
        <v>145</v>
      </c>
      <c r="U1836" s="267" t="s">
        <v>4322</v>
      </c>
      <c r="AA1836" s="218"/>
    </row>
    <row r="1837" spans="1:27" x14ac:dyDescent="0.25">
      <c r="A1837" s="419">
        <v>3001375</v>
      </c>
      <c r="B1837" s="421">
        <v>42457</v>
      </c>
      <c r="C1837" s="419" t="s">
        <v>63</v>
      </c>
      <c r="D1837" s="417" t="s">
        <v>4323</v>
      </c>
      <c r="E1837" s="120">
        <v>380</v>
      </c>
      <c r="F1837" s="133" t="s">
        <v>4324</v>
      </c>
      <c r="G1837" s="434" t="s">
        <v>45</v>
      </c>
      <c r="H1837" s="427">
        <v>7981.6</v>
      </c>
      <c r="I1837" s="427">
        <v>0</v>
      </c>
      <c r="J1837" s="425">
        <f>-((H1837*0.022)+0.3)</f>
        <v>-175.89520000000002</v>
      </c>
      <c r="K1837" s="425">
        <f t="shared" si="323"/>
        <v>7805.7048000000004</v>
      </c>
      <c r="L1837" s="187">
        <v>6484</v>
      </c>
      <c r="M1837" s="187">
        <v>225</v>
      </c>
      <c r="N1837" s="91">
        <f t="shared" si="318"/>
        <v>2688.92</v>
      </c>
      <c r="O1837" s="411">
        <f t="shared" si="317"/>
        <v>5116.7848000000004</v>
      </c>
      <c r="P1837" s="132" t="s">
        <v>235</v>
      </c>
      <c r="Q1837" s="232"/>
      <c r="R1837" s="411"/>
      <c r="T1837" s="439" t="s">
        <v>565</v>
      </c>
      <c r="U1837" s="446">
        <v>596532528</v>
      </c>
      <c r="W1837" s="153" t="s">
        <v>4325</v>
      </c>
      <c r="AA1837" s="218"/>
    </row>
    <row r="1838" spans="1:27" x14ac:dyDescent="0.25">
      <c r="A1838" s="432"/>
      <c r="B1838" s="433"/>
      <c r="C1838" s="432"/>
      <c r="D1838" s="454"/>
      <c r="E1838" s="120">
        <v>150</v>
      </c>
      <c r="F1838" s="133" t="s">
        <v>4326</v>
      </c>
      <c r="G1838" s="435"/>
      <c r="H1838" s="438"/>
      <c r="I1838" s="438"/>
      <c r="J1838" s="437"/>
      <c r="K1838" s="437"/>
      <c r="L1838" s="187">
        <v>2821</v>
      </c>
      <c r="M1838" s="187"/>
      <c r="N1838" s="91">
        <f t="shared" si="318"/>
        <v>423.15</v>
      </c>
      <c r="O1838" s="411">
        <f t="shared" si="317"/>
        <v>-423.15</v>
      </c>
      <c r="P1838" s="132" t="s">
        <v>235</v>
      </c>
      <c r="Q1838" s="232"/>
      <c r="R1838" s="411"/>
      <c r="T1838" s="440"/>
      <c r="U1838" s="448"/>
      <c r="AA1838" s="218"/>
    </row>
    <row r="1839" spans="1:27" x14ac:dyDescent="0.25">
      <c r="A1839" s="432"/>
      <c r="B1839" s="433"/>
      <c r="C1839" s="432"/>
      <c r="D1839" s="454"/>
      <c r="E1839" s="120">
        <v>125</v>
      </c>
      <c r="F1839" s="133" t="s">
        <v>4327</v>
      </c>
      <c r="G1839" s="435"/>
      <c r="H1839" s="438"/>
      <c r="I1839" s="438"/>
      <c r="J1839" s="437"/>
      <c r="K1839" s="437"/>
      <c r="L1839" s="187">
        <v>5197.5</v>
      </c>
      <c r="M1839" s="187"/>
      <c r="N1839" s="91">
        <f t="shared" si="318"/>
        <v>649.6875</v>
      </c>
      <c r="O1839" s="411">
        <f t="shared" si="317"/>
        <v>-649.6875</v>
      </c>
      <c r="P1839" s="132" t="s">
        <v>235</v>
      </c>
      <c r="Q1839" s="232"/>
      <c r="R1839" s="411"/>
      <c r="T1839" s="440"/>
      <c r="U1839" s="448"/>
      <c r="AA1839" s="218"/>
    </row>
    <row r="1840" spans="1:27" x14ac:dyDescent="0.25">
      <c r="A1840" s="432"/>
      <c r="B1840" s="433"/>
      <c r="C1840" s="432"/>
      <c r="D1840" s="454"/>
      <c r="E1840" s="120">
        <v>215</v>
      </c>
      <c r="F1840" s="133" t="s">
        <v>4328</v>
      </c>
      <c r="G1840" s="435"/>
      <c r="H1840" s="438"/>
      <c r="I1840" s="438"/>
      <c r="J1840" s="437"/>
      <c r="K1840" s="437"/>
      <c r="L1840" s="187">
        <v>3415.5</v>
      </c>
      <c r="M1840" s="187"/>
      <c r="N1840" s="91">
        <f t="shared" si="318"/>
        <v>734.33249999999998</v>
      </c>
      <c r="O1840" s="411">
        <f t="shared" si="317"/>
        <v>-734.33249999999998</v>
      </c>
      <c r="P1840" s="132" t="s">
        <v>235</v>
      </c>
      <c r="Q1840" s="232"/>
      <c r="R1840" s="411"/>
      <c r="T1840" s="440"/>
      <c r="U1840" s="448"/>
      <c r="AA1840" s="218"/>
    </row>
    <row r="1841" spans="1:27" x14ac:dyDescent="0.25">
      <c r="A1841" s="432"/>
      <c r="B1841" s="433"/>
      <c r="C1841" s="432"/>
      <c r="D1841" s="454"/>
      <c r="E1841" s="120">
        <v>180</v>
      </c>
      <c r="F1841" s="133" t="s">
        <v>4329</v>
      </c>
      <c r="G1841" s="435"/>
      <c r="H1841" s="438"/>
      <c r="I1841" s="438"/>
      <c r="J1841" s="437"/>
      <c r="K1841" s="437"/>
      <c r="L1841" s="187">
        <v>1287</v>
      </c>
      <c r="M1841" s="201"/>
      <c r="N1841" s="91">
        <f t="shared" si="318"/>
        <v>231.66</v>
      </c>
      <c r="O1841" s="411">
        <f t="shared" si="317"/>
        <v>-231.66</v>
      </c>
      <c r="P1841" s="132" t="s">
        <v>235</v>
      </c>
      <c r="Q1841" s="232"/>
      <c r="R1841" s="411"/>
      <c r="T1841" s="441"/>
      <c r="U1841" s="447"/>
      <c r="AA1841" s="218"/>
    </row>
    <row r="1842" spans="1:27" x14ac:dyDescent="0.25">
      <c r="A1842" s="432"/>
      <c r="B1842" s="433"/>
      <c r="C1842" s="432"/>
      <c r="D1842" s="454"/>
      <c r="E1842" s="120">
        <v>500</v>
      </c>
      <c r="F1842" s="133" t="s">
        <v>4330</v>
      </c>
      <c r="G1842" s="435"/>
      <c r="H1842" s="438"/>
      <c r="I1842" s="438"/>
      <c r="J1842" s="437"/>
      <c r="K1842" s="437"/>
      <c r="L1842" s="200">
        <v>640</v>
      </c>
      <c r="M1842" s="201">
        <v>105</v>
      </c>
      <c r="N1842" s="199">
        <f t="shared" si="318"/>
        <v>425</v>
      </c>
      <c r="O1842" s="411">
        <f t="shared" si="317"/>
        <v>-425</v>
      </c>
      <c r="P1842" s="132" t="s">
        <v>183</v>
      </c>
      <c r="Q1842" s="232"/>
      <c r="R1842" s="411"/>
      <c r="T1842" s="439" t="s">
        <v>67</v>
      </c>
      <c r="U1842" s="505" t="s">
        <v>4331</v>
      </c>
      <c r="V1842" s="133" t="s">
        <v>4332</v>
      </c>
      <c r="AA1842" s="218"/>
    </row>
    <row r="1843" spans="1:27" x14ac:dyDescent="0.25">
      <c r="A1843" s="432"/>
      <c r="B1843" s="433"/>
      <c r="C1843" s="432"/>
      <c r="D1843" s="454"/>
      <c r="E1843" s="120">
        <v>500</v>
      </c>
      <c r="F1843" s="133" t="s">
        <v>4333</v>
      </c>
      <c r="G1843" s="435"/>
      <c r="H1843" s="438"/>
      <c r="I1843" s="438"/>
      <c r="J1843" s="437"/>
      <c r="K1843" s="437"/>
      <c r="L1843" s="200">
        <v>1050</v>
      </c>
      <c r="M1843" s="202"/>
      <c r="N1843" s="199">
        <f t="shared" si="318"/>
        <v>525</v>
      </c>
      <c r="O1843" s="411">
        <f t="shared" si="317"/>
        <v>-525</v>
      </c>
      <c r="P1843" s="132" t="s">
        <v>183</v>
      </c>
      <c r="Q1843" s="232"/>
      <c r="R1843" s="411"/>
      <c r="T1843" s="441"/>
      <c r="U1843" s="490"/>
      <c r="V1843" s="133" t="s">
        <v>4332</v>
      </c>
      <c r="AA1843" s="218"/>
    </row>
    <row r="1844" spans="1:27" ht="16.5" customHeight="1" x14ac:dyDescent="0.25">
      <c r="A1844" s="420"/>
      <c r="B1844" s="422"/>
      <c r="C1844" s="420"/>
      <c r="D1844" s="418"/>
      <c r="E1844" s="120">
        <v>600</v>
      </c>
      <c r="F1844" s="133" t="s">
        <v>4334</v>
      </c>
      <c r="G1844" s="436"/>
      <c r="H1844" s="428"/>
      <c r="I1844" s="428"/>
      <c r="J1844" s="426"/>
      <c r="K1844" s="426"/>
      <c r="L1844" s="131">
        <v>1782</v>
      </c>
      <c r="M1844" s="148"/>
      <c r="N1844" s="91">
        <f t="shared" si="318"/>
        <v>1069.2</v>
      </c>
      <c r="O1844" s="411">
        <f t="shared" si="317"/>
        <v>-1069.2</v>
      </c>
      <c r="P1844" s="132" t="s">
        <v>235</v>
      </c>
      <c r="Q1844" s="232"/>
      <c r="R1844" s="411"/>
      <c r="T1844" s="134" t="s">
        <v>565</v>
      </c>
      <c r="U1844" s="266" t="s">
        <v>4335</v>
      </c>
      <c r="AA1844" s="218"/>
    </row>
    <row r="1845" spans="1:27" ht="24" x14ac:dyDescent="0.25">
      <c r="A1845" s="405">
        <v>3001376</v>
      </c>
      <c r="B1845" s="406">
        <v>42457</v>
      </c>
      <c r="C1845" s="405" t="s">
        <v>42</v>
      </c>
      <c r="D1845" s="401" t="s">
        <v>4336</v>
      </c>
      <c r="E1845" s="120">
        <v>175</v>
      </c>
      <c r="F1845" s="133" t="s">
        <v>247</v>
      </c>
      <c r="G1845" s="404" t="s">
        <v>45</v>
      </c>
      <c r="H1845" s="411">
        <v>227.3</v>
      </c>
      <c r="I1845" s="89">
        <f t="shared" ref="I1845" si="324">-(H1845*0.09)</f>
        <v>-20.457000000000001</v>
      </c>
      <c r="J1845" s="391">
        <f t="shared" ref="J1845:J1849" si="325">-((H1845*0.019)+0.3)</f>
        <v>-4.6186999999999996</v>
      </c>
      <c r="K1845" s="90">
        <f t="shared" ref="K1845:K1915" si="326">SUM(H1845:J1845)</f>
        <v>202.22430000000003</v>
      </c>
      <c r="L1845" s="131">
        <v>480</v>
      </c>
      <c r="M1845" s="187">
        <v>35.53</v>
      </c>
      <c r="N1845" s="91">
        <f t="shared" si="318"/>
        <v>119.53000000000002</v>
      </c>
      <c r="O1845" s="411">
        <f t="shared" si="317"/>
        <v>82.694300000000013</v>
      </c>
      <c r="P1845" s="132" t="s">
        <v>52</v>
      </c>
      <c r="Q1845" s="232"/>
      <c r="R1845" s="411"/>
      <c r="T1845" s="134" t="s">
        <v>145</v>
      </c>
      <c r="U1845" s="267" t="s">
        <v>4337</v>
      </c>
      <c r="AA1845" s="218"/>
    </row>
    <row r="1846" spans="1:27" x14ac:dyDescent="0.25">
      <c r="A1846" s="419">
        <v>3001377</v>
      </c>
      <c r="B1846" s="421">
        <v>42457</v>
      </c>
      <c r="C1846" s="419" t="s">
        <v>78</v>
      </c>
      <c r="D1846" s="417" t="s">
        <v>4271</v>
      </c>
      <c r="E1846" s="120">
        <v>500</v>
      </c>
      <c r="F1846" s="133" t="s">
        <v>175</v>
      </c>
      <c r="G1846" s="434" t="s">
        <v>45</v>
      </c>
      <c r="H1846" s="427">
        <v>488</v>
      </c>
      <c r="I1846" s="427">
        <v>0</v>
      </c>
      <c r="J1846" s="425">
        <f t="shared" si="325"/>
        <v>-9.572000000000001</v>
      </c>
      <c r="K1846" s="425">
        <f t="shared" si="326"/>
        <v>478.428</v>
      </c>
      <c r="L1846" s="131">
        <v>250</v>
      </c>
      <c r="M1846" s="468">
        <v>123.21</v>
      </c>
      <c r="N1846" s="91">
        <f t="shared" si="318"/>
        <v>248.20999999999998</v>
      </c>
      <c r="O1846" s="411">
        <f t="shared" si="317"/>
        <v>230.21800000000002</v>
      </c>
      <c r="P1846" s="132" t="s">
        <v>52</v>
      </c>
      <c r="Q1846" s="232"/>
      <c r="R1846" s="411"/>
      <c r="T1846" s="439" t="s">
        <v>97</v>
      </c>
      <c r="U1846" s="446" t="s">
        <v>4338</v>
      </c>
      <c r="V1846" s="133" t="s">
        <v>55</v>
      </c>
      <c r="W1846" s="153" t="s">
        <v>4339</v>
      </c>
      <c r="AA1846" s="218"/>
    </row>
    <row r="1847" spans="1:27" x14ac:dyDescent="0.25">
      <c r="A1847" s="420"/>
      <c r="B1847" s="422"/>
      <c r="C1847" s="420"/>
      <c r="D1847" s="418"/>
      <c r="E1847" s="120">
        <v>100</v>
      </c>
      <c r="F1847" s="133" t="s">
        <v>217</v>
      </c>
      <c r="G1847" s="436"/>
      <c r="H1847" s="428"/>
      <c r="I1847" s="428"/>
      <c r="J1847" s="426"/>
      <c r="K1847" s="426"/>
      <c r="L1847" s="131">
        <v>1322</v>
      </c>
      <c r="M1847" s="469"/>
      <c r="N1847" s="91">
        <f t="shared" si="318"/>
        <v>132.20000000000002</v>
      </c>
      <c r="O1847" s="411">
        <f t="shared" si="317"/>
        <v>-132.20000000000002</v>
      </c>
      <c r="P1847" s="132" t="s">
        <v>52</v>
      </c>
      <c r="Q1847" s="232"/>
      <c r="R1847" s="411"/>
      <c r="T1847" s="441"/>
      <c r="U1847" s="447"/>
      <c r="AA1847" s="218"/>
    </row>
    <row r="1848" spans="1:27" ht="36" x14ac:dyDescent="0.25">
      <c r="A1848" s="405">
        <v>3001378</v>
      </c>
      <c r="B1848" s="406">
        <v>42457</v>
      </c>
      <c r="C1848" s="405" t="s">
        <v>159</v>
      </c>
      <c r="D1848" s="401" t="s">
        <v>4340</v>
      </c>
      <c r="E1848" s="120">
        <v>135</v>
      </c>
      <c r="F1848" s="133" t="s">
        <v>4341</v>
      </c>
      <c r="G1848" s="404" t="s">
        <v>45</v>
      </c>
      <c r="H1848" s="411">
        <v>1485</v>
      </c>
      <c r="I1848" s="411">
        <v>0</v>
      </c>
      <c r="J1848" s="391">
        <f t="shared" si="325"/>
        <v>-28.515000000000001</v>
      </c>
      <c r="K1848" s="90">
        <f t="shared" si="326"/>
        <v>1456.4849999999999</v>
      </c>
      <c r="L1848" s="187">
        <v>8339</v>
      </c>
      <c r="M1848" s="131">
        <v>0</v>
      </c>
      <c r="N1848" s="91">
        <f t="shared" si="318"/>
        <v>1125.7650000000001</v>
      </c>
      <c r="O1848" s="411">
        <f t="shared" si="317"/>
        <v>330.7199999999998</v>
      </c>
      <c r="P1848" s="132" t="s">
        <v>59</v>
      </c>
      <c r="Q1848" s="232"/>
      <c r="R1848" s="411"/>
      <c r="T1848" s="134" t="s">
        <v>60</v>
      </c>
      <c r="U1848" s="267" t="s">
        <v>4342</v>
      </c>
      <c r="W1848" s="153" t="s">
        <v>4343</v>
      </c>
      <c r="AA1848" s="218"/>
    </row>
    <row r="1849" spans="1:27" ht="24" x14ac:dyDescent="0.25">
      <c r="A1849" s="405">
        <v>3001379</v>
      </c>
      <c r="B1849" s="406">
        <v>42457</v>
      </c>
      <c r="C1849" s="405" t="s">
        <v>159</v>
      </c>
      <c r="D1849" s="401" t="s">
        <v>4344</v>
      </c>
      <c r="E1849" s="120">
        <v>72</v>
      </c>
      <c r="F1849" s="133" t="s">
        <v>1085</v>
      </c>
      <c r="G1849" s="404" t="s">
        <v>45</v>
      </c>
      <c r="H1849" s="411">
        <v>612</v>
      </c>
      <c r="I1849" s="411">
        <v>0</v>
      </c>
      <c r="J1849" s="391">
        <f t="shared" si="325"/>
        <v>-11.928000000000001</v>
      </c>
      <c r="K1849" s="90">
        <f t="shared" si="326"/>
        <v>600.072</v>
      </c>
      <c r="M1849" s="187">
        <v>62.55</v>
      </c>
      <c r="N1849" s="91">
        <f t="shared" si="318"/>
        <v>62.55</v>
      </c>
      <c r="O1849" s="411">
        <f t="shared" si="317"/>
        <v>537.52200000000005</v>
      </c>
      <c r="P1849" s="132" t="s">
        <v>52</v>
      </c>
      <c r="Q1849" s="232"/>
      <c r="R1849" s="411"/>
      <c r="T1849" s="134" t="s">
        <v>145</v>
      </c>
      <c r="U1849" s="267" t="s">
        <v>4345</v>
      </c>
      <c r="W1849" s="153" t="s">
        <v>4346</v>
      </c>
      <c r="AA1849" s="218"/>
    </row>
    <row r="1850" spans="1:27" x14ac:dyDescent="0.25">
      <c r="A1850" s="419">
        <v>3001380</v>
      </c>
      <c r="B1850" s="421">
        <v>42457</v>
      </c>
      <c r="C1850" s="419" t="s">
        <v>63</v>
      </c>
      <c r="D1850" s="417" t="s">
        <v>4347</v>
      </c>
      <c r="E1850" s="120">
        <v>125</v>
      </c>
      <c r="F1850" s="133" t="s">
        <v>626</v>
      </c>
      <c r="G1850" s="434" t="s">
        <v>45</v>
      </c>
      <c r="H1850" s="427">
        <v>819.75</v>
      </c>
      <c r="I1850" s="427">
        <v>0</v>
      </c>
      <c r="J1850" s="425">
        <f>-((H1850*0.022)+0.3)</f>
        <v>-18.334499999999998</v>
      </c>
      <c r="K1850" s="425">
        <f t="shared" si="326"/>
        <v>801.41549999999995</v>
      </c>
      <c r="L1850" s="131">
        <v>1885.68</v>
      </c>
      <c r="M1850" s="468">
        <v>91.24</v>
      </c>
      <c r="N1850" s="91">
        <f t="shared" si="318"/>
        <v>326.95</v>
      </c>
      <c r="O1850" s="411">
        <f t="shared" si="317"/>
        <v>474.46549999999996</v>
      </c>
      <c r="P1850" s="132" t="s">
        <v>86</v>
      </c>
      <c r="Q1850" s="232"/>
      <c r="R1850" s="411"/>
      <c r="T1850" s="439" t="s">
        <v>244</v>
      </c>
      <c r="U1850" s="446" t="s">
        <v>4348</v>
      </c>
      <c r="V1850" s="133" t="s">
        <v>55</v>
      </c>
      <c r="W1850" s="153" t="s">
        <v>4349</v>
      </c>
      <c r="AA1850" s="218"/>
    </row>
    <row r="1851" spans="1:27" x14ac:dyDescent="0.25">
      <c r="A1851" s="420"/>
      <c r="B1851" s="422"/>
      <c r="C1851" s="420"/>
      <c r="D1851" s="418"/>
      <c r="E1851" s="120">
        <v>200</v>
      </c>
      <c r="F1851" s="133" t="s">
        <v>217</v>
      </c>
      <c r="G1851" s="436"/>
      <c r="H1851" s="428"/>
      <c r="I1851" s="428"/>
      <c r="J1851" s="426"/>
      <c r="K1851" s="426"/>
      <c r="L1851" s="131">
        <v>1322</v>
      </c>
      <c r="M1851" s="469"/>
      <c r="N1851" s="91">
        <f t="shared" si="318"/>
        <v>264.40000000000003</v>
      </c>
      <c r="O1851" s="411">
        <f t="shared" si="317"/>
        <v>-264.40000000000003</v>
      </c>
      <c r="P1851" s="132" t="s">
        <v>86</v>
      </c>
      <c r="Q1851" s="232"/>
      <c r="R1851" s="411"/>
      <c r="T1851" s="441"/>
      <c r="U1851" s="447"/>
      <c r="AA1851" s="218"/>
    </row>
    <row r="1852" spans="1:27" ht="24" x14ac:dyDescent="0.25">
      <c r="A1852" s="405">
        <v>3001381</v>
      </c>
      <c r="B1852" s="406">
        <v>42457</v>
      </c>
      <c r="C1852" s="405" t="s">
        <v>327</v>
      </c>
      <c r="D1852" s="401" t="s">
        <v>4350</v>
      </c>
      <c r="E1852" s="120">
        <v>200</v>
      </c>
      <c r="F1852" s="133" t="s">
        <v>877</v>
      </c>
      <c r="G1852" s="404" t="s">
        <v>45</v>
      </c>
      <c r="H1852" s="411">
        <v>156</v>
      </c>
      <c r="I1852" s="411">
        <v>0</v>
      </c>
      <c r="J1852" s="90">
        <f>-((H1852*0.022)+0.3)</f>
        <v>-3.7319999999999998</v>
      </c>
      <c r="K1852" s="90">
        <f t="shared" si="326"/>
        <v>152.268</v>
      </c>
      <c r="L1852" s="131">
        <v>235</v>
      </c>
      <c r="M1852" s="187">
        <v>22.58</v>
      </c>
      <c r="N1852" s="91">
        <f t="shared" si="318"/>
        <v>69.58</v>
      </c>
      <c r="O1852" s="411">
        <f t="shared" si="317"/>
        <v>82.688000000000002</v>
      </c>
      <c r="P1852" s="132" t="s">
        <v>52</v>
      </c>
      <c r="Q1852" s="232"/>
      <c r="R1852" s="411"/>
      <c r="T1852" s="134" t="s">
        <v>145</v>
      </c>
      <c r="U1852" s="267" t="s">
        <v>4351</v>
      </c>
      <c r="W1852" s="153" t="s">
        <v>4352</v>
      </c>
      <c r="AA1852" s="218"/>
    </row>
    <row r="1853" spans="1:27" x14ac:dyDescent="0.25">
      <c r="A1853" s="405">
        <v>3001382</v>
      </c>
      <c r="B1853" s="406">
        <v>42457</v>
      </c>
      <c r="C1853" s="405" t="s">
        <v>327</v>
      </c>
      <c r="D1853" s="401" t="s">
        <v>4353</v>
      </c>
      <c r="E1853" s="120">
        <v>900</v>
      </c>
      <c r="F1853" s="133" t="s">
        <v>51</v>
      </c>
      <c r="G1853" s="404" t="s">
        <v>45</v>
      </c>
      <c r="H1853" s="411">
        <v>1512</v>
      </c>
      <c r="I1853" s="411">
        <v>0</v>
      </c>
      <c r="J1853" s="90">
        <f>-((H1853*0.022)+0.3)</f>
        <v>-33.563999999999993</v>
      </c>
      <c r="K1853" s="90">
        <f t="shared" si="326"/>
        <v>1478.4359999999999</v>
      </c>
      <c r="L1853" s="131">
        <v>1015</v>
      </c>
      <c r="M1853" s="187">
        <v>209.46</v>
      </c>
      <c r="N1853" s="91">
        <f t="shared" si="318"/>
        <v>1122.96</v>
      </c>
      <c r="O1853" s="411">
        <f t="shared" si="317"/>
        <v>355.47599999999989</v>
      </c>
      <c r="P1853" s="132" t="s">
        <v>52</v>
      </c>
      <c r="Q1853" s="232"/>
      <c r="R1853" s="411"/>
      <c r="T1853" s="134" t="s">
        <v>97</v>
      </c>
      <c r="U1853" s="267" t="s">
        <v>4354</v>
      </c>
      <c r="V1853" s="133" t="s">
        <v>55</v>
      </c>
      <c r="W1853" s="153" t="s">
        <v>4355</v>
      </c>
      <c r="AA1853" s="218"/>
    </row>
    <row r="1854" spans="1:27" ht="24" x14ac:dyDescent="0.25">
      <c r="A1854" s="405">
        <v>3001383</v>
      </c>
      <c r="B1854" s="406">
        <v>42457</v>
      </c>
      <c r="C1854" s="405" t="s">
        <v>42</v>
      </c>
      <c r="D1854" s="401" t="s">
        <v>4356</v>
      </c>
      <c r="E1854" s="120">
        <v>50</v>
      </c>
      <c r="F1854" s="133" t="s">
        <v>277</v>
      </c>
      <c r="G1854" s="404" t="s">
        <v>45</v>
      </c>
      <c r="H1854" s="411">
        <v>335.82</v>
      </c>
      <c r="I1854" s="89">
        <f t="shared" ref="I1854:I1855" si="327">-(H1854*0.09)</f>
        <v>-30.223799999999997</v>
      </c>
      <c r="J1854" s="391">
        <f t="shared" ref="J1854:J1855" si="328">-((H1854*0.019)+0.3)</f>
        <v>-6.68058</v>
      </c>
      <c r="K1854" s="90">
        <f t="shared" si="326"/>
        <v>298.91561999999999</v>
      </c>
      <c r="M1854" s="187">
        <v>39.68</v>
      </c>
      <c r="N1854" s="91">
        <f t="shared" si="318"/>
        <v>39.68</v>
      </c>
      <c r="O1854" s="411">
        <f t="shared" si="317"/>
        <v>259.23561999999998</v>
      </c>
      <c r="P1854" s="132" t="s">
        <v>52</v>
      </c>
      <c r="Q1854" s="232"/>
      <c r="R1854" s="411"/>
      <c r="T1854" s="134" t="s">
        <v>145</v>
      </c>
      <c r="U1854" s="267" t="s">
        <v>4357</v>
      </c>
      <c r="AA1854" s="218"/>
    </row>
    <row r="1855" spans="1:27" ht="24" x14ac:dyDescent="0.25">
      <c r="A1855" s="405">
        <v>3001384</v>
      </c>
      <c r="B1855" s="406">
        <v>42457</v>
      </c>
      <c r="C1855" s="405" t="s">
        <v>42</v>
      </c>
      <c r="D1855" s="401" t="s">
        <v>4358</v>
      </c>
      <c r="E1855" s="120">
        <v>100</v>
      </c>
      <c r="F1855" s="133" t="s">
        <v>217</v>
      </c>
      <c r="G1855" s="404" t="s">
        <v>45</v>
      </c>
      <c r="H1855" s="411">
        <v>253.8</v>
      </c>
      <c r="I1855" s="89">
        <f t="shared" si="327"/>
        <v>-22.841999999999999</v>
      </c>
      <c r="J1855" s="391">
        <f t="shared" si="328"/>
        <v>-5.1222000000000003</v>
      </c>
      <c r="K1855" s="90">
        <f t="shared" si="326"/>
        <v>225.83580000000003</v>
      </c>
      <c r="L1855" s="131">
        <v>1322</v>
      </c>
      <c r="M1855" s="187">
        <v>16.920000000000002</v>
      </c>
      <c r="N1855" s="91">
        <f t="shared" si="318"/>
        <v>149.12</v>
      </c>
      <c r="O1855" s="411">
        <f t="shared" si="317"/>
        <v>76.71580000000003</v>
      </c>
      <c r="P1855" s="132" t="s">
        <v>52</v>
      </c>
      <c r="Q1855" s="232"/>
      <c r="R1855" s="411">
        <v>18.8</v>
      </c>
      <c r="S1855" s="133" t="s">
        <v>502</v>
      </c>
      <c r="T1855" s="134" t="s">
        <v>145</v>
      </c>
      <c r="U1855" s="267" t="s">
        <v>4359</v>
      </c>
      <c r="AA1855" s="218"/>
    </row>
    <row r="1856" spans="1:27" x14ac:dyDescent="0.25">
      <c r="A1856" s="419">
        <v>3001385</v>
      </c>
      <c r="B1856" s="421">
        <v>42457</v>
      </c>
      <c r="C1856" s="419" t="s">
        <v>56</v>
      </c>
      <c r="D1856" s="417" t="s">
        <v>650</v>
      </c>
      <c r="E1856" s="120">
        <v>110</v>
      </c>
      <c r="F1856" s="133" t="s">
        <v>4360</v>
      </c>
      <c r="G1856" s="434" t="s">
        <v>45</v>
      </c>
      <c r="H1856" s="427">
        <v>1938.75</v>
      </c>
      <c r="I1856" s="427">
        <v>0</v>
      </c>
      <c r="J1856" s="427">
        <v>0</v>
      </c>
      <c r="K1856" s="425">
        <f t="shared" si="326"/>
        <v>1938.75</v>
      </c>
      <c r="L1856" s="187">
        <v>10950</v>
      </c>
      <c r="M1856" s="187">
        <v>49.96</v>
      </c>
      <c r="N1856" s="91">
        <f t="shared" si="318"/>
        <v>1254.46</v>
      </c>
      <c r="O1856" s="411">
        <f t="shared" si="317"/>
        <v>684.29</v>
      </c>
      <c r="P1856" s="132" t="s">
        <v>621</v>
      </c>
      <c r="Q1856" s="232"/>
      <c r="R1856" s="411"/>
      <c r="T1856" s="134" t="s">
        <v>755</v>
      </c>
      <c r="U1856" s="266"/>
      <c r="V1856" s="133" t="s">
        <v>4361</v>
      </c>
      <c r="AA1856" s="218"/>
    </row>
    <row r="1857" spans="1:27" ht="24" x14ac:dyDescent="0.25">
      <c r="A1857" s="420"/>
      <c r="B1857" s="422"/>
      <c r="C1857" s="420"/>
      <c r="D1857" s="418"/>
      <c r="E1857" s="120">
        <v>225</v>
      </c>
      <c r="F1857" s="133" t="s">
        <v>341</v>
      </c>
      <c r="G1857" s="436"/>
      <c r="H1857" s="428"/>
      <c r="I1857" s="428"/>
      <c r="J1857" s="428"/>
      <c r="K1857" s="426"/>
      <c r="L1857" s="131">
        <v>660</v>
      </c>
      <c r="M1857" s="187">
        <v>38.15</v>
      </c>
      <c r="N1857" s="91">
        <f t="shared" si="318"/>
        <v>186.65</v>
      </c>
      <c r="O1857" s="411">
        <f t="shared" si="317"/>
        <v>-186.65</v>
      </c>
      <c r="P1857" s="132" t="s">
        <v>52</v>
      </c>
      <c r="Q1857" s="232"/>
      <c r="R1857" s="411"/>
      <c r="T1857" s="134" t="s">
        <v>145</v>
      </c>
      <c r="U1857" s="267" t="s">
        <v>4362</v>
      </c>
      <c r="V1857" s="133" t="s">
        <v>4363</v>
      </c>
      <c r="AA1857" s="218"/>
    </row>
    <row r="1858" spans="1:27" ht="24" x14ac:dyDescent="0.25">
      <c r="A1858" s="405">
        <v>3001386</v>
      </c>
      <c r="B1858" s="406">
        <v>42457</v>
      </c>
      <c r="C1858" s="405" t="s">
        <v>42</v>
      </c>
      <c r="D1858" s="401" t="s">
        <v>4364</v>
      </c>
      <c r="E1858" s="120">
        <v>100</v>
      </c>
      <c r="F1858" s="133" t="s">
        <v>222</v>
      </c>
      <c r="G1858" s="404" t="s">
        <v>45</v>
      </c>
      <c r="H1858" s="411">
        <v>235.03</v>
      </c>
      <c r="I1858" s="89">
        <f t="shared" ref="I1858:I1874" si="329">-(H1858*0.09)</f>
        <v>-21.152699999999999</v>
      </c>
      <c r="J1858" s="391">
        <f t="shared" ref="J1858:J1874" si="330">-((H1858*0.019)+0.3)</f>
        <v>-4.7655699999999994</v>
      </c>
      <c r="K1858" s="90">
        <f t="shared" si="326"/>
        <v>209.11172999999999</v>
      </c>
      <c r="L1858" s="131">
        <v>850</v>
      </c>
      <c r="M1858" s="187">
        <v>46.42</v>
      </c>
      <c r="N1858" s="91">
        <f t="shared" si="318"/>
        <v>131.42000000000002</v>
      </c>
      <c r="O1858" s="411">
        <f t="shared" si="317"/>
        <v>77.691729999999978</v>
      </c>
      <c r="P1858" s="132" t="s">
        <v>52</v>
      </c>
      <c r="Q1858" s="232"/>
      <c r="R1858" s="411"/>
      <c r="T1858" s="134" t="s">
        <v>145</v>
      </c>
      <c r="U1858" s="267" t="s">
        <v>4365</v>
      </c>
      <c r="AA1858" s="218"/>
    </row>
    <row r="1859" spans="1:27" ht="24" x14ac:dyDescent="0.25">
      <c r="A1859" s="405">
        <v>3001387</v>
      </c>
      <c r="B1859" s="406">
        <v>42457</v>
      </c>
      <c r="C1859" s="405" t="s">
        <v>42</v>
      </c>
      <c r="D1859" s="401" t="s">
        <v>4366</v>
      </c>
      <c r="E1859" s="120">
        <v>50</v>
      </c>
      <c r="F1859" s="133" t="s">
        <v>300</v>
      </c>
      <c r="G1859" s="404" t="s">
        <v>45</v>
      </c>
      <c r="H1859" s="411">
        <v>203.08</v>
      </c>
      <c r="I1859" s="89">
        <f t="shared" si="329"/>
        <v>-18.277200000000001</v>
      </c>
      <c r="J1859" s="391">
        <f t="shared" si="330"/>
        <v>-4.1585200000000002</v>
      </c>
      <c r="K1859" s="90">
        <f t="shared" si="326"/>
        <v>180.64428000000001</v>
      </c>
      <c r="L1859" s="131">
        <v>2200</v>
      </c>
      <c r="M1859" s="187">
        <v>42.87</v>
      </c>
      <c r="N1859" s="91">
        <f t="shared" si="318"/>
        <v>152.87</v>
      </c>
      <c r="O1859" s="411">
        <f t="shared" si="317"/>
        <v>27.774280000000005</v>
      </c>
      <c r="P1859" s="132" t="s">
        <v>52</v>
      </c>
      <c r="Q1859" s="232"/>
      <c r="R1859" s="411"/>
      <c r="T1859" s="134" t="s">
        <v>145</v>
      </c>
      <c r="U1859" s="267" t="s">
        <v>4367</v>
      </c>
      <c r="AA1859" s="218"/>
    </row>
    <row r="1860" spans="1:27" ht="24" x14ac:dyDescent="0.25">
      <c r="A1860" s="405">
        <v>3001388</v>
      </c>
      <c r="B1860" s="406">
        <v>42457</v>
      </c>
      <c r="C1860" s="405" t="s">
        <v>42</v>
      </c>
      <c r="D1860" s="401" t="s">
        <v>4368</v>
      </c>
      <c r="E1860" s="120">
        <v>140</v>
      </c>
      <c r="F1860" s="133" t="s">
        <v>829</v>
      </c>
      <c r="G1860" s="404" t="s">
        <v>45</v>
      </c>
      <c r="H1860" s="411">
        <v>147.58000000000001</v>
      </c>
      <c r="I1860" s="89">
        <f t="shared" si="329"/>
        <v>-13.282200000000001</v>
      </c>
      <c r="J1860" s="391">
        <f t="shared" si="330"/>
        <v>-3.1040199999999998</v>
      </c>
      <c r="K1860" s="90">
        <f t="shared" si="326"/>
        <v>131.19378000000003</v>
      </c>
      <c r="L1860" s="131">
        <v>510</v>
      </c>
      <c r="M1860" s="187">
        <v>23.36</v>
      </c>
      <c r="N1860" s="91">
        <f t="shared" si="318"/>
        <v>94.76</v>
      </c>
      <c r="O1860" s="411">
        <f t="shared" si="317"/>
        <v>36.433780000000027</v>
      </c>
      <c r="P1860" s="132" t="s">
        <v>52</v>
      </c>
      <c r="Q1860" s="232"/>
      <c r="R1860" s="411"/>
      <c r="T1860" s="134" t="s">
        <v>145</v>
      </c>
      <c r="U1860" s="267" t="s">
        <v>4369</v>
      </c>
      <c r="AA1860" s="218"/>
    </row>
    <row r="1861" spans="1:27" ht="24" x14ac:dyDescent="0.25">
      <c r="A1861" s="405">
        <v>3001389</v>
      </c>
      <c r="B1861" s="406">
        <v>42457</v>
      </c>
      <c r="C1861" s="405" t="s">
        <v>42</v>
      </c>
      <c r="D1861" s="401" t="s">
        <v>4370</v>
      </c>
      <c r="E1861" s="120">
        <v>100</v>
      </c>
      <c r="F1861" s="133" t="s">
        <v>829</v>
      </c>
      <c r="G1861" s="404" t="s">
        <v>45</v>
      </c>
      <c r="H1861" s="411">
        <v>114</v>
      </c>
      <c r="I1861" s="89">
        <f t="shared" si="329"/>
        <v>-10.26</v>
      </c>
      <c r="J1861" s="391">
        <f t="shared" si="330"/>
        <v>-2.4659999999999997</v>
      </c>
      <c r="K1861" s="90">
        <f t="shared" si="326"/>
        <v>101.274</v>
      </c>
      <c r="L1861" s="131">
        <v>510</v>
      </c>
      <c r="M1861" s="187">
        <v>31.47</v>
      </c>
      <c r="N1861" s="91">
        <f t="shared" si="318"/>
        <v>82.47</v>
      </c>
      <c r="O1861" s="411">
        <f t="shared" si="317"/>
        <v>18.804000000000002</v>
      </c>
      <c r="P1861" s="132" t="s">
        <v>52</v>
      </c>
      <c r="Q1861" s="232"/>
      <c r="R1861" s="411"/>
      <c r="T1861" s="134" t="s">
        <v>145</v>
      </c>
      <c r="U1861" s="267" t="s">
        <v>4371</v>
      </c>
      <c r="AA1861" s="218"/>
    </row>
    <row r="1862" spans="1:27" ht="24" x14ac:dyDescent="0.25">
      <c r="A1862" s="405">
        <v>3001390</v>
      </c>
      <c r="B1862" s="406">
        <v>42457</v>
      </c>
      <c r="C1862" s="405" t="s">
        <v>42</v>
      </c>
      <c r="D1862" s="401" t="s">
        <v>4372</v>
      </c>
      <c r="E1862" s="120">
        <v>250</v>
      </c>
      <c r="F1862" s="133" t="s">
        <v>3724</v>
      </c>
      <c r="G1862" s="404" t="s">
        <v>45</v>
      </c>
      <c r="H1862" s="411">
        <v>380.4</v>
      </c>
      <c r="I1862" s="89">
        <f t="shared" si="329"/>
        <v>-34.235999999999997</v>
      </c>
      <c r="J1862" s="391">
        <f t="shared" si="330"/>
        <v>-7.5275999999999996</v>
      </c>
      <c r="K1862" s="90">
        <f t="shared" si="326"/>
        <v>338.63639999999998</v>
      </c>
      <c r="L1862" s="187">
        <v>1100</v>
      </c>
      <c r="M1862" s="187">
        <v>52.83</v>
      </c>
      <c r="N1862" s="91">
        <f t="shared" si="318"/>
        <v>327.83</v>
      </c>
      <c r="O1862" s="411">
        <f t="shared" si="317"/>
        <v>10.806399999999996</v>
      </c>
      <c r="P1862" s="132" t="s">
        <v>235</v>
      </c>
      <c r="Q1862" s="232"/>
      <c r="R1862" s="411"/>
      <c r="T1862" s="134" t="s">
        <v>145</v>
      </c>
      <c r="U1862" s="267" t="s">
        <v>4373</v>
      </c>
      <c r="AA1862" s="218"/>
    </row>
    <row r="1863" spans="1:27" ht="24" x14ac:dyDescent="0.25">
      <c r="A1863" s="405">
        <v>3001391</v>
      </c>
      <c r="B1863" s="406">
        <v>42457</v>
      </c>
      <c r="C1863" s="405" t="s">
        <v>42</v>
      </c>
      <c r="D1863" s="401" t="s">
        <v>4374</v>
      </c>
      <c r="E1863" s="120">
        <v>200</v>
      </c>
      <c r="F1863" s="133" t="s">
        <v>247</v>
      </c>
      <c r="G1863" s="404" t="s">
        <v>45</v>
      </c>
      <c r="H1863" s="411">
        <v>259.76</v>
      </c>
      <c r="I1863" s="89">
        <f t="shared" si="329"/>
        <v>-23.378399999999999</v>
      </c>
      <c r="J1863" s="391">
        <f t="shared" si="330"/>
        <v>-5.2354399999999996</v>
      </c>
      <c r="K1863" s="90">
        <f t="shared" si="326"/>
        <v>231.14615999999998</v>
      </c>
      <c r="L1863" s="131">
        <v>480</v>
      </c>
      <c r="M1863" s="187">
        <v>42.31</v>
      </c>
      <c r="N1863" s="91">
        <f t="shared" si="318"/>
        <v>138.31</v>
      </c>
      <c r="O1863" s="411">
        <f t="shared" si="317"/>
        <v>92.836159999999978</v>
      </c>
      <c r="P1863" s="132" t="s">
        <v>52</v>
      </c>
      <c r="Q1863" s="232"/>
      <c r="R1863" s="411"/>
      <c r="T1863" s="134" t="s">
        <v>145</v>
      </c>
      <c r="U1863" s="267" t="s">
        <v>4375</v>
      </c>
      <c r="AA1863" s="218"/>
    </row>
    <row r="1864" spans="1:27" ht="24" x14ac:dyDescent="0.25">
      <c r="A1864" s="405">
        <v>3001392</v>
      </c>
      <c r="B1864" s="406">
        <v>42457</v>
      </c>
      <c r="C1864" s="405" t="s">
        <v>42</v>
      </c>
      <c r="D1864" s="401" t="s">
        <v>4376</v>
      </c>
      <c r="E1864" s="120">
        <v>100</v>
      </c>
      <c r="F1864" s="133" t="s">
        <v>431</v>
      </c>
      <c r="G1864" s="404" t="s">
        <v>45</v>
      </c>
      <c r="H1864" s="411">
        <v>216.11</v>
      </c>
      <c r="I1864" s="89">
        <f t="shared" si="329"/>
        <v>-19.4499</v>
      </c>
      <c r="J1864" s="391">
        <f t="shared" si="330"/>
        <v>-4.4060899999999998</v>
      </c>
      <c r="K1864" s="90">
        <f t="shared" si="326"/>
        <v>192.25400999999999</v>
      </c>
      <c r="L1864" s="131">
        <v>1050</v>
      </c>
      <c r="M1864" s="187">
        <v>29.79</v>
      </c>
      <c r="N1864" s="91">
        <f t="shared" si="318"/>
        <v>134.79</v>
      </c>
      <c r="O1864" s="411">
        <f t="shared" si="317"/>
        <v>57.464010000000002</v>
      </c>
      <c r="P1864" s="132" t="s">
        <v>52</v>
      </c>
      <c r="Q1864" s="232"/>
      <c r="R1864" s="411"/>
      <c r="T1864" s="134" t="s">
        <v>145</v>
      </c>
      <c r="U1864" s="266"/>
      <c r="AA1864" s="218"/>
    </row>
    <row r="1865" spans="1:27" x14ac:dyDescent="0.25">
      <c r="A1865" s="419">
        <v>3001393</v>
      </c>
      <c r="B1865" s="421">
        <v>42457</v>
      </c>
      <c r="C1865" s="419" t="s">
        <v>42</v>
      </c>
      <c r="D1865" s="417" t="s">
        <v>4377</v>
      </c>
      <c r="E1865" s="120">
        <v>200</v>
      </c>
      <c r="F1865" s="133" t="s">
        <v>4053</v>
      </c>
      <c r="G1865" s="434" t="s">
        <v>45</v>
      </c>
      <c r="H1865" s="427">
        <v>1325</v>
      </c>
      <c r="I1865" s="452">
        <f t="shared" si="329"/>
        <v>-119.25</v>
      </c>
      <c r="J1865" s="498">
        <f t="shared" si="330"/>
        <v>-25.475000000000001</v>
      </c>
      <c r="K1865" s="425">
        <f t="shared" si="326"/>
        <v>1180.2750000000001</v>
      </c>
      <c r="L1865" s="131">
        <v>2200</v>
      </c>
      <c r="M1865" s="468">
        <v>103.81</v>
      </c>
      <c r="N1865" s="91">
        <f t="shared" si="318"/>
        <v>543.80999999999995</v>
      </c>
      <c r="O1865" s="411">
        <f t="shared" ref="O1865:O1928" si="331">K1865-N1865</f>
        <v>636.46500000000015</v>
      </c>
      <c r="P1865" s="132" t="s">
        <v>52</v>
      </c>
      <c r="Q1865" s="232"/>
      <c r="R1865" s="411"/>
      <c r="T1865" s="439" t="s">
        <v>244</v>
      </c>
      <c r="U1865" s="446" t="s">
        <v>4378</v>
      </c>
      <c r="V1865" s="133" t="s">
        <v>55</v>
      </c>
      <c r="AA1865" s="218"/>
    </row>
    <row r="1866" spans="1:27" x14ac:dyDescent="0.25">
      <c r="A1866" s="420"/>
      <c r="B1866" s="422"/>
      <c r="C1866" s="420"/>
      <c r="D1866" s="418"/>
      <c r="E1866" s="120">
        <v>200</v>
      </c>
      <c r="F1866" s="133" t="s">
        <v>3270</v>
      </c>
      <c r="G1866" s="436"/>
      <c r="H1866" s="428"/>
      <c r="I1866" s="453"/>
      <c r="J1866" s="499"/>
      <c r="K1866" s="426"/>
      <c r="L1866" s="131">
        <v>1322</v>
      </c>
      <c r="M1866" s="469"/>
      <c r="N1866" s="91">
        <f t="shared" si="318"/>
        <v>264.40000000000003</v>
      </c>
      <c r="O1866" s="411">
        <f t="shared" si="331"/>
        <v>-264.40000000000003</v>
      </c>
      <c r="P1866" s="132" t="s">
        <v>52</v>
      </c>
      <c r="Q1866" s="232"/>
      <c r="R1866" s="411"/>
      <c r="T1866" s="441"/>
      <c r="U1866" s="447"/>
      <c r="AA1866" s="218"/>
    </row>
    <row r="1867" spans="1:27" x14ac:dyDescent="0.25">
      <c r="A1867" s="419">
        <v>3001394</v>
      </c>
      <c r="B1867" s="421">
        <v>42457</v>
      </c>
      <c r="C1867" s="419" t="s">
        <v>42</v>
      </c>
      <c r="D1867" s="417" t="s">
        <v>2078</v>
      </c>
      <c r="E1867" s="120">
        <v>100</v>
      </c>
      <c r="F1867" s="133" t="s">
        <v>626</v>
      </c>
      <c r="G1867" s="434" t="s">
        <v>45</v>
      </c>
      <c r="H1867" s="427">
        <v>920.11</v>
      </c>
      <c r="I1867" s="452">
        <f t="shared" si="329"/>
        <v>-82.809899999999999</v>
      </c>
      <c r="J1867" s="425">
        <f t="shared" si="330"/>
        <v>-17.78209</v>
      </c>
      <c r="K1867" s="425">
        <f t="shared" si="326"/>
        <v>819.51801</v>
      </c>
      <c r="L1867" s="131">
        <v>1885.68</v>
      </c>
      <c r="M1867" s="468">
        <v>159.18</v>
      </c>
      <c r="N1867" s="91">
        <f t="shared" si="318"/>
        <v>347.74800000000005</v>
      </c>
      <c r="O1867" s="411">
        <f t="shared" si="331"/>
        <v>471.77000999999996</v>
      </c>
      <c r="P1867" s="132" t="s">
        <v>86</v>
      </c>
      <c r="Q1867" s="232"/>
      <c r="R1867" s="411"/>
      <c r="T1867" s="439" t="s">
        <v>244</v>
      </c>
      <c r="U1867" s="446" t="s">
        <v>4379</v>
      </c>
      <c r="AA1867" s="218"/>
    </row>
    <row r="1868" spans="1:27" x14ac:dyDescent="0.25">
      <c r="A1868" s="420"/>
      <c r="B1868" s="422"/>
      <c r="C1868" s="420"/>
      <c r="D1868" s="418"/>
      <c r="E1868" s="120">
        <v>100</v>
      </c>
      <c r="F1868" s="133" t="s">
        <v>4380</v>
      </c>
      <c r="G1868" s="436"/>
      <c r="H1868" s="428"/>
      <c r="I1868" s="453"/>
      <c r="J1868" s="426"/>
      <c r="K1868" s="426"/>
      <c r="L1868" s="187">
        <v>2900</v>
      </c>
      <c r="M1868" s="469"/>
      <c r="N1868" s="91">
        <f t="shared" si="318"/>
        <v>290</v>
      </c>
      <c r="O1868" s="411">
        <f t="shared" si="331"/>
        <v>-290</v>
      </c>
      <c r="P1868" s="132" t="s">
        <v>46</v>
      </c>
      <c r="Q1868" s="232"/>
      <c r="R1868" s="411"/>
      <c r="T1868" s="441"/>
      <c r="U1868" s="447"/>
      <c r="V1868" s="133" t="s">
        <v>4381</v>
      </c>
      <c r="AA1868" s="218"/>
    </row>
    <row r="1869" spans="1:27" ht="24" x14ac:dyDescent="0.25">
      <c r="A1869" s="405">
        <v>3001395</v>
      </c>
      <c r="B1869" s="406">
        <v>42457</v>
      </c>
      <c r="C1869" s="405" t="s">
        <v>42</v>
      </c>
      <c r="D1869" s="401" t="s">
        <v>4382</v>
      </c>
      <c r="E1869" s="120">
        <v>100</v>
      </c>
      <c r="F1869" s="133" t="s">
        <v>431</v>
      </c>
      <c r="G1869" s="404" t="s">
        <v>45</v>
      </c>
      <c r="H1869" s="411">
        <v>216.11</v>
      </c>
      <c r="I1869" s="89">
        <f t="shared" si="329"/>
        <v>-19.4499</v>
      </c>
      <c r="J1869" s="391">
        <f t="shared" si="330"/>
        <v>-4.4060899999999998</v>
      </c>
      <c r="K1869" s="90">
        <f t="shared" si="326"/>
        <v>192.25400999999999</v>
      </c>
      <c r="L1869" s="131">
        <v>1050</v>
      </c>
      <c r="M1869" s="187">
        <v>37.630000000000003</v>
      </c>
      <c r="N1869" s="91">
        <f t="shared" si="318"/>
        <v>142.63</v>
      </c>
      <c r="O1869" s="411">
        <f t="shared" si="331"/>
        <v>49.624009999999998</v>
      </c>
      <c r="P1869" s="132" t="s">
        <v>52</v>
      </c>
      <c r="Q1869" s="232"/>
      <c r="R1869" s="411"/>
      <c r="T1869" s="134" t="s">
        <v>145</v>
      </c>
      <c r="U1869" s="267" t="s">
        <v>4383</v>
      </c>
      <c r="AA1869" s="218"/>
    </row>
    <row r="1870" spans="1:27" ht="24" x14ac:dyDescent="0.25">
      <c r="A1870" s="405">
        <v>3001396</v>
      </c>
      <c r="B1870" s="406">
        <v>42457</v>
      </c>
      <c r="C1870" s="405" t="s">
        <v>42</v>
      </c>
      <c r="D1870" s="401" t="s">
        <v>4384</v>
      </c>
      <c r="E1870" s="120">
        <v>175</v>
      </c>
      <c r="F1870" s="133" t="s">
        <v>829</v>
      </c>
      <c r="G1870" s="404" t="s">
        <v>45</v>
      </c>
      <c r="H1870" s="411">
        <v>184.48</v>
      </c>
      <c r="I1870" s="89">
        <f t="shared" si="329"/>
        <v>-16.603199999999998</v>
      </c>
      <c r="J1870" s="391">
        <f t="shared" si="330"/>
        <v>-3.8051199999999996</v>
      </c>
      <c r="K1870" s="90">
        <f t="shared" si="326"/>
        <v>164.07168000000001</v>
      </c>
      <c r="L1870" s="131">
        <v>510</v>
      </c>
      <c r="M1870" s="187">
        <v>30.32</v>
      </c>
      <c r="N1870" s="91">
        <f t="shared" si="318"/>
        <v>119.57000000000002</v>
      </c>
      <c r="O1870" s="411">
        <f t="shared" si="331"/>
        <v>44.501679999999993</v>
      </c>
      <c r="P1870" s="132" t="s">
        <v>52</v>
      </c>
      <c r="Q1870" s="232"/>
      <c r="R1870" s="411"/>
      <c r="T1870" s="134" t="s">
        <v>145</v>
      </c>
      <c r="U1870" s="267" t="s">
        <v>4385</v>
      </c>
      <c r="AA1870" s="218"/>
    </row>
    <row r="1871" spans="1:27" ht="24" x14ac:dyDescent="0.25">
      <c r="A1871" s="405">
        <v>3001397</v>
      </c>
      <c r="B1871" s="406">
        <v>42457</v>
      </c>
      <c r="C1871" s="405" t="s">
        <v>42</v>
      </c>
      <c r="D1871" s="401" t="s">
        <v>4386</v>
      </c>
      <c r="E1871" s="120">
        <v>250</v>
      </c>
      <c r="F1871" s="133" t="s">
        <v>2220</v>
      </c>
      <c r="G1871" s="404" t="s">
        <v>45</v>
      </c>
      <c r="H1871" s="411">
        <v>142.5</v>
      </c>
      <c r="I1871" s="89">
        <f t="shared" si="329"/>
        <v>-12.824999999999999</v>
      </c>
      <c r="J1871" s="391">
        <f t="shared" si="330"/>
        <v>-3.0074999999999998</v>
      </c>
      <c r="K1871" s="90">
        <f t="shared" si="326"/>
        <v>126.66750000000002</v>
      </c>
      <c r="L1871" s="187">
        <v>260</v>
      </c>
      <c r="M1871" s="187">
        <v>31.28</v>
      </c>
      <c r="N1871" s="91">
        <f t="shared" ref="N1871:N1934" si="332">((L1871)*(E1871*0.001))+M1871</f>
        <v>96.28</v>
      </c>
      <c r="O1871" s="411">
        <f t="shared" si="331"/>
        <v>30.387500000000017</v>
      </c>
      <c r="P1871" s="132" t="s">
        <v>235</v>
      </c>
      <c r="Q1871" s="232"/>
      <c r="R1871" s="411"/>
      <c r="T1871" s="134" t="s">
        <v>145</v>
      </c>
      <c r="U1871" s="267" t="s">
        <v>4387</v>
      </c>
      <c r="AA1871" s="218"/>
    </row>
    <row r="1872" spans="1:27" ht="24" x14ac:dyDescent="0.25">
      <c r="A1872" s="405">
        <v>3001398</v>
      </c>
      <c r="B1872" s="406">
        <v>42457</v>
      </c>
      <c r="C1872" s="405" t="s">
        <v>42</v>
      </c>
      <c r="D1872" s="401" t="s">
        <v>4388</v>
      </c>
      <c r="E1872" s="120">
        <v>150</v>
      </c>
      <c r="F1872" s="133" t="s">
        <v>341</v>
      </c>
      <c r="G1872" s="404" t="s">
        <v>45</v>
      </c>
      <c r="H1872" s="411">
        <v>235.79</v>
      </c>
      <c r="I1872" s="89">
        <f t="shared" si="329"/>
        <v>-21.2211</v>
      </c>
      <c r="J1872" s="391">
        <f t="shared" si="330"/>
        <v>-4.7800099999999999</v>
      </c>
      <c r="K1872" s="90">
        <f t="shared" si="326"/>
        <v>209.78888999999998</v>
      </c>
      <c r="L1872" s="131">
        <v>660</v>
      </c>
      <c r="M1872" s="187">
        <v>34.590000000000003</v>
      </c>
      <c r="N1872" s="91">
        <f t="shared" si="332"/>
        <v>133.59</v>
      </c>
      <c r="O1872" s="411">
        <f t="shared" si="331"/>
        <v>76.198889999999977</v>
      </c>
      <c r="P1872" s="132" t="s">
        <v>52</v>
      </c>
      <c r="Q1872" s="232"/>
      <c r="R1872" s="411"/>
      <c r="T1872" s="134" t="s">
        <v>145</v>
      </c>
      <c r="U1872" s="267" t="s">
        <v>4389</v>
      </c>
      <c r="AA1872" s="218"/>
    </row>
    <row r="1873" spans="1:27" ht="24" x14ac:dyDescent="0.25">
      <c r="A1873" s="405">
        <v>3001399</v>
      </c>
      <c r="B1873" s="406">
        <v>42457</v>
      </c>
      <c r="C1873" s="405" t="s">
        <v>42</v>
      </c>
      <c r="D1873" s="401" t="s">
        <v>4390</v>
      </c>
      <c r="E1873" s="120">
        <v>100</v>
      </c>
      <c r="F1873" s="133" t="s">
        <v>431</v>
      </c>
      <c r="G1873" s="404" t="s">
        <v>45</v>
      </c>
      <c r="H1873" s="411">
        <v>216.11</v>
      </c>
      <c r="I1873" s="89">
        <f t="shared" si="329"/>
        <v>-19.4499</v>
      </c>
      <c r="J1873" s="391">
        <f t="shared" si="330"/>
        <v>-4.4060899999999998</v>
      </c>
      <c r="K1873" s="90">
        <f t="shared" si="326"/>
        <v>192.25400999999999</v>
      </c>
      <c r="L1873" s="131">
        <v>1050</v>
      </c>
      <c r="M1873" s="187">
        <v>43.24</v>
      </c>
      <c r="N1873" s="91">
        <f t="shared" si="332"/>
        <v>148.24</v>
      </c>
      <c r="O1873" s="411">
        <f t="shared" si="331"/>
        <v>44.014009999999985</v>
      </c>
      <c r="P1873" s="132" t="s">
        <v>52</v>
      </c>
      <c r="Q1873" s="232"/>
      <c r="R1873" s="411"/>
      <c r="T1873" s="134" t="s">
        <v>145</v>
      </c>
      <c r="U1873" s="267" t="s">
        <v>4391</v>
      </c>
      <c r="AA1873" s="218"/>
    </row>
    <row r="1874" spans="1:27" ht="24" x14ac:dyDescent="0.25">
      <c r="A1874" s="405">
        <v>3001400</v>
      </c>
      <c r="B1874" s="406">
        <v>42457</v>
      </c>
      <c r="C1874" s="405" t="s">
        <v>42</v>
      </c>
      <c r="D1874" s="401" t="s">
        <v>4392</v>
      </c>
      <c r="E1874" s="120">
        <v>50</v>
      </c>
      <c r="F1874" s="133" t="s">
        <v>1085</v>
      </c>
      <c r="G1874" s="404" t="s">
        <v>45</v>
      </c>
      <c r="H1874" s="411">
        <v>422.28</v>
      </c>
      <c r="I1874" s="89">
        <f t="shared" si="329"/>
        <v>-38.005199999999995</v>
      </c>
      <c r="J1874" s="391">
        <f t="shared" si="330"/>
        <v>-8.3233200000000007</v>
      </c>
      <c r="K1874" s="90">
        <f t="shared" si="326"/>
        <v>375.95147999999995</v>
      </c>
      <c r="M1874" s="187">
        <v>31.07</v>
      </c>
      <c r="N1874" s="91">
        <f t="shared" si="332"/>
        <v>31.07</v>
      </c>
      <c r="O1874" s="411">
        <f t="shared" si="331"/>
        <v>344.88147999999995</v>
      </c>
      <c r="P1874" s="132" t="s">
        <v>52</v>
      </c>
      <c r="Q1874" s="232"/>
      <c r="R1874" s="411"/>
      <c r="T1874" s="134" t="s">
        <v>145</v>
      </c>
      <c r="U1874" s="267" t="s">
        <v>4393</v>
      </c>
      <c r="AA1874" s="218"/>
    </row>
    <row r="1875" spans="1:27" ht="24" x14ac:dyDescent="0.25">
      <c r="A1875" s="405">
        <v>3001401</v>
      </c>
      <c r="B1875" s="406">
        <v>42457</v>
      </c>
      <c r="C1875" s="405" t="s">
        <v>327</v>
      </c>
      <c r="D1875" s="401" t="s">
        <v>4394</v>
      </c>
      <c r="E1875" s="120">
        <v>148</v>
      </c>
      <c r="F1875" s="133" t="s">
        <v>247</v>
      </c>
      <c r="G1875" s="404" t="s">
        <v>45</v>
      </c>
      <c r="H1875" s="411">
        <v>251.6</v>
      </c>
      <c r="I1875" s="411">
        <v>0</v>
      </c>
      <c r="J1875" s="90">
        <f>-((H1875*0.022)+0.3)</f>
        <v>-5.8351999999999995</v>
      </c>
      <c r="K1875" s="90">
        <f t="shared" si="326"/>
        <v>245.76480000000001</v>
      </c>
      <c r="L1875" s="187">
        <v>840</v>
      </c>
      <c r="M1875" s="187">
        <v>33.85</v>
      </c>
      <c r="N1875" s="91">
        <f t="shared" si="332"/>
        <v>158.16999999999999</v>
      </c>
      <c r="O1875" s="411">
        <f t="shared" si="331"/>
        <v>87.594800000000021</v>
      </c>
      <c r="P1875" s="132" t="s">
        <v>183</v>
      </c>
      <c r="Q1875" s="232"/>
      <c r="R1875" s="411"/>
      <c r="T1875" s="134" t="s">
        <v>145</v>
      </c>
      <c r="U1875" s="267" t="s">
        <v>4395</v>
      </c>
      <c r="W1875" s="153" t="s">
        <v>4396</v>
      </c>
      <c r="AA1875" s="218"/>
    </row>
    <row r="1876" spans="1:27" x14ac:dyDescent="0.25">
      <c r="A1876" s="419">
        <v>3001402</v>
      </c>
      <c r="B1876" s="421">
        <v>42457</v>
      </c>
      <c r="C1876" s="419" t="s">
        <v>63</v>
      </c>
      <c r="D1876" s="417" t="s">
        <v>4397</v>
      </c>
      <c r="E1876" s="120">
        <v>500</v>
      </c>
      <c r="F1876" s="133" t="s">
        <v>161</v>
      </c>
      <c r="G1876" s="434" t="s">
        <v>45</v>
      </c>
      <c r="H1876" s="427">
        <v>1880</v>
      </c>
      <c r="I1876" s="427">
        <v>0</v>
      </c>
      <c r="J1876" s="425">
        <f>-((H1876*0.022)+0.3)</f>
        <v>-41.66</v>
      </c>
      <c r="K1876" s="425">
        <f t="shared" si="326"/>
        <v>1838.34</v>
      </c>
      <c r="L1876" s="131">
        <v>1322</v>
      </c>
      <c r="M1876" s="510">
        <v>202.22</v>
      </c>
      <c r="N1876" s="91">
        <f t="shared" si="332"/>
        <v>863.22</v>
      </c>
      <c r="O1876" s="411">
        <f t="shared" si="331"/>
        <v>975.11999999999989</v>
      </c>
      <c r="P1876" s="132" t="s">
        <v>86</v>
      </c>
      <c r="Q1876" s="232"/>
      <c r="R1876" s="411"/>
      <c r="T1876" s="439" t="s">
        <v>244</v>
      </c>
      <c r="U1876" s="446" t="s">
        <v>4398</v>
      </c>
      <c r="W1876" s="153" t="s">
        <v>4399</v>
      </c>
      <c r="AA1876" s="218"/>
    </row>
    <row r="1877" spans="1:27" x14ac:dyDescent="0.25">
      <c r="A1877" s="420"/>
      <c r="B1877" s="422"/>
      <c r="C1877" s="420"/>
      <c r="D1877" s="418"/>
      <c r="E1877" s="120">
        <v>200</v>
      </c>
      <c r="F1877" s="133" t="s">
        <v>300</v>
      </c>
      <c r="G1877" s="436"/>
      <c r="H1877" s="428"/>
      <c r="I1877" s="428"/>
      <c r="J1877" s="426"/>
      <c r="K1877" s="426"/>
      <c r="L1877" s="131">
        <v>2150</v>
      </c>
      <c r="M1877" s="512"/>
      <c r="N1877" s="91">
        <f t="shared" si="332"/>
        <v>430</v>
      </c>
      <c r="O1877" s="411">
        <f t="shared" si="331"/>
        <v>-430</v>
      </c>
      <c r="P1877" s="132" t="s">
        <v>86</v>
      </c>
      <c r="Q1877" s="232"/>
      <c r="R1877" s="411"/>
      <c r="T1877" s="441"/>
      <c r="U1877" s="447"/>
      <c r="AA1877" s="218"/>
    </row>
    <row r="1878" spans="1:27" ht="24" x14ac:dyDescent="0.25">
      <c r="A1878" s="405">
        <v>3001403</v>
      </c>
      <c r="B1878" s="406">
        <v>42457</v>
      </c>
      <c r="C1878" s="405" t="s">
        <v>141</v>
      </c>
      <c r="D1878" s="401" t="s">
        <v>4400</v>
      </c>
      <c r="E1878" s="120">
        <v>12</v>
      </c>
      <c r="F1878" s="133" t="s">
        <v>4401</v>
      </c>
      <c r="G1878" s="404" t="s">
        <v>45</v>
      </c>
      <c r="H1878" s="411">
        <v>75</v>
      </c>
      <c r="I1878" s="411">
        <v>0</v>
      </c>
      <c r="J1878" s="90">
        <f>-((H1878*0.0325)+0.3)</f>
        <v>-2.7374999999999998</v>
      </c>
      <c r="K1878" s="90">
        <f t="shared" si="326"/>
        <v>72.262500000000003</v>
      </c>
      <c r="L1878" s="187">
        <v>1650</v>
      </c>
      <c r="M1878" s="187">
        <v>25.69</v>
      </c>
      <c r="N1878" s="91">
        <f t="shared" si="332"/>
        <v>45.49</v>
      </c>
      <c r="O1878" s="411">
        <f t="shared" si="331"/>
        <v>26.772500000000001</v>
      </c>
      <c r="P1878" s="132" t="s">
        <v>52</v>
      </c>
      <c r="Q1878" s="232"/>
      <c r="R1878" s="411"/>
      <c r="T1878" s="134" t="s">
        <v>145</v>
      </c>
      <c r="U1878" s="267" t="s">
        <v>4402</v>
      </c>
      <c r="W1878" s="153" t="s">
        <v>4403</v>
      </c>
      <c r="AA1878" s="218"/>
    </row>
    <row r="1879" spans="1:27" x14ac:dyDescent="0.25">
      <c r="A1879" s="405">
        <v>3001404</v>
      </c>
      <c r="B1879" s="406">
        <v>42457</v>
      </c>
      <c r="C1879" s="405" t="s">
        <v>237</v>
      </c>
      <c r="D1879" s="401" t="s">
        <v>4404</v>
      </c>
      <c r="E1879" s="120">
        <v>500</v>
      </c>
      <c r="F1879" s="133" t="s">
        <v>4405</v>
      </c>
      <c r="G1879" s="404" t="s">
        <v>45</v>
      </c>
      <c r="H1879" s="411">
        <v>198.06</v>
      </c>
      <c r="I1879" s="397">
        <f>-(H1879*0.15)</f>
        <v>-29.709</v>
      </c>
      <c r="J1879" s="411">
        <v>0</v>
      </c>
      <c r="K1879" s="90">
        <f t="shared" si="326"/>
        <v>168.351</v>
      </c>
      <c r="L1879" s="187">
        <v>292.93</v>
      </c>
      <c r="M1879" s="187">
        <v>43.65</v>
      </c>
      <c r="N1879" s="91">
        <f t="shared" si="332"/>
        <v>190.11500000000001</v>
      </c>
      <c r="O1879" s="411">
        <f t="shared" si="331"/>
        <v>-21.76400000000001</v>
      </c>
      <c r="P1879" s="132" t="s">
        <v>76</v>
      </c>
      <c r="Q1879" s="232"/>
      <c r="R1879" s="411"/>
      <c r="T1879" s="135" t="s">
        <v>755</v>
      </c>
      <c r="AA1879" s="218"/>
    </row>
    <row r="1880" spans="1:27" x14ac:dyDescent="0.25">
      <c r="A1880" s="419">
        <v>3001405</v>
      </c>
      <c r="B1880" s="421">
        <v>42457</v>
      </c>
      <c r="C1880" s="419" t="s">
        <v>237</v>
      </c>
      <c r="D1880" s="417" t="s">
        <v>4406</v>
      </c>
      <c r="E1880" s="120">
        <v>15</v>
      </c>
      <c r="F1880" s="133" t="s">
        <v>4407</v>
      </c>
      <c r="G1880" s="434" t="s">
        <v>45</v>
      </c>
      <c r="H1880" s="427">
        <v>151.66</v>
      </c>
      <c r="I1880" s="452">
        <f>-(H1880*0.15)</f>
        <v>-22.748999999999999</v>
      </c>
      <c r="J1880" s="427">
        <v>0</v>
      </c>
      <c r="K1880" s="425">
        <f t="shared" si="326"/>
        <v>128.911</v>
      </c>
      <c r="L1880" s="187">
        <v>2264</v>
      </c>
      <c r="M1880" s="187">
        <v>13.09</v>
      </c>
      <c r="N1880" s="91">
        <f t="shared" si="332"/>
        <v>47.05</v>
      </c>
      <c r="O1880" s="411">
        <f t="shared" si="331"/>
        <v>81.861000000000004</v>
      </c>
      <c r="P1880" s="132" t="s">
        <v>926</v>
      </c>
      <c r="Q1880" s="232"/>
      <c r="R1880" s="411"/>
      <c r="T1880" s="439" t="s">
        <v>145</v>
      </c>
      <c r="U1880" s="446" t="s">
        <v>4408</v>
      </c>
      <c r="AA1880" s="218"/>
    </row>
    <row r="1881" spans="1:27" x14ac:dyDescent="0.25">
      <c r="A1881" s="420"/>
      <c r="B1881" s="422"/>
      <c r="C1881" s="420"/>
      <c r="D1881" s="418"/>
      <c r="E1881" s="120">
        <v>15</v>
      </c>
      <c r="F1881" s="133" t="s">
        <v>1507</v>
      </c>
      <c r="G1881" s="436"/>
      <c r="H1881" s="428"/>
      <c r="I1881" s="453"/>
      <c r="J1881" s="428"/>
      <c r="K1881" s="426"/>
      <c r="L1881" s="187">
        <v>2306</v>
      </c>
      <c r="M1881" s="187"/>
      <c r="N1881" s="91">
        <f t="shared" si="332"/>
        <v>34.589999999999996</v>
      </c>
      <c r="O1881" s="411">
        <f t="shared" si="331"/>
        <v>-34.589999999999996</v>
      </c>
      <c r="P1881" s="132" t="s">
        <v>926</v>
      </c>
      <c r="Q1881" s="232"/>
      <c r="R1881" s="411"/>
      <c r="T1881" s="441"/>
      <c r="U1881" s="447"/>
      <c r="AA1881" s="218"/>
    </row>
    <row r="1882" spans="1:27" ht="24" x14ac:dyDescent="0.25">
      <c r="A1882" s="405">
        <v>3001406</v>
      </c>
      <c r="B1882" s="406">
        <v>42457</v>
      </c>
      <c r="C1882" s="405" t="s">
        <v>237</v>
      </c>
      <c r="D1882" s="401" t="s">
        <v>4409</v>
      </c>
      <c r="E1882" s="120">
        <v>100</v>
      </c>
      <c r="F1882" s="133" t="s">
        <v>590</v>
      </c>
      <c r="G1882" s="404" t="s">
        <v>45</v>
      </c>
      <c r="H1882" s="411">
        <v>135.16</v>
      </c>
      <c r="I1882" s="397">
        <f>-(H1882*0.15)</f>
        <v>-20.273999999999997</v>
      </c>
      <c r="J1882" s="411">
        <v>0</v>
      </c>
      <c r="K1882" s="90">
        <f t="shared" si="326"/>
        <v>114.886</v>
      </c>
      <c r="L1882" s="131">
        <v>620</v>
      </c>
      <c r="M1882" s="187">
        <v>26.37</v>
      </c>
      <c r="N1882" s="91">
        <f t="shared" si="332"/>
        <v>88.37</v>
      </c>
      <c r="O1882" s="411">
        <f t="shared" si="331"/>
        <v>26.515999999999991</v>
      </c>
      <c r="P1882" s="132" t="s">
        <v>52</v>
      </c>
      <c r="Q1882" s="232"/>
      <c r="R1882" s="411"/>
      <c r="T1882" s="134" t="s">
        <v>145</v>
      </c>
      <c r="U1882" s="267" t="s">
        <v>4410</v>
      </c>
      <c r="AA1882" s="218"/>
    </row>
    <row r="1883" spans="1:27" ht="24" x14ac:dyDescent="0.25">
      <c r="A1883" s="405">
        <v>3001407</v>
      </c>
      <c r="B1883" s="406">
        <v>42457</v>
      </c>
      <c r="C1883" s="405" t="s">
        <v>237</v>
      </c>
      <c r="D1883" s="401" t="s">
        <v>4411</v>
      </c>
      <c r="E1883" s="120">
        <v>250</v>
      </c>
      <c r="F1883" s="133" t="s">
        <v>590</v>
      </c>
      <c r="G1883" s="404" t="s">
        <v>45</v>
      </c>
      <c r="H1883" s="411">
        <v>350.46</v>
      </c>
      <c r="I1883" s="397">
        <f>-(H1883*0.15)</f>
        <v>-52.568999999999996</v>
      </c>
      <c r="J1883" s="411">
        <v>0</v>
      </c>
      <c r="K1883" s="90">
        <f t="shared" si="326"/>
        <v>297.89099999999996</v>
      </c>
      <c r="L1883" s="131">
        <v>620</v>
      </c>
      <c r="M1883" s="187">
        <v>59.66</v>
      </c>
      <c r="N1883" s="91">
        <f t="shared" si="332"/>
        <v>214.66</v>
      </c>
      <c r="O1883" s="411">
        <f t="shared" si="331"/>
        <v>83.230999999999966</v>
      </c>
      <c r="P1883" s="132" t="s">
        <v>52</v>
      </c>
      <c r="Q1883" s="232"/>
      <c r="R1883" s="411"/>
      <c r="T1883" s="134" t="s">
        <v>145</v>
      </c>
      <c r="U1883" s="267" t="s">
        <v>4412</v>
      </c>
      <c r="AA1883" s="218"/>
    </row>
    <row r="1884" spans="1:27" ht="24" x14ac:dyDescent="0.25">
      <c r="A1884" s="405">
        <v>3001408</v>
      </c>
      <c r="B1884" s="406">
        <v>42457</v>
      </c>
      <c r="C1884" s="405" t="s">
        <v>237</v>
      </c>
      <c r="D1884" s="401" t="s">
        <v>4413</v>
      </c>
      <c r="E1884" s="120">
        <v>250</v>
      </c>
      <c r="F1884" s="133" t="s">
        <v>175</v>
      </c>
      <c r="G1884" s="404" t="s">
        <v>45</v>
      </c>
      <c r="H1884" s="411">
        <v>177.51</v>
      </c>
      <c r="I1884" s="397">
        <f>-(H1884*0.15)</f>
        <v>-26.626499999999997</v>
      </c>
      <c r="J1884" s="411">
        <v>0</v>
      </c>
      <c r="K1884" s="90">
        <f t="shared" si="326"/>
        <v>150.8835</v>
      </c>
      <c r="L1884" s="131">
        <v>250</v>
      </c>
      <c r="M1884" s="187">
        <v>53.37</v>
      </c>
      <c r="N1884" s="91">
        <f t="shared" si="332"/>
        <v>115.87</v>
      </c>
      <c r="O1884" s="411">
        <f t="shared" si="331"/>
        <v>35.013499999999993</v>
      </c>
      <c r="P1884" s="132" t="s">
        <v>52</v>
      </c>
      <c r="Q1884" s="232"/>
      <c r="R1884" s="411"/>
      <c r="T1884" s="134" t="s">
        <v>145</v>
      </c>
      <c r="U1884" s="267" t="s">
        <v>4414</v>
      </c>
      <c r="AA1884" s="218"/>
    </row>
    <row r="1885" spans="1:27" x14ac:dyDescent="0.25">
      <c r="A1885" s="419">
        <v>3001409</v>
      </c>
      <c r="B1885" s="421">
        <v>42457</v>
      </c>
      <c r="C1885" s="419" t="s">
        <v>237</v>
      </c>
      <c r="D1885" s="417" t="s">
        <v>4415</v>
      </c>
      <c r="E1885" s="120">
        <v>25</v>
      </c>
      <c r="F1885" s="133" t="s">
        <v>3719</v>
      </c>
      <c r="G1885" s="434" t="s">
        <v>45</v>
      </c>
      <c r="H1885" s="427">
        <v>128.69999999999999</v>
      </c>
      <c r="I1885" s="452">
        <f>-(H1885*0.15)</f>
        <v>-19.304999999999996</v>
      </c>
      <c r="J1885" s="427">
        <v>0</v>
      </c>
      <c r="K1885" s="425">
        <f t="shared" si="326"/>
        <v>109.395</v>
      </c>
      <c r="L1885" s="187">
        <v>1154</v>
      </c>
      <c r="M1885" s="187">
        <v>17.46</v>
      </c>
      <c r="N1885" s="91">
        <f t="shared" si="332"/>
        <v>46.31</v>
      </c>
      <c r="O1885" s="411">
        <f t="shared" si="331"/>
        <v>63.084999999999994</v>
      </c>
      <c r="P1885" s="132" t="s">
        <v>926</v>
      </c>
      <c r="Q1885" s="232"/>
      <c r="R1885" s="411"/>
      <c r="T1885" s="439" t="s">
        <v>145</v>
      </c>
      <c r="U1885" s="446" t="s">
        <v>4416</v>
      </c>
      <c r="AA1885" s="218"/>
    </row>
    <row r="1886" spans="1:27" x14ac:dyDescent="0.25">
      <c r="A1886" s="420"/>
      <c r="B1886" s="422"/>
      <c r="C1886" s="420"/>
      <c r="D1886" s="418"/>
      <c r="E1886" s="120">
        <v>25</v>
      </c>
      <c r="F1886" s="133" t="s">
        <v>3307</v>
      </c>
      <c r="G1886" s="436"/>
      <c r="H1886" s="428"/>
      <c r="I1886" s="453"/>
      <c r="J1886" s="428"/>
      <c r="K1886" s="426"/>
      <c r="L1886" s="187">
        <v>1186</v>
      </c>
      <c r="N1886" s="91">
        <f t="shared" si="332"/>
        <v>29.650000000000002</v>
      </c>
      <c r="O1886" s="411">
        <f t="shared" si="331"/>
        <v>-29.650000000000002</v>
      </c>
      <c r="P1886" s="132" t="s">
        <v>926</v>
      </c>
      <c r="Q1886" s="232"/>
      <c r="R1886" s="411"/>
      <c r="T1886" s="441"/>
      <c r="U1886" s="447"/>
      <c r="AA1886" s="218"/>
    </row>
    <row r="1887" spans="1:27" x14ac:dyDescent="0.25">
      <c r="A1887" s="419">
        <v>3001410</v>
      </c>
      <c r="B1887" s="421">
        <v>42457</v>
      </c>
      <c r="C1887" s="419" t="s">
        <v>237</v>
      </c>
      <c r="D1887" s="417" t="s">
        <v>4417</v>
      </c>
      <c r="E1887" s="120">
        <v>25</v>
      </c>
      <c r="F1887" s="133" t="s">
        <v>3719</v>
      </c>
      <c r="G1887" s="434" t="s">
        <v>45</v>
      </c>
      <c r="H1887" s="427">
        <v>128.69999999999999</v>
      </c>
      <c r="I1887" s="452">
        <f>-(H1887*0.15)</f>
        <v>-19.304999999999996</v>
      </c>
      <c r="J1887" s="427">
        <v>0</v>
      </c>
      <c r="K1887" s="425">
        <f t="shared" si="326"/>
        <v>109.395</v>
      </c>
      <c r="L1887" s="187">
        <v>1154</v>
      </c>
      <c r="M1887" s="187">
        <v>21.28</v>
      </c>
      <c r="N1887" s="91">
        <f t="shared" si="332"/>
        <v>50.13</v>
      </c>
      <c r="O1887" s="411">
        <f t="shared" si="331"/>
        <v>59.264999999999993</v>
      </c>
      <c r="P1887" s="132" t="s">
        <v>926</v>
      </c>
      <c r="Q1887" s="232"/>
      <c r="R1887" s="411"/>
      <c r="T1887" s="439" t="s">
        <v>145</v>
      </c>
      <c r="U1887" s="446" t="s">
        <v>4418</v>
      </c>
      <c r="AA1887" s="218"/>
    </row>
    <row r="1888" spans="1:27" x14ac:dyDescent="0.25">
      <c r="A1888" s="420"/>
      <c r="B1888" s="422"/>
      <c r="C1888" s="420"/>
      <c r="D1888" s="418"/>
      <c r="E1888" s="120">
        <v>25</v>
      </c>
      <c r="F1888" s="133" t="s">
        <v>3307</v>
      </c>
      <c r="G1888" s="436"/>
      <c r="H1888" s="428"/>
      <c r="I1888" s="453"/>
      <c r="J1888" s="428"/>
      <c r="K1888" s="426"/>
      <c r="L1888" s="187">
        <v>1186</v>
      </c>
      <c r="N1888" s="91">
        <f t="shared" si="332"/>
        <v>29.650000000000002</v>
      </c>
      <c r="O1888" s="411">
        <f t="shared" si="331"/>
        <v>-29.650000000000002</v>
      </c>
      <c r="P1888" s="132" t="s">
        <v>926</v>
      </c>
      <c r="Q1888" s="232"/>
      <c r="R1888" s="411"/>
      <c r="T1888" s="441"/>
      <c r="U1888" s="447"/>
      <c r="AA1888" s="218"/>
    </row>
    <row r="1889" spans="1:27" ht="24" x14ac:dyDescent="0.25">
      <c r="A1889" s="405">
        <v>3001411</v>
      </c>
      <c r="B1889" s="406">
        <v>42457</v>
      </c>
      <c r="C1889" s="405" t="s">
        <v>237</v>
      </c>
      <c r="D1889" s="401" t="s">
        <v>4419</v>
      </c>
      <c r="E1889" s="120">
        <v>150</v>
      </c>
      <c r="F1889" s="133" t="s">
        <v>3704</v>
      </c>
      <c r="G1889" s="404" t="s">
        <v>45</v>
      </c>
      <c r="H1889" s="411">
        <v>111.73</v>
      </c>
      <c r="I1889" s="397">
        <f>-(H1889*0.15)</f>
        <v>-16.759499999999999</v>
      </c>
      <c r="J1889" s="411">
        <v>0</v>
      </c>
      <c r="K1889" s="90">
        <f t="shared" si="326"/>
        <v>94.970500000000001</v>
      </c>
      <c r="L1889" s="187">
        <v>420</v>
      </c>
      <c r="M1889" s="187">
        <v>16.649999999999999</v>
      </c>
      <c r="N1889" s="91">
        <f t="shared" si="332"/>
        <v>79.650000000000006</v>
      </c>
      <c r="O1889" s="411">
        <f t="shared" si="331"/>
        <v>15.320499999999996</v>
      </c>
      <c r="P1889" s="132" t="s">
        <v>183</v>
      </c>
      <c r="Q1889" s="232"/>
      <c r="R1889" s="411"/>
      <c r="T1889" s="134" t="s">
        <v>145</v>
      </c>
      <c r="U1889" s="267" t="s">
        <v>4420</v>
      </c>
      <c r="AA1889" s="218"/>
    </row>
    <row r="1890" spans="1:27" ht="24" x14ac:dyDescent="0.25">
      <c r="A1890" s="405">
        <v>3001412</v>
      </c>
      <c r="B1890" s="406">
        <v>42457</v>
      </c>
      <c r="C1890" s="405" t="s">
        <v>237</v>
      </c>
      <c r="D1890" s="401" t="s">
        <v>4421</v>
      </c>
      <c r="E1890" s="120">
        <v>100</v>
      </c>
      <c r="F1890" s="119" t="s">
        <v>4422</v>
      </c>
      <c r="G1890" s="404" t="s">
        <v>45</v>
      </c>
      <c r="H1890" s="411">
        <v>97.91</v>
      </c>
      <c r="I1890" s="397">
        <f>-(H1890*0.15)</f>
        <v>-14.686499999999999</v>
      </c>
      <c r="J1890" s="411">
        <v>0</v>
      </c>
      <c r="K1890" s="90">
        <f t="shared" si="326"/>
        <v>83.223500000000001</v>
      </c>
      <c r="L1890" s="187">
        <v>364</v>
      </c>
      <c r="M1890" s="187">
        <v>7.24</v>
      </c>
      <c r="N1890" s="91">
        <f t="shared" si="332"/>
        <v>43.64</v>
      </c>
      <c r="O1890" s="411">
        <f t="shared" si="331"/>
        <v>39.583500000000001</v>
      </c>
      <c r="P1890" s="132" t="s">
        <v>643</v>
      </c>
      <c r="Q1890" s="232"/>
      <c r="R1890" s="411"/>
      <c r="T1890" s="134" t="s">
        <v>145</v>
      </c>
      <c r="U1890" s="267" t="s">
        <v>4423</v>
      </c>
      <c r="AA1890" s="218"/>
    </row>
    <row r="1891" spans="1:27" x14ac:dyDescent="0.25">
      <c r="A1891" s="419">
        <v>3001413</v>
      </c>
      <c r="B1891" s="421">
        <v>42457</v>
      </c>
      <c r="C1891" s="419" t="s">
        <v>237</v>
      </c>
      <c r="D1891" s="417" t="s">
        <v>4424</v>
      </c>
      <c r="E1891" s="120">
        <v>75</v>
      </c>
      <c r="F1891" s="133" t="s">
        <v>4407</v>
      </c>
      <c r="G1891" s="434" t="s">
        <v>45</v>
      </c>
      <c r="H1891" s="427">
        <v>732.88</v>
      </c>
      <c r="I1891" s="452">
        <f>-(H1891*0.15)</f>
        <v>-109.932</v>
      </c>
      <c r="J1891" s="427">
        <v>0</v>
      </c>
      <c r="K1891" s="425">
        <f t="shared" si="326"/>
        <v>622.94799999999998</v>
      </c>
      <c r="L1891" s="187">
        <v>2264</v>
      </c>
      <c r="M1891" s="187">
        <v>21.8</v>
      </c>
      <c r="N1891" s="91">
        <f t="shared" si="332"/>
        <v>191.6</v>
      </c>
      <c r="O1891" s="411">
        <f t="shared" si="331"/>
        <v>431.34799999999996</v>
      </c>
      <c r="P1891" s="132" t="s">
        <v>926</v>
      </c>
      <c r="Q1891" s="232"/>
      <c r="R1891" s="411"/>
      <c r="T1891" s="439" t="s">
        <v>145</v>
      </c>
      <c r="U1891" s="481" t="s">
        <v>4425</v>
      </c>
      <c r="AA1891" s="218"/>
    </row>
    <row r="1892" spans="1:27" x14ac:dyDescent="0.25">
      <c r="A1892" s="420"/>
      <c r="B1892" s="422"/>
      <c r="C1892" s="420"/>
      <c r="D1892" s="418"/>
      <c r="E1892" s="120">
        <v>75</v>
      </c>
      <c r="F1892" s="133" t="s">
        <v>1507</v>
      </c>
      <c r="G1892" s="436"/>
      <c r="H1892" s="428"/>
      <c r="I1892" s="453"/>
      <c r="J1892" s="428"/>
      <c r="K1892" s="426"/>
      <c r="L1892" s="187">
        <v>2306</v>
      </c>
      <c r="M1892" s="187"/>
      <c r="N1892" s="91">
        <f t="shared" si="332"/>
        <v>172.95</v>
      </c>
      <c r="O1892" s="411">
        <f t="shared" si="331"/>
        <v>-172.95</v>
      </c>
      <c r="P1892" s="132" t="s">
        <v>926</v>
      </c>
      <c r="Q1892" s="232"/>
      <c r="R1892" s="411"/>
      <c r="T1892" s="441"/>
      <c r="U1892" s="483"/>
      <c r="AA1892" s="218"/>
    </row>
    <row r="1893" spans="1:27" ht="36" x14ac:dyDescent="0.25">
      <c r="A1893" s="405">
        <v>3001414</v>
      </c>
      <c r="B1893" s="406">
        <v>42457</v>
      </c>
      <c r="C1893" s="405" t="s">
        <v>555</v>
      </c>
      <c r="D1893" s="401" t="s">
        <v>4426</v>
      </c>
      <c r="E1893" s="120">
        <v>7218</v>
      </c>
      <c r="F1893" s="133" t="s">
        <v>4427</v>
      </c>
      <c r="G1893" s="404" t="s">
        <v>45</v>
      </c>
      <c r="H1893" s="411">
        <v>69982</v>
      </c>
      <c r="I1893" s="411">
        <v>0</v>
      </c>
      <c r="J1893" s="411">
        <v>0</v>
      </c>
      <c r="K1893" s="90">
        <f t="shared" si="326"/>
        <v>69982</v>
      </c>
      <c r="L1893" s="187">
        <v>6789</v>
      </c>
      <c r="N1893" s="91">
        <f t="shared" si="332"/>
        <v>49003.002</v>
      </c>
      <c r="O1893" s="411">
        <f t="shared" si="331"/>
        <v>20978.998</v>
      </c>
      <c r="P1893" s="132" t="s">
        <v>1505</v>
      </c>
      <c r="Q1893" s="232"/>
      <c r="R1893" s="411"/>
      <c r="T1893" s="135" t="s">
        <v>4428</v>
      </c>
      <c r="V1893" s="133" t="s">
        <v>4429</v>
      </c>
      <c r="AA1893" s="218"/>
    </row>
    <row r="1894" spans="1:27" ht="24" x14ac:dyDescent="0.25">
      <c r="A1894" s="203" t="s">
        <v>4430</v>
      </c>
      <c r="B1894" s="406">
        <v>42458</v>
      </c>
      <c r="C1894" s="405" t="s">
        <v>63</v>
      </c>
      <c r="D1894" s="401" t="s">
        <v>4431</v>
      </c>
      <c r="E1894" s="120">
        <v>1000</v>
      </c>
      <c r="F1894" s="133" t="s">
        <v>1137</v>
      </c>
      <c r="G1894" s="404" t="s">
        <v>45</v>
      </c>
      <c r="H1894" s="411">
        <v>440</v>
      </c>
      <c r="I1894" s="411">
        <v>0</v>
      </c>
      <c r="J1894" s="90">
        <f>-((H1894*0.022)+0.3)</f>
        <v>-9.98</v>
      </c>
      <c r="K1894" s="90">
        <f t="shared" si="326"/>
        <v>430.02</v>
      </c>
      <c r="L1894" s="131">
        <v>220</v>
      </c>
      <c r="M1894" s="187">
        <v>46.5</v>
      </c>
      <c r="N1894" s="91">
        <f t="shared" si="332"/>
        <v>266.5</v>
      </c>
      <c r="O1894" s="411">
        <f t="shared" si="331"/>
        <v>163.51999999999998</v>
      </c>
      <c r="P1894" s="132" t="s">
        <v>52</v>
      </c>
      <c r="Q1894" s="232"/>
      <c r="R1894" s="411"/>
      <c r="T1894" s="134" t="s">
        <v>145</v>
      </c>
      <c r="U1894" s="267" t="s">
        <v>4432</v>
      </c>
      <c r="W1894" s="153" t="s">
        <v>4433</v>
      </c>
      <c r="AA1894" s="218"/>
    </row>
    <row r="1895" spans="1:27" ht="24" x14ac:dyDescent="0.25">
      <c r="A1895" s="405">
        <v>3001416</v>
      </c>
      <c r="B1895" s="406">
        <v>42458</v>
      </c>
      <c r="C1895" s="405" t="s">
        <v>63</v>
      </c>
      <c r="D1895" s="401" t="s">
        <v>4434</v>
      </c>
      <c r="E1895" s="120">
        <v>100</v>
      </c>
      <c r="F1895" s="133" t="s">
        <v>341</v>
      </c>
      <c r="G1895" s="404" t="s">
        <v>45</v>
      </c>
      <c r="H1895" s="411">
        <v>150</v>
      </c>
      <c r="I1895" s="411">
        <v>0</v>
      </c>
      <c r="J1895" s="90">
        <f>-((H1895*0.022)+0.3)</f>
        <v>-3.5999999999999996</v>
      </c>
      <c r="K1895" s="90">
        <f t="shared" si="326"/>
        <v>146.4</v>
      </c>
      <c r="L1895" s="131">
        <v>660</v>
      </c>
      <c r="M1895" s="187">
        <v>30.47</v>
      </c>
      <c r="N1895" s="91">
        <f t="shared" si="332"/>
        <v>96.47</v>
      </c>
      <c r="O1895" s="411">
        <f t="shared" si="331"/>
        <v>49.930000000000007</v>
      </c>
      <c r="P1895" s="132" t="s">
        <v>52</v>
      </c>
      <c r="Q1895" s="232"/>
      <c r="R1895" s="411"/>
      <c r="T1895" s="134" t="s">
        <v>145</v>
      </c>
      <c r="U1895" s="267" t="s">
        <v>4435</v>
      </c>
      <c r="W1895" s="153" t="s">
        <v>4436</v>
      </c>
      <c r="AA1895" s="218"/>
    </row>
    <row r="1896" spans="1:27" x14ac:dyDescent="0.25">
      <c r="A1896" s="405">
        <v>3001417</v>
      </c>
      <c r="B1896" s="406">
        <v>42458</v>
      </c>
      <c r="C1896" s="405" t="s">
        <v>78</v>
      </c>
      <c r="D1896" s="401" t="s">
        <v>4437</v>
      </c>
      <c r="E1896" s="120">
        <v>410</v>
      </c>
      <c r="F1896" s="133" t="s">
        <v>70</v>
      </c>
      <c r="G1896" s="404" t="s">
        <v>45</v>
      </c>
      <c r="H1896" s="411">
        <v>1120</v>
      </c>
      <c r="I1896" s="411">
        <v>0</v>
      </c>
      <c r="J1896" s="391">
        <f t="shared" ref="J1896:J1904" si="333">-((H1896*0.019)+0.3)</f>
        <v>-21.580000000000002</v>
      </c>
      <c r="K1896" s="90">
        <f t="shared" si="326"/>
        <v>1098.42</v>
      </c>
      <c r="L1896" s="131">
        <v>1564</v>
      </c>
      <c r="M1896" s="187">
        <v>97.6</v>
      </c>
      <c r="N1896" s="91">
        <f t="shared" si="332"/>
        <v>738.84</v>
      </c>
      <c r="O1896" s="411">
        <f t="shared" si="331"/>
        <v>359.58000000000004</v>
      </c>
      <c r="P1896" s="132" t="s">
        <v>52</v>
      </c>
      <c r="Q1896" s="232"/>
      <c r="R1896" s="411"/>
      <c r="T1896" s="134" t="s">
        <v>244</v>
      </c>
      <c r="U1896" s="267" t="s">
        <v>4438</v>
      </c>
      <c r="V1896" s="133" t="s">
        <v>55</v>
      </c>
      <c r="W1896" s="153" t="s">
        <v>4439</v>
      </c>
      <c r="AA1896" s="218"/>
    </row>
    <row r="1897" spans="1:27" ht="24" x14ac:dyDescent="0.25">
      <c r="A1897" s="405">
        <v>3001418</v>
      </c>
      <c r="B1897" s="406">
        <v>42458</v>
      </c>
      <c r="C1897" s="405" t="s">
        <v>141</v>
      </c>
      <c r="D1897" s="401" t="s">
        <v>2166</v>
      </c>
      <c r="E1897" s="120">
        <v>1000</v>
      </c>
      <c r="F1897" s="133" t="s">
        <v>4440</v>
      </c>
      <c r="G1897" s="404" t="s">
        <v>45</v>
      </c>
      <c r="H1897" s="411">
        <v>360</v>
      </c>
      <c r="I1897" s="411">
        <v>0</v>
      </c>
      <c r="J1897" s="391">
        <f>-((H1897*0.0325)+0.3)</f>
        <v>-12.000000000000002</v>
      </c>
      <c r="K1897" s="90">
        <f t="shared" si="326"/>
        <v>348</v>
      </c>
      <c r="L1897" s="187">
        <v>141.5</v>
      </c>
      <c r="N1897" s="91">
        <f t="shared" si="332"/>
        <v>141.5</v>
      </c>
      <c r="O1897" s="411">
        <f t="shared" si="331"/>
        <v>206.5</v>
      </c>
      <c r="P1897" s="132" t="s">
        <v>2168</v>
      </c>
      <c r="Q1897" s="232"/>
      <c r="R1897" s="411"/>
      <c r="T1897" s="134" t="s">
        <v>204</v>
      </c>
      <c r="U1897" s="267" t="s">
        <v>4441</v>
      </c>
      <c r="W1897" s="153" t="s">
        <v>2170</v>
      </c>
      <c r="AA1897" s="218"/>
    </row>
    <row r="1898" spans="1:27" ht="24" x14ac:dyDescent="0.25">
      <c r="A1898" s="405">
        <v>3001419</v>
      </c>
      <c r="B1898" s="406">
        <v>42458</v>
      </c>
      <c r="C1898" s="405" t="s">
        <v>42</v>
      </c>
      <c r="D1898" s="401" t="s">
        <v>4442</v>
      </c>
      <c r="E1898" s="120">
        <v>250</v>
      </c>
      <c r="F1898" s="133" t="s">
        <v>1550</v>
      </c>
      <c r="G1898" s="404" t="s">
        <v>45</v>
      </c>
      <c r="H1898" s="411">
        <v>294.39999999999998</v>
      </c>
      <c r="I1898" s="89">
        <f t="shared" ref="I1898:I1904" si="334">-(H1898*0.09)</f>
        <v>-26.495999999999999</v>
      </c>
      <c r="J1898" s="391">
        <f t="shared" si="333"/>
        <v>-5.8935999999999993</v>
      </c>
      <c r="K1898" s="90">
        <f t="shared" si="326"/>
        <v>262.0104</v>
      </c>
      <c r="M1898" s="187">
        <v>60.91</v>
      </c>
      <c r="N1898" s="91">
        <f t="shared" si="332"/>
        <v>60.91</v>
      </c>
      <c r="O1898" s="411">
        <f t="shared" si="331"/>
        <v>201.10040000000001</v>
      </c>
      <c r="P1898" s="132" t="s">
        <v>52</v>
      </c>
      <c r="Q1898" s="232"/>
      <c r="R1898" s="411"/>
      <c r="T1898" s="134" t="s">
        <v>145</v>
      </c>
      <c r="U1898" s="267" t="s">
        <v>4443</v>
      </c>
      <c r="AA1898" s="218"/>
    </row>
    <row r="1899" spans="1:27" ht="24" x14ac:dyDescent="0.25">
      <c r="A1899" s="405">
        <v>3001420</v>
      </c>
      <c r="B1899" s="406">
        <v>42458</v>
      </c>
      <c r="C1899" s="405" t="s">
        <v>42</v>
      </c>
      <c r="D1899" s="401" t="s">
        <v>4444</v>
      </c>
      <c r="E1899" s="120">
        <v>75</v>
      </c>
      <c r="F1899" s="133" t="s">
        <v>247</v>
      </c>
      <c r="G1899" s="404" t="s">
        <v>45</v>
      </c>
      <c r="H1899" s="411">
        <v>85.5</v>
      </c>
      <c r="I1899" s="89">
        <f t="shared" si="334"/>
        <v>-7.6949999999999994</v>
      </c>
      <c r="J1899" s="391">
        <f t="shared" si="333"/>
        <v>-1.9245000000000001</v>
      </c>
      <c r="K1899" s="90">
        <f t="shared" si="326"/>
        <v>75.880500000000012</v>
      </c>
      <c r="L1899" s="131">
        <v>480</v>
      </c>
      <c r="M1899" s="187">
        <v>34.33</v>
      </c>
      <c r="N1899" s="91">
        <f t="shared" si="332"/>
        <v>70.33</v>
      </c>
      <c r="O1899" s="411">
        <f t="shared" si="331"/>
        <v>5.5505000000000138</v>
      </c>
      <c r="P1899" s="132" t="s">
        <v>52</v>
      </c>
      <c r="Q1899" s="232"/>
      <c r="R1899" s="411"/>
      <c r="T1899" s="134" t="s">
        <v>145</v>
      </c>
      <c r="U1899" s="267" t="s">
        <v>4445</v>
      </c>
      <c r="AA1899" s="218"/>
    </row>
    <row r="1900" spans="1:27" x14ac:dyDescent="0.25">
      <c r="A1900" s="405">
        <v>3001421</v>
      </c>
      <c r="B1900" s="406">
        <v>42458</v>
      </c>
      <c r="C1900" s="405" t="s">
        <v>42</v>
      </c>
      <c r="D1900" s="401" t="s">
        <v>4446</v>
      </c>
      <c r="E1900" s="120">
        <v>400</v>
      </c>
      <c r="F1900" s="133" t="s">
        <v>860</v>
      </c>
      <c r="G1900" s="404" t="s">
        <v>45</v>
      </c>
      <c r="H1900" s="411">
        <v>2831</v>
      </c>
      <c r="I1900" s="89">
        <f t="shared" si="334"/>
        <v>-254.79</v>
      </c>
      <c r="J1900" s="391">
        <f t="shared" si="333"/>
        <v>-54.088999999999999</v>
      </c>
      <c r="K1900" s="90">
        <f t="shared" si="326"/>
        <v>2522.1210000000001</v>
      </c>
      <c r="L1900" s="131">
        <v>3700</v>
      </c>
      <c r="M1900" s="187">
        <v>127.58</v>
      </c>
      <c r="N1900" s="91">
        <f t="shared" si="332"/>
        <v>1607.58</v>
      </c>
      <c r="O1900" s="411">
        <f t="shared" si="331"/>
        <v>914.54100000000017</v>
      </c>
      <c r="P1900" s="132" t="s">
        <v>52</v>
      </c>
      <c r="Q1900" s="232"/>
      <c r="R1900" s="411"/>
      <c r="T1900" s="134" t="s">
        <v>244</v>
      </c>
      <c r="U1900" s="267" t="s">
        <v>4447</v>
      </c>
      <c r="V1900" s="133" t="s">
        <v>55</v>
      </c>
      <c r="AA1900" s="218"/>
    </row>
    <row r="1901" spans="1:27" ht="24" x14ac:dyDescent="0.25">
      <c r="A1901" s="405">
        <v>3001422</v>
      </c>
      <c r="B1901" s="406">
        <v>42458</v>
      </c>
      <c r="C1901" s="405" t="s">
        <v>42</v>
      </c>
      <c r="D1901" s="401" t="s">
        <v>4448</v>
      </c>
      <c r="E1901" s="120">
        <v>250</v>
      </c>
      <c r="F1901" s="133" t="s">
        <v>1707</v>
      </c>
      <c r="G1901" s="404" t="s">
        <v>45</v>
      </c>
      <c r="H1901" s="411">
        <v>275.5</v>
      </c>
      <c r="I1901" s="89">
        <f t="shared" si="334"/>
        <v>-24.794999999999998</v>
      </c>
      <c r="J1901" s="391">
        <f t="shared" si="333"/>
        <v>-5.5344999999999995</v>
      </c>
      <c r="K1901" s="90">
        <f t="shared" si="326"/>
        <v>245.1705</v>
      </c>
      <c r="M1901" s="187">
        <v>178.92</v>
      </c>
      <c r="N1901" s="91">
        <f t="shared" si="332"/>
        <v>178.92</v>
      </c>
      <c r="O1901" s="411">
        <f t="shared" si="331"/>
        <v>66.250500000000017</v>
      </c>
      <c r="P1901" s="132" t="s">
        <v>52</v>
      </c>
      <c r="Q1901" s="232"/>
      <c r="R1901" s="411"/>
      <c r="T1901" s="134" t="s">
        <v>145</v>
      </c>
      <c r="U1901" s="267" t="s">
        <v>4449</v>
      </c>
      <c r="AA1901" s="218"/>
    </row>
    <row r="1902" spans="1:27" ht="24" x14ac:dyDescent="0.25">
      <c r="A1902" s="405">
        <v>3001423</v>
      </c>
      <c r="B1902" s="406">
        <v>42458</v>
      </c>
      <c r="C1902" s="405" t="s">
        <v>42</v>
      </c>
      <c r="D1902" s="401" t="s">
        <v>4450</v>
      </c>
      <c r="E1902" s="120">
        <v>500</v>
      </c>
      <c r="F1902" s="133" t="s">
        <v>451</v>
      </c>
      <c r="G1902" s="404" t="s">
        <v>45</v>
      </c>
      <c r="H1902" s="411">
        <v>295</v>
      </c>
      <c r="I1902" s="89">
        <f t="shared" si="334"/>
        <v>-26.55</v>
      </c>
      <c r="J1902" s="391">
        <f t="shared" si="333"/>
        <v>-5.9049999999999994</v>
      </c>
      <c r="K1902" s="90">
        <f t="shared" si="326"/>
        <v>262.54500000000002</v>
      </c>
      <c r="L1902" s="131">
        <v>336.55</v>
      </c>
      <c r="M1902" s="187">
        <v>61.07</v>
      </c>
      <c r="N1902" s="91">
        <f t="shared" si="332"/>
        <v>229.345</v>
      </c>
      <c r="O1902" s="411">
        <f t="shared" si="331"/>
        <v>33.200000000000017</v>
      </c>
      <c r="P1902" s="132" t="s">
        <v>52</v>
      </c>
      <c r="Q1902" s="232"/>
      <c r="R1902" s="411"/>
      <c r="T1902" s="134" t="s">
        <v>145</v>
      </c>
      <c r="U1902" s="267" t="s">
        <v>4451</v>
      </c>
      <c r="AA1902" s="218"/>
    </row>
    <row r="1903" spans="1:27" ht="24" x14ac:dyDescent="0.25">
      <c r="A1903" s="405">
        <v>3001424</v>
      </c>
      <c r="B1903" s="406">
        <v>42458</v>
      </c>
      <c r="C1903" s="405" t="s">
        <v>42</v>
      </c>
      <c r="D1903" s="401" t="s">
        <v>4452</v>
      </c>
      <c r="E1903" s="120">
        <v>250</v>
      </c>
      <c r="F1903" s="133" t="s">
        <v>1550</v>
      </c>
      <c r="G1903" s="404" t="s">
        <v>45</v>
      </c>
      <c r="H1903" s="411">
        <v>294.39999999999998</v>
      </c>
      <c r="I1903" s="89">
        <f t="shared" si="334"/>
        <v>-26.495999999999999</v>
      </c>
      <c r="J1903" s="391">
        <f t="shared" si="333"/>
        <v>-5.8935999999999993</v>
      </c>
      <c r="K1903" s="90">
        <f t="shared" si="326"/>
        <v>262.0104</v>
      </c>
      <c r="M1903" s="187">
        <v>54.99</v>
      </c>
      <c r="N1903" s="91">
        <f t="shared" si="332"/>
        <v>54.99</v>
      </c>
      <c r="O1903" s="411">
        <f t="shared" si="331"/>
        <v>207.0204</v>
      </c>
      <c r="P1903" s="132" t="s">
        <v>52</v>
      </c>
      <c r="Q1903" s="232"/>
      <c r="R1903" s="411"/>
      <c r="T1903" s="134" t="s">
        <v>145</v>
      </c>
      <c r="U1903" s="267" t="s">
        <v>4453</v>
      </c>
      <c r="AA1903" s="218"/>
    </row>
    <row r="1904" spans="1:27" ht="24" x14ac:dyDescent="0.25">
      <c r="A1904" s="405">
        <v>3001425</v>
      </c>
      <c r="B1904" s="406">
        <v>42458</v>
      </c>
      <c r="C1904" s="405" t="s">
        <v>42</v>
      </c>
      <c r="D1904" s="401" t="s">
        <v>4454</v>
      </c>
      <c r="E1904" s="120">
        <v>260</v>
      </c>
      <c r="F1904" s="133" t="s">
        <v>247</v>
      </c>
      <c r="G1904" s="404" t="s">
        <v>45</v>
      </c>
      <c r="H1904" s="411">
        <v>296.39999999999998</v>
      </c>
      <c r="I1904" s="89">
        <f t="shared" si="334"/>
        <v>-26.675999999999998</v>
      </c>
      <c r="J1904" s="391">
        <f t="shared" si="333"/>
        <v>-5.9315999999999995</v>
      </c>
      <c r="K1904" s="90">
        <f t="shared" si="326"/>
        <v>263.79239999999999</v>
      </c>
      <c r="L1904" s="131">
        <v>480</v>
      </c>
      <c r="M1904" s="187">
        <v>40.74</v>
      </c>
      <c r="N1904" s="91">
        <f t="shared" si="332"/>
        <v>165.54000000000002</v>
      </c>
      <c r="O1904" s="411">
        <f t="shared" si="331"/>
        <v>98.252399999999966</v>
      </c>
      <c r="P1904" s="132" t="s">
        <v>52</v>
      </c>
      <c r="Q1904" s="232"/>
      <c r="R1904" s="411"/>
      <c r="T1904" s="134" t="s">
        <v>145</v>
      </c>
      <c r="U1904" s="267" t="s">
        <v>4455</v>
      </c>
      <c r="AA1904" s="218"/>
    </row>
    <row r="1905" spans="1:27" ht="24" x14ac:dyDescent="0.25">
      <c r="A1905" s="405">
        <v>3001426</v>
      </c>
      <c r="B1905" s="406">
        <v>42458</v>
      </c>
      <c r="C1905" s="405" t="s">
        <v>237</v>
      </c>
      <c r="D1905" s="401" t="s">
        <v>4456</v>
      </c>
      <c r="E1905" s="120">
        <v>50</v>
      </c>
      <c r="F1905" s="133" t="s">
        <v>161</v>
      </c>
      <c r="G1905" s="404" t="s">
        <v>45</v>
      </c>
      <c r="H1905" s="411">
        <v>102.45</v>
      </c>
      <c r="I1905" s="397">
        <f t="shared" ref="I1905:I1910" si="335">-(H1905*0.15)</f>
        <v>-15.3675</v>
      </c>
      <c r="J1905" s="411">
        <v>0</v>
      </c>
      <c r="K1905" s="90">
        <f t="shared" si="326"/>
        <v>87.08250000000001</v>
      </c>
      <c r="L1905" s="131">
        <v>1322</v>
      </c>
      <c r="M1905" s="187">
        <v>39.479999999999997</v>
      </c>
      <c r="N1905" s="91">
        <f t="shared" si="332"/>
        <v>105.58000000000001</v>
      </c>
      <c r="O1905" s="411">
        <f t="shared" si="331"/>
        <v>-18.497500000000002</v>
      </c>
      <c r="P1905" s="132" t="s">
        <v>52</v>
      </c>
      <c r="Q1905" s="232"/>
      <c r="R1905" s="411"/>
      <c r="T1905" s="134" t="s">
        <v>145</v>
      </c>
      <c r="U1905" s="267" t="s">
        <v>4457</v>
      </c>
      <c r="AA1905" s="218"/>
    </row>
    <row r="1906" spans="1:27" ht="24" x14ac:dyDescent="0.25">
      <c r="A1906" s="405">
        <v>3001427</v>
      </c>
      <c r="B1906" s="406">
        <v>42458</v>
      </c>
      <c r="C1906" s="405" t="s">
        <v>237</v>
      </c>
      <c r="D1906" s="401" t="s">
        <v>4458</v>
      </c>
      <c r="E1906" s="120">
        <v>500</v>
      </c>
      <c r="F1906" s="133" t="s">
        <v>323</v>
      </c>
      <c r="G1906" s="404" t="s">
        <v>45</v>
      </c>
      <c r="H1906" s="411">
        <v>315.17</v>
      </c>
      <c r="I1906" s="397">
        <f t="shared" si="335"/>
        <v>-47.275500000000001</v>
      </c>
      <c r="J1906" s="411">
        <v>0</v>
      </c>
      <c r="K1906" s="90">
        <f t="shared" si="326"/>
        <v>267.89449999999999</v>
      </c>
      <c r="M1906" s="187">
        <v>76.62</v>
      </c>
      <c r="N1906" s="91">
        <f t="shared" si="332"/>
        <v>76.62</v>
      </c>
      <c r="O1906" s="411">
        <f t="shared" si="331"/>
        <v>191.27449999999999</v>
      </c>
      <c r="P1906" s="132" t="s">
        <v>52</v>
      </c>
      <c r="Q1906" s="232"/>
      <c r="R1906" s="411"/>
      <c r="T1906" s="134" t="s">
        <v>145</v>
      </c>
      <c r="U1906" s="267" t="s">
        <v>4459</v>
      </c>
      <c r="AA1906" s="218"/>
    </row>
    <row r="1907" spans="1:27" ht="24" x14ac:dyDescent="0.25">
      <c r="A1907" s="405">
        <v>3001428</v>
      </c>
      <c r="B1907" s="406">
        <v>42458</v>
      </c>
      <c r="C1907" s="405" t="s">
        <v>237</v>
      </c>
      <c r="D1907" s="401" t="s">
        <v>4460</v>
      </c>
      <c r="E1907" s="120">
        <v>250</v>
      </c>
      <c r="F1907" s="133" t="s">
        <v>2238</v>
      </c>
      <c r="G1907" s="404" t="s">
        <v>45</v>
      </c>
      <c r="H1907" s="411">
        <v>107.79</v>
      </c>
      <c r="I1907" s="397">
        <f t="shared" si="335"/>
        <v>-16.168500000000002</v>
      </c>
      <c r="J1907" s="411">
        <v>0</v>
      </c>
      <c r="K1907" s="90">
        <f t="shared" si="326"/>
        <v>91.621499999999997</v>
      </c>
      <c r="L1907" s="131">
        <v>200</v>
      </c>
      <c r="M1907" s="187">
        <v>36.03</v>
      </c>
      <c r="N1907" s="91">
        <f t="shared" si="332"/>
        <v>86.03</v>
      </c>
      <c r="O1907" s="411">
        <f t="shared" si="331"/>
        <v>5.5914999999999964</v>
      </c>
      <c r="P1907" s="132" t="s">
        <v>52</v>
      </c>
      <c r="Q1907" s="232"/>
      <c r="R1907" s="411"/>
      <c r="T1907" s="134" t="s">
        <v>145</v>
      </c>
      <c r="U1907" s="267" t="s">
        <v>4461</v>
      </c>
      <c r="AA1907" s="218"/>
    </row>
    <row r="1908" spans="1:27" ht="24" x14ac:dyDescent="0.25">
      <c r="A1908" s="405">
        <v>3001429</v>
      </c>
      <c r="B1908" s="406">
        <v>42458</v>
      </c>
      <c r="C1908" s="405" t="s">
        <v>237</v>
      </c>
      <c r="D1908" s="401" t="s">
        <v>4462</v>
      </c>
      <c r="E1908" s="120">
        <v>500</v>
      </c>
      <c r="F1908" s="133" t="s">
        <v>4463</v>
      </c>
      <c r="G1908" s="404" t="s">
        <v>45</v>
      </c>
      <c r="H1908" s="411">
        <v>112.48</v>
      </c>
      <c r="I1908" s="397">
        <f t="shared" si="335"/>
        <v>-16.872</v>
      </c>
      <c r="J1908" s="411">
        <v>0</v>
      </c>
      <c r="K1908" s="90">
        <f t="shared" si="326"/>
        <v>95.608000000000004</v>
      </c>
      <c r="L1908" s="187">
        <v>233.95</v>
      </c>
      <c r="M1908" s="187">
        <v>28.97</v>
      </c>
      <c r="N1908" s="91">
        <f t="shared" si="332"/>
        <v>145.94499999999999</v>
      </c>
      <c r="O1908" s="411">
        <f t="shared" si="331"/>
        <v>-50.336999999999989</v>
      </c>
      <c r="P1908" s="132" t="s">
        <v>4089</v>
      </c>
      <c r="Q1908" s="232"/>
      <c r="R1908" s="411"/>
      <c r="T1908" s="134" t="s">
        <v>204</v>
      </c>
      <c r="U1908" s="266" t="s">
        <v>4464</v>
      </c>
      <c r="AA1908" s="218"/>
    </row>
    <row r="1909" spans="1:27" ht="24" x14ac:dyDescent="0.25">
      <c r="A1909" s="405">
        <v>3001430</v>
      </c>
      <c r="B1909" s="406">
        <v>42458</v>
      </c>
      <c r="C1909" s="405" t="s">
        <v>237</v>
      </c>
      <c r="D1909" s="401" t="s">
        <v>4465</v>
      </c>
      <c r="E1909" s="120">
        <v>250</v>
      </c>
      <c r="F1909" s="133" t="s">
        <v>4466</v>
      </c>
      <c r="G1909" s="404" t="s">
        <v>45</v>
      </c>
      <c r="H1909" s="411">
        <v>146.24</v>
      </c>
      <c r="I1909" s="397">
        <f t="shared" si="335"/>
        <v>-21.936</v>
      </c>
      <c r="J1909" s="411">
        <v>0</v>
      </c>
      <c r="K1909" s="90">
        <f t="shared" si="326"/>
        <v>124.304</v>
      </c>
      <c r="L1909" s="187">
        <v>292.93</v>
      </c>
      <c r="M1909" s="187">
        <v>18.260000000000002</v>
      </c>
      <c r="N1909" s="91">
        <f t="shared" si="332"/>
        <v>91.492500000000007</v>
      </c>
      <c r="O1909" s="411">
        <f t="shared" si="331"/>
        <v>32.811499999999995</v>
      </c>
      <c r="P1909" s="132" t="s">
        <v>76</v>
      </c>
      <c r="Q1909" s="232"/>
      <c r="R1909" s="411"/>
      <c r="T1909" s="134" t="s">
        <v>204</v>
      </c>
      <c r="U1909" s="267" t="s">
        <v>4467</v>
      </c>
      <c r="AA1909" s="218"/>
    </row>
    <row r="1910" spans="1:27" x14ac:dyDescent="0.25">
      <c r="A1910" s="419">
        <v>3001431</v>
      </c>
      <c r="B1910" s="421">
        <v>42458</v>
      </c>
      <c r="C1910" s="419" t="s">
        <v>237</v>
      </c>
      <c r="D1910" s="417" t="s">
        <v>4468</v>
      </c>
      <c r="E1910" s="120">
        <v>25</v>
      </c>
      <c r="F1910" s="133" t="s">
        <v>3719</v>
      </c>
      <c r="G1910" s="434" t="s">
        <v>45</v>
      </c>
      <c r="H1910" s="427">
        <v>128.69999999999999</v>
      </c>
      <c r="I1910" s="452">
        <f t="shared" si="335"/>
        <v>-19.304999999999996</v>
      </c>
      <c r="J1910" s="427">
        <v>0</v>
      </c>
      <c r="K1910" s="425">
        <f t="shared" si="326"/>
        <v>109.395</v>
      </c>
      <c r="L1910" s="187">
        <v>1154</v>
      </c>
      <c r="M1910" s="187">
        <v>9.44</v>
      </c>
      <c r="N1910" s="91">
        <f t="shared" si="332"/>
        <v>38.29</v>
      </c>
      <c r="O1910" s="411">
        <f t="shared" si="331"/>
        <v>71.10499999999999</v>
      </c>
      <c r="P1910" s="132" t="s">
        <v>926</v>
      </c>
      <c r="Q1910" s="232"/>
      <c r="R1910" s="411"/>
      <c r="T1910" s="439" t="s">
        <v>145</v>
      </c>
      <c r="U1910" s="446" t="s">
        <v>4469</v>
      </c>
      <c r="AA1910" s="218"/>
    </row>
    <row r="1911" spans="1:27" x14ac:dyDescent="0.25">
      <c r="A1911" s="420"/>
      <c r="B1911" s="422"/>
      <c r="C1911" s="420"/>
      <c r="D1911" s="418"/>
      <c r="E1911" s="120">
        <v>25</v>
      </c>
      <c r="F1911" s="133" t="s">
        <v>3307</v>
      </c>
      <c r="G1911" s="436"/>
      <c r="H1911" s="428"/>
      <c r="I1911" s="453"/>
      <c r="J1911" s="428"/>
      <c r="K1911" s="426"/>
      <c r="L1911" s="187">
        <v>1186</v>
      </c>
      <c r="M1911" s="211"/>
      <c r="N1911" s="91">
        <f t="shared" si="332"/>
        <v>29.650000000000002</v>
      </c>
      <c r="O1911" s="411">
        <f t="shared" si="331"/>
        <v>-29.650000000000002</v>
      </c>
      <c r="P1911" s="132" t="s">
        <v>926</v>
      </c>
      <c r="Q1911" s="232"/>
      <c r="R1911" s="411"/>
      <c r="T1911" s="441"/>
      <c r="U1911" s="447"/>
      <c r="AA1911" s="218"/>
    </row>
    <row r="1912" spans="1:27" ht="24" x14ac:dyDescent="0.25">
      <c r="A1912" s="405">
        <v>3001432</v>
      </c>
      <c r="B1912" s="406">
        <v>42458</v>
      </c>
      <c r="C1912" s="405" t="s">
        <v>42</v>
      </c>
      <c r="D1912" s="401" t="s">
        <v>4470</v>
      </c>
      <c r="E1912" s="120">
        <v>100</v>
      </c>
      <c r="F1912" s="133" t="s">
        <v>161</v>
      </c>
      <c r="G1912" s="404" t="s">
        <v>45</v>
      </c>
      <c r="H1912" s="411">
        <v>253.8</v>
      </c>
      <c r="I1912" s="89">
        <f t="shared" ref="I1912:I1914" si="336">-(H1912*0.09)</f>
        <v>-22.841999999999999</v>
      </c>
      <c r="J1912" s="391">
        <f t="shared" ref="J1912:J1914" si="337">-((H1912*0.019)+0.3)</f>
        <v>-5.1222000000000003</v>
      </c>
      <c r="K1912" s="90">
        <f t="shared" si="326"/>
        <v>225.83580000000003</v>
      </c>
      <c r="L1912" s="131">
        <v>1322</v>
      </c>
      <c r="M1912" s="187">
        <v>24.83</v>
      </c>
      <c r="N1912" s="91">
        <f t="shared" si="332"/>
        <v>157.03000000000003</v>
      </c>
      <c r="O1912" s="411">
        <f t="shared" si="331"/>
        <v>68.805800000000005</v>
      </c>
      <c r="P1912" s="132" t="s">
        <v>52</v>
      </c>
      <c r="Q1912" s="232"/>
      <c r="R1912" s="411">
        <v>18.8</v>
      </c>
      <c r="S1912" s="133" t="s">
        <v>606</v>
      </c>
      <c r="T1912" s="134" t="s">
        <v>145</v>
      </c>
      <c r="U1912" s="267" t="s">
        <v>4471</v>
      </c>
      <c r="AA1912" s="218"/>
    </row>
    <row r="1913" spans="1:27" ht="24" x14ac:dyDescent="0.25">
      <c r="A1913" s="405">
        <v>3001433</v>
      </c>
      <c r="B1913" s="406">
        <v>42458</v>
      </c>
      <c r="C1913" s="405" t="s">
        <v>42</v>
      </c>
      <c r="D1913" s="401" t="s">
        <v>4472</v>
      </c>
      <c r="E1913" s="120">
        <v>100</v>
      </c>
      <c r="F1913" s="133" t="s">
        <v>247</v>
      </c>
      <c r="G1913" s="404" t="s">
        <v>45</v>
      </c>
      <c r="H1913" s="411">
        <v>120</v>
      </c>
      <c r="I1913" s="89">
        <f t="shared" si="336"/>
        <v>-10.799999999999999</v>
      </c>
      <c r="J1913" s="391">
        <f t="shared" si="337"/>
        <v>-2.5799999999999996</v>
      </c>
      <c r="K1913" s="90">
        <f t="shared" si="326"/>
        <v>106.62</v>
      </c>
      <c r="L1913" s="131">
        <v>480</v>
      </c>
      <c r="M1913" s="187">
        <v>35.99</v>
      </c>
      <c r="N1913" s="91">
        <f t="shared" si="332"/>
        <v>83.990000000000009</v>
      </c>
      <c r="O1913" s="411">
        <f t="shared" si="331"/>
        <v>22.629999999999995</v>
      </c>
      <c r="P1913" s="132" t="s">
        <v>52</v>
      </c>
      <c r="Q1913" s="232"/>
      <c r="R1913" s="411"/>
      <c r="T1913" s="134" t="s">
        <v>145</v>
      </c>
      <c r="U1913" s="267" t="s">
        <v>4473</v>
      </c>
      <c r="AA1913" s="218"/>
    </row>
    <row r="1914" spans="1:27" ht="24" x14ac:dyDescent="0.25">
      <c r="A1914" s="405">
        <v>3001434</v>
      </c>
      <c r="B1914" s="406">
        <v>42458</v>
      </c>
      <c r="C1914" s="405" t="s">
        <v>42</v>
      </c>
      <c r="D1914" s="401" t="s">
        <v>4474</v>
      </c>
      <c r="E1914" s="120">
        <v>180</v>
      </c>
      <c r="F1914" s="133" t="s">
        <v>1547</v>
      </c>
      <c r="G1914" s="404" t="s">
        <v>45</v>
      </c>
      <c r="H1914" s="411">
        <v>185.4</v>
      </c>
      <c r="I1914" s="89">
        <f t="shared" si="336"/>
        <v>-16.686</v>
      </c>
      <c r="J1914" s="391">
        <f t="shared" si="337"/>
        <v>-3.8226</v>
      </c>
      <c r="K1914" s="90">
        <f t="shared" si="326"/>
        <v>164.8914</v>
      </c>
      <c r="L1914" s="131">
        <v>385</v>
      </c>
      <c r="M1914" s="187">
        <v>20.54</v>
      </c>
      <c r="N1914" s="91">
        <f t="shared" si="332"/>
        <v>89.84</v>
      </c>
      <c r="O1914" s="411">
        <f t="shared" si="331"/>
        <v>75.051400000000001</v>
      </c>
      <c r="P1914" s="132" t="s">
        <v>52</v>
      </c>
      <c r="Q1914" s="232"/>
      <c r="R1914" s="411"/>
      <c r="T1914" s="134" t="s">
        <v>145</v>
      </c>
      <c r="U1914" s="267" t="s">
        <v>4475</v>
      </c>
      <c r="AA1914" s="218"/>
    </row>
    <row r="1915" spans="1:27" x14ac:dyDescent="0.25">
      <c r="A1915" s="419">
        <v>3001435</v>
      </c>
      <c r="B1915" s="421">
        <v>42458</v>
      </c>
      <c r="C1915" s="419" t="s">
        <v>63</v>
      </c>
      <c r="D1915" s="417" t="s">
        <v>4476</v>
      </c>
      <c r="E1915" s="120">
        <v>979</v>
      </c>
      <c r="F1915" s="133" t="s">
        <v>4477</v>
      </c>
      <c r="G1915" s="434" t="s">
        <v>45</v>
      </c>
      <c r="H1915" s="427">
        <v>1273.8499999999999</v>
      </c>
      <c r="I1915" s="427">
        <v>0</v>
      </c>
      <c r="J1915" s="425">
        <f>-((H1915*0.022)+0.3)</f>
        <v>-28.324699999999996</v>
      </c>
      <c r="K1915" s="425">
        <f t="shared" si="326"/>
        <v>1245.5253</v>
      </c>
      <c r="L1915" s="131">
        <v>300</v>
      </c>
      <c r="M1915" s="187">
        <v>196.86</v>
      </c>
      <c r="N1915" s="91">
        <f t="shared" si="332"/>
        <v>490.56</v>
      </c>
      <c r="O1915" s="411">
        <f t="shared" si="331"/>
        <v>754.96530000000007</v>
      </c>
      <c r="P1915" s="132" t="s">
        <v>52</v>
      </c>
      <c r="Q1915" s="232"/>
      <c r="R1915" s="411"/>
      <c r="T1915" s="134" t="s">
        <v>97</v>
      </c>
      <c r="U1915" s="267" t="s">
        <v>4478</v>
      </c>
      <c r="V1915" s="133" t="s">
        <v>55</v>
      </c>
      <c r="W1915" s="153" t="s">
        <v>4479</v>
      </c>
      <c r="AA1915" s="218"/>
    </row>
    <row r="1916" spans="1:27" ht="24" x14ac:dyDescent="0.25">
      <c r="A1916" s="432"/>
      <c r="B1916" s="433"/>
      <c r="C1916" s="432"/>
      <c r="D1916" s="454"/>
      <c r="E1916" s="120">
        <v>330</v>
      </c>
      <c r="F1916" s="133" t="s">
        <v>290</v>
      </c>
      <c r="G1916" s="435"/>
      <c r="H1916" s="438"/>
      <c r="I1916" s="438"/>
      <c r="J1916" s="437"/>
      <c r="K1916" s="437"/>
      <c r="L1916" s="187">
        <v>362</v>
      </c>
      <c r="M1916" s="187">
        <v>27.01</v>
      </c>
      <c r="N1916" s="91">
        <f t="shared" si="332"/>
        <v>146.47</v>
      </c>
      <c r="O1916" s="411">
        <f t="shared" si="331"/>
        <v>-146.47</v>
      </c>
      <c r="P1916" s="132" t="s">
        <v>183</v>
      </c>
      <c r="Q1916" s="232"/>
      <c r="R1916" s="411"/>
      <c r="T1916" s="134" t="s">
        <v>145</v>
      </c>
      <c r="U1916" s="267" t="s">
        <v>4480</v>
      </c>
      <c r="V1916" s="133" t="s">
        <v>4481</v>
      </c>
      <c r="AA1916" s="218"/>
    </row>
    <row r="1917" spans="1:27" ht="24" x14ac:dyDescent="0.25">
      <c r="A1917" s="420"/>
      <c r="B1917" s="422"/>
      <c r="C1917" s="420"/>
      <c r="D1917" s="418"/>
      <c r="E1917" s="120">
        <v>500</v>
      </c>
      <c r="F1917" s="133" t="s">
        <v>4482</v>
      </c>
      <c r="G1917" s="436"/>
      <c r="H1917" s="428"/>
      <c r="I1917" s="428"/>
      <c r="J1917" s="426"/>
      <c r="K1917" s="426"/>
      <c r="L1917" s="187">
        <v>455</v>
      </c>
      <c r="M1917" s="187">
        <v>44.8</v>
      </c>
      <c r="N1917" s="91">
        <f t="shared" si="332"/>
        <v>272.3</v>
      </c>
      <c r="O1917" s="411">
        <f t="shared" si="331"/>
        <v>-272.3</v>
      </c>
      <c r="P1917" s="132" t="s">
        <v>235</v>
      </c>
      <c r="Q1917" s="232"/>
      <c r="R1917" s="411"/>
      <c r="T1917" s="134" t="s">
        <v>145</v>
      </c>
      <c r="U1917" s="267" t="s">
        <v>4483</v>
      </c>
      <c r="V1917" s="133" t="s">
        <v>4484</v>
      </c>
      <c r="AA1917" s="218"/>
    </row>
    <row r="1918" spans="1:27" ht="24" x14ac:dyDescent="0.25">
      <c r="A1918" s="405">
        <v>3001436</v>
      </c>
      <c r="B1918" s="406">
        <v>42458</v>
      </c>
      <c r="C1918" s="405" t="s">
        <v>141</v>
      </c>
      <c r="D1918" s="401" t="s">
        <v>4485</v>
      </c>
      <c r="E1918" s="120">
        <v>60</v>
      </c>
      <c r="F1918" s="133" t="s">
        <v>4486</v>
      </c>
      <c r="G1918" s="404" t="s">
        <v>45</v>
      </c>
      <c r="H1918" s="411">
        <v>480</v>
      </c>
      <c r="I1918" s="411">
        <v>0</v>
      </c>
      <c r="J1918" s="391">
        <f>-((H1918*0.0325)+0.3)</f>
        <v>-15.900000000000002</v>
      </c>
      <c r="K1918" s="90">
        <f t="shared" ref="K1918:K1955" si="338">SUM(H1918:J1918)</f>
        <v>464.1</v>
      </c>
      <c r="L1918" s="187">
        <v>1700</v>
      </c>
      <c r="N1918" s="91">
        <f t="shared" si="332"/>
        <v>102</v>
      </c>
      <c r="O1918" s="411">
        <f t="shared" si="331"/>
        <v>362.1</v>
      </c>
      <c r="P1918" s="132" t="s">
        <v>183</v>
      </c>
      <c r="Q1918" s="232"/>
      <c r="R1918" s="411"/>
      <c r="T1918" s="134" t="s">
        <v>145</v>
      </c>
      <c r="U1918" s="267" t="s">
        <v>4487</v>
      </c>
      <c r="W1918" s="153" t="s">
        <v>4488</v>
      </c>
      <c r="AA1918" s="218"/>
    </row>
    <row r="1919" spans="1:27" x14ac:dyDescent="0.25">
      <c r="A1919" s="419">
        <v>3001437</v>
      </c>
      <c r="B1919" s="421">
        <v>42458</v>
      </c>
      <c r="C1919" s="419" t="s">
        <v>63</v>
      </c>
      <c r="D1919" s="417" t="s">
        <v>2767</v>
      </c>
      <c r="E1919" s="120">
        <v>76</v>
      </c>
      <c r="F1919" s="133" t="s">
        <v>4489</v>
      </c>
      <c r="G1919" s="434" t="s">
        <v>45</v>
      </c>
      <c r="H1919" s="427">
        <v>535.9</v>
      </c>
      <c r="I1919" s="427">
        <v>0</v>
      </c>
      <c r="J1919" s="425">
        <f>-((H1919*0.022)+0.3)</f>
        <v>-12.0898</v>
      </c>
      <c r="K1919" s="425">
        <f t="shared" si="338"/>
        <v>523.81020000000001</v>
      </c>
      <c r="L1919" s="187">
        <v>1830</v>
      </c>
      <c r="M1919" s="187">
        <v>39.74</v>
      </c>
      <c r="N1919" s="91">
        <f t="shared" si="332"/>
        <v>178.82</v>
      </c>
      <c r="O1919" s="411">
        <f t="shared" si="331"/>
        <v>344.99020000000002</v>
      </c>
      <c r="P1919" s="132" t="s">
        <v>235</v>
      </c>
      <c r="Q1919" s="232"/>
      <c r="R1919" s="411"/>
      <c r="T1919" s="439" t="s">
        <v>145</v>
      </c>
      <c r="U1919" s="267" t="s">
        <v>4490</v>
      </c>
      <c r="W1919" s="153" t="s">
        <v>2769</v>
      </c>
      <c r="AA1919" s="218"/>
    </row>
    <row r="1920" spans="1:27" x14ac:dyDescent="0.25">
      <c r="A1920" s="420"/>
      <c r="B1920" s="422"/>
      <c r="C1920" s="420"/>
      <c r="D1920" s="418"/>
      <c r="E1920" s="120">
        <v>300</v>
      </c>
      <c r="F1920" s="133" t="s">
        <v>4491</v>
      </c>
      <c r="G1920" s="436"/>
      <c r="H1920" s="428"/>
      <c r="I1920" s="428"/>
      <c r="J1920" s="426"/>
      <c r="K1920" s="426"/>
      <c r="L1920" s="187">
        <v>640</v>
      </c>
      <c r="M1920" s="187">
        <v>55.91</v>
      </c>
      <c r="N1920" s="91">
        <f t="shared" si="332"/>
        <v>247.91</v>
      </c>
      <c r="O1920" s="411">
        <f t="shared" si="331"/>
        <v>-247.91</v>
      </c>
      <c r="P1920" s="132" t="s">
        <v>235</v>
      </c>
      <c r="Q1920" s="232"/>
      <c r="R1920" s="411"/>
      <c r="T1920" s="441"/>
      <c r="U1920" s="267" t="s">
        <v>4492</v>
      </c>
      <c r="AA1920" s="218"/>
    </row>
    <row r="1921" spans="1:27" x14ac:dyDescent="0.25">
      <c r="A1921" s="419">
        <v>3001438</v>
      </c>
      <c r="B1921" s="421">
        <v>42459</v>
      </c>
      <c r="C1921" s="419" t="s">
        <v>63</v>
      </c>
      <c r="D1921" s="417" t="s">
        <v>4493</v>
      </c>
      <c r="E1921" s="120">
        <v>250</v>
      </c>
      <c r="F1921" s="133" t="s">
        <v>254</v>
      </c>
      <c r="G1921" s="434" t="s">
        <v>45</v>
      </c>
      <c r="H1921" s="427">
        <v>5926.6</v>
      </c>
      <c r="I1921" s="427">
        <v>0</v>
      </c>
      <c r="J1921" s="425">
        <f>-((H1921*0.022)+0.3)</f>
        <v>-130.68520000000001</v>
      </c>
      <c r="K1921" s="425">
        <f t="shared" si="338"/>
        <v>5795.9148000000005</v>
      </c>
      <c r="L1921" s="187">
        <v>4389.6000000000004</v>
      </c>
      <c r="M1921" s="187">
        <v>25</v>
      </c>
      <c r="N1921" s="91">
        <f t="shared" si="332"/>
        <v>1122.4000000000001</v>
      </c>
      <c r="O1921" s="411">
        <f t="shared" si="331"/>
        <v>4673.5148000000008</v>
      </c>
      <c r="P1921" s="132" t="s">
        <v>46</v>
      </c>
      <c r="Q1921" s="232"/>
      <c r="R1921" s="411">
        <v>424.3</v>
      </c>
      <c r="S1921" s="133" t="s">
        <v>4494</v>
      </c>
      <c r="T1921" s="439" t="s">
        <v>463</v>
      </c>
      <c r="U1921" s="267" t="s">
        <v>4495</v>
      </c>
      <c r="V1921" s="133" t="s">
        <v>4496</v>
      </c>
      <c r="W1921" s="153" t="s">
        <v>4497</v>
      </c>
      <c r="AA1921" s="218"/>
    </row>
    <row r="1922" spans="1:27" x14ac:dyDescent="0.25">
      <c r="A1922" s="420"/>
      <c r="B1922" s="422"/>
      <c r="C1922" s="420"/>
      <c r="D1922" s="418"/>
      <c r="E1922" s="120">
        <v>270</v>
      </c>
      <c r="F1922" s="133" t="s">
        <v>44</v>
      </c>
      <c r="G1922" s="436"/>
      <c r="H1922" s="428"/>
      <c r="I1922" s="428"/>
      <c r="J1922" s="426"/>
      <c r="K1922" s="426"/>
      <c r="L1922" s="187">
        <v>9647.31</v>
      </c>
      <c r="N1922" s="91">
        <f t="shared" si="332"/>
        <v>2604.7737000000002</v>
      </c>
      <c r="O1922" s="411">
        <f t="shared" si="331"/>
        <v>-2604.7737000000002</v>
      </c>
      <c r="P1922" s="132" t="s">
        <v>46</v>
      </c>
      <c r="Q1922" s="232"/>
      <c r="R1922" s="411"/>
      <c r="T1922" s="441"/>
      <c r="U1922" s="267" t="s">
        <v>4498</v>
      </c>
      <c r="AA1922" s="218"/>
    </row>
    <row r="1923" spans="1:27" ht="24" x14ac:dyDescent="0.25">
      <c r="A1923" s="405">
        <v>3001439</v>
      </c>
      <c r="B1923" s="406">
        <v>42459</v>
      </c>
      <c r="C1923" s="405" t="s">
        <v>63</v>
      </c>
      <c r="D1923" s="401" t="s">
        <v>4499</v>
      </c>
      <c r="E1923" s="120">
        <v>100</v>
      </c>
      <c r="F1923" s="133" t="s">
        <v>161</v>
      </c>
      <c r="G1923" s="404" t="s">
        <v>45</v>
      </c>
      <c r="H1923" s="411">
        <v>235</v>
      </c>
      <c r="I1923" s="411">
        <v>0</v>
      </c>
      <c r="J1923" s="391">
        <f>-((H1923*0.022)+0.3)</f>
        <v>-5.47</v>
      </c>
      <c r="K1923" s="90">
        <f t="shared" si="338"/>
        <v>229.53</v>
      </c>
      <c r="L1923" s="131">
        <v>1322</v>
      </c>
      <c r="M1923" s="187">
        <v>33.53</v>
      </c>
      <c r="N1923" s="91">
        <f t="shared" si="332"/>
        <v>165.73000000000002</v>
      </c>
      <c r="O1923" s="411">
        <f t="shared" si="331"/>
        <v>63.799999999999983</v>
      </c>
      <c r="P1923" s="132" t="s">
        <v>52</v>
      </c>
      <c r="Q1923" s="232"/>
      <c r="R1923" s="411"/>
      <c r="T1923" s="134" t="s">
        <v>145</v>
      </c>
      <c r="U1923" s="267" t="s">
        <v>4500</v>
      </c>
      <c r="W1923" s="153" t="s">
        <v>4501</v>
      </c>
      <c r="AA1923" s="218"/>
    </row>
    <row r="1924" spans="1:27" x14ac:dyDescent="0.25">
      <c r="A1924" s="405">
        <v>3001440</v>
      </c>
      <c r="B1924" s="406">
        <v>42459</v>
      </c>
      <c r="C1924" s="405" t="s">
        <v>63</v>
      </c>
      <c r="D1924" s="401" t="s">
        <v>4502</v>
      </c>
      <c r="E1924" s="120">
        <v>2000</v>
      </c>
      <c r="F1924" s="133" t="s">
        <v>4503</v>
      </c>
      <c r="G1924" s="404" t="s">
        <v>45</v>
      </c>
      <c r="H1924" s="411">
        <v>2418.1999999999998</v>
      </c>
      <c r="I1924" s="411">
        <v>0</v>
      </c>
      <c r="J1924" s="391">
        <f>-((H1924*0.022)+0.3)</f>
        <v>-53.500399999999992</v>
      </c>
      <c r="K1924" s="90">
        <f t="shared" si="338"/>
        <v>2364.6995999999999</v>
      </c>
      <c r="L1924" s="187">
        <v>719</v>
      </c>
      <c r="M1924" s="187">
        <v>140.88999999999999</v>
      </c>
      <c r="N1924" s="91">
        <f t="shared" si="332"/>
        <v>1578.8899999999999</v>
      </c>
      <c r="O1924" s="411">
        <f t="shared" si="331"/>
        <v>785.80960000000005</v>
      </c>
      <c r="P1924" s="132" t="s">
        <v>183</v>
      </c>
      <c r="Q1924" s="232"/>
      <c r="R1924" s="411">
        <v>158.19999999999999</v>
      </c>
      <c r="S1924" s="133" t="s">
        <v>1946</v>
      </c>
      <c r="T1924" s="134" t="s">
        <v>565</v>
      </c>
      <c r="U1924" s="267" t="s">
        <v>4504</v>
      </c>
      <c r="W1924" s="153" t="s">
        <v>4505</v>
      </c>
      <c r="AA1924" s="218"/>
    </row>
    <row r="1925" spans="1:27" ht="24" x14ac:dyDescent="0.25">
      <c r="A1925" s="419">
        <v>3001441</v>
      </c>
      <c r="B1925" s="421">
        <v>42459</v>
      </c>
      <c r="C1925" s="419" t="s">
        <v>63</v>
      </c>
      <c r="D1925" s="417" t="s">
        <v>4506</v>
      </c>
      <c r="E1925" s="120">
        <v>500</v>
      </c>
      <c r="F1925" s="133" t="s">
        <v>198</v>
      </c>
      <c r="G1925" s="434" t="s">
        <v>45</v>
      </c>
      <c r="H1925" s="427">
        <v>1565.66</v>
      </c>
      <c r="I1925" s="427">
        <v>0</v>
      </c>
      <c r="J1925" s="425">
        <f>-((H1925*0.022)+0.3)</f>
        <v>-34.744519999999994</v>
      </c>
      <c r="K1925" s="425">
        <f t="shared" si="338"/>
        <v>1530.9154800000001</v>
      </c>
      <c r="L1925" s="131">
        <v>1693</v>
      </c>
      <c r="M1925" s="131">
        <v>222.71</v>
      </c>
      <c r="N1925" s="91">
        <f t="shared" si="332"/>
        <v>1069.21</v>
      </c>
      <c r="O1925" s="411">
        <f t="shared" si="331"/>
        <v>461.70548000000008</v>
      </c>
      <c r="P1925" s="132" t="s">
        <v>52</v>
      </c>
      <c r="Q1925" s="232"/>
      <c r="R1925" s="411"/>
      <c r="T1925" s="134" t="s">
        <v>1209</v>
      </c>
      <c r="U1925" s="267" t="s">
        <v>4507</v>
      </c>
      <c r="V1925" s="133" t="s">
        <v>55</v>
      </c>
      <c r="W1925" s="153" t="s">
        <v>4508</v>
      </c>
      <c r="AA1925" s="218"/>
    </row>
    <row r="1926" spans="1:27" ht="24" x14ac:dyDescent="0.25">
      <c r="A1926" s="420"/>
      <c r="B1926" s="422"/>
      <c r="C1926" s="420"/>
      <c r="D1926" s="418"/>
      <c r="E1926" s="120">
        <v>500</v>
      </c>
      <c r="F1926" s="133" t="s">
        <v>4509</v>
      </c>
      <c r="G1926" s="436"/>
      <c r="H1926" s="428"/>
      <c r="I1926" s="428"/>
      <c r="J1926" s="426"/>
      <c r="K1926" s="426"/>
      <c r="L1926" s="187">
        <v>257</v>
      </c>
      <c r="M1926" s="187">
        <v>24.01</v>
      </c>
      <c r="N1926" s="91">
        <f t="shared" si="332"/>
        <v>152.51</v>
      </c>
      <c r="O1926" s="411">
        <f t="shared" si="331"/>
        <v>-152.51</v>
      </c>
      <c r="P1926" s="132" t="s">
        <v>183</v>
      </c>
      <c r="Q1926" s="232"/>
      <c r="R1926" s="411"/>
      <c r="T1926" s="134" t="s">
        <v>145</v>
      </c>
      <c r="U1926" s="267" t="s">
        <v>4510</v>
      </c>
      <c r="V1926" s="133" t="s">
        <v>4511</v>
      </c>
      <c r="AA1926" s="218"/>
    </row>
    <row r="1927" spans="1:27" ht="24" x14ac:dyDescent="0.25">
      <c r="A1927" s="405">
        <v>3001442</v>
      </c>
      <c r="B1927" s="406">
        <v>42459</v>
      </c>
      <c r="C1927" s="405" t="s">
        <v>56</v>
      </c>
      <c r="D1927" s="401" t="s">
        <v>4512</v>
      </c>
      <c r="E1927" s="120">
        <v>30000</v>
      </c>
      <c r="F1927" s="133" t="s">
        <v>4513</v>
      </c>
      <c r="G1927" s="404" t="s">
        <v>45</v>
      </c>
      <c r="H1927" s="411">
        <v>2670</v>
      </c>
      <c r="I1927" s="411">
        <v>0</v>
      </c>
      <c r="J1927" s="411">
        <v>0</v>
      </c>
      <c r="K1927" s="90">
        <f t="shared" si="338"/>
        <v>2670</v>
      </c>
      <c r="L1927" s="187">
        <v>72</v>
      </c>
      <c r="M1927" s="187">
        <v>75.5</v>
      </c>
      <c r="N1927" s="91">
        <f t="shared" si="332"/>
        <v>2235.5</v>
      </c>
      <c r="O1927" s="411">
        <f t="shared" si="331"/>
        <v>434.5</v>
      </c>
      <c r="P1927" s="132" t="s">
        <v>4514</v>
      </c>
      <c r="Q1927" s="232"/>
      <c r="R1927" s="411"/>
      <c r="T1927" s="134" t="s">
        <v>4515</v>
      </c>
      <c r="U1927" s="267" t="s">
        <v>4516</v>
      </c>
      <c r="V1927" s="181" t="s">
        <v>4517</v>
      </c>
      <c r="W1927" s="153" t="s">
        <v>4518</v>
      </c>
      <c r="AA1927" s="218"/>
    </row>
    <row r="1928" spans="1:27" ht="24" x14ac:dyDescent="0.25">
      <c r="A1928" s="405">
        <v>3001443</v>
      </c>
      <c r="B1928" s="406">
        <v>42459</v>
      </c>
      <c r="C1928" s="405" t="s">
        <v>63</v>
      </c>
      <c r="D1928" s="401" t="s">
        <v>4519</v>
      </c>
      <c r="E1928" s="120">
        <v>40</v>
      </c>
      <c r="F1928" s="133" t="s">
        <v>300</v>
      </c>
      <c r="G1928" s="404" t="s">
        <v>45</v>
      </c>
      <c r="H1928" s="411">
        <v>190</v>
      </c>
      <c r="I1928" s="411">
        <v>0</v>
      </c>
      <c r="J1928" s="391">
        <f>-((H1928*0.022)+0.3)</f>
        <v>-4.4799999999999995</v>
      </c>
      <c r="K1928" s="90">
        <f t="shared" si="338"/>
        <v>185.52</v>
      </c>
      <c r="M1928" s="187">
        <v>19.04</v>
      </c>
      <c r="N1928" s="91">
        <f t="shared" si="332"/>
        <v>19.04</v>
      </c>
      <c r="O1928" s="411">
        <f t="shared" si="331"/>
        <v>166.48000000000002</v>
      </c>
      <c r="P1928" s="132" t="s">
        <v>86</v>
      </c>
      <c r="Q1928" s="232"/>
      <c r="R1928" s="411"/>
      <c r="T1928" s="134" t="s">
        <v>145</v>
      </c>
      <c r="U1928" s="267" t="s">
        <v>4520</v>
      </c>
      <c r="W1928" s="153" t="s">
        <v>4521</v>
      </c>
      <c r="AA1928" s="218"/>
    </row>
    <row r="1929" spans="1:27" ht="36" x14ac:dyDescent="0.25">
      <c r="A1929" s="405">
        <v>3001444</v>
      </c>
      <c r="B1929" s="406">
        <v>42459</v>
      </c>
      <c r="C1929" s="405" t="s">
        <v>56</v>
      </c>
      <c r="D1929" s="401" t="s">
        <v>4522</v>
      </c>
      <c r="E1929" s="120">
        <v>125</v>
      </c>
      <c r="F1929" s="133" t="s">
        <v>4523</v>
      </c>
      <c r="G1929" s="404" t="s">
        <v>45</v>
      </c>
      <c r="H1929" s="411">
        <v>1187.5</v>
      </c>
      <c r="I1929" s="411">
        <v>0</v>
      </c>
      <c r="J1929" s="411">
        <v>0</v>
      </c>
      <c r="K1929" s="90">
        <f t="shared" si="338"/>
        <v>1187.5</v>
      </c>
      <c r="L1929" s="187">
        <v>5512.34</v>
      </c>
      <c r="M1929" s="187">
        <v>124.5</v>
      </c>
      <c r="N1929" s="91">
        <f t="shared" si="332"/>
        <v>813.54250000000002</v>
      </c>
      <c r="O1929" s="411">
        <f t="shared" ref="O1929:O1992" si="339">K1929-N1929</f>
        <v>373.95749999999998</v>
      </c>
      <c r="P1929" s="132" t="s">
        <v>46</v>
      </c>
      <c r="Q1929" s="232"/>
      <c r="R1929" s="411"/>
      <c r="T1929" s="134" t="s">
        <v>60</v>
      </c>
      <c r="U1929" s="267" t="s">
        <v>4524</v>
      </c>
      <c r="V1929" s="133" t="s">
        <v>4525</v>
      </c>
      <c r="W1929" s="153" t="s">
        <v>4526</v>
      </c>
      <c r="AA1929" s="218"/>
    </row>
    <row r="1930" spans="1:27" x14ac:dyDescent="0.25">
      <c r="A1930" s="405">
        <v>3001445</v>
      </c>
      <c r="B1930" s="406">
        <v>42459</v>
      </c>
      <c r="C1930" s="405" t="s">
        <v>141</v>
      </c>
      <c r="D1930" s="401" t="s">
        <v>4527</v>
      </c>
      <c r="E1930" s="120">
        <v>5000</v>
      </c>
      <c r="F1930" s="133" t="s">
        <v>4528</v>
      </c>
      <c r="G1930" s="404" t="s">
        <v>45</v>
      </c>
      <c r="H1930" s="411">
        <v>4750</v>
      </c>
      <c r="I1930" s="411">
        <v>0</v>
      </c>
      <c r="J1930" s="391">
        <f>-((H1930*0.0325)+0.3)</f>
        <v>-154.67500000000001</v>
      </c>
      <c r="K1930" s="90">
        <f t="shared" si="338"/>
        <v>4595.3249999999998</v>
      </c>
      <c r="L1930" s="131">
        <v>480</v>
      </c>
      <c r="M1930" s="187">
        <v>285.35000000000002</v>
      </c>
      <c r="N1930" s="91">
        <f t="shared" si="332"/>
        <v>2685.35</v>
      </c>
      <c r="O1930" s="411">
        <f t="shared" si="339"/>
        <v>1909.9749999999999</v>
      </c>
      <c r="P1930" s="132" t="s">
        <v>52</v>
      </c>
      <c r="Q1930" s="232"/>
      <c r="R1930" s="411"/>
      <c r="T1930" s="134" t="s">
        <v>89</v>
      </c>
      <c r="U1930" s="267" t="s">
        <v>4529</v>
      </c>
      <c r="V1930" s="133" t="s">
        <v>4530</v>
      </c>
      <c r="W1930" s="153" t="s">
        <v>4531</v>
      </c>
      <c r="AA1930" s="218"/>
    </row>
    <row r="1931" spans="1:27" ht="24" x14ac:dyDescent="0.25">
      <c r="A1931" s="405">
        <v>3001446</v>
      </c>
      <c r="B1931" s="406">
        <v>42459</v>
      </c>
      <c r="C1931" s="405" t="s">
        <v>327</v>
      </c>
      <c r="D1931" s="401" t="s">
        <v>2154</v>
      </c>
      <c r="E1931" s="120">
        <v>140</v>
      </c>
      <c r="F1931" s="133" t="s">
        <v>4532</v>
      </c>
      <c r="G1931" s="404" t="s">
        <v>45</v>
      </c>
      <c r="H1931" s="411">
        <v>0</v>
      </c>
      <c r="I1931" s="411">
        <v>0</v>
      </c>
      <c r="J1931" s="391">
        <f>-((H1931*0.022)+0.3)</f>
        <v>-0.3</v>
      </c>
      <c r="K1931" s="90">
        <f t="shared" si="338"/>
        <v>-0.3</v>
      </c>
      <c r="L1931" s="131">
        <v>480</v>
      </c>
      <c r="M1931" s="187">
        <v>40.090000000000003</v>
      </c>
      <c r="N1931" s="91">
        <f t="shared" si="332"/>
        <v>107.29</v>
      </c>
      <c r="O1931" s="411">
        <f t="shared" si="339"/>
        <v>-107.59</v>
      </c>
      <c r="P1931" s="132" t="s">
        <v>86</v>
      </c>
      <c r="Q1931" s="232"/>
      <c r="R1931" s="411"/>
      <c r="T1931" s="134" t="s">
        <v>145</v>
      </c>
      <c r="U1931" s="267" t="s">
        <v>4533</v>
      </c>
      <c r="W1931" s="153" t="s">
        <v>4534</v>
      </c>
      <c r="AA1931" s="218"/>
    </row>
    <row r="1932" spans="1:27" ht="24" x14ac:dyDescent="0.25">
      <c r="A1932" s="419">
        <v>3001447</v>
      </c>
      <c r="B1932" s="421">
        <v>42459</v>
      </c>
      <c r="C1932" s="419" t="s">
        <v>56</v>
      </c>
      <c r="D1932" s="417" t="s">
        <v>1925</v>
      </c>
      <c r="E1932" s="120">
        <v>5000</v>
      </c>
      <c r="F1932" s="133" t="s">
        <v>4535</v>
      </c>
      <c r="G1932" s="434" t="s">
        <v>45</v>
      </c>
      <c r="H1932" s="427">
        <v>459</v>
      </c>
      <c r="I1932" s="427">
        <v>0</v>
      </c>
      <c r="J1932" s="427">
        <v>0</v>
      </c>
      <c r="K1932" s="425">
        <f t="shared" si="338"/>
        <v>459</v>
      </c>
      <c r="L1932" s="187">
        <v>50</v>
      </c>
      <c r="M1932" s="187">
        <v>37.729999999999997</v>
      </c>
      <c r="N1932" s="91">
        <f t="shared" si="332"/>
        <v>287.73</v>
      </c>
      <c r="O1932" s="411">
        <f t="shared" si="339"/>
        <v>171.26999999999998</v>
      </c>
      <c r="P1932" s="132" t="s">
        <v>235</v>
      </c>
      <c r="Q1932" s="232"/>
      <c r="R1932" s="411"/>
      <c r="T1932" s="134" t="s">
        <v>145</v>
      </c>
      <c r="U1932" s="267" t="s">
        <v>4536</v>
      </c>
      <c r="V1932" s="133" t="s">
        <v>3214</v>
      </c>
      <c r="W1932" s="153" t="s">
        <v>1928</v>
      </c>
      <c r="AA1932" s="218"/>
    </row>
    <row r="1933" spans="1:27" ht="24" x14ac:dyDescent="0.25">
      <c r="A1933" s="420"/>
      <c r="B1933" s="422"/>
      <c r="C1933" s="420"/>
      <c r="D1933" s="418"/>
      <c r="E1933" s="120">
        <v>23</v>
      </c>
      <c r="F1933" s="133" t="s">
        <v>161</v>
      </c>
      <c r="G1933" s="436"/>
      <c r="H1933" s="428"/>
      <c r="I1933" s="428"/>
      <c r="J1933" s="428"/>
      <c r="K1933" s="426"/>
      <c r="L1933" s="131">
        <v>1322</v>
      </c>
      <c r="M1933" s="187">
        <v>24.5</v>
      </c>
      <c r="N1933" s="91">
        <f t="shared" si="332"/>
        <v>54.905999999999999</v>
      </c>
      <c r="O1933" s="411">
        <f t="shared" si="339"/>
        <v>-54.905999999999999</v>
      </c>
      <c r="P1933" s="132" t="s">
        <v>52</v>
      </c>
      <c r="Q1933" s="232"/>
      <c r="R1933" s="411"/>
      <c r="T1933" s="134" t="s">
        <v>145</v>
      </c>
      <c r="U1933" s="267" t="s">
        <v>4537</v>
      </c>
      <c r="V1933" s="133" t="s">
        <v>4538</v>
      </c>
      <c r="AA1933" s="218"/>
    </row>
    <row r="1934" spans="1:27" ht="24" x14ac:dyDescent="0.25">
      <c r="A1934" s="405">
        <v>3001448</v>
      </c>
      <c r="B1934" s="406">
        <v>42459</v>
      </c>
      <c r="C1934" s="405" t="s">
        <v>63</v>
      </c>
      <c r="D1934" s="401" t="s">
        <v>4539</v>
      </c>
      <c r="E1934" s="120">
        <v>100</v>
      </c>
      <c r="F1934" s="133" t="s">
        <v>829</v>
      </c>
      <c r="G1934" s="404" t="s">
        <v>45</v>
      </c>
      <c r="H1934" s="411">
        <v>114</v>
      </c>
      <c r="I1934" s="411">
        <v>0</v>
      </c>
      <c r="J1934" s="391">
        <f>-((H1934*0.022)+0.3)</f>
        <v>-2.8079999999999998</v>
      </c>
      <c r="K1934" s="90">
        <f t="shared" si="338"/>
        <v>111.19200000000001</v>
      </c>
      <c r="L1934" s="131">
        <v>510</v>
      </c>
      <c r="M1934" s="187">
        <v>25.4</v>
      </c>
      <c r="N1934" s="91">
        <f t="shared" si="332"/>
        <v>76.400000000000006</v>
      </c>
      <c r="O1934" s="411">
        <f t="shared" si="339"/>
        <v>34.792000000000002</v>
      </c>
      <c r="P1934" s="132" t="s">
        <v>52</v>
      </c>
      <c r="Q1934" s="232"/>
      <c r="R1934" s="411"/>
      <c r="T1934" s="134" t="s">
        <v>145</v>
      </c>
      <c r="U1934" s="267" t="s">
        <v>4540</v>
      </c>
      <c r="W1934" s="153" t="s">
        <v>4541</v>
      </c>
      <c r="AA1934" s="218"/>
    </row>
    <row r="1935" spans="1:27" ht="24" x14ac:dyDescent="0.25">
      <c r="A1935" s="405">
        <v>3001449</v>
      </c>
      <c r="B1935" s="406">
        <v>42459</v>
      </c>
      <c r="C1935" s="405" t="s">
        <v>63</v>
      </c>
      <c r="D1935" s="401" t="s">
        <v>4542</v>
      </c>
      <c r="E1935" s="120">
        <v>250</v>
      </c>
      <c r="F1935" s="133" t="s">
        <v>1137</v>
      </c>
      <c r="G1935" s="404" t="s">
        <v>45</v>
      </c>
      <c r="H1935" s="411">
        <v>130</v>
      </c>
      <c r="I1935" s="411">
        <v>0</v>
      </c>
      <c r="J1935" s="391">
        <f>-((H1935*0.022)+0.3)</f>
        <v>-3.1599999999999997</v>
      </c>
      <c r="K1935" s="90">
        <f t="shared" si="338"/>
        <v>126.84</v>
      </c>
      <c r="L1935" s="131">
        <v>220</v>
      </c>
      <c r="M1935" s="187">
        <v>23.18</v>
      </c>
      <c r="N1935" s="91">
        <f t="shared" ref="N1935:N1998" si="340">((L1935)*(E1935*0.001))+M1935</f>
        <v>78.180000000000007</v>
      </c>
      <c r="O1935" s="411">
        <f t="shared" si="339"/>
        <v>48.66</v>
      </c>
      <c r="P1935" s="132" t="s">
        <v>52</v>
      </c>
      <c r="Q1935" s="232"/>
      <c r="R1935" s="411"/>
      <c r="T1935" s="134" t="s">
        <v>145</v>
      </c>
      <c r="U1935" s="267" t="s">
        <v>4543</v>
      </c>
      <c r="W1935" s="153" t="s">
        <v>4544</v>
      </c>
      <c r="AA1935" s="218"/>
    </row>
    <row r="1936" spans="1:27" ht="24" customHeight="1" x14ac:dyDescent="0.25">
      <c r="A1936" s="419">
        <v>3001450</v>
      </c>
      <c r="B1936" s="421">
        <v>42459</v>
      </c>
      <c r="C1936" s="419" t="s">
        <v>42</v>
      </c>
      <c r="D1936" s="429" t="s">
        <v>4545</v>
      </c>
      <c r="E1936" s="120">
        <v>250</v>
      </c>
      <c r="F1936" s="133" t="s">
        <v>173</v>
      </c>
      <c r="G1936" s="434" t="s">
        <v>45</v>
      </c>
      <c r="H1936" s="427">
        <v>381.7</v>
      </c>
      <c r="I1936" s="500">
        <f t="shared" ref="I1936" si="341">-(H1936*0.09)</f>
        <v>-34.352999999999994</v>
      </c>
      <c r="J1936" s="498">
        <f t="shared" ref="J1936" si="342">-((H1936*0.019)+0.3)</f>
        <v>-7.5522999999999998</v>
      </c>
      <c r="K1936" s="425">
        <f t="shared" si="338"/>
        <v>339.79469999999998</v>
      </c>
      <c r="L1936" s="131">
        <v>407</v>
      </c>
      <c r="M1936" s="187">
        <v>61.16</v>
      </c>
      <c r="N1936" s="91">
        <f t="shared" si="340"/>
        <v>162.91</v>
      </c>
      <c r="O1936" s="411">
        <f t="shared" si="339"/>
        <v>176.88469999999998</v>
      </c>
      <c r="P1936" s="132" t="s">
        <v>52</v>
      </c>
      <c r="Q1936" s="232"/>
      <c r="R1936" s="411"/>
      <c r="T1936" s="470" t="s">
        <v>145</v>
      </c>
      <c r="U1936" s="446" t="s">
        <v>4546</v>
      </c>
      <c r="AA1936" s="218"/>
    </row>
    <row r="1937" spans="1:27" x14ac:dyDescent="0.25">
      <c r="A1937" s="420"/>
      <c r="B1937" s="422"/>
      <c r="C1937" s="420"/>
      <c r="D1937" s="431"/>
      <c r="E1937" s="120">
        <v>250</v>
      </c>
      <c r="F1937" s="133" t="s">
        <v>175</v>
      </c>
      <c r="G1937" s="436"/>
      <c r="H1937" s="428"/>
      <c r="I1937" s="501"/>
      <c r="J1937" s="499"/>
      <c r="K1937" s="426"/>
      <c r="L1937" s="131">
        <v>250</v>
      </c>
      <c r="N1937" s="91">
        <f t="shared" si="340"/>
        <v>62.5</v>
      </c>
      <c r="O1937" s="411">
        <f t="shared" si="339"/>
        <v>-62.5</v>
      </c>
      <c r="P1937" s="132" t="s">
        <v>52</v>
      </c>
      <c r="Q1937" s="232"/>
      <c r="R1937" s="411"/>
      <c r="T1937" s="472"/>
      <c r="U1937" s="447"/>
      <c r="AA1937" s="218"/>
    </row>
    <row r="1938" spans="1:27" ht="24" x14ac:dyDescent="0.25">
      <c r="A1938" s="405">
        <v>3001451</v>
      </c>
      <c r="B1938" s="406">
        <v>42459</v>
      </c>
      <c r="C1938" s="405" t="s">
        <v>42</v>
      </c>
      <c r="D1938" s="401" t="s">
        <v>4547</v>
      </c>
      <c r="E1938" s="120">
        <v>100</v>
      </c>
      <c r="F1938" s="133" t="s">
        <v>300</v>
      </c>
      <c r="G1938" s="404" t="s">
        <v>45</v>
      </c>
      <c r="H1938" s="411">
        <v>427.5</v>
      </c>
      <c r="I1938" s="89">
        <f t="shared" ref="I1938:I1948" si="343">-(H1938*0.09)</f>
        <v>-38.475000000000001</v>
      </c>
      <c r="J1938" s="391">
        <f t="shared" ref="J1938:J1948" si="344">-((H1938*0.019)+0.3)</f>
        <v>-8.4225000000000012</v>
      </c>
      <c r="K1938" s="90">
        <f t="shared" si="338"/>
        <v>380.60249999999996</v>
      </c>
      <c r="L1938" s="131">
        <v>2391.15</v>
      </c>
      <c r="M1938" s="187">
        <v>47.62</v>
      </c>
      <c r="N1938" s="91">
        <f t="shared" si="340"/>
        <v>286.73500000000001</v>
      </c>
      <c r="O1938" s="411">
        <f t="shared" si="339"/>
        <v>93.86749999999995</v>
      </c>
      <c r="P1938" s="132" t="s">
        <v>86</v>
      </c>
      <c r="Q1938" s="232"/>
      <c r="R1938" s="411"/>
      <c r="T1938" s="134" t="s">
        <v>145</v>
      </c>
      <c r="U1938" s="267" t="s">
        <v>4548</v>
      </c>
      <c r="AA1938" s="218"/>
    </row>
    <row r="1939" spans="1:27" ht="24" x14ac:dyDescent="0.25">
      <c r="A1939" s="405">
        <v>3001452</v>
      </c>
      <c r="B1939" s="406">
        <v>42459</v>
      </c>
      <c r="C1939" s="405" t="s">
        <v>42</v>
      </c>
      <c r="D1939" s="401" t="s">
        <v>4549</v>
      </c>
      <c r="E1939" s="120">
        <v>50</v>
      </c>
      <c r="F1939" s="133" t="s">
        <v>161</v>
      </c>
      <c r="G1939" s="404" t="s">
        <v>45</v>
      </c>
      <c r="H1939" s="411">
        <v>145.06</v>
      </c>
      <c r="I1939" s="89">
        <f t="shared" si="343"/>
        <v>-13.055400000000001</v>
      </c>
      <c r="J1939" s="391">
        <f t="shared" si="344"/>
        <v>-3.0561399999999996</v>
      </c>
      <c r="K1939" s="90">
        <f t="shared" si="338"/>
        <v>128.94846000000001</v>
      </c>
      <c r="L1939" s="131">
        <v>1322</v>
      </c>
      <c r="M1939" s="187">
        <v>18.71</v>
      </c>
      <c r="N1939" s="91">
        <f t="shared" si="340"/>
        <v>84.81</v>
      </c>
      <c r="O1939" s="411">
        <f t="shared" si="339"/>
        <v>44.138460000000009</v>
      </c>
      <c r="P1939" s="132" t="s">
        <v>52</v>
      </c>
      <c r="Q1939" s="232"/>
      <c r="R1939" s="411"/>
      <c r="T1939" s="134" t="s">
        <v>145</v>
      </c>
      <c r="U1939" s="267" t="s">
        <v>4550</v>
      </c>
      <c r="AA1939" s="218"/>
    </row>
    <row r="1940" spans="1:27" ht="24" x14ac:dyDescent="0.25">
      <c r="A1940" s="405">
        <v>3001453</v>
      </c>
      <c r="B1940" s="406">
        <v>42459</v>
      </c>
      <c r="C1940" s="405" t="s">
        <v>42</v>
      </c>
      <c r="D1940" s="401" t="s">
        <v>4551</v>
      </c>
      <c r="E1940" s="120">
        <v>500</v>
      </c>
      <c r="F1940" s="133" t="s">
        <v>451</v>
      </c>
      <c r="G1940" s="404" t="s">
        <v>45</v>
      </c>
      <c r="H1940" s="411">
        <v>295</v>
      </c>
      <c r="I1940" s="89">
        <f t="shared" si="343"/>
        <v>-26.55</v>
      </c>
      <c r="J1940" s="391">
        <f t="shared" si="344"/>
        <v>-5.9049999999999994</v>
      </c>
      <c r="K1940" s="90">
        <f t="shared" si="338"/>
        <v>262.54500000000002</v>
      </c>
      <c r="L1940" s="131">
        <v>336.55</v>
      </c>
      <c r="M1940" s="187">
        <v>61.06</v>
      </c>
      <c r="N1940" s="91">
        <f t="shared" si="340"/>
        <v>229.33500000000001</v>
      </c>
      <c r="O1940" s="411">
        <f t="shared" si="339"/>
        <v>33.210000000000008</v>
      </c>
      <c r="P1940" s="132" t="s">
        <v>52</v>
      </c>
      <c r="Q1940" s="232"/>
      <c r="R1940" s="411"/>
      <c r="T1940" s="134" t="s">
        <v>145</v>
      </c>
      <c r="U1940" s="267" t="s">
        <v>4552</v>
      </c>
      <c r="AA1940" s="218"/>
    </row>
    <row r="1941" spans="1:27" ht="24" x14ac:dyDescent="0.25">
      <c r="A1941" s="405">
        <v>3001454</v>
      </c>
      <c r="B1941" s="406">
        <v>42459</v>
      </c>
      <c r="C1941" s="405" t="s">
        <v>42</v>
      </c>
      <c r="D1941" s="401" t="s">
        <v>4553</v>
      </c>
      <c r="E1941" s="120">
        <v>100</v>
      </c>
      <c r="F1941" s="133" t="s">
        <v>4554</v>
      </c>
      <c r="G1941" s="404" t="s">
        <v>45</v>
      </c>
      <c r="H1941" s="411">
        <v>323.39999999999998</v>
      </c>
      <c r="I1941" s="89">
        <f t="shared" si="343"/>
        <v>-29.105999999999998</v>
      </c>
      <c r="J1941" s="391">
        <f t="shared" si="344"/>
        <v>-6.4445999999999994</v>
      </c>
      <c r="K1941" s="90">
        <f t="shared" si="338"/>
        <v>287.8494</v>
      </c>
      <c r="L1941" s="187">
        <v>2190</v>
      </c>
      <c r="M1941" s="187">
        <v>38.200000000000003</v>
      </c>
      <c r="N1941" s="91">
        <f t="shared" si="340"/>
        <v>257.2</v>
      </c>
      <c r="O1941" s="411">
        <f t="shared" si="339"/>
        <v>30.649400000000014</v>
      </c>
      <c r="P1941" s="132" t="s">
        <v>601</v>
      </c>
      <c r="Q1941" s="232"/>
      <c r="R1941" s="411"/>
      <c r="T1941" s="134" t="s">
        <v>145</v>
      </c>
      <c r="U1941" s="267" t="s">
        <v>4555</v>
      </c>
      <c r="AA1941" s="218"/>
    </row>
    <row r="1942" spans="1:27" ht="24" x14ac:dyDescent="0.25">
      <c r="A1942" s="405">
        <v>3001455</v>
      </c>
      <c r="B1942" s="406">
        <v>42459</v>
      </c>
      <c r="C1942" s="405" t="s">
        <v>42</v>
      </c>
      <c r="D1942" s="401" t="s">
        <v>4556</v>
      </c>
      <c r="E1942" s="120">
        <v>250</v>
      </c>
      <c r="F1942" s="133" t="s">
        <v>173</v>
      </c>
      <c r="G1942" s="404" t="s">
        <v>45</v>
      </c>
      <c r="H1942" s="411">
        <v>216.7</v>
      </c>
      <c r="I1942" s="89">
        <f t="shared" si="343"/>
        <v>-19.502999999999997</v>
      </c>
      <c r="J1942" s="391">
        <f t="shared" si="344"/>
        <v>-4.4172999999999991</v>
      </c>
      <c r="K1942" s="90">
        <f t="shared" si="338"/>
        <v>192.77969999999999</v>
      </c>
      <c r="L1942" s="131">
        <v>407</v>
      </c>
      <c r="M1942" s="187">
        <v>31.19</v>
      </c>
      <c r="N1942" s="91">
        <f t="shared" si="340"/>
        <v>132.94</v>
      </c>
      <c r="O1942" s="411">
        <f t="shared" si="339"/>
        <v>59.839699999999993</v>
      </c>
      <c r="P1942" s="132" t="s">
        <v>52</v>
      </c>
      <c r="Q1942" s="232"/>
      <c r="R1942" s="411"/>
      <c r="T1942" s="134" t="s">
        <v>145</v>
      </c>
      <c r="U1942" s="267" t="s">
        <v>4557</v>
      </c>
      <c r="AA1942" s="218"/>
    </row>
    <row r="1943" spans="1:27" ht="24" x14ac:dyDescent="0.25">
      <c r="A1943" s="405">
        <v>3001456</v>
      </c>
      <c r="B1943" s="406">
        <v>42459</v>
      </c>
      <c r="C1943" s="405" t="s">
        <v>42</v>
      </c>
      <c r="D1943" s="401" t="s">
        <v>4558</v>
      </c>
      <c r="E1943" s="120">
        <v>250</v>
      </c>
      <c r="F1943" s="133" t="s">
        <v>451</v>
      </c>
      <c r="G1943" s="404" t="s">
        <v>45</v>
      </c>
      <c r="H1943" s="411">
        <v>152.1</v>
      </c>
      <c r="I1943" s="89">
        <f t="shared" si="343"/>
        <v>-13.688999999999998</v>
      </c>
      <c r="J1943" s="391">
        <f t="shared" si="344"/>
        <v>-3.1898999999999997</v>
      </c>
      <c r="K1943" s="90">
        <f t="shared" si="338"/>
        <v>135.22110000000001</v>
      </c>
      <c r="L1943" s="131">
        <v>336.55</v>
      </c>
      <c r="M1943" s="187">
        <v>35.56</v>
      </c>
      <c r="N1943" s="91">
        <f t="shared" si="340"/>
        <v>119.69750000000001</v>
      </c>
      <c r="O1943" s="411">
        <f t="shared" si="339"/>
        <v>15.523600000000002</v>
      </c>
      <c r="P1943" s="132" t="s">
        <v>52</v>
      </c>
      <c r="Q1943" s="232"/>
      <c r="R1943" s="411"/>
      <c r="T1943" s="134" t="s">
        <v>145</v>
      </c>
      <c r="U1943" s="267" t="s">
        <v>4559</v>
      </c>
      <c r="AA1943" s="218"/>
    </row>
    <row r="1944" spans="1:27" ht="24" x14ac:dyDescent="0.25">
      <c r="A1944" s="405">
        <v>3001457</v>
      </c>
      <c r="B1944" s="406">
        <v>42459</v>
      </c>
      <c r="C1944" s="405" t="s">
        <v>42</v>
      </c>
      <c r="D1944" s="401" t="s">
        <v>4560</v>
      </c>
      <c r="E1944" s="120">
        <v>50</v>
      </c>
      <c r="F1944" s="133" t="s">
        <v>1270</v>
      </c>
      <c r="G1944" s="404" t="s">
        <v>45</v>
      </c>
      <c r="H1944" s="411">
        <v>163.88</v>
      </c>
      <c r="I1944" s="89">
        <f t="shared" si="343"/>
        <v>-14.749199999999998</v>
      </c>
      <c r="J1944" s="391">
        <f t="shared" si="344"/>
        <v>-3.4137199999999996</v>
      </c>
      <c r="K1944" s="90">
        <f t="shared" si="338"/>
        <v>145.71707999999998</v>
      </c>
      <c r="M1944" s="187">
        <v>29.3</v>
      </c>
      <c r="N1944" s="91">
        <f t="shared" si="340"/>
        <v>29.3</v>
      </c>
      <c r="O1944" s="411">
        <f t="shared" si="339"/>
        <v>116.41707999999998</v>
      </c>
      <c r="P1944" s="132" t="s">
        <v>86</v>
      </c>
      <c r="Q1944" s="232"/>
      <c r="R1944" s="411"/>
      <c r="T1944" s="134" t="s">
        <v>145</v>
      </c>
      <c r="U1944" s="267" t="s">
        <v>4561</v>
      </c>
      <c r="AA1944" s="218"/>
    </row>
    <row r="1945" spans="1:27" ht="24" x14ac:dyDescent="0.25">
      <c r="A1945" s="405">
        <v>3001458</v>
      </c>
      <c r="B1945" s="406">
        <v>42459</v>
      </c>
      <c r="C1945" s="405" t="s">
        <v>42</v>
      </c>
      <c r="D1945" s="401" t="s">
        <v>1803</v>
      </c>
      <c r="E1945" s="120">
        <v>250</v>
      </c>
      <c r="F1945" s="133" t="s">
        <v>829</v>
      </c>
      <c r="G1945" s="404" t="s">
        <v>45</v>
      </c>
      <c r="H1945" s="411">
        <v>246.5</v>
      </c>
      <c r="I1945" s="89">
        <f t="shared" si="343"/>
        <v>-22.184999999999999</v>
      </c>
      <c r="J1945" s="391">
        <f t="shared" si="344"/>
        <v>-4.9834999999999994</v>
      </c>
      <c r="K1945" s="90">
        <f t="shared" si="338"/>
        <v>219.33150000000001</v>
      </c>
      <c r="L1945" s="131">
        <v>510</v>
      </c>
      <c r="M1945" s="187">
        <v>43.86</v>
      </c>
      <c r="N1945" s="91">
        <f t="shared" si="340"/>
        <v>171.36</v>
      </c>
      <c r="O1945" s="411">
        <f t="shared" si="339"/>
        <v>47.971499999999992</v>
      </c>
      <c r="P1945" s="132" t="s">
        <v>52</v>
      </c>
      <c r="Q1945" s="232"/>
      <c r="R1945" s="411"/>
      <c r="T1945" s="134" t="s">
        <v>145</v>
      </c>
      <c r="U1945" s="267" t="s">
        <v>4562</v>
      </c>
      <c r="AA1945" s="218"/>
    </row>
    <row r="1946" spans="1:27" ht="24" x14ac:dyDescent="0.25">
      <c r="A1946" s="405">
        <v>3001459</v>
      </c>
      <c r="B1946" s="406">
        <v>42459</v>
      </c>
      <c r="C1946" s="405" t="s">
        <v>42</v>
      </c>
      <c r="D1946" s="401" t="s">
        <v>4563</v>
      </c>
      <c r="E1946" s="120">
        <v>100</v>
      </c>
      <c r="F1946" s="133" t="s">
        <v>161</v>
      </c>
      <c r="G1946" s="404" t="s">
        <v>45</v>
      </c>
      <c r="H1946" s="411">
        <v>235</v>
      </c>
      <c r="I1946" s="89">
        <f t="shared" si="343"/>
        <v>-21.15</v>
      </c>
      <c r="J1946" s="391">
        <f t="shared" si="344"/>
        <v>-4.7649999999999997</v>
      </c>
      <c r="K1946" s="90">
        <f t="shared" si="338"/>
        <v>209.08500000000001</v>
      </c>
      <c r="L1946" s="131">
        <v>1322</v>
      </c>
      <c r="M1946" s="187">
        <v>60.37</v>
      </c>
      <c r="N1946" s="91">
        <f t="shared" si="340"/>
        <v>192.57000000000002</v>
      </c>
      <c r="O1946" s="411">
        <f t="shared" si="339"/>
        <v>16.514999999999986</v>
      </c>
      <c r="P1946" s="132" t="s">
        <v>52</v>
      </c>
      <c r="Q1946" s="232"/>
      <c r="R1946" s="411"/>
      <c r="T1946" s="134" t="s">
        <v>145</v>
      </c>
      <c r="U1946" s="267" t="s">
        <v>4564</v>
      </c>
      <c r="AA1946" s="218"/>
    </row>
    <row r="1947" spans="1:27" ht="24" x14ac:dyDescent="0.25">
      <c r="A1947" s="405">
        <v>3001460</v>
      </c>
      <c r="B1947" s="406">
        <v>42459</v>
      </c>
      <c r="C1947" s="405" t="s">
        <v>42</v>
      </c>
      <c r="D1947" s="401" t="s">
        <v>4565</v>
      </c>
      <c r="E1947" s="120">
        <v>325</v>
      </c>
      <c r="F1947" s="133" t="s">
        <v>877</v>
      </c>
      <c r="G1947" s="404" t="s">
        <v>45</v>
      </c>
      <c r="H1947" s="411">
        <v>253.01</v>
      </c>
      <c r="I1947" s="89">
        <f t="shared" si="343"/>
        <v>-22.770899999999997</v>
      </c>
      <c r="J1947" s="391">
        <f t="shared" si="344"/>
        <v>-5.1071899999999992</v>
      </c>
      <c r="K1947" s="90">
        <f t="shared" si="338"/>
        <v>225.13191</v>
      </c>
      <c r="L1947" s="131">
        <v>235</v>
      </c>
      <c r="M1947" s="187">
        <v>35.69</v>
      </c>
      <c r="N1947" s="91">
        <f t="shared" si="340"/>
        <v>112.065</v>
      </c>
      <c r="O1947" s="411">
        <f t="shared" si="339"/>
        <v>113.06691000000001</v>
      </c>
      <c r="P1947" s="132" t="s">
        <v>52</v>
      </c>
      <c r="Q1947" s="232"/>
      <c r="R1947" s="411"/>
      <c r="T1947" s="134" t="s">
        <v>145</v>
      </c>
      <c r="U1947" s="267" t="s">
        <v>4566</v>
      </c>
      <c r="AA1947" s="218"/>
    </row>
    <row r="1948" spans="1:27" ht="24" x14ac:dyDescent="0.25">
      <c r="A1948" s="405">
        <v>3001461</v>
      </c>
      <c r="B1948" s="406">
        <v>42459</v>
      </c>
      <c r="C1948" s="405" t="s">
        <v>42</v>
      </c>
      <c r="D1948" s="401" t="s">
        <v>4567</v>
      </c>
      <c r="E1948" s="120">
        <v>125</v>
      </c>
      <c r="F1948" s="133" t="s">
        <v>165</v>
      </c>
      <c r="G1948" s="404" t="s">
        <v>45</v>
      </c>
      <c r="H1948" s="411">
        <v>143.62</v>
      </c>
      <c r="I1948" s="89">
        <f t="shared" si="343"/>
        <v>-12.925800000000001</v>
      </c>
      <c r="J1948" s="391">
        <f t="shared" si="344"/>
        <v>-3.0287799999999998</v>
      </c>
      <c r="K1948" s="90">
        <f t="shared" si="338"/>
        <v>127.66542</v>
      </c>
      <c r="L1948" s="131">
        <v>510</v>
      </c>
      <c r="M1948" s="187">
        <v>39.81</v>
      </c>
      <c r="N1948" s="91">
        <f t="shared" si="340"/>
        <v>103.56</v>
      </c>
      <c r="O1948" s="411">
        <f t="shared" si="339"/>
        <v>24.105419999999995</v>
      </c>
      <c r="P1948" s="132" t="s">
        <v>86</v>
      </c>
      <c r="Q1948" s="232"/>
      <c r="R1948" s="411">
        <v>9.4</v>
      </c>
      <c r="S1948" s="133" t="s">
        <v>4568</v>
      </c>
      <c r="T1948" s="134" t="s">
        <v>145</v>
      </c>
      <c r="U1948" s="267" t="s">
        <v>4569</v>
      </c>
      <c r="AA1948" s="218"/>
    </row>
    <row r="1949" spans="1:27" x14ac:dyDescent="0.25">
      <c r="A1949" s="419">
        <v>3001462</v>
      </c>
      <c r="B1949" s="421">
        <v>42459</v>
      </c>
      <c r="C1949" s="419" t="s">
        <v>237</v>
      </c>
      <c r="D1949" s="417" t="s">
        <v>4570</v>
      </c>
      <c r="E1949" s="120">
        <v>15</v>
      </c>
      <c r="F1949" s="133" t="s">
        <v>4407</v>
      </c>
      <c r="G1949" s="434" t="s">
        <v>45</v>
      </c>
      <c r="H1949" s="427">
        <v>151.66</v>
      </c>
      <c r="I1949" s="452">
        <f>-(H1949*0.15)</f>
        <v>-22.748999999999999</v>
      </c>
      <c r="J1949" s="427">
        <v>0</v>
      </c>
      <c r="K1949" s="425">
        <f t="shared" si="338"/>
        <v>128.911</v>
      </c>
      <c r="L1949" s="187">
        <v>2150</v>
      </c>
      <c r="M1949" s="187">
        <v>20.23</v>
      </c>
      <c r="N1949" s="91">
        <f t="shared" si="340"/>
        <v>52.480000000000004</v>
      </c>
      <c r="O1949" s="411">
        <f t="shared" si="339"/>
        <v>76.430999999999997</v>
      </c>
      <c r="P1949" s="132" t="s">
        <v>601</v>
      </c>
      <c r="Q1949" s="232"/>
      <c r="R1949" s="411"/>
      <c r="T1949" s="439" t="s">
        <v>145</v>
      </c>
      <c r="U1949" s="446" t="s">
        <v>4571</v>
      </c>
      <c r="AA1949" s="218"/>
    </row>
    <row r="1950" spans="1:27" x14ac:dyDescent="0.25">
      <c r="A1950" s="420"/>
      <c r="B1950" s="422"/>
      <c r="C1950" s="420"/>
      <c r="D1950" s="418"/>
      <c r="E1950" s="120">
        <v>15</v>
      </c>
      <c r="F1950" s="133" t="s">
        <v>1507</v>
      </c>
      <c r="G1950" s="436"/>
      <c r="H1950" s="428"/>
      <c r="I1950" s="453"/>
      <c r="J1950" s="428"/>
      <c r="K1950" s="426"/>
      <c r="L1950" s="187">
        <v>2150</v>
      </c>
      <c r="N1950" s="91">
        <f t="shared" si="340"/>
        <v>32.25</v>
      </c>
      <c r="O1950" s="411">
        <f t="shared" si="339"/>
        <v>-32.25</v>
      </c>
      <c r="P1950" s="132" t="s">
        <v>601</v>
      </c>
      <c r="Q1950" s="232"/>
      <c r="R1950" s="411"/>
      <c r="T1950" s="441"/>
      <c r="U1950" s="447"/>
      <c r="AA1950" s="218"/>
    </row>
    <row r="1951" spans="1:27" x14ac:dyDescent="0.25">
      <c r="A1951" s="419">
        <v>3001463</v>
      </c>
      <c r="B1951" s="421">
        <v>42459</v>
      </c>
      <c r="C1951" s="419" t="s">
        <v>237</v>
      </c>
      <c r="D1951" s="417" t="s">
        <v>4572</v>
      </c>
      <c r="E1951" s="120">
        <v>50</v>
      </c>
      <c r="F1951" s="133" t="s">
        <v>3301</v>
      </c>
      <c r="G1951" s="434" t="s">
        <v>45</v>
      </c>
      <c r="H1951" s="427">
        <v>143.55000000000001</v>
      </c>
      <c r="I1951" s="452">
        <f>-(H1951*0.15)</f>
        <v>-21.532500000000002</v>
      </c>
      <c r="J1951" s="427">
        <v>0</v>
      </c>
      <c r="K1951" s="425">
        <f t="shared" si="338"/>
        <v>122.01750000000001</v>
      </c>
      <c r="L1951" s="187">
        <v>714</v>
      </c>
      <c r="M1951" s="187">
        <v>19.03</v>
      </c>
      <c r="N1951" s="91">
        <f t="shared" si="340"/>
        <v>54.730000000000004</v>
      </c>
      <c r="O1951" s="411">
        <f t="shared" si="339"/>
        <v>67.287500000000009</v>
      </c>
      <c r="P1951" s="132" t="s">
        <v>601</v>
      </c>
      <c r="Q1951" s="232"/>
      <c r="R1951" s="411"/>
      <c r="T1951" s="439" t="s">
        <v>145</v>
      </c>
      <c r="U1951" s="446" t="s">
        <v>4573</v>
      </c>
      <c r="AA1951" s="218"/>
    </row>
    <row r="1952" spans="1:27" x14ac:dyDescent="0.25">
      <c r="A1952" s="420"/>
      <c r="B1952" s="422"/>
      <c r="C1952" s="420"/>
      <c r="D1952" s="418"/>
      <c r="E1952" s="120">
        <v>50</v>
      </c>
      <c r="F1952" s="133" t="s">
        <v>3299</v>
      </c>
      <c r="G1952" s="436"/>
      <c r="H1952" s="428"/>
      <c r="I1952" s="453"/>
      <c r="J1952" s="428"/>
      <c r="K1952" s="426"/>
      <c r="L1952" s="187">
        <v>714</v>
      </c>
      <c r="N1952" s="91">
        <f t="shared" si="340"/>
        <v>35.700000000000003</v>
      </c>
      <c r="O1952" s="411">
        <f t="shared" si="339"/>
        <v>-35.700000000000003</v>
      </c>
      <c r="P1952" s="132" t="s">
        <v>601</v>
      </c>
      <c r="Q1952" s="232"/>
      <c r="R1952" s="411"/>
      <c r="T1952" s="441"/>
      <c r="U1952" s="447"/>
      <c r="AA1952" s="218"/>
    </row>
    <row r="1953" spans="1:27" ht="24" x14ac:dyDescent="0.25">
      <c r="A1953" s="405">
        <v>3001464</v>
      </c>
      <c r="B1953" s="406">
        <v>42459</v>
      </c>
      <c r="C1953" s="405" t="s">
        <v>237</v>
      </c>
      <c r="D1953" s="401" t="s">
        <v>4574</v>
      </c>
      <c r="E1953" s="120">
        <v>100</v>
      </c>
      <c r="F1953" s="133" t="s">
        <v>323</v>
      </c>
      <c r="G1953" s="404" t="s">
        <v>45</v>
      </c>
      <c r="H1953" s="411">
        <v>112.86</v>
      </c>
      <c r="I1953" s="397">
        <f>-(H1953*0.15)</f>
        <v>-16.928999999999998</v>
      </c>
      <c r="J1953" s="411">
        <v>0</v>
      </c>
      <c r="K1953" s="90">
        <f t="shared" si="338"/>
        <v>95.930999999999997</v>
      </c>
      <c r="M1953" s="187">
        <v>34.409999999999997</v>
      </c>
      <c r="N1953" s="91">
        <f t="shared" si="340"/>
        <v>34.409999999999997</v>
      </c>
      <c r="O1953" s="411">
        <f t="shared" si="339"/>
        <v>61.521000000000001</v>
      </c>
      <c r="P1953" s="132" t="s">
        <v>52</v>
      </c>
      <c r="Q1953" s="232"/>
      <c r="R1953" s="411"/>
      <c r="T1953" s="134" t="s">
        <v>145</v>
      </c>
      <c r="U1953" s="267" t="s">
        <v>4575</v>
      </c>
      <c r="AA1953" s="218"/>
    </row>
    <row r="1954" spans="1:27" ht="24" x14ac:dyDescent="0.25">
      <c r="A1954" s="405">
        <v>3001465</v>
      </c>
      <c r="B1954" s="406">
        <v>42460</v>
      </c>
      <c r="C1954" s="405" t="s">
        <v>42</v>
      </c>
      <c r="D1954" s="401" t="s">
        <v>4576</v>
      </c>
      <c r="E1954" s="120">
        <v>500</v>
      </c>
      <c r="F1954" s="133" t="s">
        <v>451</v>
      </c>
      <c r="G1954" s="404" t="s">
        <v>45</v>
      </c>
      <c r="H1954" s="411">
        <v>295</v>
      </c>
      <c r="I1954" s="89">
        <f t="shared" ref="I1954" si="345">-(H1954*0.09)</f>
        <v>-26.55</v>
      </c>
      <c r="J1954" s="391">
        <f t="shared" ref="J1954" si="346">-((H1954*0.019)+0.3)</f>
        <v>-5.9049999999999994</v>
      </c>
      <c r="K1954" s="90">
        <f t="shared" si="338"/>
        <v>262.54500000000002</v>
      </c>
      <c r="L1954" s="131">
        <v>336.55</v>
      </c>
      <c r="M1954" s="187">
        <v>42.56</v>
      </c>
      <c r="N1954" s="91">
        <f t="shared" si="340"/>
        <v>210.83500000000001</v>
      </c>
      <c r="O1954" s="411">
        <f t="shared" si="339"/>
        <v>51.710000000000008</v>
      </c>
      <c r="P1954" s="132" t="s">
        <v>52</v>
      </c>
      <c r="Q1954" s="232"/>
      <c r="R1954" s="411"/>
      <c r="T1954" s="134" t="s">
        <v>145</v>
      </c>
      <c r="U1954" s="267" t="s">
        <v>4577</v>
      </c>
      <c r="AA1954" s="218"/>
    </row>
    <row r="1955" spans="1:27" x14ac:dyDescent="0.25">
      <c r="A1955" s="419">
        <v>3001466</v>
      </c>
      <c r="B1955" s="421">
        <v>42460</v>
      </c>
      <c r="C1955" s="419" t="s">
        <v>327</v>
      </c>
      <c r="D1955" s="429" t="s">
        <v>4578</v>
      </c>
      <c r="E1955" s="120">
        <v>500</v>
      </c>
      <c r="F1955" s="133" t="s">
        <v>161</v>
      </c>
      <c r="G1955" s="434" t="s">
        <v>45</v>
      </c>
      <c r="H1955" s="427">
        <v>2358</v>
      </c>
      <c r="I1955" s="427">
        <v>0</v>
      </c>
      <c r="J1955" s="498">
        <f>-((H1955*0.022)+0.3)</f>
        <v>-52.175999999999995</v>
      </c>
      <c r="K1955" s="425">
        <f t="shared" si="338"/>
        <v>2305.8240000000001</v>
      </c>
      <c r="L1955" s="131">
        <v>1322</v>
      </c>
      <c r="M1955" s="468">
        <v>219.05</v>
      </c>
      <c r="N1955" s="91">
        <f t="shared" si="340"/>
        <v>880.05</v>
      </c>
      <c r="O1955" s="411">
        <f t="shared" si="339"/>
        <v>1425.7740000000001</v>
      </c>
      <c r="P1955" s="132" t="s">
        <v>52</v>
      </c>
      <c r="Q1955" s="232"/>
      <c r="R1955" s="411"/>
      <c r="T1955" s="439" t="s">
        <v>1467</v>
      </c>
      <c r="U1955" s="446" t="s">
        <v>4579</v>
      </c>
      <c r="V1955" s="133" t="s">
        <v>55</v>
      </c>
      <c r="W1955" s="153" t="s">
        <v>4580</v>
      </c>
      <c r="AA1955" s="218"/>
    </row>
    <row r="1956" spans="1:27" x14ac:dyDescent="0.25">
      <c r="A1956" s="432"/>
      <c r="B1956" s="433"/>
      <c r="C1956" s="432"/>
      <c r="D1956" s="430"/>
      <c r="E1956" s="120">
        <v>500</v>
      </c>
      <c r="F1956" s="133" t="s">
        <v>431</v>
      </c>
      <c r="G1956" s="435"/>
      <c r="H1956" s="438"/>
      <c r="I1956" s="438"/>
      <c r="J1956" s="525"/>
      <c r="K1956" s="437"/>
      <c r="L1956" s="131">
        <v>1050</v>
      </c>
      <c r="M1956" s="491"/>
      <c r="N1956" s="91">
        <f t="shared" si="340"/>
        <v>525</v>
      </c>
      <c r="O1956" s="411">
        <f t="shared" si="339"/>
        <v>-525</v>
      </c>
      <c r="P1956" s="132" t="s">
        <v>52</v>
      </c>
      <c r="Q1956" s="232"/>
      <c r="R1956" s="411"/>
      <c r="T1956" s="440"/>
      <c r="U1956" s="448"/>
      <c r="AA1956" s="218"/>
    </row>
    <row r="1957" spans="1:27" x14ac:dyDescent="0.25">
      <c r="A1957" s="420"/>
      <c r="B1957" s="422"/>
      <c r="C1957" s="420"/>
      <c r="D1957" s="431"/>
      <c r="E1957" s="120">
        <v>500</v>
      </c>
      <c r="F1957" s="133" t="s">
        <v>451</v>
      </c>
      <c r="G1957" s="436"/>
      <c r="H1957" s="428"/>
      <c r="I1957" s="428"/>
      <c r="J1957" s="499"/>
      <c r="K1957" s="426"/>
      <c r="L1957" s="131">
        <v>300</v>
      </c>
      <c r="M1957" s="469"/>
      <c r="N1957" s="91">
        <f t="shared" si="340"/>
        <v>150</v>
      </c>
      <c r="O1957" s="411">
        <f t="shared" si="339"/>
        <v>-150</v>
      </c>
      <c r="P1957" s="132" t="s">
        <v>52</v>
      </c>
      <c r="Q1957" s="232"/>
      <c r="R1957" s="411"/>
      <c r="T1957" s="441"/>
      <c r="U1957" s="447"/>
      <c r="AA1957" s="218"/>
    </row>
    <row r="1958" spans="1:27" ht="24" customHeight="1" x14ac:dyDescent="0.25">
      <c r="A1958" s="419">
        <v>3001467</v>
      </c>
      <c r="B1958" s="421">
        <v>42460</v>
      </c>
      <c r="C1958" s="419" t="s">
        <v>56</v>
      </c>
      <c r="D1958" s="417" t="s">
        <v>4512</v>
      </c>
      <c r="E1958" s="120">
        <v>40</v>
      </c>
      <c r="F1958" s="133" t="s">
        <v>2483</v>
      </c>
      <c r="G1958" s="434" t="s">
        <v>45</v>
      </c>
      <c r="H1958" s="427">
        <v>243.6</v>
      </c>
      <c r="I1958" s="427">
        <v>0</v>
      </c>
      <c r="J1958" s="427">
        <v>0</v>
      </c>
      <c r="K1958" s="425">
        <f t="shared" ref="K1958" si="347">SUM(H1958:J1958)</f>
        <v>243.6</v>
      </c>
      <c r="L1958" s="187">
        <v>1453</v>
      </c>
      <c r="M1958" s="555">
        <v>38.07</v>
      </c>
      <c r="N1958" s="91">
        <f t="shared" si="340"/>
        <v>96.19</v>
      </c>
      <c r="O1958" s="411">
        <f t="shared" si="339"/>
        <v>147.41</v>
      </c>
      <c r="P1958" s="132" t="s">
        <v>601</v>
      </c>
      <c r="Q1958" s="232"/>
      <c r="R1958" s="411"/>
      <c r="T1958" s="470" t="s">
        <v>145</v>
      </c>
      <c r="U1958" s="446" t="s">
        <v>4581</v>
      </c>
      <c r="V1958" s="133" t="s">
        <v>2342</v>
      </c>
      <c r="W1958" s="153" t="s">
        <v>4518</v>
      </c>
      <c r="AA1958" s="218"/>
    </row>
    <row r="1959" spans="1:27" x14ac:dyDescent="0.25">
      <c r="A1959" s="432"/>
      <c r="B1959" s="433"/>
      <c r="C1959" s="432"/>
      <c r="D1959" s="454"/>
      <c r="E1959" s="120">
        <v>30</v>
      </c>
      <c r="F1959" s="133" t="s">
        <v>3345</v>
      </c>
      <c r="G1959" s="435"/>
      <c r="H1959" s="438"/>
      <c r="I1959" s="438"/>
      <c r="J1959" s="438"/>
      <c r="K1959" s="437"/>
      <c r="L1959" s="187">
        <v>1481</v>
      </c>
      <c r="M1959" s="556"/>
      <c r="N1959" s="91">
        <f t="shared" si="340"/>
        <v>44.43</v>
      </c>
      <c r="O1959" s="411">
        <f t="shared" si="339"/>
        <v>-44.43</v>
      </c>
      <c r="P1959" s="132" t="s">
        <v>601</v>
      </c>
      <c r="Q1959" s="232"/>
      <c r="R1959" s="411"/>
      <c r="T1959" s="471"/>
      <c r="U1959" s="448"/>
      <c r="AA1959" s="218"/>
    </row>
    <row r="1960" spans="1:27" x14ac:dyDescent="0.25">
      <c r="A1960" s="420"/>
      <c r="B1960" s="422"/>
      <c r="C1960" s="420"/>
      <c r="D1960" s="418"/>
      <c r="E1960" s="120">
        <v>50</v>
      </c>
      <c r="F1960" s="133" t="s">
        <v>2408</v>
      </c>
      <c r="G1960" s="436"/>
      <c r="H1960" s="428"/>
      <c r="I1960" s="428"/>
      <c r="J1960" s="428"/>
      <c r="K1960" s="426"/>
      <c r="L1960" s="187">
        <v>1481</v>
      </c>
      <c r="M1960" s="557"/>
      <c r="N1960" s="91">
        <f t="shared" si="340"/>
        <v>74.05</v>
      </c>
      <c r="O1960" s="411">
        <f t="shared" si="339"/>
        <v>-74.05</v>
      </c>
      <c r="P1960" s="132" t="s">
        <v>601</v>
      </c>
      <c r="Q1960" s="232"/>
      <c r="R1960" s="411"/>
      <c r="T1960" s="472"/>
      <c r="U1960" s="447"/>
      <c r="AA1960" s="218"/>
    </row>
    <row r="1961" spans="1:27" ht="24" x14ac:dyDescent="0.25">
      <c r="A1961" s="405">
        <v>3001468</v>
      </c>
      <c r="B1961" s="406">
        <v>42460</v>
      </c>
      <c r="C1961" s="405" t="s">
        <v>141</v>
      </c>
      <c r="D1961" s="401" t="s">
        <v>4582</v>
      </c>
      <c r="E1961" s="120">
        <v>100</v>
      </c>
      <c r="F1961" s="133" t="s">
        <v>4583</v>
      </c>
      <c r="G1961" s="404" t="s">
        <v>45</v>
      </c>
      <c r="H1961" s="411">
        <v>276</v>
      </c>
      <c r="I1961" s="411">
        <v>0</v>
      </c>
      <c r="J1961" s="391">
        <f>-((H1961*0.0325)+0.3)</f>
        <v>-9.2700000000000014</v>
      </c>
      <c r="K1961" s="90">
        <f t="shared" ref="K1961:K1963" si="348">SUM(H1961:J1961)</f>
        <v>266.73</v>
      </c>
      <c r="L1961" s="187">
        <v>1730</v>
      </c>
      <c r="M1961" s="187">
        <v>16.23</v>
      </c>
      <c r="N1961" s="91">
        <f t="shared" si="340"/>
        <v>189.23</v>
      </c>
      <c r="O1961" s="411">
        <f t="shared" si="339"/>
        <v>77.500000000000028</v>
      </c>
      <c r="P1961" s="132" t="s">
        <v>183</v>
      </c>
      <c r="Q1961" s="232"/>
      <c r="R1961" s="411"/>
      <c r="T1961" s="134" t="s">
        <v>145</v>
      </c>
      <c r="U1961" s="267" t="s">
        <v>4584</v>
      </c>
      <c r="W1961" s="153" t="s">
        <v>4585</v>
      </c>
      <c r="AA1961" s="218"/>
    </row>
    <row r="1962" spans="1:27" x14ac:dyDescent="0.25">
      <c r="A1962" s="405">
        <v>3001469</v>
      </c>
      <c r="B1962" s="406">
        <v>42460</v>
      </c>
      <c r="C1962" s="405" t="s">
        <v>63</v>
      </c>
      <c r="D1962" s="401" t="s">
        <v>4586</v>
      </c>
      <c r="E1962" s="120">
        <v>100</v>
      </c>
      <c r="F1962" s="133" t="s">
        <v>4587</v>
      </c>
      <c r="G1962" s="404" t="s">
        <v>45</v>
      </c>
      <c r="H1962" s="411">
        <v>1300</v>
      </c>
      <c r="I1962" s="411">
        <v>0</v>
      </c>
      <c r="J1962" s="391">
        <f>-((H1962*0.022)+0.3)</f>
        <v>-28.9</v>
      </c>
      <c r="K1962" s="90">
        <f t="shared" si="348"/>
        <v>1271.0999999999999</v>
      </c>
      <c r="L1962" s="187">
        <v>8200</v>
      </c>
      <c r="M1962" s="187">
        <v>165.93</v>
      </c>
      <c r="N1962" s="91">
        <f t="shared" si="340"/>
        <v>985.93000000000006</v>
      </c>
      <c r="O1962" s="411">
        <f t="shared" si="339"/>
        <v>285.16999999999985</v>
      </c>
      <c r="P1962" s="132" t="s">
        <v>2895</v>
      </c>
      <c r="Q1962" s="232"/>
      <c r="R1962" s="411"/>
      <c r="T1962" s="134" t="s">
        <v>244</v>
      </c>
      <c r="U1962" s="266" t="s">
        <v>4588</v>
      </c>
      <c r="V1962" s="133" t="s">
        <v>55</v>
      </c>
      <c r="W1962" s="153" t="s">
        <v>4589</v>
      </c>
      <c r="AA1962" s="218"/>
    </row>
    <row r="1963" spans="1:27" x14ac:dyDescent="0.25">
      <c r="A1963" s="419">
        <v>3001470</v>
      </c>
      <c r="B1963" s="421">
        <v>42460</v>
      </c>
      <c r="C1963" s="419" t="s">
        <v>56</v>
      </c>
      <c r="D1963" s="417" t="s">
        <v>1303</v>
      </c>
      <c r="E1963" s="120">
        <v>4000</v>
      </c>
      <c r="F1963" s="133" t="s">
        <v>4590</v>
      </c>
      <c r="G1963" s="434" t="s">
        <v>45</v>
      </c>
      <c r="H1963" s="427">
        <v>6310.61</v>
      </c>
      <c r="I1963" s="427">
        <v>0</v>
      </c>
      <c r="J1963" s="427">
        <v>0</v>
      </c>
      <c r="K1963" s="425">
        <f t="shared" si="348"/>
        <v>6310.61</v>
      </c>
      <c r="L1963" s="187">
        <v>499</v>
      </c>
      <c r="M1963" s="187">
        <v>163.44999999999999</v>
      </c>
      <c r="N1963" s="91">
        <f t="shared" si="340"/>
        <v>2159.4499999999998</v>
      </c>
      <c r="O1963" s="411">
        <f t="shared" si="339"/>
        <v>4151.16</v>
      </c>
      <c r="P1963" s="132" t="s">
        <v>1793</v>
      </c>
      <c r="Q1963" s="232"/>
      <c r="R1963" s="411"/>
      <c r="T1963" s="134" t="s">
        <v>89</v>
      </c>
      <c r="U1963" s="267" t="s">
        <v>4591</v>
      </c>
      <c r="V1963" s="133" t="s">
        <v>4592</v>
      </c>
      <c r="W1963" s="153" t="s">
        <v>1796</v>
      </c>
      <c r="AA1963" s="218"/>
    </row>
    <row r="1964" spans="1:27" x14ac:dyDescent="0.25">
      <c r="A1964" s="432"/>
      <c r="B1964" s="433"/>
      <c r="C1964" s="432"/>
      <c r="D1964" s="454"/>
      <c r="E1964" s="120">
        <v>1000</v>
      </c>
      <c r="F1964" s="133" t="s">
        <v>4593</v>
      </c>
      <c r="G1964" s="435"/>
      <c r="H1964" s="438"/>
      <c r="I1964" s="438"/>
      <c r="J1964" s="438"/>
      <c r="K1964" s="437"/>
      <c r="L1964" s="187">
        <v>455.31</v>
      </c>
      <c r="M1964" s="187">
        <v>125.45</v>
      </c>
      <c r="N1964" s="91">
        <f t="shared" si="340"/>
        <v>580.76</v>
      </c>
      <c r="O1964" s="411">
        <f t="shared" si="339"/>
        <v>-580.76</v>
      </c>
      <c r="P1964" s="132" t="s">
        <v>46</v>
      </c>
      <c r="Q1964" s="232"/>
      <c r="R1964" s="411"/>
      <c r="T1964" s="439" t="s">
        <v>47</v>
      </c>
      <c r="U1964" s="446" t="s">
        <v>4594</v>
      </c>
      <c r="V1964" s="133" t="s">
        <v>4595</v>
      </c>
      <c r="AA1964" s="218"/>
    </row>
    <row r="1965" spans="1:27" ht="21" customHeight="1" x14ac:dyDescent="0.25">
      <c r="A1965" s="432"/>
      <c r="B1965" s="433"/>
      <c r="C1965" s="432"/>
      <c r="D1965" s="454"/>
      <c r="E1965" s="120">
        <v>750</v>
      </c>
      <c r="F1965" s="133" t="s">
        <v>2634</v>
      </c>
      <c r="G1965" s="435"/>
      <c r="H1965" s="438"/>
      <c r="I1965" s="438"/>
      <c r="J1965" s="438"/>
      <c r="K1965" s="437"/>
      <c r="L1965" s="187">
        <v>1491.18</v>
      </c>
      <c r="M1965" s="187"/>
      <c r="N1965" s="91">
        <f t="shared" si="340"/>
        <v>1118.385</v>
      </c>
      <c r="O1965" s="411">
        <f t="shared" si="339"/>
        <v>-1118.385</v>
      </c>
      <c r="P1965" s="132" t="s">
        <v>46</v>
      </c>
      <c r="Q1965" s="232"/>
      <c r="R1965" s="411"/>
      <c r="T1965" s="441"/>
      <c r="U1965" s="447"/>
      <c r="V1965" s="133" t="s">
        <v>4595</v>
      </c>
      <c r="AA1965" s="218"/>
    </row>
    <row r="1966" spans="1:27" ht="24" x14ac:dyDescent="0.25">
      <c r="A1966" s="420"/>
      <c r="B1966" s="422"/>
      <c r="C1966" s="420"/>
      <c r="D1966" s="418"/>
      <c r="E1966" s="120">
        <v>500</v>
      </c>
      <c r="F1966" s="133" t="s">
        <v>4596</v>
      </c>
      <c r="G1966" s="436"/>
      <c r="H1966" s="428"/>
      <c r="I1966" s="428"/>
      <c r="J1966" s="428"/>
      <c r="K1966" s="426"/>
      <c r="L1966" s="187">
        <v>50</v>
      </c>
      <c r="M1966" s="187">
        <v>9.73</v>
      </c>
      <c r="N1966" s="91">
        <f t="shared" si="340"/>
        <v>34.730000000000004</v>
      </c>
      <c r="O1966" s="411">
        <f t="shared" si="339"/>
        <v>-34.730000000000004</v>
      </c>
      <c r="P1966" s="132" t="s">
        <v>235</v>
      </c>
      <c r="Q1966" s="232"/>
      <c r="R1966" s="411"/>
      <c r="T1966" s="134" t="s">
        <v>145</v>
      </c>
      <c r="U1966" s="267" t="s">
        <v>4597</v>
      </c>
      <c r="V1966" s="133" t="s">
        <v>4598</v>
      </c>
      <c r="AA1966" s="218"/>
    </row>
    <row r="1967" spans="1:27" ht="24" x14ac:dyDescent="0.25">
      <c r="A1967" s="405">
        <v>3001471</v>
      </c>
      <c r="B1967" s="406">
        <v>42460</v>
      </c>
      <c r="C1967" s="405" t="s">
        <v>78</v>
      </c>
      <c r="D1967" s="401" t="s">
        <v>4599</v>
      </c>
      <c r="E1967" s="120">
        <v>160</v>
      </c>
      <c r="F1967" s="133" t="s">
        <v>227</v>
      </c>
      <c r="G1967" s="404" t="s">
        <v>45</v>
      </c>
      <c r="H1967" s="411">
        <v>150</v>
      </c>
      <c r="I1967" s="411">
        <v>0</v>
      </c>
      <c r="J1967" s="391">
        <f t="shared" ref="J1967" si="349">-((H1967*0.019)+0.3)</f>
        <v>-3.15</v>
      </c>
      <c r="K1967" s="90">
        <f t="shared" ref="K1967:K2008" si="350">SUM(H1967:J1967)</f>
        <v>146.85</v>
      </c>
      <c r="L1967" s="131">
        <v>350</v>
      </c>
      <c r="M1967" s="187">
        <v>49.41</v>
      </c>
      <c r="N1967" s="91">
        <f t="shared" si="340"/>
        <v>105.41</v>
      </c>
      <c r="O1967" s="411">
        <f t="shared" si="339"/>
        <v>41.44</v>
      </c>
      <c r="P1967" s="132" t="s">
        <v>52</v>
      </c>
      <c r="Q1967" s="232"/>
      <c r="R1967" s="411"/>
      <c r="T1967" s="134" t="s">
        <v>145</v>
      </c>
      <c r="U1967" s="267" t="s">
        <v>4600</v>
      </c>
      <c r="W1967" s="153" t="s">
        <v>4601</v>
      </c>
      <c r="AA1967" s="218"/>
    </row>
    <row r="1968" spans="1:27" ht="24" x14ac:dyDescent="0.25">
      <c r="A1968" s="405">
        <v>3001472</v>
      </c>
      <c r="B1968" s="406">
        <v>42460</v>
      </c>
      <c r="C1968" s="405" t="s">
        <v>56</v>
      </c>
      <c r="D1968" s="401" t="s">
        <v>1718</v>
      </c>
      <c r="E1968" s="120">
        <v>100</v>
      </c>
      <c r="F1968" s="133" t="s">
        <v>4602</v>
      </c>
      <c r="G1968" s="404" t="s">
        <v>45</v>
      </c>
      <c r="H1968" s="411">
        <v>599</v>
      </c>
      <c r="I1968" s="411">
        <v>0</v>
      </c>
      <c r="J1968" s="411">
        <v>0</v>
      </c>
      <c r="K1968" s="90">
        <f t="shared" si="350"/>
        <v>599</v>
      </c>
      <c r="L1968" s="187">
        <v>3300</v>
      </c>
      <c r="M1968" s="131">
        <v>0</v>
      </c>
      <c r="N1968" s="91">
        <f t="shared" si="340"/>
        <v>330</v>
      </c>
      <c r="O1968" s="411">
        <f t="shared" si="339"/>
        <v>269</v>
      </c>
      <c r="P1968" s="132" t="s">
        <v>183</v>
      </c>
      <c r="Q1968" s="232"/>
      <c r="R1968" s="411"/>
      <c r="T1968" s="134" t="s">
        <v>324</v>
      </c>
      <c r="U1968" s="267" t="s">
        <v>4603</v>
      </c>
      <c r="V1968" s="133" t="s">
        <v>4290</v>
      </c>
      <c r="AA1968" s="218"/>
    </row>
    <row r="1969" spans="1:27" ht="24" x14ac:dyDescent="0.25">
      <c r="A1969" s="405">
        <v>3001473</v>
      </c>
      <c r="B1969" s="406">
        <v>42460</v>
      </c>
      <c r="C1969" s="405" t="s">
        <v>63</v>
      </c>
      <c r="D1969" s="401" t="s">
        <v>4604</v>
      </c>
      <c r="E1969" s="120">
        <v>175</v>
      </c>
      <c r="F1969" s="133" t="s">
        <v>1273</v>
      </c>
      <c r="G1969" s="404" t="s">
        <v>45</v>
      </c>
      <c r="H1969" s="411">
        <v>189</v>
      </c>
      <c r="I1969" s="411">
        <v>0</v>
      </c>
      <c r="J1969" s="391">
        <f>-((H1969*0.022)+0.3)</f>
        <v>-4.4579999999999993</v>
      </c>
      <c r="K1969" s="90">
        <f t="shared" si="350"/>
        <v>184.542</v>
      </c>
      <c r="L1969" s="131">
        <v>616</v>
      </c>
      <c r="M1969" s="187">
        <v>35.64</v>
      </c>
      <c r="N1969" s="91">
        <f t="shared" si="340"/>
        <v>143.44</v>
      </c>
      <c r="O1969" s="411">
        <f t="shared" si="339"/>
        <v>41.102000000000004</v>
      </c>
      <c r="P1969" s="132" t="s">
        <v>52</v>
      </c>
      <c r="Q1969" s="232"/>
      <c r="R1969" s="411"/>
      <c r="T1969" s="134" t="s">
        <v>145</v>
      </c>
      <c r="U1969" s="267" t="s">
        <v>4605</v>
      </c>
      <c r="W1969" s="153" t="s">
        <v>4606</v>
      </c>
      <c r="AA1969" s="218"/>
    </row>
    <row r="1970" spans="1:27" ht="24" x14ac:dyDescent="0.25">
      <c r="A1970" s="405">
        <v>3001474</v>
      </c>
      <c r="B1970" s="406">
        <v>42460</v>
      </c>
      <c r="C1970" s="405" t="s">
        <v>42</v>
      </c>
      <c r="D1970" s="401" t="s">
        <v>4607</v>
      </c>
      <c r="E1970" s="120">
        <v>1000</v>
      </c>
      <c r="F1970" s="119" t="s">
        <v>1859</v>
      </c>
      <c r="G1970" s="404" t="s">
        <v>45</v>
      </c>
      <c r="H1970" s="411">
        <v>379.98</v>
      </c>
      <c r="I1970" s="89">
        <f t="shared" ref="I1970:I1976" si="351">-(H1970*0.09)</f>
        <v>-34.1982</v>
      </c>
      <c r="J1970" s="391">
        <f t="shared" ref="J1970:J1976" si="352">-((H1970*0.019)+0.3)</f>
        <v>-7.5196199999999997</v>
      </c>
      <c r="K1970" s="90">
        <f t="shared" si="350"/>
        <v>338.26218000000006</v>
      </c>
      <c r="L1970" s="187">
        <v>217</v>
      </c>
      <c r="M1970" s="187">
        <v>17.3</v>
      </c>
      <c r="N1970" s="91">
        <f t="shared" si="340"/>
        <v>234.3</v>
      </c>
      <c r="O1970" s="411">
        <f t="shared" si="339"/>
        <v>103.96218000000005</v>
      </c>
      <c r="P1970" s="132" t="s">
        <v>183</v>
      </c>
      <c r="Q1970" s="232"/>
      <c r="R1970" s="411">
        <v>28.15</v>
      </c>
      <c r="S1970" s="133" t="s">
        <v>4608</v>
      </c>
      <c r="T1970" s="134" t="s">
        <v>204</v>
      </c>
      <c r="U1970" s="267" t="s">
        <v>4609</v>
      </c>
      <c r="AA1970" s="218"/>
    </row>
    <row r="1971" spans="1:27" ht="24" x14ac:dyDescent="0.25">
      <c r="A1971" s="405">
        <v>3001475</v>
      </c>
      <c r="B1971" s="406">
        <v>42460</v>
      </c>
      <c r="C1971" s="405" t="s">
        <v>42</v>
      </c>
      <c r="D1971" s="401" t="s">
        <v>4610</v>
      </c>
      <c r="E1971" s="120">
        <v>100</v>
      </c>
      <c r="F1971" s="133" t="s">
        <v>85</v>
      </c>
      <c r="G1971" s="404" t="s">
        <v>45</v>
      </c>
      <c r="H1971" s="411">
        <v>223.58</v>
      </c>
      <c r="I1971" s="89">
        <f t="shared" si="351"/>
        <v>-20.122199999999999</v>
      </c>
      <c r="J1971" s="391">
        <f t="shared" si="352"/>
        <v>-4.5480200000000002</v>
      </c>
      <c r="K1971" s="90">
        <f t="shared" si="350"/>
        <v>198.90978000000001</v>
      </c>
      <c r="L1971" s="131">
        <v>1296</v>
      </c>
      <c r="M1971" s="187">
        <v>50.86</v>
      </c>
      <c r="N1971" s="91">
        <f t="shared" si="340"/>
        <v>180.45999999999998</v>
      </c>
      <c r="O1971" s="411">
        <f t="shared" si="339"/>
        <v>18.449780000000032</v>
      </c>
      <c r="P1971" s="132" t="s">
        <v>52</v>
      </c>
      <c r="Q1971" s="232"/>
      <c r="R1971" s="411"/>
      <c r="T1971" s="134" t="s">
        <v>145</v>
      </c>
      <c r="U1971" s="267" t="s">
        <v>4611</v>
      </c>
      <c r="AA1971" s="218"/>
    </row>
    <row r="1972" spans="1:27" ht="24" x14ac:dyDescent="0.25">
      <c r="A1972" s="405">
        <v>3001476</v>
      </c>
      <c r="B1972" s="406">
        <v>42460</v>
      </c>
      <c r="C1972" s="405" t="s">
        <v>42</v>
      </c>
      <c r="D1972" s="401" t="s">
        <v>4612</v>
      </c>
      <c r="E1972" s="120">
        <v>325</v>
      </c>
      <c r="F1972" s="133" t="s">
        <v>829</v>
      </c>
      <c r="G1972" s="404" t="s">
        <v>45</v>
      </c>
      <c r="H1972" s="411">
        <v>312.55</v>
      </c>
      <c r="I1972" s="89">
        <f t="shared" si="351"/>
        <v>-28.1295</v>
      </c>
      <c r="J1972" s="391">
        <f t="shared" si="352"/>
        <v>-6.2384500000000003</v>
      </c>
      <c r="K1972" s="90">
        <f t="shared" si="350"/>
        <v>278.18205</v>
      </c>
      <c r="L1972" s="131">
        <v>510</v>
      </c>
      <c r="M1972" s="187">
        <v>50.31</v>
      </c>
      <c r="N1972" s="91">
        <f t="shared" si="340"/>
        <v>216.06</v>
      </c>
      <c r="O1972" s="411">
        <f t="shared" si="339"/>
        <v>62.122050000000002</v>
      </c>
      <c r="P1972" s="132" t="s">
        <v>52</v>
      </c>
      <c r="Q1972" s="232"/>
      <c r="R1972" s="411"/>
      <c r="T1972" s="134" t="s">
        <v>145</v>
      </c>
      <c r="U1972" s="267" t="s">
        <v>4613</v>
      </c>
      <c r="AA1972" s="218"/>
    </row>
    <row r="1973" spans="1:27" ht="24" x14ac:dyDescent="0.25">
      <c r="A1973" s="405">
        <v>3001477</v>
      </c>
      <c r="B1973" s="406">
        <v>42460</v>
      </c>
      <c r="C1973" s="405" t="s">
        <v>42</v>
      </c>
      <c r="D1973" s="401" t="s">
        <v>4614</v>
      </c>
      <c r="E1973" s="120">
        <v>100</v>
      </c>
      <c r="F1973" s="133" t="s">
        <v>829</v>
      </c>
      <c r="G1973" s="404" t="s">
        <v>45</v>
      </c>
      <c r="H1973" s="411">
        <v>114</v>
      </c>
      <c r="I1973" s="89">
        <f t="shared" si="351"/>
        <v>-10.26</v>
      </c>
      <c r="J1973" s="391">
        <f t="shared" si="352"/>
        <v>-2.4659999999999997</v>
      </c>
      <c r="K1973" s="90">
        <f t="shared" si="350"/>
        <v>101.274</v>
      </c>
      <c r="L1973" s="131">
        <v>510</v>
      </c>
      <c r="M1973" s="158">
        <v>28.98</v>
      </c>
      <c r="N1973" s="91">
        <f t="shared" si="340"/>
        <v>79.98</v>
      </c>
      <c r="O1973" s="411">
        <f t="shared" si="339"/>
        <v>21.293999999999997</v>
      </c>
      <c r="P1973" s="132" t="s">
        <v>52</v>
      </c>
      <c r="Q1973" s="232"/>
      <c r="R1973" s="411"/>
      <c r="T1973" s="134" t="s">
        <v>145</v>
      </c>
      <c r="U1973" s="267" t="s">
        <v>4615</v>
      </c>
      <c r="AA1973" s="218"/>
    </row>
    <row r="1974" spans="1:27" ht="24" x14ac:dyDescent="0.25">
      <c r="A1974" s="405">
        <v>3001478</v>
      </c>
      <c r="B1974" s="406">
        <v>42460</v>
      </c>
      <c r="C1974" s="405" t="s">
        <v>42</v>
      </c>
      <c r="D1974" s="401" t="s">
        <v>4616</v>
      </c>
      <c r="E1974" s="120">
        <v>225</v>
      </c>
      <c r="F1974" s="133" t="s">
        <v>422</v>
      </c>
      <c r="G1974" s="404" t="s">
        <v>45</v>
      </c>
      <c r="H1974" s="411">
        <v>366.17</v>
      </c>
      <c r="I1974" s="89">
        <f t="shared" si="351"/>
        <v>-32.955300000000001</v>
      </c>
      <c r="J1974" s="391">
        <f t="shared" si="352"/>
        <v>-7.2572299999999998</v>
      </c>
      <c r="K1974" s="90">
        <f t="shared" si="350"/>
        <v>325.95747</v>
      </c>
      <c r="L1974" s="131">
        <v>690</v>
      </c>
      <c r="M1974" s="187">
        <v>61.56</v>
      </c>
      <c r="N1974" s="91">
        <f t="shared" si="340"/>
        <v>216.81</v>
      </c>
      <c r="O1974" s="411">
        <f t="shared" si="339"/>
        <v>109.14747</v>
      </c>
      <c r="P1974" s="132" t="s">
        <v>52</v>
      </c>
      <c r="Q1974" s="232"/>
      <c r="R1974" s="411"/>
      <c r="T1974" s="134" t="s">
        <v>145</v>
      </c>
      <c r="U1974" s="267" t="s">
        <v>4617</v>
      </c>
      <c r="AA1974" s="218"/>
    </row>
    <row r="1975" spans="1:27" ht="24" x14ac:dyDescent="0.25">
      <c r="A1975" s="405">
        <v>3001479</v>
      </c>
      <c r="B1975" s="406">
        <v>42460</v>
      </c>
      <c r="C1975" s="405" t="s">
        <v>42</v>
      </c>
      <c r="D1975" s="401" t="s">
        <v>3411</v>
      </c>
      <c r="E1975" s="120">
        <v>200</v>
      </c>
      <c r="F1975" s="133" t="s">
        <v>161</v>
      </c>
      <c r="G1975" s="404" t="s">
        <v>45</v>
      </c>
      <c r="H1975" s="411">
        <v>427.02</v>
      </c>
      <c r="I1975" s="89">
        <f t="shared" si="351"/>
        <v>-38.431799999999996</v>
      </c>
      <c r="J1975" s="391">
        <f t="shared" si="352"/>
        <v>-8.4133800000000001</v>
      </c>
      <c r="K1975" s="90">
        <f t="shared" si="350"/>
        <v>380.17481999999995</v>
      </c>
      <c r="L1975" s="131">
        <v>1322</v>
      </c>
      <c r="M1975" s="187">
        <v>52.21</v>
      </c>
      <c r="N1975" s="91">
        <f t="shared" si="340"/>
        <v>316.61</v>
      </c>
      <c r="O1975" s="411">
        <f t="shared" si="339"/>
        <v>63.564819999999941</v>
      </c>
      <c r="P1975" s="132" t="s">
        <v>52</v>
      </c>
      <c r="Q1975" s="232"/>
      <c r="R1975" s="411"/>
      <c r="T1975" s="134" t="s">
        <v>145</v>
      </c>
      <c r="U1975" s="267" t="s">
        <v>4618</v>
      </c>
      <c r="AA1975" s="218"/>
    </row>
    <row r="1976" spans="1:27" x14ac:dyDescent="0.25">
      <c r="A1976" s="405">
        <v>3001480</v>
      </c>
      <c r="B1976" s="406">
        <v>42460</v>
      </c>
      <c r="C1976" s="405" t="s">
        <v>42</v>
      </c>
      <c r="D1976" s="401" t="s">
        <v>4619</v>
      </c>
      <c r="E1976" s="120">
        <v>1000</v>
      </c>
      <c r="F1976" s="133" t="s">
        <v>451</v>
      </c>
      <c r="G1976" s="404" t="s">
        <v>45</v>
      </c>
      <c r="H1976" s="411">
        <v>600.54999999999995</v>
      </c>
      <c r="I1976" s="89">
        <f t="shared" si="351"/>
        <v>-54.049499999999995</v>
      </c>
      <c r="J1976" s="391">
        <f t="shared" si="352"/>
        <v>-11.71045</v>
      </c>
      <c r="K1976" s="90">
        <f t="shared" si="350"/>
        <v>534.79004999999995</v>
      </c>
      <c r="L1976" s="131">
        <v>300</v>
      </c>
      <c r="M1976" s="187">
        <v>91.24</v>
      </c>
      <c r="N1976" s="91">
        <f t="shared" si="340"/>
        <v>391.24</v>
      </c>
      <c r="O1976" s="411">
        <f t="shared" si="339"/>
        <v>143.55004999999994</v>
      </c>
      <c r="P1976" s="132" t="s">
        <v>52</v>
      </c>
      <c r="Q1976" s="232"/>
      <c r="R1976" s="411"/>
      <c r="T1976" s="134" t="s">
        <v>244</v>
      </c>
      <c r="U1976" s="267" t="s">
        <v>4620</v>
      </c>
      <c r="V1976" s="133" t="s">
        <v>55</v>
      </c>
      <c r="AA1976" s="218"/>
    </row>
    <row r="1977" spans="1:27" ht="24" x14ac:dyDescent="0.25">
      <c r="A1977" s="405">
        <v>3001481</v>
      </c>
      <c r="B1977" s="406">
        <v>42460</v>
      </c>
      <c r="C1977" s="405" t="s">
        <v>237</v>
      </c>
      <c r="D1977" s="401" t="s">
        <v>4621</v>
      </c>
      <c r="E1977" s="120">
        <v>50</v>
      </c>
      <c r="F1977" s="119" t="s">
        <v>4622</v>
      </c>
      <c r="G1977" s="404" t="s">
        <v>45</v>
      </c>
      <c r="H1977" s="411">
        <v>118.06</v>
      </c>
      <c r="I1977" s="397">
        <f t="shared" ref="I1977:I1982" si="353">-(H1977*0.15)</f>
        <v>-17.709</v>
      </c>
      <c r="J1977" s="411">
        <v>0</v>
      </c>
      <c r="K1977" s="90">
        <f t="shared" si="350"/>
        <v>100.351</v>
      </c>
      <c r="L1977" s="187">
        <v>1040</v>
      </c>
      <c r="M1977" s="187">
        <v>8.16</v>
      </c>
      <c r="N1977" s="91">
        <f t="shared" si="340"/>
        <v>60.16</v>
      </c>
      <c r="O1977" s="411">
        <f t="shared" si="339"/>
        <v>40.191000000000003</v>
      </c>
      <c r="P1977" s="132" t="s">
        <v>643</v>
      </c>
      <c r="Q1977" s="232"/>
      <c r="R1977" s="411"/>
      <c r="T1977" s="134" t="s">
        <v>145</v>
      </c>
      <c r="U1977" s="267" t="s">
        <v>4623</v>
      </c>
      <c r="AA1977" s="218"/>
    </row>
    <row r="1978" spans="1:27" ht="24" x14ac:dyDescent="0.25">
      <c r="A1978" s="405">
        <v>3001482</v>
      </c>
      <c r="B1978" s="406">
        <v>42460</v>
      </c>
      <c r="C1978" s="405" t="s">
        <v>237</v>
      </c>
      <c r="D1978" s="401" t="s">
        <v>4624</v>
      </c>
      <c r="E1978" s="120">
        <v>500</v>
      </c>
      <c r="F1978" s="133" t="s">
        <v>451</v>
      </c>
      <c r="G1978" s="404" t="s">
        <v>45</v>
      </c>
      <c r="H1978" s="411">
        <v>379.85</v>
      </c>
      <c r="I1978" s="397">
        <f t="shared" si="353"/>
        <v>-56.977499999999999</v>
      </c>
      <c r="J1978" s="411">
        <v>0</v>
      </c>
      <c r="K1978" s="90">
        <f t="shared" si="350"/>
        <v>322.8725</v>
      </c>
      <c r="L1978" s="131">
        <v>300</v>
      </c>
      <c r="M1978" s="187">
        <v>57.29</v>
      </c>
      <c r="N1978" s="91">
        <f t="shared" si="340"/>
        <v>207.29</v>
      </c>
      <c r="O1978" s="411">
        <f t="shared" si="339"/>
        <v>115.58250000000001</v>
      </c>
      <c r="P1978" s="132" t="s">
        <v>52</v>
      </c>
      <c r="Q1978" s="232"/>
      <c r="R1978" s="411"/>
      <c r="T1978" s="134" t="s">
        <v>145</v>
      </c>
      <c r="U1978" s="267" t="s">
        <v>4625</v>
      </c>
      <c r="AA1978" s="218"/>
    </row>
    <row r="1979" spans="1:27" ht="24" x14ac:dyDescent="0.25">
      <c r="A1979" s="405">
        <v>3001483</v>
      </c>
      <c r="B1979" s="406">
        <v>42460</v>
      </c>
      <c r="C1979" s="405" t="s">
        <v>237</v>
      </c>
      <c r="D1979" s="401" t="s">
        <v>4626</v>
      </c>
      <c r="E1979" s="120">
        <v>50</v>
      </c>
      <c r="F1979" s="133" t="s">
        <v>217</v>
      </c>
      <c r="G1979" s="404" t="s">
        <v>45</v>
      </c>
      <c r="H1979" s="411">
        <v>102.45</v>
      </c>
      <c r="I1979" s="397">
        <f t="shared" si="353"/>
        <v>-15.3675</v>
      </c>
      <c r="J1979" s="411">
        <v>0</v>
      </c>
      <c r="K1979" s="90">
        <f t="shared" si="350"/>
        <v>87.08250000000001</v>
      </c>
      <c r="L1979" s="131">
        <v>1322</v>
      </c>
      <c r="M1979" s="187">
        <v>44.16</v>
      </c>
      <c r="N1979" s="91">
        <f t="shared" si="340"/>
        <v>110.26</v>
      </c>
      <c r="O1979" s="411">
        <f t="shared" si="339"/>
        <v>-23.177499999999995</v>
      </c>
      <c r="P1979" s="132" t="s">
        <v>52</v>
      </c>
      <c r="Q1979" s="232"/>
      <c r="R1979" s="411"/>
      <c r="T1979" s="134" t="s">
        <v>145</v>
      </c>
      <c r="U1979" s="267" t="s">
        <v>4627</v>
      </c>
      <c r="AA1979" s="218"/>
    </row>
    <row r="1980" spans="1:27" ht="24" x14ac:dyDescent="0.25">
      <c r="A1980" s="405">
        <v>3001484</v>
      </c>
      <c r="B1980" s="406">
        <v>42460</v>
      </c>
      <c r="C1980" s="405" t="s">
        <v>237</v>
      </c>
      <c r="D1980" s="401" t="s">
        <v>4628</v>
      </c>
      <c r="E1980" s="120">
        <v>250</v>
      </c>
      <c r="F1980" s="133" t="s">
        <v>175</v>
      </c>
      <c r="G1980" s="404" t="s">
        <v>45</v>
      </c>
      <c r="H1980" s="411">
        <v>177.51</v>
      </c>
      <c r="I1980" s="397">
        <f t="shared" si="353"/>
        <v>-26.626499999999997</v>
      </c>
      <c r="J1980" s="411">
        <v>0</v>
      </c>
      <c r="K1980" s="90">
        <f t="shared" si="350"/>
        <v>150.8835</v>
      </c>
      <c r="L1980" s="131">
        <v>250</v>
      </c>
      <c r="M1980" s="187">
        <v>39.270000000000003</v>
      </c>
      <c r="N1980" s="91">
        <f t="shared" si="340"/>
        <v>101.77000000000001</v>
      </c>
      <c r="O1980" s="411">
        <f t="shared" si="339"/>
        <v>49.113499999999988</v>
      </c>
      <c r="P1980" s="132" t="s">
        <v>52</v>
      </c>
      <c r="Q1980" s="232"/>
      <c r="R1980" s="411"/>
      <c r="T1980" s="134" t="s">
        <v>145</v>
      </c>
      <c r="U1980" s="267" t="s">
        <v>4629</v>
      </c>
      <c r="AA1980" s="218"/>
    </row>
    <row r="1981" spans="1:27" ht="24" x14ac:dyDescent="0.25">
      <c r="A1981" s="405">
        <v>3001485</v>
      </c>
      <c r="B1981" s="406">
        <v>42460</v>
      </c>
      <c r="C1981" s="405" t="s">
        <v>237</v>
      </c>
      <c r="D1981" s="401" t="s">
        <v>4630</v>
      </c>
      <c r="E1981" s="120">
        <v>50</v>
      </c>
      <c r="F1981" s="133" t="s">
        <v>431</v>
      </c>
      <c r="G1981" s="404" t="s">
        <v>45</v>
      </c>
      <c r="H1981" s="411">
        <v>123.26</v>
      </c>
      <c r="I1981" s="397">
        <f t="shared" si="353"/>
        <v>-18.489000000000001</v>
      </c>
      <c r="J1981" s="411">
        <v>0</v>
      </c>
      <c r="K1981" s="90">
        <f t="shared" si="350"/>
        <v>104.771</v>
      </c>
      <c r="L1981" s="131">
        <v>1050</v>
      </c>
      <c r="M1981" s="187">
        <v>21.25</v>
      </c>
      <c r="N1981" s="91">
        <f t="shared" si="340"/>
        <v>73.75</v>
      </c>
      <c r="O1981" s="411">
        <f t="shared" si="339"/>
        <v>31.021000000000001</v>
      </c>
      <c r="P1981" s="132" t="s">
        <v>52</v>
      </c>
      <c r="Q1981" s="232"/>
      <c r="R1981" s="411"/>
      <c r="T1981" s="134" t="s">
        <v>145</v>
      </c>
      <c r="U1981" s="267" t="s">
        <v>4631</v>
      </c>
      <c r="AA1981" s="218"/>
    </row>
    <row r="1982" spans="1:27" x14ac:dyDescent="0.25">
      <c r="A1982" s="419">
        <v>3001486</v>
      </c>
      <c r="B1982" s="421">
        <v>42460</v>
      </c>
      <c r="C1982" s="419" t="s">
        <v>237</v>
      </c>
      <c r="D1982" s="429" t="s">
        <v>4632</v>
      </c>
      <c r="E1982" s="120">
        <v>50</v>
      </c>
      <c r="F1982" s="133" t="s">
        <v>3301</v>
      </c>
      <c r="G1982" s="434" t="s">
        <v>45</v>
      </c>
      <c r="H1982" s="427">
        <v>143.55000000000001</v>
      </c>
      <c r="I1982" s="452">
        <f t="shared" si="353"/>
        <v>-21.532500000000002</v>
      </c>
      <c r="J1982" s="427">
        <v>0</v>
      </c>
      <c r="K1982" s="425">
        <f t="shared" si="350"/>
        <v>122.01750000000001</v>
      </c>
      <c r="L1982" s="187">
        <v>715</v>
      </c>
      <c r="N1982" s="91">
        <f t="shared" si="340"/>
        <v>35.75</v>
      </c>
      <c r="O1982" s="411">
        <f t="shared" si="339"/>
        <v>86.267500000000013</v>
      </c>
      <c r="P1982" s="132" t="s">
        <v>601</v>
      </c>
      <c r="Q1982" s="232"/>
      <c r="R1982" s="411"/>
      <c r="T1982" s="439" t="s">
        <v>145</v>
      </c>
      <c r="U1982" s="446" t="s">
        <v>4633</v>
      </c>
      <c r="AA1982" s="218"/>
    </row>
    <row r="1983" spans="1:27" x14ac:dyDescent="0.25">
      <c r="A1983" s="420"/>
      <c r="B1983" s="422"/>
      <c r="C1983" s="420"/>
      <c r="D1983" s="431"/>
      <c r="E1983" s="120">
        <v>50</v>
      </c>
      <c r="F1983" s="133" t="s">
        <v>3299</v>
      </c>
      <c r="G1983" s="436"/>
      <c r="H1983" s="428"/>
      <c r="I1983" s="453"/>
      <c r="J1983" s="428"/>
      <c r="K1983" s="426"/>
      <c r="L1983" s="187">
        <v>715</v>
      </c>
      <c r="N1983" s="91">
        <f t="shared" si="340"/>
        <v>35.75</v>
      </c>
      <c r="O1983" s="411">
        <f t="shared" si="339"/>
        <v>-35.75</v>
      </c>
      <c r="P1983" s="132" t="s">
        <v>601</v>
      </c>
      <c r="Q1983" s="232"/>
      <c r="R1983" s="411"/>
      <c r="T1983" s="441"/>
      <c r="U1983" s="447"/>
      <c r="AA1983" s="218"/>
    </row>
    <row r="1984" spans="1:27" ht="24" x14ac:dyDescent="0.25">
      <c r="A1984" s="405">
        <v>3001487</v>
      </c>
      <c r="B1984" s="406">
        <v>42460</v>
      </c>
      <c r="C1984" s="405" t="s">
        <v>237</v>
      </c>
      <c r="D1984" s="401" t="s">
        <v>4634</v>
      </c>
      <c r="E1984" s="120">
        <v>50</v>
      </c>
      <c r="F1984" s="133" t="s">
        <v>1081</v>
      </c>
      <c r="G1984" s="404" t="s">
        <v>45</v>
      </c>
      <c r="H1984" s="411">
        <v>210.16</v>
      </c>
      <c r="I1984" s="397">
        <f>-(H1984*0.15)</f>
        <v>-31.523999999999997</v>
      </c>
      <c r="J1984" s="411">
        <v>0</v>
      </c>
      <c r="K1984" s="90">
        <f t="shared" si="350"/>
        <v>178.636</v>
      </c>
      <c r="L1984" s="187">
        <v>1600</v>
      </c>
      <c r="M1984" s="187">
        <v>27.36</v>
      </c>
      <c r="N1984" s="91">
        <f t="shared" si="340"/>
        <v>107.36</v>
      </c>
      <c r="O1984" s="411">
        <f t="shared" si="339"/>
        <v>71.275999999999996</v>
      </c>
      <c r="P1984" s="132" t="s">
        <v>235</v>
      </c>
      <c r="Q1984" s="232"/>
      <c r="R1984" s="411"/>
      <c r="T1984" s="134" t="s">
        <v>145</v>
      </c>
      <c r="U1984" s="267" t="s">
        <v>4635</v>
      </c>
      <c r="AA1984" s="218"/>
    </row>
    <row r="1985" spans="1:27" ht="24" x14ac:dyDescent="0.25">
      <c r="A1985" s="405">
        <v>3001488</v>
      </c>
      <c r="B1985" s="406">
        <v>42461</v>
      </c>
      <c r="C1985" s="405" t="s">
        <v>237</v>
      </c>
      <c r="D1985" s="401" t="s">
        <v>4636</v>
      </c>
      <c r="E1985" s="120">
        <v>125</v>
      </c>
      <c r="F1985" s="133" t="s">
        <v>161</v>
      </c>
      <c r="G1985" s="404" t="s">
        <v>45</v>
      </c>
      <c r="H1985" s="411">
        <v>300</v>
      </c>
      <c r="I1985" s="397">
        <f>-(H1985*0.15)</f>
        <v>-45</v>
      </c>
      <c r="J1985" s="411">
        <v>0</v>
      </c>
      <c r="K1985" s="90">
        <f t="shared" si="350"/>
        <v>255</v>
      </c>
      <c r="L1985" s="131">
        <v>1322</v>
      </c>
      <c r="M1985" s="187">
        <v>49.66</v>
      </c>
      <c r="N1985" s="91">
        <f t="shared" si="340"/>
        <v>214.91</v>
      </c>
      <c r="O1985" s="411">
        <f t="shared" si="339"/>
        <v>40.090000000000003</v>
      </c>
      <c r="P1985" s="132" t="s">
        <v>52</v>
      </c>
      <c r="Q1985" s="232"/>
      <c r="R1985" s="411"/>
      <c r="T1985" s="134" t="s">
        <v>145</v>
      </c>
      <c r="U1985" s="267" t="s">
        <v>4637</v>
      </c>
      <c r="AA1985" s="218"/>
    </row>
    <row r="1986" spans="1:27" x14ac:dyDescent="0.25">
      <c r="A1986" s="405">
        <v>3001489</v>
      </c>
      <c r="B1986" s="406">
        <v>42461</v>
      </c>
      <c r="C1986" s="405" t="s">
        <v>327</v>
      </c>
      <c r="D1986" s="401" t="s">
        <v>4638</v>
      </c>
      <c r="E1986" s="120">
        <v>4000</v>
      </c>
      <c r="F1986" s="133" t="s">
        <v>4639</v>
      </c>
      <c r="G1986" s="404" t="s">
        <v>45</v>
      </c>
      <c r="H1986" s="411">
        <v>1560</v>
      </c>
      <c r="I1986" s="411">
        <v>0</v>
      </c>
      <c r="J1986" s="391">
        <f>-((H1986*0.022)+0.3)</f>
        <v>-34.619999999999997</v>
      </c>
      <c r="K1986" s="90">
        <f t="shared" si="350"/>
        <v>1525.38</v>
      </c>
      <c r="L1986" s="187">
        <v>250</v>
      </c>
      <c r="M1986" s="187">
        <v>100</v>
      </c>
      <c r="N1986" s="91">
        <f t="shared" si="340"/>
        <v>1100</v>
      </c>
      <c r="O1986" s="411">
        <f t="shared" si="339"/>
        <v>425.38000000000011</v>
      </c>
      <c r="P1986" s="132" t="s">
        <v>235</v>
      </c>
      <c r="Q1986" s="232"/>
      <c r="R1986" s="411"/>
      <c r="T1986" s="134" t="s">
        <v>67</v>
      </c>
      <c r="U1986" s="267" t="s">
        <v>4640</v>
      </c>
      <c r="W1986" s="153" t="s">
        <v>4641</v>
      </c>
      <c r="AA1986" s="218"/>
    </row>
    <row r="1987" spans="1:27" x14ac:dyDescent="0.25">
      <c r="A1987" s="419">
        <v>3001490</v>
      </c>
      <c r="B1987" s="421">
        <v>42461</v>
      </c>
      <c r="C1987" s="419" t="s">
        <v>63</v>
      </c>
      <c r="D1987" s="417" t="s">
        <v>4642</v>
      </c>
      <c r="E1987" s="120">
        <v>1630</v>
      </c>
      <c r="F1987" s="133" t="s">
        <v>874</v>
      </c>
      <c r="G1987" s="434" t="s">
        <v>45</v>
      </c>
      <c r="H1987" s="427">
        <v>6223.5</v>
      </c>
      <c r="I1987" s="427">
        <v>0</v>
      </c>
      <c r="J1987" s="425">
        <f>-((H1987*0.022)+0.3)</f>
        <v>-137.21700000000001</v>
      </c>
      <c r="K1987" s="425">
        <f t="shared" si="350"/>
        <v>6086.2830000000004</v>
      </c>
      <c r="L1987" s="131">
        <v>1750</v>
      </c>
      <c r="M1987" s="468">
        <v>316.57</v>
      </c>
      <c r="N1987" s="91">
        <f t="shared" si="340"/>
        <v>3169.07</v>
      </c>
      <c r="O1987" s="411">
        <f t="shared" si="339"/>
        <v>2917.2130000000002</v>
      </c>
      <c r="P1987" s="132" t="s">
        <v>52</v>
      </c>
      <c r="Q1987" s="232"/>
      <c r="R1987" s="411"/>
      <c r="T1987" s="439" t="s">
        <v>503</v>
      </c>
      <c r="U1987" s="446" t="s">
        <v>4643</v>
      </c>
      <c r="V1987" s="133" t="s">
        <v>55</v>
      </c>
      <c r="W1987" s="153" t="s">
        <v>4644</v>
      </c>
      <c r="AA1987" s="218"/>
    </row>
    <row r="1988" spans="1:27" x14ac:dyDescent="0.25">
      <c r="A1988" s="420"/>
      <c r="B1988" s="422"/>
      <c r="C1988" s="420"/>
      <c r="D1988" s="418"/>
      <c r="E1988" s="120">
        <v>675</v>
      </c>
      <c r="F1988" s="133" t="s">
        <v>4645</v>
      </c>
      <c r="G1988" s="436"/>
      <c r="H1988" s="428"/>
      <c r="I1988" s="428"/>
      <c r="J1988" s="426"/>
      <c r="K1988" s="426"/>
      <c r="L1988" s="131">
        <v>850</v>
      </c>
      <c r="M1988" s="469"/>
      <c r="N1988" s="91">
        <f t="shared" si="340"/>
        <v>573.75</v>
      </c>
      <c r="O1988" s="411">
        <f t="shared" si="339"/>
        <v>-573.75</v>
      </c>
      <c r="P1988" s="132" t="s">
        <v>52</v>
      </c>
      <c r="Q1988" s="232"/>
      <c r="R1988" s="411"/>
      <c r="T1988" s="441"/>
      <c r="U1988" s="447"/>
      <c r="AA1988" s="218"/>
    </row>
    <row r="1989" spans="1:27" ht="24" x14ac:dyDescent="0.25">
      <c r="A1989" s="405">
        <v>3001491</v>
      </c>
      <c r="B1989" s="406">
        <v>42461</v>
      </c>
      <c r="C1989" s="405" t="s">
        <v>63</v>
      </c>
      <c r="D1989" s="401" t="s">
        <v>4646</v>
      </c>
      <c r="E1989" s="120">
        <v>100</v>
      </c>
      <c r="F1989" s="133" t="s">
        <v>431</v>
      </c>
      <c r="G1989" s="404" t="s">
        <v>45</v>
      </c>
      <c r="H1989" s="411">
        <v>216.11</v>
      </c>
      <c r="I1989" s="411">
        <v>0</v>
      </c>
      <c r="J1989" s="391">
        <f>-((H1989*0.022)+0.3)</f>
        <v>-5.0544199999999995</v>
      </c>
      <c r="K1989" s="90">
        <f t="shared" si="350"/>
        <v>211.05558000000002</v>
      </c>
      <c r="L1989" s="131">
        <v>1050</v>
      </c>
      <c r="M1989" s="187">
        <v>20.92</v>
      </c>
      <c r="N1989" s="91">
        <f t="shared" si="340"/>
        <v>125.92</v>
      </c>
      <c r="O1989" s="411">
        <f t="shared" si="339"/>
        <v>85.135580000000019</v>
      </c>
      <c r="P1989" s="132" t="s">
        <v>52</v>
      </c>
      <c r="Q1989" s="232"/>
      <c r="R1989" s="411"/>
      <c r="T1989" s="134" t="s">
        <v>145</v>
      </c>
      <c r="U1989" s="267" t="s">
        <v>4647</v>
      </c>
      <c r="W1989" s="153" t="s">
        <v>4648</v>
      </c>
      <c r="AA1989" s="218"/>
    </row>
    <row r="1990" spans="1:27" x14ac:dyDescent="0.25">
      <c r="A1990" s="405">
        <v>3001492</v>
      </c>
      <c r="B1990" s="406">
        <v>42461</v>
      </c>
      <c r="C1990" s="405" t="s">
        <v>63</v>
      </c>
      <c r="D1990" s="401" t="s">
        <v>4649</v>
      </c>
      <c r="E1990" s="120">
        <v>6000</v>
      </c>
      <c r="F1990" s="133" t="s">
        <v>4650</v>
      </c>
      <c r="G1990" s="404" t="s">
        <v>45</v>
      </c>
      <c r="H1990" s="411">
        <v>7290</v>
      </c>
      <c r="I1990" s="411">
        <v>0</v>
      </c>
      <c r="J1990" s="391">
        <f>-((H1990*0.022)+0.3)</f>
        <v>-160.68</v>
      </c>
      <c r="K1990" s="90">
        <f t="shared" si="350"/>
        <v>7129.32</v>
      </c>
      <c r="L1990" s="187">
        <v>941</v>
      </c>
      <c r="M1990" s="187">
        <v>483.41</v>
      </c>
      <c r="N1990" s="91">
        <f t="shared" si="340"/>
        <v>6129.41</v>
      </c>
      <c r="O1990" s="411">
        <f t="shared" si="339"/>
        <v>999.90999999999985</v>
      </c>
      <c r="P1990" s="132" t="s">
        <v>4651</v>
      </c>
      <c r="Q1990" s="232"/>
      <c r="R1990" s="411"/>
      <c r="T1990" s="134" t="s">
        <v>53</v>
      </c>
      <c r="U1990" s="267" t="s">
        <v>4652</v>
      </c>
      <c r="V1990" s="133" t="s">
        <v>55</v>
      </c>
      <c r="W1990" s="153" t="s">
        <v>4653</v>
      </c>
      <c r="AA1990" s="218"/>
    </row>
    <row r="1991" spans="1:27" x14ac:dyDescent="0.25">
      <c r="A1991" s="405">
        <v>3001493</v>
      </c>
      <c r="B1991" s="406">
        <v>42461</v>
      </c>
      <c r="C1991" s="405" t="s">
        <v>141</v>
      </c>
      <c r="D1991" s="401" t="s">
        <v>4654</v>
      </c>
      <c r="E1991" s="120">
        <v>410</v>
      </c>
      <c r="F1991" s="133" t="s">
        <v>4655</v>
      </c>
      <c r="G1991" s="404" t="s">
        <v>45</v>
      </c>
      <c r="H1991" s="411">
        <v>932.95</v>
      </c>
      <c r="I1991" s="411">
        <v>0</v>
      </c>
      <c r="J1991" s="391">
        <f>-((H1991*0.0325)+0.3)</f>
        <v>-30.620875000000002</v>
      </c>
      <c r="K1991" s="90">
        <f t="shared" si="350"/>
        <v>902.32912500000009</v>
      </c>
      <c r="L1991" s="131">
        <v>1575</v>
      </c>
      <c r="M1991" s="187">
        <v>150</v>
      </c>
      <c r="N1991" s="91">
        <f t="shared" si="340"/>
        <v>795.75</v>
      </c>
      <c r="O1991" s="411">
        <f t="shared" si="339"/>
        <v>106.57912500000009</v>
      </c>
      <c r="P1991" s="132" t="s">
        <v>52</v>
      </c>
      <c r="Q1991" s="232"/>
      <c r="R1991" s="411">
        <v>76.06</v>
      </c>
      <c r="S1991" s="133" t="s">
        <v>4656</v>
      </c>
      <c r="T1991" s="134" t="s">
        <v>760</v>
      </c>
      <c r="U1991" s="267" t="s">
        <v>4657</v>
      </c>
      <c r="W1991" s="153" t="s">
        <v>4658</v>
      </c>
      <c r="AA1991" s="218"/>
    </row>
    <row r="1992" spans="1:27" ht="24" x14ac:dyDescent="0.25">
      <c r="A1992" s="405">
        <v>3001494</v>
      </c>
      <c r="B1992" s="406">
        <v>42461</v>
      </c>
      <c r="C1992" s="405" t="s">
        <v>42</v>
      </c>
      <c r="D1992" s="401" t="s">
        <v>1701</v>
      </c>
      <c r="E1992" s="120">
        <v>500</v>
      </c>
      <c r="F1992" s="133" t="s">
        <v>451</v>
      </c>
      <c r="G1992" s="404" t="s">
        <v>45</v>
      </c>
      <c r="H1992" s="411">
        <v>295</v>
      </c>
      <c r="I1992" s="89">
        <f t="shared" ref="I1992:I1998" si="354">-(H1992*0.09)</f>
        <v>-26.55</v>
      </c>
      <c r="J1992" s="391">
        <f t="shared" ref="J1992:J1998" si="355">-((H1992*0.019)+0.3)</f>
        <v>-5.9049999999999994</v>
      </c>
      <c r="K1992" s="90">
        <f t="shared" si="350"/>
        <v>262.54500000000002</v>
      </c>
      <c r="L1992" s="131">
        <v>300</v>
      </c>
      <c r="M1992" s="187">
        <v>43.01</v>
      </c>
      <c r="N1992" s="91">
        <f t="shared" si="340"/>
        <v>193.01</v>
      </c>
      <c r="O1992" s="411">
        <f t="shared" si="339"/>
        <v>69.535000000000025</v>
      </c>
      <c r="P1992" s="132" t="s">
        <v>52</v>
      </c>
      <c r="Q1992" s="232"/>
      <c r="R1992" s="411"/>
      <c r="T1992" s="134" t="s">
        <v>145</v>
      </c>
      <c r="U1992" s="267" t="s">
        <v>4659</v>
      </c>
      <c r="AA1992" s="218"/>
    </row>
    <row r="1993" spans="1:27" ht="24" x14ac:dyDescent="0.25">
      <c r="A1993" s="405">
        <v>3001495</v>
      </c>
      <c r="B1993" s="406">
        <v>42461</v>
      </c>
      <c r="C1993" s="405" t="s">
        <v>42</v>
      </c>
      <c r="D1993" s="401" t="s">
        <v>4660</v>
      </c>
      <c r="E1993" s="120">
        <v>3000</v>
      </c>
      <c r="F1993" s="119" t="s">
        <v>4661</v>
      </c>
      <c r="G1993" s="404" t="s">
        <v>45</v>
      </c>
      <c r="H1993" s="411">
        <v>766.8</v>
      </c>
      <c r="I1993" s="89">
        <f t="shared" si="354"/>
        <v>-69.012</v>
      </c>
      <c r="J1993" s="391">
        <f t="shared" si="355"/>
        <v>-14.869199999999999</v>
      </c>
      <c r="K1993" s="90">
        <f t="shared" si="350"/>
        <v>682.91880000000003</v>
      </c>
      <c r="L1993" s="187">
        <v>142</v>
      </c>
      <c r="M1993" s="187">
        <v>115</v>
      </c>
      <c r="N1993" s="91">
        <f t="shared" si="340"/>
        <v>541</v>
      </c>
      <c r="O1993" s="411">
        <f t="shared" ref="O1993:O2056" si="356">K1993-N1993</f>
        <v>141.91880000000003</v>
      </c>
      <c r="P1993" s="132" t="s">
        <v>183</v>
      </c>
      <c r="Q1993" s="232"/>
      <c r="R1993" s="411"/>
      <c r="T1993" s="134" t="s">
        <v>473</v>
      </c>
      <c r="U1993" s="267" t="s">
        <v>4662</v>
      </c>
      <c r="AA1993" s="218"/>
    </row>
    <row r="1994" spans="1:27" ht="24" x14ac:dyDescent="0.25">
      <c r="A1994" s="405">
        <v>3001496</v>
      </c>
      <c r="B1994" s="406">
        <v>42461</v>
      </c>
      <c r="C1994" s="405" t="s">
        <v>42</v>
      </c>
      <c r="D1994" s="401" t="s">
        <v>3503</v>
      </c>
      <c r="E1994" s="120">
        <v>200</v>
      </c>
      <c r="F1994" s="133" t="s">
        <v>451</v>
      </c>
      <c r="G1994" s="404" t="s">
        <v>45</v>
      </c>
      <c r="H1994" s="411">
        <v>133</v>
      </c>
      <c r="I1994" s="89">
        <f t="shared" si="354"/>
        <v>-11.969999999999999</v>
      </c>
      <c r="J1994" s="391">
        <f t="shared" si="355"/>
        <v>-2.827</v>
      </c>
      <c r="K1994" s="90">
        <f t="shared" si="350"/>
        <v>118.203</v>
      </c>
      <c r="L1994" s="131">
        <v>300</v>
      </c>
      <c r="M1994" s="131">
        <v>26.51</v>
      </c>
      <c r="N1994" s="91">
        <f t="shared" si="340"/>
        <v>86.51</v>
      </c>
      <c r="O1994" s="411">
        <f t="shared" si="356"/>
        <v>31.692999999999998</v>
      </c>
      <c r="P1994" s="132" t="s">
        <v>52</v>
      </c>
      <c r="Q1994" s="232"/>
      <c r="R1994" s="411"/>
      <c r="T1994" s="134" t="s">
        <v>145</v>
      </c>
      <c r="U1994" s="267" t="s">
        <v>4663</v>
      </c>
      <c r="AA1994" s="218"/>
    </row>
    <row r="1995" spans="1:27" ht="24" x14ac:dyDescent="0.25">
      <c r="A1995" s="405">
        <v>3001497</v>
      </c>
      <c r="B1995" s="406">
        <v>42461</v>
      </c>
      <c r="C1995" s="405" t="s">
        <v>42</v>
      </c>
      <c r="D1995" s="401" t="s">
        <v>4664</v>
      </c>
      <c r="E1995" s="120">
        <v>250</v>
      </c>
      <c r="F1995" s="133" t="s">
        <v>4665</v>
      </c>
      <c r="G1995" s="404" t="s">
        <v>45</v>
      </c>
      <c r="H1995" s="411">
        <v>129.19999999999999</v>
      </c>
      <c r="I1995" s="89">
        <f t="shared" si="354"/>
        <v>-11.627999999999998</v>
      </c>
      <c r="J1995" s="391">
        <f t="shared" si="355"/>
        <v>-2.7547999999999995</v>
      </c>
      <c r="K1995" s="90">
        <f t="shared" si="350"/>
        <v>114.81719999999999</v>
      </c>
      <c r="L1995" s="131">
        <v>200</v>
      </c>
      <c r="M1995" s="187">
        <v>37.630000000000003</v>
      </c>
      <c r="N1995" s="91">
        <f t="shared" si="340"/>
        <v>87.63</v>
      </c>
      <c r="O1995" s="411">
        <f t="shared" si="356"/>
        <v>27.18719999999999</v>
      </c>
      <c r="P1995" s="132" t="s">
        <v>52</v>
      </c>
      <c r="Q1995" s="232"/>
      <c r="R1995" s="411"/>
      <c r="T1995" s="134" t="s">
        <v>145</v>
      </c>
      <c r="U1995" s="267" t="s">
        <v>4666</v>
      </c>
      <c r="AA1995" s="218"/>
    </row>
    <row r="1996" spans="1:27" ht="24" x14ac:dyDescent="0.25">
      <c r="A1996" s="405">
        <v>3001498</v>
      </c>
      <c r="B1996" s="406">
        <v>42461</v>
      </c>
      <c r="C1996" s="405" t="s">
        <v>42</v>
      </c>
      <c r="D1996" s="401" t="s">
        <v>4667</v>
      </c>
      <c r="E1996" s="120">
        <v>250</v>
      </c>
      <c r="F1996" s="133" t="s">
        <v>4668</v>
      </c>
      <c r="G1996" s="404" t="s">
        <v>45</v>
      </c>
      <c r="H1996" s="411">
        <v>209</v>
      </c>
      <c r="I1996" s="89">
        <f t="shared" si="354"/>
        <v>-18.809999999999999</v>
      </c>
      <c r="J1996" s="391">
        <f t="shared" si="355"/>
        <v>-4.2709999999999999</v>
      </c>
      <c r="K1996" s="90">
        <f t="shared" si="350"/>
        <v>185.91900000000001</v>
      </c>
      <c r="L1996" s="187">
        <v>559</v>
      </c>
      <c r="M1996" s="187">
        <v>20.309999999999999</v>
      </c>
      <c r="N1996" s="91">
        <f t="shared" si="340"/>
        <v>160.06</v>
      </c>
      <c r="O1996" s="411">
        <f t="shared" si="356"/>
        <v>25.859000000000009</v>
      </c>
      <c r="P1996" s="132" t="s">
        <v>313</v>
      </c>
      <c r="Q1996" s="232"/>
      <c r="R1996" s="411"/>
      <c r="T1996" s="134" t="s">
        <v>145</v>
      </c>
      <c r="U1996" s="267" t="s">
        <v>4669</v>
      </c>
      <c r="AA1996" s="218"/>
    </row>
    <row r="1997" spans="1:27" ht="24" x14ac:dyDescent="0.25">
      <c r="A1997" s="405">
        <v>3001499</v>
      </c>
      <c r="B1997" s="406">
        <v>42461</v>
      </c>
      <c r="C1997" s="405" t="s">
        <v>42</v>
      </c>
      <c r="D1997" s="401" t="s">
        <v>4670</v>
      </c>
      <c r="E1997" s="120">
        <v>200</v>
      </c>
      <c r="F1997" s="133" t="s">
        <v>850</v>
      </c>
      <c r="G1997" s="404" t="s">
        <v>45</v>
      </c>
      <c r="H1997" s="411">
        <v>366.7</v>
      </c>
      <c r="I1997" s="89">
        <f t="shared" si="354"/>
        <v>-33.003</v>
      </c>
      <c r="J1997" s="391">
        <f t="shared" si="355"/>
        <v>-7.2672999999999996</v>
      </c>
      <c r="K1997" s="90">
        <f t="shared" si="350"/>
        <v>326.42970000000003</v>
      </c>
      <c r="L1997" s="187">
        <v>900</v>
      </c>
      <c r="M1997" s="187">
        <v>24.72</v>
      </c>
      <c r="N1997" s="91">
        <f t="shared" si="340"/>
        <v>204.72</v>
      </c>
      <c r="O1997" s="411">
        <f t="shared" si="356"/>
        <v>121.70970000000003</v>
      </c>
      <c r="P1997" s="132" t="s">
        <v>235</v>
      </c>
      <c r="Q1997" s="232"/>
      <c r="R1997" s="411"/>
      <c r="T1997" s="134" t="s">
        <v>145</v>
      </c>
      <c r="U1997" s="267" t="s">
        <v>4671</v>
      </c>
      <c r="AA1997" s="218"/>
    </row>
    <row r="1998" spans="1:27" ht="24" x14ac:dyDescent="0.25">
      <c r="A1998" s="405">
        <v>3001500</v>
      </c>
      <c r="B1998" s="406">
        <v>42461</v>
      </c>
      <c r="C1998" s="405" t="s">
        <v>42</v>
      </c>
      <c r="D1998" s="401" t="s">
        <v>4672</v>
      </c>
      <c r="E1998" s="120">
        <v>50</v>
      </c>
      <c r="F1998" s="133" t="s">
        <v>300</v>
      </c>
      <c r="G1998" s="404" t="s">
        <v>45</v>
      </c>
      <c r="H1998" s="411">
        <v>203.08</v>
      </c>
      <c r="I1998" s="89">
        <f t="shared" si="354"/>
        <v>-18.277200000000001</v>
      </c>
      <c r="J1998" s="391">
        <f t="shared" si="355"/>
        <v>-4.1585200000000002</v>
      </c>
      <c r="K1998" s="90">
        <f t="shared" si="350"/>
        <v>180.64428000000001</v>
      </c>
      <c r="M1998" s="187">
        <v>19.670000000000002</v>
      </c>
      <c r="N1998" s="91">
        <f t="shared" si="340"/>
        <v>19.670000000000002</v>
      </c>
      <c r="O1998" s="411">
        <f t="shared" si="356"/>
        <v>160.97428000000002</v>
      </c>
      <c r="P1998" s="132" t="s">
        <v>86</v>
      </c>
      <c r="Q1998" s="232"/>
      <c r="R1998" s="411"/>
      <c r="T1998" s="134" t="s">
        <v>145</v>
      </c>
      <c r="U1998" s="267" t="s">
        <v>4673</v>
      </c>
      <c r="AA1998" s="218"/>
    </row>
    <row r="1999" spans="1:27" x14ac:dyDescent="0.25">
      <c r="A1999" s="405">
        <v>3001501</v>
      </c>
      <c r="B1999" s="406">
        <v>42461</v>
      </c>
      <c r="C1999" s="405" t="s">
        <v>63</v>
      </c>
      <c r="D1999" s="401" t="s">
        <v>4674</v>
      </c>
      <c r="E1999" s="120">
        <v>390</v>
      </c>
      <c r="F1999" s="133" t="s">
        <v>4655</v>
      </c>
      <c r="G1999" s="404" t="s">
        <v>45</v>
      </c>
      <c r="H1999" s="411">
        <v>815.1</v>
      </c>
      <c r="I1999" s="411">
        <v>0</v>
      </c>
      <c r="J1999" s="391">
        <f>-((H1999*0.022)+0.3)</f>
        <v>-18.232199999999999</v>
      </c>
      <c r="K1999" s="90">
        <f t="shared" si="350"/>
        <v>796.86779999999999</v>
      </c>
      <c r="M1999" s="187">
        <v>149.85</v>
      </c>
      <c r="N1999" s="91">
        <f t="shared" ref="N1999:N2004" si="357">((L1999)*(E1999*0.001))+M1999</f>
        <v>149.85</v>
      </c>
      <c r="O1999" s="411">
        <f t="shared" si="356"/>
        <v>647.01779999999997</v>
      </c>
      <c r="P1999" s="132" t="s">
        <v>52</v>
      </c>
      <c r="Q1999" s="232"/>
      <c r="R1999" s="411"/>
      <c r="T1999" s="134" t="s">
        <v>244</v>
      </c>
      <c r="U1999" s="267" t="s">
        <v>4675</v>
      </c>
      <c r="V1999" s="133" t="s">
        <v>55</v>
      </c>
      <c r="W1999" s="153" t="s">
        <v>4676</v>
      </c>
      <c r="AA1999" s="218"/>
    </row>
    <row r="2000" spans="1:27" ht="24" x14ac:dyDescent="0.25">
      <c r="A2000" s="405">
        <v>3001502</v>
      </c>
      <c r="B2000" s="406">
        <v>42461</v>
      </c>
      <c r="C2000" s="405" t="s">
        <v>237</v>
      </c>
      <c r="D2000" s="401" t="s">
        <v>4677</v>
      </c>
      <c r="E2000" s="120">
        <v>50</v>
      </c>
      <c r="F2000" s="133" t="s">
        <v>431</v>
      </c>
      <c r="G2000" s="404" t="s">
        <v>45</v>
      </c>
      <c r="H2000" s="411">
        <v>123.26</v>
      </c>
      <c r="I2000" s="397">
        <f>-(H2000*0.15)</f>
        <v>-18.489000000000001</v>
      </c>
      <c r="J2000" s="411">
        <v>0</v>
      </c>
      <c r="K2000" s="90">
        <f t="shared" si="350"/>
        <v>104.771</v>
      </c>
      <c r="L2000" s="131">
        <v>1050</v>
      </c>
      <c r="M2000" s="187">
        <v>20.67</v>
      </c>
      <c r="N2000" s="91">
        <f t="shared" si="357"/>
        <v>73.17</v>
      </c>
      <c r="O2000" s="411">
        <f t="shared" si="356"/>
        <v>31.600999999999999</v>
      </c>
      <c r="P2000" s="132" t="s">
        <v>52</v>
      </c>
      <c r="Q2000" s="232"/>
      <c r="R2000" s="411"/>
      <c r="T2000" s="134" t="s">
        <v>145</v>
      </c>
      <c r="U2000" s="267" t="s">
        <v>4678</v>
      </c>
      <c r="AA2000" s="218"/>
    </row>
    <row r="2001" spans="1:27" ht="24" x14ac:dyDescent="0.25">
      <c r="A2001" s="405">
        <v>3001503</v>
      </c>
      <c r="B2001" s="406">
        <v>42461</v>
      </c>
      <c r="C2001" s="405" t="s">
        <v>237</v>
      </c>
      <c r="D2001" s="401" t="s">
        <v>4679</v>
      </c>
      <c r="E2001" s="120">
        <v>100</v>
      </c>
      <c r="F2001" s="133" t="s">
        <v>300</v>
      </c>
      <c r="G2001" s="404" t="s">
        <v>45</v>
      </c>
      <c r="H2001" s="411">
        <v>346.1</v>
      </c>
      <c r="I2001" s="397">
        <f>-(H2001*0.15)</f>
        <v>-51.914999999999999</v>
      </c>
      <c r="J2001" s="411">
        <v>0</v>
      </c>
      <c r="K2001" s="90">
        <f t="shared" si="350"/>
        <v>294.185</v>
      </c>
      <c r="M2001" s="187">
        <v>45.93</v>
      </c>
      <c r="N2001" s="91">
        <f t="shared" si="357"/>
        <v>45.93</v>
      </c>
      <c r="O2001" s="411">
        <f t="shared" si="356"/>
        <v>248.255</v>
      </c>
      <c r="P2001" s="132" t="s">
        <v>86</v>
      </c>
      <c r="Q2001" s="232"/>
      <c r="R2001" s="411"/>
      <c r="T2001" s="134" t="s">
        <v>145</v>
      </c>
      <c r="U2001" s="267" t="s">
        <v>4680</v>
      </c>
      <c r="AA2001" s="218"/>
    </row>
    <row r="2002" spans="1:27" ht="24" x14ac:dyDescent="0.25">
      <c r="A2002" s="405">
        <v>3001504</v>
      </c>
      <c r="B2002" s="406">
        <v>42461</v>
      </c>
      <c r="C2002" s="405" t="s">
        <v>237</v>
      </c>
      <c r="D2002" s="401" t="s">
        <v>4681</v>
      </c>
      <c r="E2002" s="120">
        <v>250</v>
      </c>
      <c r="F2002" s="133" t="s">
        <v>292</v>
      </c>
      <c r="G2002" s="404" t="s">
        <v>45</v>
      </c>
      <c r="H2002" s="411">
        <v>200.69</v>
      </c>
      <c r="I2002" s="397">
        <f>-(H2002*0.15)</f>
        <v>-30.103499999999997</v>
      </c>
      <c r="J2002" s="411">
        <v>0</v>
      </c>
      <c r="K2002" s="90">
        <f t="shared" si="350"/>
        <v>170.5865</v>
      </c>
      <c r="L2002" s="131">
        <v>390</v>
      </c>
      <c r="M2002" s="187">
        <v>40.29</v>
      </c>
      <c r="N2002" s="91">
        <f t="shared" si="357"/>
        <v>137.79</v>
      </c>
      <c r="O2002" s="411">
        <f t="shared" si="356"/>
        <v>32.796500000000009</v>
      </c>
      <c r="P2002" s="132" t="s">
        <v>52</v>
      </c>
      <c r="Q2002" s="232"/>
      <c r="R2002" s="411"/>
      <c r="T2002" s="134" t="s">
        <v>145</v>
      </c>
      <c r="U2002" s="267" t="s">
        <v>4682</v>
      </c>
      <c r="AA2002" s="218"/>
    </row>
    <row r="2003" spans="1:27" ht="24" x14ac:dyDescent="0.25">
      <c r="A2003" s="405">
        <v>3001505</v>
      </c>
      <c r="B2003" s="406">
        <v>42461</v>
      </c>
      <c r="C2003" s="405" t="s">
        <v>237</v>
      </c>
      <c r="D2003" s="401" t="s">
        <v>4683</v>
      </c>
      <c r="E2003" s="120">
        <v>100</v>
      </c>
      <c r="F2003" s="133" t="s">
        <v>590</v>
      </c>
      <c r="G2003" s="404" t="s">
        <v>45</v>
      </c>
      <c r="H2003" s="411">
        <v>135.16</v>
      </c>
      <c r="I2003" s="397">
        <f>-(H2003*0.15)</f>
        <v>-20.273999999999997</v>
      </c>
      <c r="J2003" s="411">
        <v>0</v>
      </c>
      <c r="K2003" s="90">
        <f t="shared" si="350"/>
        <v>114.886</v>
      </c>
      <c r="L2003" s="131">
        <v>620</v>
      </c>
      <c r="M2003" s="187">
        <v>23.48</v>
      </c>
      <c r="N2003" s="91">
        <f t="shared" si="357"/>
        <v>85.48</v>
      </c>
      <c r="O2003" s="411">
        <f t="shared" si="356"/>
        <v>29.405999999999992</v>
      </c>
      <c r="P2003" s="132" t="s">
        <v>52</v>
      </c>
      <c r="Q2003" s="232"/>
      <c r="R2003" s="411"/>
      <c r="T2003" s="134" t="s">
        <v>145</v>
      </c>
      <c r="U2003" s="267" t="s">
        <v>4684</v>
      </c>
      <c r="AA2003" s="218"/>
    </row>
    <row r="2004" spans="1:27" ht="36" x14ac:dyDescent="0.25">
      <c r="A2004" s="419">
        <v>3001506</v>
      </c>
      <c r="B2004" s="421">
        <v>42461</v>
      </c>
      <c r="C2004" s="419" t="s">
        <v>237</v>
      </c>
      <c r="D2004" s="417" t="s">
        <v>4685</v>
      </c>
      <c r="E2004" s="120">
        <v>500</v>
      </c>
      <c r="F2004" s="119" t="s">
        <v>4686</v>
      </c>
      <c r="G2004" s="434" t="s">
        <v>45</v>
      </c>
      <c r="H2004" s="427">
        <v>484.1</v>
      </c>
      <c r="I2004" s="452">
        <f>-(H2004*0.15)</f>
        <v>-72.614999999999995</v>
      </c>
      <c r="J2004" s="427">
        <v>0</v>
      </c>
      <c r="K2004" s="425">
        <f t="shared" si="350"/>
        <v>411.48500000000001</v>
      </c>
      <c r="L2004" s="187">
        <v>315</v>
      </c>
      <c r="M2004" s="187">
        <v>11.22</v>
      </c>
      <c r="N2004" s="91">
        <f t="shared" si="357"/>
        <v>168.72</v>
      </c>
      <c r="O2004" s="411">
        <f t="shared" si="356"/>
        <v>242.76500000000001</v>
      </c>
      <c r="P2004" s="132" t="s">
        <v>643</v>
      </c>
      <c r="Q2004" s="232"/>
      <c r="R2004" s="411"/>
      <c r="T2004" s="470" t="s">
        <v>145</v>
      </c>
      <c r="U2004" s="267" t="s">
        <v>4687</v>
      </c>
      <c r="AA2004" s="218"/>
    </row>
    <row r="2005" spans="1:27" ht="36" x14ac:dyDescent="0.25">
      <c r="A2005" s="420"/>
      <c r="B2005" s="422"/>
      <c r="C2005" s="420"/>
      <c r="D2005" s="418"/>
      <c r="E2005" s="120">
        <v>500</v>
      </c>
      <c r="F2005" s="119" t="s">
        <v>4688</v>
      </c>
      <c r="G2005" s="436"/>
      <c r="H2005" s="428"/>
      <c r="I2005" s="453"/>
      <c r="J2005" s="428"/>
      <c r="K2005" s="426"/>
      <c r="L2005" s="187">
        <v>205</v>
      </c>
      <c r="M2005" s="187">
        <v>17.48</v>
      </c>
      <c r="N2005" s="91">
        <f>((L2005)*(E2005*0.001))+M2005</f>
        <v>119.98</v>
      </c>
      <c r="O2005" s="411">
        <f t="shared" si="356"/>
        <v>-119.98</v>
      </c>
      <c r="P2005" s="132" t="s">
        <v>643</v>
      </c>
      <c r="Q2005" s="232"/>
      <c r="R2005" s="411"/>
      <c r="T2005" s="472"/>
      <c r="U2005" s="267" t="s">
        <v>4689</v>
      </c>
      <c r="AA2005" s="218"/>
    </row>
    <row r="2006" spans="1:27" ht="24" x14ac:dyDescent="0.25">
      <c r="A2006" s="405">
        <v>3001507</v>
      </c>
      <c r="B2006" s="406">
        <v>42461</v>
      </c>
      <c r="C2006" s="405" t="s">
        <v>237</v>
      </c>
      <c r="D2006" s="401" t="s">
        <v>3880</v>
      </c>
      <c r="E2006" s="120">
        <v>5000</v>
      </c>
      <c r="F2006" s="133" t="s">
        <v>4690</v>
      </c>
      <c r="G2006" s="404" t="s">
        <v>45</v>
      </c>
      <c r="H2006" s="411">
        <v>466.5</v>
      </c>
      <c r="I2006" s="397">
        <f>-(H2006*0.15)</f>
        <v>-69.974999999999994</v>
      </c>
      <c r="J2006" s="411">
        <v>0</v>
      </c>
      <c r="K2006" s="90">
        <f t="shared" si="350"/>
        <v>396.52499999999998</v>
      </c>
      <c r="L2006" s="131">
        <v>38</v>
      </c>
      <c r="M2006" s="187">
        <v>55.7</v>
      </c>
      <c r="N2006" s="91">
        <f>((L2006)*(E2006*0.001))+M2006</f>
        <v>245.7</v>
      </c>
      <c r="O2006" s="411">
        <f t="shared" si="356"/>
        <v>150.82499999999999</v>
      </c>
      <c r="P2006" s="132" t="s">
        <v>52</v>
      </c>
      <c r="Q2006" s="232"/>
      <c r="R2006" s="411"/>
      <c r="T2006" s="134" t="s">
        <v>145</v>
      </c>
      <c r="U2006" s="266" t="s">
        <v>4691</v>
      </c>
      <c r="AA2006" s="218"/>
    </row>
    <row r="2007" spans="1:27" ht="24" x14ac:dyDescent="0.25">
      <c r="A2007" s="405">
        <v>3001508</v>
      </c>
      <c r="B2007" s="406">
        <v>42461</v>
      </c>
      <c r="C2007" s="405" t="s">
        <v>327</v>
      </c>
      <c r="D2007" s="401" t="s">
        <v>4323</v>
      </c>
      <c r="E2007" s="120">
        <v>140</v>
      </c>
      <c r="F2007" s="133" t="s">
        <v>4326</v>
      </c>
      <c r="G2007" s="404" t="s">
        <v>45</v>
      </c>
      <c r="H2007" s="411">
        <v>539</v>
      </c>
      <c r="I2007" s="411">
        <v>0</v>
      </c>
      <c r="J2007" s="391">
        <f>-((H2007*0.022)+0.3)</f>
        <v>-12.157999999999999</v>
      </c>
      <c r="K2007" s="90">
        <f t="shared" si="350"/>
        <v>526.84199999999998</v>
      </c>
      <c r="L2007" s="187">
        <v>2850</v>
      </c>
      <c r="M2007" s="187">
        <v>62.79</v>
      </c>
      <c r="N2007" s="91">
        <f>((L2007)*(E2007*0.001))+M2007</f>
        <v>461.79000000000008</v>
      </c>
      <c r="O2007" s="411">
        <f t="shared" si="356"/>
        <v>65.051999999999907</v>
      </c>
      <c r="P2007" s="132" t="s">
        <v>235</v>
      </c>
      <c r="Q2007" s="232"/>
      <c r="R2007" s="411"/>
      <c r="T2007" s="134" t="s">
        <v>145</v>
      </c>
      <c r="U2007" s="267" t="s">
        <v>4692</v>
      </c>
      <c r="V2007" s="133" t="s">
        <v>4693</v>
      </c>
      <c r="W2007" s="153" t="s">
        <v>4325</v>
      </c>
      <c r="AA2007" s="218"/>
    </row>
    <row r="2008" spans="1:27" ht="24" x14ac:dyDescent="0.25">
      <c r="A2008" s="419">
        <v>3001509</v>
      </c>
      <c r="B2008" s="421">
        <v>42461</v>
      </c>
      <c r="C2008" s="419" t="s">
        <v>56</v>
      </c>
      <c r="D2008" s="417" t="s">
        <v>778</v>
      </c>
      <c r="E2008" s="120">
        <v>984</v>
      </c>
      <c r="F2008" s="119" t="s">
        <v>4694</v>
      </c>
      <c r="G2008" s="460" t="s">
        <v>45</v>
      </c>
      <c r="H2008" s="427">
        <v>44602.47</v>
      </c>
      <c r="I2008" s="427">
        <v>0</v>
      </c>
      <c r="J2008" s="427">
        <v>0</v>
      </c>
      <c r="K2008" s="425">
        <f t="shared" si="350"/>
        <v>44602.47</v>
      </c>
      <c r="L2008" s="131">
        <v>3116.47</v>
      </c>
      <c r="M2008" s="131" t="s">
        <v>4695</v>
      </c>
      <c r="N2008" s="91" t="e">
        <f t="shared" ref="N2008:N2073" si="358">((L2008)*(E2008*0.001))+M2008</f>
        <v>#VALUE!</v>
      </c>
      <c r="O2008" s="411" t="e">
        <f t="shared" si="356"/>
        <v>#VALUE!</v>
      </c>
      <c r="P2008" s="132" t="s">
        <v>46</v>
      </c>
      <c r="Q2008" s="232"/>
      <c r="R2008" s="411"/>
      <c r="T2008" s="407" t="s">
        <v>1346</v>
      </c>
      <c r="U2008" s="267" t="s">
        <v>4696</v>
      </c>
      <c r="V2008" s="133" t="s">
        <v>4697</v>
      </c>
      <c r="AA2008" s="218"/>
    </row>
    <row r="2009" spans="1:27" ht="24" x14ac:dyDescent="0.25">
      <c r="A2009" s="432"/>
      <c r="B2009" s="433"/>
      <c r="C2009" s="432"/>
      <c r="D2009" s="454"/>
      <c r="E2009" s="120">
        <v>984</v>
      </c>
      <c r="F2009" s="119" t="s">
        <v>4698</v>
      </c>
      <c r="G2009" s="461"/>
      <c r="H2009" s="438"/>
      <c r="I2009" s="438"/>
      <c r="J2009" s="438"/>
      <c r="K2009" s="437"/>
      <c r="L2009" s="187">
        <v>6659.93</v>
      </c>
      <c r="M2009" s="187">
        <v>243.58</v>
      </c>
      <c r="N2009" s="91">
        <f t="shared" si="358"/>
        <v>6796.9511199999997</v>
      </c>
      <c r="O2009" s="411">
        <f t="shared" si="356"/>
        <v>-6796.9511199999997</v>
      </c>
      <c r="P2009" s="132" t="s">
        <v>46</v>
      </c>
      <c r="Q2009" s="232"/>
      <c r="R2009" s="411"/>
      <c r="T2009" s="408" t="s">
        <v>4699</v>
      </c>
      <c r="U2009" s="267" t="s">
        <v>4700</v>
      </c>
      <c r="V2009" s="133" t="s">
        <v>4701</v>
      </c>
      <c r="AA2009" s="218"/>
    </row>
    <row r="2010" spans="1:27" ht="24" x14ac:dyDescent="0.25">
      <c r="A2010" s="432"/>
      <c r="B2010" s="433"/>
      <c r="C2010" s="432"/>
      <c r="D2010" s="454"/>
      <c r="E2010" s="120">
        <v>1640</v>
      </c>
      <c r="F2010" s="119" t="s">
        <v>4702</v>
      </c>
      <c r="G2010" s="461"/>
      <c r="H2010" s="438"/>
      <c r="I2010" s="438"/>
      <c r="J2010" s="438"/>
      <c r="K2010" s="437"/>
      <c r="L2010" s="187">
        <v>6926.84</v>
      </c>
      <c r="M2010" s="131" t="s">
        <v>4695</v>
      </c>
      <c r="N2010" s="91" t="e">
        <f t="shared" si="358"/>
        <v>#VALUE!</v>
      </c>
      <c r="O2010" s="411" t="e">
        <f t="shared" si="356"/>
        <v>#VALUE!</v>
      </c>
      <c r="P2010" s="132" t="s">
        <v>46</v>
      </c>
      <c r="Q2010" s="232"/>
      <c r="R2010" s="411"/>
      <c r="T2010" s="409" t="s">
        <v>260</v>
      </c>
      <c r="U2010" s="267" t="s">
        <v>4703</v>
      </c>
      <c r="AA2010" s="218"/>
    </row>
    <row r="2011" spans="1:27" ht="24" x14ac:dyDescent="0.25">
      <c r="A2011" s="432"/>
      <c r="B2011" s="433"/>
      <c r="C2011" s="432"/>
      <c r="D2011" s="454"/>
      <c r="E2011" s="120">
        <v>984</v>
      </c>
      <c r="F2011" s="119" t="s">
        <v>4704</v>
      </c>
      <c r="G2011" s="461"/>
      <c r="H2011" s="438"/>
      <c r="I2011" s="438"/>
      <c r="J2011" s="438"/>
      <c r="K2011" s="437"/>
      <c r="L2011" s="187">
        <v>1100</v>
      </c>
      <c r="M2011" s="187">
        <v>178.81</v>
      </c>
      <c r="N2011" s="91">
        <f t="shared" si="358"/>
        <v>1261.21</v>
      </c>
      <c r="O2011" s="411">
        <f t="shared" si="356"/>
        <v>-1261.21</v>
      </c>
      <c r="P2011" s="132" t="s">
        <v>313</v>
      </c>
      <c r="Q2011" s="232"/>
      <c r="R2011" s="411"/>
      <c r="T2011" s="134" t="s">
        <v>244</v>
      </c>
      <c r="U2011" s="267" t="s">
        <v>4705</v>
      </c>
      <c r="V2011" s="133" t="s">
        <v>4706</v>
      </c>
      <c r="AA2011" s="218"/>
    </row>
    <row r="2012" spans="1:27" ht="24" x14ac:dyDescent="0.25">
      <c r="A2012" s="432"/>
      <c r="B2012" s="433"/>
      <c r="C2012" s="432"/>
      <c r="D2012" s="454"/>
      <c r="E2012" s="120">
        <v>11179</v>
      </c>
      <c r="F2012" s="119" t="s">
        <v>4707</v>
      </c>
      <c r="G2012" s="461"/>
      <c r="H2012" s="438"/>
      <c r="I2012" s="438"/>
      <c r="J2012" s="438"/>
      <c r="K2012" s="437"/>
      <c r="L2012" s="187">
        <v>578</v>
      </c>
      <c r="M2012" s="549">
        <v>1272.92</v>
      </c>
      <c r="N2012" s="91">
        <f t="shared" si="358"/>
        <v>7734.3820000000005</v>
      </c>
      <c r="O2012" s="411">
        <f t="shared" si="356"/>
        <v>-7734.3820000000005</v>
      </c>
      <c r="P2012" s="204" t="s">
        <v>2816</v>
      </c>
      <c r="Q2012" s="232"/>
      <c r="R2012" s="411"/>
      <c r="T2012" s="439" t="s">
        <v>53</v>
      </c>
      <c r="U2012" s="446" t="s">
        <v>4708</v>
      </c>
      <c r="V2012" s="133" t="s">
        <v>4709</v>
      </c>
      <c r="AA2012" s="218"/>
    </row>
    <row r="2013" spans="1:27" ht="24" x14ac:dyDescent="0.25">
      <c r="A2013" s="432"/>
      <c r="B2013" s="433"/>
      <c r="C2013" s="432"/>
      <c r="D2013" s="454"/>
      <c r="E2013" s="120">
        <v>4940</v>
      </c>
      <c r="F2013" s="119" t="s">
        <v>4710</v>
      </c>
      <c r="G2013" s="461"/>
      <c r="H2013" s="438"/>
      <c r="I2013" s="438"/>
      <c r="J2013" s="438"/>
      <c r="K2013" s="437"/>
      <c r="L2013" s="187">
        <v>460</v>
      </c>
      <c r="M2013" s="558"/>
      <c r="N2013" s="91">
        <f t="shared" si="358"/>
        <v>2272.4</v>
      </c>
      <c r="O2013" s="411">
        <f t="shared" si="356"/>
        <v>-2272.4</v>
      </c>
      <c r="P2013" s="204" t="s">
        <v>2816</v>
      </c>
      <c r="Q2013" s="232"/>
      <c r="R2013" s="411"/>
      <c r="T2013" s="440"/>
      <c r="U2013" s="448"/>
      <c r="V2013" s="133" t="s">
        <v>4711</v>
      </c>
      <c r="AA2013" s="218"/>
    </row>
    <row r="2014" spans="1:27" ht="24" x14ac:dyDescent="0.25">
      <c r="A2014" s="420"/>
      <c r="B2014" s="422"/>
      <c r="C2014" s="420"/>
      <c r="D2014" s="418"/>
      <c r="E2014" s="120">
        <v>6850</v>
      </c>
      <c r="F2014" s="176" t="s">
        <v>4712</v>
      </c>
      <c r="G2014" s="462"/>
      <c r="H2014" s="428"/>
      <c r="I2014" s="428"/>
      <c r="J2014" s="428"/>
      <c r="K2014" s="426"/>
      <c r="L2014" s="187">
        <v>351</v>
      </c>
      <c r="M2014" s="550"/>
      <c r="N2014" s="91">
        <f t="shared" si="358"/>
        <v>2404.3500000000004</v>
      </c>
      <c r="O2014" s="411">
        <f t="shared" si="356"/>
        <v>-2404.3500000000004</v>
      </c>
      <c r="P2014" s="132" t="s">
        <v>2816</v>
      </c>
      <c r="Q2014" s="232"/>
      <c r="R2014" s="411"/>
      <c r="T2014" s="441"/>
      <c r="U2014" s="447"/>
      <c r="V2014" s="133" t="s">
        <v>4711</v>
      </c>
      <c r="AA2014" s="218"/>
    </row>
    <row r="2015" spans="1:27" ht="24" x14ac:dyDescent="0.25">
      <c r="A2015" s="405">
        <v>3001510</v>
      </c>
      <c r="B2015" s="406">
        <v>42464</v>
      </c>
      <c r="C2015" s="405" t="s">
        <v>42</v>
      </c>
      <c r="D2015" s="401" t="s">
        <v>4713</v>
      </c>
      <c r="E2015" s="120">
        <v>50</v>
      </c>
      <c r="F2015" s="133" t="s">
        <v>1507</v>
      </c>
      <c r="G2015" s="404" t="s">
        <v>45</v>
      </c>
      <c r="H2015" s="411">
        <v>161.69999999999999</v>
      </c>
      <c r="I2015" s="89">
        <f t="shared" ref="I2015:I2017" si="359">-(H2015*0.09)</f>
        <v>-14.552999999999999</v>
      </c>
      <c r="J2015" s="391">
        <f t="shared" ref="J2015:J2019" si="360">-((H2015*0.019)+0.3)</f>
        <v>-3.3722999999999996</v>
      </c>
      <c r="K2015" s="90">
        <f t="shared" ref="K2015:K2057" si="361">SUM(H2015:J2015)</f>
        <v>143.7747</v>
      </c>
      <c r="L2015" s="187">
        <v>2250</v>
      </c>
      <c r="M2015" s="131">
        <v>32.35</v>
      </c>
      <c r="N2015" s="91">
        <f t="shared" si="358"/>
        <v>144.85</v>
      </c>
      <c r="O2015" s="411">
        <f t="shared" si="356"/>
        <v>-1.0752999999999986</v>
      </c>
      <c r="P2015" s="132" t="s">
        <v>601</v>
      </c>
      <c r="Q2015" s="232"/>
      <c r="R2015" s="411"/>
      <c r="T2015" s="134" t="s">
        <v>145</v>
      </c>
      <c r="U2015" s="267" t="s">
        <v>4714</v>
      </c>
      <c r="AA2015" s="218"/>
    </row>
    <row r="2016" spans="1:27" ht="24" x14ac:dyDescent="0.25">
      <c r="A2016" s="405">
        <v>3001511</v>
      </c>
      <c r="B2016" s="406">
        <v>42464</v>
      </c>
      <c r="C2016" s="405" t="s">
        <v>42</v>
      </c>
      <c r="D2016" s="401" t="s">
        <v>4715</v>
      </c>
      <c r="E2016" s="120">
        <v>50</v>
      </c>
      <c r="F2016" s="133" t="s">
        <v>161</v>
      </c>
      <c r="G2016" s="404" t="s">
        <v>45</v>
      </c>
      <c r="H2016" s="411">
        <v>145.06</v>
      </c>
      <c r="I2016" s="89">
        <f t="shared" si="359"/>
        <v>-13.055400000000001</v>
      </c>
      <c r="J2016" s="391">
        <f t="shared" si="360"/>
        <v>-3.0561399999999996</v>
      </c>
      <c r="K2016" s="90">
        <f t="shared" si="361"/>
        <v>128.94846000000001</v>
      </c>
      <c r="L2016" s="131">
        <v>1322</v>
      </c>
      <c r="M2016" s="187">
        <v>29.15</v>
      </c>
      <c r="N2016" s="91">
        <f t="shared" si="358"/>
        <v>95.25</v>
      </c>
      <c r="O2016" s="411">
        <f t="shared" si="356"/>
        <v>33.698460000000011</v>
      </c>
      <c r="P2016" s="132" t="s">
        <v>52</v>
      </c>
      <c r="Q2016" s="232"/>
      <c r="R2016" s="411"/>
      <c r="T2016" s="134" t="s">
        <v>145</v>
      </c>
      <c r="U2016" s="267" t="s">
        <v>4716</v>
      </c>
      <c r="AA2016" s="218"/>
    </row>
    <row r="2017" spans="1:27" ht="24" x14ac:dyDescent="0.25">
      <c r="A2017" s="405">
        <v>3001512</v>
      </c>
      <c r="B2017" s="406">
        <v>42464</v>
      </c>
      <c r="C2017" s="405" t="s">
        <v>42</v>
      </c>
      <c r="D2017" s="401" t="s">
        <v>4717</v>
      </c>
      <c r="E2017" s="120">
        <v>175</v>
      </c>
      <c r="F2017" s="133" t="s">
        <v>247</v>
      </c>
      <c r="G2017" s="404" t="s">
        <v>45</v>
      </c>
      <c r="H2017" s="411">
        <v>227.3</v>
      </c>
      <c r="I2017" s="89">
        <f t="shared" si="359"/>
        <v>-20.457000000000001</v>
      </c>
      <c r="J2017" s="391">
        <f t="shared" si="360"/>
        <v>-4.6186999999999996</v>
      </c>
      <c r="K2017" s="90">
        <f t="shared" si="361"/>
        <v>202.22430000000003</v>
      </c>
      <c r="L2017" s="131">
        <v>480</v>
      </c>
      <c r="M2017" s="187">
        <v>38.57</v>
      </c>
      <c r="N2017" s="91">
        <f t="shared" si="358"/>
        <v>122.57000000000002</v>
      </c>
      <c r="O2017" s="411">
        <f t="shared" si="356"/>
        <v>79.654300000000006</v>
      </c>
      <c r="P2017" s="132" t="s">
        <v>86</v>
      </c>
      <c r="Q2017" s="232"/>
      <c r="R2017" s="411"/>
      <c r="T2017" s="134" t="s">
        <v>145</v>
      </c>
      <c r="U2017" s="267" t="s">
        <v>4718</v>
      </c>
      <c r="AA2017" s="218"/>
    </row>
    <row r="2018" spans="1:27" ht="24" x14ac:dyDescent="0.25">
      <c r="A2018" s="405">
        <v>3001513</v>
      </c>
      <c r="B2018" s="406">
        <v>42464</v>
      </c>
      <c r="C2018" s="405" t="s">
        <v>159</v>
      </c>
      <c r="D2018" s="401" t="s">
        <v>4719</v>
      </c>
      <c r="E2018" s="120">
        <v>125</v>
      </c>
      <c r="F2018" s="133" t="s">
        <v>1991</v>
      </c>
      <c r="G2018" s="404" t="s">
        <v>45</v>
      </c>
      <c r="H2018" s="411">
        <v>631.25</v>
      </c>
      <c r="I2018" s="411">
        <v>0</v>
      </c>
      <c r="J2018" s="391">
        <f t="shared" si="360"/>
        <v>-12.293750000000001</v>
      </c>
      <c r="K2018" s="90">
        <f t="shared" si="361"/>
        <v>618.95624999999995</v>
      </c>
      <c r="L2018" s="187">
        <v>3350</v>
      </c>
      <c r="M2018" s="187">
        <v>65.38</v>
      </c>
      <c r="N2018" s="91">
        <f t="shared" si="358"/>
        <v>484.13</v>
      </c>
      <c r="O2018" s="411">
        <f t="shared" si="356"/>
        <v>134.82624999999996</v>
      </c>
      <c r="P2018" s="132" t="s">
        <v>183</v>
      </c>
      <c r="Q2018" s="232"/>
      <c r="R2018" s="411"/>
      <c r="T2018" s="134" t="s">
        <v>324</v>
      </c>
      <c r="U2018" s="267" t="s">
        <v>4720</v>
      </c>
      <c r="W2018" s="153" t="s">
        <v>4721</v>
      </c>
      <c r="AA2018" s="218"/>
    </row>
    <row r="2019" spans="1:27" ht="24" x14ac:dyDescent="0.25">
      <c r="A2019" s="405">
        <v>3001514</v>
      </c>
      <c r="B2019" s="406">
        <v>42464</v>
      </c>
      <c r="C2019" s="405" t="s">
        <v>78</v>
      </c>
      <c r="D2019" s="401" t="s">
        <v>4722</v>
      </c>
      <c r="E2019" s="120">
        <v>35</v>
      </c>
      <c r="F2019" s="133" t="s">
        <v>1085</v>
      </c>
      <c r="G2019" s="404" t="s">
        <v>45</v>
      </c>
      <c r="H2019" s="411">
        <v>315</v>
      </c>
      <c r="I2019" s="411">
        <v>0</v>
      </c>
      <c r="J2019" s="391">
        <f t="shared" si="360"/>
        <v>-6.2849999999999993</v>
      </c>
      <c r="K2019" s="90">
        <f t="shared" si="361"/>
        <v>308.71499999999997</v>
      </c>
      <c r="M2019" s="158">
        <v>49.85</v>
      </c>
      <c r="N2019" s="91">
        <f t="shared" si="358"/>
        <v>49.85</v>
      </c>
      <c r="O2019" s="411">
        <f t="shared" si="356"/>
        <v>258.86499999999995</v>
      </c>
      <c r="P2019" s="132" t="s">
        <v>52</v>
      </c>
      <c r="Q2019" s="232"/>
      <c r="R2019" s="411"/>
      <c r="T2019" s="134" t="s">
        <v>145</v>
      </c>
      <c r="U2019" s="267" t="s">
        <v>4723</v>
      </c>
      <c r="W2019" s="153" t="s">
        <v>4724</v>
      </c>
      <c r="AA2019" s="218"/>
    </row>
    <row r="2020" spans="1:27" ht="24" x14ac:dyDescent="0.25">
      <c r="A2020" s="405">
        <v>3001515</v>
      </c>
      <c r="B2020" s="406">
        <v>42464</v>
      </c>
      <c r="C2020" s="405" t="s">
        <v>63</v>
      </c>
      <c r="D2020" s="401" t="s">
        <v>4725</v>
      </c>
      <c r="E2020" s="120">
        <v>386</v>
      </c>
      <c r="F2020" s="133" t="s">
        <v>4726</v>
      </c>
      <c r="G2020" s="404" t="s">
        <v>45</v>
      </c>
      <c r="H2020" s="411">
        <v>347</v>
      </c>
      <c r="I2020" s="411">
        <v>0</v>
      </c>
      <c r="J2020" s="391">
        <f>-((H2020*0.022)+0.3)</f>
        <v>-7.9339999999999993</v>
      </c>
      <c r="K2020" s="90">
        <f t="shared" si="361"/>
        <v>339.06599999999997</v>
      </c>
      <c r="L2020" s="187">
        <v>567</v>
      </c>
      <c r="M2020" s="187">
        <v>68.7</v>
      </c>
      <c r="N2020" s="91">
        <f t="shared" si="358"/>
        <v>287.56200000000001</v>
      </c>
      <c r="O2020" s="411">
        <f t="shared" si="356"/>
        <v>51.503999999999962</v>
      </c>
      <c r="P2020" s="132" t="s">
        <v>183</v>
      </c>
      <c r="Q2020" s="232"/>
      <c r="R2020" s="411"/>
      <c r="T2020" s="134" t="s">
        <v>324</v>
      </c>
      <c r="U2020" s="267" t="s">
        <v>4727</v>
      </c>
      <c r="W2020" s="153" t="s">
        <v>4728</v>
      </c>
      <c r="AA2020" s="218"/>
    </row>
    <row r="2021" spans="1:27" ht="24" x14ac:dyDescent="0.25">
      <c r="A2021" s="405">
        <v>3001516</v>
      </c>
      <c r="B2021" s="406">
        <v>42464</v>
      </c>
      <c r="C2021" s="405" t="s">
        <v>63</v>
      </c>
      <c r="D2021" s="401" t="s">
        <v>3029</v>
      </c>
      <c r="E2021" s="120">
        <v>500</v>
      </c>
      <c r="F2021" s="133" t="s">
        <v>4729</v>
      </c>
      <c r="G2021" s="404" t="s">
        <v>45</v>
      </c>
      <c r="H2021" s="411">
        <v>295</v>
      </c>
      <c r="I2021" s="411">
        <v>0</v>
      </c>
      <c r="J2021" s="391">
        <f>-((H2021*0.022)+0.3)</f>
        <v>-6.7899999999999991</v>
      </c>
      <c r="K2021" s="90">
        <f t="shared" si="361"/>
        <v>288.20999999999998</v>
      </c>
      <c r="L2021" s="131">
        <v>300</v>
      </c>
      <c r="M2021" s="158">
        <v>39.1</v>
      </c>
      <c r="N2021" s="91">
        <f t="shared" si="358"/>
        <v>189.1</v>
      </c>
      <c r="O2021" s="411">
        <f t="shared" si="356"/>
        <v>99.109999999999985</v>
      </c>
      <c r="P2021" s="132" t="s">
        <v>52</v>
      </c>
      <c r="Q2021" s="232"/>
      <c r="R2021" s="411"/>
      <c r="T2021" s="134" t="s">
        <v>145</v>
      </c>
      <c r="U2021" s="267" t="s">
        <v>4730</v>
      </c>
      <c r="W2021" s="153" t="s">
        <v>3032</v>
      </c>
      <c r="AA2021" s="218"/>
    </row>
    <row r="2022" spans="1:27" x14ac:dyDescent="0.25">
      <c r="A2022" s="419">
        <v>3001517</v>
      </c>
      <c r="B2022" s="421">
        <v>42464</v>
      </c>
      <c r="C2022" s="419" t="s">
        <v>327</v>
      </c>
      <c r="D2022" s="417" t="s">
        <v>4731</v>
      </c>
      <c r="E2022" s="120">
        <v>100</v>
      </c>
      <c r="F2022" s="133" t="s">
        <v>784</v>
      </c>
      <c r="G2022" s="434" t="s">
        <v>45</v>
      </c>
      <c r="H2022" s="427">
        <v>1112.5</v>
      </c>
      <c r="I2022" s="427">
        <v>0</v>
      </c>
      <c r="J2022" s="425">
        <f>-((H2022*0.022)+0.3)</f>
        <v>-24.774999999999999</v>
      </c>
      <c r="K2022" s="425">
        <f t="shared" si="361"/>
        <v>1087.7249999999999</v>
      </c>
      <c r="L2022" s="131">
        <v>4250</v>
      </c>
      <c r="M2022" s="187">
        <v>129.18</v>
      </c>
      <c r="N2022" s="91">
        <f t="shared" si="358"/>
        <v>554.18000000000006</v>
      </c>
      <c r="O2022" s="411">
        <f t="shared" si="356"/>
        <v>533.54499999999985</v>
      </c>
      <c r="P2022" s="132" t="s">
        <v>52</v>
      </c>
      <c r="Q2022" s="232"/>
      <c r="R2022" s="411"/>
      <c r="T2022" s="134" t="s">
        <v>244</v>
      </c>
      <c r="U2022" s="267" t="s">
        <v>4732</v>
      </c>
      <c r="V2022" s="133" t="s">
        <v>55</v>
      </c>
      <c r="W2022" s="153" t="s">
        <v>4733</v>
      </c>
      <c r="AA2022" s="218"/>
    </row>
    <row r="2023" spans="1:27" ht="24" x14ac:dyDescent="0.25">
      <c r="A2023" s="420"/>
      <c r="B2023" s="422"/>
      <c r="C2023" s="420"/>
      <c r="D2023" s="418"/>
      <c r="E2023" s="120">
        <v>75</v>
      </c>
      <c r="F2023" s="133" t="s">
        <v>1270</v>
      </c>
      <c r="G2023" s="436"/>
      <c r="H2023" s="428"/>
      <c r="I2023" s="428"/>
      <c r="J2023" s="426"/>
      <c r="K2023" s="426"/>
      <c r="L2023" s="131">
        <v>1200</v>
      </c>
      <c r="M2023" s="158">
        <v>33.380000000000003</v>
      </c>
      <c r="N2023" s="91">
        <f t="shared" si="358"/>
        <v>123.38</v>
      </c>
      <c r="O2023" s="411">
        <f t="shared" si="356"/>
        <v>-123.38</v>
      </c>
      <c r="P2023" s="132" t="s">
        <v>86</v>
      </c>
      <c r="Q2023" s="232"/>
      <c r="R2023" s="411"/>
      <c r="T2023" s="134" t="s">
        <v>145</v>
      </c>
      <c r="U2023" s="267" t="s">
        <v>4734</v>
      </c>
      <c r="V2023" s="133" t="s">
        <v>4735</v>
      </c>
      <c r="AA2023" s="218"/>
    </row>
    <row r="2024" spans="1:27" ht="24" x14ac:dyDescent="0.25">
      <c r="A2024" s="405">
        <v>3001518</v>
      </c>
      <c r="B2024" s="406">
        <v>42464</v>
      </c>
      <c r="C2024" s="405" t="s">
        <v>42</v>
      </c>
      <c r="D2024" s="401" t="s">
        <v>4736</v>
      </c>
      <c r="E2024" s="120">
        <v>50</v>
      </c>
      <c r="F2024" s="133" t="s">
        <v>300</v>
      </c>
      <c r="G2024" s="404" t="s">
        <v>45</v>
      </c>
      <c r="H2024" s="411">
        <v>203.08</v>
      </c>
      <c r="I2024" s="89">
        <f t="shared" ref="I2024:I2037" si="362">-(H2024*0.09)</f>
        <v>-18.277200000000001</v>
      </c>
      <c r="J2024" s="391">
        <f t="shared" ref="J2024:J2037" si="363">-((H2024*0.019)+0.3)</f>
        <v>-4.1585200000000002</v>
      </c>
      <c r="K2024" s="90">
        <f t="shared" si="361"/>
        <v>180.64428000000001</v>
      </c>
      <c r="L2024" s="131">
        <v>2200</v>
      </c>
      <c r="M2024" s="158">
        <v>41.12</v>
      </c>
      <c r="N2024" s="91">
        <f t="shared" si="358"/>
        <v>151.12</v>
      </c>
      <c r="O2024" s="411">
        <f t="shared" si="356"/>
        <v>29.524280000000005</v>
      </c>
      <c r="P2024" s="132" t="s">
        <v>52</v>
      </c>
      <c r="Q2024" s="232"/>
      <c r="R2024" s="411"/>
      <c r="T2024" s="134" t="s">
        <v>145</v>
      </c>
      <c r="U2024" s="267" t="s">
        <v>4737</v>
      </c>
      <c r="AA2024" s="218"/>
    </row>
    <row r="2025" spans="1:27" ht="24" x14ac:dyDescent="0.25">
      <c r="A2025" s="405">
        <v>3001519</v>
      </c>
      <c r="B2025" s="406">
        <v>42464</v>
      </c>
      <c r="C2025" s="405" t="s">
        <v>42</v>
      </c>
      <c r="D2025" s="401" t="s">
        <v>4738</v>
      </c>
      <c r="E2025" s="120">
        <v>50</v>
      </c>
      <c r="F2025" s="133" t="s">
        <v>469</v>
      </c>
      <c r="G2025" s="404" t="s">
        <v>45</v>
      </c>
      <c r="H2025" s="411">
        <v>154.38</v>
      </c>
      <c r="I2025" s="89">
        <f t="shared" si="362"/>
        <v>-13.8942</v>
      </c>
      <c r="J2025" s="391">
        <f t="shared" si="363"/>
        <v>-3.2332199999999998</v>
      </c>
      <c r="K2025" s="90">
        <f t="shared" si="361"/>
        <v>137.25257999999999</v>
      </c>
      <c r="L2025" s="187">
        <v>2050</v>
      </c>
      <c r="M2025" s="187">
        <v>18.100000000000001</v>
      </c>
      <c r="N2025" s="91">
        <f t="shared" si="358"/>
        <v>120.6</v>
      </c>
      <c r="O2025" s="411">
        <f t="shared" si="356"/>
        <v>16.65258</v>
      </c>
      <c r="P2025" s="132" t="s">
        <v>183</v>
      </c>
      <c r="Q2025" s="232"/>
      <c r="R2025" s="411"/>
      <c r="T2025" s="134" t="s">
        <v>145</v>
      </c>
      <c r="U2025" s="267" t="s">
        <v>4739</v>
      </c>
      <c r="AA2025" s="218"/>
    </row>
    <row r="2026" spans="1:27" ht="24" x14ac:dyDescent="0.25">
      <c r="A2026" s="405">
        <v>3001520</v>
      </c>
      <c r="B2026" s="406">
        <v>42464</v>
      </c>
      <c r="C2026" s="405" t="s">
        <v>42</v>
      </c>
      <c r="D2026" s="401" t="s">
        <v>4740</v>
      </c>
      <c r="E2026" s="120">
        <v>100</v>
      </c>
      <c r="F2026" s="133" t="s">
        <v>161</v>
      </c>
      <c r="G2026" s="404" t="s">
        <v>45</v>
      </c>
      <c r="H2026" s="411">
        <v>235</v>
      </c>
      <c r="I2026" s="89">
        <f t="shared" si="362"/>
        <v>-21.15</v>
      </c>
      <c r="J2026" s="391">
        <f t="shared" si="363"/>
        <v>-4.7649999999999997</v>
      </c>
      <c r="K2026" s="90">
        <f t="shared" si="361"/>
        <v>209.08500000000001</v>
      </c>
      <c r="M2026" s="187">
        <v>23.65</v>
      </c>
      <c r="N2026" s="91">
        <f t="shared" si="358"/>
        <v>23.65</v>
      </c>
      <c r="O2026" s="411">
        <f t="shared" si="356"/>
        <v>185.435</v>
      </c>
      <c r="P2026" s="132" t="s">
        <v>52</v>
      </c>
      <c r="Q2026" s="232"/>
      <c r="R2026" s="411"/>
      <c r="T2026" s="134" t="s">
        <v>145</v>
      </c>
      <c r="U2026" s="267" t="s">
        <v>4741</v>
      </c>
      <c r="AA2026" s="218"/>
    </row>
    <row r="2027" spans="1:27" ht="24" x14ac:dyDescent="0.25">
      <c r="A2027" s="405">
        <v>3001521</v>
      </c>
      <c r="B2027" s="406">
        <v>42464</v>
      </c>
      <c r="C2027" s="405" t="s">
        <v>42</v>
      </c>
      <c r="D2027" s="401" t="s">
        <v>4742</v>
      </c>
      <c r="E2027" s="120">
        <v>50</v>
      </c>
      <c r="F2027" s="133" t="s">
        <v>277</v>
      </c>
      <c r="G2027" s="404" t="s">
        <v>45</v>
      </c>
      <c r="H2027" s="411">
        <v>335.82</v>
      </c>
      <c r="I2027" s="89">
        <f t="shared" si="362"/>
        <v>-30.223799999999997</v>
      </c>
      <c r="J2027" s="391">
        <f t="shared" si="363"/>
        <v>-6.68058</v>
      </c>
      <c r="K2027" s="90">
        <f t="shared" si="361"/>
        <v>298.91561999999999</v>
      </c>
      <c r="M2027" s="187">
        <v>42.8</v>
      </c>
      <c r="N2027" s="91">
        <f t="shared" si="358"/>
        <v>42.8</v>
      </c>
      <c r="O2027" s="411">
        <f t="shared" si="356"/>
        <v>256.11561999999998</v>
      </c>
      <c r="P2027" s="132" t="s">
        <v>52</v>
      </c>
      <c r="Q2027" s="232"/>
      <c r="R2027" s="411"/>
      <c r="T2027" s="134" t="s">
        <v>145</v>
      </c>
      <c r="U2027" s="267" t="s">
        <v>4743</v>
      </c>
      <c r="AA2027" s="218"/>
    </row>
    <row r="2028" spans="1:27" ht="24" x14ac:dyDescent="0.25">
      <c r="A2028" s="405">
        <v>3001522</v>
      </c>
      <c r="B2028" s="406">
        <v>42464</v>
      </c>
      <c r="C2028" s="405" t="s">
        <v>42</v>
      </c>
      <c r="D2028" s="401" t="s">
        <v>4744</v>
      </c>
      <c r="E2028" s="120">
        <v>250</v>
      </c>
      <c r="F2028" s="133" t="s">
        <v>1550</v>
      </c>
      <c r="G2028" s="404" t="s">
        <v>45</v>
      </c>
      <c r="H2028" s="411">
        <v>317.95</v>
      </c>
      <c r="I2028" s="89">
        <f t="shared" si="362"/>
        <v>-28.615499999999997</v>
      </c>
      <c r="J2028" s="391">
        <f t="shared" si="363"/>
        <v>-6.3410499999999992</v>
      </c>
      <c r="K2028" s="90">
        <f t="shared" si="361"/>
        <v>282.99345</v>
      </c>
      <c r="M2028" s="187">
        <v>52.39</v>
      </c>
      <c r="N2028" s="91">
        <f t="shared" si="358"/>
        <v>52.39</v>
      </c>
      <c r="O2028" s="411">
        <f t="shared" si="356"/>
        <v>230.60345000000001</v>
      </c>
      <c r="P2028" s="132" t="s">
        <v>52</v>
      </c>
      <c r="Q2028" s="232"/>
      <c r="R2028" s="411">
        <v>23.55</v>
      </c>
      <c r="S2028" s="133" t="s">
        <v>4745</v>
      </c>
      <c r="T2028" s="134" t="s">
        <v>145</v>
      </c>
      <c r="U2028" s="267" t="s">
        <v>4746</v>
      </c>
      <c r="AA2028" s="218"/>
    </row>
    <row r="2029" spans="1:27" ht="24" x14ac:dyDescent="0.25">
      <c r="A2029" s="405">
        <v>3001523</v>
      </c>
      <c r="B2029" s="406">
        <v>42464</v>
      </c>
      <c r="C2029" s="405" t="s">
        <v>42</v>
      </c>
      <c r="D2029" s="401" t="s">
        <v>4747</v>
      </c>
      <c r="E2029" s="120">
        <v>1000</v>
      </c>
      <c r="F2029" s="119" t="s">
        <v>4748</v>
      </c>
      <c r="G2029" s="404" t="s">
        <v>45</v>
      </c>
      <c r="H2029" s="411">
        <v>178.52</v>
      </c>
      <c r="I2029" s="89">
        <f t="shared" si="362"/>
        <v>-16.066800000000001</v>
      </c>
      <c r="J2029" s="391">
        <f t="shared" si="363"/>
        <v>-3.6918799999999998</v>
      </c>
      <c r="K2029" s="90">
        <f t="shared" si="361"/>
        <v>158.76132000000001</v>
      </c>
      <c r="L2029" s="187">
        <v>103</v>
      </c>
      <c r="M2029" s="187">
        <v>20.67</v>
      </c>
      <c r="N2029" s="91">
        <f t="shared" si="358"/>
        <v>123.67</v>
      </c>
      <c r="O2029" s="411">
        <f t="shared" si="356"/>
        <v>35.09132000000001</v>
      </c>
      <c r="P2029" s="132" t="s">
        <v>183</v>
      </c>
      <c r="Q2029" s="232"/>
      <c r="R2029" s="411">
        <v>13.22</v>
      </c>
      <c r="S2029" s="133" t="s">
        <v>3435</v>
      </c>
      <c r="T2029" s="134" t="s">
        <v>324</v>
      </c>
      <c r="U2029" s="267" t="s">
        <v>4749</v>
      </c>
      <c r="AA2029" s="218"/>
    </row>
    <row r="2030" spans="1:27" ht="24" x14ac:dyDescent="0.25">
      <c r="A2030" s="405">
        <v>3001524</v>
      </c>
      <c r="B2030" s="406">
        <v>42464</v>
      </c>
      <c r="C2030" s="405" t="s">
        <v>42</v>
      </c>
      <c r="D2030" s="401" t="s">
        <v>4750</v>
      </c>
      <c r="E2030" s="120">
        <v>50</v>
      </c>
      <c r="F2030" s="133" t="s">
        <v>431</v>
      </c>
      <c r="G2030" s="404" t="s">
        <v>45</v>
      </c>
      <c r="H2030" s="411">
        <v>0</v>
      </c>
      <c r="I2030" s="89">
        <f t="shared" si="362"/>
        <v>0</v>
      </c>
      <c r="J2030" s="391">
        <f t="shared" si="363"/>
        <v>-0.3</v>
      </c>
      <c r="K2030" s="90">
        <f t="shared" si="361"/>
        <v>-0.3</v>
      </c>
      <c r="L2030" s="131">
        <v>0</v>
      </c>
      <c r="N2030" s="91">
        <f t="shared" si="358"/>
        <v>0</v>
      </c>
      <c r="O2030" s="411">
        <f t="shared" si="356"/>
        <v>-0.3</v>
      </c>
      <c r="P2030" s="132" t="s">
        <v>52</v>
      </c>
      <c r="Q2030" s="232"/>
      <c r="R2030" s="411"/>
      <c r="T2030" s="134" t="s">
        <v>145</v>
      </c>
      <c r="U2030" s="267" t="s">
        <v>4751</v>
      </c>
      <c r="AA2030" s="218"/>
    </row>
    <row r="2031" spans="1:27" ht="24" x14ac:dyDescent="0.25">
      <c r="A2031" s="405">
        <v>3001525</v>
      </c>
      <c r="B2031" s="406">
        <v>42464</v>
      </c>
      <c r="C2031" s="405" t="s">
        <v>42</v>
      </c>
      <c r="D2031" s="401" t="s">
        <v>4752</v>
      </c>
      <c r="E2031" s="120">
        <v>250</v>
      </c>
      <c r="F2031" s="133" t="s">
        <v>1386</v>
      </c>
      <c r="G2031" s="404" t="s">
        <v>45</v>
      </c>
      <c r="H2031" s="411">
        <v>207.77</v>
      </c>
      <c r="I2031" s="89">
        <f t="shared" si="362"/>
        <v>-18.699300000000001</v>
      </c>
      <c r="J2031" s="391">
        <f t="shared" si="363"/>
        <v>-4.24763</v>
      </c>
      <c r="K2031" s="90">
        <f t="shared" si="361"/>
        <v>184.82307000000003</v>
      </c>
      <c r="L2031" s="187">
        <v>420</v>
      </c>
      <c r="M2031" s="187">
        <v>43.18</v>
      </c>
      <c r="N2031" s="91">
        <f t="shared" si="358"/>
        <v>148.18</v>
      </c>
      <c r="O2031" s="411">
        <f t="shared" si="356"/>
        <v>36.643070000000023</v>
      </c>
      <c r="P2031" s="132" t="s">
        <v>183</v>
      </c>
      <c r="Q2031" s="232"/>
      <c r="R2031" s="411">
        <v>15.39</v>
      </c>
      <c r="S2031" s="133" t="s">
        <v>4753</v>
      </c>
      <c r="T2031" s="134" t="s">
        <v>145</v>
      </c>
      <c r="U2031" s="267" t="s">
        <v>4754</v>
      </c>
      <c r="AA2031" s="218"/>
    </row>
    <row r="2032" spans="1:27" ht="24" x14ac:dyDescent="0.25">
      <c r="A2032" s="405">
        <v>3001526</v>
      </c>
      <c r="B2032" s="406">
        <v>42464</v>
      </c>
      <c r="C2032" s="405" t="s">
        <v>42</v>
      </c>
      <c r="D2032" s="401" t="s">
        <v>4384</v>
      </c>
      <c r="E2032" s="120">
        <v>200</v>
      </c>
      <c r="F2032" s="133" t="s">
        <v>247</v>
      </c>
      <c r="G2032" s="404" t="s">
        <v>45</v>
      </c>
      <c r="H2032" s="411">
        <v>228</v>
      </c>
      <c r="I2032" s="89">
        <f t="shared" si="362"/>
        <v>-20.52</v>
      </c>
      <c r="J2032" s="391">
        <f t="shared" si="363"/>
        <v>-4.6319999999999997</v>
      </c>
      <c r="K2032" s="90">
        <f t="shared" si="361"/>
        <v>202.84799999999998</v>
      </c>
      <c r="L2032" s="131">
        <v>480</v>
      </c>
      <c r="M2032" s="187">
        <v>40.14</v>
      </c>
      <c r="N2032" s="91">
        <f t="shared" si="358"/>
        <v>136.13999999999999</v>
      </c>
      <c r="O2032" s="411">
        <f t="shared" si="356"/>
        <v>66.707999999999998</v>
      </c>
      <c r="P2032" s="132" t="s">
        <v>86</v>
      </c>
      <c r="Q2032" s="232"/>
      <c r="R2032" s="411"/>
      <c r="T2032" s="134" t="s">
        <v>145</v>
      </c>
      <c r="U2032" s="267" t="s">
        <v>4755</v>
      </c>
      <c r="AA2032" s="218"/>
    </row>
    <row r="2033" spans="1:27" ht="24" x14ac:dyDescent="0.25">
      <c r="A2033" s="405">
        <v>3001527</v>
      </c>
      <c r="B2033" s="406">
        <v>42464</v>
      </c>
      <c r="C2033" s="405" t="s">
        <v>42</v>
      </c>
      <c r="D2033" s="401" t="s">
        <v>4756</v>
      </c>
      <c r="E2033" s="120">
        <v>70</v>
      </c>
      <c r="F2033" s="133" t="s">
        <v>247</v>
      </c>
      <c r="G2033" s="404" t="s">
        <v>45</v>
      </c>
      <c r="H2033" s="411">
        <v>79.8</v>
      </c>
      <c r="I2033" s="89">
        <f t="shared" si="362"/>
        <v>-7.1819999999999995</v>
      </c>
      <c r="J2033" s="391">
        <f t="shared" si="363"/>
        <v>-1.8162</v>
      </c>
      <c r="K2033" s="90">
        <f t="shared" si="361"/>
        <v>70.8018</v>
      </c>
      <c r="L2033" s="131">
        <v>480</v>
      </c>
      <c r="M2033" s="158">
        <v>33.74</v>
      </c>
      <c r="N2033" s="91">
        <f t="shared" si="358"/>
        <v>67.34</v>
      </c>
      <c r="O2033" s="411">
        <f t="shared" si="356"/>
        <v>3.4617999999999967</v>
      </c>
      <c r="P2033" s="132" t="s">
        <v>86</v>
      </c>
      <c r="Q2033" s="232"/>
      <c r="R2033" s="411"/>
      <c r="T2033" s="134" t="s">
        <v>145</v>
      </c>
      <c r="U2033" s="267" t="s">
        <v>4757</v>
      </c>
      <c r="AA2033" s="218"/>
    </row>
    <row r="2034" spans="1:27" x14ac:dyDescent="0.25">
      <c r="A2034" s="405">
        <v>3001528</v>
      </c>
      <c r="B2034" s="406">
        <v>42464</v>
      </c>
      <c r="C2034" s="405" t="s">
        <v>42</v>
      </c>
      <c r="D2034" s="401" t="s">
        <v>4758</v>
      </c>
      <c r="E2034" s="120">
        <v>500</v>
      </c>
      <c r="F2034" s="133" t="s">
        <v>312</v>
      </c>
      <c r="G2034" s="404" t="s">
        <v>45</v>
      </c>
      <c r="H2034" s="411">
        <v>441.75</v>
      </c>
      <c r="I2034" s="89">
        <f t="shared" si="362"/>
        <v>-39.7575</v>
      </c>
      <c r="J2034" s="391">
        <f t="shared" si="363"/>
        <v>-8.6932500000000008</v>
      </c>
      <c r="K2034" s="90">
        <f t="shared" si="361"/>
        <v>393.29925000000003</v>
      </c>
      <c r="L2034" s="187">
        <v>514</v>
      </c>
      <c r="M2034" s="187">
        <v>157.31</v>
      </c>
      <c r="N2034" s="91">
        <f t="shared" si="358"/>
        <v>414.31</v>
      </c>
      <c r="O2034" s="411">
        <f t="shared" si="356"/>
        <v>-21.010749999999973</v>
      </c>
      <c r="P2034" s="132" t="s">
        <v>3597</v>
      </c>
      <c r="Q2034" s="232"/>
      <c r="R2034" s="411"/>
      <c r="T2034" s="134" t="s">
        <v>97</v>
      </c>
      <c r="U2034" s="267" t="s">
        <v>4759</v>
      </c>
      <c r="AA2034" s="218"/>
    </row>
    <row r="2035" spans="1:27" ht="24" x14ac:dyDescent="0.25">
      <c r="A2035" s="405">
        <v>3001529</v>
      </c>
      <c r="B2035" s="406">
        <v>42464</v>
      </c>
      <c r="C2035" s="405" t="s">
        <v>42</v>
      </c>
      <c r="D2035" s="401" t="s">
        <v>4760</v>
      </c>
      <c r="E2035" s="120">
        <v>50</v>
      </c>
      <c r="F2035" s="133" t="s">
        <v>4761</v>
      </c>
      <c r="G2035" s="404" t="s">
        <v>45</v>
      </c>
      <c r="H2035" s="411">
        <v>745.75</v>
      </c>
      <c r="I2035" s="89">
        <f t="shared" si="362"/>
        <v>-67.117499999999993</v>
      </c>
      <c r="J2035" s="391">
        <f t="shared" si="363"/>
        <v>-14.469250000000001</v>
      </c>
      <c r="K2035" s="90">
        <f t="shared" si="361"/>
        <v>664.16325000000006</v>
      </c>
      <c r="L2035" s="187">
        <v>7037.86</v>
      </c>
      <c r="M2035" s="187">
        <v>88.07</v>
      </c>
      <c r="N2035" s="91">
        <f t="shared" si="358"/>
        <v>439.96300000000002</v>
      </c>
      <c r="O2035" s="411">
        <f t="shared" si="356"/>
        <v>224.20025000000004</v>
      </c>
      <c r="P2035" s="132" t="s">
        <v>46</v>
      </c>
      <c r="Q2035" s="232"/>
      <c r="R2035" s="411"/>
      <c r="T2035" s="134" t="s">
        <v>324</v>
      </c>
      <c r="U2035" s="267" t="s">
        <v>4762</v>
      </c>
      <c r="AA2035" s="218"/>
    </row>
    <row r="2036" spans="1:27" ht="24" x14ac:dyDescent="0.25">
      <c r="A2036" s="405">
        <v>3001530</v>
      </c>
      <c r="B2036" s="406">
        <v>42464</v>
      </c>
      <c r="C2036" s="405" t="s">
        <v>42</v>
      </c>
      <c r="D2036" s="401" t="s">
        <v>4448</v>
      </c>
      <c r="E2036" s="120">
        <v>250</v>
      </c>
      <c r="F2036" s="133" t="s">
        <v>1707</v>
      </c>
      <c r="G2036" s="404" t="s">
        <v>45</v>
      </c>
      <c r="H2036" s="411">
        <v>275.5</v>
      </c>
      <c r="I2036" s="89">
        <f t="shared" si="362"/>
        <v>-24.794999999999998</v>
      </c>
      <c r="J2036" s="391">
        <f t="shared" si="363"/>
        <v>-5.5344999999999995</v>
      </c>
      <c r="K2036" s="90">
        <f t="shared" si="361"/>
        <v>245.1705</v>
      </c>
      <c r="M2036" s="187">
        <v>16.48</v>
      </c>
      <c r="N2036" s="91">
        <f t="shared" si="358"/>
        <v>16.48</v>
      </c>
      <c r="O2036" s="411">
        <f t="shared" si="356"/>
        <v>228.69050000000001</v>
      </c>
      <c r="P2036" s="132" t="s">
        <v>52</v>
      </c>
      <c r="Q2036" s="232"/>
      <c r="R2036" s="411"/>
      <c r="T2036" s="134" t="s">
        <v>145</v>
      </c>
      <c r="U2036" s="267" t="s">
        <v>4763</v>
      </c>
      <c r="AA2036" s="218"/>
    </row>
    <row r="2037" spans="1:27" ht="24" x14ac:dyDescent="0.25">
      <c r="A2037" s="405">
        <v>3001531</v>
      </c>
      <c r="B2037" s="406">
        <v>42464</v>
      </c>
      <c r="C2037" s="405" t="s">
        <v>42</v>
      </c>
      <c r="D2037" s="401" t="s">
        <v>4764</v>
      </c>
      <c r="E2037" s="120">
        <v>250</v>
      </c>
      <c r="F2037" s="133" t="s">
        <v>1137</v>
      </c>
      <c r="G2037" s="404" t="s">
        <v>45</v>
      </c>
      <c r="H2037" s="411">
        <v>133</v>
      </c>
      <c r="I2037" s="89">
        <f t="shared" si="362"/>
        <v>-11.969999999999999</v>
      </c>
      <c r="J2037" s="391">
        <f t="shared" si="363"/>
        <v>-2.827</v>
      </c>
      <c r="K2037" s="90">
        <f t="shared" si="361"/>
        <v>118.203</v>
      </c>
      <c r="L2037" s="131">
        <v>220</v>
      </c>
      <c r="M2037" s="158">
        <v>18.649999999999999</v>
      </c>
      <c r="N2037" s="91">
        <f t="shared" si="358"/>
        <v>73.650000000000006</v>
      </c>
      <c r="O2037" s="411">
        <f t="shared" si="356"/>
        <v>44.552999999999997</v>
      </c>
      <c r="P2037" s="132" t="s">
        <v>52</v>
      </c>
      <c r="Q2037" s="232"/>
      <c r="R2037" s="411"/>
      <c r="T2037" s="134" t="s">
        <v>145</v>
      </c>
      <c r="U2037" s="267" t="s">
        <v>4765</v>
      </c>
      <c r="AA2037" s="218"/>
    </row>
    <row r="2038" spans="1:27" ht="24" x14ac:dyDescent="0.25">
      <c r="A2038" s="405">
        <v>3001532</v>
      </c>
      <c r="B2038" s="406">
        <v>42464</v>
      </c>
      <c r="C2038" s="405" t="s">
        <v>237</v>
      </c>
      <c r="D2038" s="401" t="s">
        <v>4766</v>
      </c>
      <c r="E2038" s="120">
        <v>150</v>
      </c>
      <c r="F2038" s="133" t="s">
        <v>4767</v>
      </c>
      <c r="G2038" s="404" t="s">
        <v>45</v>
      </c>
      <c r="H2038" s="411">
        <v>363.4</v>
      </c>
      <c r="I2038" s="397">
        <f t="shared" ref="I2038:I2046" si="364">-(H2038*0.15)</f>
        <v>-54.51</v>
      </c>
      <c r="J2038" s="411">
        <v>0</v>
      </c>
      <c r="K2038" s="90">
        <f t="shared" si="361"/>
        <v>308.89</v>
      </c>
      <c r="L2038" s="187">
        <v>1000</v>
      </c>
      <c r="M2038" s="187">
        <v>30.53</v>
      </c>
      <c r="N2038" s="91">
        <f t="shared" si="358"/>
        <v>180.53</v>
      </c>
      <c r="O2038" s="411">
        <f t="shared" si="356"/>
        <v>128.35999999999999</v>
      </c>
      <c r="P2038" s="132" t="s">
        <v>235</v>
      </c>
      <c r="Q2038" s="232"/>
      <c r="R2038" s="411"/>
      <c r="T2038" s="134" t="s">
        <v>145</v>
      </c>
      <c r="U2038" s="267" t="s">
        <v>4768</v>
      </c>
      <c r="AA2038" s="218"/>
    </row>
    <row r="2039" spans="1:27" ht="24" x14ac:dyDescent="0.25">
      <c r="A2039" s="405">
        <v>3001533</v>
      </c>
      <c r="B2039" s="406">
        <v>42464</v>
      </c>
      <c r="C2039" s="405" t="s">
        <v>237</v>
      </c>
      <c r="D2039" s="401" t="s">
        <v>4769</v>
      </c>
      <c r="E2039" s="120">
        <v>300</v>
      </c>
      <c r="F2039" s="133" t="s">
        <v>247</v>
      </c>
      <c r="G2039" s="404" t="s">
        <v>45</v>
      </c>
      <c r="H2039" s="411">
        <v>315.08999999999997</v>
      </c>
      <c r="I2039" s="397">
        <f t="shared" si="364"/>
        <v>-47.263499999999993</v>
      </c>
      <c r="J2039" s="411">
        <v>0</v>
      </c>
      <c r="K2039" s="90">
        <f t="shared" si="361"/>
        <v>267.82650000000001</v>
      </c>
      <c r="L2039" s="131">
        <v>480</v>
      </c>
      <c r="M2039" s="158">
        <v>70.45</v>
      </c>
      <c r="N2039" s="91">
        <f t="shared" si="358"/>
        <v>214.45</v>
      </c>
      <c r="O2039" s="411">
        <f t="shared" si="356"/>
        <v>53.376500000000021</v>
      </c>
      <c r="P2039" s="132" t="s">
        <v>86</v>
      </c>
      <c r="Q2039" s="232"/>
      <c r="R2039" s="411"/>
      <c r="T2039" s="134" t="s">
        <v>145</v>
      </c>
      <c r="U2039" s="267" t="s">
        <v>4770</v>
      </c>
      <c r="AA2039" s="218"/>
    </row>
    <row r="2040" spans="1:27" ht="24" x14ac:dyDescent="0.25">
      <c r="A2040" s="405">
        <v>3001534</v>
      </c>
      <c r="B2040" s="406">
        <v>42464</v>
      </c>
      <c r="C2040" s="405" t="s">
        <v>237</v>
      </c>
      <c r="D2040" s="401" t="s">
        <v>4771</v>
      </c>
      <c r="E2040" s="120">
        <v>100</v>
      </c>
      <c r="F2040" s="133" t="s">
        <v>829</v>
      </c>
      <c r="G2040" s="404" t="s">
        <v>45</v>
      </c>
      <c r="H2040" s="411">
        <v>117.38</v>
      </c>
      <c r="I2040" s="397">
        <f t="shared" si="364"/>
        <v>-17.606999999999999</v>
      </c>
      <c r="J2040" s="411">
        <v>0</v>
      </c>
      <c r="K2040" s="90">
        <f t="shared" si="361"/>
        <v>99.772999999999996</v>
      </c>
      <c r="L2040" s="131">
        <v>510</v>
      </c>
      <c r="M2040" s="158">
        <v>44.85</v>
      </c>
      <c r="N2040" s="91">
        <f t="shared" si="358"/>
        <v>95.85</v>
      </c>
      <c r="O2040" s="411">
        <f t="shared" si="356"/>
        <v>3.9230000000000018</v>
      </c>
      <c r="P2040" s="132" t="s">
        <v>52</v>
      </c>
      <c r="Q2040" s="232"/>
      <c r="R2040" s="411"/>
      <c r="T2040" s="134" t="s">
        <v>145</v>
      </c>
      <c r="U2040" s="267" t="s">
        <v>4772</v>
      </c>
      <c r="AA2040" s="218"/>
    </row>
    <row r="2041" spans="1:27" ht="24" x14ac:dyDescent="0.25">
      <c r="A2041" s="405">
        <v>3001535</v>
      </c>
      <c r="B2041" s="406">
        <v>42464</v>
      </c>
      <c r="C2041" s="405" t="s">
        <v>237</v>
      </c>
      <c r="D2041" s="401" t="s">
        <v>4773</v>
      </c>
      <c r="E2041" s="120">
        <v>50</v>
      </c>
      <c r="F2041" s="133" t="s">
        <v>161</v>
      </c>
      <c r="G2041" s="404" t="s">
        <v>45</v>
      </c>
      <c r="H2041" s="411">
        <v>102.45</v>
      </c>
      <c r="I2041" s="397">
        <f t="shared" si="364"/>
        <v>-15.3675</v>
      </c>
      <c r="J2041" s="411">
        <v>0</v>
      </c>
      <c r="K2041" s="90">
        <f t="shared" si="361"/>
        <v>87.08250000000001</v>
      </c>
      <c r="L2041" s="131">
        <v>1322</v>
      </c>
      <c r="M2041" s="158">
        <v>42.78</v>
      </c>
      <c r="N2041" s="91">
        <f t="shared" si="358"/>
        <v>108.88000000000001</v>
      </c>
      <c r="O2041" s="411">
        <f t="shared" si="356"/>
        <v>-21.797499999999999</v>
      </c>
      <c r="P2041" s="132" t="s">
        <v>52</v>
      </c>
      <c r="Q2041" s="232"/>
      <c r="R2041" s="411"/>
      <c r="T2041" s="134" t="s">
        <v>145</v>
      </c>
      <c r="U2041" s="267" t="s">
        <v>4774</v>
      </c>
      <c r="AA2041" s="218"/>
    </row>
    <row r="2042" spans="1:27" ht="24" x14ac:dyDescent="0.25">
      <c r="A2042" s="405">
        <v>3001536</v>
      </c>
      <c r="B2042" s="406">
        <v>42464</v>
      </c>
      <c r="C2042" s="405" t="s">
        <v>237</v>
      </c>
      <c r="D2042" s="401" t="s">
        <v>4775</v>
      </c>
      <c r="E2042" s="120">
        <v>100</v>
      </c>
      <c r="F2042" s="133" t="s">
        <v>829</v>
      </c>
      <c r="G2042" s="404" t="s">
        <v>45</v>
      </c>
      <c r="H2042" s="411">
        <v>117.38</v>
      </c>
      <c r="I2042" s="397">
        <f t="shared" si="364"/>
        <v>-17.606999999999999</v>
      </c>
      <c r="J2042" s="411">
        <v>0</v>
      </c>
      <c r="K2042" s="90">
        <f t="shared" si="361"/>
        <v>99.772999999999996</v>
      </c>
      <c r="L2042" s="131">
        <v>510</v>
      </c>
      <c r="M2042" s="187">
        <v>37.99</v>
      </c>
      <c r="N2042" s="91">
        <f t="shared" si="358"/>
        <v>88.990000000000009</v>
      </c>
      <c r="O2042" s="411">
        <f t="shared" si="356"/>
        <v>10.782999999999987</v>
      </c>
      <c r="P2042" s="132" t="s">
        <v>52</v>
      </c>
      <c r="Q2042" s="232"/>
      <c r="R2042" s="411"/>
      <c r="T2042" s="134" t="s">
        <v>145</v>
      </c>
      <c r="U2042" s="267" t="s">
        <v>4776</v>
      </c>
      <c r="AA2042" s="218"/>
    </row>
    <row r="2043" spans="1:27" ht="24" x14ac:dyDescent="0.25">
      <c r="A2043" s="405">
        <v>3001537</v>
      </c>
      <c r="B2043" s="406">
        <v>42464</v>
      </c>
      <c r="C2043" s="405" t="s">
        <v>237</v>
      </c>
      <c r="D2043" s="401" t="s">
        <v>4777</v>
      </c>
      <c r="E2043" s="120">
        <v>50</v>
      </c>
      <c r="F2043" s="133" t="s">
        <v>161</v>
      </c>
      <c r="G2043" s="404" t="s">
        <v>45</v>
      </c>
      <c r="H2043" s="411">
        <v>102.45</v>
      </c>
      <c r="I2043" s="397">
        <f t="shared" si="364"/>
        <v>-15.3675</v>
      </c>
      <c r="J2043" s="411">
        <v>0</v>
      </c>
      <c r="K2043" s="90">
        <f t="shared" si="361"/>
        <v>87.08250000000001</v>
      </c>
      <c r="L2043" s="131">
        <v>1322</v>
      </c>
      <c r="M2043" s="158">
        <v>32.28</v>
      </c>
      <c r="N2043" s="91">
        <f t="shared" si="358"/>
        <v>98.38000000000001</v>
      </c>
      <c r="O2043" s="411">
        <f t="shared" si="356"/>
        <v>-11.297499999999999</v>
      </c>
      <c r="P2043" s="132" t="s">
        <v>52</v>
      </c>
      <c r="Q2043" s="232"/>
      <c r="R2043" s="411"/>
      <c r="T2043" s="134" t="s">
        <v>145</v>
      </c>
      <c r="U2043" s="267" t="s">
        <v>4778</v>
      </c>
      <c r="AA2043" s="218"/>
    </row>
    <row r="2044" spans="1:27" ht="24" x14ac:dyDescent="0.25">
      <c r="A2044" s="405">
        <v>3001538</v>
      </c>
      <c r="B2044" s="406">
        <v>42464</v>
      </c>
      <c r="C2044" s="405" t="s">
        <v>237</v>
      </c>
      <c r="D2044" s="401" t="s">
        <v>4779</v>
      </c>
      <c r="E2044" s="120">
        <v>100</v>
      </c>
      <c r="F2044" s="133" t="s">
        <v>341</v>
      </c>
      <c r="G2044" s="404" t="s">
        <v>45</v>
      </c>
      <c r="H2044" s="411">
        <v>187.34</v>
      </c>
      <c r="I2044" s="397">
        <f t="shared" si="364"/>
        <v>-28.100999999999999</v>
      </c>
      <c r="J2044" s="411">
        <v>0</v>
      </c>
      <c r="K2044" s="90">
        <f t="shared" si="361"/>
        <v>159.239</v>
      </c>
      <c r="L2044" s="131">
        <v>850</v>
      </c>
      <c r="M2044" s="187">
        <v>30.01</v>
      </c>
      <c r="N2044" s="91">
        <f t="shared" si="358"/>
        <v>115.01</v>
      </c>
      <c r="O2044" s="411">
        <f t="shared" si="356"/>
        <v>44.228999999999999</v>
      </c>
      <c r="P2044" s="132" t="s">
        <v>52</v>
      </c>
      <c r="Q2044" s="232"/>
      <c r="R2044" s="411"/>
      <c r="T2044" s="134" t="s">
        <v>145</v>
      </c>
      <c r="U2044" s="267" t="s">
        <v>4780</v>
      </c>
      <c r="AA2044" s="218"/>
    </row>
    <row r="2045" spans="1:27" ht="24" x14ac:dyDescent="0.25">
      <c r="A2045" s="405">
        <v>3001539</v>
      </c>
      <c r="B2045" s="406">
        <v>42464</v>
      </c>
      <c r="C2045" s="405" t="s">
        <v>237</v>
      </c>
      <c r="D2045" s="401" t="s">
        <v>4781</v>
      </c>
      <c r="E2045" s="120">
        <v>100</v>
      </c>
      <c r="F2045" s="133" t="s">
        <v>161</v>
      </c>
      <c r="G2045" s="404" t="s">
        <v>45</v>
      </c>
      <c r="H2045" s="411">
        <v>230</v>
      </c>
      <c r="I2045" s="397">
        <f t="shared" si="364"/>
        <v>-34.5</v>
      </c>
      <c r="J2045" s="411">
        <v>0</v>
      </c>
      <c r="K2045" s="90">
        <f t="shared" si="361"/>
        <v>195.5</v>
      </c>
      <c r="L2045" s="131">
        <v>1322</v>
      </c>
      <c r="M2045" s="158">
        <v>22.69</v>
      </c>
      <c r="N2045" s="91">
        <f t="shared" si="358"/>
        <v>154.89000000000001</v>
      </c>
      <c r="O2045" s="411">
        <f t="shared" si="356"/>
        <v>40.609999999999985</v>
      </c>
      <c r="P2045" s="132" t="s">
        <v>52</v>
      </c>
      <c r="Q2045" s="232"/>
      <c r="R2045" s="411"/>
      <c r="T2045" s="134" t="s">
        <v>145</v>
      </c>
      <c r="U2045" s="267" t="s">
        <v>4782</v>
      </c>
      <c r="AA2045" s="218"/>
    </row>
    <row r="2046" spans="1:27" x14ac:dyDescent="0.25">
      <c r="A2046" s="405">
        <v>3001540</v>
      </c>
      <c r="B2046" s="406">
        <v>42464</v>
      </c>
      <c r="C2046" s="405" t="s">
        <v>237</v>
      </c>
      <c r="D2046" s="401" t="s">
        <v>4783</v>
      </c>
      <c r="E2046" s="120">
        <v>450</v>
      </c>
      <c r="F2046" s="133" t="s">
        <v>528</v>
      </c>
      <c r="G2046" s="404" t="s">
        <v>45</v>
      </c>
      <c r="H2046" s="411">
        <v>956.71</v>
      </c>
      <c r="I2046" s="397">
        <f t="shared" si="364"/>
        <v>-143.50649999999999</v>
      </c>
      <c r="J2046" s="411">
        <v>0</v>
      </c>
      <c r="K2046" s="90">
        <f t="shared" si="361"/>
        <v>813.20350000000008</v>
      </c>
      <c r="L2046" s="131">
        <v>1021</v>
      </c>
      <c r="M2046" s="187">
        <v>225.68</v>
      </c>
      <c r="N2046" s="91">
        <f t="shared" si="358"/>
        <v>685.13</v>
      </c>
      <c r="O2046" s="411">
        <f t="shared" si="356"/>
        <v>128.07350000000008</v>
      </c>
      <c r="P2046" s="132" t="s">
        <v>52</v>
      </c>
      <c r="Q2046" s="232"/>
      <c r="R2046" s="411"/>
      <c r="T2046" s="134" t="s">
        <v>244</v>
      </c>
      <c r="U2046" s="267" t="s">
        <v>4784</v>
      </c>
      <c r="V2046" s="133" t="s">
        <v>55</v>
      </c>
      <c r="AA2046" s="218"/>
    </row>
    <row r="2047" spans="1:27" ht="24" x14ac:dyDescent="0.25">
      <c r="A2047" s="405">
        <v>3001541</v>
      </c>
      <c r="B2047" s="406">
        <v>42464</v>
      </c>
      <c r="C2047" s="405" t="s">
        <v>42</v>
      </c>
      <c r="D2047" s="401" t="s">
        <v>4785</v>
      </c>
      <c r="E2047" s="120">
        <v>70</v>
      </c>
      <c r="F2047" s="133" t="s">
        <v>860</v>
      </c>
      <c r="G2047" s="404" t="s">
        <v>45</v>
      </c>
      <c r="H2047" s="411">
        <v>363.09</v>
      </c>
      <c r="I2047" s="89">
        <f t="shared" ref="I2047:I2048" si="365">-(H2047*0.09)</f>
        <v>-32.678099999999993</v>
      </c>
      <c r="J2047" s="391">
        <f t="shared" ref="J2047:J2048" si="366">-((H2047*0.019)+0.3)</f>
        <v>-7.1987099999999993</v>
      </c>
      <c r="K2047" s="90">
        <f t="shared" si="361"/>
        <v>323.21319</v>
      </c>
      <c r="L2047" s="131">
        <v>3700</v>
      </c>
      <c r="M2047" s="187">
        <v>222.71</v>
      </c>
      <c r="N2047" s="91">
        <f t="shared" si="358"/>
        <v>481.71000000000004</v>
      </c>
      <c r="O2047" s="411">
        <f t="shared" si="356"/>
        <v>-158.49681000000004</v>
      </c>
      <c r="P2047" s="132" t="s">
        <v>52</v>
      </c>
      <c r="Q2047" s="232"/>
      <c r="R2047" s="411"/>
      <c r="T2047" s="134" t="s">
        <v>145</v>
      </c>
      <c r="U2047" s="267" t="s">
        <v>4786</v>
      </c>
      <c r="AA2047" s="218"/>
    </row>
    <row r="2048" spans="1:27" ht="24" x14ac:dyDescent="0.25">
      <c r="A2048" s="405">
        <v>3001542</v>
      </c>
      <c r="B2048" s="406">
        <v>42464</v>
      </c>
      <c r="C2048" s="405" t="s">
        <v>42</v>
      </c>
      <c r="D2048" s="401" t="s">
        <v>4787</v>
      </c>
      <c r="E2048" s="120">
        <v>150</v>
      </c>
      <c r="F2048" s="133" t="s">
        <v>247</v>
      </c>
      <c r="G2048" s="404" t="s">
        <v>45</v>
      </c>
      <c r="H2048" s="411">
        <v>171</v>
      </c>
      <c r="I2048" s="89">
        <f t="shared" si="365"/>
        <v>-15.389999999999999</v>
      </c>
      <c r="J2048" s="391">
        <f t="shared" si="366"/>
        <v>-3.5489999999999999</v>
      </c>
      <c r="K2048" s="90">
        <f t="shared" si="361"/>
        <v>152.06100000000001</v>
      </c>
      <c r="L2048" s="131">
        <v>480</v>
      </c>
      <c r="M2048" s="187">
        <v>21.53</v>
      </c>
      <c r="N2048" s="91">
        <f t="shared" si="358"/>
        <v>93.53</v>
      </c>
      <c r="O2048" s="411">
        <f t="shared" si="356"/>
        <v>58.531000000000006</v>
      </c>
      <c r="P2048" s="132" t="s">
        <v>86</v>
      </c>
      <c r="Q2048" s="232"/>
      <c r="R2048" s="411"/>
      <c r="T2048" s="134" t="s">
        <v>145</v>
      </c>
      <c r="U2048" s="267" t="s">
        <v>4788</v>
      </c>
      <c r="AA2048" s="218"/>
    </row>
    <row r="2049" spans="1:27" x14ac:dyDescent="0.25">
      <c r="A2049" s="405">
        <v>3001543</v>
      </c>
      <c r="B2049" s="406">
        <v>42464</v>
      </c>
      <c r="C2049" s="405" t="s">
        <v>237</v>
      </c>
      <c r="D2049" s="401" t="s">
        <v>4789</v>
      </c>
      <c r="E2049" s="120">
        <v>500</v>
      </c>
      <c r="F2049" s="133" t="s">
        <v>2361</v>
      </c>
      <c r="G2049" s="404" t="s">
        <v>45</v>
      </c>
      <c r="H2049" s="411">
        <v>738.84</v>
      </c>
      <c r="I2049" s="397">
        <f>-(H2049*0.15)</f>
        <v>-110.82600000000001</v>
      </c>
      <c r="J2049" s="411">
        <v>0</v>
      </c>
      <c r="K2049" s="90">
        <f t="shared" si="361"/>
        <v>628.01400000000001</v>
      </c>
      <c r="L2049" s="187">
        <v>784.21</v>
      </c>
      <c r="M2049" s="187">
        <v>167.16</v>
      </c>
      <c r="N2049" s="91">
        <f t="shared" si="358"/>
        <v>559.26499999999999</v>
      </c>
      <c r="O2049" s="411">
        <f t="shared" si="356"/>
        <v>68.749000000000024</v>
      </c>
      <c r="P2049" s="132" t="s">
        <v>76</v>
      </c>
      <c r="Q2049" s="232"/>
      <c r="R2049" s="411"/>
      <c r="T2049" s="134" t="s">
        <v>97</v>
      </c>
      <c r="U2049" s="267" t="s">
        <v>4790</v>
      </c>
      <c r="V2049" s="133" t="s">
        <v>55</v>
      </c>
      <c r="AA2049" s="218"/>
    </row>
    <row r="2050" spans="1:27" x14ac:dyDescent="0.25">
      <c r="A2050" s="419">
        <v>3001544</v>
      </c>
      <c r="B2050" s="421">
        <v>42464</v>
      </c>
      <c r="C2050" s="419" t="s">
        <v>237</v>
      </c>
      <c r="D2050" s="417" t="s">
        <v>4791</v>
      </c>
      <c r="E2050" s="120">
        <v>25</v>
      </c>
      <c r="F2050" s="133" t="s">
        <v>3719</v>
      </c>
      <c r="G2050" s="434" t="s">
        <v>45</v>
      </c>
      <c r="H2050" s="427">
        <v>128.69999999999999</v>
      </c>
      <c r="I2050" s="452">
        <f>-(H2050*0.15)</f>
        <v>-19.304999999999996</v>
      </c>
      <c r="J2050" s="427">
        <v>0</v>
      </c>
      <c r="K2050" s="425">
        <f t="shared" si="361"/>
        <v>109.395</v>
      </c>
      <c r="L2050" s="187">
        <v>1205</v>
      </c>
      <c r="M2050" s="555">
        <v>15.23</v>
      </c>
      <c r="N2050" s="91">
        <f t="shared" si="358"/>
        <v>45.355000000000004</v>
      </c>
      <c r="O2050" s="411">
        <f t="shared" si="356"/>
        <v>64.039999999999992</v>
      </c>
      <c r="P2050" s="132" t="s">
        <v>926</v>
      </c>
      <c r="Q2050" s="232"/>
      <c r="R2050" s="411"/>
      <c r="T2050" s="439" t="s">
        <v>145</v>
      </c>
      <c r="U2050" s="481" t="s">
        <v>4792</v>
      </c>
      <c r="AA2050" s="218"/>
    </row>
    <row r="2051" spans="1:27" x14ac:dyDescent="0.25">
      <c r="A2051" s="420"/>
      <c r="B2051" s="422"/>
      <c r="C2051" s="420"/>
      <c r="D2051" s="418"/>
      <c r="E2051" s="120">
        <v>25</v>
      </c>
      <c r="F2051" s="133" t="s">
        <v>3307</v>
      </c>
      <c r="G2051" s="436"/>
      <c r="H2051" s="428"/>
      <c r="I2051" s="453"/>
      <c r="J2051" s="428"/>
      <c r="K2051" s="426"/>
      <c r="L2051" s="187">
        <v>1237</v>
      </c>
      <c r="M2051" s="557"/>
      <c r="N2051" s="91">
        <f t="shared" si="358"/>
        <v>30.925000000000001</v>
      </c>
      <c r="O2051" s="411">
        <f t="shared" si="356"/>
        <v>-30.925000000000001</v>
      </c>
      <c r="P2051" s="132" t="s">
        <v>926</v>
      </c>
      <c r="Q2051" s="232"/>
      <c r="R2051" s="411"/>
      <c r="T2051" s="441"/>
      <c r="U2051" s="483"/>
      <c r="AA2051" s="218"/>
    </row>
    <row r="2052" spans="1:27" ht="24" x14ac:dyDescent="0.25">
      <c r="A2052" s="405">
        <v>3001545</v>
      </c>
      <c r="B2052" s="406">
        <v>42464</v>
      </c>
      <c r="C2052" s="405" t="s">
        <v>237</v>
      </c>
      <c r="D2052" s="401" t="s">
        <v>4793</v>
      </c>
      <c r="E2052" s="120">
        <v>100</v>
      </c>
      <c r="F2052" s="133" t="s">
        <v>3299</v>
      </c>
      <c r="G2052" s="404" t="s">
        <v>45</v>
      </c>
      <c r="H2052" s="411">
        <v>143.55000000000001</v>
      </c>
      <c r="I2052" s="397">
        <f>-(H2052*0.15)</f>
        <v>-21.532500000000002</v>
      </c>
      <c r="J2052" s="411">
        <v>0</v>
      </c>
      <c r="K2052" s="90">
        <f t="shared" si="361"/>
        <v>122.01750000000001</v>
      </c>
      <c r="L2052" s="187">
        <v>700</v>
      </c>
      <c r="M2052" s="158">
        <v>26.5</v>
      </c>
      <c r="N2052" s="91">
        <f t="shared" si="358"/>
        <v>96.5</v>
      </c>
      <c r="O2052" s="411">
        <f t="shared" si="356"/>
        <v>25.517500000000013</v>
      </c>
      <c r="P2052" s="132" t="s">
        <v>601</v>
      </c>
      <c r="Q2052" s="232"/>
      <c r="R2052" s="411"/>
      <c r="T2052" s="134" t="s">
        <v>145</v>
      </c>
      <c r="U2052" s="267" t="s">
        <v>4794</v>
      </c>
      <c r="AA2052" s="218"/>
    </row>
    <row r="2053" spans="1:27" ht="24" x14ac:dyDescent="0.25">
      <c r="A2053" s="405">
        <v>3001546</v>
      </c>
      <c r="B2053" s="406">
        <v>42464</v>
      </c>
      <c r="C2053" s="405" t="s">
        <v>237</v>
      </c>
      <c r="D2053" s="401" t="s">
        <v>4795</v>
      </c>
      <c r="E2053" s="120">
        <v>300</v>
      </c>
      <c r="F2053" s="133" t="s">
        <v>247</v>
      </c>
      <c r="G2053" s="404" t="s">
        <v>45</v>
      </c>
      <c r="H2053" s="411">
        <v>315.08999999999997</v>
      </c>
      <c r="I2053" s="397">
        <f>-(H2053*0.15)</f>
        <v>-47.263499999999993</v>
      </c>
      <c r="J2053" s="411">
        <v>0</v>
      </c>
      <c r="K2053" s="90">
        <f t="shared" si="361"/>
        <v>267.82650000000001</v>
      </c>
      <c r="L2053" s="131">
        <v>480</v>
      </c>
      <c r="M2053" s="187">
        <v>54.88</v>
      </c>
      <c r="N2053" s="91">
        <f t="shared" si="358"/>
        <v>198.88</v>
      </c>
      <c r="O2053" s="411">
        <f t="shared" si="356"/>
        <v>68.946500000000015</v>
      </c>
      <c r="P2053" s="132" t="s">
        <v>86</v>
      </c>
      <c r="Q2053" s="232"/>
      <c r="R2053" s="411"/>
      <c r="T2053" s="134" t="s">
        <v>145</v>
      </c>
      <c r="U2053" s="267" t="s">
        <v>4796</v>
      </c>
      <c r="AA2053" s="218"/>
    </row>
    <row r="2054" spans="1:27" ht="24" x14ac:dyDescent="0.25">
      <c r="A2054" s="405">
        <v>3001547</v>
      </c>
      <c r="B2054" s="406">
        <v>42464</v>
      </c>
      <c r="C2054" s="405" t="s">
        <v>237</v>
      </c>
      <c r="D2054" s="401" t="s">
        <v>4797</v>
      </c>
      <c r="E2054" s="120">
        <v>150</v>
      </c>
      <c r="F2054" s="133" t="s">
        <v>3704</v>
      </c>
      <c r="G2054" s="404" t="s">
        <v>45</v>
      </c>
      <c r="H2054" s="411">
        <v>111.73</v>
      </c>
      <c r="I2054" s="397">
        <f>-(H2054*0.15)</f>
        <v>-16.759499999999999</v>
      </c>
      <c r="J2054" s="411">
        <v>0</v>
      </c>
      <c r="K2054" s="90">
        <f t="shared" si="361"/>
        <v>94.970500000000001</v>
      </c>
      <c r="L2054" s="187">
        <v>420</v>
      </c>
      <c r="M2054" s="187">
        <v>15.96</v>
      </c>
      <c r="N2054" s="91">
        <f t="shared" si="358"/>
        <v>78.960000000000008</v>
      </c>
      <c r="O2054" s="411">
        <f t="shared" si="356"/>
        <v>16.010499999999993</v>
      </c>
      <c r="P2054" s="132" t="s">
        <v>183</v>
      </c>
      <c r="Q2054" s="232"/>
      <c r="R2054" s="411"/>
      <c r="T2054" s="134" t="s">
        <v>145</v>
      </c>
      <c r="U2054" s="267" t="s">
        <v>4798</v>
      </c>
      <c r="AA2054" s="218"/>
    </row>
    <row r="2055" spans="1:27" x14ac:dyDescent="0.25">
      <c r="A2055" s="419">
        <v>3001548</v>
      </c>
      <c r="B2055" s="421">
        <v>42464</v>
      </c>
      <c r="C2055" s="419" t="s">
        <v>63</v>
      </c>
      <c r="D2055" s="417" t="s">
        <v>600</v>
      </c>
      <c r="E2055" s="120">
        <v>300</v>
      </c>
      <c r="F2055" s="133" t="s">
        <v>4799</v>
      </c>
      <c r="G2055" s="434" t="s">
        <v>45</v>
      </c>
      <c r="H2055" s="427">
        <v>1130</v>
      </c>
      <c r="I2055" s="427">
        <v>0</v>
      </c>
      <c r="J2055" s="425">
        <f>-((H2055*0.022)+0.3)</f>
        <v>-25.16</v>
      </c>
      <c r="K2055" s="425">
        <f t="shared" si="361"/>
        <v>1104.8399999999999</v>
      </c>
      <c r="L2055" s="187">
        <v>1680</v>
      </c>
      <c r="M2055" s="187">
        <v>106.52</v>
      </c>
      <c r="N2055" s="91">
        <f t="shared" si="358"/>
        <v>610.52</v>
      </c>
      <c r="O2055" s="411">
        <f t="shared" si="356"/>
        <v>494.31999999999994</v>
      </c>
      <c r="P2055" s="132" t="s">
        <v>235</v>
      </c>
      <c r="Q2055" s="232"/>
      <c r="R2055" s="411"/>
      <c r="T2055" s="439" t="s">
        <v>565</v>
      </c>
      <c r="U2055" s="446" t="s">
        <v>4800</v>
      </c>
      <c r="W2055" s="153" t="s">
        <v>603</v>
      </c>
      <c r="AA2055" s="218"/>
    </row>
    <row r="2056" spans="1:27" x14ac:dyDescent="0.25">
      <c r="A2056" s="420"/>
      <c r="B2056" s="422"/>
      <c r="C2056" s="420"/>
      <c r="D2056" s="418"/>
      <c r="E2056" s="120">
        <v>1500</v>
      </c>
      <c r="F2056" s="133" t="s">
        <v>4801</v>
      </c>
      <c r="G2056" s="436"/>
      <c r="H2056" s="428"/>
      <c r="I2056" s="428"/>
      <c r="J2056" s="426"/>
      <c r="K2056" s="426"/>
      <c r="L2056" s="187">
        <v>195</v>
      </c>
      <c r="M2056" s="187"/>
      <c r="N2056" s="91">
        <f t="shared" si="358"/>
        <v>292.5</v>
      </c>
      <c r="O2056" s="411">
        <f t="shared" si="356"/>
        <v>-292.5</v>
      </c>
      <c r="P2056" s="132" t="s">
        <v>235</v>
      </c>
      <c r="Q2056" s="232"/>
      <c r="R2056" s="411"/>
      <c r="T2056" s="441"/>
      <c r="U2056" s="447"/>
      <c r="AA2056" s="218"/>
    </row>
    <row r="2057" spans="1:27" ht="24" x14ac:dyDescent="0.25">
      <c r="A2057" s="419">
        <v>3001549</v>
      </c>
      <c r="B2057" s="421">
        <v>42464</v>
      </c>
      <c r="C2057" s="419" t="s">
        <v>63</v>
      </c>
      <c r="D2057" s="417" t="s">
        <v>4802</v>
      </c>
      <c r="E2057" s="120">
        <v>27</v>
      </c>
      <c r="F2057" s="133" t="s">
        <v>4803</v>
      </c>
      <c r="G2057" s="434" t="s">
        <v>45</v>
      </c>
      <c r="H2057" s="427">
        <v>982.1</v>
      </c>
      <c r="I2057" s="427">
        <v>0</v>
      </c>
      <c r="J2057" s="425">
        <f>-((H2057*0.022)+0.3)</f>
        <v>-21.906199999999998</v>
      </c>
      <c r="K2057" s="425">
        <f t="shared" si="361"/>
        <v>960.19380000000001</v>
      </c>
      <c r="M2057" s="158">
        <v>16.34</v>
      </c>
      <c r="N2057" s="91">
        <f t="shared" si="358"/>
        <v>16.34</v>
      </c>
      <c r="O2057" s="411">
        <f t="shared" ref="O2057:O2121" si="367">K2057-N2057</f>
        <v>943.85379999999998</v>
      </c>
      <c r="P2057" s="132" t="s">
        <v>52</v>
      </c>
      <c r="Q2057" s="232"/>
      <c r="R2057" s="411"/>
      <c r="T2057" s="134" t="s">
        <v>145</v>
      </c>
      <c r="U2057" s="267" t="s">
        <v>4804</v>
      </c>
      <c r="V2057" s="133" t="s">
        <v>4805</v>
      </c>
      <c r="W2057" s="153" t="s">
        <v>4806</v>
      </c>
      <c r="AA2057" s="218"/>
    </row>
    <row r="2058" spans="1:27" x14ac:dyDescent="0.25">
      <c r="A2058" s="432"/>
      <c r="B2058" s="433"/>
      <c r="C2058" s="432"/>
      <c r="D2058" s="454"/>
      <c r="E2058" s="120">
        <v>30</v>
      </c>
      <c r="F2058" s="133" t="s">
        <v>2213</v>
      </c>
      <c r="G2058" s="435"/>
      <c r="H2058" s="438"/>
      <c r="I2058" s="438"/>
      <c r="J2058" s="437"/>
      <c r="K2058" s="437"/>
      <c r="L2058" s="187">
        <v>583.72</v>
      </c>
      <c r="N2058" s="91">
        <f t="shared" si="358"/>
        <v>17.511600000000001</v>
      </c>
      <c r="O2058" s="411">
        <f t="shared" si="367"/>
        <v>-17.511600000000001</v>
      </c>
      <c r="P2058" s="132" t="s">
        <v>46</v>
      </c>
      <c r="Q2058" s="232"/>
      <c r="R2058" s="411"/>
      <c r="T2058" s="470" t="s">
        <v>3847</v>
      </c>
      <c r="U2058" s="446" t="s">
        <v>4807</v>
      </c>
      <c r="AA2058" s="218"/>
    </row>
    <row r="2059" spans="1:27" x14ac:dyDescent="0.25">
      <c r="A2059" s="432"/>
      <c r="B2059" s="433"/>
      <c r="C2059" s="432"/>
      <c r="D2059" s="454"/>
      <c r="E2059" s="120">
        <v>27</v>
      </c>
      <c r="F2059" s="133" t="s">
        <v>4808</v>
      </c>
      <c r="G2059" s="435"/>
      <c r="H2059" s="438"/>
      <c r="I2059" s="438"/>
      <c r="J2059" s="437"/>
      <c r="K2059" s="437"/>
      <c r="L2059" s="187">
        <v>846.95</v>
      </c>
      <c r="N2059" s="91">
        <f t="shared" si="358"/>
        <v>22.867650000000001</v>
      </c>
      <c r="O2059" s="411">
        <f t="shared" si="367"/>
        <v>-22.867650000000001</v>
      </c>
      <c r="P2059" s="132" t="s">
        <v>46</v>
      </c>
      <c r="Q2059" s="232"/>
      <c r="R2059" s="411"/>
      <c r="T2059" s="471"/>
      <c r="U2059" s="448"/>
      <c r="AA2059" s="218"/>
    </row>
    <row r="2060" spans="1:27" x14ac:dyDescent="0.25">
      <c r="A2060" s="420"/>
      <c r="B2060" s="422"/>
      <c r="C2060" s="420"/>
      <c r="D2060" s="418"/>
      <c r="E2060" s="120">
        <v>270</v>
      </c>
      <c r="F2060" s="133" t="s">
        <v>4809</v>
      </c>
      <c r="G2060" s="436"/>
      <c r="H2060" s="428"/>
      <c r="I2060" s="428"/>
      <c r="J2060" s="426"/>
      <c r="K2060" s="426"/>
      <c r="L2060" s="187">
        <v>899.33</v>
      </c>
      <c r="N2060" s="91">
        <f t="shared" si="358"/>
        <v>242.81910000000002</v>
      </c>
      <c r="O2060" s="411">
        <f t="shared" si="367"/>
        <v>-242.81910000000002</v>
      </c>
      <c r="P2060" s="132" t="s">
        <v>46</v>
      </c>
      <c r="Q2060" s="232"/>
      <c r="R2060" s="411"/>
      <c r="T2060" s="472"/>
      <c r="U2060" s="447"/>
      <c r="AA2060" s="218"/>
    </row>
    <row r="2061" spans="1:27" ht="24" x14ac:dyDescent="0.25">
      <c r="A2061" s="405">
        <v>3001550</v>
      </c>
      <c r="B2061" s="406">
        <v>42465</v>
      </c>
      <c r="C2061" s="405" t="s">
        <v>63</v>
      </c>
      <c r="D2061" s="401" t="s">
        <v>4810</v>
      </c>
      <c r="E2061" s="120">
        <v>450</v>
      </c>
      <c r="F2061" s="133" t="s">
        <v>585</v>
      </c>
      <c r="G2061" s="404" t="s">
        <v>45</v>
      </c>
      <c r="H2061" s="411">
        <v>306</v>
      </c>
      <c r="I2061" s="411">
        <v>0</v>
      </c>
      <c r="J2061" s="391">
        <f>-((H2061*0.022)+0.3)</f>
        <v>-7.0319999999999991</v>
      </c>
      <c r="K2061" s="90">
        <f t="shared" ref="K2061:K2090" si="368">SUM(H2061:J2061)</f>
        <v>298.96800000000002</v>
      </c>
      <c r="L2061" s="187">
        <v>430</v>
      </c>
      <c r="M2061" s="187">
        <v>34.270000000000003</v>
      </c>
      <c r="N2061" s="91">
        <f t="shared" si="358"/>
        <v>227.77</v>
      </c>
      <c r="O2061" s="411">
        <f t="shared" si="367"/>
        <v>71.198000000000008</v>
      </c>
      <c r="P2061" s="132" t="s">
        <v>235</v>
      </c>
      <c r="Q2061" s="232"/>
      <c r="R2061" s="411"/>
      <c r="T2061" s="134" t="s">
        <v>145</v>
      </c>
      <c r="U2061" s="267" t="s">
        <v>4811</v>
      </c>
      <c r="W2061" s="153" t="s">
        <v>4812</v>
      </c>
      <c r="AA2061" s="218"/>
    </row>
    <row r="2062" spans="1:27" ht="24" x14ac:dyDescent="0.25">
      <c r="A2062" s="405">
        <v>3001551</v>
      </c>
      <c r="B2062" s="406">
        <v>42465</v>
      </c>
      <c r="C2062" s="405" t="s">
        <v>63</v>
      </c>
      <c r="D2062" s="401" t="s">
        <v>4813</v>
      </c>
      <c r="E2062" s="120">
        <v>225</v>
      </c>
      <c r="F2062" s="133" t="s">
        <v>431</v>
      </c>
      <c r="G2062" s="404" t="s">
        <v>45</v>
      </c>
      <c r="H2062" s="411">
        <v>480</v>
      </c>
      <c r="I2062" s="411">
        <v>0</v>
      </c>
      <c r="J2062" s="391">
        <f>-((H2062*0.022)+0.3)</f>
        <v>-10.86</v>
      </c>
      <c r="K2062" s="90">
        <f t="shared" si="368"/>
        <v>469.14</v>
      </c>
      <c r="L2062" s="131">
        <v>1050</v>
      </c>
      <c r="M2062" s="158">
        <v>85.95</v>
      </c>
      <c r="N2062" s="91">
        <f t="shared" si="358"/>
        <v>322.2</v>
      </c>
      <c r="O2062" s="411">
        <f t="shared" si="367"/>
        <v>146.94</v>
      </c>
      <c r="P2062" s="132" t="s">
        <v>52</v>
      </c>
      <c r="Q2062" s="232"/>
      <c r="R2062" s="411"/>
      <c r="T2062" s="134" t="s">
        <v>145</v>
      </c>
      <c r="U2062" s="267" t="s">
        <v>4814</v>
      </c>
      <c r="W2062" s="153" t="s">
        <v>4815</v>
      </c>
      <c r="AA2062" s="218"/>
    </row>
    <row r="2063" spans="1:27" x14ac:dyDescent="0.25">
      <c r="A2063" s="405">
        <v>3001552</v>
      </c>
      <c r="B2063" s="406">
        <v>42465</v>
      </c>
      <c r="C2063" s="405" t="s">
        <v>63</v>
      </c>
      <c r="D2063" s="401" t="s">
        <v>4816</v>
      </c>
      <c r="E2063" s="120">
        <v>1000</v>
      </c>
      <c r="F2063" s="133" t="s">
        <v>708</v>
      </c>
      <c r="G2063" s="404" t="s">
        <v>45</v>
      </c>
      <c r="H2063" s="411">
        <v>3600</v>
      </c>
      <c r="I2063" s="411">
        <v>0</v>
      </c>
      <c r="J2063" s="391">
        <f>-((H2063*0.022)+0.3)</f>
        <v>-79.499999999999986</v>
      </c>
      <c r="K2063" s="90">
        <f t="shared" si="368"/>
        <v>3520.5</v>
      </c>
      <c r="L2063" s="131">
        <v>2450</v>
      </c>
      <c r="M2063" s="187">
        <v>305</v>
      </c>
      <c r="N2063" s="91">
        <f t="shared" si="358"/>
        <v>2755</v>
      </c>
      <c r="O2063" s="411">
        <f t="shared" si="367"/>
        <v>765.5</v>
      </c>
      <c r="P2063" s="132" t="s">
        <v>52</v>
      </c>
      <c r="Q2063" s="232"/>
      <c r="R2063" s="411"/>
      <c r="T2063" s="134" t="s">
        <v>875</v>
      </c>
      <c r="U2063" s="267" t="s">
        <v>4817</v>
      </c>
      <c r="V2063" s="133" t="s">
        <v>55</v>
      </c>
      <c r="W2063" s="153" t="s">
        <v>4818</v>
      </c>
      <c r="AA2063" s="218"/>
    </row>
    <row r="2064" spans="1:27" ht="24" x14ac:dyDescent="0.25">
      <c r="A2064" s="405">
        <v>3001553</v>
      </c>
      <c r="B2064" s="406">
        <v>42465</v>
      </c>
      <c r="C2064" s="405" t="s">
        <v>42</v>
      </c>
      <c r="D2064" s="401" t="s">
        <v>4819</v>
      </c>
      <c r="E2064" s="120">
        <v>50</v>
      </c>
      <c r="F2064" s="133" t="s">
        <v>300</v>
      </c>
      <c r="G2064" s="404" t="s">
        <v>45</v>
      </c>
      <c r="H2064" s="411">
        <v>0</v>
      </c>
      <c r="I2064" s="89">
        <f t="shared" ref="I2064" si="369">-(H2064*0.09)</f>
        <v>0</v>
      </c>
      <c r="J2064" s="391">
        <f t="shared" ref="J2064:J2065" si="370">-((H2064*0.019)+0.3)</f>
        <v>-0.3</v>
      </c>
      <c r="K2064" s="90">
        <f t="shared" si="368"/>
        <v>-0.3</v>
      </c>
      <c r="L2064" s="131">
        <v>2200</v>
      </c>
      <c r="M2064" s="187">
        <v>33.26</v>
      </c>
      <c r="N2064" s="91">
        <f t="shared" si="358"/>
        <v>143.26</v>
      </c>
      <c r="O2064" s="411">
        <f t="shared" si="367"/>
        <v>-143.56</v>
      </c>
      <c r="P2064" s="132" t="s">
        <v>52</v>
      </c>
      <c r="Q2064" s="232"/>
      <c r="R2064" s="411"/>
      <c r="T2064" s="134" t="s">
        <v>145</v>
      </c>
      <c r="U2064" s="267" t="s">
        <v>4820</v>
      </c>
      <c r="W2064" s="153" t="s">
        <v>4821</v>
      </c>
      <c r="AA2064" s="218"/>
    </row>
    <row r="2065" spans="1:27" ht="24" x14ac:dyDescent="0.25">
      <c r="A2065" s="405">
        <v>3001554</v>
      </c>
      <c r="B2065" s="406">
        <v>42465</v>
      </c>
      <c r="C2065" s="405" t="s">
        <v>159</v>
      </c>
      <c r="D2065" s="401" t="s">
        <v>4822</v>
      </c>
      <c r="E2065" s="120">
        <v>16</v>
      </c>
      <c r="F2065" s="133" t="s">
        <v>277</v>
      </c>
      <c r="G2065" s="404" t="s">
        <v>45</v>
      </c>
      <c r="H2065" s="411">
        <v>95.52</v>
      </c>
      <c r="I2065" s="411">
        <v>0</v>
      </c>
      <c r="J2065" s="391">
        <f t="shared" si="370"/>
        <v>-2.1148799999999999</v>
      </c>
      <c r="K2065" s="90">
        <f t="shared" si="368"/>
        <v>93.405119999999997</v>
      </c>
      <c r="L2065" s="131">
        <v>3500</v>
      </c>
      <c r="M2065" s="187">
        <v>27.13</v>
      </c>
      <c r="N2065" s="91">
        <f t="shared" si="358"/>
        <v>83.13</v>
      </c>
      <c r="O2065" s="411">
        <f t="shared" si="367"/>
        <v>10.275120000000001</v>
      </c>
      <c r="P2065" s="132" t="s">
        <v>52</v>
      </c>
      <c r="Q2065" s="232"/>
      <c r="R2065" s="411"/>
      <c r="T2065" s="134" t="s">
        <v>145</v>
      </c>
      <c r="U2065" s="267" t="s">
        <v>4823</v>
      </c>
      <c r="W2065" s="153" t="s">
        <v>4824</v>
      </c>
      <c r="AA2065" s="218"/>
    </row>
    <row r="2066" spans="1:27" ht="24" x14ac:dyDescent="0.25">
      <c r="A2066" s="405">
        <v>3001555</v>
      </c>
      <c r="B2066" s="406">
        <v>42465</v>
      </c>
      <c r="C2066" s="405" t="s">
        <v>327</v>
      </c>
      <c r="D2066" s="401" t="s">
        <v>4825</v>
      </c>
      <c r="E2066" s="120">
        <v>45</v>
      </c>
      <c r="F2066" s="133" t="s">
        <v>1634</v>
      </c>
      <c r="G2066" s="404" t="s">
        <v>45</v>
      </c>
      <c r="H2066" s="411">
        <v>465.75</v>
      </c>
      <c r="I2066" s="411">
        <v>0</v>
      </c>
      <c r="J2066" s="391">
        <f>-((H2066*0.022)+0.3)</f>
        <v>-10.5465</v>
      </c>
      <c r="K2066" s="90">
        <f t="shared" si="368"/>
        <v>455.20350000000002</v>
      </c>
      <c r="L2066" s="131">
        <v>4900</v>
      </c>
      <c r="M2066" s="187">
        <v>44.81</v>
      </c>
      <c r="N2066" s="91">
        <f t="shared" si="358"/>
        <v>265.31</v>
      </c>
      <c r="O2066" s="411">
        <f t="shared" si="367"/>
        <v>189.89350000000002</v>
      </c>
      <c r="P2066" s="132" t="s">
        <v>52</v>
      </c>
      <c r="Q2066" s="232"/>
      <c r="R2066" s="411"/>
      <c r="T2066" s="134" t="s">
        <v>145</v>
      </c>
      <c r="U2066" s="267" t="s">
        <v>4826</v>
      </c>
      <c r="W2066" s="153" t="s">
        <v>4827</v>
      </c>
      <c r="AA2066" s="218"/>
    </row>
    <row r="2067" spans="1:27" ht="24" x14ac:dyDescent="0.25">
      <c r="A2067" s="405">
        <v>3001556</v>
      </c>
      <c r="B2067" s="406">
        <v>42465</v>
      </c>
      <c r="C2067" s="405" t="s">
        <v>63</v>
      </c>
      <c r="D2067" s="401" t="s">
        <v>4828</v>
      </c>
      <c r="E2067" s="120">
        <v>50</v>
      </c>
      <c r="F2067" s="133" t="s">
        <v>222</v>
      </c>
      <c r="G2067" s="404" t="s">
        <v>45</v>
      </c>
      <c r="H2067" s="411">
        <v>80</v>
      </c>
      <c r="I2067" s="411">
        <v>0</v>
      </c>
      <c r="J2067" s="391">
        <f>-((H2067*0.022)+0.3)</f>
        <v>-2.0599999999999996</v>
      </c>
      <c r="K2067" s="90">
        <f t="shared" si="368"/>
        <v>77.94</v>
      </c>
      <c r="L2067" s="131">
        <v>850</v>
      </c>
      <c r="M2067" s="158">
        <v>33.1</v>
      </c>
      <c r="N2067" s="91">
        <f t="shared" si="358"/>
        <v>75.599999999999994</v>
      </c>
      <c r="O2067" s="411">
        <f t="shared" si="367"/>
        <v>2.3400000000000034</v>
      </c>
      <c r="P2067" s="132" t="s">
        <v>52</v>
      </c>
      <c r="Q2067" s="232"/>
      <c r="R2067" s="411"/>
      <c r="T2067" s="134" t="s">
        <v>145</v>
      </c>
      <c r="U2067" s="267" t="s">
        <v>4829</v>
      </c>
      <c r="W2067" s="153" t="s">
        <v>4830</v>
      </c>
      <c r="AA2067" s="218"/>
    </row>
    <row r="2068" spans="1:27" x14ac:dyDescent="0.25">
      <c r="A2068" s="405">
        <v>3001557</v>
      </c>
      <c r="B2068" s="406">
        <v>42465</v>
      </c>
      <c r="C2068" s="405" t="s">
        <v>141</v>
      </c>
      <c r="D2068" s="401" t="s">
        <v>4831</v>
      </c>
      <c r="E2068" s="120">
        <v>1000</v>
      </c>
      <c r="F2068" s="133" t="s">
        <v>4832</v>
      </c>
      <c r="G2068" s="404" t="s">
        <v>45</v>
      </c>
      <c r="H2068" s="411">
        <v>5100</v>
      </c>
      <c r="I2068" s="411">
        <v>0</v>
      </c>
      <c r="J2068" s="391">
        <f>-((H2068*0.0325)+0.3)</f>
        <v>-166.05</v>
      </c>
      <c r="K2068" s="90">
        <f t="shared" si="368"/>
        <v>4933.95</v>
      </c>
      <c r="L2068" s="187">
        <v>3700</v>
      </c>
      <c r="N2068" s="91">
        <f t="shared" si="358"/>
        <v>3700</v>
      </c>
      <c r="O2068" s="411">
        <f t="shared" si="367"/>
        <v>1233.9499999999998</v>
      </c>
      <c r="P2068" s="132" t="s">
        <v>52</v>
      </c>
      <c r="Q2068" s="232"/>
      <c r="R2068" s="411"/>
      <c r="T2068" s="134" t="s">
        <v>760</v>
      </c>
      <c r="U2068" s="267" t="s">
        <v>4833</v>
      </c>
      <c r="V2068" s="133" t="s">
        <v>55</v>
      </c>
      <c r="W2068" s="153" t="s">
        <v>4100</v>
      </c>
      <c r="AA2068" s="218"/>
    </row>
    <row r="2069" spans="1:27" ht="24" x14ac:dyDescent="0.25">
      <c r="A2069" s="419">
        <v>3001558</v>
      </c>
      <c r="B2069" s="421">
        <v>42465</v>
      </c>
      <c r="C2069" s="419" t="s">
        <v>56</v>
      </c>
      <c r="D2069" s="417" t="s">
        <v>1192</v>
      </c>
      <c r="E2069" s="120">
        <v>5000</v>
      </c>
      <c r="F2069" s="133" t="s">
        <v>4834</v>
      </c>
      <c r="G2069" s="434" t="s">
        <v>45</v>
      </c>
      <c r="H2069" s="427">
        <v>21517.5</v>
      </c>
      <c r="I2069" s="427">
        <v>0</v>
      </c>
      <c r="J2069" s="427">
        <v>0</v>
      </c>
      <c r="K2069" s="425">
        <f>SUM(H2070:J2070)</f>
        <v>0</v>
      </c>
      <c r="L2069" s="187">
        <v>865</v>
      </c>
      <c r="N2069" s="91">
        <f t="shared" si="358"/>
        <v>4325</v>
      </c>
      <c r="O2069" s="411"/>
      <c r="P2069" s="132" t="s">
        <v>66</v>
      </c>
      <c r="Q2069" s="232"/>
      <c r="R2069" s="411"/>
      <c r="T2069" s="134" t="s">
        <v>4835</v>
      </c>
      <c r="U2069" s="267" t="s">
        <v>4836</v>
      </c>
      <c r="W2069" s="153"/>
      <c r="AA2069" s="218"/>
    </row>
    <row r="2070" spans="1:27" ht="24" x14ac:dyDescent="0.25">
      <c r="A2070" s="432"/>
      <c r="B2070" s="433"/>
      <c r="C2070" s="432"/>
      <c r="D2070" s="454"/>
      <c r="E2070" s="120">
        <v>2000</v>
      </c>
      <c r="F2070" s="133" t="s">
        <v>4837</v>
      </c>
      <c r="G2070" s="435"/>
      <c r="H2070" s="438"/>
      <c r="I2070" s="438"/>
      <c r="J2070" s="438"/>
      <c r="K2070" s="437"/>
      <c r="L2070" s="131">
        <v>911</v>
      </c>
      <c r="N2070" s="91">
        <f t="shared" si="358"/>
        <v>1822</v>
      </c>
      <c r="O2070" s="411"/>
      <c r="P2070" s="179" t="s">
        <v>46</v>
      </c>
      <c r="Q2070" s="232"/>
      <c r="R2070" s="411"/>
      <c r="T2070" s="134" t="s">
        <v>47</v>
      </c>
      <c r="U2070" s="267" t="s">
        <v>4838</v>
      </c>
      <c r="V2070" s="133" t="s">
        <v>3181</v>
      </c>
      <c r="W2070" s="153" t="s">
        <v>2090</v>
      </c>
      <c r="AA2070" s="218"/>
    </row>
    <row r="2071" spans="1:27" ht="24" x14ac:dyDescent="0.25">
      <c r="A2071" s="432"/>
      <c r="B2071" s="433"/>
      <c r="C2071" s="432"/>
      <c r="D2071" s="454"/>
      <c r="E2071" s="120">
        <v>15350</v>
      </c>
      <c r="F2071" s="133" t="s">
        <v>4839</v>
      </c>
      <c r="G2071" s="435"/>
      <c r="H2071" s="438"/>
      <c r="I2071" s="438"/>
      <c r="J2071" s="438"/>
      <c r="K2071" s="437"/>
      <c r="L2071" s="187">
        <v>520</v>
      </c>
      <c r="M2071" s="131">
        <v>0</v>
      </c>
      <c r="N2071" s="91">
        <f t="shared" si="358"/>
        <v>7982</v>
      </c>
      <c r="O2071" s="411"/>
      <c r="P2071" s="132" t="s">
        <v>46</v>
      </c>
      <c r="Q2071" s="232"/>
      <c r="R2071" s="411"/>
      <c r="T2071" s="134" t="s">
        <v>473</v>
      </c>
      <c r="U2071" s="267" t="s">
        <v>4840</v>
      </c>
      <c r="V2071" s="133" t="s">
        <v>4841</v>
      </c>
      <c r="AA2071" s="218"/>
    </row>
    <row r="2072" spans="1:27" ht="24" x14ac:dyDescent="0.25">
      <c r="A2072" s="420"/>
      <c r="B2072" s="422"/>
      <c r="C2072" s="420"/>
      <c r="D2072" s="418"/>
      <c r="E2072" s="120">
        <v>165</v>
      </c>
      <c r="F2072" s="133" t="s">
        <v>688</v>
      </c>
      <c r="G2072" s="436"/>
      <c r="H2072" s="428"/>
      <c r="I2072" s="428"/>
      <c r="J2072" s="428"/>
      <c r="K2072" s="426"/>
      <c r="L2072" s="187"/>
      <c r="M2072" s="158">
        <v>63.3</v>
      </c>
      <c r="N2072" s="91"/>
      <c r="O2072" s="411"/>
      <c r="P2072" s="132" t="s">
        <v>52</v>
      </c>
      <c r="Q2072" s="232"/>
      <c r="R2072" s="411"/>
      <c r="T2072" s="134" t="s">
        <v>145</v>
      </c>
      <c r="U2072" s="267" t="s">
        <v>4842</v>
      </c>
      <c r="V2072" s="133" t="s">
        <v>4843</v>
      </c>
      <c r="AA2072" s="218"/>
    </row>
    <row r="2073" spans="1:27" ht="24" x14ac:dyDescent="0.25">
      <c r="A2073" s="405">
        <v>3001559</v>
      </c>
      <c r="B2073" s="406">
        <v>42465</v>
      </c>
      <c r="C2073" s="405" t="s">
        <v>63</v>
      </c>
      <c r="D2073" s="401" t="s">
        <v>3726</v>
      </c>
      <c r="E2073" s="120">
        <v>93</v>
      </c>
      <c r="F2073" s="133" t="s">
        <v>835</v>
      </c>
      <c r="G2073" s="404" t="s">
        <v>45</v>
      </c>
      <c r="H2073" s="411">
        <v>194.37</v>
      </c>
      <c r="I2073" s="411">
        <v>0</v>
      </c>
      <c r="J2073" s="391">
        <f>-((H2073*0.022)+0.3)</f>
        <v>-4.5761399999999997</v>
      </c>
      <c r="K2073" s="90">
        <f t="shared" si="368"/>
        <v>189.79386</v>
      </c>
      <c r="L2073" s="131">
        <v>1575</v>
      </c>
      <c r="M2073" s="187">
        <v>48.98</v>
      </c>
      <c r="N2073" s="91">
        <f t="shared" si="358"/>
        <v>195.45499999999998</v>
      </c>
      <c r="O2073" s="411">
        <f t="shared" si="367"/>
        <v>-5.661139999999989</v>
      </c>
      <c r="P2073" s="132" t="s">
        <v>52</v>
      </c>
      <c r="Q2073" s="232"/>
      <c r="R2073" s="411"/>
      <c r="T2073" s="134" t="s">
        <v>145</v>
      </c>
      <c r="U2073" s="267" t="s">
        <v>4844</v>
      </c>
      <c r="W2073" s="153" t="s">
        <v>3729</v>
      </c>
      <c r="AA2073" s="218"/>
    </row>
    <row r="2074" spans="1:27" ht="24" x14ac:dyDescent="0.25">
      <c r="A2074" s="405">
        <v>3001560</v>
      </c>
      <c r="B2074" s="406">
        <v>42465</v>
      </c>
      <c r="C2074" s="405" t="s">
        <v>42</v>
      </c>
      <c r="D2074" s="401" t="s">
        <v>4845</v>
      </c>
      <c r="E2074" s="120">
        <v>300</v>
      </c>
      <c r="F2074" s="133" t="s">
        <v>4846</v>
      </c>
      <c r="G2074" s="404" t="s">
        <v>45</v>
      </c>
      <c r="H2074" s="411">
        <v>408.48</v>
      </c>
      <c r="I2074" s="89">
        <f t="shared" ref="I2074:I2082" si="371">-(H2074*0.09)</f>
        <v>-36.763199999999998</v>
      </c>
      <c r="J2074" s="391">
        <f t="shared" ref="J2074:J2082" si="372">-((H2074*0.019)+0.3)</f>
        <v>-8.0611200000000007</v>
      </c>
      <c r="K2074" s="90">
        <f t="shared" si="368"/>
        <v>363.65568000000002</v>
      </c>
      <c r="M2074" s="158">
        <v>54.01</v>
      </c>
      <c r="N2074" s="91">
        <f t="shared" ref="N2074:N2137" si="373">((L2074)*(E2074*0.001))+M2074</f>
        <v>54.01</v>
      </c>
      <c r="O2074" s="411">
        <f t="shared" si="367"/>
        <v>309.64568000000003</v>
      </c>
      <c r="P2074" s="132" t="s">
        <v>52</v>
      </c>
      <c r="Q2074" s="232"/>
      <c r="R2074" s="411"/>
      <c r="T2074" s="134" t="s">
        <v>145</v>
      </c>
      <c r="U2074" s="267" t="s">
        <v>4847</v>
      </c>
      <c r="AA2074" s="218"/>
    </row>
    <row r="2075" spans="1:27" ht="24" x14ac:dyDescent="0.25">
      <c r="A2075" s="405">
        <v>3001561</v>
      </c>
      <c r="B2075" s="406">
        <v>42465</v>
      </c>
      <c r="C2075" s="405" t="s">
        <v>42</v>
      </c>
      <c r="D2075" s="401" t="s">
        <v>4848</v>
      </c>
      <c r="E2075" s="120">
        <v>325</v>
      </c>
      <c r="F2075" s="133" t="s">
        <v>829</v>
      </c>
      <c r="G2075" s="404" t="s">
        <v>45</v>
      </c>
      <c r="H2075" s="411">
        <v>334.43</v>
      </c>
      <c r="I2075" s="89">
        <f t="shared" si="371"/>
        <v>-30.098700000000001</v>
      </c>
      <c r="J2075" s="391">
        <f t="shared" si="372"/>
        <v>-6.6541699999999997</v>
      </c>
      <c r="K2075" s="90">
        <f t="shared" si="368"/>
        <v>297.67712999999998</v>
      </c>
      <c r="L2075" s="131">
        <v>510</v>
      </c>
      <c r="M2075" s="158">
        <v>50.02</v>
      </c>
      <c r="N2075" s="91">
        <f t="shared" si="373"/>
        <v>215.77</v>
      </c>
      <c r="O2075" s="411">
        <f t="shared" si="367"/>
        <v>81.907129999999967</v>
      </c>
      <c r="P2075" s="132" t="s">
        <v>52</v>
      </c>
      <c r="Q2075" s="232"/>
      <c r="R2075" s="411">
        <v>21.88</v>
      </c>
      <c r="S2075" s="133" t="s">
        <v>1464</v>
      </c>
      <c r="T2075" s="134" t="s">
        <v>145</v>
      </c>
      <c r="U2075" s="267" t="s">
        <v>4849</v>
      </c>
      <c r="AA2075" s="218"/>
    </row>
    <row r="2076" spans="1:27" ht="24" customHeight="1" x14ac:dyDescent="0.25">
      <c r="A2076" s="419">
        <v>3001562</v>
      </c>
      <c r="B2076" s="421">
        <v>42465</v>
      </c>
      <c r="C2076" s="419" t="s">
        <v>42</v>
      </c>
      <c r="D2076" s="417" t="s">
        <v>4850</v>
      </c>
      <c r="E2076" s="120">
        <v>150</v>
      </c>
      <c r="F2076" s="133" t="s">
        <v>4851</v>
      </c>
      <c r="G2076" s="434" t="s">
        <v>45</v>
      </c>
      <c r="H2076" s="427">
        <v>441.75</v>
      </c>
      <c r="I2076" s="452">
        <f t="shared" si="371"/>
        <v>-39.7575</v>
      </c>
      <c r="J2076" s="425">
        <f t="shared" si="372"/>
        <v>-8.6932500000000008</v>
      </c>
      <c r="K2076" s="425">
        <f t="shared" si="368"/>
        <v>393.29925000000003</v>
      </c>
      <c r="M2076" s="187">
        <v>54.24</v>
      </c>
      <c r="N2076" s="91">
        <f t="shared" si="373"/>
        <v>54.24</v>
      </c>
      <c r="O2076" s="411">
        <f t="shared" si="367"/>
        <v>339.05925000000002</v>
      </c>
      <c r="P2076" s="132" t="s">
        <v>52</v>
      </c>
      <c r="Q2076" s="232"/>
      <c r="R2076" s="411"/>
      <c r="T2076" s="470" t="s">
        <v>145</v>
      </c>
      <c r="U2076" s="446" t="s">
        <v>4852</v>
      </c>
      <c r="AA2076" s="218"/>
    </row>
    <row r="2077" spans="1:27" x14ac:dyDescent="0.25">
      <c r="A2077" s="420"/>
      <c r="B2077" s="422"/>
      <c r="C2077" s="420"/>
      <c r="D2077" s="418"/>
      <c r="E2077" s="120">
        <v>150</v>
      </c>
      <c r="F2077" s="133" t="s">
        <v>182</v>
      </c>
      <c r="G2077" s="436"/>
      <c r="H2077" s="428"/>
      <c r="I2077" s="453"/>
      <c r="J2077" s="426"/>
      <c r="K2077" s="426"/>
      <c r="N2077" s="91">
        <f t="shared" si="373"/>
        <v>0</v>
      </c>
      <c r="O2077" s="411">
        <f t="shared" si="367"/>
        <v>0</v>
      </c>
      <c r="P2077" s="132" t="s">
        <v>52</v>
      </c>
      <c r="Q2077" s="232"/>
      <c r="R2077" s="411"/>
      <c r="T2077" s="472"/>
      <c r="U2077" s="447"/>
      <c r="AA2077" s="218"/>
    </row>
    <row r="2078" spans="1:27" ht="24" x14ac:dyDescent="0.25">
      <c r="A2078" s="405">
        <v>3001563</v>
      </c>
      <c r="B2078" s="406">
        <v>42465</v>
      </c>
      <c r="C2078" s="405" t="s">
        <v>42</v>
      </c>
      <c r="D2078" s="401" t="s">
        <v>4853</v>
      </c>
      <c r="E2078" s="120">
        <v>135</v>
      </c>
      <c r="F2078" s="133" t="s">
        <v>247</v>
      </c>
      <c r="G2078" s="404" t="s">
        <v>45</v>
      </c>
      <c r="H2078" s="411">
        <v>153.9</v>
      </c>
      <c r="I2078" s="89">
        <f t="shared" si="371"/>
        <v>-13.851000000000001</v>
      </c>
      <c r="J2078" s="391">
        <f t="shared" si="372"/>
        <v>-3.2241</v>
      </c>
      <c r="K2078" s="90">
        <f t="shared" si="368"/>
        <v>136.82490000000001</v>
      </c>
      <c r="L2078" s="131">
        <v>480</v>
      </c>
      <c r="M2078" s="158">
        <v>54.17</v>
      </c>
      <c r="N2078" s="91">
        <f t="shared" si="373"/>
        <v>118.97000000000001</v>
      </c>
      <c r="O2078" s="411">
        <f t="shared" si="367"/>
        <v>17.854900000000001</v>
      </c>
      <c r="P2078" s="132" t="s">
        <v>86</v>
      </c>
      <c r="Q2078" s="232"/>
      <c r="R2078" s="411"/>
      <c r="T2078" s="134" t="s">
        <v>145</v>
      </c>
      <c r="U2078" s="267" t="s">
        <v>4854</v>
      </c>
      <c r="AA2078" s="218"/>
    </row>
    <row r="2079" spans="1:27" ht="24" x14ac:dyDescent="0.25">
      <c r="A2079" s="405">
        <v>3001564</v>
      </c>
      <c r="B2079" s="406">
        <v>42465</v>
      </c>
      <c r="C2079" s="405" t="s">
        <v>42</v>
      </c>
      <c r="D2079" s="401" t="s">
        <v>4855</v>
      </c>
      <c r="E2079" s="120">
        <v>100</v>
      </c>
      <c r="F2079" s="133" t="s">
        <v>431</v>
      </c>
      <c r="G2079" s="404" t="s">
        <v>45</v>
      </c>
      <c r="H2079" s="411">
        <v>216.11</v>
      </c>
      <c r="I2079" s="89">
        <f t="shared" si="371"/>
        <v>-19.4499</v>
      </c>
      <c r="J2079" s="391">
        <f t="shared" si="372"/>
        <v>-4.4060899999999998</v>
      </c>
      <c r="K2079" s="90">
        <f t="shared" si="368"/>
        <v>192.25400999999999</v>
      </c>
      <c r="L2079" s="131">
        <v>990</v>
      </c>
      <c r="M2079" s="158">
        <v>46.8</v>
      </c>
      <c r="N2079" s="91">
        <f t="shared" si="373"/>
        <v>145.80000000000001</v>
      </c>
      <c r="O2079" s="411">
        <f t="shared" si="367"/>
        <v>46.454009999999982</v>
      </c>
      <c r="P2079" s="132" t="s">
        <v>52</v>
      </c>
      <c r="Q2079" s="232"/>
      <c r="R2079" s="411"/>
      <c r="T2079" s="134" t="s">
        <v>145</v>
      </c>
      <c r="U2079" s="267" t="s">
        <v>4856</v>
      </c>
      <c r="AA2079" s="218"/>
    </row>
    <row r="2080" spans="1:27" ht="24" x14ac:dyDescent="0.25">
      <c r="A2080" s="405">
        <v>3001565</v>
      </c>
      <c r="B2080" s="406">
        <v>42465</v>
      </c>
      <c r="C2080" s="405" t="s">
        <v>42</v>
      </c>
      <c r="D2080" s="401" t="s">
        <v>4857</v>
      </c>
      <c r="E2080" s="120">
        <v>250</v>
      </c>
      <c r="F2080" s="133" t="s">
        <v>4858</v>
      </c>
      <c r="G2080" s="404" t="s">
        <v>45</v>
      </c>
      <c r="H2080" s="411">
        <v>157.9</v>
      </c>
      <c r="I2080" s="89">
        <f t="shared" si="371"/>
        <v>-14.211</v>
      </c>
      <c r="J2080" s="391">
        <f t="shared" si="372"/>
        <v>-3.3001</v>
      </c>
      <c r="K2080" s="90">
        <f t="shared" si="368"/>
        <v>140.38890000000001</v>
      </c>
      <c r="L2080" s="187">
        <v>145</v>
      </c>
      <c r="M2080" s="187">
        <v>13.27</v>
      </c>
      <c r="N2080" s="91">
        <f t="shared" si="373"/>
        <v>49.519999999999996</v>
      </c>
      <c r="O2080" s="411">
        <f t="shared" si="367"/>
        <v>90.868900000000011</v>
      </c>
      <c r="P2080" s="132" t="s">
        <v>183</v>
      </c>
      <c r="Q2080" s="232"/>
      <c r="R2080" s="411">
        <v>11.7</v>
      </c>
      <c r="S2080" s="133" t="s">
        <v>1169</v>
      </c>
      <c r="T2080" s="134" t="s">
        <v>145</v>
      </c>
      <c r="U2080" s="267" t="s">
        <v>4859</v>
      </c>
      <c r="AA2080" s="218"/>
    </row>
    <row r="2081" spans="1:27" ht="24" x14ac:dyDescent="0.25">
      <c r="A2081" s="405">
        <v>3001566</v>
      </c>
      <c r="B2081" s="406">
        <v>42465</v>
      </c>
      <c r="C2081" s="405" t="s">
        <v>42</v>
      </c>
      <c r="D2081" s="401" t="s">
        <v>4860</v>
      </c>
      <c r="E2081" s="120">
        <v>150</v>
      </c>
      <c r="F2081" s="133" t="s">
        <v>341</v>
      </c>
      <c r="G2081" s="404" t="s">
        <v>45</v>
      </c>
      <c r="H2081" s="411">
        <v>235.79</v>
      </c>
      <c r="I2081" s="89">
        <f t="shared" si="371"/>
        <v>-21.2211</v>
      </c>
      <c r="J2081" s="391">
        <f t="shared" si="372"/>
        <v>-4.7800099999999999</v>
      </c>
      <c r="K2081" s="90">
        <f t="shared" si="368"/>
        <v>209.78888999999998</v>
      </c>
      <c r="L2081" s="131">
        <v>660</v>
      </c>
      <c r="M2081" s="187">
        <v>32.26</v>
      </c>
      <c r="N2081" s="91">
        <f t="shared" si="373"/>
        <v>131.26</v>
      </c>
      <c r="O2081" s="411">
        <f t="shared" si="367"/>
        <v>78.52888999999999</v>
      </c>
      <c r="P2081" s="132" t="s">
        <v>52</v>
      </c>
      <c r="Q2081" s="232"/>
      <c r="R2081" s="411"/>
      <c r="T2081" s="134" t="s">
        <v>145</v>
      </c>
      <c r="U2081" s="267" t="s">
        <v>4861</v>
      </c>
      <c r="AA2081" s="218"/>
    </row>
    <row r="2082" spans="1:27" x14ac:dyDescent="0.25">
      <c r="A2082" s="405">
        <v>3001567</v>
      </c>
      <c r="B2082" s="406">
        <v>42465</v>
      </c>
      <c r="C2082" s="405" t="s">
        <v>42</v>
      </c>
      <c r="D2082" s="401" t="s">
        <v>4862</v>
      </c>
      <c r="E2082" s="120">
        <v>300</v>
      </c>
      <c r="F2082" s="133" t="s">
        <v>222</v>
      </c>
      <c r="G2082" s="404" t="s">
        <v>45</v>
      </c>
      <c r="H2082" s="411">
        <v>474</v>
      </c>
      <c r="I2082" s="89">
        <f t="shared" si="371"/>
        <v>-42.66</v>
      </c>
      <c r="J2082" s="391">
        <f t="shared" si="372"/>
        <v>-9.3060000000000009</v>
      </c>
      <c r="K2082" s="90">
        <f t="shared" si="368"/>
        <v>422.03400000000005</v>
      </c>
      <c r="L2082" s="131">
        <v>930</v>
      </c>
      <c r="M2082" s="187">
        <v>162.24</v>
      </c>
      <c r="N2082" s="91">
        <f t="shared" si="373"/>
        <v>441.24</v>
      </c>
      <c r="O2082" s="411">
        <f t="shared" si="367"/>
        <v>-19.20599999999996</v>
      </c>
      <c r="P2082" s="132" t="s">
        <v>52</v>
      </c>
      <c r="Q2082" s="232"/>
      <c r="R2082" s="411"/>
      <c r="T2082" s="134" t="s">
        <v>314</v>
      </c>
      <c r="U2082" s="266" t="s">
        <v>4863</v>
      </c>
      <c r="V2082" s="133" t="s">
        <v>55</v>
      </c>
      <c r="AA2082" s="218"/>
    </row>
    <row r="2083" spans="1:27" ht="24" x14ac:dyDescent="0.25">
      <c r="A2083" s="405">
        <v>3001568</v>
      </c>
      <c r="B2083" s="406">
        <v>42465</v>
      </c>
      <c r="C2083" s="405" t="s">
        <v>237</v>
      </c>
      <c r="D2083" s="401" t="s">
        <v>4864</v>
      </c>
      <c r="E2083" s="120">
        <v>200</v>
      </c>
      <c r="F2083" s="133" t="s">
        <v>323</v>
      </c>
      <c r="G2083" s="404" t="s">
        <v>45</v>
      </c>
      <c r="H2083" s="411">
        <v>184.79</v>
      </c>
      <c r="I2083" s="397">
        <f>-(H2083*0.15)</f>
        <v>-27.718499999999999</v>
      </c>
      <c r="J2083" s="411">
        <v>0</v>
      </c>
      <c r="K2083" s="90">
        <f t="shared" si="368"/>
        <v>157.07149999999999</v>
      </c>
      <c r="M2083" s="158">
        <v>34.9</v>
      </c>
      <c r="N2083" s="91">
        <f t="shared" si="373"/>
        <v>34.9</v>
      </c>
      <c r="O2083" s="411">
        <f t="shared" si="367"/>
        <v>122.17149999999998</v>
      </c>
      <c r="P2083" s="132" t="s">
        <v>52</v>
      </c>
      <c r="Q2083" s="232"/>
      <c r="R2083" s="411"/>
      <c r="T2083" s="134" t="s">
        <v>145</v>
      </c>
      <c r="U2083" s="267" t="s">
        <v>4865</v>
      </c>
      <c r="AA2083" s="218"/>
    </row>
    <row r="2084" spans="1:27" ht="24" x14ac:dyDescent="0.25">
      <c r="A2084" s="405">
        <v>3001569</v>
      </c>
      <c r="B2084" s="406">
        <v>42465</v>
      </c>
      <c r="C2084" s="405" t="s">
        <v>237</v>
      </c>
      <c r="D2084" s="401" t="s">
        <v>4866</v>
      </c>
      <c r="E2084" s="120">
        <v>100</v>
      </c>
      <c r="F2084" s="133" t="s">
        <v>173</v>
      </c>
      <c r="G2084" s="404" t="s">
        <v>45</v>
      </c>
      <c r="H2084" s="411">
        <v>112</v>
      </c>
      <c r="I2084" s="397">
        <f>-(H2084*0.15)</f>
        <v>-16.8</v>
      </c>
      <c r="J2084" s="411">
        <v>0</v>
      </c>
      <c r="K2084" s="90">
        <f t="shared" si="368"/>
        <v>95.2</v>
      </c>
      <c r="L2084" s="131">
        <v>407</v>
      </c>
      <c r="M2084" s="158">
        <v>38.29</v>
      </c>
      <c r="N2084" s="91">
        <f t="shared" si="373"/>
        <v>78.990000000000009</v>
      </c>
      <c r="O2084" s="411">
        <f t="shared" si="367"/>
        <v>16.209999999999994</v>
      </c>
      <c r="P2084" s="132" t="s">
        <v>52</v>
      </c>
      <c r="Q2084" s="232"/>
      <c r="R2084" s="411"/>
      <c r="T2084" s="134" t="s">
        <v>145</v>
      </c>
      <c r="U2084" s="267" t="s">
        <v>4867</v>
      </c>
      <c r="AA2084" s="218"/>
    </row>
    <row r="2085" spans="1:27" ht="24" x14ac:dyDescent="0.25">
      <c r="A2085" s="405">
        <v>3001570</v>
      </c>
      <c r="B2085" s="406">
        <v>42465</v>
      </c>
      <c r="C2085" s="405" t="s">
        <v>237</v>
      </c>
      <c r="D2085" s="401" t="s">
        <v>4868</v>
      </c>
      <c r="E2085" s="120">
        <v>500</v>
      </c>
      <c r="F2085" s="133" t="s">
        <v>4869</v>
      </c>
      <c r="G2085" s="404" t="s">
        <v>45</v>
      </c>
      <c r="H2085" s="411">
        <v>536.39</v>
      </c>
      <c r="I2085" s="397">
        <f>-(H2085*0.15)</f>
        <v>-80.458500000000001</v>
      </c>
      <c r="J2085" s="411">
        <v>0</v>
      </c>
      <c r="K2085" s="90">
        <f t="shared" si="368"/>
        <v>455.93149999999997</v>
      </c>
      <c r="L2085" s="187">
        <v>480</v>
      </c>
      <c r="M2085" s="187">
        <v>32.43</v>
      </c>
      <c r="N2085" s="91">
        <f t="shared" si="373"/>
        <v>272.43</v>
      </c>
      <c r="O2085" s="411">
        <f t="shared" si="367"/>
        <v>183.50149999999996</v>
      </c>
      <c r="P2085" s="132" t="s">
        <v>183</v>
      </c>
      <c r="Q2085" s="232"/>
      <c r="R2085" s="411"/>
      <c r="T2085" s="134" t="s">
        <v>145</v>
      </c>
      <c r="U2085" s="267" t="s">
        <v>4870</v>
      </c>
      <c r="AA2085" s="218"/>
    </row>
    <row r="2086" spans="1:27" x14ac:dyDescent="0.25">
      <c r="A2086" s="419">
        <v>3001571</v>
      </c>
      <c r="B2086" s="421">
        <v>42465</v>
      </c>
      <c r="C2086" s="419" t="s">
        <v>141</v>
      </c>
      <c r="D2086" s="417" t="s">
        <v>74</v>
      </c>
      <c r="E2086" s="120">
        <v>20000</v>
      </c>
      <c r="F2086" s="133" t="s">
        <v>4871</v>
      </c>
      <c r="G2086" s="434" t="s">
        <v>45</v>
      </c>
      <c r="H2086" s="427">
        <v>16690</v>
      </c>
      <c r="I2086" s="427">
        <v>0</v>
      </c>
      <c r="J2086" s="425">
        <f>-((H2086*0.0325)+0.3)</f>
        <v>-542.72500000000002</v>
      </c>
      <c r="K2086" s="425">
        <f t="shared" si="368"/>
        <v>16147.275</v>
      </c>
      <c r="L2086" s="187">
        <v>480</v>
      </c>
      <c r="M2086" s="485">
        <v>701.87</v>
      </c>
      <c r="N2086" s="91">
        <f t="shared" si="373"/>
        <v>10301.870000000001</v>
      </c>
      <c r="O2086" s="411">
        <f t="shared" si="367"/>
        <v>5845.4049999999988</v>
      </c>
      <c r="P2086" s="132" t="s">
        <v>76</v>
      </c>
      <c r="Q2086" s="232"/>
      <c r="R2086" s="411"/>
      <c r="T2086" s="439" t="s">
        <v>97</v>
      </c>
      <c r="U2086" s="444">
        <v>3653241196</v>
      </c>
      <c r="V2086" s="133" t="s">
        <v>55</v>
      </c>
      <c r="W2086" s="153" t="s">
        <v>77</v>
      </c>
      <c r="AA2086" s="218"/>
    </row>
    <row r="2087" spans="1:27" x14ac:dyDescent="0.25">
      <c r="A2087" s="420"/>
      <c r="B2087" s="422"/>
      <c r="C2087" s="420"/>
      <c r="D2087" s="418"/>
      <c r="E2087" s="120">
        <v>10000</v>
      </c>
      <c r="F2087" s="133" t="s">
        <v>3469</v>
      </c>
      <c r="G2087" s="436"/>
      <c r="H2087" s="428"/>
      <c r="I2087" s="428"/>
      <c r="J2087" s="426"/>
      <c r="K2087" s="426"/>
      <c r="L2087" s="187">
        <v>322</v>
      </c>
      <c r="M2087" s="487"/>
      <c r="N2087" s="91">
        <f t="shared" si="373"/>
        <v>3220</v>
      </c>
      <c r="O2087" s="411">
        <f t="shared" si="367"/>
        <v>-3220</v>
      </c>
      <c r="P2087" s="132" t="s">
        <v>76</v>
      </c>
      <c r="Q2087" s="232"/>
      <c r="R2087" s="411"/>
      <c r="T2087" s="441"/>
      <c r="U2087" s="445"/>
      <c r="AA2087" s="218"/>
    </row>
    <row r="2088" spans="1:27" ht="24" x14ac:dyDescent="0.25">
      <c r="A2088" s="405">
        <v>3001572</v>
      </c>
      <c r="B2088" s="406">
        <v>42466</v>
      </c>
      <c r="C2088" s="405" t="s">
        <v>327</v>
      </c>
      <c r="D2088" s="401" t="s">
        <v>4872</v>
      </c>
      <c r="E2088" s="120">
        <v>250</v>
      </c>
      <c r="F2088" s="133" t="s">
        <v>207</v>
      </c>
      <c r="G2088" s="404" t="s">
        <v>45</v>
      </c>
      <c r="H2088" s="411">
        <v>222.5</v>
      </c>
      <c r="I2088" s="411">
        <v>0</v>
      </c>
      <c r="J2088" s="391">
        <f>-((H2088*0.022)+0.3)</f>
        <v>-5.1949999999999994</v>
      </c>
      <c r="K2088" s="90">
        <f t="shared" si="368"/>
        <v>217.30500000000001</v>
      </c>
      <c r="L2088" s="131">
        <v>570</v>
      </c>
      <c r="M2088" s="158">
        <v>42.88</v>
      </c>
      <c r="N2088" s="91">
        <f t="shared" si="373"/>
        <v>185.38</v>
      </c>
      <c r="O2088" s="411">
        <f t="shared" si="367"/>
        <v>31.925000000000011</v>
      </c>
      <c r="P2088" s="132" t="s">
        <v>52</v>
      </c>
      <c r="Q2088" s="232"/>
      <c r="R2088" s="411"/>
      <c r="T2088" s="134" t="s">
        <v>145</v>
      </c>
      <c r="U2088" s="267" t="s">
        <v>4873</v>
      </c>
      <c r="W2088" s="153" t="s">
        <v>4874</v>
      </c>
      <c r="AA2088" s="218"/>
    </row>
    <row r="2089" spans="1:27" ht="24" x14ac:dyDescent="0.25">
      <c r="A2089" s="405">
        <v>3001573</v>
      </c>
      <c r="B2089" s="406">
        <v>42466</v>
      </c>
      <c r="C2089" s="405" t="s">
        <v>327</v>
      </c>
      <c r="D2089" s="401" t="s">
        <v>4875</v>
      </c>
      <c r="E2089" s="120">
        <v>150</v>
      </c>
      <c r="F2089" s="133" t="s">
        <v>300</v>
      </c>
      <c r="G2089" s="404" t="s">
        <v>45</v>
      </c>
      <c r="H2089" s="411">
        <v>600</v>
      </c>
      <c r="I2089" s="411">
        <v>0</v>
      </c>
      <c r="J2089" s="391">
        <f>-((H2089*0.022)+0.3)</f>
        <v>-13.5</v>
      </c>
      <c r="K2089" s="90">
        <f t="shared" si="368"/>
        <v>586.5</v>
      </c>
      <c r="L2089" s="131">
        <v>2150</v>
      </c>
      <c r="M2089" s="158">
        <v>68.36</v>
      </c>
      <c r="N2089" s="91">
        <f t="shared" si="373"/>
        <v>390.86</v>
      </c>
      <c r="O2089" s="411">
        <f t="shared" si="367"/>
        <v>195.64</v>
      </c>
      <c r="P2089" s="132" t="s">
        <v>52</v>
      </c>
      <c r="Q2089" s="232"/>
      <c r="R2089" s="411"/>
      <c r="T2089" s="134" t="s">
        <v>145</v>
      </c>
      <c r="U2089" s="267" t="s">
        <v>4876</v>
      </c>
      <c r="W2089" s="153" t="s">
        <v>4877</v>
      </c>
      <c r="AA2089" s="218"/>
    </row>
    <row r="2090" spans="1:27" ht="24" x14ac:dyDescent="0.25">
      <c r="A2090" s="419">
        <v>3001574</v>
      </c>
      <c r="B2090" s="421">
        <v>42466</v>
      </c>
      <c r="C2090" s="419" t="s">
        <v>327</v>
      </c>
      <c r="D2090" s="417" t="s">
        <v>4878</v>
      </c>
      <c r="E2090" s="120">
        <v>50</v>
      </c>
      <c r="F2090" s="133" t="s">
        <v>431</v>
      </c>
      <c r="G2090" s="434" t="s">
        <v>45</v>
      </c>
      <c r="H2090" s="427">
        <v>210</v>
      </c>
      <c r="I2090" s="427">
        <v>0</v>
      </c>
      <c r="J2090" s="425">
        <f>-((H2090*0.022)+0.3)</f>
        <v>-4.92</v>
      </c>
      <c r="K2090" s="425">
        <f t="shared" si="368"/>
        <v>205.08</v>
      </c>
      <c r="L2090" s="131">
        <v>990</v>
      </c>
      <c r="M2090" s="158">
        <v>36.39</v>
      </c>
      <c r="N2090" s="91">
        <f t="shared" si="373"/>
        <v>85.89</v>
      </c>
      <c r="O2090" s="411">
        <f t="shared" si="367"/>
        <v>119.19000000000001</v>
      </c>
      <c r="P2090" s="132" t="s">
        <v>52</v>
      </c>
      <c r="Q2090" s="232"/>
      <c r="R2090" s="411"/>
      <c r="T2090" s="134" t="s">
        <v>145</v>
      </c>
      <c r="U2090" s="267" t="s">
        <v>4879</v>
      </c>
      <c r="W2090" s="153" t="s">
        <v>4880</v>
      </c>
      <c r="AA2090" s="218"/>
    </row>
    <row r="2091" spans="1:27" x14ac:dyDescent="0.25">
      <c r="A2091" s="432"/>
      <c r="B2091" s="433"/>
      <c r="C2091" s="432"/>
      <c r="D2091" s="454"/>
      <c r="E2091" s="120">
        <v>40</v>
      </c>
      <c r="F2091" s="133" t="s">
        <v>4881</v>
      </c>
      <c r="G2091" s="435"/>
      <c r="H2091" s="438"/>
      <c r="I2091" s="438"/>
      <c r="J2091" s="437"/>
      <c r="K2091" s="437"/>
      <c r="L2091" s="187">
        <v>472</v>
      </c>
      <c r="M2091" s="187">
        <v>17.12</v>
      </c>
      <c r="N2091" s="91">
        <f t="shared" si="373"/>
        <v>36</v>
      </c>
      <c r="O2091" s="411">
        <f t="shared" si="367"/>
        <v>-36</v>
      </c>
      <c r="P2091" s="132" t="s">
        <v>601</v>
      </c>
      <c r="Q2091" s="232"/>
      <c r="R2091" s="411"/>
      <c r="T2091" s="439" t="s">
        <v>145</v>
      </c>
      <c r="U2091" s="446" t="s">
        <v>4882</v>
      </c>
      <c r="V2091" s="133" t="s">
        <v>4883</v>
      </c>
      <c r="W2091" s="205"/>
      <c r="AA2091" s="218"/>
    </row>
    <row r="2092" spans="1:27" x14ac:dyDescent="0.25">
      <c r="A2092" s="420"/>
      <c r="B2092" s="422"/>
      <c r="C2092" s="420"/>
      <c r="D2092" s="418"/>
      <c r="E2092" s="120">
        <v>40</v>
      </c>
      <c r="F2092" s="133" t="s">
        <v>4884</v>
      </c>
      <c r="G2092" s="436"/>
      <c r="H2092" s="428"/>
      <c r="I2092" s="428"/>
      <c r="J2092" s="426"/>
      <c r="K2092" s="426"/>
      <c r="L2092" s="187">
        <v>482</v>
      </c>
      <c r="N2092" s="91">
        <f t="shared" si="373"/>
        <v>19.28</v>
      </c>
      <c r="O2092" s="411">
        <f t="shared" si="367"/>
        <v>-19.28</v>
      </c>
      <c r="P2092" s="132" t="s">
        <v>601</v>
      </c>
      <c r="Q2092" s="232"/>
      <c r="R2092" s="411"/>
      <c r="T2092" s="441"/>
      <c r="U2092" s="447"/>
      <c r="V2092" s="133" t="s">
        <v>4883</v>
      </c>
      <c r="AA2092" s="218"/>
    </row>
    <row r="2093" spans="1:27" x14ac:dyDescent="0.25">
      <c r="A2093" s="405">
        <v>3001575</v>
      </c>
      <c r="B2093" s="406">
        <v>42466</v>
      </c>
      <c r="C2093" s="405" t="s">
        <v>63</v>
      </c>
      <c r="D2093" s="401" t="s">
        <v>4885</v>
      </c>
      <c r="E2093" s="120">
        <v>500</v>
      </c>
      <c r="F2093" s="133" t="s">
        <v>3955</v>
      </c>
      <c r="G2093" s="404" t="s">
        <v>45</v>
      </c>
      <c r="H2093" s="411">
        <v>310</v>
      </c>
      <c r="I2093" s="411">
        <v>0</v>
      </c>
      <c r="J2093" s="391">
        <f>-((H2093*0.022)+0.3)</f>
        <v>-7.1199999999999992</v>
      </c>
      <c r="K2093" s="90">
        <f t="shared" ref="K2093:K2149" si="374">SUM(H2093:J2093)</f>
        <v>302.88</v>
      </c>
      <c r="L2093" s="187">
        <v>416.42</v>
      </c>
      <c r="M2093" s="187">
        <v>41.71</v>
      </c>
      <c r="N2093" s="91">
        <f t="shared" si="373"/>
        <v>249.92000000000002</v>
      </c>
      <c r="O2093" s="411">
        <f t="shared" si="367"/>
        <v>52.95999999999998</v>
      </c>
      <c r="P2093" s="132" t="s">
        <v>76</v>
      </c>
      <c r="Q2093" s="232"/>
      <c r="R2093" s="411"/>
      <c r="T2093" s="134" t="s">
        <v>314</v>
      </c>
      <c r="U2093" s="267" t="s">
        <v>4886</v>
      </c>
      <c r="W2093" s="59" t="s">
        <v>4887</v>
      </c>
      <c r="X2093" s="59"/>
      <c r="AA2093" s="218"/>
    </row>
    <row r="2094" spans="1:27" ht="36" x14ac:dyDescent="0.25">
      <c r="A2094" s="405">
        <v>3001576</v>
      </c>
      <c r="B2094" s="406">
        <v>42466</v>
      </c>
      <c r="C2094" s="405" t="s">
        <v>63</v>
      </c>
      <c r="D2094" s="401" t="s">
        <v>4888</v>
      </c>
      <c r="E2094" s="120">
        <v>2000</v>
      </c>
      <c r="F2094" s="133" t="s">
        <v>4889</v>
      </c>
      <c r="G2094" s="404" t="s">
        <v>45</v>
      </c>
      <c r="H2094" s="411">
        <v>543.33000000000004</v>
      </c>
      <c r="I2094" s="411">
        <v>0</v>
      </c>
      <c r="J2094" s="391">
        <f>-((H2094*0.022)+0.3)</f>
        <v>-12.253260000000001</v>
      </c>
      <c r="K2094" s="90">
        <f t="shared" si="374"/>
        <v>531.07674000000009</v>
      </c>
      <c r="L2094" s="187">
        <v>185</v>
      </c>
      <c r="M2094" s="187">
        <v>39.56</v>
      </c>
      <c r="N2094" s="91">
        <f t="shared" si="373"/>
        <v>409.56</v>
      </c>
      <c r="O2094" s="411">
        <f t="shared" si="367"/>
        <v>121.51674000000008</v>
      </c>
      <c r="P2094" s="132" t="s">
        <v>183</v>
      </c>
      <c r="Q2094" s="232"/>
      <c r="R2094" s="411">
        <v>40.83</v>
      </c>
      <c r="S2094" s="133" t="s">
        <v>3610</v>
      </c>
      <c r="T2094" s="134" t="s">
        <v>324</v>
      </c>
      <c r="U2094" s="266" t="s">
        <v>4890</v>
      </c>
      <c r="W2094" s="153" t="s">
        <v>4891</v>
      </c>
      <c r="AA2094" s="218"/>
    </row>
    <row r="2095" spans="1:27" ht="24" x14ac:dyDescent="0.25">
      <c r="A2095" s="405">
        <v>3001577</v>
      </c>
      <c r="B2095" s="406">
        <v>42466</v>
      </c>
      <c r="C2095" s="405" t="s">
        <v>555</v>
      </c>
      <c r="D2095" s="401" t="s">
        <v>4892</v>
      </c>
      <c r="E2095" s="120">
        <v>3000</v>
      </c>
      <c r="F2095" s="133" t="s">
        <v>4893</v>
      </c>
      <c r="G2095" s="404" t="s">
        <v>45</v>
      </c>
      <c r="H2095" s="411">
        <v>3000</v>
      </c>
      <c r="I2095" s="411">
        <v>0</v>
      </c>
      <c r="J2095" s="411">
        <v>0</v>
      </c>
      <c r="K2095" s="90">
        <f t="shared" si="374"/>
        <v>3000</v>
      </c>
      <c r="L2095" s="131">
        <v>520</v>
      </c>
      <c r="M2095" s="131">
        <v>156.41</v>
      </c>
      <c r="N2095" s="91">
        <f t="shared" si="373"/>
        <v>1716.41</v>
      </c>
      <c r="O2095" s="411">
        <f t="shared" si="367"/>
        <v>1283.5899999999999</v>
      </c>
      <c r="P2095" s="132" t="s">
        <v>46</v>
      </c>
      <c r="Q2095" s="232"/>
      <c r="R2095" s="411"/>
      <c r="T2095" s="134" t="s">
        <v>473</v>
      </c>
      <c r="U2095" s="267" t="s">
        <v>4894</v>
      </c>
      <c r="W2095" s="153" t="s">
        <v>4895</v>
      </c>
      <c r="AA2095" s="218"/>
    </row>
    <row r="2096" spans="1:27" ht="36" x14ac:dyDescent="0.25">
      <c r="A2096" s="405">
        <v>3001578</v>
      </c>
      <c r="B2096" s="406">
        <v>42466</v>
      </c>
      <c r="C2096" s="405" t="s">
        <v>63</v>
      </c>
      <c r="D2096" s="401" t="s">
        <v>4896</v>
      </c>
      <c r="E2096" s="120">
        <v>250</v>
      </c>
      <c r="F2096" s="133" t="s">
        <v>4897</v>
      </c>
      <c r="G2096" s="404" t="s">
        <v>45</v>
      </c>
      <c r="H2096" s="411">
        <v>775</v>
      </c>
      <c r="I2096" s="411">
        <v>0</v>
      </c>
      <c r="J2096" s="391">
        <f>-((H2096*0.022)+0.3)</f>
        <v>-17.350000000000001</v>
      </c>
      <c r="K2096" s="90">
        <f t="shared" si="374"/>
        <v>757.65</v>
      </c>
      <c r="L2096" s="187">
        <v>1672.13</v>
      </c>
      <c r="M2096" s="187">
        <v>98</v>
      </c>
      <c r="N2096" s="91">
        <f t="shared" si="373"/>
        <v>516.03250000000003</v>
      </c>
      <c r="O2096" s="411">
        <f t="shared" si="367"/>
        <v>241.61749999999995</v>
      </c>
      <c r="P2096" s="132" t="s">
        <v>46</v>
      </c>
      <c r="Q2096" s="232"/>
      <c r="R2096" s="411"/>
      <c r="T2096" s="134" t="s">
        <v>4898</v>
      </c>
      <c r="U2096" s="267" t="s">
        <v>4899</v>
      </c>
      <c r="W2096" s="153" t="s">
        <v>4900</v>
      </c>
      <c r="AA2096" s="218"/>
    </row>
    <row r="2097" spans="1:27" ht="24" x14ac:dyDescent="0.25">
      <c r="A2097" s="405">
        <v>3001579</v>
      </c>
      <c r="B2097" s="406">
        <v>42466</v>
      </c>
      <c r="C2097" s="405" t="s">
        <v>327</v>
      </c>
      <c r="D2097" s="401" t="s">
        <v>4901</v>
      </c>
      <c r="E2097" s="120">
        <v>150</v>
      </c>
      <c r="F2097" s="133" t="s">
        <v>597</v>
      </c>
      <c r="G2097" s="404" t="s">
        <v>45</v>
      </c>
      <c r="H2097" s="411">
        <v>600</v>
      </c>
      <c r="I2097" s="411">
        <v>0</v>
      </c>
      <c r="J2097" s="391">
        <f>-((H2097*0.022)+0.3)</f>
        <v>-13.5</v>
      </c>
      <c r="K2097" s="90">
        <f t="shared" si="374"/>
        <v>586.5</v>
      </c>
      <c r="L2097" s="131">
        <v>2500</v>
      </c>
      <c r="M2097" s="187">
        <v>55.1</v>
      </c>
      <c r="N2097" s="91">
        <f t="shared" si="373"/>
        <v>430.1</v>
      </c>
      <c r="O2097" s="411">
        <f t="shared" si="367"/>
        <v>156.39999999999998</v>
      </c>
      <c r="P2097" s="132" t="s">
        <v>86</v>
      </c>
      <c r="Q2097" s="232"/>
      <c r="R2097" s="411"/>
      <c r="T2097" s="134" t="s">
        <v>145</v>
      </c>
      <c r="U2097" s="267" t="s">
        <v>4902</v>
      </c>
      <c r="W2097" s="153" t="s">
        <v>4903</v>
      </c>
      <c r="AA2097" s="218"/>
    </row>
    <row r="2098" spans="1:27" x14ac:dyDescent="0.25">
      <c r="A2098" s="405">
        <v>3001580</v>
      </c>
      <c r="B2098" s="406">
        <v>42466</v>
      </c>
      <c r="C2098" s="405" t="s">
        <v>63</v>
      </c>
      <c r="D2098" s="401" t="s">
        <v>4904</v>
      </c>
      <c r="E2098" s="120">
        <v>600</v>
      </c>
      <c r="F2098" s="133" t="s">
        <v>4905</v>
      </c>
      <c r="G2098" s="404" t="s">
        <v>45</v>
      </c>
      <c r="H2098" s="411">
        <v>627.5</v>
      </c>
      <c r="I2098" s="411">
        <v>0</v>
      </c>
      <c r="J2098" s="391">
        <f>-((H2098*0.022)+0.3)</f>
        <v>-14.105</v>
      </c>
      <c r="K2098" s="90">
        <f t="shared" si="374"/>
        <v>613.39499999999998</v>
      </c>
      <c r="L2098" s="187">
        <v>545</v>
      </c>
      <c r="M2098" s="131">
        <v>0</v>
      </c>
      <c r="N2098" s="91">
        <f t="shared" si="373"/>
        <v>327</v>
      </c>
      <c r="O2098" s="411">
        <f t="shared" si="367"/>
        <v>286.39499999999998</v>
      </c>
      <c r="P2098" s="132" t="s">
        <v>59</v>
      </c>
      <c r="Q2098" s="232"/>
      <c r="R2098" s="411"/>
      <c r="T2098" s="134" t="s">
        <v>389</v>
      </c>
      <c r="U2098" s="267" t="s">
        <v>4906</v>
      </c>
      <c r="W2098" s="153" t="s">
        <v>4907</v>
      </c>
      <c r="AA2098" s="218"/>
    </row>
    <row r="2099" spans="1:27" ht="24" x14ac:dyDescent="0.25">
      <c r="A2099" s="405">
        <v>3001581</v>
      </c>
      <c r="B2099" s="406">
        <v>42466</v>
      </c>
      <c r="C2099" s="405" t="s">
        <v>42</v>
      </c>
      <c r="D2099" s="401" t="s">
        <v>4908</v>
      </c>
      <c r="E2099" s="120">
        <v>100</v>
      </c>
      <c r="F2099" s="133" t="s">
        <v>288</v>
      </c>
      <c r="G2099" s="404" t="s">
        <v>45</v>
      </c>
      <c r="H2099" s="411">
        <v>187.16</v>
      </c>
      <c r="I2099" s="89">
        <f t="shared" ref="I2099:I2112" si="375">-(H2099*0.09)</f>
        <v>-16.8444</v>
      </c>
      <c r="J2099" s="391">
        <f t="shared" ref="J2099:J2112" si="376">-((H2099*0.019)+0.3)</f>
        <v>-3.8560399999999997</v>
      </c>
      <c r="K2099" s="90">
        <f t="shared" si="374"/>
        <v>166.45955999999998</v>
      </c>
      <c r="L2099" s="131">
        <v>990</v>
      </c>
      <c r="M2099" s="158">
        <v>52.9</v>
      </c>
      <c r="N2099" s="91">
        <f t="shared" si="373"/>
        <v>151.9</v>
      </c>
      <c r="O2099" s="411">
        <f t="shared" si="367"/>
        <v>14.559559999999976</v>
      </c>
      <c r="P2099" s="132" t="s">
        <v>52</v>
      </c>
      <c r="Q2099" s="232"/>
      <c r="R2099" s="411"/>
      <c r="T2099" s="134" t="s">
        <v>145</v>
      </c>
      <c r="U2099" s="267" t="s">
        <v>4909</v>
      </c>
      <c r="AA2099" s="218"/>
    </row>
    <row r="2100" spans="1:27" x14ac:dyDescent="0.25">
      <c r="A2100" s="419">
        <v>3001582</v>
      </c>
      <c r="B2100" s="421">
        <v>42466</v>
      </c>
      <c r="C2100" s="419" t="s">
        <v>42</v>
      </c>
      <c r="D2100" s="417" t="s">
        <v>4910</v>
      </c>
      <c r="E2100" s="120">
        <v>500</v>
      </c>
      <c r="F2100" s="194" t="s">
        <v>4911</v>
      </c>
      <c r="G2100" s="434" t="s">
        <v>45</v>
      </c>
      <c r="H2100" s="427">
        <v>437.38</v>
      </c>
      <c r="I2100" s="452">
        <f t="shared" si="375"/>
        <v>-39.364199999999997</v>
      </c>
      <c r="J2100" s="425">
        <f t="shared" si="376"/>
        <v>-8.61022</v>
      </c>
      <c r="K2100" s="425">
        <f t="shared" si="374"/>
        <v>389.40557999999999</v>
      </c>
      <c r="M2100" s="468">
        <v>103.8</v>
      </c>
      <c r="N2100" s="91">
        <f t="shared" si="373"/>
        <v>103.8</v>
      </c>
      <c r="O2100" s="411">
        <f t="shared" si="367"/>
        <v>285.60557999999997</v>
      </c>
      <c r="P2100" s="132" t="s">
        <v>621</v>
      </c>
      <c r="Q2100" s="232"/>
      <c r="R2100" s="411"/>
      <c r="T2100" s="470" t="s">
        <v>244</v>
      </c>
      <c r="U2100" s="446" t="s">
        <v>4912</v>
      </c>
      <c r="V2100" s="133" t="s">
        <v>55</v>
      </c>
      <c r="AA2100" s="218"/>
    </row>
    <row r="2101" spans="1:27" x14ac:dyDescent="0.25">
      <c r="A2101" s="420"/>
      <c r="B2101" s="422"/>
      <c r="C2101" s="420"/>
      <c r="D2101" s="418"/>
      <c r="E2101" s="120">
        <v>175</v>
      </c>
      <c r="F2101" s="133" t="s">
        <v>877</v>
      </c>
      <c r="G2101" s="436"/>
      <c r="H2101" s="428"/>
      <c r="I2101" s="453"/>
      <c r="J2101" s="426"/>
      <c r="K2101" s="426"/>
      <c r="L2101" s="131">
        <v>235</v>
      </c>
      <c r="M2101" s="469"/>
      <c r="N2101" s="91">
        <f t="shared" si="373"/>
        <v>41.125000000000007</v>
      </c>
      <c r="O2101" s="411">
        <f t="shared" si="367"/>
        <v>-41.125000000000007</v>
      </c>
      <c r="P2101" s="132" t="s">
        <v>86</v>
      </c>
      <c r="Q2101" s="232"/>
      <c r="R2101" s="411"/>
      <c r="T2101" s="472"/>
      <c r="U2101" s="447"/>
      <c r="V2101" s="133" t="s">
        <v>4913</v>
      </c>
      <c r="AA2101" s="218"/>
    </row>
    <row r="2102" spans="1:27" ht="24" x14ac:dyDescent="0.25">
      <c r="A2102" s="405">
        <v>3001583</v>
      </c>
      <c r="B2102" s="406">
        <v>42466</v>
      </c>
      <c r="C2102" s="405" t="s">
        <v>42</v>
      </c>
      <c r="D2102" s="401" t="s">
        <v>4914</v>
      </c>
      <c r="E2102" s="120">
        <v>110</v>
      </c>
      <c r="F2102" s="133" t="s">
        <v>1547</v>
      </c>
      <c r="G2102" s="404" t="s">
        <v>45</v>
      </c>
      <c r="H2102" s="411">
        <v>111.1</v>
      </c>
      <c r="I2102" s="89">
        <f t="shared" si="375"/>
        <v>-9.9989999999999988</v>
      </c>
      <c r="J2102" s="391">
        <f t="shared" si="376"/>
        <v>-2.4108999999999998</v>
      </c>
      <c r="K2102" s="90">
        <f t="shared" si="374"/>
        <v>98.690100000000001</v>
      </c>
      <c r="L2102" s="131">
        <v>385</v>
      </c>
      <c r="M2102" s="158">
        <v>37.78</v>
      </c>
      <c r="N2102" s="91">
        <f t="shared" si="373"/>
        <v>80.13</v>
      </c>
      <c r="O2102" s="411">
        <f t="shared" si="367"/>
        <v>18.560100000000006</v>
      </c>
      <c r="P2102" s="132" t="s">
        <v>52</v>
      </c>
      <c r="Q2102" s="232"/>
      <c r="R2102" s="411"/>
      <c r="T2102" s="134" t="s">
        <v>145</v>
      </c>
      <c r="U2102" s="267" t="s">
        <v>4915</v>
      </c>
      <c r="AA2102" s="218"/>
    </row>
    <row r="2103" spans="1:27" ht="24" x14ac:dyDescent="0.25">
      <c r="A2103" s="405">
        <v>3001584</v>
      </c>
      <c r="B2103" s="406">
        <v>42466</v>
      </c>
      <c r="C2103" s="405" t="s">
        <v>327</v>
      </c>
      <c r="D2103" s="401" t="s">
        <v>4916</v>
      </c>
      <c r="E2103" s="120">
        <v>400</v>
      </c>
      <c r="F2103" s="133" t="s">
        <v>528</v>
      </c>
      <c r="G2103" s="404" t="s">
        <v>45</v>
      </c>
      <c r="H2103" s="411">
        <v>1050</v>
      </c>
      <c r="I2103" s="411">
        <v>0</v>
      </c>
      <c r="J2103" s="391">
        <f>-((H2103*0.022)+0.3)</f>
        <v>-23.4</v>
      </c>
      <c r="K2103" s="90">
        <f t="shared" si="374"/>
        <v>1026.5999999999999</v>
      </c>
      <c r="L2103" s="187">
        <v>1431</v>
      </c>
      <c r="M2103" s="187">
        <v>115</v>
      </c>
      <c r="N2103" s="91">
        <f t="shared" si="373"/>
        <v>687.4</v>
      </c>
      <c r="O2103" s="411">
        <f t="shared" si="367"/>
        <v>339.19999999999993</v>
      </c>
      <c r="P2103" s="132" t="s">
        <v>183</v>
      </c>
      <c r="Q2103" s="232"/>
      <c r="R2103" s="411"/>
      <c r="T2103" s="134" t="s">
        <v>145</v>
      </c>
      <c r="U2103" s="267" t="s">
        <v>4917</v>
      </c>
      <c r="W2103" s="153" t="s">
        <v>4918</v>
      </c>
      <c r="AA2103" s="218"/>
    </row>
    <row r="2104" spans="1:27" ht="24" x14ac:dyDescent="0.25">
      <c r="A2104" s="405">
        <v>3001585</v>
      </c>
      <c r="B2104" s="406">
        <v>42466</v>
      </c>
      <c r="C2104" s="405" t="s">
        <v>42</v>
      </c>
      <c r="D2104" s="401" t="s">
        <v>4919</v>
      </c>
      <c r="E2104" s="120">
        <v>100</v>
      </c>
      <c r="F2104" s="133" t="s">
        <v>605</v>
      </c>
      <c r="G2104" s="404" t="s">
        <v>45</v>
      </c>
      <c r="H2104" s="411">
        <v>151.03</v>
      </c>
      <c r="I2104" s="89">
        <f t="shared" si="375"/>
        <v>-13.592699999999999</v>
      </c>
      <c r="J2104" s="391">
        <f t="shared" si="376"/>
        <v>-3.1695699999999998</v>
      </c>
      <c r="K2104" s="90">
        <f t="shared" si="374"/>
        <v>134.26773</v>
      </c>
      <c r="L2104" s="131">
        <v>600</v>
      </c>
      <c r="M2104" s="158">
        <v>41.75</v>
      </c>
      <c r="N2104" s="91">
        <f t="shared" si="373"/>
        <v>101.75</v>
      </c>
      <c r="O2104" s="411">
        <f t="shared" si="367"/>
        <v>32.51773</v>
      </c>
      <c r="P2104" s="132" t="s">
        <v>52</v>
      </c>
      <c r="Q2104" s="232"/>
      <c r="R2104" s="411"/>
      <c r="T2104" s="134" t="s">
        <v>145</v>
      </c>
      <c r="U2104" s="267" t="s">
        <v>4920</v>
      </c>
      <c r="AA2104" s="218"/>
    </row>
    <row r="2105" spans="1:27" ht="24" x14ac:dyDescent="0.25">
      <c r="A2105" s="405">
        <v>3001586</v>
      </c>
      <c r="B2105" s="406">
        <v>42466</v>
      </c>
      <c r="C2105" s="405" t="s">
        <v>42</v>
      </c>
      <c r="D2105" s="401" t="s">
        <v>4660</v>
      </c>
      <c r="E2105" s="120">
        <v>2000</v>
      </c>
      <c r="F2105" s="119" t="s">
        <v>4921</v>
      </c>
      <c r="G2105" s="404" t="s">
        <v>45</v>
      </c>
      <c r="H2105" s="411">
        <v>511.2</v>
      </c>
      <c r="I2105" s="89">
        <f t="shared" si="375"/>
        <v>-46.007999999999996</v>
      </c>
      <c r="J2105" s="391">
        <f t="shared" si="376"/>
        <v>-10.0128</v>
      </c>
      <c r="K2105" s="90">
        <f t="shared" si="374"/>
        <v>455.17919999999998</v>
      </c>
      <c r="L2105" s="187">
        <v>142</v>
      </c>
      <c r="M2105" s="187">
        <v>105</v>
      </c>
      <c r="N2105" s="91">
        <f t="shared" si="373"/>
        <v>389</v>
      </c>
      <c r="O2105" s="411">
        <f t="shared" si="367"/>
        <v>66.17919999999998</v>
      </c>
      <c r="P2105" s="132" t="s">
        <v>183</v>
      </c>
      <c r="Q2105" s="232"/>
      <c r="R2105" s="411"/>
      <c r="T2105" s="134" t="s">
        <v>4922</v>
      </c>
      <c r="U2105" s="267" t="s">
        <v>4923</v>
      </c>
      <c r="AA2105" s="218"/>
    </row>
    <row r="2106" spans="1:27" ht="24" x14ac:dyDescent="0.25">
      <c r="A2106" s="405">
        <v>3001587</v>
      </c>
      <c r="B2106" s="406">
        <v>42466</v>
      </c>
      <c r="C2106" s="405" t="s">
        <v>42</v>
      </c>
      <c r="D2106" s="401" t="s">
        <v>4924</v>
      </c>
      <c r="E2106" s="120">
        <v>1000</v>
      </c>
      <c r="F2106" s="133" t="s">
        <v>4925</v>
      </c>
      <c r="G2106" s="404" t="s">
        <v>45</v>
      </c>
      <c r="H2106" s="411">
        <v>480</v>
      </c>
      <c r="I2106" s="89">
        <f t="shared" si="375"/>
        <v>-43.199999999999996</v>
      </c>
      <c r="J2106" s="391">
        <f t="shared" si="376"/>
        <v>-9.42</v>
      </c>
      <c r="K2106" s="90">
        <f t="shared" si="374"/>
        <v>427.38</v>
      </c>
      <c r="M2106" s="180">
        <v>56.58</v>
      </c>
      <c r="N2106" s="91">
        <f t="shared" si="373"/>
        <v>56.58</v>
      </c>
      <c r="O2106" s="411">
        <f t="shared" si="367"/>
        <v>370.8</v>
      </c>
      <c r="P2106" s="132" t="s">
        <v>52</v>
      </c>
      <c r="Q2106" s="232"/>
      <c r="R2106" s="411"/>
      <c r="T2106" s="134" t="s">
        <v>145</v>
      </c>
      <c r="U2106" s="267" t="s">
        <v>4926</v>
      </c>
      <c r="AA2106" s="218"/>
    </row>
    <row r="2107" spans="1:27" ht="24" x14ac:dyDescent="0.25">
      <c r="A2107" s="405">
        <v>3001588</v>
      </c>
      <c r="B2107" s="406">
        <v>42466</v>
      </c>
      <c r="C2107" s="405" t="s">
        <v>42</v>
      </c>
      <c r="D2107" s="401" t="s">
        <v>4927</v>
      </c>
      <c r="E2107" s="120">
        <v>200</v>
      </c>
      <c r="F2107" s="133" t="s">
        <v>451</v>
      </c>
      <c r="G2107" s="404" t="s">
        <v>45</v>
      </c>
      <c r="H2107" s="411">
        <v>133</v>
      </c>
      <c r="I2107" s="89">
        <f t="shared" si="375"/>
        <v>-11.969999999999999</v>
      </c>
      <c r="J2107" s="391">
        <f t="shared" si="376"/>
        <v>-2.827</v>
      </c>
      <c r="K2107" s="90">
        <f t="shared" si="374"/>
        <v>118.203</v>
      </c>
      <c r="L2107" s="131">
        <v>300</v>
      </c>
      <c r="M2107" s="158">
        <v>27.75</v>
      </c>
      <c r="N2107" s="91">
        <f t="shared" si="373"/>
        <v>87.75</v>
      </c>
      <c r="O2107" s="411">
        <f t="shared" si="367"/>
        <v>30.453000000000003</v>
      </c>
      <c r="P2107" s="132" t="s">
        <v>52</v>
      </c>
      <c r="Q2107" s="232"/>
      <c r="R2107" s="411"/>
      <c r="T2107" s="134" t="s">
        <v>145</v>
      </c>
      <c r="U2107" s="267" t="s">
        <v>4928</v>
      </c>
      <c r="AA2107" s="218"/>
    </row>
    <row r="2108" spans="1:27" x14ac:dyDescent="0.25">
      <c r="A2108" s="405">
        <v>3001589</v>
      </c>
      <c r="B2108" s="406">
        <v>42466</v>
      </c>
      <c r="C2108" s="405" t="s">
        <v>42</v>
      </c>
      <c r="D2108" s="401" t="s">
        <v>4446</v>
      </c>
      <c r="E2108" s="120">
        <v>500</v>
      </c>
      <c r="F2108" s="133" t="s">
        <v>4066</v>
      </c>
      <c r="G2108" s="404" t="s">
        <v>45</v>
      </c>
      <c r="H2108" s="411">
        <v>801.33</v>
      </c>
      <c r="I2108" s="89">
        <f t="shared" si="375"/>
        <v>-72.119699999999995</v>
      </c>
      <c r="J2108" s="391">
        <f t="shared" si="376"/>
        <v>-15.525270000000001</v>
      </c>
      <c r="K2108" s="90">
        <f t="shared" si="374"/>
        <v>713.6850300000001</v>
      </c>
      <c r="L2108" s="131">
        <v>650</v>
      </c>
      <c r="M2108" s="187">
        <v>91.23</v>
      </c>
      <c r="N2108" s="91">
        <f t="shared" si="373"/>
        <v>416.23</v>
      </c>
      <c r="O2108" s="411">
        <f t="shared" si="367"/>
        <v>297.45503000000008</v>
      </c>
      <c r="P2108" s="132" t="s">
        <v>52</v>
      </c>
      <c r="Q2108" s="232"/>
      <c r="R2108" s="411"/>
      <c r="T2108" s="134" t="s">
        <v>244</v>
      </c>
      <c r="U2108" s="267" t="s">
        <v>4929</v>
      </c>
      <c r="V2108" s="133" t="s">
        <v>55</v>
      </c>
      <c r="AA2108" s="218"/>
    </row>
    <row r="2109" spans="1:27" ht="24" x14ac:dyDescent="0.25">
      <c r="A2109" s="405">
        <v>3001590</v>
      </c>
      <c r="B2109" s="406">
        <v>42466</v>
      </c>
      <c r="C2109" s="405" t="s">
        <v>42</v>
      </c>
      <c r="D2109" s="401" t="s">
        <v>4930</v>
      </c>
      <c r="E2109" s="120">
        <v>100</v>
      </c>
      <c r="F2109" s="133" t="s">
        <v>282</v>
      </c>
      <c r="G2109" s="404" t="s">
        <v>45</v>
      </c>
      <c r="H2109" s="411">
        <v>323</v>
      </c>
      <c r="I2109" s="89">
        <f t="shared" si="375"/>
        <v>-29.07</v>
      </c>
      <c r="J2109" s="391">
        <f t="shared" si="376"/>
        <v>-6.4369999999999994</v>
      </c>
      <c r="K2109" s="90">
        <f t="shared" si="374"/>
        <v>287.49299999999999</v>
      </c>
      <c r="L2109" s="187">
        <v>2150</v>
      </c>
      <c r="M2109" s="158">
        <v>49.49</v>
      </c>
      <c r="N2109" s="91">
        <f t="shared" si="373"/>
        <v>264.49</v>
      </c>
      <c r="O2109" s="411">
        <f t="shared" si="367"/>
        <v>23.002999999999986</v>
      </c>
      <c r="P2109" s="132" t="s">
        <v>235</v>
      </c>
      <c r="Q2109" s="232"/>
      <c r="R2109" s="411"/>
      <c r="T2109" s="134" t="s">
        <v>145</v>
      </c>
      <c r="U2109" s="267" t="s">
        <v>4931</v>
      </c>
      <c r="AA2109" s="218"/>
    </row>
    <row r="2110" spans="1:27" ht="24" x14ac:dyDescent="0.25">
      <c r="A2110" s="405">
        <v>3001591</v>
      </c>
      <c r="B2110" s="406">
        <v>42466</v>
      </c>
      <c r="C2110" s="405" t="s">
        <v>42</v>
      </c>
      <c r="D2110" s="401" t="s">
        <v>4932</v>
      </c>
      <c r="E2110" s="120">
        <v>175</v>
      </c>
      <c r="F2110" s="133" t="s">
        <v>247</v>
      </c>
      <c r="G2110" s="404" t="s">
        <v>45</v>
      </c>
      <c r="H2110" s="411">
        <v>243.21</v>
      </c>
      <c r="I2110" s="89">
        <f t="shared" si="375"/>
        <v>-21.8889</v>
      </c>
      <c r="J2110" s="391">
        <f t="shared" si="376"/>
        <v>-4.9209899999999998</v>
      </c>
      <c r="K2110" s="90">
        <f t="shared" si="374"/>
        <v>216.40011000000001</v>
      </c>
      <c r="L2110" s="131">
        <v>480</v>
      </c>
      <c r="M2110" s="158">
        <v>42.68</v>
      </c>
      <c r="N2110" s="91">
        <f t="shared" si="373"/>
        <v>126.68</v>
      </c>
      <c r="O2110" s="411">
        <f t="shared" si="367"/>
        <v>89.720110000000005</v>
      </c>
      <c r="P2110" s="132" t="s">
        <v>86</v>
      </c>
      <c r="Q2110" s="232"/>
      <c r="R2110" s="411">
        <v>15.91</v>
      </c>
      <c r="S2110" s="133" t="s">
        <v>4933</v>
      </c>
      <c r="T2110" s="134" t="s">
        <v>145</v>
      </c>
      <c r="U2110" s="267" t="s">
        <v>4934</v>
      </c>
      <c r="AA2110" s="218"/>
    </row>
    <row r="2111" spans="1:27" ht="24" x14ac:dyDescent="0.25">
      <c r="A2111" s="405">
        <v>3001592</v>
      </c>
      <c r="B2111" s="406">
        <v>42466</v>
      </c>
      <c r="C2111" s="405" t="s">
        <v>42</v>
      </c>
      <c r="D2111" s="401" t="s">
        <v>4935</v>
      </c>
      <c r="E2111" s="120">
        <v>1000</v>
      </c>
      <c r="F2111" s="133" t="s">
        <v>438</v>
      </c>
      <c r="G2111" s="404" t="s">
        <v>45</v>
      </c>
      <c r="H2111" s="411">
        <v>551</v>
      </c>
      <c r="I2111" s="89">
        <f t="shared" si="375"/>
        <v>-49.589999999999996</v>
      </c>
      <c r="J2111" s="391">
        <f t="shared" si="376"/>
        <v>-10.769</v>
      </c>
      <c r="K2111" s="90">
        <f t="shared" si="374"/>
        <v>490.64100000000002</v>
      </c>
      <c r="L2111" s="131">
        <v>178</v>
      </c>
      <c r="M2111" s="158">
        <v>91.28</v>
      </c>
      <c r="N2111" s="91">
        <f t="shared" si="373"/>
        <v>269.27999999999997</v>
      </c>
      <c r="O2111" s="411">
        <f t="shared" si="367"/>
        <v>221.36100000000005</v>
      </c>
      <c r="P2111" s="132" t="s">
        <v>52</v>
      </c>
      <c r="Q2111" s="232"/>
      <c r="R2111" s="411"/>
      <c r="T2111" s="134" t="s">
        <v>145</v>
      </c>
      <c r="U2111" s="267" t="s">
        <v>4936</v>
      </c>
      <c r="AA2111" s="218"/>
    </row>
    <row r="2112" spans="1:27" ht="24" x14ac:dyDescent="0.25">
      <c r="A2112" s="405">
        <v>3001593</v>
      </c>
      <c r="B2112" s="406">
        <v>42466</v>
      </c>
      <c r="C2112" s="405" t="s">
        <v>42</v>
      </c>
      <c r="D2112" s="401" t="s">
        <v>4937</v>
      </c>
      <c r="E2112" s="120">
        <v>100</v>
      </c>
      <c r="F2112" s="133" t="s">
        <v>161</v>
      </c>
      <c r="G2112" s="404" t="s">
        <v>45</v>
      </c>
      <c r="H2112" s="411">
        <v>235</v>
      </c>
      <c r="I2112" s="89">
        <f t="shared" si="375"/>
        <v>-21.15</v>
      </c>
      <c r="J2112" s="391">
        <f t="shared" si="376"/>
        <v>-4.7649999999999997</v>
      </c>
      <c r="K2112" s="90">
        <f t="shared" si="374"/>
        <v>209.08500000000001</v>
      </c>
      <c r="L2112" s="131">
        <v>1322</v>
      </c>
      <c r="M2112" s="158">
        <v>26.9</v>
      </c>
      <c r="N2112" s="91">
        <f t="shared" si="373"/>
        <v>159.10000000000002</v>
      </c>
      <c r="O2112" s="411">
        <f t="shared" si="367"/>
        <v>49.984999999999985</v>
      </c>
      <c r="P2112" s="132" t="s">
        <v>52</v>
      </c>
      <c r="Q2112" s="232"/>
      <c r="R2112" s="411"/>
      <c r="T2112" s="134" t="s">
        <v>145</v>
      </c>
      <c r="U2112" s="267" t="s">
        <v>4938</v>
      </c>
      <c r="AA2112" s="218"/>
    </row>
    <row r="2113" spans="1:27" ht="24" customHeight="1" x14ac:dyDescent="0.25">
      <c r="A2113" s="419">
        <v>3001594</v>
      </c>
      <c r="B2113" s="421">
        <v>42466</v>
      </c>
      <c r="C2113" s="419" t="s">
        <v>237</v>
      </c>
      <c r="D2113" s="417" t="s">
        <v>4939</v>
      </c>
      <c r="E2113" s="120">
        <v>50</v>
      </c>
      <c r="F2113" s="133" t="s">
        <v>3301</v>
      </c>
      <c r="G2113" s="434" t="s">
        <v>45</v>
      </c>
      <c r="H2113" s="427">
        <v>143.55000000000001</v>
      </c>
      <c r="I2113" s="452">
        <f>-(H2113*0.15)</f>
        <v>-21.532500000000002</v>
      </c>
      <c r="J2113" s="427">
        <v>0</v>
      </c>
      <c r="K2113" s="425">
        <f t="shared" si="374"/>
        <v>122.01750000000001</v>
      </c>
      <c r="L2113" s="187">
        <v>711</v>
      </c>
      <c r="N2113" s="91">
        <f t="shared" si="373"/>
        <v>35.550000000000004</v>
      </c>
      <c r="O2113" s="411">
        <f t="shared" si="367"/>
        <v>86.467500000000001</v>
      </c>
      <c r="P2113" s="132" t="s">
        <v>601</v>
      </c>
      <c r="Q2113" s="232"/>
      <c r="R2113" s="411"/>
      <c r="T2113" s="470" t="s">
        <v>145</v>
      </c>
      <c r="U2113" s="446" t="s">
        <v>4940</v>
      </c>
      <c r="AA2113" s="218"/>
    </row>
    <row r="2114" spans="1:27" x14ac:dyDescent="0.25">
      <c r="A2114" s="420"/>
      <c r="B2114" s="422"/>
      <c r="C2114" s="420"/>
      <c r="D2114" s="418"/>
      <c r="E2114" s="120">
        <v>50</v>
      </c>
      <c r="F2114" s="133" t="s">
        <v>3299</v>
      </c>
      <c r="G2114" s="436"/>
      <c r="H2114" s="428"/>
      <c r="I2114" s="453"/>
      <c r="J2114" s="428"/>
      <c r="K2114" s="426"/>
      <c r="L2114" s="187">
        <v>715</v>
      </c>
      <c r="N2114" s="91">
        <f t="shared" si="373"/>
        <v>35.75</v>
      </c>
      <c r="O2114" s="411">
        <f t="shared" si="367"/>
        <v>-35.75</v>
      </c>
      <c r="P2114" s="132" t="s">
        <v>601</v>
      </c>
      <c r="Q2114" s="232"/>
      <c r="R2114" s="411"/>
      <c r="T2114" s="472"/>
      <c r="U2114" s="447"/>
      <c r="AA2114" s="218"/>
    </row>
    <row r="2115" spans="1:27" x14ac:dyDescent="0.25">
      <c r="A2115" s="419">
        <v>3001595</v>
      </c>
      <c r="B2115" s="421">
        <v>42466</v>
      </c>
      <c r="C2115" s="419" t="s">
        <v>237</v>
      </c>
      <c r="D2115" s="417" t="s">
        <v>4941</v>
      </c>
      <c r="E2115" s="120">
        <v>40</v>
      </c>
      <c r="F2115" s="133" t="s">
        <v>4942</v>
      </c>
      <c r="G2115" s="434" t="s">
        <v>45</v>
      </c>
      <c r="H2115" s="427">
        <v>402.62</v>
      </c>
      <c r="I2115" s="452">
        <f>-(H2115*0.15)</f>
        <v>-60.393000000000001</v>
      </c>
      <c r="J2115" s="427">
        <v>0</v>
      </c>
      <c r="K2115" s="425">
        <f t="shared" si="374"/>
        <v>342.22699999999998</v>
      </c>
      <c r="L2115" s="187">
        <v>2264</v>
      </c>
      <c r="M2115" s="553">
        <v>26.33</v>
      </c>
      <c r="N2115" s="91">
        <f t="shared" si="373"/>
        <v>116.89</v>
      </c>
      <c r="O2115" s="411">
        <f t="shared" si="367"/>
        <v>225.33699999999999</v>
      </c>
      <c r="P2115" s="132" t="s">
        <v>601</v>
      </c>
      <c r="Q2115" s="232"/>
      <c r="R2115" s="411"/>
      <c r="T2115" s="470" t="s">
        <v>145</v>
      </c>
      <c r="U2115" s="446" t="s">
        <v>4943</v>
      </c>
      <c r="AA2115" s="218"/>
    </row>
    <row r="2116" spans="1:27" x14ac:dyDescent="0.25">
      <c r="A2116" s="420"/>
      <c r="B2116" s="422"/>
      <c r="C2116" s="420"/>
      <c r="D2116" s="418"/>
      <c r="E2116" s="120">
        <v>40</v>
      </c>
      <c r="F2116" s="133" t="s">
        <v>4944</v>
      </c>
      <c r="G2116" s="436"/>
      <c r="H2116" s="428"/>
      <c r="I2116" s="453"/>
      <c r="J2116" s="428"/>
      <c r="K2116" s="426"/>
      <c r="L2116" s="187">
        <v>2264</v>
      </c>
      <c r="M2116" s="554"/>
      <c r="N2116" s="91">
        <f t="shared" si="373"/>
        <v>90.56</v>
      </c>
      <c r="O2116" s="411">
        <f t="shared" si="367"/>
        <v>-90.56</v>
      </c>
      <c r="P2116" s="132" t="s">
        <v>601</v>
      </c>
      <c r="Q2116" s="232"/>
      <c r="R2116" s="411"/>
      <c r="T2116" s="472"/>
      <c r="U2116" s="447"/>
      <c r="AA2116" s="218"/>
    </row>
    <row r="2117" spans="1:27" ht="24" x14ac:dyDescent="0.25">
      <c r="A2117" s="405">
        <v>3001596</v>
      </c>
      <c r="B2117" s="406">
        <v>42466</v>
      </c>
      <c r="C2117" s="405" t="s">
        <v>237</v>
      </c>
      <c r="D2117" s="401" t="s">
        <v>4945</v>
      </c>
      <c r="E2117" s="120">
        <v>50</v>
      </c>
      <c r="F2117" s="133" t="s">
        <v>4946</v>
      </c>
      <c r="G2117" s="404" t="s">
        <v>45</v>
      </c>
      <c r="H2117" s="411">
        <v>253.55</v>
      </c>
      <c r="I2117" s="397">
        <f>-(H2117*0.15)</f>
        <v>-38.032499999999999</v>
      </c>
      <c r="J2117" s="411">
        <v>0</v>
      </c>
      <c r="K2117" s="90">
        <f t="shared" si="374"/>
        <v>215.51750000000001</v>
      </c>
      <c r="L2117" s="187">
        <v>2500</v>
      </c>
      <c r="M2117" s="187">
        <v>11.93</v>
      </c>
      <c r="N2117" s="91">
        <f t="shared" si="373"/>
        <v>136.93</v>
      </c>
      <c r="O2117" s="411">
        <f t="shared" si="367"/>
        <v>78.587500000000006</v>
      </c>
      <c r="P2117" s="132" t="s">
        <v>643</v>
      </c>
      <c r="Q2117" s="232"/>
      <c r="R2117" s="411"/>
      <c r="T2117" s="134" t="s">
        <v>145</v>
      </c>
      <c r="U2117" s="267" t="s">
        <v>4947</v>
      </c>
      <c r="AA2117" s="218"/>
    </row>
    <row r="2118" spans="1:27" ht="24" x14ac:dyDescent="0.25">
      <c r="A2118" s="405">
        <v>3001597</v>
      </c>
      <c r="B2118" s="406">
        <v>42466</v>
      </c>
      <c r="C2118" s="405" t="s">
        <v>237</v>
      </c>
      <c r="D2118" s="401" t="s">
        <v>4948</v>
      </c>
      <c r="E2118" s="120">
        <v>75</v>
      </c>
      <c r="F2118" s="133" t="s">
        <v>431</v>
      </c>
      <c r="G2118" s="404" t="s">
        <v>45</v>
      </c>
      <c r="H2118" s="411">
        <v>153.16</v>
      </c>
      <c r="I2118" s="397">
        <f>-(H2118*0.15)</f>
        <v>-22.974</v>
      </c>
      <c r="J2118" s="411">
        <v>0</v>
      </c>
      <c r="K2118" s="90">
        <f t="shared" si="374"/>
        <v>130.18600000000001</v>
      </c>
      <c r="L2118" s="131">
        <v>990</v>
      </c>
      <c r="M2118" s="158">
        <v>34.799999999999997</v>
      </c>
      <c r="N2118" s="91">
        <f t="shared" si="373"/>
        <v>109.05</v>
      </c>
      <c r="O2118" s="411">
        <f t="shared" si="367"/>
        <v>21.13600000000001</v>
      </c>
      <c r="P2118" s="132" t="s">
        <v>86</v>
      </c>
      <c r="Q2118" s="232"/>
      <c r="R2118" s="411"/>
      <c r="T2118" s="134" t="s">
        <v>145</v>
      </c>
      <c r="U2118" s="267" t="s">
        <v>4949</v>
      </c>
      <c r="AA2118" s="218"/>
    </row>
    <row r="2119" spans="1:27" x14ac:dyDescent="0.25">
      <c r="A2119" s="405">
        <v>3001598</v>
      </c>
      <c r="B2119" s="406">
        <v>42466</v>
      </c>
      <c r="C2119" s="405" t="s">
        <v>237</v>
      </c>
      <c r="D2119" s="401" t="s">
        <v>4950</v>
      </c>
      <c r="E2119" s="120">
        <v>500</v>
      </c>
      <c r="F2119" s="133" t="s">
        <v>2361</v>
      </c>
      <c r="G2119" s="404" t="s">
        <v>45</v>
      </c>
      <c r="H2119" s="411">
        <v>738.84</v>
      </c>
      <c r="I2119" s="397">
        <f>-(H2119*0.15)</f>
        <v>-110.82600000000001</v>
      </c>
      <c r="J2119" s="411">
        <v>0</v>
      </c>
      <c r="K2119" s="90">
        <f t="shared" si="374"/>
        <v>628.01400000000001</v>
      </c>
      <c r="L2119" s="187">
        <v>784</v>
      </c>
      <c r="M2119" s="187">
        <v>91.25</v>
      </c>
      <c r="N2119" s="91">
        <f t="shared" si="373"/>
        <v>483.25</v>
      </c>
      <c r="O2119" s="411">
        <f t="shared" si="367"/>
        <v>144.76400000000001</v>
      </c>
      <c r="P2119" s="132" t="s">
        <v>330</v>
      </c>
      <c r="Q2119" s="232"/>
      <c r="R2119" s="411"/>
      <c r="T2119" s="134" t="s">
        <v>244</v>
      </c>
      <c r="U2119" s="267" t="s">
        <v>4951</v>
      </c>
      <c r="V2119" s="133" t="s">
        <v>55</v>
      </c>
      <c r="AA2119" s="218"/>
    </row>
    <row r="2120" spans="1:27" ht="24" x14ac:dyDescent="0.25">
      <c r="A2120" s="405">
        <v>3001599</v>
      </c>
      <c r="B2120" s="406">
        <v>42466</v>
      </c>
      <c r="C2120" s="405" t="s">
        <v>63</v>
      </c>
      <c r="D2120" s="401" t="s">
        <v>4952</v>
      </c>
      <c r="E2120" s="120">
        <v>63</v>
      </c>
      <c r="F2120" s="133" t="s">
        <v>860</v>
      </c>
      <c r="G2120" s="404" t="s">
        <v>45</v>
      </c>
      <c r="H2120" s="411">
        <v>475.18</v>
      </c>
      <c r="I2120" s="411">
        <v>0</v>
      </c>
      <c r="J2120" s="391">
        <f>-((H2120*0.022)+0.3)</f>
        <v>-10.753960000000001</v>
      </c>
      <c r="K2120" s="90">
        <f t="shared" si="374"/>
        <v>464.42604</v>
      </c>
      <c r="L2120" s="131">
        <v>3700</v>
      </c>
      <c r="M2120" s="180">
        <v>38.93</v>
      </c>
      <c r="N2120" s="91">
        <f t="shared" si="373"/>
        <v>272.02999999999997</v>
      </c>
      <c r="O2120" s="411">
        <f t="shared" si="367"/>
        <v>192.39604000000003</v>
      </c>
      <c r="P2120" s="132" t="s">
        <v>52</v>
      </c>
      <c r="Q2120" s="232"/>
      <c r="R2120" s="411">
        <v>34.18</v>
      </c>
      <c r="S2120" s="133" t="s">
        <v>4953</v>
      </c>
      <c r="T2120" s="134" t="s">
        <v>145</v>
      </c>
      <c r="U2120" s="267" t="s">
        <v>4954</v>
      </c>
      <c r="W2120" s="153" t="s">
        <v>4955</v>
      </c>
      <c r="AA2120" s="218"/>
    </row>
    <row r="2121" spans="1:27" ht="24" x14ac:dyDescent="0.25">
      <c r="A2121" s="405">
        <v>3001600</v>
      </c>
      <c r="B2121" s="406">
        <v>42467</v>
      </c>
      <c r="C2121" s="405" t="s">
        <v>63</v>
      </c>
      <c r="D2121" s="401" t="s">
        <v>4956</v>
      </c>
      <c r="E2121" s="120">
        <v>100</v>
      </c>
      <c r="F2121" s="133" t="s">
        <v>4957</v>
      </c>
      <c r="G2121" s="404" t="s">
        <v>45</v>
      </c>
      <c r="H2121" s="411">
        <v>1215</v>
      </c>
      <c r="I2121" s="411">
        <v>0</v>
      </c>
      <c r="J2121" s="391">
        <f>-((H2121*0.022)+0.3)</f>
        <v>-27.029999999999998</v>
      </c>
      <c r="K2121" s="90">
        <f t="shared" si="374"/>
        <v>1187.97</v>
      </c>
      <c r="L2121" s="187">
        <v>8670</v>
      </c>
      <c r="M2121" s="131">
        <v>0</v>
      </c>
      <c r="N2121" s="91">
        <f t="shared" si="373"/>
        <v>867</v>
      </c>
      <c r="O2121" s="411">
        <f t="shared" si="367"/>
        <v>320.97000000000003</v>
      </c>
      <c r="P2121" s="132" t="s">
        <v>59</v>
      </c>
      <c r="Q2121" s="232"/>
      <c r="R2121" s="411"/>
      <c r="T2121" s="134" t="s">
        <v>4835</v>
      </c>
      <c r="U2121" s="267" t="s">
        <v>4958</v>
      </c>
      <c r="V2121" s="164"/>
      <c r="W2121" s="153" t="s">
        <v>4959</v>
      </c>
      <c r="AA2121" s="218"/>
    </row>
    <row r="2122" spans="1:27" ht="24" x14ac:dyDescent="0.25">
      <c r="A2122" s="405">
        <v>3001601</v>
      </c>
      <c r="B2122" s="406">
        <v>42467</v>
      </c>
      <c r="C2122" s="405" t="s">
        <v>63</v>
      </c>
      <c r="D2122" s="401" t="s">
        <v>4960</v>
      </c>
      <c r="E2122" s="120">
        <v>500</v>
      </c>
      <c r="F2122" s="133" t="s">
        <v>70</v>
      </c>
      <c r="G2122" s="404" t="s">
        <v>45</v>
      </c>
      <c r="H2122" s="411">
        <v>1250</v>
      </c>
      <c r="I2122" s="411">
        <v>0</v>
      </c>
      <c r="J2122" s="391">
        <f>-((H2122*0.022)+0.3)</f>
        <v>-27.8</v>
      </c>
      <c r="K2122" s="90">
        <f t="shared" si="374"/>
        <v>1222.2</v>
      </c>
      <c r="L2122" s="131">
        <v>1564</v>
      </c>
      <c r="M2122" s="187">
        <v>229.21</v>
      </c>
      <c r="N2122" s="91">
        <f t="shared" si="373"/>
        <v>1011.21</v>
      </c>
      <c r="O2122" s="411">
        <f t="shared" ref="O2122:O2187" si="377">K2122-N2122</f>
        <v>210.99</v>
      </c>
      <c r="P2122" s="132" t="s">
        <v>52</v>
      </c>
      <c r="Q2122" s="232"/>
      <c r="R2122" s="411"/>
      <c r="T2122" s="134" t="s">
        <v>1209</v>
      </c>
      <c r="U2122" s="267" t="s">
        <v>4961</v>
      </c>
      <c r="V2122" s="133" t="s">
        <v>55</v>
      </c>
      <c r="W2122" s="153" t="s">
        <v>4962</v>
      </c>
      <c r="AA2122" s="218"/>
    </row>
    <row r="2123" spans="1:27" ht="24" x14ac:dyDescent="0.25">
      <c r="A2123" s="405">
        <v>3001602</v>
      </c>
      <c r="B2123" s="406">
        <v>42467</v>
      </c>
      <c r="C2123" s="405" t="s">
        <v>327</v>
      </c>
      <c r="D2123" s="401" t="s">
        <v>4963</v>
      </c>
      <c r="E2123" s="120">
        <v>250</v>
      </c>
      <c r="F2123" s="133" t="s">
        <v>4964</v>
      </c>
      <c r="G2123" s="404" t="s">
        <v>45</v>
      </c>
      <c r="H2123" s="411">
        <v>140</v>
      </c>
      <c r="I2123" s="411">
        <v>0</v>
      </c>
      <c r="J2123" s="391">
        <f>-((H2123*0.022)+0.3)</f>
        <v>-3.3799999999999994</v>
      </c>
      <c r="K2123" s="90">
        <f t="shared" si="374"/>
        <v>136.62</v>
      </c>
      <c r="L2123" s="187">
        <v>406</v>
      </c>
      <c r="M2123" s="187">
        <v>50.71</v>
      </c>
      <c r="N2123" s="91">
        <f t="shared" si="373"/>
        <v>152.21</v>
      </c>
      <c r="O2123" s="411">
        <f t="shared" si="377"/>
        <v>-15.590000000000003</v>
      </c>
      <c r="P2123" s="132" t="s">
        <v>330</v>
      </c>
      <c r="Q2123" s="232"/>
      <c r="R2123" s="411"/>
      <c r="T2123" s="134" t="s">
        <v>324</v>
      </c>
      <c r="U2123" s="267" t="s">
        <v>4965</v>
      </c>
      <c r="W2123" s="153" t="s">
        <v>4966</v>
      </c>
      <c r="AA2123" s="218"/>
    </row>
    <row r="2124" spans="1:27" x14ac:dyDescent="0.25">
      <c r="A2124" s="405">
        <v>3001603</v>
      </c>
      <c r="B2124" s="406">
        <v>42467</v>
      </c>
      <c r="C2124" s="405" t="s">
        <v>63</v>
      </c>
      <c r="D2124" s="401" t="s">
        <v>4816</v>
      </c>
      <c r="E2124" s="120">
        <v>1000</v>
      </c>
      <c r="F2124" s="133" t="s">
        <v>4967</v>
      </c>
      <c r="G2124" s="404" t="s">
        <v>45</v>
      </c>
      <c r="H2124" s="411">
        <v>630</v>
      </c>
      <c r="I2124" s="411">
        <v>0</v>
      </c>
      <c r="J2124" s="391">
        <f>-((H2124*0.022)+0.3)</f>
        <v>-14.16</v>
      </c>
      <c r="K2124" s="90">
        <f t="shared" si="374"/>
        <v>615.84</v>
      </c>
      <c r="L2124" s="187">
        <v>398</v>
      </c>
      <c r="M2124" s="187">
        <v>105</v>
      </c>
      <c r="N2124" s="91">
        <f t="shared" si="373"/>
        <v>503</v>
      </c>
      <c r="O2124" s="411">
        <f t="shared" si="377"/>
        <v>112.84000000000003</v>
      </c>
      <c r="P2124" s="132" t="s">
        <v>183</v>
      </c>
      <c r="Q2124" s="232"/>
      <c r="R2124" s="411"/>
      <c r="T2124" s="134" t="s">
        <v>67</v>
      </c>
      <c r="U2124" s="267" t="s">
        <v>4968</v>
      </c>
      <c r="W2124" s="153" t="s">
        <v>4818</v>
      </c>
      <c r="AA2124" s="218"/>
    </row>
    <row r="2125" spans="1:27" ht="24" x14ac:dyDescent="0.25">
      <c r="A2125" s="405">
        <v>3001604</v>
      </c>
      <c r="B2125" s="406">
        <v>42467</v>
      </c>
      <c r="C2125" s="405" t="s">
        <v>42</v>
      </c>
      <c r="D2125" s="401" t="s">
        <v>4969</v>
      </c>
      <c r="E2125" s="120">
        <v>500</v>
      </c>
      <c r="F2125" s="119" t="s">
        <v>4970</v>
      </c>
      <c r="G2125" s="404" t="s">
        <v>45</v>
      </c>
      <c r="H2125" s="411">
        <v>182.88</v>
      </c>
      <c r="I2125" s="89">
        <f t="shared" ref="I2125:I2131" si="378">-(H2125*0.09)</f>
        <v>-16.459199999999999</v>
      </c>
      <c r="J2125" s="391">
        <f t="shared" ref="J2125:J2131" si="379">-((H2125*0.019)+0.3)</f>
        <v>-3.7747199999999999</v>
      </c>
      <c r="K2125" s="90">
        <f t="shared" si="374"/>
        <v>162.64607999999998</v>
      </c>
      <c r="L2125" s="187">
        <v>175</v>
      </c>
      <c r="M2125" s="187">
        <v>17.52</v>
      </c>
      <c r="N2125" s="91">
        <f t="shared" si="373"/>
        <v>105.02</v>
      </c>
      <c r="O2125" s="411">
        <f t="shared" si="377"/>
        <v>57.626079999999988</v>
      </c>
      <c r="P2125" s="132" t="s">
        <v>183</v>
      </c>
      <c r="Q2125" s="232"/>
      <c r="R2125" s="411"/>
      <c r="T2125" s="134" t="s">
        <v>324</v>
      </c>
      <c r="U2125" s="267" t="s">
        <v>4971</v>
      </c>
      <c r="AA2125" s="218"/>
    </row>
    <row r="2126" spans="1:27" ht="24" x14ac:dyDescent="0.25">
      <c r="A2126" s="405">
        <v>3001605</v>
      </c>
      <c r="B2126" s="406">
        <v>42467</v>
      </c>
      <c r="C2126" s="405" t="s">
        <v>42</v>
      </c>
      <c r="D2126" s="401" t="s">
        <v>4972</v>
      </c>
      <c r="E2126" s="120">
        <v>250</v>
      </c>
      <c r="F2126" s="133" t="s">
        <v>173</v>
      </c>
      <c r="G2126" s="404" t="s">
        <v>45</v>
      </c>
      <c r="H2126" s="411">
        <v>216.7</v>
      </c>
      <c r="I2126" s="89">
        <f t="shared" si="378"/>
        <v>-19.502999999999997</v>
      </c>
      <c r="J2126" s="391">
        <f t="shared" si="379"/>
        <v>-4.4172999999999991</v>
      </c>
      <c r="K2126" s="90">
        <f t="shared" si="374"/>
        <v>192.77969999999999</v>
      </c>
      <c r="L2126" s="131">
        <v>407</v>
      </c>
      <c r="M2126" s="158">
        <v>39.86</v>
      </c>
      <c r="N2126" s="91">
        <f t="shared" si="373"/>
        <v>141.61000000000001</v>
      </c>
      <c r="O2126" s="411">
        <f t="shared" si="377"/>
        <v>51.169699999999978</v>
      </c>
      <c r="P2126" s="132" t="s">
        <v>52</v>
      </c>
      <c r="Q2126" s="232"/>
      <c r="R2126" s="411"/>
      <c r="T2126" s="134" t="s">
        <v>145</v>
      </c>
      <c r="U2126" s="267" t="s">
        <v>4973</v>
      </c>
      <c r="AA2126" s="218"/>
    </row>
    <row r="2127" spans="1:27" ht="24" x14ac:dyDescent="0.25">
      <c r="A2127" s="405">
        <v>3001606</v>
      </c>
      <c r="B2127" s="406">
        <v>42467</v>
      </c>
      <c r="C2127" s="405" t="s">
        <v>42</v>
      </c>
      <c r="D2127" s="401" t="s">
        <v>4974</v>
      </c>
      <c r="E2127" s="120">
        <v>200</v>
      </c>
      <c r="F2127" s="133" t="s">
        <v>4975</v>
      </c>
      <c r="G2127" s="404" t="s">
        <v>45</v>
      </c>
      <c r="H2127" s="411">
        <v>196.15</v>
      </c>
      <c r="I2127" s="89">
        <f t="shared" si="378"/>
        <v>-17.653500000000001</v>
      </c>
      <c r="J2127" s="391">
        <f t="shared" si="379"/>
        <v>-4.0268500000000005</v>
      </c>
      <c r="K2127" s="90">
        <f t="shared" si="374"/>
        <v>174.46965</v>
      </c>
      <c r="L2127" s="131">
        <v>400</v>
      </c>
      <c r="M2127" s="158">
        <v>27.61</v>
      </c>
      <c r="N2127" s="91">
        <f t="shared" si="373"/>
        <v>107.61</v>
      </c>
      <c r="O2127" s="411">
        <f t="shared" si="377"/>
        <v>66.859650000000002</v>
      </c>
      <c r="P2127" s="132" t="s">
        <v>86</v>
      </c>
      <c r="Q2127" s="232"/>
      <c r="R2127" s="411"/>
      <c r="T2127" s="134" t="s">
        <v>145</v>
      </c>
      <c r="U2127" s="267" t="s">
        <v>4976</v>
      </c>
      <c r="AA2127" s="218"/>
    </row>
    <row r="2128" spans="1:27" ht="24" x14ac:dyDescent="0.25">
      <c r="A2128" s="405">
        <v>3001607</v>
      </c>
      <c r="B2128" s="406">
        <v>42467</v>
      </c>
      <c r="C2128" s="405" t="s">
        <v>42</v>
      </c>
      <c r="D2128" s="401" t="s">
        <v>4977</v>
      </c>
      <c r="E2128" s="120">
        <v>50</v>
      </c>
      <c r="F2128" s="133" t="s">
        <v>1507</v>
      </c>
      <c r="G2128" s="404" t="s">
        <v>45</v>
      </c>
      <c r="H2128" s="411">
        <v>161.69999999999999</v>
      </c>
      <c r="I2128" s="89">
        <f t="shared" si="378"/>
        <v>-14.552999999999999</v>
      </c>
      <c r="J2128" s="391">
        <f t="shared" si="379"/>
        <v>-3.3722999999999996</v>
      </c>
      <c r="K2128" s="90">
        <f t="shared" si="374"/>
        <v>143.7747</v>
      </c>
      <c r="L2128" s="187">
        <v>2306</v>
      </c>
      <c r="M2128" s="158">
        <v>25.42</v>
      </c>
      <c r="N2128" s="91">
        <f t="shared" si="373"/>
        <v>140.72000000000003</v>
      </c>
      <c r="O2128" s="411">
        <f t="shared" si="377"/>
        <v>3.0546999999999684</v>
      </c>
      <c r="P2128" s="132" t="s">
        <v>601</v>
      </c>
      <c r="Q2128" s="232"/>
      <c r="R2128" s="411"/>
      <c r="T2128" s="134" t="s">
        <v>145</v>
      </c>
      <c r="U2128" s="267" t="s">
        <v>4978</v>
      </c>
      <c r="AA2128" s="218"/>
    </row>
    <row r="2129" spans="1:27" ht="24" x14ac:dyDescent="0.25">
      <c r="A2129" s="405">
        <v>3001608</v>
      </c>
      <c r="B2129" s="406">
        <v>42467</v>
      </c>
      <c r="C2129" s="405" t="s">
        <v>42</v>
      </c>
      <c r="D2129" s="401" t="s">
        <v>4979</v>
      </c>
      <c r="E2129" s="120">
        <v>100</v>
      </c>
      <c r="F2129" s="133" t="s">
        <v>431</v>
      </c>
      <c r="G2129" s="404" t="s">
        <v>45</v>
      </c>
      <c r="H2129" s="411">
        <v>216.11</v>
      </c>
      <c r="I2129" s="89">
        <f t="shared" si="378"/>
        <v>-19.4499</v>
      </c>
      <c r="J2129" s="391">
        <f t="shared" si="379"/>
        <v>-4.4060899999999998</v>
      </c>
      <c r="K2129" s="90">
        <f t="shared" si="374"/>
        <v>192.25400999999999</v>
      </c>
      <c r="L2129" s="131">
        <v>1050</v>
      </c>
      <c r="M2129" s="158">
        <v>42.91</v>
      </c>
      <c r="N2129" s="91">
        <f t="shared" si="373"/>
        <v>147.91</v>
      </c>
      <c r="O2129" s="411">
        <f t="shared" si="377"/>
        <v>44.344009999999997</v>
      </c>
      <c r="P2129" s="132" t="s">
        <v>52</v>
      </c>
      <c r="Q2129" s="232"/>
      <c r="R2129" s="411"/>
      <c r="T2129" s="134" t="s">
        <v>145</v>
      </c>
      <c r="U2129" s="267" t="s">
        <v>4980</v>
      </c>
      <c r="AA2129" s="218"/>
    </row>
    <row r="2130" spans="1:27" ht="24" x14ac:dyDescent="0.25">
      <c r="A2130" s="405">
        <v>3001609</v>
      </c>
      <c r="B2130" s="406">
        <v>42467</v>
      </c>
      <c r="C2130" s="405" t="s">
        <v>42</v>
      </c>
      <c r="D2130" s="401" t="s">
        <v>4981</v>
      </c>
      <c r="E2130" s="120">
        <v>100</v>
      </c>
      <c r="F2130" s="133" t="s">
        <v>4982</v>
      </c>
      <c r="G2130" s="404" t="s">
        <v>45</v>
      </c>
      <c r="H2130" s="411">
        <v>155.15</v>
      </c>
      <c r="I2130" s="89">
        <f t="shared" si="378"/>
        <v>-13.9635</v>
      </c>
      <c r="J2130" s="391">
        <f t="shared" si="379"/>
        <v>-3.2478499999999997</v>
      </c>
      <c r="K2130" s="90">
        <f t="shared" si="374"/>
        <v>137.93865</v>
      </c>
      <c r="L2130" s="187">
        <v>986</v>
      </c>
      <c r="M2130" s="158">
        <v>22.58</v>
      </c>
      <c r="N2130" s="91">
        <f t="shared" si="373"/>
        <v>121.18</v>
      </c>
      <c r="O2130" s="411">
        <f t="shared" si="377"/>
        <v>16.758649999999989</v>
      </c>
      <c r="P2130" s="132" t="s">
        <v>601</v>
      </c>
      <c r="Q2130" s="232"/>
      <c r="R2130" s="411"/>
      <c r="T2130" s="134" t="s">
        <v>145</v>
      </c>
      <c r="U2130" s="267" t="s">
        <v>4983</v>
      </c>
      <c r="AA2130" s="218"/>
    </row>
    <row r="2131" spans="1:27" ht="24" x14ac:dyDescent="0.25">
      <c r="A2131" s="405">
        <v>3001610</v>
      </c>
      <c r="B2131" s="406">
        <v>42467</v>
      </c>
      <c r="C2131" s="405" t="s">
        <v>42</v>
      </c>
      <c r="D2131" s="401" t="s">
        <v>4984</v>
      </c>
      <c r="E2131" s="120">
        <v>50</v>
      </c>
      <c r="F2131" s="133" t="s">
        <v>4985</v>
      </c>
      <c r="G2131" s="404" t="s">
        <v>45</v>
      </c>
      <c r="H2131" s="411">
        <v>161.69999999999999</v>
      </c>
      <c r="I2131" s="89">
        <f t="shared" si="378"/>
        <v>-14.552999999999999</v>
      </c>
      <c r="J2131" s="391">
        <f t="shared" si="379"/>
        <v>-3.3722999999999996</v>
      </c>
      <c r="K2131" s="90">
        <f t="shared" si="374"/>
        <v>143.7747</v>
      </c>
      <c r="L2131" s="187">
        <v>2306</v>
      </c>
      <c r="M2131" s="158">
        <v>20.38</v>
      </c>
      <c r="N2131" s="91">
        <f t="shared" si="373"/>
        <v>135.68</v>
      </c>
      <c r="O2131" s="411">
        <f t="shared" si="377"/>
        <v>8.0946999999999889</v>
      </c>
      <c r="P2131" s="132" t="s">
        <v>601</v>
      </c>
      <c r="Q2131" s="232"/>
      <c r="R2131" s="411"/>
      <c r="T2131" s="134" t="s">
        <v>145</v>
      </c>
      <c r="U2131" s="267" t="s">
        <v>4986</v>
      </c>
      <c r="AA2131" s="218"/>
    </row>
    <row r="2132" spans="1:27" ht="24" x14ac:dyDescent="0.25">
      <c r="A2132" s="405">
        <v>3001611</v>
      </c>
      <c r="B2132" s="406">
        <v>42467</v>
      </c>
      <c r="C2132" s="405" t="s">
        <v>237</v>
      </c>
      <c r="D2132" s="401" t="s">
        <v>4987</v>
      </c>
      <c r="E2132" s="120">
        <v>150</v>
      </c>
      <c r="F2132" s="133" t="s">
        <v>307</v>
      </c>
      <c r="G2132" s="404" t="s">
        <v>45</v>
      </c>
      <c r="H2132" s="411">
        <v>190.34</v>
      </c>
      <c r="I2132" s="397">
        <f>-(H2132*0.15)</f>
        <v>-28.550999999999998</v>
      </c>
      <c r="J2132" s="391">
        <v>0</v>
      </c>
      <c r="K2132" s="90">
        <f t="shared" si="374"/>
        <v>161.78900000000002</v>
      </c>
      <c r="L2132" s="131">
        <v>700</v>
      </c>
      <c r="M2132" s="158">
        <v>29.76</v>
      </c>
      <c r="N2132" s="91">
        <f t="shared" si="373"/>
        <v>134.76</v>
      </c>
      <c r="O2132" s="411">
        <f t="shared" si="377"/>
        <v>27.029000000000025</v>
      </c>
      <c r="P2132" s="132" t="s">
        <v>86</v>
      </c>
      <c r="Q2132" s="232"/>
      <c r="R2132" s="411"/>
      <c r="T2132" s="134" t="s">
        <v>145</v>
      </c>
      <c r="U2132" s="267" t="s">
        <v>4988</v>
      </c>
      <c r="AA2132" s="218"/>
    </row>
    <row r="2133" spans="1:27" ht="24" x14ac:dyDescent="0.25">
      <c r="A2133" s="405">
        <v>3001612</v>
      </c>
      <c r="B2133" s="406">
        <v>42467</v>
      </c>
      <c r="C2133" s="405" t="s">
        <v>237</v>
      </c>
      <c r="D2133" s="401" t="s">
        <v>4989</v>
      </c>
      <c r="E2133" s="120">
        <v>250</v>
      </c>
      <c r="F2133" s="133" t="s">
        <v>292</v>
      </c>
      <c r="G2133" s="404" t="s">
        <v>45</v>
      </c>
      <c r="H2133" s="411">
        <v>200.69</v>
      </c>
      <c r="I2133" s="397">
        <f>-(H2133*0.15)</f>
        <v>-30.103499999999997</v>
      </c>
      <c r="J2133" s="411">
        <v>0</v>
      </c>
      <c r="K2133" s="90">
        <f t="shared" si="374"/>
        <v>170.5865</v>
      </c>
      <c r="L2133" s="131">
        <v>400</v>
      </c>
      <c r="M2133" s="158">
        <v>61.43</v>
      </c>
      <c r="N2133" s="91">
        <f t="shared" si="373"/>
        <v>161.43</v>
      </c>
      <c r="O2133" s="411">
        <f t="shared" si="377"/>
        <v>9.1564999999999941</v>
      </c>
      <c r="P2133" s="132" t="s">
        <v>52</v>
      </c>
      <c r="Q2133" s="232"/>
      <c r="R2133" s="411"/>
      <c r="T2133" s="134" t="s">
        <v>145</v>
      </c>
      <c r="U2133" s="267" t="s">
        <v>4990</v>
      </c>
      <c r="AA2133" s="218"/>
    </row>
    <row r="2134" spans="1:27" ht="24" x14ac:dyDescent="0.25">
      <c r="A2134" s="405">
        <v>3001613</v>
      </c>
      <c r="B2134" s="406">
        <v>42467</v>
      </c>
      <c r="C2134" s="405" t="s">
        <v>237</v>
      </c>
      <c r="D2134" s="401" t="s">
        <v>4991</v>
      </c>
      <c r="E2134" s="120">
        <v>250</v>
      </c>
      <c r="F2134" s="133" t="s">
        <v>4992</v>
      </c>
      <c r="G2134" s="404" t="s">
        <v>45</v>
      </c>
      <c r="H2134" s="411">
        <v>258.05</v>
      </c>
      <c r="I2134" s="397">
        <f>-(H2134*0.15)</f>
        <v>-38.707500000000003</v>
      </c>
      <c r="J2134" s="411">
        <v>0</v>
      </c>
      <c r="K2134" s="90">
        <f t="shared" si="374"/>
        <v>219.3425</v>
      </c>
      <c r="L2134" s="187">
        <v>480</v>
      </c>
      <c r="M2134" s="158">
        <v>26.5</v>
      </c>
      <c r="N2134" s="91">
        <f t="shared" si="373"/>
        <v>146.5</v>
      </c>
      <c r="O2134" s="411">
        <f t="shared" si="377"/>
        <v>72.842500000000001</v>
      </c>
      <c r="P2134" s="132" t="s">
        <v>235</v>
      </c>
      <c r="Q2134" s="232"/>
      <c r="R2134" s="411"/>
      <c r="T2134" s="134" t="s">
        <v>145</v>
      </c>
      <c r="U2134" s="267" t="s">
        <v>4993</v>
      </c>
      <c r="AA2134" s="218"/>
    </row>
    <row r="2135" spans="1:27" x14ac:dyDescent="0.25">
      <c r="A2135" s="419">
        <v>3001614</v>
      </c>
      <c r="B2135" s="421">
        <v>42467</v>
      </c>
      <c r="C2135" s="419" t="s">
        <v>141</v>
      </c>
      <c r="D2135" s="417" t="s">
        <v>1777</v>
      </c>
      <c r="E2135" s="120">
        <v>275</v>
      </c>
      <c r="F2135" s="133" t="s">
        <v>4994</v>
      </c>
      <c r="G2135" s="434" t="s">
        <v>45</v>
      </c>
      <c r="H2135" s="427">
        <v>1431</v>
      </c>
      <c r="I2135" s="427">
        <v>0</v>
      </c>
      <c r="J2135" s="425">
        <f>-((H2135*0.0325)+0.3)</f>
        <v>-46.807499999999997</v>
      </c>
      <c r="K2135" s="425">
        <f t="shared" si="374"/>
        <v>1384.1925000000001</v>
      </c>
      <c r="L2135" s="187">
        <v>2829.18</v>
      </c>
      <c r="M2135" s="187">
        <v>48</v>
      </c>
      <c r="N2135" s="91">
        <f t="shared" si="373"/>
        <v>826.02449999999999</v>
      </c>
      <c r="O2135" s="411">
        <f t="shared" si="377"/>
        <v>558.16800000000012</v>
      </c>
      <c r="P2135" s="132" t="s">
        <v>46</v>
      </c>
      <c r="Q2135" s="232"/>
      <c r="R2135" s="411"/>
      <c r="T2135" s="134" t="s">
        <v>463</v>
      </c>
      <c r="U2135" s="267" t="s">
        <v>4995</v>
      </c>
      <c r="W2135" s="153" t="s">
        <v>1780</v>
      </c>
      <c r="AA2135" s="218"/>
    </row>
    <row r="2136" spans="1:27" ht="24" x14ac:dyDescent="0.25">
      <c r="A2136" s="420"/>
      <c r="B2136" s="422"/>
      <c r="C2136" s="420"/>
      <c r="D2136" s="418"/>
      <c r="E2136" s="120">
        <v>1000</v>
      </c>
      <c r="F2136" s="133" t="s">
        <v>4996</v>
      </c>
      <c r="G2136" s="436"/>
      <c r="H2136" s="428"/>
      <c r="I2136" s="428"/>
      <c r="J2136" s="426"/>
      <c r="K2136" s="426"/>
      <c r="L2136" s="187">
        <v>102</v>
      </c>
      <c r="N2136" s="91">
        <f t="shared" si="373"/>
        <v>102</v>
      </c>
      <c r="O2136" s="411">
        <f t="shared" si="377"/>
        <v>-102</v>
      </c>
      <c r="P2136" s="132" t="s">
        <v>3597</v>
      </c>
      <c r="Q2136" s="232"/>
      <c r="R2136" s="411"/>
      <c r="T2136" s="134" t="s">
        <v>324</v>
      </c>
      <c r="U2136" s="267" t="s">
        <v>4997</v>
      </c>
      <c r="V2136" s="133" t="s">
        <v>4998</v>
      </c>
      <c r="AA2136" s="218"/>
    </row>
    <row r="2137" spans="1:27" x14ac:dyDescent="0.25">
      <c r="A2137" s="419">
        <v>3001615</v>
      </c>
      <c r="B2137" s="421">
        <v>42467</v>
      </c>
      <c r="C2137" s="419" t="s">
        <v>63</v>
      </c>
      <c r="D2137" s="417" t="s">
        <v>4999</v>
      </c>
      <c r="E2137" s="120">
        <v>4000</v>
      </c>
      <c r="F2137" s="133" t="s">
        <v>5000</v>
      </c>
      <c r="G2137" s="434" t="s">
        <v>45</v>
      </c>
      <c r="H2137" s="427">
        <v>1570.53</v>
      </c>
      <c r="I2137" s="427">
        <v>0</v>
      </c>
      <c r="J2137" s="425">
        <f>-((H2137*0.022)+0.3)</f>
        <v>-34.851659999999995</v>
      </c>
      <c r="K2137" s="425">
        <f t="shared" si="374"/>
        <v>1535.6783399999999</v>
      </c>
      <c r="L2137" s="187">
        <v>239</v>
      </c>
      <c r="M2137" s="187">
        <v>91.24</v>
      </c>
      <c r="N2137" s="91">
        <f t="shared" si="373"/>
        <v>1047.24</v>
      </c>
      <c r="O2137" s="411">
        <f t="shared" si="377"/>
        <v>488.43833999999993</v>
      </c>
      <c r="P2137" s="132" t="s">
        <v>3401</v>
      </c>
      <c r="Q2137" s="232"/>
      <c r="R2137" s="411"/>
      <c r="T2137" s="134" t="s">
        <v>244</v>
      </c>
      <c r="U2137" s="267" t="s">
        <v>5001</v>
      </c>
      <c r="V2137" s="133" t="s">
        <v>55</v>
      </c>
      <c r="W2137" s="153" t="s">
        <v>5002</v>
      </c>
      <c r="AA2137" s="218"/>
    </row>
    <row r="2138" spans="1:27" ht="24" x14ac:dyDescent="0.25">
      <c r="A2138" s="420"/>
      <c r="B2138" s="422"/>
      <c r="C2138" s="420"/>
      <c r="D2138" s="418"/>
      <c r="E2138" s="120">
        <v>1000</v>
      </c>
      <c r="F2138" s="133" t="s">
        <v>5003</v>
      </c>
      <c r="G2138" s="436"/>
      <c r="H2138" s="428"/>
      <c r="I2138" s="428"/>
      <c r="J2138" s="426"/>
      <c r="K2138" s="426"/>
      <c r="L2138" s="131">
        <v>67</v>
      </c>
      <c r="M2138" s="158">
        <v>43.22</v>
      </c>
      <c r="N2138" s="91">
        <f t="shared" ref="N2138:N2181" si="380">((L2138)*(E2138*0.001))+M2138</f>
        <v>110.22</v>
      </c>
      <c r="O2138" s="411">
        <f t="shared" si="377"/>
        <v>-110.22</v>
      </c>
      <c r="P2138" s="132" t="s">
        <v>52</v>
      </c>
      <c r="Q2138" s="232"/>
      <c r="R2138" s="411"/>
      <c r="T2138" s="134" t="s">
        <v>145</v>
      </c>
      <c r="U2138" s="267" t="s">
        <v>5004</v>
      </c>
      <c r="V2138" s="133" t="s">
        <v>5005</v>
      </c>
      <c r="AA2138" s="218"/>
    </row>
    <row r="2139" spans="1:27" ht="24" x14ac:dyDescent="0.25">
      <c r="A2139" s="405">
        <v>3001616</v>
      </c>
      <c r="B2139" s="406">
        <v>42467</v>
      </c>
      <c r="C2139" s="405" t="s">
        <v>42</v>
      </c>
      <c r="D2139" s="401" t="s">
        <v>5006</v>
      </c>
      <c r="E2139" s="120">
        <v>100</v>
      </c>
      <c r="F2139" s="133" t="s">
        <v>1692</v>
      </c>
      <c r="G2139" s="404" t="s">
        <v>45</v>
      </c>
      <c r="H2139" s="411">
        <v>137.09</v>
      </c>
      <c r="I2139" s="89">
        <f t="shared" ref="I2139:I2140" si="381">-(H2139*0.09)</f>
        <v>-12.338100000000001</v>
      </c>
      <c r="J2139" s="391">
        <f t="shared" ref="J2139:J2140" si="382">-((H2139*0.019)+0.3)</f>
        <v>-2.9047099999999997</v>
      </c>
      <c r="K2139" s="90">
        <f t="shared" si="374"/>
        <v>121.84719000000001</v>
      </c>
      <c r="L2139" s="187">
        <v>540</v>
      </c>
      <c r="M2139" s="158">
        <v>9.73</v>
      </c>
      <c r="N2139" s="91">
        <f t="shared" si="380"/>
        <v>63.730000000000004</v>
      </c>
      <c r="O2139" s="411">
        <f t="shared" si="377"/>
        <v>58.117190000000008</v>
      </c>
      <c r="P2139" s="132" t="s">
        <v>235</v>
      </c>
      <c r="Q2139" s="232"/>
      <c r="R2139" s="411"/>
      <c r="T2139" s="134" t="s">
        <v>145</v>
      </c>
      <c r="U2139" s="267" t="s">
        <v>5007</v>
      </c>
      <c r="AA2139" s="218"/>
    </row>
    <row r="2140" spans="1:27" ht="24" x14ac:dyDescent="0.25">
      <c r="A2140" s="405">
        <v>3001617</v>
      </c>
      <c r="B2140" s="406">
        <v>42467</v>
      </c>
      <c r="C2140" s="405" t="s">
        <v>42</v>
      </c>
      <c r="D2140" s="401" t="s">
        <v>5008</v>
      </c>
      <c r="E2140" s="120">
        <v>125</v>
      </c>
      <c r="F2140" s="133" t="s">
        <v>247</v>
      </c>
      <c r="G2140" s="404" t="s">
        <v>45</v>
      </c>
      <c r="H2140" s="411">
        <v>150</v>
      </c>
      <c r="I2140" s="89">
        <f t="shared" si="381"/>
        <v>-13.5</v>
      </c>
      <c r="J2140" s="391">
        <f t="shared" si="382"/>
        <v>-3.15</v>
      </c>
      <c r="K2140" s="90">
        <f t="shared" si="374"/>
        <v>133.35</v>
      </c>
      <c r="L2140" s="131">
        <v>480</v>
      </c>
      <c r="M2140" s="158">
        <v>19.829999999999998</v>
      </c>
      <c r="N2140" s="91">
        <f t="shared" si="380"/>
        <v>79.83</v>
      </c>
      <c r="O2140" s="411">
        <f t="shared" si="377"/>
        <v>53.519999999999996</v>
      </c>
      <c r="P2140" s="132" t="s">
        <v>52</v>
      </c>
      <c r="Q2140" s="232"/>
      <c r="R2140" s="411"/>
      <c r="T2140" s="134" t="s">
        <v>145</v>
      </c>
      <c r="U2140" s="267" t="s">
        <v>5009</v>
      </c>
      <c r="AA2140" s="218"/>
    </row>
    <row r="2141" spans="1:27" x14ac:dyDescent="0.25">
      <c r="A2141" s="419">
        <v>3001618</v>
      </c>
      <c r="B2141" s="421">
        <v>42467</v>
      </c>
      <c r="C2141" s="419" t="s">
        <v>63</v>
      </c>
      <c r="D2141" s="417" t="s">
        <v>5010</v>
      </c>
      <c r="E2141" s="120">
        <v>250</v>
      </c>
      <c r="F2141" s="133" t="s">
        <v>175</v>
      </c>
      <c r="G2141" s="434" t="s">
        <v>45</v>
      </c>
      <c r="H2141" s="427">
        <v>1760</v>
      </c>
      <c r="I2141" s="427">
        <v>0</v>
      </c>
      <c r="J2141" s="425">
        <f>-((H2141*0.022)+0.3)</f>
        <v>-39.019999999999996</v>
      </c>
      <c r="K2141" s="425">
        <f t="shared" si="374"/>
        <v>1720.98</v>
      </c>
      <c r="L2141" s="187">
        <v>380</v>
      </c>
      <c r="M2141" s="468">
        <v>213.27</v>
      </c>
      <c r="N2141" s="91">
        <f t="shared" si="380"/>
        <v>308.27</v>
      </c>
      <c r="O2141" s="411">
        <f t="shared" si="377"/>
        <v>1412.71</v>
      </c>
      <c r="P2141" s="132" t="s">
        <v>235</v>
      </c>
      <c r="Q2141" s="232"/>
      <c r="R2141" s="411"/>
      <c r="T2141" s="439" t="s">
        <v>399</v>
      </c>
      <c r="U2141" s="481" t="s">
        <v>5011</v>
      </c>
      <c r="W2141" s="153" t="s">
        <v>5012</v>
      </c>
      <c r="AA2141" s="218"/>
    </row>
    <row r="2142" spans="1:27" x14ac:dyDescent="0.25">
      <c r="A2142" s="420"/>
      <c r="B2142" s="422"/>
      <c r="C2142" s="420"/>
      <c r="D2142" s="418"/>
      <c r="E2142" s="120">
        <v>1000</v>
      </c>
      <c r="F2142" s="133" t="s">
        <v>2435</v>
      </c>
      <c r="G2142" s="436"/>
      <c r="H2142" s="428"/>
      <c r="I2142" s="428"/>
      <c r="J2142" s="426"/>
      <c r="K2142" s="426"/>
      <c r="L2142" s="187">
        <v>1300</v>
      </c>
      <c r="M2142" s="469"/>
      <c r="N2142" s="91">
        <f t="shared" si="380"/>
        <v>1300</v>
      </c>
      <c r="O2142" s="411">
        <f t="shared" si="377"/>
        <v>-1300</v>
      </c>
      <c r="P2142" s="132" t="s">
        <v>235</v>
      </c>
      <c r="Q2142" s="232"/>
      <c r="R2142" s="411"/>
      <c r="T2142" s="441"/>
      <c r="U2142" s="483"/>
      <c r="AA2142" s="218"/>
    </row>
    <row r="2143" spans="1:27" x14ac:dyDescent="0.25">
      <c r="A2143" s="405">
        <v>3001619</v>
      </c>
      <c r="B2143" s="406">
        <v>42467</v>
      </c>
      <c r="C2143" s="405" t="s">
        <v>280</v>
      </c>
      <c r="D2143" s="401" t="s">
        <v>5013</v>
      </c>
      <c r="E2143" s="120">
        <v>550</v>
      </c>
      <c r="F2143" s="133" t="s">
        <v>247</v>
      </c>
      <c r="G2143" s="404" t="s">
        <v>45</v>
      </c>
      <c r="H2143" s="411">
        <v>605</v>
      </c>
      <c r="I2143" s="411">
        <v>0</v>
      </c>
      <c r="J2143" s="391">
        <f>-((H2143*0.022)+0.3)</f>
        <v>-13.61</v>
      </c>
      <c r="K2143" s="90">
        <f t="shared" si="374"/>
        <v>591.39</v>
      </c>
      <c r="L2143" s="131">
        <v>480</v>
      </c>
      <c r="M2143" s="187">
        <v>179.48</v>
      </c>
      <c r="N2143" s="91">
        <f t="shared" si="380"/>
        <v>443.48</v>
      </c>
      <c r="O2143" s="411">
        <f t="shared" si="377"/>
        <v>147.90999999999997</v>
      </c>
      <c r="P2143" s="132" t="s">
        <v>52</v>
      </c>
      <c r="Q2143" s="232"/>
      <c r="R2143" s="411"/>
      <c r="T2143" s="134" t="s">
        <v>97</v>
      </c>
      <c r="U2143" s="267" t="s">
        <v>5014</v>
      </c>
      <c r="V2143" s="133" t="s">
        <v>55</v>
      </c>
      <c r="W2143" s="153" t="s">
        <v>5015</v>
      </c>
      <c r="AA2143" s="218"/>
    </row>
    <row r="2144" spans="1:27" x14ac:dyDescent="0.25">
      <c r="A2144" s="419">
        <v>3001620</v>
      </c>
      <c r="B2144" s="421">
        <v>42468</v>
      </c>
      <c r="C2144" s="419" t="s">
        <v>56</v>
      </c>
      <c r="D2144" s="417" t="s">
        <v>1932</v>
      </c>
      <c r="E2144" s="120">
        <v>51</v>
      </c>
      <c r="F2144" s="133" t="s">
        <v>5016</v>
      </c>
      <c r="G2144" s="434" t="s">
        <v>45</v>
      </c>
      <c r="H2144" s="427">
        <v>1790.1</v>
      </c>
      <c r="I2144" s="427">
        <v>0</v>
      </c>
      <c r="J2144" s="427">
        <v>0</v>
      </c>
      <c r="K2144" s="425">
        <f t="shared" si="374"/>
        <v>1790.1</v>
      </c>
      <c r="L2144" s="187">
        <v>14058.07</v>
      </c>
      <c r="M2144" s="187">
        <v>104.25</v>
      </c>
      <c r="N2144" s="91">
        <f t="shared" si="380"/>
        <v>821.21157000000005</v>
      </c>
      <c r="O2144" s="411">
        <f t="shared" si="377"/>
        <v>968.88842999999986</v>
      </c>
      <c r="P2144" s="132" t="s">
        <v>46</v>
      </c>
      <c r="Q2144" s="232"/>
      <c r="R2144" s="411"/>
      <c r="T2144" s="439" t="s">
        <v>47</v>
      </c>
      <c r="U2144" s="446" t="s">
        <v>5017</v>
      </c>
      <c r="V2144" s="133" t="s">
        <v>5018</v>
      </c>
      <c r="W2144" s="153" t="s">
        <v>1935</v>
      </c>
      <c r="AA2144" s="218"/>
    </row>
    <row r="2145" spans="1:27" x14ac:dyDescent="0.25">
      <c r="A2145" s="420"/>
      <c r="B2145" s="422"/>
      <c r="C2145" s="420"/>
      <c r="D2145" s="418"/>
      <c r="E2145" s="120">
        <v>102</v>
      </c>
      <c r="F2145" s="133" t="s">
        <v>1933</v>
      </c>
      <c r="G2145" s="436"/>
      <c r="H2145" s="428"/>
      <c r="I2145" s="428"/>
      <c r="J2145" s="428"/>
      <c r="K2145" s="426"/>
      <c r="L2145" s="187">
        <v>3500</v>
      </c>
      <c r="M2145" s="187">
        <v>50</v>
      </c>
      <c r="N2145" s="91">
        <f t="shared" si="380"/>
        <v>407</v>
      </c>
      <c r="O2145" s="411">
        <f t="shared" si="377"/>
        <v>-407</v>
      </c>
      <c r="P2145" s="132" t="s">
        <v>46</v>
      </c>
      <c r="Q2145" s="232"/>
      <c r="R2145" s="411"/>
      <c r="T2145" s="441"/>
      <c r="U2145" s="447"/>
      <c r="V2145" s="133" t="s">
        <v>5019</v>
      </c>
      <c r="AA2145" s="218"/>
    </row>
    <row r="2146" spans="1:27" x14ac:dyDescent="0.25">
      <c r="A2146" s="405">
        <v>3001621</v>
      </c>
      <c r="B2146" s="406">
        <v>42468</v>
      </c>
      <c r="C2146" s="405" t="s">
        <v>63</v>
      </c>
      <c r="D2146" s="401" t="s">
        <v>5020</v>
      </c>
      <c r="E2146" s="120">
        <v>554</v>
      </c>
      <c r="F2146" s="133" t="s">
        <v>5021</v>
      </c>
      <c r="G2146" s="404" t="s">
        <v>45</v>
      </c>
      <c r="H2146" s="411">
        <v>7756</v>
      </c>
      <c r="I2146" s="411">
        <v>0</v>
      </c>
      <c r="J2146" s="391">
        <f>-((H2146*0.022)+0.3)</f>
        <v>-170.93199999999999</v>
      </c>
      <c r="K2146" s="90">
        <f t="shared" si="374"/>
        <v>7585.0680000000002</v>
      </c>
      <c r="L2146" s="187">
        <v>8368.4</v>
      </c>
      <c r="M2146" s="187">
        <v>164.58</v>
      </c>
      <c r="N2146" s="91">
        <f t="shared" si="380"/>
        <v>4800.6736000000001</v>
      </c>
      <c r="O2146" s="411">
        <f t="shared" si="377"/>
        <v>2784.3944000000001</v>
      </c>
      <c r="P2146" s="132" t="s">
        <v>1793</v>
      </c>
      <c r="Q2146" s="232"/>
      <c r="R2146" s="411"/>
      <c r="T2146" s="134" t="s">
        <v>97</v>
      </c>
      <c r="U2146" s="266">
        <v>3715165786</v>
      </c>
      <c r="V2146" s="133" t="s">
        <v>55</v>
      </c>
      <c r="W2146" s="153" t="s">
        <v>5022</v>
      </c>
      <c r="AA2146" s="218"/>
    </row>
    <row r="2147" spans="1:27" ht="24" x14ac:dyDescent="0.25">
      <c r="A2147" s="405">
        <v>3001622</v>
      </c>
      <c r="B2147" s="406">
        <v>42468</v>
      </c>
      <c r="C2147" s="405" t="s">
        <v>327</v>
      </c>
      <c r="D2147" s="401" t="s">
        <v>2154</v>
      </c>
      <c r="E2147" s="120">
        <v>140</v>
      </c>
      <c r="F2147" s="133" t="s">
        <v>5023</v>
      </c>
      <c r="G2147" s="404" t="s">
        <v>45</v>
      </c>
      <c r="H2147" s="411">
        <v>201</v>
      </c>
      <c r="I2147" s="411">
        <v>0</v>
      </c>
      <c r="J2147" s="391">
        <f>-((H2147*0.022)+0.3)</f>
        <v>-4.7219999999999995</v>
      </c>
      <c r="K2147" s="90">
        <f t="shared" si="374"/>
        <v>196.27799999999999</v>
      </c>
      <c r="L2147" s="187">
        <v>900</v>
      </c>
      <c r="M2147" s="187">
        <v>49.63</v>
      </c>
      <c r="N2147" s="91">
        <f t="shared" si="380"/>
        <v>175.63000000000002</v>
      </c>
      <c r="O2147" s="411">
        <f t="shared" si="377"/>
        <v>20.647999999999968</v>
      </c>
      <c r="P2147" s="132" t="s">
        <v>183</v>
      </c>
      <c r="Q2147" s="232"/>
      <c r="R2147" s="411"/>
      <c r="T2147" s="134" t="s">
        <v>324</v>
      </c>
      <c r="U2147" s="267" t="s">
        <v>5024</v>
      </c>
      <c r="W2147" s="153" t="s">
        <v>4534</v>
      </c>
      <c r="AA2147" s="218"/>
    </row>
    <row r="2148" spans="1:27" ht="24" x14ac:dyDescent="0.25">
      <c r="A2148" s="405">
        <v>3001623</v>
      </c>
      <c r="B2148" s="406">
        <v>42468</v>
      </c>
      <c r="C2148" s="405" t="s">
        <v>63</v>
      </c>
      <c r="D2148" s="401" t="s">
        <v>5025</v>
      </c>
      <c r="E2148" s="120">
        <v>70</v>
      </c>
      <c r="F2148" s="133" t="s">
        <v>2527</v>
      </c>
      <c r="G2148" s="404" t="s">
        <v>45</v>
      </c>
      <c r="H2148" s="411">
        <v>239</v>
      </c>
      <c r="I2148" s="411">
        <v>0</v>
      </c>
      <c r="J2148" s="391">
        <f>-((H2148*0.022)+0.3)</f>
        <v>-5.5579999999999998</v>
      </c>
      <c r="K2148" s="90">
        <f t="shared" si="374"/>
        <v>233.44200000000001</v>
      </c>
      <c r="L2148" s="187">
        <v>2700</v>
      </c>
      <c r="N2148" s="91">
        <f t="shared" si="380"/>
        <v>189.00000000000003</v>
      </c>
      <c r="O2148" s="411">
        <f t="shared" si="377"/>
        <v>44.441999999999979</v>
      </c>
      <c r="P2148" s="132" t="s">
        <v>235</v>
      </c>
      <c r="Q2148" s="232"/>
      <c r="R2148" s="411"/>
      <c r="T2148" s="134" t="s">
        <v>5026</v>
      </c>
      <c r="U2148" s="266" t="s">
        <v>5027</v>
      </c>
      <c r="W2148" s="153" t="s">
        <v>5028</v>
      </c>
      <c r="AA2148" s="218"/>
    </row>
    <row r="2149" spans="1:27" x14ac:dyDescent="0.25">
      <c r="A2149" s="419">
        <v>3001624</v>
      </c>
      <c r="B2149" s="421">
        <v>42468</v>
      </c>
      <c r="C2149" s="419" t="s">
        <v>56</v>
      </c>
      <c r="D2149" s="417" t="s">
        <v>1046</v>
      </c>
      <c r="E2149" s="120">
        <v>250</v>
      </c>
      <c r="F2149" s="133" t="s">
        <v>300</v>
      </c>
      <c r="G2149" s="434" t="s">
        <v>45</v>
      </c>
      <c r="H2149" s="427">
        <v>1908.22</v>
      </c>
      <c r="I2149" s="427">
        <v>0</v>
      </c>
      <c r="J2149" s="427">
        <v>0</v>
      </c>
      <c r="K2149" s="425">
        <f t="shared" si="374"/>
        <v>1908.22</v>
      </c>
      <c r="L2149" s="131">
        <v>2200</v>
      </c>
      <c r="M2149" s="468">
        <v>102.25</v>
      </c>
      <c r="N2149" s="91">
        <f t="shared" si="380"/>
        <v>652.25</v>
      </c>
      <c r="O2149" s="411">
        <f t="shared" si="377"/>
        <v>1255.97</v>
      </c>
      <c r="P2149" s="132" t="s">
        <v>52</v>
      </c>
      <c r="Q2149" s="232"/>
      <c r="R2149" s="411"/>
      <c r="T2149" s="439" t="s">
        <v>503</v>
      </c>
      <c r="U2149" s="446" t="s">
        <v>5029</v>
      </c>
      <c r="V2149" s="133" t="s">
        <v>3181</v>
      </c>
      <c r="AA2149" s="218"/>
    </row>
    <row r="2150" spans="1:27" x14ac:dyDescent="0.25">
      <c r="A2150" s="432"/>
      <c r="B2150" s="433"/>
      <c r="C2150" s="432"/>
      <c r="D2150" s="454"/>
      <c r="E2150" s="120">
        <v>1500</v>
      </c>
      <c r="F2150" s="133" t="s">
        <v>5030</v>
      </c>
      <c r="G2150" s="435"/>
      <c r="H2150" s="438"/>
      <c r="I2150" s="438"/>
      <c r="J2150" s="438"/>
      <c r="K2150" s="437"/>
      <c r="L2150" s="131">
        <v>220</v>
      </c>
      <c r="M2150" s="491"/>
      <c r="N2150" s="91">
        <f t="shared" si="380"/>
        <v>330</v>
      </c>
      <c r="O2150" s="411">
        <f t="shared" si="377"/>
        <v>-330</v>
      </c>
      <c r="P2150" s="132" t="s">
        <v>52</v>
      </c>
      <c r="Q2150" s="232"/>
      <c r="R2150" s="411"/>
      <c r="T2150" s="440"/>
      <c r="U2150" s="448"/>
      <c r="AA2150" s="218"/>
    </row>
    <row r="2151" spans="1:27" x14ac:dyDescent="0.25">
      <c r="A2151" s="432"/>
      <c r="B2151" s="433"/>
      <c r="C2151" s="432"/>
      <c r="D2151" s="454"/>
      <c r="E2151" s="120">
        <v>450</v>
      </c>
      <c r="F2151" s="133" t="s">
        <v>5031</v>
      </c>
      <c r="G2151" s="435"/>
      <c r="H2151" s="438"/>
      <c r="I2151" s="438"/>
      <c r="J2151" s="438"/>
      <c r="K2151" s="437"/>
      <c r="L2151" s="131">
        <v>660</v>
      </c>
      <c r="M2151" s="491"/>
      <c r="N2151" s="91">
        <f t="shared" si="380"/>
        <v>297</v>
      </c>
      <c r="O2151" s="411">
        <f t="shared" si="377"/>
        <v>-297</v>
      </c>
      <c r="P2151" s="132" t="s">
        <v>52</v>
      </c>
      <c r="Q2151" s="232"/>
      <c r="R2151" s="411"/>
      <c r="T2151" s="440"/>
      <c r="U2151" s="448"/>
      <c r="AA2151" s="218"/>
    </row>
    <row r="2152" spans="1:27" x14ac:dyDescent="0.25">
      <c r="A2152" s="420"/>
      <c r="B2152" s="422"/>
      <c r="C2152" s="420"/>
      <c r="D2152" s="418"/>
      <c r="E2152" s="120">
        <v>500</v>
      </c>
      <c r="F2152" s="133" t="s">
        <v>5032</v>
      </c>
      <c r="G2152" s="436"/>
      <c r="H2152" s="428"/>
      <c r="I2152" s="428"/>
      <c r="J2152" s="428"/>
      <c r="K2152" s="426"/>
      <c r="L2152" s="131">
        <v>280</v>
      </c>
      <c r="M2152" s="469"/>
      <c r="N2152" s="91">
        <f t="shared" si="380"/>
        <v>140</v>
      </c>
      <c r="O2152" s="411">
        <f t="shared" si="377"/>
        <v>-140</v>
      </c>
      <c r="P2152" s="132" t="s">
        <v>52</v>
      </c>
      <c r="Q2152" s="232"/>
      <c r="R2152" s="411"/>
      <c r="T2152" s="441"/>
      <c r="U2152" s="447"/>
      <c r="AA2152" s="218"/>
    </row>
    <row r="2153" spans="1:27" ht="24" x14ac:dyDescent="0.25">
      <c r="A2153" s="405">
        <v>3001625</v>
      </c>
      <c r="B2153" s="406">
        <v>42468</v>
      </c>
      <c r="C2153" s="405" t="s">
        <v>159</v>
      </c>
      <c r="D2153" s="401" t="s">
        <v>5033</v>
      </c>
      <c r="E2153" s="120">
        <v>47</v>
      </c>
      <c r="F2153" s="133" t="s">
        <v>1991</v>
      </c>
      <c r="G2153" s="404" t="s">
        <v>45</v>
      </c>
      <c r="H2153" s="411">
        <v>237.35</v>
      </c>
      <c r="I2153" s="411">
        <v>0</v>
      </c>
      <c r="J2153" s="391">
        <f t="shared" ref="J2153:J2165" si="383">-((H2153*0.019)+0.3)</f>
        <v>-4.8096499999999995</v>
      </c>
      <c r="K2153" s="90">
        <f t="shared" ref="K2153:K2216" si="384">SUM(H2153:J2153)</f>
        <v>232.54034999999999</v>
      </c>
      <c r="L2153" s="187">
        <v>3350</v>
      </c>
      <c r="M2153" s="187">
        <v>26.88</v>
      </c>
      <c r="N2153" s="91">
        <f t="shared" si="380"/>
        <v>184.32999999999998</v>
      </c>
      <c r="O2153" s="411">
        <f t="shared" si="377"/>
        <v>48.210350000000005</v>
      </c>
      <c r="P2153" s="132" t="s">
        <v>183</v>
      </c>
      <c r="Q2153" s="232"/>
      <c r="R2153" s="411"/>
      <c r="T2153" s="134" t="s">
        <v>145</v>
      </c>
      <c r="U2153" s="267" t="s">
        <v>5034</v>
      </c>
      <c r="W2153" s="153" t="s">
        <v>5035</v>
      </c>
      <c r="AA2153" s="218"/>
    </row>
    <row r="2154" spans="1:27" x14ac:dyDescent="0.25">
      <c r="A2154" s="405">
        <v>3001626</v>
      </c>
      <c r="B2154" s="406">
        <v>42468</v>
      </c>
      <c r="C2154" s="405" t="s">
        <v>78</v>
      </c>
      <c r="D2154" s="401" t="s">
        <v>269</v>
      </c>
      <c r="E2154" s="120">
        <v>140</v>
      </c>
      <c r="F2154" s="133" t="s">
        <v>282</v>
      </c>
      <c r="G2154" s="404" t="s">
        <v>45</v>
      </c>
      <c r="H2154" s="411">
        <v>448</v>
      </c>
      <c r="I2154" s="411">
        <v>0</v>
      </c>
      <c r="J2154" s="391">
        <f t="shared" si="383"/>
        <v>-8.8120000000000012</v>
      </c>
      <c r="K2154" s="90">
        <f t="shared" si="384"/>
        <v>439.18799999999999</v>
      </c>
      <c r="L2154" s="187">
        <v>1799.67</v>
      </c>
      <c r="M2154" s="187">
        <v>74.5</v>
      </c>
      <c r="N2154" s="91">
        <f t="shared" si="380"/>
        <v>326.4538</v>
      </c>
      <c r="O2154" s="411">
        <f t="shared" si="377"/>
        <v>112.73419999999999</v>
      </c>
      <c r="P2154" s="132" t="s">
        <v>46</v>
      </c>
      <c r="Q2154" s="232"/>
      <c r="R2154" s="411"/>
      <c r="T2154" s="134" t="s">
        <v>463</v>
      </c>
      <c r="U2154" s="267" t="s">
        <v>5036</v>
      </c>
      <c r="W2154" s="153" t="s">
        <v>271</v>
      </c>
      <c r="AA2154" s="218"/>
    </row>
    <row r="2155" spans="1:27" ht="24" x14ac:dyDescent="0.25">
      <c r="A2155" s="405">
        <v>3001627</v>
      </c>
      <c r="B2155" s="406">
        <v>42468</v>
      </c>
      <c r="C2155" s="405" t="s">
        <v>42</v>
      </c>
      <c r="D2155" s="401" t="s">
        <v>5037</v>
      </c>
      <c r="E2155" s="120">
        <v>200</v>
      </c>
      <c r="F2155" s="133" t="s">
        <v>5038</v>
      </c>
      <c r="G2155" s="404" t="s">
        <v>45</v>
      </c>
      <c r="H2155" s="411">
        <v>374.32</v>
      </c>
      <c r="I2155" s="89">
        <f t="shared" ref="I2155:I2165" si="385">-(H2155*0.09)</f>
        <v>-33.688800000000001</v>
      </c>
      <c r="J2155" s="391">
        <f t="shared" si="383"/>
        <v>-7.4120799999999996</v>
      </c>
      <c r="K2155" s="90">
        <f t="shared" si="384"/>
        <v>333.21911999999998</v>
      </c>
      <c r="L2155" s="131">
        <v>950</v>
      </c>
      <c r="M2155" s="158">
        <v>19.52</v>
      </c>
      <c r="N2155" s="91">
        <f t="shared" si="380"/>
        <v>209.52</v>
      </c>
      <c r="O2155" s="411">
        <f t="shared" si="377"/>
        <v>123.69911999999997</v>
      </c>
      <c r="P2155" s="132" t="s">
        <v>52</v>
      </c>
      <c r="Q2155" s="232"/>
      <c r="R2155" s="411"/>
      <c r="T2155" s="134" t="s">
        <v>145</v>
      </c>
      <c r="U2155" s="267" t="s">
        <v>5039</v>
      </c>
      <c r="AA2155" s="218"/>
    </row>
    <row r="2156" spans="1:27" ht="24" x14ac:dyDescent="0.25">
      <c r="A2156" s="405">
        <v>3001628</v>
      </c>
      <c r="B2156" s="406">
        <v>42468</v>
      </c>
      <c r="C2156" s="405" t="s">
        <v>42</v>
      </c>
      <c r="D2156" s="401" t="s">
        <v>3870</v>
      </c>
      <c r="E2156" s="120">
        <v>100</v>
      </c>
      <c r="F2156" s="133" t="s">
        <v>288</v>
      </c>
      <c r="G2156" s="404" t="s">
        <v>45</v>
      </c>
      <c r="H2156" s="411">
        <v>187.16</v>
      </c>
      <c r="I2156" s="89">
        <f t="shared" si="385"/>
        <v>-16.8444</v>
      </c>
      <c r="J2156" s="391">
        <f t="shared" si="383"/>
        <v>-3.8560399999999997</v>
      </c>
      <c r="K2156" s="90">
        <f t="shared" si="384"/>
        <v>166.45955999999998</v>
      </c>
      <c r="L2156" s="131">
        <v>950</v>
      </c>
      <c r="M2156" s="158">
        <v>30.4</v>
      </c>
      <c r="N2156" s="91">
        <f t="shared" si="380"/>
        <v>125.4</v>
      </c>
      <c r="O2156" s="411">
        <f t="shared" si="377"/>
        <v>41.059559999999976</v>
      </c>
      <c r="P2156" s="132" t="s">
        <v>52</v>
      </c>
      <c r="Q2156" s="232"/>
      <c r="R2156" s="411"/>
      <c r="T2156" s="134" t="s">
        <v>145</v>
      </c>
      <c r="U2156" s="267" t="s">
        <v>5040</v>
      </c>
      <c r="AA2156" s="218"/>
    </row>
    <row r="2157" spans="1:27" ht="24" x14ac:dyDescent="0.25">
      <c r="A2157" s="405">
        <v>3001629</v>
      </c>
      <c r="B2157" s="406">
        <v>42468</v>
      </c>
      <c r="C2157" s="405" t="s">
        <v>42</v>
      </c>
      <c r="D2157" s="401" t="s">
        <v>5041</v>
      </c>
      <c r="E2157" s="120">
        <v>150</v>
      </c>
      <c r="F2157" s="133" t="s">
        <v>829</v>
      </c>
      <c r="G2157" s="404" t="s">
        <v>45</v>
      </c>
      <c r="H2157" s="411">
        <v>158.03</v>
      </c>
      <c r="I2157" s="89">
        <f t="shared" si="385"/>
        <v>-14.2227</v>
      </c>
      <c r="J2157" s="391">
        <f t="shared" si="383"/>
        <v>-3.3025699999999998</v>
      </c>
      <c r="K2157" s="90">
        <f t="shared" si="384"/>
        <v>140.50473</v>
      </c>
      <c r="L2157" s="131">
        <v>510</v>
      </c>
      <c r="M2157" s="158">
        <v>30.82</v>
      </c>
      <c r="N2157" s="91">
        <f t="shared" si="380"/>
        <v>107.32</v>
      </c>
      <c r="O2157" s="411">
        <f t="shared" si="377"/>
        <v>33.184730000000002</v>
      </c>
      <c r="P2157" s="132" t="s">
        <v>52</v>
      </c>
      <c r="Q2157" s="232"/>
      <c r="R2157" s="411"/>
      <c r="T2157" s="134" t="s">
        <v>145</v>
      </c>
      <c r="U2157" s="267" t="s">
        <v>5042</v>
      </c>
      <c r="AA2157" s="218"/>
    </row>
    <row r="2158" spans="1:27" ht="24" x14ac:dyDescent="0.25">
      <c r="A2158" s="405">
        <v>3001630</v>
      </c>
      <c r="B2158" s="406">
        <v>42468</v>
      </c>
      <c r="C2158" s="405" t="s">
        <v>42</v>
      </c>
      <c r="D2158" s="401" t="s">
        <v>5043</v>
      </c>
      <c r="E2158" s="120">
        <v>275</v>
      </c>
      <c r="F2158" s="133" t="s">
        <v>247</v>
      </c>
      <c r="G2158" s="404" t="s">
        <v>45</v>
      </c>
      <c r="H2158" s="411">
        <v>313.5</v>
      </c>
      <c r="I2158" s="89">
        <f t="shared" si="385"/>
        <v>-28.215</v>
      </c>
      <c r="J2158" s="391">
        <f t="shared" si="383"/>
        <v>-6.2565</v>
      </c>
      <c r="K2158" s="90">
        <f t="shared" si="384"/>
        <v>279.02850000000001</v>
      </c>
      <c r="L2158" s="131">
        <v>480</v>
      </c>
      <c r="M2158" s="158">
        <v>44.83</v>
      </c>
      <c r="N2158" s="91">
        <f t="shared" si="380"/>
        <v>176.82999999999998</v>
      </c>
      <c r="O2158" s="411">
        <f t="shared" si="377"/>
        <v>102.19850000000002</v>
      </c>
      <c r="P2158" s="132" t="s">
        <v>52</v>
      </c>
      <c r="Q2158" s="232"/>
      <c r="R2158" s="411"/>
      <c r="T2158" s="134" t="s">
        <v>145</v>
      </c>
      <c r="U2158" s="267" t="s">
        <v>5044</v>
      </c>
      <c r="AA2158" s="218"/>
    </row>
    <row r="2159" spans="1:27" ht="24" x14ac:dyDescent="0.25">
      <c r="A2159" s="405">
        <v>3001631</v>
      </c>
      <c r="B2159" s="406">
        <v>42468</v>
      </c>
      <c r="C2159" s="405" t="s">
        <v>42</v>
      </c>
      <c r="D2159" s="401" t="s">
        <v>5045</v>
      </c>
      <c r="E2159" s="120">
        <v>120</v>
      </c>
      <c r="F2159" s="133" t="s">
        <v>247</v>
      </c>
      <c r="G2159" s="404" t="s">
        <v>45</v>
      </c>
      <c r="H2159" s="411">
        <v>132</v>
      </c>
      <c r="I2159" s="89">
        <f t="shared" si="385"/>
        <v>-11.879999999999999</v>
      </c>
      <c r="J2159" s="391">
        <f t="shared" si="383"/>
        <v>-2.8079999999999998</v>
      </c>
      <c r="K2159" s="90">
        <f t="shared" si="384"/>
        <v>117.31200000000001</v>
      </c>
      <c r="L2159" s="131">
        <v>480</v>
      </c>
      <c r="M2159" s="158">
        <v>30.51</v>
      </c>
      <c r="N2159" s="91">
        <f t="shared" si="380"/>
        <v>88.11</v>
      </c>
      <c r="O2159" s="411">
        <f t="shared" si="377"/>
        <v>29.202000000000012</v>
      </c>
      <c r="P2159" s="132" t="s">
        <v>52</v>
      </c>
      <c r="Q2159" s="232"/>
      <c r="R2159" s="411"/>
      <c r="T2159" s="134" t="s">
        <v>145</v>
      </c>
      <c r="U2159" s="267" t="s">
        <v>5046</v>
      </c>
      <c r="AA2159" s="218"/>
    </row>
    <row r="2160" spans="1:27" x14ac:dyDescent="0.25">
      <c r="A2160" s="405">
        <v>3001632</v>
      </c>
      <c r="B2160" s="406">
        <v>42468</v>
      </c>
      <c r="C2160" s="405" t="s">
        <v>42</v>
      </c>
      <c r="D2160" s="401" t="s">
        <v>5047</v>
      </c>
      <c r="E2160" s="120">
        <v>200</v>
      </c>
      <c r="F2160" s="133" t="s">
        <v>5048</v>
      </c>
      <c r="G2160" s="404" t="s">
        <v>45</v>
      </c>
      <c r="H2160" s="411">
        <v>662.48</v>
      </c>
      <c r="I2160" s="89">
        <f t="shared" si="385"/>
        <v>-59.623199999999997</v>
      </c>
      <c r="J2160" s="391">
        <f t="shared" si="383"/>
        <v>-12.887120000000001</v>
      </c>
      <c r="K2160" s="90">
        <f t="shared" si="384"/>
        <v>589.96968000000004</v>
      </c>
      <c r="L2160" s="187">
        <v>1838</v>
      </c>
      <c r="M2160" s="158">
        <v>0</v>
      </c>
      <c r="N2160" s="91">
        <f t="shared" si="380"/>
        <v>367.6</v>
      </c>
      <c r="O2160" s="411">
        <f t="shared" si="377"/>
        <v>222.36968000000002</v>
      </c>
      <c r="P2160" s="132" t="s">
        <v>926</v>
      </c>
      <c r="Q2160" s="232"/>
      <c r="R2160" s="411"/>
      <c r="T2160" s="134" t="s">
        <v>1346</v>
      </c>
      <c r="U2160" s="267" t="s">
        <v>5049</v>
      </c>
      <c r="AA2160" s="218"/>
    </row>
    <row r="2161" spans="1:27" ht="24" x14ac:dyDescent="0.25">
      <c r="A2161" s="405">
        <v>3001633</v>
      </c>
      <c r="B2161" s="406">
        <v>42468</v>
      </c>
      <c r="C2161" s="405" t="s">
        <v>42</v>
      </c>
      <c r="D2161" s="401" t="s">
        <v>5050</v>
      </c>
      <c r="E2161" s="120">
        <v>140</v>
      </c>
      <c r="F2161" s="133" t="s">
        <v>829</v>
      </c>
      <c r="G2161" s="404" t="s">
        <v>45</v>
      </c>
      <c r="H2161" s="411">
        <v>140</v>
      </c>
      <c r="I2161" s="89">
        <f t="shared" si="385"/>
        <v>-12.6</v>
      </c>
      <c r="J2161" s="391">
        <f t="shared" si="383"/>
        <v>-2.96</v>
      </c>
      <c r="K2161" s="90">
        <f t="shared" si="384"/>
        <v>124.44000000000001</v>
      </c>
      <c r="L2161" s="131">
        <v>510</v>
      </c>
      <c r="M2161" s="158">
        <v>45.16</v>
      </c>
      <c r="N2161" s="91">
        <f t="shared" si="380"/>
        <v>116.56</v>
      </c>
      <c r="O2161" s="411">
        <f t="shared" si="377"/>
        <v>7.8800000000000097</v>
      </c>
      <c r="P2161" s="132" t="s">
        <v>52</v>
      </c>
      <c r="Q2161" s="232"/>
      <c r="R2161" s="411"/>
      <c r="T2161" s="134" t="s">
        <v>145</v>
      </c>
      <c r="U2161" s="267" t="s">
        <v>5051</v>
      </c>
      <c r="AA2161" s="218"/>
    </row>
    <row r="2162" spans="1:27" ht="24" x14ac:dyDescent="0.25">
      <c r="A2162" s="405">
        <v>3001634</v>
      </c>
      <c r="B2162" s="406">
        <v>42468</v>
      </c>
      <c r="C2162" s="405" t="s">
        <v>42</v>
      </c>
      <c r="D2162" s="401" t="s">
        <v>5052</v>
      </c>
      <c r="E2162" s="120">
        <v>375</v>
      </c>
      <c r="F2162" s="133" t="s">
        <v>227</v>
      </c>
      <c r="G2162" s="404" t="s">
        <v>45</v>
      </c>
      <c r="H2162" s="411">
        <v>333.45</v>
      </c>
      <c r="I2162" s="89">
        <f t="shared" si="385"/>
        <v>-30.010499999999997</v>
      </c>
      <c r="J2162" s="391">
        <f t="shared" si="383"/>
        <v>-6.6355499999999994</v>
      </c>
      <c r="K2162" s="90">
        <f t="shared" si="384"/>
        <v>296.80394999999999</v>
      </c>
      <c r="L2162" s="131">
        <v>350</v>
      </c>
      <c r="M2162" s="158">
        <v>48.52</v>
      </c>
      <c r="N2162" s="91">
        <f t="shared" si="380"/>
        <v>179.77</v>
      </c>
      <c r="O2162" s="411">
        <f t="shared" si="377"/>
        <v>117.03394999999998</v>
      </c>
      <c r="P2162" s="132" t="s">
        <v>52</v>
      </c>
      <c r="Q2162" s="232"/>
      <c r="R2162" s="411"/>
      <c r="T2162" s="134" t="s">
        <v>145</v>
      </c>
      <c r="U2162" s="267" t="s">
        <v>5053</v>
      </c>
      <c r="AA2162" s="218"/>
    </row>
    <row r="2163" spans="1:27" ht="24" x14ac:dyDescent="0.25">
      <c r="A2163" s="405">
        <v>3001635</v>
      </c>
      <c r="B2163" s="406">
        <v>42468</v>
      </c>
      <c r="C2163" s="405" t="s">
        <v>42</v>
      </c>
      <c r="D2163" s="401" t="s">
        <v>5054</v>
      </c>
      <c r="E2163" s="120">
        <v>50</v>
      </c>
      <c r="F2163" s="133" t="s">
        <v>300</v>
      </c>
      <c r="G2163" s="404" t="s">
        <v>45</v>
      </c>
      <c r="H2163" s="411">
        <v>203.08</v>
      </c>
      <c r="I2163" s="89">
        <f t="shared" si="385"/>
        <v>-18.277200000000001</v>
      </c>
      <c r="J2163" s="391">
        <f t="shared" si="383"/>
        <v>-4.1585200000000002</v>
      </c>
      <c r="K2163" s="90">
        <f t="shared" si="384"/>
        <v>180.64428000000001</v>
      </c>
      <c r="L2163" s="131">
        <v>2200</v>
      </c>
      <c r="M2163" s="187">
        <v>50.36</v>
      </c>
      <c r="N2163" s="91">
        <f t="shared" si="380"/>
        <v>160.36000000000001</v>
      </c>
      <c r="O2163" s="411">
        <f t="shared" si="377"/>
        <v>20.284279999999995</v>
      </c>
      <c r="P2163" s="132" t="s">
        <v>52</v>
      </c>
      <c r="Q2163" s="232"/>
      <c r="R2163" s="411"/>
      <c r="T2163" s="134" t="s">
        <v>145</v>
      </c>
      <c r="U2163" s="267" t="s">
        <v>5055</v>
      </c>
      <c r="AA2163" s="218"/>
    </row>
    <row r="2164" spans="1:27" x14ac:dyDescent="0.25">
      <c r="A2164" s="405">
        <v>3001636</v>
      </c>
      <c r="B2164" s="406">
        <v>42468</v>
      </c>
      <c r="C2164" s="405" t="s">
        <v>42</v>
      </c>
      <c r="D2164" s="401" t="s">
        <v>5056</v>
      </c>
      <c r="E2164" s="120">
        <v>425</v>
      </c>
      <c r="F2164" s="133" t="s">
        <v>51</v>
      </c>
      <c r="G2164" s="404" t="s">
        <v>45</v>
      </c>
      <c r="H2164" s="411">
        <v>850</v>
      </c>
      <c r="I2164" s="89">
        <f t="shared" si="385"/>
        <v>-76.5</v>
      </c>
      <c r="J2164" s="391">
        <f t="shared" si="383"/>
        <v>-16.45</v>
      </c>
      <c r="K2164" s="90">
        <f t="shared" si="384"/>
        <v>757.05</v>
      </c>
      <c r="L2164" s="131">
        <v>1015</v>
      </c>
      <c r="M2164" s="187">
        <v>180.6</v>
      </c>
      <c r="N2164" s="91">
        <f t="shared" si="380"/>
        <v>611.97500000000002</v>
      </c>
      <c r="O2164" s="411">
        <f t="shared" si="377"/>
        <v>145.07499999999993</v>
      </c>
      <c r="P2164" s="132" t="s">
        <v>52</v>
      </c>
      <c r="Q2164" s="232"/>
      <c r="R2164" s="411"/>
      <c r="T2164" s="134" t="s">
        <v>244</v>
      </c>
      <c r="U2164" s="267" t="s">
        <v>5057</v>
      </c>
      <c r="V2164" s="133" t="s">
        <v>55</v>
      </c>
      <c r="AA2164" s="218"/>
    </row>
    <row r="2165" spans="1:27" ht="24" x14ac:dyDescent="0.25">
      <c r="A2165" s="405">
        <v>3001637</v>
      </c>
      <c r="B2165" s="406">
        <v>42468</v>
      </c>
      <c r="C2165" s="405" t="s">
        <v>42</v>
      </c>
      <c r="D2165" s="401" t="s">
        <v>5058</v>
      </c>
      <c r="E2165" s="120">
        <v>250</v>
      </c>
      <c r="F2165" s="133" t="s">
        <v>5059</v>
      </c>
      <c r="G2165" s="404" t="s">
        <v>45</v>
      </c>
      <c r="H2165" s="411">
        <v>172</v>
      </c>
      <c r="I2165" s="89">
        <f t="shared" si="385"/>
        <v>-15.479999999999999</v>
      </c>
      <c r="J2165" s="391">
        <f t="shared" si="383"/>
        <v>-3.5679999999999996</v>
      </c>
      <c r="K2165" s="90">
        <f t="shared" si="384"/>
        <v>152.952</v>
      </c>
      <c r="L2165" s="187">
        <v>212</v>
      </c>
      <c r="M2165" s="187">
        <v>16.8</v>
      </c>
      <c r="N2165" s="91">
        <f t="shared" si="380"/>
        <v>69.8</v>
      </c>
      <c r="O2165" s="411">
        <f t="shared" si="377"/>
        <v>83.152000000000001</v>
      </c>
      <c r="P2165" s="132" t="s">
        <v>183</v>
      </c>
      <c r="Q2165" s="232"/>
      <c r="R2165" s="411"/>
      <c r="T2165" s="134" t="s">
        <v>145</v>
      </c>
      <c r="U2165" s="267" t="s">
        <v>5060</v>
      </c>
      <c r="AA2165" s="218"/>
    </row>
    <row r="2166" spans="1:27" ht="24" x14ac:dyDescent="0.25">
      <c r="A2166" s="419">
        <v>3001638</v>
      </c>
      <c r="B2166" s="421">
        <v>42468</v>
      </c>
      <c r="C2166" s="419" t="s">
        <v>237</v>
      </c>
      <c r="D2166" s="417" t="s">
        <v>3880</v>
      </c>
      <c r="E2166" s="120">
        <v>4000</v>
      </c>
      <c r="F2166" s="133" t="s">
        <v>5061</v>
      </c>
      <c r="G2166" s="434" t="s">
        <v>45</v>
      </c>
      <c r="H2166" s="427">
        <v>388.93</v>
      </c>
      <c r="I2166" s="452">
        <f>-(H2166*0.15)</f>
        <v>-58.339500000000001</v>
      </c>
      <c r="J2166" s="427">
        <v>0</v>
      </c>
      <c r="K2166" s="425">
        <f t="shared" si="384"/>
        <v>330.59050000000002</v>
      </c>
      <c r="L2166" s="187">
        <v>41.48</v>
      </c>
      <c r="M2166" s="158">
        <v>32.549999999999997</v>
      </c>
      <c r="N2166" s="91">
        <f t="shared" si="380"/>
        <v>198.46999999999997</v>
      </c>
      <c r="O2166" s="411">
        <f t="shared" si="377"/>
        <v>132.12050000000005</v>
      </c>
      <c r="P2166" s="132" t="s">
        <v>76</v>
      </c>
      <c r="Q2166" s="232"/>
      <c r="R2166" s="411"/>
      <c r="T2166" s="134" t="s">
        <v>145</v>
      </c>
      <c r="U2166" s="267" t="s">
        <v>5062</v>
      </c>
      <c r="AA2166" s="218"/>
    </row>
    <row r="2167" spans="1:27" x14ac:dyDescent="0.25">
      <c r="A2167" s="420"/>
      <c r="B2167" s="422"/>
      <c r="C2167" s="420"/>
      <c r="D2167" s="418"/>
      <c r="E2167" s="120">
        <v>1000</v>
      </c>
      <c r="F2167" s="133" t="s">
        <v>5063</v>
      </c>
      <c r="G2167" s="436"/>
      <c r="H2167" s="428"/>
      <c r="I2167" s="453"/>
      <c r="J2167" s="428"/>
      <c r="K2167" s="426"/>
      <c r="L2167" s="187">
        <v>52</v>
      </c>
      <c r="M2167" s="158">
        <v>12.82</v>
      </c>
      <c r="N2167" s="91">
        <f t="shared" si="380"/>
        <v>64.819999999999993</v>
      </c>
      <c r="O2167" s="411">
        <f t="shared" si="377"/>
        <v>-64.819999999999993</v>
      </c>
      <c r="P2167" s="132" t="s">
        <v>888</v>
      </c>
      <c r="Q2167" s="232"/>
      <c r="R2167" s="411"/>
      <c r="T2167" s="134" t="s">
        <v>314</v>
      </c>
      <c r="U2167" s="267" t="s">
        <v>5064</v>
      </c>
      <c r="AA2167" s="218"/>
    </row>
    <row r="2168" spans="1:27" ht="24" x14ac:dyDescent="0.25">
      <c r="A2168" s="405">
        <v>3001639</v>
      </c>
      <c r="B2168" s="406">
        <v>42468</v>
      </c>
      <c r="C2168" s="405" t="s">
        <v>237</v>
      </c>
      <c r="D2168" s="401" t="s">
        <v>5065</v>
      </c>
      <c r="E2168" s="120">
        <v>200</v>
      </c>
      <c r="F2168" s="133" t="s">
        <v>5066</v>
      </c>
      <c r="G2168" s="404" t="s">
        <v>45</v>
      </c>
      <c r="H2168" s="411">
        <v>487.08</v>
      </c>
      <c r="I2168" s="397">
        <f>-(H2168*0.15)</f>
        <v>-73.061999999999998</v>
      </c>
      <c r="J2168" s="411">
        <v>0</v>
      </c>
      <c r="K2168" s="90">
        <f t="shared" si="384"/>
        <v>414.01799999999997</v>
      </c>
      <c r="L2168" s="187">
        <v>1190</v>
      </c>
      <c r="M2168" s="158">
        <v>26.57</v>
      </c>
      <c r="N2168" s="91">
        <f t="shared" si="380"/>
        <v>264.57</v>
      </c>
      <c r="O2168" s="411">
        <f t="shared" si="377"/>
        <v>149.44799999999998</v>
      </c>
      <c r="P2168" s="132" t="s">
        <v>601</v>
      </c>
      <c r="Q2168" s="232"/>
      <c r="R2168" s="411"/>
      <c r="T2168" s="134" t="s">
        <v>145</v>
      </c>
      <c r="U2168" s="267" t="s">
        <v>5067</v>
      </c>
      <c r="AA2168" s="218"/>
    </row>
    <row r="2169" spans="1:27" ht="24" x14ac:dyDescent="0.25">
      <c r="A2169" s="405">
        <v>3001640</v>
      </c>
      <c r="B2169" s="406">
        <v>42468</v>
      </c>
      <c r="C2169" s="405" t="s">
        <v>237</v>
      </c>
      <c r="D2169" s="401" t="s">
        <v>5068</v>
      </c>
      <c r="E2169" s="120">
        <v>100</v>
      </c>
      <c r="F2169" s="133" t="s">
        <v>300</v>
      </c>
      <c r="G2169" s="404" t="s">
        <v>45</v>
      </c>
      <c r="H2169" s="411">
        <v>346.1</v>
      </c>
      <c r="I2169" s="397">
        <f>-(H2169*0.15)</f>
        <v>-51.914999999999999</v>
      </c>
      <c r="J2169" s="411">
        <v>0</v>
      </c>
      <c r="K2169" s="90">
        <f t="shared" si="384"/>
        <v>294.185</v>
      </c>
      <c r="L2169" s="131">
        <v>2200</v>
      </c>
      <c r="M2169" s="158">
        <v>45.2</v>
      </c>
      <c r="N2169" s="91">
        <f t="shared" si="380"/>
        <v>265.2</v>
      </c>
      <c r="O2169" s="411">
        <f t="shared" si="377"/>
        <v>28.985000000000014</v>
      </c>
      <c r="P2169" s="132" t="s">
        <v>52</v>
      </c>
      <c r="Q2169" s="232"/>
      <c r="R2169" s="411"/>
      <c r="T2169" s="134" t="s">
        <v>145</v>
      </c>
      <c r="U2169" s="267" t="s">
        <v>5069</v>
      </c>
      <c r="AA2169" s="218"/>
    </row>
    <row r="2170" spans="1:27" x14ac:dyDescent="0.25">
      <c r="A2170" s="419">
        <v>3001641</v>
      </c>
      <c r="B2170" s="421">
        <v>42468</v>
      </c>
      <c r="C2170" s="419" t="s">
        <v>237</v>
      </c>
      <c r="D2170" s="417" t="s">
        <v>5070</v>
      </c>
      <c r="E2170" s="120">
        <v>50</v>
      </c>
      <c r="F2170" s="133" t="s">
        <v>3299</v>
      </c>
      <c r="G2170" s="434" t="s">
        <v>45</v>
      </c>
      <c r="H2170" s="427">
        <v>143.55000000000001</v>
      </c>
      <c r="I2170" s="452">
        <f>-(H2170*0.15)</f>
        <v>-21.532500000000002</v>
      </c>
      <c r="J2170" s="427">
        <v>0</v>
      </c>
      <c r="K2170" s="425">
        <f t="shared" si="384"/>
        <v>122.01750000000001</v>
      </c>
      <c r="L2170" s="187">
        <v>771</v>
      </c>
      <c r="M2170" s="555">
        <v>18.170000000000002</v>
      </c>
      <c r="N2170" s="91">
        <f t="shared" si="380"/>
        <v>56.720000000000006</v>
      </c>
      <c r="O2170" s="411">
        <f t="shared" si="377"/>
        <v>65.297500000000014</v>
      </c>
      <c r="P2170" s="132" t="s">
        <v>601</v>
      </c>
      <c r="Q2170" s="232"/>
      <c r="R2170" s="411"/>
      <c r="T2170" s="439" t="s">
        <v>145</v>
      </c>
      <c r="U2170" s="446" t="s">
        <v>5071</v>
      </c>
      <c r="AA2170" s="218"/>
    </row>
    <row r="2171" spans="1:27" x14ac:dyDescent="0.25">
      <c r="A2171" s="420"/>
      <c r="B2171" s="422"/>
      <c r="C2171" s="420"/>
      <c r="D2171" s="418"/>
      <c r="E2171" s="120">
        <v>50</v>
      </c>
      <c r="F2171" s="133" t="s">
        <v>3301</v>
      </c>
      <c r="G2171" s="436"/>
      <c r="H2171" s="428"/>
      <c r="I2171" s="453"/>
      <c r="J2171" s="428"/>
      <c r="K2171" s="426"/>
      <c r="L2171" s="187">
        <v>771</v>
      </c>
      <c r="M2171" s="557"/>
      <c r="N2171" s="91">
        <f t="shared" si="380"/>
        <v>38.550000000000004</v>
      </c>
      <c r="O2171" s="411">
        <f t="shared" si="377"/>
        <v>-38.550000000000004</v>
      </c>
      <c r="P2171" s="132" t="s">
        <v>601</v>
      </c>
      <c r="Q2171" s="232"/>
      <c r="R2171" s="411"/>
      <c r="T2171" s="441"/>
      <c r="U2171" s="447"/>
      <c r="AA2171" s="218"/>
    </row>
    <row r="2172" spans="1:27" ht="24" x14ac:dyDescent="0.25">
      <c r="A2172" s="405">
        <v>3001642</v>
      </c>
      <c r="B2172" s="406">
        <v>42471</v>
      </c>
      <c r="C2172" s="405" t="s">
        <v>63</v>
      </c>
      <c r="D2172" s="401" t="s">
        <v>3039</v>
      </c>
      <c r="E2172" s="120">
        <v>5000</v>
      </c>
      <c r="F2172" s="133" t="s">
        <v>5072</v>
      </c>
      <c r="G2172" s="404" t="s">
        <v>45</v>
      </c>
      <c r="H2172" s="411">
        <v>500</v>
      </c>
      <c r="I2172" s="411">
        <v>0</v>
      </c>
      <c r="J2172" s="391">
        <f>-((H2172*0.022)+0.3)</f>
        <v>-11.3</v>
      </c>
      <c r="K2172" s="90">
        <f t="shared" si="384"/>
        <v>488.7</v>
      </c>
      <c r="L2172" s="187">
        <v>61</v>
      </c>
      <c r="M2172" s="158">
        <v>18.809999999999999</v>
      </c>
      <c r="N2172" s="91">
        <f t="shared" si="380"/>
        <v>323.81</v>
      </c>
      <c r="O2172" s="411">
        <f t="shared" si="377"/>
        <v>164.89</v>
      </c>
      <c r="P2172" s="132" t="s">
        <v>4514</v>
      </c>
      <c r="Q2172" s="232"/>
      <c r="R2172" s="411"/>
      <c r="T2172" s="134" t="s">
        <v>145</v>
      </c>
      <c r="U2172" s="267" t="s">
        <v>5073</v>
      </c>
      <c r="W2172" s="153" t="s">
        <v>3042</v>
      </c>
      <c r="AA2172" s="218"/>
    </row>
    <row r="2173" spans="1:27" ht="24" x14ac:dyDescent="0.25">
      <c r="A2173" s="405">
        <v>3001643</v>
      </c>
      <c r="B2173" s="406">
        <v>42471</v>
      </c>
      <c r="C2173" s="405" t="s">
        <v>141</v>
      </c>
      <c r="D2173" s="401" t="s">
        <v>5074</v>
      </c>
      <c r="E2173" s="120">
        <v>250</v>
      </c>
      <c r="F2173" s="133" t="s">
        <v>451</v>
      </c>
      <c r="G2173" s="404" t="s">
        <v>45</v>
      </c>
      <c r="H2173" s="411">
        <v>165.41</v>
      </c>
      <c r="I2173" s="411">
        <v>0</v>
      </c>
      <c r="J2173" s="391">
        <f>-((H2173*0.0325)+0.3)</f>
        <v>-5.6758249999999997</v>
      </c>
      <c r="K2173" s="90">
        <f t="shared" si="384"/>
        <v>159.73417499999999</v>
      </c>
      <c r="L2173" s="131">
        <v>300</v>
      </c>
      <c r="M2173" s="158">
        <v>16.850000000000001</v>
      </c>
      <c r="N2173" s="91">
        <f t="shared" si="380"/>
        <v>91.85</v>
      </c>
      <c r="O2173" s="411">
        <f t="shared" si="377"/>
        <v>67.884174999999999</v>
      </c>
      <c r="P2173" s="132" t="s">
        <v>52</v>
      </c>
      <c r="Q2173" s="232"/>
      <c r="R2173" s="411">
        <v>13.31</v>
      </c>
      <c r="S2173" s="133" t="s">
        <v>1396</v>
      </c>
      <c r="T2173" s="134" t="s">
        <v>145</v>
      </c>
      <c r="U2173" s="267" t="s">
        <v>5075</v>
      </c>
      <c r="W2173" s="153" t="s">
        <v>5076</v>
      </c>
      <c r="AA2173" s="218"/>
    </row>
    <row r="2174" spans="1:27" ht="24" x14ac:dyDescent="0.25">
      <c r="A2174" s="405">
        <v>3001644</v>
      </c>
      <c r="B2174" s="406">
        <v>42471</v>
      </c>
      <c r="C2174" s="405" t="s">
        <v>141</v>
      </c>
      <c r="D2174" s="401" t="s">
        <v>5077</v>
      </c>
      <c r="E2174" s="120">
        <v>300</v>
      </c>
      <c r="F2174" s="133" t="s">
        <v>165</v>
      </c>
      <c r="G2174" s="404" t="s">
        <v>45</v>
      </c>
      <c r="H2174" s="411">
        <v>314.06</v>
      </c>
      <c r="I2174" s="411">
        <v>0</v>
      </c>
      <c r="J2174" s="391">
        <f>-((H2174*0.0325)+0.3)</f>
        <v>-10.506950000000002</v>
      </c>
      <c r="K2174" s="90">
        <f t="shared" si="384"/>
        <v>303.55304999999998</v>
      </c>
      <c r="L2174" s="131">
        <v>480</v>
      </c>
      <c r="M2174" s="158">
        <v>44.39</v>
      </c>
      <c r="N2174" s="91">
        <f t="shared" si="380"/>
        <v>188.39</v>
      </c>
      <c r="O2174" s="411">
        <f t="shared" si="377"/>
        <v>115.16305</v>
      </c>
      <c r="P2174" s="132" t="s">
        <v>52</v>
      </c>
      <c r="Q2174" s="232"/>
      <c r="R2174" s="411"/>
      <c r="T2174" s="134" t="s">
        <v>145</v>
      </c>
      <c r="U2174" s="267" t="s">
        <v>5078</v>
      </c>
      <c r="W2174" s="153" t="s">
        <v>5079</v>
      </c>
      <c r="AA2174" s="218"/>
    </row>
    <row r="2175" spans="1:27" ht="24" x14ac:dyDescent="0.25">
      <c r="A2175" s="405">
        <v>3001645</v>
      </c>
      <c r="B2175" s="406">
        <v>42471</v>
      </c>
      <c r="C2175" s="405" t="s">
        <v>63</v>
      </c>
      <c r="D2175" s="401" t="s">
        <v>5080</v>
      </c>
      <c r="E2175" s="120">
        <v>1000</v>
      </c>
      <c r="F2175" s="133" t="s">
        <v>5081</v>
      </c>
      <c r="G2175" s="404" t="s">
        <v>45</v>
      </c>
      <c r="H2175" s="411">
        <v>280</v>
      </c>
      <c r="I2175" s="411">
        <v>0</v>
      </c>
      <c r="J2175" s="391">
        <f>-((H2175*0.022)+0.3)</f>
        <v>-6.4599999999999991</v>
      </c>
      <c r="K2175" s="90">
        <f t="shared" si="384"/>
        <v>273.54000000000002</v>
      </c>
      <c r="L2175" s="187">
        <v>150</v>
      </c>
      <c r="M2175" s="187">
        <v>46.95</v>
      </c>
      <c r="N2175" s="91">
        <f t="shared" si="380"/>
        <v>196.95</v>
      </c>
      <c r="O2175" s="411">
        <f t="shared" si="377"/>
        <v>76.590000000000032</v>
      </c>
      <c r="P2175" s="132" t="s">
        <v>46</v>
      </c>
      <c r="Q2175" s="232"/>
      <c r="R2175" s="411"/>
      <c r="T2175" s="134" t="s">
        <v>324</v>
      </c>
      <c r="U2175" s="267" t="s">
        <v>5082</v>
      </c>
      <c r="W2175" s="153" t="s">
        <v>5083</v>
      </c>
      <c r="AA2175" s="218"/>
    </row>
    <row r="2176" spans="1:27" x14ac:dyDescent="0.25">
      <c r="A2176" s="419">
        <v>3001646</v>
      </c>
      <c r="B2176" s="421">
        <v>42471</v>
      </c>
      <c r="C2176" s="419" t="s">
        <v>141</v>
      </c>
      <c r="D2176" s="417" t="s">
        <v>5084</v>
      </c>
      <c r="E2176" s="120">
        <v>500</v>
      </c>
      <c r="F2176" s="133" t="s">
        <v>5085</v>
      </c>
      <c r="G2176" s="434" t="s">
        <v>45</v>
      </c>
      <c r="H2176" s="427">
        <v>150</v>
      </c>
      <c r="I2176" s="427">
        <v>0</v>
      </c>
      <c r="J2176" s="425">
        <f>-((H2176*0.0325)+0.3)</f>
        <v>-5.1749999999999998</v>
      </c>
      <c r="K2176" s="425">
        <f t="shared" si="384"/>
        <v>144.82499999999999</v>
      </c>
      <c r="L2176" s="187">
        <v>45</v>
      </c>
      <c r="M2176" s="555">
        <v>11.63</v>
      </c>
      <c r="N2176" s="91">
        <f t="shared" si="380"/>
        <v>34.130000000000003</v>
      </c>
      <c r="O2176" s="411">
        <f t="shared" si="377"/>
        <v>110.69499999999999</v>
      </c>
      <c r="P2176" s="132" t="s">
        <v>4288</v>
      </c>
      <c r="Q2176" s="232"/>
      <c r="R2176" s="411"/>
      <c r="T2176" s="439" t="s">
        <v>145</v>
      </c>
      <c r="U2176" s="446" t="s">
        <v>5086</v>
      </c>
      <c r="W2176" s="153" t="s">
        <v>5087</v>
      </c>
      <c r="AA2176" s="218"/>
    </row>
    <row r="2177" spans="1:27" x14ac:dyDescent="0.25">
      <c r="A2177" s="420"/>
      <c r="B2177" s="422"/>
      <c r="C2177" s="420"/>
      <c r="D2177" s="418"/>
      <c r="E2177" s="120">
        <v>500</v>
      </c>
      <c r="F2177" s="133" t="s">
        <v>5088</v>
      </c>
      <c r="G2177" s="436"/>
      <c r="H2177" s="428"/>
      <c r="I2177" s="428"/>
      <c r="J2177" s="426"/>
      <c r="K2177" s="426"/>
      <c r="L2177" s="187">
        <v>55</v>
      </c>
      <c r="M2177" s="557"/>
      <c r="N2177" s="91">
        <f t="shared" si="380"/>
        <v>27.5</v>
      </c>
      <c r="O2177" s="411">
        <f t="shared" si="377"/>
        <v>-27.5</v>
      </c>
      <c r="P2177" s="132" t="s">
        <v>4288</v>
      </c>
      <c r="Q2177" s="232"/>
      <c r="R2177" s="411"/>
      <c r="T2177" s="441"/>
      <c r="U2177" s="447"/>
      <c r="AA2177" s="218"/>
    </row>
    <row r="2178" spans="1:27" ht="24" x14ac:dyDescent="0.25">
      <c r="A2178" s="405">
        <v>3001647</v>
      </c>
      <c r="B2178" s="406">
        <v>42471</v>
      </c>
      <c r="C2178" s="405" t="s">
        <v>159</v>
      </c>
      <c r="D2178" s="401" t="s">
        <v>5089</v>
      </c>
      <c r="E2178" s="120">
        <v>10</v>
      </c>
      <c r="F2178" s="133" t="s">
        <v>1085</v>
      </c>
      <c r="G2178" s="404" t="s">
        <v>45</v>
      </c>
      <c r="H2178" s="411">
        <v>85</v>
      </c>
      <c r="I2178" s="411">
        <v>0</v>
      </c>
      <c r="J2178" s="391">
        <f t="shared" ref="J2178" si="386">-((H2178*0.019)+0.3)</f>
        <v>-1.915</v>
      </c>
      <c r="K2178" s="90">
        <f t="shared" si="384"/>
        <v>83.084999999999994</v>
      </c>
      <c r="M2178" s="158">
        <v>18.010000000000002</v>
      </c>
      <c r="N2178" s="91">
        <f t="shared" si="380"/>
        <v>18.010000000000002</v>
      </c>
      <c r="O2178" s="411">
        <f t="shared" si="377"/>
        <v>65.074999999999989</v>
      </c>
      <c r="P2178" s="132" t="s">
        <v>52</v>
      </c>
      <c r="Q2178" s="232"/>
      <c r="R2178" s="411"/>
      <c r="T2178" s="134" t="s">
        <v>145</v>
      </c>
      <c r="U2178" s="267" t="s">
        <v>5090</v>
      </c>
      <c r="W2178" s="153" t="s">
        <v>5091</v>
      </c>
      <c r="AA2178" s="218"/>
    </row>
    <row r="2179" spans="1:27" ht="24" x14ac:dyDescent="0.25">
      <c r="A2179" s="405">
        <v>3001648</v>
      </c>
      <c r="B2179" s="406">
        <v>42471</v>
      </c>
      <c r="C2179" s="405" t="s">
        <v>63</v>
      </c>
      <c r="D2179" s="401" t="s">
        <v>5092</v>
      </c>
      <c r="E2179" s="120">
        <v>500</v>
      </c>
      <c r="F2179" s="133" t="s">
        <v>119</v>
      </c>
      <c r="G2179" s="404" t="s">
        <v>45</v>
      </c>
      <c r="H2179" s="411">
        <v>342</v>
      </c>
      <c r="I2179" s="411">
        <v>0</v>
      </c>
      <c r="J2179" s="391">
        <f>-((H2179*0.022)+0.3)</f>
        <v>-7.823999999999999</v>
      </c>
      <c r="K2179" s="90">
        <f t="shared" si="384"/>
        <v>334.17599999999999</v>
      </c>
      <c r="L2179" s="187">
        <v>319</v>
      </c>
      <c r="M2179" s="187">
        <v>66.7</v>
      </c>
      <c r="N2179" s="91">
        <f t="shared" si="380"/>
        <v>226.2</v>
      </c>
      <c r="O2179" s="411">
        <f t="shared" si="377"/>
        <v>107.976</v>
      </c>
      <c r="P2179" s="132" t="s">
        <v>3597</v>
      </c>
      <c r="Q2179" s="232"/>
      <c r="R2179" s="411"/>
      <c r="T2179" s="134" t="s">
        <v>324</v>
      </c>
      <c r="U2179" s="266" t="s">
        <v>5093</v>
      </c>
      <c r="W2179" s="153" t="s">
        <v>5094</v>
      </c>
      <c r="AA2179" s="218"/>
    </row>
    <row r="2180" spans="1:27" x14ac:dyDescent="0.25">
      <c r="A2180" s="405">
        <v>3001649</v>
      </c>
      <c r="B2180" s="406">
        <v>42471</v>
      </c>
      <c r="C2180" s="405" t="s">
        <v>63</v>
      </c>
      <c r="D2180" s="401" t="s">
        <v>5095</v>
      </c>
      <c r="E2180" s="120">
        <v>1250</v>
      </c>
      <c r="F2180" s="133" t="s">
        <v>247</v>
      </c>
      <c r="G2180" s="404" t="s">
        <v>45</v>
      </c>
      <c r="H2180" s="411">
        <v>1275</v>
      </c>
      <c r="I2180" s="411">
        <v>0</v>
      </c>
      <c r="J2180" s="391">
        <f>-((H2180*0.022)+0.3)</f>
        <v>-28.349999999999998</v>
      </c>
      <c r="K2180" s="90">
        <f t="shared" si="384"/>
        <v>1246.6500000000001</v>
      </c>
      <c r="L2180" s="131">
        <v>610</v>
      </c>
      <c r="M2180" s="131">
        <v>0</v>
      </c>
      <c r="N2180" s="91">
        <f t="shared" si="380"/>
        <v>762.5</v>
      </c>
      <c r="O2180" s="411">
        <f t="shared" si="377"/>
        <v>484.15000000000009</v>
      </c>
      <c r="P2180" s="132" t="s">
        <v>52</v>
      </c>
      <c r="Q2180" s="232"/>
      <c r="R2180" s="411"/>
      <c r="T2180" s="134" t="s">
        <v>1229</v>
      </c>
      <c r="U2180" s="266" t="s">
        <v>1229</v>
      </c>
      <c r="V2180" s="133" t="s">
        <v>5096</v>
      </c>
      <c r="W2180" s="153" t="s">
        <v>5097</v>
      </c>
      <c r="AA2180" s="218"/>
    </row>
    <row r="2181" spans="1:27" x14ac:dyDescent="0.25">
      <c r="A2181" s="405">
        <v>3001650</v>
      </c>
      <c r="B2181" s="406">
        <v>42471</v>
      </c>
      <c r="C2181" s="405" t="s">
        <v>42</v>
      </c>
      <c r="D2181" s="401" t="s">
        <v>5098</v>
      </c>
      <c r="E2181" s="120">
        <v>200</v>
      </c>
      <c r="F2181" s="133" t="s">
        <v>51</v>
      </c>
      <c r="G2181" s="404" t="s">
        <v>45</v>
      </c>
      <c r="H2181" s="411">
        <v>483.82</v>
      </c>
      <c r="I2181" s="89">
        <f t="shared" ref="I2181:I2202" si="387">-(H2181*0.09)</f>
        <v>-43.543799999999997</v>
      </c>
      <c r="J2181" s="391">
        <f t="shared" ref="J2181:J2202" si="388">-((H2181*0.019)+0.3)</f>
        <v>-9.4925800000000002</v>
      </c>
      <c r="K2181" s="90">
        <f t="shared" si="384"/>
        <v>430.78362000000004</v>
      </c>
      <c r="L2181" s="131">
        <v>1015</v>
      </c>
      <c r="M2181" s="131">
        <v>213.31</v>
      </c>
      <c r="N2181" s="91">
        <f t="shared" si="380"/>
        <v>416.31</v>
      </c>
      <c r="O2181" s="411">
        <f t="shared" si="377"/>
        <v>14.473620000000039</v>
      </c>
      <c r="P2181" s="132" t="s">
        <v>52</v>
      </c>
      <c r="Q2181" s="232"/>
      <c r="R2181" s="411"/>
      <c r="T2181" s="134" t="s">
        <v>97</v>
      </c>
      <c r="U2181" s="267" t="s">
        <v>5099</v>
      </c>
      <c r="V2181" s="133" t="s">
        <v>55</v>
      </c>
      <c r="AA2181" s="218"/>
    </row>
    <row r="2182" spans="1:27" ht="24" x14ac:dyDescent="0.25">
      <c r="A2182" s="405">
        <v>3001651</v>
      </c>
      <c r="B2182" s="406">
        <v>42471</v>
      </c>
      <c r="C2182" s="405" t="s">
        <v>42</v>
      </c>
      <c r="D2182" s="401" t="s">
        <v>5100</v>
      </c>
      <c r="E2182" s="120">
        <v>500</v>
      </c>
      <c r="F2182" s="119" t="s">
        <v>5101</v>
      </c>
      <c r="G2182" s="404" t="s">
        <v>45</v>
      </c>
      <c r="H2182" s="411">
        <v>118.75</v>
      </c>
      <c r="I2182" s="89">
        <f t="shared" si="387"/>
        <v>-10.6875</v>
      </c>
      <c r="J2182" s="391">
        <f t="shared" si="388"/>
        <v>-2.5562499999999999</v>
      </c>
      <c r="K2182" s="90">
        <f t="shared" si="384"/>
        <v>105.50624999999999</v>
      </c>
      <c r="L2182" s="187">
        <v>123</v>
      </c>
      <c r="M2182" s="187">
        <v>13.69</v>
      </c>
      <c r="N2182" s="91">
        <f t="shared" ref="N2182:N2214" si="389">((L2182)*(E2182*0.001))+M2182</f>
        <v>75.19</v>
      </c>
      <c r="O2182" s="411">
        <f t="shared" si="377"/>
        <v>30.316249999999997</v>
      </c>
      <c r="P2182" s="132" t="s">
        <v>183</v>
      </c>
      <c r="Q2182" s="232"/>
      <c r="R2182" s="411"/>
      <c r="T2182" s="134" t="s">
        <v>145</v>
      </c>
      <c r="U2182" s="267" t="s">
        <v>5102</v>
      </c>
      <c r="AA2182" s="218"/>
    </row>
    <row r="2183" spans="1:27" ht="24" x14ac:dyDescent="0.25">
      <c r="A2183" s="405">
        <v>3001652</v>
      </c>
      <c r="B2183" s="406">
        <v>42471</v>
      </c>
      <c r="C2183" s="405" t="s">
        <v>42</v>
      </c>
      <c r="D2183" s="401" t="s">
        <v>5103</v>
      </c>
      <c r="E2183" s="120">
        <v>50</v>
      </c>
      <c r="F2183" s="133" t="s">
        <v>161</v>
      </c>
      <c r="G2183" s="404" t="s">
        <v>45</v>
      </c>
      <c r="H2183" s="411">
        <v>145.06</v>
      </c>
      <c r="I2183" s="89">
        <f t="shared" si="387"/>
        <v>-13.055400000000001</v>
      </c>
      <c r="J2183" s="391">
        <f t="shared" si="388"/>
        <v>-3.0561399999999996</v>
      </c>
      <c r="K2183" s="90">
        <f t="shared" si="384"/>
        <v>128.94846000000001</v>
      </c>
      <c r="L2183" s="131">
        <v>1322</v>
      </c>
      <c r="M2183" s="187">
        <v>33.83</v>
      </c>
      <c r="N2183" s="91">
        <f t="shared" si="389"/>
        <v>99.93</v>
      </c>
      <c r="O2183" s="411">
        <f t="shared" si="377"/>
        <v>29.018460000000005</v>
      </c>
      <c r="P2183" s="132" t="s">
        <v>52</v>
      </c>
      <c r="Q2183" s="232"/>
      <c r="R2183" s="411"/>
      <c r="T2183" s="134" t="s">
        <v>145</v>
      </c>
      <c r="U2183" s="267" t="s">
        <v>5104</v>
      </c>
      <c r="AA2183" s="218"/>
    </row>
    <row r="2184" spans="1:27" x14ac:dyDescent="0.25">
      <c r="A2184" s="405">
        <v>3001653</v>
      </c>
      <c r="B2184" s="406">
        <v>42471</v>
      </c>
      <c r="C2184" s="405" t="s">
        <v>42</v>
      </c>
      <c r="D2184" s="401" t="s">
        <v>5105</v>
      </c>
      <c r="E2184" s="120">
        <v>250</v>
      </c>
      <c r="F2184" s="133" t="s">
        <v>5106</v>
      </c>
      <c r="G2184" s="404" t="s">
        <v>45</v>
      </c>
      <c r="H2184" s="411">
        <v>418</v>
      </c>
      <c r="I2184" s="89">
        <f t="shared" si="387"/>
        <v>-37.619999999999997</v>
      </c>
      <c r="J2184" s="391">
        <f t="shared" si="388"/>
        <v>-8.2420000000000009</v>
      </c>
      <c r="K2184" s="90">
        <f t="shared" si="384"/>
        <v>372.13799999999998</v>
      </c>
      <c r="L2184" s="187">
        <v>1055</v>
      </c>
      <c r="M2184" s="187">
        <v>115</v>
      </c>
      <c r="N2184" s="91">
        <f t="shared" si="389"/>
        <v>378.75</v>
      </c>
      <c r="O2184" s="411">
        <f t="shared" si="377"/>
        <v>-6.6120000000000232</v>
      </c>
      <c r="P2184" s="132" t="s">
        <v>183</v>
      </c>
      <c r="Q2184" s="232"/>
      <c r="R2184" s="411"/>
      <c r="T2184" s="134" t="s">
        <v>314</v>
      </c>
      <c r="U2184" s="267" t="s">
        <v>5107</v>
      </c>
      <c r="AA2184" s="218"/>
    </row>
    <row r="2185" spans="1:27" ht="24" x14ac:dyDescent="0.25">
      <c r="A2185" s="405">
        <v>3001654</v>
      </c>
      <c r="B2185" s="406">
        <v>42471</v>
      </c>
      <c r="C2185" s="405" t="s">
        <v>42</v>
      </c>
      <c r="D2185" s="401" t="s">
        <v>5108</v>
      </c>
      <c r="E2185" s="120">
        <v>150</v>
      </c>
      <c r="F2185" s="133" t="s">
        <v>829</v>
      </c>
      <c r="G2185" s="404" t="s">
        <v>45</v>
      </c>
      <c r="H2185" s="411">
        <v>158.03</v>
      </c>
      <c r="I2185" s="89">
        <f t="shared" si="387"/>
        <v>-14.2227</v>
      </c>
      <c r="J2185" s="391">
        <f t="shared" si="388"/>
        <v>-3.3025699999999998</v>
      </c>
      <c r="K2185" s="90">
        <f t="shared" si="384"/>
        <v>140.50473</v>
      </c>
      <c r="L2185" s="131">
        <v>510</v>
      </c>
      <c r="M2185" s="158">
        <v>76.209999999999994</v>
      </c>
      <c r="N2185" s="91">
        <f t="shared" si="389"/>
        <v>152.70999999999998</v>
      </c>
      <c r="O2185" s="411">
        <f t="shared" si="377"/>
        <v>-12.205269999999985</v>
      </c>
      <c r="P2185" s="132" t="s">
        <v>52</v>
      </c>
      <c r="Q2185" s="232"/>
      <c r="R2185" s="411"/>
      <c r="T2185" s="134" t="s">
        <v>145</v>
      </c>
      <c r="U2185" s="267" t="s">
        <v>5109</v>
      </c>
      <c r="AA2185" s="218"/>
    </row>
    <row r="2186" spans="1:27" ht="24" x14ac:dyDescent="0.25">
      <c r="A2186" s="405">
        <v>3001655</v>
      </c>
      <c r="B2186" s="406">
        <v>42471</v>
      </c>
      <c r="C2186" s="405" t="s">
        <v>42</v>
      </c>
      <c r="D2186" s="401" t="s">
        <v>5110</v>
      </c>
      <c r="E2186" s="120">
        <v>275</v>
      </c>
      <c r="F2186" s="133" t="s">
        <v>165</v>
      </c>
      <c r="G2186" s="404" t="s">
        <v>45</v>
      </c>
      <c r="H2186" s="411">
        <v>278.52</v>
      </c>
      <c r="I2186" s="89">
        <f t="shared" si="387"/>
        <v>-25.066799999999997</v>
      </c>
      <c r="J2186" s="391">
        <f t="shared" si="388"/>
        <v>-5.5918799999999997</v>
      </c>
      <c r="K2186" s="90">
        <f t="shared" si="384"/>
        <v>247.86131999999998</v>
      </c>
      <c r="L2186" s="131">
        <v>480</v>
      </c>
      <c r="M2186" s="158">
        <v>27.87</v>
      </c>
      <c r="N2186" s="91">
        <f t="shared" si="389"/>
        <v>159.87</v>
      </c>
      <c r="O2186" s="411">
        <f t="shared" si="377"/>
        <v>87.991319999999973</v>
      </c>
      <c r="P2186" s="132" t="s">
        <v>52</v>
      </c>
      <c r="Q2186" s="232"/>
      <c r="R2186" s="411"/>
      <c r="T2186" s="134" t="s">
        <v>145</v>
      </c>
      <c r="U2186" s="267" t="s">
        <v>5111</v>
      </c>
      <c r="AA2186" s="218"/>
    </row>
    <row r="2187" spans="1:27" ht="24" x14ac:dyDescent="0.25">
      <c r="A2187" s="405">
        <v>3001656</v>
      </c>
      <c r="B2187" s="406">
        <v>42471</v>
      </c>
      <c r="C2187" s="405" t="s">
        <v>42</v>
      </c>
      <c r="D2187" s="401" t="s">
        <v>5112</v>
      </c>
      <c r="E2187" s="120">
        <v>125</v>
      </c>
      <c r="F2187" s="133" t="s">
        <v>1547</v>
      </c>
      <c r="G2187" s="404" t="s">
        <v>45</v>
      </c>
      <c r="H2187" s="411">
        <v>128.75</v>
      </c>
      <c r="I2187" s="89">
        <f t="shared" si="387"/>
        <v>-11.5875</v>
      </c>
      <c r="J2187" s="391">
        <f t="shared" si="388"/>
        <v>-2.7462499999999999</v>
      </c>
      <c r="K2187" s="90">
        <f t="shared" si="384"/>
        <v>114.41624999999999</v>
      </c>
      <c r="L2187" s="131">
        <v>385</v>
      </c>
      <c r="M2187" s="158">
        <v>30.18</v>
      </c>
      <c r="N2187" s="91">
        <f t="shared" si="389"/>
        <v>78.305000000000007</v>
      </c>
      <c r="O2187" s="411">
        <f t="shared" si="377"/>
        <v>36.111249999999984</v>
      </c>
      <c r="P2187" s="132" t="s">
        <v>52</v>
      </c>
      <c r="Q2187" s="232"/>
      <c r="R2187" s="411"/>
      <c r="T2187" s="134" t="s">
        <v>145</v>
      </c>
      <c r="U2187" s="267" t="s">
        <v>5113</v>
      </c>
      <c r="AA2187" s="218"/>
    </row>
    <row r="2188" spans="1:27" x14ac:dyDescent="0.25">
      <c r="A2188" s="405">
        <v>3001657</v>
      </c>
      <c r="B2188" s="406">
        <v>42471</v>
      </c>
      <c r="C2188" s="405" t="s">
        <v>42</v>
      </c>
      <c r="D2188" s="401" t="s">
        <v>5114</v>
      </c>
      <c r="E2188" s="120">
        <v>900</v>
      </c>
      <c r="F2188" s="133" t="s">
        <v>247</v>
      </c>
      <c r="G2188" s="404" t="s">
        <v>45</v>
      </c>
      <c r="H2188" s="411">
        <v>902.5</v>
      </c>
      <c r="I2188" s="89">
        <f t="shared" si="387"/>
        <v>-81.224999999999994</v>
      </c>
      <c r="J2188" s="391">
        <f t="shared" si="388"/>
        <v>-17.447500000000002</v>
      </c>
      <c r="K2188" s="90">
        <f t="shared" si="384"/>
        <v>803.82749999999999</v>
      </c>
      <c r="L2188" s="131">
        <v>610</v>
      </c>
      <c r="M2188" s="187">
        <v>91.24</v>
      </c>
      <c r="N2188" s="91">
        <f t="shared" si="389"/>
        <v>640.24</v>
      </c>
      <c r="O2188" s="411">
        <f t="shared" ref="O2188:O2251" si="390">K2188-N2188</f>
        <v>163.58749999999998</v>
      </c>
      <c r="P2188" s="132" t="s">
        <v>52</v>
      </c>
      <c r="Q2188" s="232"/>
      <c r="R2188" s="411"/>
      <c r="T2188" s="134" t="s">
        <v>244</v>
      </c>
      <c r="U2188" s="267" t="s">
        <v>5115</v>
      </c>
      <c r="V2188" s="133" t="s">
        <v>55</v>
      </c>
      <c r="AA2188" s="218"/>
    </row>
    <row r="2189" spans="1:27" ht="24" x14ac:dyDescent="0.25">
      <c r="A2189" s="405">
        <v>3001658</v>
      </c>
      <c r="B2189" s="406">
        <v>42471</v>
      </c>
      <c r="C2189" s="405" t="s">
        <v>42</v>
      </c>
      <c r="D2189" s="401" t="s">
        <v>5116</v>
      </c>
      <c r="E2189" s="120">
        <v>100</v>
      </c>
      <c r="F2189" s="133" t="s">
        <v>829</v>
      </c>
      <c r="G2189" s="404" t="s">
        <v>45</v>
      </c>
      <c r="H2189" s="411">
        <v>114</v>
      </c>
      <c r="I2189" s="89">
        <f t="shared" si="387"/>
        <v>-10.26</v>
      </c>
      <c r="J2189" s="391">
        <f t="shared" si="388"/>
        <v>-2.4659999999999997</v>
      </c>
      <c r="K2189" s="90">
        <f t="shared" si="384"/>
        <v>101.274</v>
      </c>
      <c r="L2189" s="131">
        <v>510</v>
      </c>
      <c r="M2189" s="158">
        <v>37.770000000000003</v>
      </c>
      <c r="N2189" s="91">
        <f t="shared" si="389"/>
        <v>88.77000000000001</v>
      </c>
      <c r="O2189" s="411">
        <f t="shared" si="390"/>
        <v>12.503999999999991</v>
      </c>
      <c r="P2189" s="132" t="s">
        <v>52</v>
      </c>
      <c r="Q2189" s="232"/>
      <c r="R2189" s="411"/>
      <c r="T2189" s="134" t="s">
        <v>145</v>
      </c>
      <c r="U2189" s="267" t="s">
        <v>5117</v>
      </c>
      <c r="AA2189" s="218"/>
    </row>
    <row r="2190" spans="1:27" ht="24" x14ac:dyDescent="0.25">
      <c r="A2190" s="405">
        <v>3001659</v>
      </c>
      <c r="B2190" s="406">
        <v>42471</v>
      </c>
      <c r="C2190" s="405" t="s">
        <v>42</v>
      </c>
      <c r="D2190" s="401" t="s">
        <v>5118</v>
      </c>
      <c r="E2190" s="120">
        <v>400</v>
      </c>
      <c r="F2190" s="133" t="s">
        <v>165</v>
      </c>
      <c r="G2190" s="404" t="s">
        <v>45</v>
      </c>
      <c r="H2190" s="411">
        <v>423.72</v>
      </c>
      <c r="I2190" s="89">
        <f t="shared" si="387"/>
        <v>-38.134799999999998</v>
      </c>
      <c r="J2190" s="391">
        <f t="shared" si="388"/>
        <v>-8.3506800000000005</v>
      </c>
      <c r="K2190" s="90">
        <f t="shared" si="384"/>
        <v>377.23452000000003</v>
      </c>
      <c r="L2190" s="131">
        <v>480</v>
      </c>
      <c r="M2190" s="158">
        <v>51.26</v>
      </c>
      <c r="N2190" s="91">
        <f t="shared" si="389"/>
        <v>243.26</v>
      </c>
      <c r="O2190" s="411">
        <f t="shared" si="390"/>
        <v>133.97452000000004</v>
      </c>
      <c r="P2190" s="132" t="s">
        <v>52</v>
      </c>
      <c r="Q2190" s="232"/>
      <c r="R2190" s="411">
        <v>27.72</v>
      </c>
      <c r="S2190" s="133" t="s">
        <v>5119</v>
      </c>
      <c r="T2190" s="134" t="s">
        <v>145</v>
      </c>
      <c r="U2190" s="267" t="s">
        <v>5120</v>
      </c>
      <c r="AA2190" s="218"/>
    </row>
    <row r="2191" spans="1:27" ht="24" x14ac:dyDescent="0.25">
      <c r="A2191" s="405">
        <v>3001660</v>
      </c>
      <c r="B2191" s="406">
        <v>42471</v>
      </c>
      <c r="C2191" s="405" t="s">
        <v>42</v>
      </c>
      <c r="D2191" s="401" t="s">
        <v>5121</v>
      </c>
      <c r="E2191" s="120">
        <v>125</v>
      </c>
      <c r="F2191" s="133" t="s">
        <v>829</v>
      </c>
      <c r="G2191" s="404" t="s">
        <v>45</v>
      </c>
      <c r="H2191" s="411">
        <v>131.77000000000001</v>
      </c>
      <c r="I2191" s="89">
        <f t="shared" si="387"/>
        <v>-11.859300000000001</v>
      </c>
      <c r="J2191" s="391">
        <f t="shared" si="388"/>
        <v>-2.8036300000000001</v>
      </c>
      <c r="K2191" s="90">
        <f t="shared" si="384"/>
        <v>117.10707000000001</v>
      </c>
      <c r="L2191" s="131">
        <v>510</v>
      </c>
      <c r="M2191" s="187">
        <v>46.66</v>
      </c>
      <c r="N2191" s="91">
        <f t="shared" si="389"/>
        <v>110.41</v>
      </c>
      <c r="O2191" s="411">
        <f t="shared" si="390"/>
        <v>6.6970700000000107</v>
      </c>
      <c r="P2191" s="132" t="s">
        <v>52</v>
      </c>
      <c r="Q2191" s="232"/>
      <c r="R2191" s="411"/>
      <c r="T2191" s="134" t="s">
        <v>145</v>
      </c>
      <c r="U2191" s="267" t="s">
        <v>5122</v>
      </c>
      <c r="AA2191" s="218"/>
    </row>
    <row r="2192" spans="1:27" x14ac:dyDescent="0.25">
      <c r="A2192" s="405">
        <v>3001661</v>
      </c>
      <c r="B2192" s="406">
        <v>42471</v>
      </c>
      <c r="C2192" s="405" t="s">
        <v>42</v>
      </c>
      <c r="D2192" s="401" t="s">
        <v>5123</v>
      </c>
      <c r="E2192" s="120">
        <v>450</v>
      </c>
      <c r="F2192" s="133" t="s">
        <v>422</v>
      </c>
      <c r="G2192" s="404" t="s">
        <v>45</v>
      </c>
      <c r="H2192" s="411">
        <v>732.35</v>
      </c>
      <c r="I2192" s="89">
        <f t="shared" si="387"/>
        <v>-65.911500000000004</v>
      </c>
      <c r="J2192" s="391">
        <f t="shared" si="388"/>
        <v>-14.214650000000001</v>
      </c>
      <c r="K2192" s="90">
        <f t="shared" si="384"/>
        <v>652.22384999999997</v>
      </c>
      <c r="L2192" s="131">
        <v>690</v>
      </c>
      <c r="M2192" s="187">
        <v>167.17</v>
      </c>
      <c r="N2192" s="91">
        <f t="shared" si="389"/>
        <v>477.66999999999996</v>
      </c>
      <c r="O2192" s="411">
        <f t="shared" si="390"/>
        <v>174.55385000000001</v>
      </c>
      <c r="P2192" s="132" t="s">
        <v>52</v>
      </c>
      <c r="Q2192" s="232"/>
      <c r="R2192" s="411"/>
      <c r="T2192" s="134" t="s">
        <v>97</v>
      </c>
      <c r="U2192" s="267" t="s">
        <v>5124</v>
      </c>
      <c r="V2192" s="133" t="s">
        <v>55</v>
      </c>
      <c r="AA2192" s="218"/>
    </row>
    <row r="2193" spans="1:27" x14ac:dyDescent="0.25">
      <c r="A2193" s="405">
        <v>3001662</v>
      </c>
      <c r="B2193" s="406">
        <v>42471</v>
      </c>
      <c r="C2193" s="405" t="s">
        <v>42</v>
      </c>
      <c r="D2193" s="401" t="s">
        <v>5125</v>
      </c>
      <c r="E2193" s="120">
        <v>475</v>
      </c>
      <c r="F2193" s="133" t="s">
        <v>85</v>
      </c>
      <c r="G2193" s="404" t="s">
        <v>45</v>
      </c>
      <c r="H2193" s="411">
        <v>1073.2</v>
      </c>
      <c r="I2193" s="89">
        <f t="shared" si="387"/>
        <v>-96.587999999999994</v>
      </c>
      <c r="J2193" s="391">
        <f t="shared" si="388"/>
        <v>-20.690799999999999</v>
      </c>
      <c r="K2193" s="90">
        <f t="shared" si="384"/>
        <v>955.92120000000011</v>
      </c>
      <c r="L2193" s="131">
        <v>1296</v>
      </c>
      <c r="M2193" s="131">
        <v>159.5</v>
      </c>
      <c r="N2193" s="91">
        <f t="shared" si="389"/>
        <v>775.1</v>
      </c>
      <c r="O2193" s="411">
        <f t="shared" si="390"/>
        <v>180.82120000000009</v>
      </c>
      <c r="P2193" s="132" t="s">
        <v>52</v>
      </c>
      <c r="Q2193" s="232"/>
      <c r="R2193" s="411"/>
      <c r="T2193" s="134" t="s">
        <v>5126</v>
      </c>
      <c r="U2193" s="267" t="s">
        <v>5127</v>
      </c>
      <c r="V2193" s="133" t="s">
        <v>55</v>
      </c>
      <c r="AA2193" s="218"/>
    </row>
    <row r="2194" spans="1:27" ht="24" x14ac:dyDescent="0.25">
      <c r="A2194" s="405">
        <v>3001663</v>
      </c>
      <c r="B2194" s="406">
        <v>42471</v>
      </c>
      <c r="C2194" s="405" t="s">
        <v>42</v>
      </c>
      <c r="D2194" s="401" t="s">
        <v>5128</v>
      </c>
      <c r="E2194" s="120">
        <v>325</v>
      </c>
      <c r="F2194" s="133" t="s">
        <v>829</v>
      </c>
      <c r="G2194" s="404" t="s">
        <v>45</v>
      </c>
      <c r="H2194" s="411">
        <v>312.55</v>
      </c>
      <c r="I2194" s="89">
        <f t="shared" si="387"/>
        <v>-28.1295</v>
      </c>
      <c r="J2194" s="391">
        <f t="shared" si="388"/>
        <v>-6.2384500000000003</v>
      </c>
      <c r="K2194" s="90">
        <f t="shared" si="384"/>
        <v>278.18205</v>
      </c>
      <c r="L2194" s="131">
        <v>510</v>
      </c>
      <c r="M2194" s="187">
        <v>49.42</v>
      </c>
      <c r="N2194" s="91">
        <f t="shared" si="389"/>
        <v>215.17000000000002</v>
      </c>
      <c r="O2194" s="411">
        <f t="shared" si="390"/>
        <v>63.012049999999988</v>
      </c>
      <c r="P2194" s="132" t="s">
        <v>52</v>
      </c>
      <c r="Q2194" s="232"/>
      <c r="R2194" s="411"/>
      <c r="T2194" s="134" t="s">
        <v>145</v>
      </c>
      <c r="U2194" s="267" t="s">
        <v>5129</v>
      </c>
      <c r="AA2194" s="218"/>
    </row>
    <row r="2195" spans="1:27" x14ac:dyDescent="0.25">
      <c r="A2195" s="405">
        <v>3001664</v>
      </c>
      <c r="B2195" s="406">
        <v>42471</v>
      </c>
      <c r="C2195" s="405" t="s">
        <v>42</v>
      </c>
      <c r="D2195" s="401" t="s">
        <v>5130</v>
      </c>
      <c r="E2195" s="120">
        <v>500</v>
      </c>
      <c r="F2195" s="133" t="s">
        <v>1547</v>
      </c>
      <c r="G2195" s="404" t="s">
        <v>45</v>
      </c>
      <c r="H2195" s="411">
        <v>500.74</v>
      </c>
      <c r="I2195" s="89">
        <f t="shared" si="387"/>
        <v>-45.066600000000001</v>
      </c>
      <c r="J2195" s="391">
        <f t="shared" si="388"/>
        <v>-9.8140600000000013</v>
      </c>
      <c r="K2195" s="90">
        <f t="shared" si="384"/>
        <v>445.85934000000003</v>
      </c>
      <c r="L2195" s="131">
        <v>385</v>
      </c>
      <c r="M2195" s="187">
        <v>158.52000000000001</v>
      </c>
      <c r="N2195" s="91">
        <f t="shared" si="389"/>
        <v>351.02</v>
      </c>
      <c r="O2195" s="411">
        <f t="shared" si="390"/>
        <v>94.83934000000005</v>
      </c>
      <c r="P2195" s="132" t="s">
        <v>52</v>
      </c>
      <c r="Q2195" s="232"/>
      <c r="R2195" s="411"/>
      <c r="T2195" s="134" t="s">
        <v>97</v>
      </c>
      <c r="U2195" s="267" t="s">
        <v>5131</v>
      </c>
      <c r="V2195" s="133" t="s">
        <v>55</v>
      </c>
      <c r="AA2195" s="218"/>
    </row>
    <row r="2196" spans="1:27" ht="24" x14ac:dyDescent="0.25">
      <c r="A2196" s="405">
        <v>3001665</v>
      </c>
      <c r="B2196" s="406">
        <v>42471</v>
      </c>
      <c r="C2196" s="405" t="s">
        <v>42</v>
      </c>
      <c r="D2196" s="401" t="s">
        <v>5132</v>
      </c>
      <c r="E2196" s="120">
        <v>175</v>
      </c>
      <c r="F2196" s="133" t="s">
        <v>247</v>
      </c>
      <c r="G2196" s="404" t="s">
        <v>45</v>
      </c>
      <c r="H2196" s="411">
        <v>227.3</v>
      </c>
      <c r="I2196" s="89">
        <f t="shared" si="387"/>
        <v>-20.457000000000001</v>
      </c>
      <c r="J2196" s="391">
        <f t="shared" si="388"/>
        <v>-4.6186999999999996</v>
      </c>
      <c r="K2196" s="90">
        <f t="shared" si="384"/>
        <v>202.22430000000003</v>
      </c>
      <c r="L2196" s="131">
        <v>610</v>
      </c>
      <c r="M2196" s="158">
        <v>30.59</v>
      </c>
      <c r="N2196" s="91">
        <f t="shared" si="389"/>
        <v>137.34</v>
      </c>
      <c r="O2196" s="411">
        <f t="shared" si="390"/>
        <v>64.884300000000025</v>
      </c>
      <c r="P2196" s="132" t="s">
        <v>52</v>
      </c>
      <c r="Q2196" s="232"/>
      <c r="R2196" s="411"/>
      <c r="T2196" s="134" t="s">
        <v>145</v>
      </c>
      <c r="U2196" s="267" t="s">
        <v>5133</v>
      </c>
      <c r="AA2196" s="218"/>
    </row>
    <row r="2197" spans="1:27" ht="24" x14ac:dyDescent="0.25">
      <c r="A2197" s="405">
        <v>3001666</v>
      </c>
      <c r="B2197" s="406">
        <v>42471</v>
      </c>
      <c r="C2197" s="405" t="s">
        <v>42</v>
      </c>
      <c r="D2197" s="401" t="s">
        <v>5134</v>
      </c>
      <c r="E2197" s="120">
        <v>300</v>
      </c>
      <c r="F2197" s="133" t="s">
        <v>292</v>
      </c>
      <c r="G2197" s="404" t="s">
        <v>45</v>
      </c>
      <c r="H2197" s="411">
        <v>237.5</v>
      </c>
      <c r="I2197" s="89">
        <f t="shared" si="387"/>
        <v>-21.375</v>
      </c>
      <c r="J2197" s="391">
        <f t="shared" si="388"/>
        <v>-4.8125</v>
      </c>
      <c r="K2197" s="90">
        <f t="shared" si="384"/>
        <v>211.3125</v>
      </c>
      <c r="L2197" s="131">
        <v>400</v>
      </c>
      <c r="M2197" s="158">
        <v>43.78</v>
      </c>
      <c r="N2197" s="91">
        <f t="shared" si="389"/>
        <v>163.78</v>
      </c>
      <c r="O2197" s="411">
        <f t="shared" si="390"/>
        <v>47.532499999999999</v>
      </c>
      <c r="P2197" s="132" t="s">
        <v>52</v>
      </c>
      <c r="Q2197" s="232"/>
      <c r="R2197" s="411"/>
      <c r="T2197" s="134" t="s">
        <v>145</v>
      </c>
      <c r="U2197" s="267" t="s">
        <v>5135</v>
      </c>
      <c r="AA2197" s="218"/>
    </row>
    <row r="2198" spans="1:27" ht="24" x14ac:dyDescent="0.25">
      <c r="A2198" s="405">
        <v>3001667</v>
      </c>
      <c r="B2198" s="406">
        <v>42471</v>
      </c>
      <c r="C2198" s="405" t="s">
        <v>42</v>
      </c>
      <c r="D2198" s="401" t="s">
        <v>5136</v>
      </c>
      <c r="E2198" s="120">
        <v>100</v>
      </c>
      <c r="F2198" s="133" t="s">
        <v>161</v>
      </c>
      <c r="G2198" s="404" t="s">
        <v>45</v>
      </c>
      <c r="H2198" s="411">
        <v>235</v>
      </c>
      <c r="I2198" s="89">
        <f t="shared" si="387"/>
        <v>-21.15</v>
      </c>
      <c r="J2198" s="391">
        <f t="shared" si="388"/>
        <v>-4.7649999999999997</v>
      </c>
      <c r="K2198" s="90">
        <f t="shared" si="384"/>
        <v>209.08500000000001</v>
      </c>
      <c r="L2198" s="131">
        <v>1322</v>
      </c>
      <c r="M2198" s="187">
        <v>55.08</v>
      </c>
      <c r="N2198" s="91">
        <f t="shared" si="389"/>
        <v>187.28000000000003</v>
      </c>
      <c r="O2198" s="411">
        <f t="shared" si="390"/>
        <v>21.804999999999978</v>
      </c>
      <c r="P2198" s="132" t="s">
        <v>52</v>
      </c>
      <c r="Q2198" s="232"/>
      <c r="R2198" s="411"/>
      <c r="T2198" s="134" t="s">
        <v>145</v>
      </c>
      <c r="U2198" s="267" t="s">
        <v>5137</v>
      </c>
      <c r="AA2198" s="218"/>
    </row>
    <row r="2199" spans="1:27" ht="24" x14ac:dyDescent="0.25">
      <c r="A2199" s="405">
        <v>3001668</v>
      </c>
      <c r="B2199" s="406">
        <v>42471</v>
      </c>
      <c r="C2199" s="405" t="s">
        <v>42</v>
      </c>
      <c r="D2199" s="401" t="s">
        <v>5138</v>
      </c>
      <c r="E2199" s="120">
        <v>100</v>
      </c>
      <c r="F2199" s="133" t="s">
        <v>593</v>
      </c>
      <c r="G2199" s="404" t="s">
        <v>45</v>
      </c>
      <c r="H2199" s="411">
        <v>144.12</v>
      </c>
      <c r="I2199" s="89">
        <f t="shared" si="387"/>
        <v>-12.970800000000001</v>
      </c>
      <c r="J2199" s="391">
        <f t="shared" si="388"/>
        <v>-3.0382799999999999</v>
      </c>
      <c r="K2199" s="90">
        <f t="shared" si="384"/>
        <v>128.11092000000002</v>
      </c>
      <c r="L2199" s="187">
        <v>825</v>
      </c>
      <c r="M2199" s="158">
        <v>24.43</v>
      </c>
      <c r="N2199" s="91">
        <f t="shared" si="389"/>
        <v>106.93</v>
      </c>
      <c r="O2199" s="411">
        <f t="shared" si="390"/>
        <v>21.180920000000015</v>
      </c>
      <c r="P2199" s="132" t="s">
        <v>235</v>
      </c>
      <c r="Q2199" s="232"/>
      <c r="R2199" s="411"/>
      <c r="T2199" s="134" t="s">
        <v>145</v>
      </c>
      <c r="U2199" s="267" t="s">
        <v>5139</v>
      </c>
      <c r="AA2199" s="218"/>
    </row>
    <row r="2200" spans="1:27" ht="24" x14ac:dyDescent="0.25">
      <c r="A2200" s="405">
        <v>3001669</v>
      </c>
      <c r="B2200" s="406">
        <v>42471</v>
      </c>
      <c r="C2200" s="405" t="s">
        <v>42</v>
      </c>
      <c r="D2200" s="401" t="s">
        <v>5140</v>
      </c>
      <c r="E2200" s="120">
        <v>100</v>
      </c>
      <c r="F2200" s="133" t="s">
        <v>5141</v>
      </c>
      <c r="G2200" s="404" t="s">
        <v>45</v>
      </c>
      <c r="H2200" s="411">
        <v>107.35</v>
      </c>
      <c r="I2200" s="89">
        <f t="shared" si="387"/>
        <v>-9.6614999999999984</v>
      </c>
      <c r="J2200" s="391">
        <f t="shared" si="388"/>
        <v>-2.3396499999999998</v>
      </c>
      <c r="K2200" s="90">
        <f t="shared" si="384"/>
        <v>95.348849999999985</v>
      </c>
      <c r="M2200" s="158">
        <v>29.66</v>
      </c>
      <c r="N2200" s="91">
        <f t="shared" si="389"/>
        <v>29.66</v>
      </c>
      <c r="O2200" s="411">
        <f t="shared" si="390"/>
        <v>65.688849999999988</v>
      </c>
      <c r="P2200" s="132" t="s">
        <v>52</v>
      </c>
      <c r="Q2200" s="232"/>
      <c r="R2200" s="411"/>
      <c r="T2200" s="134" t="s">
        <v>145</v>
      </c>
      <c r="U2200" s="267" t="s">
        <v>5142</v>
      </c>
      <c r="AA2200" s="218"/>
    </row>
    <row r="2201" spans="1:27" ht="24" x14ac:dyDescent="0.25">
      <c r="A2201" s="405">
        <v>3001670</v>
      </c>
      <c r="B2201" s="406">
        <v>42471</v>
      </c>
      <c r="C2201" s="405" t="s">
        <v>42</v>
      </c>
      <c r="D2201" s="401" t="s">
        <v>5143</v>
      </c>
      <c r="E2201" s="120">
        <v>150</v>
      </c>
      <c r="F2201" s="133" t="s">
        <v>165</v>
      </c>
      <c r="G2201" s="404" t="s">
        <v>45</v>
      </c>
      <c r="H2201" s="411">
        <v>161.08000000000001</v>
      </c>
      <c r="I2201" s="89">
        <f t="shared" si="387"/>
        <v>-14.497200000000001</v>
      </c>
      <c r="J2201" s="391">
        <f t="shared" si="388"/>
        <v>-3.3605200000000002</v>
      </c>
      <c r="K2201" s="90">
        <f t="shared" si="384"/>
        <v>143.22228000000001</v>
      </c>
      <c r="L2201" s="131">
        <v>480</v>
      </c>
      <c r="M2201" s="187">
        <v>46.74</v>
      </c>
      <c r="N2201" s="91">
        <f t="shared" si="389"/>
        <v>118.74000000000001</v>
      </c>
      <c r="O2201" s="411">
        <f t="shared" si="390"/>
        <v>24.482280000000003</v>
      </c>
      <c r="P2201" s="132" t="s">
        <v>52</v>
      </c>
      <c r="Q2201" s="232"/>
      <c r="R2201" s="411"/>
      <c r="T2201" s="134" t="s">
        <v>145</v>
      </c>
      <c r="U2201" s="267" t="s">
        <v>5144</v>
      </c>
      <c r="AA2201" s="218"/>
    </row>
    <row r="2202" spans="1:27" ht="24" x14ac:dyDescent="0.25">
      <c r="A2202" s="405">
        <v>3001671</v>
      </c>
      <c r="B2202" s="406">
        <v>42471</v>
      </c>
      <c r="C2202" s="405" t="s">
        <v>42</v>
      </c>
      <c r="D2202" s="401" t="s">
        <v>5145</v>
      </c>
      <c r="E2202" s="120">
        <v>50</v>
      </c>
      <c r="F2202" s="133" t="s">
        <v>5146</v>
      </c>
      <c r="G2202" s="404" t="s">
        <v>45</v>
      </c>
      <c r="H2202" s="411">
        <v>75.41</v>
      </c>
      <c r="I2202" s="89">
        <f t="shared" si="387"/>
        <v>-6.7868999999999993</v>
      </c>
      <c r="J2202" s="391">
        <f t="shared" si="388"/>
        <v>-1.7327900000000001</v>
      </c>
      <c r="K2202" s="90">
        <f t="shared" si="384"/>
        <v>66.890309999999999</v>
      </c>
      <c r="M2202" s="158">
        <v>17.079999999999998</v>
      </c>
      <c r="N2202" s="91">
        <f t="shared" si="389"/>
        <v>17.079999999999998</v>
      </c>
      <c r="O2202" s="411">
        <f t="shared" si="390"/>
        <v>49.810310000000001</v>
      </c>
      <c r="P2202" s="132" t="s">
        <v>52</v>
      </c>
      <c r="Q2202" s="232"/>
      <c r="R2202" s="411"/>
      <c r="T2202" s="134" t="s">
        <v>145</v>
      </c>
      <c r="U2202" s="267" t="s">
        <v>5147</v>
      </c>
      <c r="AA2202" s="218"/>
    </row>
    <row r="2203" spans="1:27" ht="24" x14ac:dyDescent="0.25">
      <c r="A2203" s="405">
        <v>3001672</v>
      </c>
      <c r="B2203" s="406">
        <v>42471</v>
      </c>
      <c r="C2203" s="405" t="s">
        <v>237</v>
      </c>
      <c r="D2203" s="401" t="s">
        <v>5148</v>
      </c>
      <c r="E2203" s="120">
        <v>100</v>
      </c>
      <c r="F2203" s="133" t="s">
        <v>829</v>
      </c>
      <c r="G2203" s="404" t="s">
        <v>45</v>
      </c>
      <c r="H2203" s="411">
        <v>117.38</v>
      </c>
      <c r="I2203" s="397">
        <f>-(H2203*0.15)</f>
        <v>-17.606999999999999</v>
      </c>
      <c r="J2203" s="411">
        <v>0</v>
      </c>
      <c r="K2203" s="90">
        <f t="shared" si="384"/>
        <v>99.772999999999996</v>
      </c>
      <c r="L2203" s="131">
        <v>510</v>
      </c>
      <c r="M2203" s="158">
        <v>33.72</v>
      </c>
      <c r="N2203" s="91">
        <f t="shared" si="389"/>
        <v>84.72</v>
      </c>
      <c r="O2203" s="411">
        <f t="shared" si="390"/>
        <v>15.052999999999997</v>
      </c>
      <c r="P2203" s="132" t="s">
        <v>52</v>
      </c>
      <c r="Q2203" s="232"/>
      <c r="R2203" s="411"/>
      <c r="T2203" s="134" t="s">
        <v>145</v>
      </c>
      <c r="U2203" s="267" t="s">
        <v>5149</v>
      </c>
      <c r="AA2203" s="218"/>
    </row>
    <row r="2204" spans="1:27" x14ac:dyDescent="0.25">
      <c r="A2204" s="419">
        <v>3001673</v>
      </c>
      <c r="B2204" s="421">
        <v>42471</v>
      </c>
      <c r="C2204" s="419" t="s">
        <v>237</v>
      </c>
      <c r="D2204" s="417" t="s">
        <v>5150</v>
      </c>
      <c r="E2204" s="120">
        <v>50</v>
      </c>
      <c r="F2204" s="133" t="s">
        <v>3301</v>
      </c>
      <c r="G2204" s="434" t="s">
        <v>45</v>
      </c>
      <c r="H2204" s="427">
        <v>143.55000000000001</v>
      </c>
      <c r="I2204" s="452">
        <f>-(H2204*0.15)</f>
        <v>-21.532500000000002</v>
      </c>
      <c r="J2204" s="427">
        <v>0</v>
      </c>
      <c r="K2204" s="425">
        <f t="shared" si="384"/>
        <v>122.01750000000001</v>
      </c>
      <c r="L2204" s="187">
        <v>771</v>
      </c>
      <c r="M2204" s="158">
        <v>25.64</v>
      </c>
      <c r="N2204" s="91">
        <f t="shared" si="389"/>
        <v>64.19</v>
      </c>
      <c r="O2204" s="411">
        <f t="shared" si="390"/>
        <v>57.827500000000015</v>
      </c>
      <c r="P2204" s="132" t="s">
        <v>601</v>
      </c>
      <c r="Q2204" s="232"/>
      <c r="R2204" s="411"/>
      <c r="T2204" s="439" t="s">
        <v>145</v>
      </c>
      <c r="U2204" s="446" t="s">
        <v>5151</v>
      </c>
      <c r="AA2204" s="218"/>
    </row>
    <row r="2205" spans="1:27" x14ac:dyDescent="0.25">
      <c r="A2205" s="420"/>
      <c r="B2205" s="422"/>
      <c r="C2205" s="420"/>
      <c r="D2205" s="418"/>
      <c r="E2205" s="120">
        <v>50</v>
      </c>
      <c r="F2205" s="133" t="s">
        <v>3299</v>
      </c>
      <c r="G2205" s="436"/>
      <c r="H2205" s="428"/>
      <c r="I2205" s="484"/>
      <c r="J2205" s="428"/>
      <c r="K2205" s="426"/>
      <c r="L2205" s="187">
        <v>771</v>
      </c>
      <c r="M2205" s="158"/>
      <c r="N2205" s="91">
        <f t="shared" si="389"/>
        <v>38.550000000000004</v>
      </c>
      <c r="O2205" s="411">
        <f t="shared" si="390"/>
        <v>-38.550000000000004</v>
      </c>
      <c r="P2205" s="132" t="s">
        <v>601</v>
      </c>
      <c r="Q2205" s="232"/>
      <c r="R2205" s="411"/>
      <c r="T2205" s="441"/>
      <c r="U2205" s="447"/>
      <c r="AA2205" s="218"/>
    </row>
    <row r="2206" spans="1:27" ht="36" x14ac:dyDescent="0.25">
      <c r="A2206" s="405">
        <v>3001674</v>
      </c>
      <c r="B2206" s="406">
        <v>42471</v>
      </c>
      <c r="C2206" s="405" t="s">
        <v>237</v>
      </c>
      <c r="D2206" s="401" t="s">
        <v>5152</v>
      </c>
      <c r="E2206" s="120">
        <v>2250</v>
      </c>
      <c r="F2206" s="119" t="s">
        <v>5153</v>
      </c>
      <c r="G2206" s="404" t="s">
        <v>45</v>
      </c>
      <c r="H2206" s="206">
        <v>702.48</v>
      </c>
      <c r="I2206" s="94">
        <f>-(H2206*0.15)</f>
        <v>-105.372</v>
      </c>
      <c r="J2206" s="185">
        <v>0</v>
      </c>
      <c r="K2206" s="90">
        <f t="shared" si="384"/>
        <v>597.10800000000006</v>
      </c>
      <c r="L2206" s="187">
        <v>104</v>
      </c>
      <c r="M2206" s="158">
        <v>11.45</v>
      </c>
      <c r="N2206" s="91">
        <f t="shared" si="389"/>
        <v>245.45</v>
      </c>
      <c r="O2206" s="411">
        <f t="shared" si="390"/>
        <v>351.65800000000007</v>
      </c>
      <c r="P2206" s="132" t="s">
        <v>4288</v>
      </c>
      <c r="Q2206" s="232"/>
      <c r="R2206" s="411"/>
      <c r="T2206" s="134" t="s">
        <v>145</v>
      </c>
      <c r="U2206" s="267" t="s">
        <v>5154</v>
      </c>
      <c r="AA2206" s="218"/>
    </row>
    <row r="2207" spans="1:27" ht="24" x14ac:dyDescent="0.25">
      <c r="A2207" s="405">
        <v>3001675</v>
      </c>
      <c r="B2207" s="406">
        <v>42471</v>
      </c>
      <c r="C2207" s="405" t="s">
        <v>78</v>
      </c>
      <c r="D2207" s="401" t="s">
        <v>5155</v>
      </c>
      <c r="E2207" s="120">
        <v>250</v>
      </c>
      <c r="F2207" s="133" t="s">
        <v>5156</v>
      </c>
      <c r="G2207" s="404" t="s">
        <v>45</v>
      </c>
      <c r="H2207" s="411">
        <v>226</v>
      </c>
      <c r="I2207" s="398">
        <v>0</v>
      </c>
      <c r="J2207" s="391">
        <f t="shared" ref="J2207" si="391">-((H2207*0.019)+0.3)</f>
        <v>-4.5939999999999994</v>
      </c>
      <c r="K2207" s="90">
        <f t="shared" si="384"/>
        <v>221.40600000000001</v>
      </c>
      <c r="L2207" s="187">
        <v>390</v>
      </c>
      <c r="M2207" s="187">
        <v>49.62</v>
      </c>
      <c r="N2207" s="91">
        <f t="shared" si="389"/>
        <v>147.12</v>
      </c>
      <c r="O2207" s="411">
        <f t="shared" si="390"/>
        <v>74.286000000000001</v>
      </c>
      <c r="P2207" s="132" t="s">
        <v>183</v>
      </c>
      <c r="Q2207" s="232"/>
      <c r="R2207" s="411"/>
      <c r="T2207" s="134" t="s">
        <v>145</v>
      </c>
      <c r="U2207" s="267" t="s">
        <v>5157</v>
      </c>
      <c r="W2207" s="153" t="s">
        <v>5158</v>
      </c>
      <c r="AA2207" s="218"/>
    </row>
    <row r="2208" spans="1:27" ht="24" x14ac:dyDescent="0.25">
      <c r="A2208" s="405">
        <v>3001676</v>
      </c>
      <c r="B2208" s="406">
        <v>42471</v>
      </c>
      <c r="C2208" s="405" t="s">
        <v>237</v>
      </c>
      <c r="D2208" s="401" t="s">
        <v>5159</v>
      </c>
      <c r="E2208" s="120">
        <v>100</v>
      </c>
      <c r="F2208" s="133" t="s">
        <v>161</v>
      </c>
      <c r="G2208" s="404" t="s">
        <v>45</v>
      </c>
      <c r="H2208" s="411">
        <v>341.07</v>
      </c>
      <c r="I2208" s="397">
        <f>-(H2208*0.15)</f>
        <v>-51.160499999999999</v>
      </c>
      <c r="J2208" s="411">
        <v>0</v>
      </c>
      <c r="K2208" s="90">
        <f t="shared" si="384"/>
        <v>289.90949999999998</v>
      </c>
      <c r="L2208" s="131">
        <v>1322</v>
      </c>
      <c r="M2208" s="187">
        <v>76.459999999999994</v>
      </c>
      <c r="N2208" s="91">
        <f t="shared" si="389"/>
        <v>208.66000000000003</v>
      </c>
      <c r="O2208" s="411">
        <f t="shared" si="390"/>
        <v>81.249499999999955</v>
      </c>
      <c r="P2208" s="132" t="s">
        <v>52</v>
      </c>
      <c r="Q2208" s="232"/>
      <c r="R2208" s="411"/>
      <c r="T2208" s="134" t="s">
        <v>145</v>
      </c>
      <c r="U2208" s="267" t="s">
        <v>5160</v>
      </c>
      <c r="AA2208" s="218"/>
    </row>
    <row r="2209" spans="1:27" ht="24" x14ac:dyDescent="0.25">
      <c r="A2209" s="405">
        <v>3001677</v>
      </c>
      <c r="B2209" s="406">
        <v>42471</v>
      </c>
      <c r="C2209" s="405" t="s">
        <v>327</v>
      </c>
      <c r="D2209" s="401" t="s">
        <v>3017</v>
      </c>
      <c r="E2209" s="120">
        <v>125</v>
      </c>
      <c r="F2209" s="133" t="s">
        <v>877</v>
      </c>
      <c r="G2209" s="404" t="s">
        <v>45</v>
      </c>
      <c r="H2209" s="411">
        <v>100</v>
      </c>
      <c r="I2209" s="398">
        <v>0</v>
      </c>
      <c r="J2209" s="391">
        <f>-((H2209*0.022)+0.3)</f>
        <v>-2.4999999999999996</v>
      </c>
      <c r="K2209" s="90">
        <f t="shared" si="384"/>
        <v>97.5</v>
      </c>
      <c r="L2209" s="131">
        <v>235</v>
      </c>
      <c r="M2209" s="158">
        <v>21.96</v>
      </c>
      <c r="N2209" s="91">
        <f t="shared" si="389"/>
        <v>51.335000000000001</v>
      </c>
      <c r="O2209" s="411">
        <f t="shared" si="390"/>
        <v>46.164999999999999</v>
      </c>
      <c r="P2209" s="132" t="s">
        <v>86</v>
      </c>
      <c r="Q2209" s="232"/>
      <c r="R2209" s="411"/>
      <c r="T2209" s="134" t="s">
        <v>145</v>
      </c>
      <c r="U2209" s="267" t="s">
        <v>5161</v>
      </c>
      <c r="W2209" s="153" t="s">
        <v>3019</v>
      </c>
      <c r="AA2209" s="218"/>
    </row>
    <row r="2210" spans="1:27" x14ac:dyDescent="0.25">
      <c r="A2210" s="419">
        <v>3001678</v>
      </c>
      <c r="B2210" s="421">
        <v>42471</v>
      </c>
      <c r="C2210" s="419" t="s">
        <v>63</v>
      </c>
      <c r="D2210" s="417" t="s">
        <v>3220</v>
      </c>
      <c r="E2210" s="120">
        <v>2272</v>
      </c>
      <c r="F2210" s="133" t="s">
        <v>5162</v>
      </c>
      <c r="G2210" s="434" t="s">
        <v>45</v>
      </c>
      <c r="H2210" s="427">
        <v>6471.3</v>
      </c>
      <c r="I2210" s="427">
        <v>0</v>
      </c>
      <c r="J2210" s="425">
        <f>-((H2210*0.022)+0.3)</f>
        <v>-142.6686</v>
      </c>
      <c r="K2210" s="425">
        <f t="shared" si="384"/>
        <v>6328.6314000000002</v>
      </c>
      <c r="L2210" s="131">
        <v>132</v>
      </c>
      <c r="M2210" s="187">
        <v>290</v>
      </c>
      <c r="N2210" s="91">
        <f t="shared" si="389"/>
        <v>589.904</v>
      </c>
      <c r="O2210" s="411">
        <f t="shared" si="390"/>
        <v>5738.7273999999998</v>
      </c>
      <c r="P2210" s="132" t="s">
        <v>52</v>
      </c>
      <c r="Q2210" s="232"/>
      <c r="R2210" s="411"/>
      <c r="T2210" s="134" t="s">
        <v>97</v>
      </c>
      <c r="U2210" s="267" t="s">
        <v>5163</v>
      </c>
      <c r="W2210" s="153" t="s">
        <v>5164</v>
      </c>
      <c r="AA2210" s="218"/>
    </row>
    <row r="2211" spans="1:27" ht="24" x14ac:dyDescent="0.25">
      <c r="A2211" s="420"/>
      <c r="B2211" s="422"/>
      <c r="C2211" s="420"/>
      <c r="D2211" s="418"/>
      <c r="E2211" s="120">
        <v>1250</v>
      </c>
      <c r="F2211" s="133" t="s">
        <v>4328</v>
      </c>
      <c r="G2211" s="436"/>
      <c r="H2211" s="428"/>
      <c r="I2211" s="428"/>
      <c r="J2211" s="426"/>
      <c r="K2211" s="426"/>
      <c r="L2211" s="187">
        <v>3400</v>
      </c>
      <c r="M2211" s="158">
        <v>0</v>
      </c>
      <c r="N2211" s="91">
        <f t="shared" si="389"/>
        <v>4250</v>
      </c>
      <c r="O2211" s="411">
        <f t="shared" si="390"/>
        <v>-4250</v>
      </c>
      <c r="P2211" s="132" t="s">
        <v>235</v>
      </c>
      <c r="Q2211" s="232"/>
      <c r="R2211" s="411"/>
      <c r="T2211" s="134" t="s">
        <v>2315</v>
      </c>
      <c r="U2211" s="266">
        <v>754161913</v>
      </c>
      <c r="V2211" s="133" t="s">
        <v>5165</v>
      </c>
      <c r="AA2211" s="218"/>
    </row>
    <row r="2212" spans="1:27" ht="24" x14ac:dyDescent="0.25">
      <c r="A2212" s="405">
        <v>3001679</v>
      </c>
      <c r="B2212" s="406">
        <v>42471</v>
      </c>
      <c r="C2212" s="405" t="s">
        <v>63</v>
      </c>
      <c r="D2212" s="401" t="s">
        <v>5166</v>
      </c>
      <c r="E2212" s="120">
        <v>500</v>
      </c>
      <c r="F2212" s="133" t="s">
        <v>832</v>
      </c>
      <c r="G2212" s="404" t="s">
        <v>45</v>
      </c>
      <c r="H2212" s="411">
        <v>410</v>
      </c>
      <c r="I2212" s="411">
        <v>0</v>
      </c>
      <c r="J2212" s="391">
        <f>-((H2212*0.022)+0.3)</f>
        <v>-9.32</v>
      </c>
      <c r="K2212" s="90">
        <f t="shared" si="384"/>
        <v>400.68</v>
      </c>
      <c r="L2212" s="131">
        <v>521.62</v>
      </c>
      <c r="M2212" s="158">
        <v>45.26</v>
      </c>
      <c r="N2212" s="91">
        <f t="shared" si="389"/>
        <v>306.07</v>
      </c>
      <c r="O2212" s="411">
        <f t="shared" si="390"/>
        <v>94.610000000000014</v>
      </c>
      <c r="P2212" s="132" t="s">
        <v>76</v>
      </c>
      <c r="Q2212" s="232"/>
      <c r="R2212" s="411"/>
      <c r="T2212" s="134" t="s">
        <v>145</v>
      </c>
      <c r="U2212" s="267" t="s">
        <v>5167</v>
      </c>
      <c r="W2212" s="153" t="s">
        <v>5168</v>
      </c>
      <c r="AA2212" s="218"/>
    </row>
    <row r="2213" spans="1:27" x14ac:dyDescent="0.25">
      <c r="A2213" s="405">
        <v>3001680</v>
      </c>
      <c r="B2213" s="406">
        <v>42471</v>
      </c>
      <c r="C2213" s="405" t="s">
        <v>63</v>
      </c>
      <c r="D2213" s="401" t="s">
        <v>5169</v>
      </c>
      <c r="E2213" s="120">
        <v>500</v>
      </c>
      <c r="F2213" s="133" t="s">
        <v>5170</v>
      </c>
      <c r="G2213" s="404" t="s">
        <v>45</v>
      </c>
      <c r="H2213" s="411">
        <v>1275</v>
      </c>
      <c r="I2213" s="411">
        <v>0</v>
      </c>
      <c r="J2213" s="391">
        <f>-((H2213*0.022)+0.3)</f>
        <v>-28.349999999999998</v>
      </c>
      <c r="K2213" s="90">
        <f t="shared" si="384"/>
        <v>1246.6500000000001</v>
      </c>
      <c r="L2213" s="187">
        <v>1740</v>
      </c>
      <c r="M2213" s="158">
        <v>0</v>
      </c>
      <c r="N2213" s="91">
        <f t="shared" si="389"/>
        <v>870</v>
      </c>
      <c r="O2213" s="411">
        <f t="shared" si="390"/>
        <v>376.65000000000009</v>
      </c>
      <c r="P2213" s="132" t="s">
        <v>59</v>
      </c>
      <c r="Q2213" s="232"/>
      <c r="R2213" s="411"/>
      <c r="T2213" s="134" t="s">
        <v>314</v>
      </c>
      <c r="U2213" s="267" t="s">
        <v>5171</v>
      </c>
      <c r="W2213" s="153" t="s">
        <v>5172</v>
      </c>
      <c r="AA2213" s="218"/>
    </row>
    <row r="2214" spans="1:27" ht="24" x14ac:dyDescent="0.25">
      <c r="A2214" s="405">
        <v>3001681</v>
      </c>
      <c r="B2214" s="406">
        <v>42472</v>
      </c>
      <c r="C2214" s="405" t="s">
        <v>63</v>
      </c>
      <c r="D2214" s="401" t="s">
        <v>1919</v>
      </c>
      <c r="E2214" s="120">
        <v>1000</v>
      </c>
      <c r="F2214" s="133" t="s">
        <v>1747</v>
      </c>
      <c r="G2214" s="404" t="s">
        <v>45</v>
      </c>
      <c r="H2214" s="411">
        <v>550</v>
      </c>
      <c r="I2214" s="411">
        <v>0</v>
      </c>
      <c r="J2214" s="391">
        <f>-((H2214*0.022)+0.3)</f>
        <v>-12.4</v>
      </c>
      <c r="K2214" s="90">
        <f t="shared" si="384"/>
        <v>537.6</v>
      </c>
      <c r="L2214" s="187">
        <v>330</v>
      </c>
      <c r="M2214" s="187">
        <v>84.71</v>
      </c>
      <c r="N2214" s="91">
        <f t="shared" si="389"/>
        <v>414.71</v>
      </c>
      <c r="O2214" s="411">
        <f t="shared" si="390"/>
        <v>122.89000000000004</v>
      </c>
      <c r="P2214" s="132" t="s">
        <v>183</v>
      </c>
      <c r="Q2214" s="232"/>
      <c r="R2214" s="411"/>
      <c r="T2214" s="134" t="s">
        <v>324</v>
      </c>
      <c r="U2214" s="267" t="s">
        <v>5173</v>
      </c>
      <c r="W2214" s="153" t="s">
        <v>1921</v>
      </c>
      <c r="AA2214" s="218"/>
    </row>
    <row r="2215" spans="1:27" x14ac:dyDescent="0.25">
      <c r="A2215" s="405">
        <v>3001682</v>
      </c>
      <c r="B2215" s="406">
        <v>42472</v>
      </c>
      <c r="C2215" s="405" t="s">
        <v>327</v>
      </c>
      <c r="D2215" s="401" t="s">
        <v>3837</v>
      </c>
      <c r="E2215" s="120">
        <v>370</v>
      </c>
      <c r="F2215" s="133" t="s">
        <v>114</v>
      </c>
      <c r="G2215" s="404" t="s">
        <v>45</v>
      </c>
      <c r="H2215" s="411">
        <v>1100</v>
      </c>
      <c r="I2215" s="411">
        <v>0</v>
      </c>
      <c r="J2215" s="391">
        <f>-((H2215*0.022)+0.3)</f>
        <v>-24.5</v>
      </c>
      <c r="K2215" s="90">
        <f t="shared" si="384"/>
        <v>1075.5</v>
      </c>
      <c r="L2215" s="131">
        <v>1700</v>
      </c>
      <c r="M2215" s="187">
        <v>180.59</v>
      </c>
      <c r="N2215" s="91">
        <f t="shared" ref="N2215:N2280" si="392">((L2215)*(E2215*0.001))+M2215</f>
        <v>809.59</v>
      </c>
      <c r="O2215" s="411">
        <f t="shared" si="390"/>
        <v>265.90999999999997</v>
      </c>
      <c r="P2215" s="132" t="s">
        <v>52</v>
      </c>
      <c r="Q2215" s="232"/>
      <c r="R2215" s="411"/>
      <c r="T2215" s="134" t="s">
        <v>244</v>
      </c>
      <c r="U2215" s="267" t="s">
        <v>5174</v>
      </c>
      <c r="V2215" s="133" t="s">
        <v>55</v>
      </c>
      <c r="W2215" s="153" t="s">
        <v>5175</v>
      </c>
      <c r="AA2215" s="218"/>
    </row>
    <row r="2216" spans="1:27" x14ac:dyDescent="0.25">
      <c r="A2216" s="419">
        <v>3001683</v>
      </c>
      <c r="B2216" s="421">
        <v>42472</v>
      </c>
      <c r="C2216" s="419" t="s">
        <v>56</v>
      </c>
      <c r="D2216" s="417" t="s">
        <v>5176</v>
      </c>
      <c r="E2216" s="120">
        <v>1000</v>
      </c>
      <c r="F2216" s="133" t="s">
        <v>5177</v>
      </c>
      <c r="G2216" s="434" t="s">
        <v>45</v>
      </c>
      <c r="H2216" s="427">
        <v>12295</v>
      </c>
      <c r="I2216" s="427">
        <v>0</v>
      </c>
      <c r="J2216" s="427">
        <v>0</v>
      </c>
      <c r="K2216" s="425">
        <f t="shared" si="384"/>
        <v>12295</v>
      </c>
      <c r="L2216" s="131">
        <v>1060</v>
      </c>
      <c r="M2216" s="187">
        <v>200</v>
      </c>
      <c r="N2216" s="91">
        <f t="shared" si="392"/>
        <v>1260</v>
      </c>
      <c r="O2216" s="411">
        <f t="shared" si="390"/>
        <v>11035</v>
      </c>
      <c r="P2216" s="132" t="s">
        <v>52</v>
      </c>
      <c r="Q2216" s="232"/>
      <c r="R2216" s="411"/>
      <c r="T2216" s="439" t="s">
        <v>3793</v>
      </c>
      <c r="U2216" s="446" t="s">
        <v>5178</v>
      </c>
      <c r="V2216" s="133" t="s">
        <v>5179</v>
      </c>
      <c r="W2216" s="153" t="s">
        <v>5180</v>
      </c>
      <c r="AA2216" s="218"/>
    </row>
    <row r="2217" spans="1:27" x14ac:dyDescent="0.25">
      <c r="A2217" s="432"/>
      <c r="B2217" s="433"/>
      <c r="C2217" s="432"/>
      <c r="D2217" s="454"/>
      <c r="E2217" s="120">
        <v>1500</v>
      </c>
      <c r="F2217" s="133" t="s">
        <v>5181</v>
      </c>
      <c r="G2217" s="435"/>
      <c r="H2217" s="438"/>
      <c r="I2217" s="438"/>
      <c r="J2217" s="438"/>
      <c r="K2217" s="437"/>
      <c r="L2217" s="131">
        <v>3300</v>
      </c>
      <c r="M2217" s="187"/>
      <c r="N2217" s="91">
        <f t="shared" si="392"/>
        <v>4950</v>
      </c>
      <c r="O2217" s="411">
        <f t="shared" si="390"/>
        <v>-4950</v>
      </c>
      <c r="P2217" s="132" t="s">
        <v>52</v>
      </c>
      <c r="Q2217" s="232"/>
      <c r="R2217" s="411"/>
      <c r="T2217" s="440"/>
      <c r="U2217" s="448"/>
      <c r="V2217" s="133" t="s">
        <v>5182</v>
      </c>
      <c r="AA2217" s="218"/>
    </row>
    <row r="2218" spans="1:27" x14ac:dyDescent="0.25">
      <c r="A2218" s="432"/>
      <c r="B2218" s="433"/>
      <c r="C2218" s="432"/>
      <c r="D2218" s="454"/>
      <c r="E2218" s="120">
        <v>500</v>
      </c>
      <c r="F2218" s="133" t="s">
        <v>5183</v>
      </c>
      <c r="G2218" s="435"/>
      <c r="H2218" s="438"/>
      <c r="I2218" s="438"/>
      <c r="J2218" s="438"/>
      <c r="K2218" s="437"/>
      <c r="L2218" s="131">
        <v>2150</v>
      </c>
      <c r="M2218" s="187"/>
      <c r="N2218" s="91">
        <f t="shared" si="392"/>
        <v>1075</v>
      </c>
      <c r="O2218" s="411">
        <f t="shared" si="390"/>
        <v>-1075</v>
      </c>
      <c r="P2218" s="132" t="s">
        <v>52</v>
      </c>
      <c r="Q2218" s="232"/>
      <c r="R2218" s="411"/>
      <c r="T2218" s="441"/>
      <c r="U2218" s="447"/>
      <c r="AA2218" s="218"/>
    </row>
    <row r="2219" spans="1:27" x14ac:dyDescent="0.25">
      <c r="A2219" s="432"/>
      <c r="B2219" s="433"/>
      <c r="C2219" s="432"/>
      <c r="D2219" s="454"/>
      <c r="E2219" s="120">
        <v>500</v>
      </c>
      <c r="F2219" s="133" t="s">
        <v>5184</v>
      </c>
      <c r="G2219" s="435"/>
      <c r="H2219" s="438"/>
      <c r="I2219" s="438"/>
      <c r="J2219" s="438"/>
      <c r="K2219" s="437"/>
      <c r="L2219" s="187">
        <v>2786.02</v>
      </c>
      <c r="N2219" s="91">
        <f t="shared" si="392"/>
        <v>1393.01</v>
      </c>
      <c r="O2219" s="411">
        <f t="shared" si="390"/>
        <v>-1393.01</v>
      </c>
      <c r="P2219" s="132" t="s">
        <v>46</v>
      </c>
      <c r="Q2219" s="232"/>
      <c r="R2219" s="411"/>
      <c r="T2219" s="407" t="s">
        <v>5185</v>
      </c>
      <c r="U2219" s="266" t="s">
        <v>5186</v>
      </c>
      <c r="V2219" s="133" t="s">
        <v>5187</v>
      </c>
      <c r="AA2219" s="218"/>
    </row>
    <row r="2220" spans="1:27" x14ac:dyDescent="0.25">
      <c r="A2220" s="420"/>
      <c r="B2220" s="422"/>
      <c r="C2220" s="420"/>
      <c r="D2220" s="418"/>
      <c r="E2220" s="120">
        <v>1000</v>
      </c>
      <c r="F2220" s="133" t="s">
        <v>5188</v>
      </c>
      <c r="G2220" s="436"/>
      <c r="H2220" s="428"/>
      <c r="I2220" s="428"/>
      <c r="J2220" s="428"/>
      <c r="K2220" s="426"/>
      <c r="L2220" s="187">
        <v>1800</v>
      </c>
      <c r="M2220" s="131">
        <v>0</v>
      </c>
      <c r="N2220" s="91">
        <f t="shared" si="392"/>
        <v>1800</v>
      </c>
      <c r="O2220" s="411">
        <f t="shared" si="390"/>
        <v>-1800</v>
      </c>
      <c r="P2220" s="132" t="s">
        <v>46</v>
      </c>
      <c r="Q2220" s="232"/>
      <c r="R2220" s="411"/>
      <c r="T2220" s="409" t="s">
        <v>5185</v>
      </c>
      <c r="U2220" s="266" t="s">
        <v>5186</v>
      </c>
      <c r="V2220" s="133" t="s">
        <v>5187</v>
      </c>
      <c r="AA2220" s="218"/>
    </row>
    <row r="2221" spans="1:27" x14ac:dyDescent="0.25">
      <c r="A2221" s="419">
        <v>3001684</v>
      </c>
      <c r="B2221" s="421">
        <v>42472</v>
      </c>
      <c r="C2221" s="419" t="s">
        <v>63</v>
      </c>
      <c r="D2221" s="417" t="s">
        <v>3220</v>
      </c>
      <c r="E2221" s="120">
        <v>750</v>
      </c>
      <c r="F2221" s="133" t="s">
        <v>70</v>
      </c>
      <c r="G2221" s="434" t="s">
        <v>45</v>
      </c>
      <c r="H2221" s="427">
        <v>3045</v>
      </c>
      <c r="I2221" s="427">
        <v>0</v>
      </c>
      <c r="J2221" s="498">
        <f>-((H2221*0.022)+0.3)</f>
        <v>-67.289999999999992</v>
      </c>
      <c r="K2221" s="425">
        <f t="shared" ref="K2221" si="393">SUM(H2221:J2221)</f>
        <v>2977.71</v>
      </c>
      <c r="L2221" s="131">
        <v>1564</v>
      </c>
      <c r="M2221" s="187"/>
      <c r="N2221" s="91">
        <f t="shared" si="392"/>
        <v>1173</v>
      </c>
      <c r="O2221" s="411">
        <f t="shared" si="390"/>
        <v>1804.71</v>
      </c>
      <c r="P2221" s="132" t="s">
        <v>52</v>
      </c>
      <c r="Q2221" s="232"/>
      <c r="R2221" s="411"/>
      <c r="T2221" s="134" t="s">
        <v>97</v>
      </c>
      <c r="U2221" s="267" t="s">
        <v>5163</v>
      </c>
      <c r="V2221" s="133" t="s">
        <v>5189</v>
      </c>
      <c r="W2221" s="153" t="s">
        <v>5164</v>
      </c>
      <c r="AA2221" s="218"/>
    </row>
    <row r="2222" spans="1:27" x14ac:dyDescent="0.25">
      <c r="A2222" s="420"/>
      <c r="B2222" s="422"/>
      <c r="C2222" s="420"/>
      <c r="D2222" s="418"/>
      <c r="E2222" s="120">
        <v>180</v>
      </c>
      <c r="F2222" s="133" t="s">
        <v>3643</v>
      </c>
      <c r="G2222" s="436"/>
      <c r="H2222" s="428"/>
      <c r="I2222" s="428"/>
      <c r="J2222" s="499"/>
      <c r="K2222" s="426"/>
      <c r="L2222" s="187">
        <v>4276</v>
      </c>
      <c r="M2222" s="187">
        <v>115</v>
      </c>
      <c r="N2222" s="91">
        <f t="shared" si="392"/>
        <v>884.68</v>
      </c>
      <c r="O2222" s="411">
        <f t="shared" si="390"/>
        <v>-884.68</v>
      </c>
      <c r="P2222" s="132" t="s">
        <v>183</v>
      </c>
      <c r="Q2222" s="232"/>
      <c r="R2222" s="411"/>
      <c r="T2222" s="134" t="s">
        <v>314</v>
      </c>
      <c r="U2222" s="267" t="s">
        <v>5190</v>
      </c>
      <c r="V2222" s="133" t="s">
        <v>5191</v>
      </c>
      <c r="AA2222" s="218"/>
    </row>
    <row r="2223" spans="1:27" ht="24" x14ac:dyDescent="0.25">
      <c r="A2223" s="405">
        <v>3001685</v>
      </c>
      <c r="B2223" s="406">
        <v>42472</v>
      </c>
      <c r="C2223" s="405" t="s">
        <v>63</v>
      </c>
      <c r="D2223" s="401" t="s">
        <v>5192</v>
      </c>
      <c r="E2223" s="120">
        <v>50</v>
      </c>
      <c r="F2223" s="133" t="s">
        <v>161</v>
      </c>
      <c r="G2223" s="404" t="s">
        <v>45</v>
      </c>
      <c r="H2223" s="411">
        <v>140</v>
      </c>
      <c r="I2223" s="411">
        <v>0</v>
      </c>
      <c r="J2223" s="391">
        <f>-((H2223*0.022)+0.3)</f>
        <v>-3.3799999999999994</v>
      </c>
      <c r="K2223" s="90">
        <f t="shared" ref="K2223:K2224" si="394">SUM(H2223:J2223)</f>
        <v>136.62</v>
      </c>
      <c r="L2223" s="131">
        <v>1322</v>
      </c>
      <c r="M2223" s="158">
        <v>28.27</v>
      </c>
      <c r="N2223" s="91">
        <f t="shared" si="392"/>
        <v>94.37</v>
      </c>
      <c r="O2223" s="411">
        <f t="shared" si="390"/>
        <v>42.25</v>
      </c>
      <c r="P2223" s="132" t="s">
        <v>52</v>
      </c>
      <c r="Q2223" s="232"/>
      <c r="R2223" s="411"/>
      <c r="T2223" s="134" t="s">
        <v>145</v>
      </c>
      <c r="U2223" s="267" t="s">
        <v>5193</v>
      </c>
      <c r="W2223" s="153" t="s">
        <v>5194</v>
      </c>
      <c r="AA2223" s="218"/>
    </row>
    <row r="2224" spans="1:27" x14ac:dyDescent="0.25">
      <c r="A2224" s="419">
        <v>3001686</v>
      </c>
      <c r="B2224" s="421">
        <v>42472</v>
      </c>
      <c r="C2224" s="419" t="s">
        <v>327</v>
      </c>
      <c r="D2224" s="417" t="s">
        <v>5195</v>
      </c>
      <c r="E2224" s="120">
        <v>1000</v>
      </c>
      <c r="F2224" s="133" t="s">
        <v>5196</v>
      </c>
      <c r="G2224" s="434" t="s">
        <v>45</v>
      </c>
      <c r="H2224" s="427">
        <v>3355</v>
      </c>
      <c r="I2224" s="427">
        <v>0</v>
      </c>
      <c r="J2224" s="425">
        <f>-((H2224*0.022)+0.3)</f>
        <v>-74.11</v>
      </c>
      <c r="K2224" s="425">
        <f t="shared" si="394"/>
        <v>3280.89</v>
      </c>
      <c r="L2224" s="187">
        <v>1013</v>
      </c>
      <c r="M2224" s="187">
        <v>222.83</v>
      </c>
      <c r="N2224" s="91">
        <f t="shared" si="392"/>
        <v>1235.83</v>
      </c>
      <c r="O2224" s="411">
        <f t="shared" si="390"/>
        <v>2045.06</v>
      </c>
      <c r="P2224" s="132" t="s">
        <v>59</v>
      </c>
      <c r="Q2224" s="232"/>
      <c r="R2224" s="411"/>
      <c r="T2224" s="134" t="s">
        <v>639</v>
      </c>
      <c r="U2224" s="267" t="s">
        <v>5197</v>
      </c>
      <c r="W2224" s="153" t="s">
        <v>5198</v>
      </c>
      <c r="AA2224" s="218"/>
    </row>
    <row r="2225" spans="1:27" x14ac:dyDescent="0.25">
      <c r="A2225" s="432"/>
      <c r="B2225" s="433"/>
      <c r="C2225" s="432"/>
      <c r="D2225" s="454"/>
      <c r="E2225" s="120">
        <v>300</v>
      </c>
      <c r="F2225" s="133" t="s">
        <v>5199</v>
      </c>
      <c r="G2225" s="435"/>
      <c r="H2225" s="438"/>
      <c r="I2225" s="438"/>
      <c r="J2225" s="437"/>
      <c r="K2225" s="437"/>
      <c r="L2225" s="187">
        <v>2063</v>
      </c>
      <c r="M2225" s="187">
        <v>111.37</v>
      </c>
      <c r="N2225" s="91">
        <f t="shared" si="392"/>
        <v>730.27</v>
      </c>
      <c r="O2225" s="411">
        <f t="shared" si="390"/>
        <v>-730.27</v>
      </c>
      <c r="P2225" s="132" t="s">
        <v>330</v>
      </c>
      <c r="Q2225" s="232"/>
      <c r="R2225" s="411"/>
      <c r="T2225" s="134" t="s">
        <v>2652</v>
      </c>
      <c r="U2225" s="267" t="s">
        <v>5200</v>
      </c>
      <c r="AA2225" s="218"/>
    </row>
    <row r="2226" spans="1:27" x14ac:dyDescent="0.25">
      <c r="A2226" s="420"/>
      <c r="B2226" s="422"/>
      <c r="C2226" s="420"/>
      <c r="D2226" s="418"/>
      <c r="E2226" s="120">
        <v>250</v>
      </c>
      <c r="F2226" s="133" t="s">
        <v>5201</v>
      </c>
      <c r="G2226" s="436"/>
      <c r="H2226" s="428"/>
      <c r="I2226" s="428"/>
      <c r="J2226" s="426"/>
      <c r="K2226" s="426"/>
      <c r="L2226" s="187">
        <v>2710</v>
      </c>
      <c r="N2226" s="91">
        <f t="shared" si="392"/>
        <v>677.5</v>
      </c>
      <c r="O2226" s="411">
        <f t="shared" si="390"/>
        <v>-677.5</v>
      </c>
      <c r="P2226" s="132" t="s">
        <v>59</v>
      </c>
      <c r="Q2226" s="232"/>
      <c r="R2226" s="411"/>
      <c r="T2226" s="134" t="s">
        <v>639</v>
      </c>
      <c r="U2226" s="267" t="s">
        <v>5197</v>
      </c>
      <c r="AA2226" s="218"/>
    </row>
    <row r="2227" spans="1:27" x14ac:dyDescent="0.25">
      <c r="A2227" s="405">
        <v>3001687</v>
      </c>
      <c r="B2227" s="406">
        <v>42472</v>
      </c>
      <c r="C2227" s="405" t="s">
        <v>63</v>
      </c>
      <c r="D2227" s="401" t="s">
        <v>5202</v>
      </c>
      <c r="E2227" s="120">
        <v>250</v>
      </c>
      <c r="F2227" s="133" t="s">
        <v>70</v>
      </c>
      <c r="G2227" s="404" t="s">
        <v>45</v>
      </c>
      <c r="H2227" s="411">
        <v>647.5</v>
      </c>
      <c r="I2227" s="411">
        <v>0</v>
      </c>
      <c r="J2227" s="391">
        <f>-((H2227*0.022)+0.3)</f>
        <v>-14.545</v>
      </c>
      <c r="K2227" s="90">
        <f t="shared" ref="K2227:K2235" si="395">SUM(H2227:J2227)</f>
        <v>632.95500000000004</v>
      </c>
      <c r="L2227" s="131">
        <v>1564</v>
      </c>
      <c r="M2227" s="187">
        <v>91.24</v>
      </c>
      <c r="N2227" s="91">
        <f t="shared" si="392"/>
        <v>482.24</v>
      </c>
      <c r="O2227" s="411">
        <f t="shared" si="390"/>
        <v>150.71500000000003</v>
      </c>
      <c r="P2227" s="132" t="s">
        <v>52</v>
      </c>
      <c r="Q2227" s="232"/>
      <c r="R2227" s="411"/>
      <c r="T2227" s="134" t="s">
        <v>244</v>
      </c>
      <c r="U2227" s="266" t="s">
        <v>5203</v>
      </c>
      <c r="V2227" s="133" t="s">
        <v>5204</v>
      </c>
      <c r="W2227" s="153" t="s">
        <v>5205</v>
      </c>
      <c r="AA2227" s="218"/>
    </row>
    <row r="2228" spans="1:27" ht="24" x14ac:dyDescent="0.25">
      <c r="A2228" s="405">
        <v>3001688</v>
      </c>
      <c r="B2228" s="406">
        <v>42472</v>
      </c>
      <c r="C2228" s="405" t="s">
        <v>280</v>
      </c>
      <c r="D2228" s="401" t="s">
        <v>5206</v>
      </c>
      <c r="E2228" s="120">
        <v>140</v>
      </c>
      <c r="F2228" s="133" t="s">
        <v>182</v>
      </c>
      <c r="G2228" s="404" t="s">
        <v>45</v>
      </c>
      <c r="H2228" s="411">
        <v>261.8</v>
      </c>
      <c r="I2228" s="411">
        <v>0</v>
      </c>
      <c r="J2228" s="391">
        <f>-((H2228*0.022)+0.3)</f>
        <v>-6.0595999999999997</v>
      </c>
      <c r="K2228" s="90">
        <f t="shared" si="395"/>
        <v>255.74040000000002</v>
      </c>
      <c r="L2228" s="131">
        <v>1060</v>
      </c>
      <c r="M2228" s="158">
        <v>40.590000000000003</v>
      </c>
      <c r="N2228" s="91">
        <f t="shared" si="392"/>
        <v>188.99</v>
      </c>
      <c r="O2228" s="411">
        <f t="shared" si="390"/>
        <v>66.750400000000013</v>
      </c>
      <c r="P2228" s="132" t="s">
        <v>52</v>
      </c>
      <c r="Q2228" s="232"/>
      <c r="R2228" s="411"/>
      <c r="T2228" s="134" t="s">
        <v>145</v>
      </c>
      <c r="U2228" s="267" t="s">
        <v>5207</v>
      </c>
      <c r="W2228" s="153" t="s">
        <v>5208</v>
      </c>
      <c r="AA2228" s="218"/>
    </row>
    <row r="2229" spans="1:27" ht="24" x14ac:dyDescent="0.25">
      <c r="A2229" s="405">
        <v>3001689</v>
      </c>
      <c r="B2229" s="406">
        <v>42472</v>
      </c>
      <c r="C2229" s="405" t="s">
        <v>42</v>
      </c>
      <c r="D2229" s="401" t="s">
        <v>1033</v>
      </c>
      <c r="E2229" s="120">
        <v>500</v>
      </c>
      <c r="F2229" s="133" t="s">
        <v>451</v>
      </c>
      <c r="G2229" s="404" t="s">
        <v>45</v>
      </c>
      <c r="H2229" s="411">
        <v>295</v>
      </c>
      <c r="I2229" s="89">
        <f t="shared" ref="I2229:I2234" si="396">-(H2229*0.09)</f>
        <v>-26.55</v>
      </c>
      <c r="J2229" s="391">
        <f t="shared" ref="J2229:J2234" si="397">-((H2229*0.019)+0.3)</f>
        <v>-5.9049999999999994</v>
      </c>
      <c r="K2229" s="90">
        <f t="shared" si="395"/>
        <v>262.54500000000002</v>
      </c>
      <c r="L2229" s="131">
        <v>300</v>
      </c>
      <c r="M2229" s="158">
        <v>38.520000000000003</v>
      </c>
      <c r="N2229" s="91">
        <f t="shared" si="392"/>
        <v>188.52</v>
      </c>
      <c r="O2229" s="411">
        <f t="shared" si="390"/>
        <v>74.025000000000006</v>
      </c>
      <c r="P2229" s="132" t="s">
        <v>86</v>
      </c>
      <c r="Q2229" s="232"/>
      <c r="R2229" s="411"/>
      <c r="T2229" s="134" t="s">
        <v>145</v>
      </c>
      <c r="U2229" s="267" t="s">
        <v>5209</v>
      </c>
      <c r="AA2229" s="218"/>
    </row>
    <row r="2230" spans="1:27" ht="24" x14ac:dyDescent="0.25">
      <c r="A2230" s="405">
        <v>3001690</v>
      </c>
      <c r="B2230" s="406">
        <v>42472</v>
      </c>
      <c r="C2230" s="405" t="s">
        <v>42</v>
      </c>
      <c r="D2230" s="401" t="s">
        <v>5210</v>
      </c>
      <c r="E2230" s="120">
        <v>100</v>
      </c>
      <c r="F2230" s="133" t="s">
        <v>288</v>
      </c>
      <c r="G2230" s="404" t="s">
        <v>45</v>
      </c>
      <c r="H2230" s="411">
        <v>187.16</v>
      </c>
      <c r="I2230" s="89">
        <f t="shared" si="396"/>
        <v>-16.8444</v>
      </c>
      <c r="J2230" s="391">
        <f t="shared" si="397"/>
        <v>-3.8560399999999997</v>
      </c>
      <c r="K2230" s="90">
        <f t="shared" si="395"/>
        <v>166.45955999999998</v>
      </c>
      <c r="L2230" s="131">
        <v>950</v>
      </c>
      <c r="M2230" s="158">
        <v>19.2</v>
      </c>
      <c r="N2230" s="91">
        <f t="shared" si="392"/>
        <v>114.2</v>
      </c>
      <c r="O2230" s="411">
        <f t="shared" si="390"/>
        <v>52.259559999999979</v>
      </c>
      <c r="P2230" s="132" t="s">
        <v>52</v>
      </c>
      <c r="Q2230" s="232"/>
      <c r="R2230" s="411"/>
      <c r="T2230" s="134" t="s">
        <v>145</v>
      </c>
      <c r="U2230" s="267" t="s">
        <v>5211</v>
      </c>
      <c r="AA2230" s="218"/>
    </row>
    <row r="2231" spans="1:27" x14ac:dyDescent="0.25">
      <c r="A2231" s="405">
        <v>3001691</v>
      </c>
      <c r="B2231" s="406">
        <v>42472</v>
      </c>
      <c r="C2231" s="405" t="s">
        <v>42</v>
      </c>
      <c r="D2231" s="401" t="s">
        <v>5212</v>
      </c>
      <c r="E2231" s="120">
        <v>600</v>
      </c>
      <c r="F2231" s="133" t="s">
        <v>51</v>
      </c>
      <c r="G2231" s="404" t="s">
        <v>45</v>
      </c>
      <c r="H2231" s="411">
        <v>1200</v>
      </c>
      <c r="I2231" s="89">
        <f t="shared" si="396"/>
        <v>-108</v>
      </c>
      <c r="J2231" s="391">
        <f t="shared" si="397"/>
        <v>-23.1</v>
      </c>
      <c r="K2231" s="90">
        <f t="shared" si="395"/>
        <v>1068.9000000000001</v>
      </c>
      <c r="L2231" s="131">
        <v>1015</v>
      </c>
      <c r="M2231" s="131">
        <v>190</v>
      </c>
      <c r="N2231" s="91">
        <f t="shared" si="392"/>
        <v>799</v>
      </c>
      <c r="O2231" s="411">
        <f t="shared" si="390"/>
        <v>269.90000000000009</v>
      </c>
      <c r="P2231" s="132" t="s">
        <v>52</v>
      </c>
      <c r="Q2231" s="232"/>
      <c r="R2231" s="411"/>
      <c r="T2231" s="134" t="s">
        <v>97</v>
      </c>
      <c r="U2231" s="267" t="s">
        <v>5213</v>
      </c>
      <c r="V2231" s="133" t="s">
        <v>55</v>
      </c>
      <c r="AA2231" s="218"/>
    </row>
    <row r="2232" spans="1:27" ht="24" x14ac:dyDescent="0.25">
      <c r="A2232" s="405">
        <v>3001692</v>
      </c>
      <c r="B2232" s="406">
        <v>42472</v>
      </c>
      <c r="C2232" s="405" t="s">
        <v>42</v>
      </c>
      <c r="D2232" s="401" t="s">
        <v>5214</v>
      </c>
      <c r="E2232" s="120">
        <v>100</v>
      </c>
      <c r="F2232" s="133" t="s">
        <v>114</v>
      </c>
      <c r="G2232" s="404" t="s">
        <v>45</v>
      </c>
      <c r="H2232" s="411">
        <v>366.51</v>
      </c>
      <c r="I2232" s="89">
        <f t="shared" si="396"/>
        <v>-32.985900000000001</v>
      </c>
      <c r="J2232" s="391">
        <f t="shared" si="397"/>
        <v>-7.2636899999999995</v>
      </c>
      <c r="K2232" s="90">
        <f t="shared" si="395"/>
        <v>326.26040999999998</v>
      </c>
      <c r="M2232" s="158">
        <v>48.05</v>
      </c>
      <c r="N2232" s="91">
        <f t="shared" si="392"/>
        <v>48.05</v>
      </c>
      <c r="O2232" s="411">
        <f t="shared" si="390"/>
        <v>278.21040999999997</v>
      </c>
      <c r="P2232" s="132" t="s">
        <v>52</v>
      </c>
      <c r="Q2232" s="232"/>
      <c r="R2232" s="411"/>
      <c r="T2232" s="134" t="s">
        <v>145</v>
      </c>
      <c r="U2232" s="267" t="s">
        <v>5215</v>
      </c>
      <c r="AA2232" s="218"/>
    </row>
    <row r="2233" spans="1:27" ht="24" x14ac:dyDescent="0.25">
      <c r="A2233" s="405">
        <v>3001693</v>
      </c>
      <c r="B2233" s="406">
        <v>42472</v>
      </c>
      <c r="C2233" s="405" t="s">
        <v>42</v>
      </c>
      <c r="D2233" s="401" t="s">
        <v>5216</v>
      </c>
      <c r="E2233" s="120">
        <v>50</v>
      </c>
      <c r="F2233" s="133" t="s">
        <v>5217</v>
      </c>
      <c r="G2233" s="404" t="s">
        <v>45</v>
      </c>
      <c r="H2233" s="411">
        <v>98.56</v>
      </c>
      <c r="I2233" s="89">
        <f t="shared" si="396"/>
        <v>-8.8704000000000001</v>
      </c>
      <c r="J2233" s="391">
        <f t="shared" si="397"/>
        <v>-2.1726399999999999</v>
      </c>
      <c r="K2233" s="90">
        <f t="shared" si="395"/>
        <v>87.516959999999997</v>
      </c>
      <c r="M2233" s="187">
        <v>22.69</v>
      </c>
      <c r="N2233" s="91">
        <f t="shared" si="392"/>
        <v>22.69</v>
      </c>
      <c r="O2233" s="411">
        <f t="shared" si="390"/>
        <v>64.82696</v>
      </c>
      <c r="P2233" s="132" t="s">
        <v>52</v>
      </c>
      <c r="Q2233" s="232"/>
      <c r="R2233" s="411"/>
      <c r="T2233" s="134" t="s">
        <v>145</v>
      </c>
      <c r="U2233" s="267" t="s">
        <v>5218</v>
      </c>
      <c r="AA2233" s="218"/>
    </row>
    <row r="2234" spans="1:27" ht="36" x14ac:dyDescent="0.25">
      <c r="A2234" s="405">
        <v>3001694</v>
      </c>
      <c r="B2234" s="406">
        <v>42472</v>
      </c>
      <c r="C2234" s="405" t="s">
        <v>42</v>
      </c>
      <c r="D2234" s="401" t="s">
        <v>5219</v>
      </c>
      <c r="E2234" s="120">
        <v>500</v>
      </c>
      <c r="F2234" s="133" t="s">
        <v>5220</v>
      </c>
      <c r="G2234" s="404" t="s">
        <v>45</v>
      </c>
      <c r="H2234" s="411">
        <v>253.42</v>
      </c>
      <c r="I2234" s="89">
        <f t="shared" si="396"/>
        <v>-22.807799999999997</v>
      </c>
      <c r="J2234" s="391">
        <f t="shared" si="397"/>
        <v>-5.1149799999999992</v>
      </c>
      <c r="K2234" s="90">
        <f t="shared" si="395"/>
        <v>225.49722</v>
      </c>
      <c r="L2234" s="187">
        <v>291</v>
      </c>
      <c r="M2234" s="187">
        <v>31.74</v>
      </c>
      <c r="N2234" s="91">
        <f t="shared" si="392"/>
        <v>177.24</v>
      </c>
      <c r="O2234" s="411">
        <f t="shared" si="390"/>
        <v>48.25721999999999</v>
      </c>
      <c r="P2234" s="132" t="s">
        <v>183</v>
      </c>
      <c r="Q2234" s="232"/>
      <c r="R2234" s="411"/>
      <c r="T2234" s="134" t="s">
        <v>324</v>
      </c>
      <c r="U2234" s="266" t="s">
        <v>5221</v>
      </c>
      <c r="AA2234" s="218"/>
    </row>
    <row r="2235" spans="1:27" x14ac:dyDescent="0.25">
      <c r="A2235" s="419">
        <v>3001695</v>
      </c>
      <c r="B2235" s="421">
        <v>42472</v>
      </c>
      <c r="C2235" s="419" t="s">
        <v>63</v>
      </c>
      <c r="D2235" s="417" t="s">
        <v>2470</v>
      </c>
      <c r="E2235" s="120">
        <v>1000</v>
      </c>
      <c r="F2235" s="133" t="s">
        <v>451</v>
      </c>
      <c r="G2235" s="434" t="s">
        <v>45</v>
      </c>
      <c r="H2235" s="427">
        <v>2250</v>
      </c>
      <c r="I2235" s="427">
        <v>0</v>
      </c>
      <c r="J2235" s="425">
        <f>-((H2235*0.022)+0.3)</f>
        <v>-49.8</v>
      </c>
      <c r="K2235" s="425">
        <f t="shared" si="395"/>
        <v>2200.1999999999998</v>
      </c>
      <c r="L2235" s="131">
        <v>300</v>
      </c>
      <c r="M2235" s="468">
        <v>103.8</v>
      </c>
      <c r="N2235" s="91">
        <f t="shared" si="392"/>
        <v>403.8</v>
      </c>
      <c r="O2235" s="411">
        <f t="shared" si="390"/>
        <v>1796.3999999999999</v>
      </c>
      <c r="P2235" s="132" t="s">
        <v>52</v>
      </c>
      <c r="Q2235" s="232"/>
      <c r="R2235" s="411"/>
      <c r="T2235" s="470" t="s">
        <v>244</v>
      </c>
      <c r="U2235" s="446" t="s">
        <v>5222</v>
      </c>
      <c r="V2235" s="133" t="s">
        <v>55</v>
      </c>
      <c r="W2235" s="153" t="s">
        <v>5223</v>
      </c>
      <c r="AA2235" s="218"/>
    </row>
    <row r="2236" spans="1:27" x14ac:dyDescent="0.25">
      <c r="A2236" s="432"/>
      <c r="B2236" s="433"/>
      <c r="C2236" s="432"/>
      <c r="D2236" s="454"/>
      <c r="E2236" s="120">
        <v>1000</v>
      </c>
      <c r="F2236" s="133" t="s">
        <v>1707</v>
      </c>
      <c r="G2236" s="435"/>
      <c r="H2236" s="438"/>
      <c r="I2236" s="438"/>
      <c r="J2236" s="437"/>
      <c r="K2236" s="437"/>
      <c r="L2236" s="131">
        <v>400</v>
      </c>
      <c r="M2236" s="491"/>
      <c r="N2236" s="91">
        <f t="shared" si="392"/>
        <v>400</v>
      </c>
      <c r="O2236" s="411">
        <f t="shared" si="390"/>
        <v>-400</v>
      </c>
      <c r="P2236" s="132" t="s">
        <v>52</v>
      </c>
      <c r="Q2236" s="232"/>
      <c r="R2236" s="411"/>
      <c r="T2236" s="471"/>
      <c r="U2236" s="448"/>
      <c r="AA2236" s="218"/>
    </row>
    <row r="2237" spans="1:27" x14ac:dyDescent="0.25">
      <c r="A2237" s="432"/>
      <c r="B2237" s="433"/>
      <c r="C2237" s="432"/>
      <c r="D2237" s="454"/>
      <c r="E2237" s="120">
        <v>500</v>
      </c>
      <c r="F2237" s="133" t="s">
        <v>593</v>
      </c>
      <c r="G2237" s="435"/>
      <c r="H2237" s="438"/>
      <c r="I2237" s="438"/>
      <c r="J2237" s="437"/>
      <c r="K2237" s="437"/>
      <c r="L2237" s="131">
        <v>660</v>
      </c>
      <c r="M2237" s="491"/>
      <c r="N2237" s="91">
        <f t="shared" si="392"/>
        <v>330</v>
      </c>
      <c r="O2237" s="411">
        <f t="shared" si="390"/>
        <v>-330</v>
      </c>
      <c r="P2237" s="132" t="s">
        <v>52</v>
      </c>
      <c r="Q2237" s="232"/>
      <c r="R2237" s="411"/>
      <c r="T2237" s="471"/>
      <c r="U2237" s="448"/>
      <c r="AA2237" s="218"/>
    </row>
    <row r="2238" spans="1:27" x14ac:dyDescent="0.25">
      <c r="A2238" s="420"/>
      <c r="B2238" s="422"/>
      <c r="C2238" s="420"/>
      <c r="D2238" s="418"/>
      <c r="E2238" s="120">
        <v>1000</v>
      </c>
      <c r="F2238" s="133" t="s">
        <v>5224</v>
      </c>
      <c r="G2238" s="436"/>
      <c r="H2238" s="428"/>
      <c r="I2238" s="428"/>
      <c r="J2238" s="426"/>
      <c r="K2238" s="426"/>
      <c r="L2238" s="131">
        <v>150</v>
      </c>
      <c r="M2238" s="469"/>
      <c r="N2238" s="91">
        <f t="shared" si="392"/>
        <v>150</v>
      </c>
      <c r="O2238" s="411">
        <f t="shared" si="390"/>
        <v>-150</v>
      </c>
      <c r="P2238" s="132" t="s">
        <v>52</v>
      </c>
      <c r="Q2238" s="232"/>
      <c r="R2238" s="411"/>
      <c r="T2238" s="472"/>
      <c r="U2238" s="447"/>
      <c r="AA2238" s="218"/>
    </row>
    <row r="2239" spans="1:27" ht="20.25" customHeight="1" x14ac:dyDescent="0.25">
      <c r="A2239" s="419">
        <v>3001696</v>
      </c>
      <c r="B2239" s="421">
        <v>42472</v>
      </c>
      <c r="C2239" s="419" t="s">
        <v>56</v>
      </c>
      <c r="D2239" s="417" t="s">
        <v>5225</v>
      </c>
      <c r="E2239" s="120">
        <v>57500</v>
      </c>
      <c r="F2239" s="133" t="s">
        <v>5226</v>
      </c>
      <c r="G2239" s="434" t="s">
        <v>45</v>
      </c>
      <c r="H2239" s="427">
        <v>9250</v>
      </c>
      <c r="I2239" s="427">
        <v>0</v>
      </c>
      <c r="J2239" s="427">
        <v>0</v>
      </c>
      <c r="K2239" s="425">
        <f t="shared" ref="K2239" si="398">SUM(H2239:J2239)</f>
        <v>9250</v>
      </c>
      <c r="L2239" s="187">
        <v>60</v>
      </c>
      <c r="M2239" s="510">
        <v>569.71</v>
      </c>
      <c r="N2239" s="91">
        <f t="shared" si="392"/>
        <v>4019.71</v>
      </c>
      <c r="O2239" s="411">
        <f t="shared" si="390"/>
        <v>5230.29</v>
      </c>
      <c r="P2239" s="132" t="s">
        <v>5227</v>
      </c>
      <c r="Q2239" s="232"/>
      <c r="R2239" s="411"/>
      <c r="T2239" s="470" t="s">
        <v>1209</v>
      </c>
      <c r="U2239" s="446" t="s">
        <v>5228</v>
      </c>
      <c r="V2239" s="133" t="s">
        <v>5229</v>
      </c>
      <c r="W2239" s="153" t="s">
        <v>5230</v>
      </c>
      <c r="AA2239" s="218"/>
    </row>
    <row r="2240" spans="1:27" x14ac:dyDescent="0.25">
      <c r="A2240" s="420"/>
      <c r="B2240" s="422"/>
      <c r="C2240" s="420"/>
      <c r="D2240" s="418"/>
      <c r="E2240" s="120">
        <v>35000</v>
      </c>
      <c r="F2240" s="133" t="s">
        <v>5231</v>
      </c>
      <c r="G2240" s="436"/>
      <c r="H2240" s="428"/>
      <c r="I2240" s="428"/>
      <c r="J2240" s="428"/>
      <c r="K2240" s="426"/>
      <c r="L2240" s="187">
        <v>60</v>
      </c>
      <c r="M2240" s="512"/>
      <c r="N2240" s="91">
        <f t="shared" si="392"/>
        <v>2100</v>
      </c>
      <c r="O2240" s="411">
        <f t="shared" si="390"/>
        <v>-2100</v>
      </c>
      <c r="P2240" s="132" t="s">
        <v>5227</v>
      </c>
      <c r="Q2240" s="232"/>
      <c r="R2240" s="411"/>
      <c r="T2240" s="472"/>
      <c r="U2240" s="447"/>
      <c r="AA2240" s="218"/>
    </row>
    <row r="2241" spans="1:27" ht="24" x14ac:dyDescent="0.25">
      <c r="A2241" s="405">
        <v>3001697</v>
      </c>
      <c r="B2241" s="406">
        <v>42472</v>
      </c>
      <c r="C2241" s="405" t="s">
        <v>63</v>
      </c>
      <c r="D2241" s="401" t="s">
        <v>5232</v>
      </c>
      <c r="E2241" s="120">
        <v>500</v>
      </c>
      <c r="F2241" s="133" t="s">
        <v>1707</v>
      </c>
      <c r="G2241" s="404" t="s">
        <v>45</v>
      </c>
      <c r="H2241" s="411">
        <v>470</v>
      </c>
      <c r="I2241" s="411">
        <v>0</v>
      </c>
      <c r="J2241" s="391">
        <f>-((H2241*0.022)+0.3)</f>
        <v>-10.64</v>
      </c>
      <c r="K2241" s="90">
        <f t="shared" ref="K2241:K2245" si="399">SUM(H2241:J2241)</f>
        <v>459.36</v>
      </c>
      <c r="L2241" s="187">
        <v>20.39</v>
      </c>
      <c r="M2241" s="187">
        <v>31.64</v>
      </c>
      <c r="N2241" s="91">
        <f t="shared" si="392"/>
        <v>41.835000000000001</v>
      </c>
      <c r="O2241" s="411">
        <f t="shared" si="390"/>
        <v>417.52500000000003</v>
      </c>
      <c r="P2241" s="132" t="s">
        <v>52</v>
      </c>
      <c r="Q2241" s="232"/>
      <c r="R2241" s="411"/>
      <c r="T2241" s="134" t="s">
        <v>145</v>
      </c>
      <c r="U2241" s="267" t="s">
        <v>5233</v>
      </c>
      <c r="W2241" s="153" t="s">
        <v>5234</v>
      </c>
      <c r="AA2241" s="218"/>
    </row>
    <row r="2242" spans="1:27" ht="24" x14ac:dyDescent="0.25">
      <c r="A2242" s="405">
        <v>3001698</v>
      </c>
      <c r="B2242" s="406">
        <v>42472</v>
      </c>
      <c r="C2242" s="405" t="s">
        <v>237</v>
      </c>
      <c r="D2242" s="401" t="s">
        <v>5235</v>
      </c>
      <c r="E2242" s="120">
        <v>50</v>
      </c>
      <c r="F2242" s="133" t="s">
        <v>431</v>
      </c>
      <c r="G2242" s="404" t="s">
        <v>45</v>
      </c>
      <c r="H2242" s="411">
        <v>123.26</v>
      </c>
      <c r="I2242" s="397">
        <f>-(H2242*0.15)</f>
        <v>-18.489000000000001</v>
      </c>
      <c r="J2242" s="411">
        <v>0</v>
      </c>
      <c r="K2242" s="90">
        <f t="shared" si="399"/>
        <v>104.771</v>
      </c>
      <c r="L2242" s="131">
        <v>990</v>
      </c>
      <c r="M2242" s="187">
        <v>44.53</v>
      </c>
      <c r="N2242" s="91">
        <f t="shared" si="392"/>
        <v>94.03</v>
      </c>
      <c r="O2242" s="411">
        <f t="shared" si="390"/>
        <v>10.741</v>
      </c>
      <c r="P2242" s="132" t="s">
        <v>52</v>
      </c>
      <c r="Q2242" s="232"/>
      <c r="R2242" s="411"/>
      <c r="T2242" s="134" t="s">
        <v>145</v>
      </c>
      <c r="U2242" s="267" t="s">
        <v>5236</v>
      </c>
      <c r="AA2242" s="218"/>
    </row>
    <row r="2243" spans="1:27" ht="24" x14ac:dyDescent="0.25">
      <c r="A2243" s="405">
        <v>3001699</v>
      </c>
      <c r="B2243" s="406">
        <v>42472</v>
      </c>
      <c r="C2243" s="405" t="s">
        <v>237</v>
      </c>
      <c r="D2243" s="401" t="s">
        <v>5237</v>
      </c>
      <c r="E2243" s="120">
        <v>100</v>
      </c>
      <c r="F2243" s="133" t="s">
        <v>451</v>
      </c>
      <c r="G2243" s="404" t="s">
        <v>45</v>
      </c>
      <c r="H2243" s="411">
        <v>104.71</v>
      </c>
      <c r="I2243" s="397">
        <f>-(H2243*0.15)</f>
        <v>-15.706499999999998</v>
      </c>
      <c r="J2243" s="411">
        <v>0</v>
      </c>
      <c r="K2243" s="90">
        <f t="shared" si="399"/>
        <v>89.003500000000003</v>
      </c>
      <c r="L2243" s="131">
        <v>300</v>
      </c>
      <c r="M2243" s="187">
        <v>34.44</v>
      </c>
      <c r="N2243" s="91">
        <f t="shared" si="392"/>
        <v>64.44</v>
      </c>
      <c r="O2243" s="411">
        <f t="shared" si="390"/>
        <v>24.563500000000005</v>
      </c>
      <c r="P2243" s="132" t="s">
        <v>52</v>
      </c>
      <c r="Q2243" s="232"/>
      <c r="R2243" s="411"/>
      <c r="T2243" s="134" t="s">
        <v>145</v>
      </c>
      <c r="U2243" s="267" t="s">
        <v>5238</v>
      </c>
      <c r="AA2243" s="218"/>
    </row>
    <row r="2244" spans="1:27" ht="24" x14ac:dyDescent="0.25">
      <c r="A2244" s="405">
        <v>3001700</v>
      </c>
      <c r="B2244" s="406">
        <v>42472</v>
      </c>
      <c r="C2244" s="405" t="s">
        <v>42</v>
      </c>
      <c r="D2244" s="401" t="s">
        <v>5239</v>
      </c>
      <c r="E2244" s="120">
        <v>30</v>
      </c>
      <c r="F2244" s="133" t="s">
        <v>5240</v>
      </c>
      <c r="G2244" s="404" t="s">
        <v>45</v>
      </c>
      <c r="H2244" s="411">
        <v>227</v>
      </c>
      <c r="I2244" s="89">
        <f t="shared" ref="I2244" si="400">-(H2244*0.09)</f>
        <v>-20.43</v>
      </c>
      <c r="J2244" s="391">
        <f t="shared" ref="J2244" si="401">-((H2244*0.019)+0.3)</f>
        <v>-4.6129999999999995</v>
      </c>
      <c r="K2244" s="90">
        <f t="shared" si="399"/>
        <v>201.95699999999999</v>
      </c>
      <c r="L2244" s="131">
        <v>3700</v>
      </c>
      <c r="M2244" s="187">
        <v>13.51</v>
      </c>
      <c r="N2244" s="91">
        <f t="shared" si="392"/>
        <v>124.51</v>
      </c>
      <c r="O2244" s="411">
        <f t="shared" si="390"/>
        <v>77.446999999999989</v>
      </c>
      <c r="P2244" s="132" t="s">
        <v>52</v>
      </c>
      <c r="Q2244" s="232"/>
      <c r="R2244" s="411"/>
      <c r="T2244" s="134" t="s">
        <v>145</v>
      </c>
      <c r="U2244" s="267" t="s">
        <v>5241</v>
      </c>
      <c r="AA2244" s="218"/>
    </row>
    <row r="2245" spans="1:27" ht="24" x14ac:dyDescent="0.25">
      <c r="A2245" s="419">
        <v>3001701</v>
      </c>
      <c r="B2245" s="421">
        <v>42472</v>
      </c>
      <c r="C2245" s="419" t="s">
        <v>141</v>
      </c>
      <c r="D2245" s="417" t="s">
        <v>5242</v>
      </c>
      <c r="E2245" s="120">
        <v>150</v>
      </c>
      <c r="F2245" s="133" t="s">
        <v>5243</v>
      </c>
      <c r="G2245" s="434" t="s">
        <v>45</v>
      </c>
      <c r="H2245" s="427">
        <v>7717.5</v>
      </c>
      <c r="I2245" s="516">
        <v>0</v>
      </c>
      <c r="J2245" s="425">
        <f>-((H2245*0.0325)+0.3)</f>
        <v>-251.11875000000003</v>
      </c>
      <c r="K2245" s="523">
        <f t="shared" si="399"/>
        <v>7466.3812500000004</v>
      </c>
      <c r="L2245" s="187">
        <v>4790</v>
      </c>
      <c r="M2245" s="158">
        <v>26.24</v>
      </c>
      <c r="N2245" s="91">
        <f t="shared" si="392"/>
        <v>744.74</v>
      </c>
      <c r="O2245" s="411">
        <f t="shared" si="390"/>
        <v>6721.6412500000006</v>
      </c>
      <c r="P2245" s="132" t="s">
        <v>313</v>
      </c>
      <c r="Q2245" s="232"/>
      <c r="R2245" s="411"/>
      <c r="T2245" s="134" t="s">
        <v>145</v>
      </c>
      <c r="U2245" s="267" t="s">
        <v>5244</v>
      </c>
      <c r="W2245" s="153" t="s">
        <v>5245</v>
      </c>
      <c r="AA2245" s="218"/>
    </row>
    <row r="2246" spans="1:27" x14ac:dyDescent="0.25">
      <c r="A2246" s="432"/>
      <c r="B2246" s="433"/>
      <c r="C2246" s="432"/>
      <c r="D2246" s="454"/>
      <c r="E2246" s="120">
        <v>775</v>
      </c>
      <c r="F2246" s="133" t="s">
        <v>5246</v>
      </c>
      <c r="G2246" s="435"/>
      <c r="H2246" s="438"/>
      <c r="I2246" s="517"/>
      <c r="J2246" s="437"/>
      <c r="K2246" s="534"/>
      <c r="L2246" s="131">
        <v>4690</v>
      </c>
      <c r="M2246" s="468">
        <v>146.61000000000001</v>
      </c>
      <c r="N2246" s="91">
        <f t="shared" si="392"/>
        <v>3781.36</v>
      </c>
      <c r="O2246" s="411">
        <f t="shared" si="390"/>
        <v>-3781.36</v>
      </c>
      <c r="P2246" s="132" t="s">
        <v>5247</v>
      </c>
      <c r="Q2246" s="232"/>
      <c r="R2246" s="411"/>
      <c r="T2246" s="439" t="s">
        <v>97</v>
      </c>
      <c r="U2246" s="446" t="s">
        <v>5248</v>
      </c>
      <c r="V2246" s="133" t="s">
        <v>5249</v>
      </c>
      <c r="AA2246" s="218"/>
    </row>
    <row r="2247" spans="1:27" x14ac:dyDescent="0.25">
      <c r="A2247" s="420"/>
      <c r="B2247" s="422"/>
      <c r="C2247" s="420"/>
      <c r="D2247" s="418"/>
      <c r="E2247" s="120">
        <v>300</v>
      </c>
      <c r="F2247" s="133" t="s">
        <v>5250</v>
      </c>
      <c r="G2247" s="436"/>
      <c r="H2247" s="428"/>
      <c r="I2247" s="518"/>
      <c r="J2247" s="426"/>
      <c r="K2247" s="524"/>
      <c r="L2247" s="131">
        <v>1730</v>
      </c>
      <c r="M2247" s="469"/>
      <c r="N2247" s="91">
        <f t="shared" si="392"/>
        <v>519</v>
      </c>
      <c r="O2247" s="411">
        <f t="shared" si="390"/>
        <v>-519</v>
      </c>
      <c r="P2247" s="132" t="s">
        <v>5247</v>
      </c>
      <c r="Q2247" s="232"/>
      <c r="R2247" s="411"/>
      <c r="T2247" s="441"/>
      <c r="U2247" s="447"/>
      <c r="V2247" s="133" t="s">
        <v>55</v>
      </c>
      <c r="AA2247" s="218"/>
    </row>
    <row r="2248" spans="1:27" ht="36" x14ac:dyDescent="0.25">
      <c r="A2248" s="405">
        <v>3001702</v>
      </c>
      <c r="B2248" s="406">
        <v>42473</v>
      </c>
      <c r="C2248" s="405" t="s">
        <v>63</v>
      </c>
      <c r="D2248" s="401" t="s">
        <v>5251</v>
      </c>
      <c r="E2248" s="120">
        <v>100</v>
      </c>
      <c r="F2248" s="133" t="s">
        <v>4341</v>
      </c>
      <c r="G2248" s="404" t="s">
        <v>45</v>
      </c>
      <c r="H2248" s="411">
        <v>1355</v>
      </c>
      <c r="I2248" s="411">
        <v>0</v>
      </c>
      <c r="J2248" s="391">
        <f>-((H2248*0.022)+0.3)</f>
        <v>-30.11</v>
      </c>
      <c r="K2248" s="90">
        <f t="shared" ref="K2248:K2262" si="402">SUM(H2248:J2248)</f>
        <v>1324.89</v>
      </c>
      <c r="L2248" s="187">
        <v>6810</v>
      </c>
      <c r="M2248" s="187">
        <v>115.88</v>
      </c>
      <c r="N2248" s="91">
        <f t="shared" si="392"/>
        <v>796.88</v>
      </c>
      <c r="O2248" s="411">
        <f t="shared" si="390"/>
        <v>528.0100000000001</v>
      </c>
      <c r="P2248" s="132" t="s">
        <v>59</v>
      </c>
      <c r="Q2248" s="232"/>
      <c r="R2248" s="411"/>
      <c r="T2248" s="134" t="s">
        <v>60</v>
      </c>
      <c r="U2248" s="267" t="s">
        <v>5252</v>
      </c>
      <c r="W2248" s="153" t="s">
        <v>5253</v>
      </c>
      <c r="AA2248" s="218"/>
    </row>
    <row r="2249" spans="1:27" ht="24" x14ac:dyDescent="0.25">
      <c r="A2249" s="405">
        <v>3001703</v>
      </c>
      <c r="B2249" s="406">
        <v>42473</v>
      </c>
      <c r="C2249" s="405" t="s">
        <v>78</v>
      </c>
      <c r="D2249" s="401" t="s">
        <v>5254</v>
      </c>
      <c r="E2249" s="120">
        <v>350</v>
      </c>
      <c r="F2249" s="133" t="s">
        <v>2491</v>
      </c>
      <c r="G2249" s="404" t="s">
        <v>45</v>
      </c>
      <c r="H2249" s="411">
        <v>448</v>
      </c>
      <c r="I2249" s="411">
        <v>0</v>
      </c>
      <c r="J2249" s="391">
        <f t="shared" ref="J2249:J2257" si="403">-((H2249*0.019)+0.3)</f>
        <v>-8.8120000000000012</v>
      </c>
      <c r="K2249" s="90">
        <f t="shared" si="402"/>
        <v>439.18799999999999</v>
      </c>
      <c r="L2249" s="187">
        <v>580</v>
      </c>
      <c r="M2249" s="187">
        <v>36.75</v>
      </c>
      <c r="N2249" s="91">
        <f t="shared" si="392"/>
        <v>239.75000000000003</v>
      </c>
      <c r="O2249" s="411">
        <f t="shared" si="390"/>
        <v>199.43799999999996</v>
      </c>
      <c r="P2249" s="132" t="s">
        <v>235</v>
      </c>
      <c r="Q2249" s="232"/>
      <c r="R2249" s="411"/>
      <c r="T2249" s="134" t="s">
        <v>145</v>
      </c>
      <c r="U2249" s="267" t="s">
        <v>5255</v>
      </c>
      <c r="W2249" s="153" t="s">
        <v>5256</v>
      </c>
      <c r="AA2249" s="218"/>
    </row>
    <row r="2250" spans="1:27" x14ac:dyDescent="0.25">
      <c r="A2250" s="405">
        <v>3001704</v>
      </c>
      <c r="B2250" s="406">
        <v>42473</v>
      </c>
      <c r="C2250" s="405" t="s">
        <v>42</v>
      </c>
      <c r="D2250" s="401" t="s">
        <v>5257</v>
      </c>
      <c r="E2250" s="120">
        <v>600</v>
      </c>
      <c r="F2250" s="133" t="s">
        <v>247</v>
      </c>
      <c r="G2250" s="404" t="s">
        <v>45</v>
      </c>
      <c r="H2250" s="411">
        <v>650</v>
      </c>
      <c r="I2250" s="89">
        <f t="shared" ref="I2250:I2257" si="404">-(H2250*0.09)</f>
        <v>-58.5</v>
      </c>
      <c r="J2250" s="391">
        <f t="shared" si="403"/>
        <v>-12.65</v>
      </c>
      <c r="K2250" s="90">
        <f t="shared" si="402"/>
        <v>578.85</v>
      </c>
      <c r="M2250" s="187">
        <v>185.56</v>
      </c>
      <c r="N2250" s="91">
        <f t="shared" si="392"/>
        <v>185.56</v>
      </c>
      <c r="O2250" s="411">
        <f t="shared" si="390"/>
        <v>393.29</v>
      </c>
      <c r="P2250" s="132" t="s">
        <v>52</v>
      </c>
      <c r="Q2250" s="232"/>
      <c r="R2250" s="411"/>
      <c r="T2250" s="134" t="s">
        <v>244</v>
      </c>
      <c r="U2250" s="267" t="s">
        <v>5258</v>
      </c>
      <c r="V2250" s="133" t="s">
        <v>55</v>
      </c>
      <c r="AA2250" s="218"/>
    </row>
    <row r="2251" spans="1:27" ht="24" x14ac:dyDescent="0.25">
      <c r="A2251" s="405">
        <v>3001705</v>
      </c>
      <c r="B2251" s="406">
        <v>42473</v>
      </c>
      <c r="C2251" s="405" t="s">
        <v>42</v>
      </c>
      <c r="D2251" s="401" t="s">
        <v>5259</v>
      </c>
      <c r="E2251" s="120">
        <v>215</v>
      </c>
      <c r="F2251" s="133" t="s">
        <v>247</v>
      </c>
      <c r="G2251" s="404" t="s">
        <v>45</v>
      </c>
      <c r="H2251" s="411">
        <v>232.2</v>
      </c>
      <c r="I2251" s="89">
        <f t="shared" si="404"/>
        <v>-20.898</v>
      </c>
      <c r="J2251" s="391">
        <f t="shared" si="403"/>
        <v>-4.7117999999999993</v>
      </c>
      <c r="K2251" s="90">
        <f t="shared" si="402"/>
        <v>206.59019999999998</v>
      </c>
      <c r="L2251" s="131">
        <v>610</v>
      </c>
      <c r="M2251" s="187">
        <v>42.24</v>
      </c>
      <c r="N2251" s="91">
        <f t="shared" si="392"/>
        <v>173.39000000000001</v>
      </c>
      <c r="O2251" s="411">
        <f t="shared" si="390"/>
        <v>33.200199999999967</v>
      </c>
      <c r="P2251" s="132" t="s">
        <v>86</v>
      </c>
      <c r="Q2251" s="232"/>
      <c r="R2251" s="411"/>
      <c r="T2251" s="134" t="s">
        <v>145</v>
      </c>
      <c r="U2251" s="267" t="s">
        <v>5260</v>
      </c>
      <c r="AA2251" s="218"/>
    </row>
    <row r="2252" spans="1:27" ht="24" x14ac:dyDescent="0.25">
      <c r="A2252" s="405">
        <v>3001706</v>
      </c>
      <c r="B2252" s="406">
        <v>42473</v>
      </c>
      <c r="C2252" s="405" t="s">
        <v>42</v>
      </c>
      <c r="D2252" s="401" t="s">
        <v>5261</v>
      </c>
      <c r="E2252" s="120">
        <v>55</v>
      </c>
      <c r="F2252" s="133" t="s">
        <v>1547</v>
      </c>
      <c r="G2252" s="404" t="s">
        <v>45</v>
      </c>
      <c r="H2252" s="411">
        <v>56.65</v>
      </c>
      <c r="I2252" s="89">
        <f t="shared" si="404"/>
        <v>-5.0984999999999996</v>
      </c>
      <c r="J2252" s="391">
        <f t="shared" si="403"/>
        <v>-1.37635</v>
      </c>
      <c r="K2252" s="90">
        <f t="shared" si="402"/>
        <v>50.175149999999995</v>
      </c>
      <c r="L2252" s="131">
        <v>385</v>
      </c>
      <c r="M2252" s="187">
        <v>36.99</v>
      </c>
      <c r="N2252" s="91">
        <f t="shared" si="392"/>
        <v>58.165000000000006</v>
      </c>
      <c r="O2252" s="411">
        <f t="shared" ref="O2252:O2315" si="405">K2252-N2252</f>
        <v>-7.9898500000000112</v>
      </c>
      <c r="P2252" s="132" t="s">
        <v>52</v>
      </c>
      <c r="Q2252" s="232"/>
      <c r="R2252" s="411"/>
      <c r="T2252" s="134" t="s">
        <v>145</v>
      </c>
      <c r="U2252" s="267" t="s">
        <v>5262</v>
      </c>
      <c r="AA2252" s="218"/>
    </row>
    <row r="2253" spans="1:27" ht="24" x14ac:dyDescent="0.25">
      <c r="A2253" s="405">
        <v>3001707</v>
      </c>
      <c r="B2253" s="406">
        <v>42473</v>
      </c>
      <c r="C2253" s="405" t="s">
        <v>42</v>
      </c>
      <c r="D2253" s="401" t="s">
        <v>5263</v>
      </c>
      <c r="E2253" s="120">
        <v>100</v>
      </c>
      <c r="F2253" s="133" t="s">
        <v>5264</v>
      </c>
      <c r="G2253" s="404" t="s">
        <v>45</v>
      </c>
      <c r="H2253" s="411">
        <v>250</v>
      </c>
      <c r="I2253" s="89">
        <f t="shared" si="404"/>
        <v>-22.5</v>
      </c>
      <c r="J2253" s="391">
        <f t="shared" si="403"/>
        <v>-5.05</v>
      </c>
      <c r="K2253" s="90">
        <f t="shared" si="402"/>
        <v>222.45</v>
      </c>
      <c r="M2253" s="187">
        <v>29.92</v>
      </c>
      <c r="N2253" s="91">
        <f t="shared" si="392"/>
        <v>29.92</v>
      </c>
      <c r="O2253" s="411">
        <f t="shared" si="405"/>
        <v>192.52999999999997</v>
      </c>
      <c r="P2253" s="132" t="s">
        <v>52</v>
      </c>
      <c r="Q2253" s="232"/>
      <c r="R2253" s="411"/>
      <c r="T2253" s="134" t="s">
        <v>145</v>
      </c>
      <c r="U2253" s="267" t="s">
        <v>5265</v>
      </c>
      <c r="AA2253" s="218"/>
    </row>
    <row r="2254" spans="1:27" ht="24" x14ac:dyDescent="0.25">
      <c r="A2254" s="405">
        <v>3001708</v>
      </c>
      <c r="B2254" s="406">
        <v>42473</v>
      </c>
      <c r="C2254" s="405" t="s">
        <v>42</v>
      </c>
      <c r="D2254" s="401" t="s">
        <v>5266</v>
      </c>
      <c r="E2254" s="120">
        <v>1000</v>
      </c>
      <c r="F2254" s="133" t="s">
        <v>5267</v>
      </c>
      <c r="G2254" s="404" t="s">
        <v>45</v>
      </c>
      <c r="H2254" s="411">
        <v>159.80000000000001</v>
      </c>
      <c r="I2254" s="89">
        <f t="shared" si="404"/>
        <v>-14.382</v>
      </c>
      <c r="J2254" s="391">
        <f t="shared" si="403"/>
        <v>-3.3361999999999998</v>
      </c>
      <c r="K2254" s="90">
        <f t="shared" si="402"/>
        <v>142.08180000000002</v>
      </c>
      <c r="L2254" s="187">
        <v>40.96</v>
      </c>
      <c r="M2254" s="187">
        <v>13.37</v>
      </c>
      <c r="N2254" s="91">
        <f t="shared" si="392"/>
        <v>54.33</v>
      </c>
      <c r="O2254" s="411">
        <f t="shared" si="405"/>
        <v>87.751800000000017</v>
      </c>
      <c r="P2254" s="132" t="s">
        <v>183</v>
      </c>
      <c r="Q2254" s="232"/>
      <c r="R2254" s="411"/>
      <c r="T2254" s="134" t="s">
        <v>145</v>
      </c>
      <c r="U2254" s="267" t="s">
        <v>5268</v>
      </c>
      <c r="AA2254" s="218"/>
    </row>
    <row r="2255" spans="1:27" ht="24" x14ac:dyDescent="0.25">
      <c r="A2255" s="405">
        <v>3001709</v>
      </c>
      <c r="B2255" s="406">
        <v>42473</v>
      </c>
      <c r="C2255" s="405" t="s">
        <v>42</v>
      </c>
      <c r="D2255" s="401" t="s">
        <v>5269</v>
      </c>
      <c r="E2255" s="120">
        <v>50</v>
      </c>
      <c r="F2255" s="133" t="s">
        <v>288</v>
      </c>
      <c r="G2255" s="404" t="s">
        <v>45</v>
      </c>
      <c r="H2255" s="411">
        <v>102.41</v>
      </c>
      <c r="I2255" s="89">
        <f t="shared" si="404"/>
        <v>-9.216899999999999</v>
      </c>
      <c r="J2255" s="391">
        <f t="shared" si="403"/>
        <v>-2.24579</v>
      </c>
      <c r="K2255" s="90">
        <f t="shared" si="402"/>
        <v>90.947310000000002</v>
      </c>
      <c r="L2255" s="131">
        <v>950</v>
      </c>
      <c r="M2255" s="158">
        <v>33.24</v>
      </c>
      <c r="N2255" s="91">
        <f t="shared" si="392"/>
        <v>80.740000000000009</v>
      </c>
      <c r="O2255" s="411">
        <f t="shared" si="405"/>
        <v>10.207309999999993</v>
      </c>
      <c r="P2255" s="132" t="s">
        <v>52</v>
      </c>
      <c r="Q2255" s="232"/>
      <c r="R2255" s="411"/>
      <c r="T2255" s="134" t="s">
        <v>145</v>
      </c>
      <c r="U2255" s="267" t="s">
        <v>5270</v>
      </c>
      <c r="AA2255" s="218"/>
    </row>
    <row r="2256" spans="1:27" ht="24" x14ac:dyDescent="0.25">
      <c r="A2256" s="405">
        <v>3001710</v>
      </c>
      <c r="B2256" s="406">
        <v>42473</v>
      </c>
      <c r="C2256" s="405" t="s">
        <v>42</v>
      </c>
      <c r="D2256" s="401" t="s">
        <v>5271</v>
      </c>
      <c r="E2256" s="120">
        <v>300</v>
      </c>
      <c r="F2256" s="133" t="s">
        <v>165</v>
      </c>
      <c r="G2256" s="404" t="s">
        <v>45</v>
      </c>
      <c r="H2256" s="411">
        <v>288.73</v>
      </c>
      <c r="I2256" s="89">
        <f t="shared" si="404"/>
        <v>-25.985700000000001</v>
      </c>
      <c r="J2256" s="391">
        <f t="shared" si="403"/>
        <v>-5.7858700000000001</v>
      </c>
      <c r="K2256" s="90">
        <f t="shared" si="402"/>
        <v>256.95843000000002</v>
      </c>
      <c r="L2256" s="131">
        <v>480</v>
      </c>
      <c r="M2256" s="187">
        <v>64.41</v>
      </c>
      <c r="N2256" s="91">
        <f t="shared" si="392"/>
        <v>208.41</v>
      </c>
      <c r="O2256" s="411">
        <f t="shared" si="405"/>
        <v>48.548430000000025</v>
      </c>
      <c r="P2256" s="132" t="s">
        <v>52</v>
      </c>
      <c r="Q2256" s="232"/>
      <c r="R2256" s="411"/>
      <c r="T2256" s="134" t="s">
        <v>145</v>
      </c>
      <c r="U2256" s="267" t="s">
        <v>5272</v>
      </c>
      <c r="AA2256" s="218"/>
    </row>
    <row r="2257" spans="1:27" ht="24" x14ac:dyDescent="0.25">
      <c r="A2257" s="405">
        <v>3001711</v>
      </c>
      <c r="B2257" s="406">
        <v>42473</v>
      </c>
      <c r="C2257" s="405" t="s">
        <v>42</v>
      </c>
      <c r="D2257" s="401" t="s">
        <v>5273</v>
      </c>
      <c r="E2257" s="120">
        <v>150</v>
      </c>
      <c r="F2257" s="133" t="s">
        <v>431</v>
      </c>
      <c r="G2257" s="404" t="s">
        <v>45</v>
      </c>
      <c r="H2257" s="411">
        <v>332.5</v>
      </c>
      <c r="I2257" s="89">
        <f t="shared" si="404"/>
        <v>-29.924999999999997</v>
      </c>
      <c r="J2257" s="391">
        <f t="shared" si="403"/>
        <v>-6.6174999999999997</v>
      </c>
      <c r="K2257" s="90">
        <f t="shared" si="402"/>
        <v>295.95749999999998</v>
      </c>
      <c r="L2257" s="131">
        <v>990</v>
      </c>
      <c r="M2257" s="158">
        <v>39.82</v>
      </c>
      <c r="N2257" s="91">
        <f t="shared" si="392"/>
        <v>188.32</v>
      </c>
      <c r="O2257" s="411">
        <f t="shared" si="405"/>
        <v>107.63749999999999</v>
      </c>
      <c r="P2257" s="132" t="s">
        <v>52</v>
      </c>
      <c r="Q2257" s="232"/>
      <c r="R2257" s="411"/>
      <c r="T2257" s="134" t="s">
        <v>145</v>
      </c>
      <c r="U2257" s="267" t="s">
        <v>5274</v>
      </c>
      <c r="AA2257" s="218"/>
    </row>
    <row r="2258" spans="1:27" ht="24" x14ac:dyDescent="0.25">
      <c r="A2258" s="405">
        <v>3001712</v>
      </c>
      <c r="B2258" s="406">
        <v>42473</v>
      </c>
      <c r="C2258" s="405" t="s">
        <v>327</v>
      </c>
      <c r="D2258" s="401" t="s">
        <v>5275</v>
      </c>
      <c r="E2258" s="120">
        <v>135</v>
      </c>
      <c r="F2258" s="133" t="s">
        <v>161</v>
      </c>
      <c r="G2258" s="404" t="s">
        <v>45</v>
      </c>
      <c r="H2258" s="411">
        <v>301.25</v>
      </c>
      <c r="I2258" s="411">
        <v>0</v>
      </c>
      <c r="J2258" s="391">
        <f>-((H2258*0.022)+0.3)</f>
        <v>-6.9274999999999993</v>
      </c>
      <c r="K2258" s="90">
        <f t="shared" si="402"/>
        <v>294.32249999999999</v>
      </c>
      <c r="L2258" s="131">
        <v>1322</v>
      </c>
      <c r="M2258" s="187">
        <v>56.36</v>
      </c>
      <c r="N2258" s="91">
        <f t="shared" si="392"/>
        <v>234.82999999999998</v>
      </c>
      <c r="O2258" s="411">
        <f t="shared" si="405"/>
        <v>59.492500000000007</v>
      </c>
      <c r="P2258" s="132" t="s">
        <v>52</v>
      </c>
      <c r="Q2258" s="232"/>
      <c r="R2258" s="411"/>
      <c r="T2258" s="134" t="s">
        <v>145</v>
      </c>
      <c r="U2258" s="267" t="s">
        <v>5276</v>
      </c>
      <c r="W2258" s="153" t="s">
        <v>5277</v>
      </c>
      <c r="AA2258" s="218"/>
    </row>
    <row r="2259" spans="1:27" x14ac:dyDescent="0.25">
      <c r="A2259" s="419">
        <v>3001713</v>
      </c>
      <c r="B2259" s="421">
        <v>42473</v>
      </c>
      <c r="C2259" s="419" t="s">
        <v>555</v>
      </c>
      <c r="D2259" s="417" t="s">
        <v>5278</v>
      </c>
      <c r="E2259" s="120">
        <v>115</v>
      </c>
      <c r="F2259" s="133" t="s">
        <v>5279</v>
      </c>
      <c r="G2259" s="434" t="s">
        <v>45</v>
      </c>
      <c r="H2259" s="427">
        <v>5681.06</v>
      </c>
      <c r="I2259" s="427">
        <v>0</v>
      </c>
      <c r="J2259" s="427">
        <v>0</v>
      </c>
      <c r="K2259" s="425">
        <f t="shared" si="402"/>
        <v>5681.06</v>
      </c>
      <c r="L2259" s="187">
        <v>30500</v>
      </c>
      <c r="M2259" s="187">
        <v>325.91000000000003</v>
      </c>
      <c r="N2259" s="91">
        <f t="shared" si="392"/>
        <v>3833.41</v>
      </c>
      <c r="O2259" s="411">
        <f t="shared" si="405"/>
        <v>1847.6500000000005</v>
      </c>
      <c r="P2259" s="132" t="s">
        <v>235</v>
      </c>
      <c r="Q2259" s="232"/>
      <c r="R2259" s="411"/>
      <c r="T2259" s="134" t="s">
        <v>576</v>
      </c>
      <c r="U2259" s="267" t="s">
        <v>5280</v>
      </c>
      <c r="W2259" s="153" t="s">
        <v>5281</v>
      </c>
      <c r="AA2259" s="218">
        <v>25</v>
      </c>
    </row>
    <row r="2260" spans="1:27" ht="24" x14ac:dyDescent="0.25">
      <c r="A2260" s="420"/>
      <c r="B2260" s="422"/>
      <c r="C2260" s="420"/>
      <c r="D2260" s="418"/>
      <c r="E2260" s="120">
        <v>140</v>
      </c>
      <c r="F2260" s="133" t="s">
        <v>597</v>
      </c>
      <c r="G2260" s="436"/>
      <c r="H2260" s="428"/>
      <c r="I2260" s="428"/>
      <c r="J2260" s="428"/>
      <c r="K2260" s="426"/>
      <c r="M2260" s="187">
        <v>58.87</v>
      </c>
      <c r="N2260" s="91">
        <f t="shared" si="392"/>
        <v>58.87</v>
      </c>
      <c r="O2260" s="411">
        <f t="shared" si="405"/>
        <v>-58.87</v>
      </c>
      <c r="P2260" s="132" t="s">
        <v>86</v>
      </c>
      <c r="Q2260" s="232"/>
      <c r="R2260" s="411"/>
      <c r="T2260" s="134" t="s">
        <v>145</v>
      </c>
      <c r="U2260" s="267" t="s">
        <v>5282</v>
      </c>
      <c r="AA2260" s="218"/>
    </row>
    <row r="2261" spans="1:27" ht="24" x14ac:dyDescent="0.25">
      <c r="A2261" s="405">
        <v>3001714</v>
      </c>
      <c r="B2261" s="406">
        <v>42473</v>
      </c>
      <c r="C2261" s="405" t="s">
        <v>42</v>
      </c>
      <c r="D2261" s="401" t="s">
        <v>5283</v>
      </c>
      <c r="E2261" s="120">
        <v>175</v>
      </c>
      <c r="F2261" s="133" t="s">
        <v>829</v>
      </c>
      <c r="G2261" s="404" t="s">
        <v>45</v>
      </c>
      <c r="H2261" s="411">
        <v>184.48</v>
      </c>
      <c r="I2261" s="89">
        <f t="shared" ref="I2261" si="406">-(H2261*0.09)</f>
        <v>-16.603199999999998</v>
      </c>
      <c r="J2261" s="391">
        <f t="shared" ref="J2261" si="407">-((H2261*0.019)+0.3)</f>
        <v>-3.8051199999999996</v>
      </c>
      <c r="K2261" s="90">
        <f t="shared" si="402"/>
        <v>164.07168000000001</v>
      </c>
      <c r="L2261" s="131">
        <v>510</v>
      </c>
      <c r="M2261" s="187">
        <v>37.75</v>
      </c>
      <c r="N2261" s="91">
        <f t="shared" si="392"/>
        <v>127.00000000000001</v>
      </c>
      <c r="O2261" s="411">
        <f t="shared" si="405"/>
        <v>37.071680000000001</v>
      </c>
      <c r="P2261" s="132" t="s">
        <v>52</v>
      </c>
      <c r="Q2261" s="232"/>
      <c r="R2261" s="411"/>
      <c r="T2261" s="134" t="s">
        <v>145</v>
      </c>
      <c r="U2261" s="267" t="s">
        <v>5284</v>
      </c>
      <c r="AA2261" s="218"/>
    </row>
    <row r="2262" spans="1:27" x14ac:dyDescent="0.25">
      <c r="A2262" s="419">
        <v>3001715</v>
      </c>
      <c r="B2262" s="421">
        <v>42474</v>
      </c>
      <c r="C2262" s="419" t="s">
        <v>327</v>
      </c>
      <c r="D2262" s="417" t="s">
        <v>729</v>
      </c>
      <c r="E2262" s="120">
        <v>100</v>
      </c>
      <c r="F2262" s="133" t="s">
        <v>300</v>
      </c>
      <c r="G2262" s="434" t="s">
        <v>45</v>
      </c>
      <c r="H2262" s="427">
        <v>1127.5</v>
      </c>
      <c r="I2262" s="427">
        <v>0</v>
      </c>
      <c r="J2262" s="425">
        <f>-((H2262*0.022)+0.3)</f>
        <v>-25.105</v>
      </c>
      <c r="K2262" s="425">
        <f t="shared" si="402"/>
        <v>1102.395</v>
      </c>
      <c r="L2262" s="131">
        <v>2150</v>
      </c>
      <c r="M2262" s="468">
        <v>91.24</v>
      </c>
      <c r="N2262" s="91">
        <f t="shared" si="392"/>
        <v>306.24</v>
      </c>
      <c r="O2262" s="411">
        <f t="shared" si="405"/>
        <v>796.15499999999997</v>
      </c>
      <c r="P2262" s="132" t="s">
        <v>52</v>
      </c>
      <c r="Q2262" s="232"/>
      <c r="R2262" s="411"/>
      <c r="T2262" s="439" t="s">
        <v>244</v>
      </c>
      <c r="U2262" s="444" t="s">
        <v>5285</v>
      </c>
      <c r="W2262" s="153" t="s">
        <v>5286</v>
      </c>
      <c r="AA2262" s="218">
        <v>10</v>
      </c>
    </row>
    <row r="2263" spans="1:27" x14ac:dyDescent="0.25">
      <c r="A2263" s="432"/>
      <c r="B2263" s="433"/>
      <c r="C2263" s="432"/>
      <c r="D2263" s="454"/>
      <c r="E2263" s="120">
        <v>250</v>
      </c>
      <c r="F2263" s="133" t="s">
        <v>161</v>
      </c>
      <c r="G2263" s="435"/>
      <c r="H2263" s="438"/>
      <c r="I2263" s="438"/>
      <c r="J2263" s="437"/>
      <c r="K2263" s="437"/>
      <c r="L2263" s="131">
        <v>1322</v>
      </c>
      <c r="M2263" s="491"/>
      <c r="N2263" s="91">
        <f t="shared" si="392"/>
        <v>330.5</v>
      </c>
      <c r="O2263" s="411">
        <f t="shared" si="405"/>
        <v>-330.5</v>
      </c>
      <c r="P2263" s="132" t="s">
        <v>52</v>
      </c>
      <c r="Q2263" s="232"/>
      <c r="R2263" s="411"/>
      <c r="T2263" s="440"/>
      <c r="U2263" s="539"/>
      <c r="AA2263" s="218"/>
    </row>
    <row r="2264" spans="1:27" x14ac:dyDescent="0.25">
      <c r="A2264" s="432"/>
      <c r="B2264" s="433"/>
      <c r="C2264" s="432"/>
      <c r="D2264" s="454"/>
      <c r="E2264" s="120">
        <v>250</v>
      </c>
      <c r="F2264" s="133" t="s">
        <v>1472</v>
      </c>
      <c r="G2264" s="435"/>
      <c r="H2264" s="438"/>
      <c r="I2264" s="438"/>
      <c r="J2264" s="437"/>
      <c r="K2264" s="437"/>
      <c r="L2264" s="131">
        <v>210</v>
      </c>
      <c r="M2264" s="491"/>
      <c r="N2264" s="91">
        <f t="shared" si="392"/>
        <v>52.5</v>
      </c>
      <c r="O2264" s="411">
        <f t="shared" si="405"/>
        <v>-52.5</v>
      </c>
      <c r="P2264" s="132" t="s">
        <v>52</v>
      </c>
      <c r="Q2264" s="232"/>
      <c r="R2264" s="411"/>
      <c r="T2264" s="440"/>
      <c r="U2264" s="539"/>
      <c r="AA2264" s="218"/>
    </row>
    <row r="2265" spans="1:27" x14ac:dyDescent="0.25">
      <c r="A2265" s="432"/>
      <c r="B2265" s="433"/>
      <c r="C2265" s="432"/>
      <c r="D2265" s="454"/>
      <c r="E2265" s="120">
        <v>250</v>
      </c>
      <c r="F2265" s="133" t="s">
        <v>4665</v>
      </c>
      <c r="G2265" s="435"/>
      <c r="H2265" s="438"/>
      <c r="I2265" s="438"/>
      <c r="J2265" s="437"/>
      <c r="K2265" s="437"/>
      <c r="L2265" s="131">
        <v>200</v>
      </c>
      <c r="M2265" s="491"/>
      <c r="N2265" s="91">
        <f t="shared" si="392"/>
        <v>50</v>
      </c>
      <c r="O2265" s="411">
        <f t="shared" si="405"/>
        <v>-50</v>
      </c>
      <c r="P2265" s="132" t="s">
        <v>52</v>
      </c>
      <c r="Q2265" s="232"/>
      <c r="R2265" s="411"/>
      <c r="T2265" s="440"/>
      <c r="U2265" s="539"/>
      <c r="AA2265" s="218"/>
    </row>
    <row r="2266" spans="1:27" x14ac:dyDescent="0.25">
      <c r="A2266" s="420"/>
      <c r="B2266" s="422"/>
      <c r="C2266" s="420"/>
      <c r="D2266" s="418"/>
      <c r="E2266" s="120">
        <v>250</v>
      </c>
      <c r="F2266" s="133" t="s">
        <v>5287</v>
      </c>
      <c r="G2266" s="436"/>
      <c r="H2266" s="428"/>
      <c r="I2266" s="428"/>
      <c r="J2266" s="426"/>
      <c r="K2266" s="426"/>
      <c r="L2266" s="131">
        <v>125</v>
      </c>
      <c r="M2266" s="469"/>
      <c r="N2266" s="91">
        <f t="shared" si="392"/>
        <v>31.25</v>
      </c>
      <c r="O2266" s="411">
        <f t="shared" si="405"/>
        <v>-31.25</v>
      </c>
      <c r="P2266" s="132" t="s">
        <v>52</v>
      </c>
      <c r="Q2266" s="232"/>
      <c r="R2266" s="411"/>
      <c r="T2266" s="441"/>
      <c r="U2266" s="445"/>
      <c r="AA2266" s="218"/>
    </row>
    <row r="2267" spans="1:27" x14ac:dyDescent="0.25">
      <c r="A2267" s="405">
        <v>3001716</v>
      </c>
      <c r="B2267" s="406">
        <v>42474</v>
      </c>
      <c r="C2267" s="405" t="s">
        <v>63</v>
      </c>
      <c r="D2267" s="401" t="s">
        <v>4502</v>
      </c>
      <c r="E2267" s="120">
        <v>1000</v>
      </c>
      <c r="F2267" s="133" t="s">
        <v>5288</v>
      </c>
      <c r="G2267" s="404" t="s">
        <v>45</v>
      </c>
      <c r="H2267" s="411">
        <v>1209.0999999999999</v>
      </c>
      <c r="I2267" s="411">
        <v>0</v>
      </c>
      <c r="J2267" s="391">
        <f>-((H2267*0.022)+0.3)</f>
        <v>-26.900199999999998</v>
      </c>
      <c r="K2267" s="90">
        <f t="shared" ref="K2267:K2274" si="408">SUM(H2267:J2267)</f>
        <v>1182.1997999999999</v>
      </c>
      <c r="L2267" s="187">
        <v>678</v>
      </c>
      <c r="M2267" s="187">
        <v>135.83000000000001</v>
      </c>
      <c r="N2267" s="91">
        <f t="shared" si="392"/>
        <v>813.83</v>
      </c>
      <c r="O2267" s="411">
        <f t="shared" si="405"/>
        <v>368.36979999999983</v>
      </c>
      <c r="P2267" s="132" t="s">
        <v>183</v>
      </c>
      <c r="Q2267" s="232"/>
      <c r="R2267" s="411"/>
      <c r="T2267" s="134" t="s">
        <v>3598</v>
      </c>
      <c r="U2267" s="267" t="s">
        <v>5289</v>
      </c>
      <c r="W2267" s="153" t="s">
        <v>4505</v>
      </c>
      <c r="AA2267" s="218">
        <v>10</v>
      </c>
    </row>
    <row r="2268" spans="1:27" ht="24" x14ac:dyDescent="0.25">
      <c r="A2268" s="405">
        <v>3001717</v>
      </c>
      <c r="B2268" s="406">
        <v>42474</v>
      </c>
      <c r="C2268" s="405" t="s">
        <v>63</v>
      </c>
      <c r="D2268" s="401" t="s">
        <v>5290</v>
      </c>
      <c r="E2268" s="120">
        <v>100</v>
      </c>
      <c r="F2268" s="133" t="s">
        <v>5291</v>
      </c>
      <c r="G2268" s="404" t="s">
        <v>45</v>
      </c>
      <c r="H2268" s="411">
        <v>226.5</v>
      </c>
      <c r="I2268" s="411">
        <v>0</v>
      </c>
      <c r="J2268" s="391">
        <f>-((H2268*0.022)+0.3)</f>
        <v>-5.2829999999999995</v>
      </c>
      <c r="K2268" s="90">
        <f t="shared" si="408"/>
        <v>221.21700000000001</v>
      </c>
      <c r="L2268" s="187">
        <v>1465</v>
      </c>
      <c r="N2268" s="91">
        <f t="shared" si="392"/>
        <v>146.5</v>
      </c>
      <c r="O2268" s="411">
        <f t="shared" si="405"/>
        <v>74.717000000000013</v>
      </c>
      <c r="P2268" s="132" t="s">
        <v>5292</v>
      </c>
      <c r="Q2268" s="232"/>
      <c r="R2268" s="411"/>
      <c r="T2268" s="134" t="s">
        <v>324</v>
      </c>
      <c r="U2268" s="267" t="s">
        <v>5293</v>
      </c>
      <c r="W2268" s="153" t="s">
        <v>5294</v>
      </c>
      <c r="AA2268" s="218"/>
    </row>
    <row r="2269" spans="1:27" ht="24" x14ac:dyDescent="0.25">
      <c r="A2269" s="405">
        <v>3001718</v>
      </c>
      <c r="B2269" s="406">
        <v>42474</v>
      </c>
      <c r="C2269" s="405" t="s">
        <v>63</v>
      </c>
      <c r="D2269" s="401" t="s">
        <v>5295</v>
      </c>
      <c r="E2269" s="120">
        <v>250</v>
      </c>
      <c r="F2269" s="133" t="s">
        <v>5296</v>
      </c>
      <c r="G2269" s="404" t="s">
        <v>45</v>
      </c>
      <c r="H2269" s="411">
        <v>431</v>
      </c>
      <c r="I2269" s="411">
        <v>0</v>
      </c>
      <c r="J2269" s="391">
        <f>-((H2269*0.022)+0.3)</f>
        <v>-9.782</v>
      </c>
      <c r="K2269" s="90">
        <f t="shared" si="408"/>
        <v>421.21800000000002</v>
      </c>
      <c r="L2269" s="187">
        <v>875</v>
      </c>
      <c r="M2269" s="187">
        <v>36.28</v>
      </c>
      <c r="N2269" s="91">
        <f t="shared" si="392"/>
        <v>255.03</v>
      </c>
      <c r="O2269" s="411">
        <f t="shared" si="405"/>
        <v>166.18800000000002</v>
      </c>
      <c r="P2269" s="132" t="s">
        <v>235</v>
      </c>
      <c r="Q2269" s="232"/>
      <c r="R2269" s="411"/>
      <c r="T2269" s="134" t="s">
        <v>145</v>
      </c>
      <c r="U2269" s="267" t="s">
        <v>5297</v>
      </c>
      <c r="W2269" s="153" t="s">
        <v>5298</v>
      </c>
      <c r="AA2269" s="218"/>
    </row>
    <row r="2270" spans="1:27" ht="24" customHeight="1" x14ac:dyDescent="0.25">
      <c r="A2270" s="419">
        <v>3001719</v>
      </c>
      <c r="B2270" s="421">
        <v>42474</v>
      </c>
      <c r="C2270" s="419" t="s">
        <v>63</v>
      </c>
      <c r="D2270" s="417" t="s">
        <v>5299</v>
      </c>
      <c r="E2270" s="120">
        <v>84</v>
      </c>
      <c r="F2270" s="133" t="s">
        <v>4761</v>
      </c>
      <c r="G2270" s="434" t="s">
        <v>45</v>
      </c>
      <c r="H2270" s="427">
        <v>1125.5999999999999</v>
      </c>
      <c r="I2270" s="427">
        <v>0</v>
      </c>
      <c r="J2270" s="425">
        <f>-((H2270*0.022)+0.3)</f>
        <v>-25.063199999999998</v>
      </c>
      <c r="K2270" s="425">
        <f t="shared" si="408"/>
        <v>1100.5367999999999</v>
      </c>
      <c r="L2270" s="187">
        <v>6831.87</v>
      </c>
      <c r="M2270" s="187">
        <v>141</v>
      </c>
      <c r="N2270" s="91">
        <f t="shared" si="392"/>
        <v>714.87707999999998</v>
      </c>
      <c r="O2270" s="411">
        <f t="shared" si="405"/>
        <v>385.65971999999988</v>
      </c>
      <c r="P2270" s="132" t="s">
        <v>46</v>
      </c>
      <c r="Q2270" s="232"/>
      <c r="R2270" s="411"/>
      <c r="T2270" s="407" t="s">
        <v>260</v>
      </c>
      <c r="U2270" s="308" t="s">
        <v>5300</v>
      </c>
      <c r="V2270" s="133" t="s">
        <v>5301</v>
      </c>
      <c r="W2270" s="153" t="s">
        <v>5302</v>
      </c>
      <c r="AA2270" s="218">
        <v>10</v>
      </c>
    </row>
    <row r="2271" spans="1:27" ht="24" x14ac:dyDescent="0.25">
      <c r="A2271" s="420"/>
      <c r="B2271" s="422"/>
      <c r="C2271" s="420"/>
      <c r="D2271" s="418"/>
      <c r="E2271" s="120">
        <v>42</v>
      </c>
      <c r="F2271" s="133" t="s">
        <v>2675</v>
      </c>
      <c r="G2271" s="436"/>
      <c r="H2271" s="428"/>
      <c r="I2271" s="428"/>
      <c r="J2271" s="426"/>
      <c r="K2271" s="426"/>
      <c r="L2271" s="187">
        <v>1300</v>
      </c>
      <c r="M2271" s="187">
        <v>9.27</v>
      </c>
      <c r="N2271" s="91">
        <f t="shared" si="392"/>
        <v>63.870000000000005</v>
      </c>
      <c r="O2271" s="411">
        <f t="shared" si="405"/>
        <v>-63.870000000000005</v>
      </c>
      <c r="P2271" s="132" t="s">
        <v>235</v>
      </c>
      <c r="Q2271" s="232"/>
      <c r="R2271" s="411"/>
      <c r="T2271" s="409" t="s">
        <v>145</v>
      </c>
      <c r="U2271" s="309" t="s">
        <v>5303</v>
      </c>
      <c r="AA2271" s="218"/>
    </row>
    <row r="2272" spans="1:27" ht="24" x14ac:dyDescent="0.25">
      <c r="A2272" s="405">
        <v>3001720</v>
      </c>
      <c r="B2272" s="406">
        <v>42474</v>
      </c>
      <c r="C2272" s="405" t="s">
        <v>42</v>
      </c>
      <c r="D2272" s="401" t="s">
        <v>5304</v>
      </c>
      <c r="E2272" s="120">
        <v>100</v>
      </c>
      <c r="F2272" s="133" t="s">
        <v>288</v>
      </c>
      <c r="G2272" s="404" t="s">
        <v>45</v>
      </c>
      <c r="H2272" s="411">
        <v>172.97</v>
      </c>
      <c r="I2272" s="89">
        <f t="shared" ref="I2272:I2273" si="409">-(H2272*0.09)</f>
        <v>-15.567299999999999</v>
      </c>
      <c r="J2272" s="391">
        <f t="shared" ref="J2272:J2273" si="410">-((H2272*0.019)+0.3)</f>
        <v>-3.5864299999999996</v>
      </c>
      <c r="K2272" s="90">
        <f t="shared" si="408"/>
        <v>153.81627</v>
      </c>
      <c r="L2272" s="131">
        <v>950</v>
      </c>
      <c r="M2272" s="158">
        <v>26.1</v>
      </c>
      <c r="N2272" s="91">
        <f t="shared" si="392"/>
        <v>121.1</v>
      </c>
      <c r="O2272" s="411">
        <f t="shared" si="405"/>
        <v>32.716270000000009</v>
      </c>
      <c r="P2272" s="132" t="s">
        <v>52</v>
      </c>
      <c r="Q2272" s="232"/>
      <c r="R2272" s="411"/>
      <c r="T2272" s="134" t="s">
        <v>145</v>
      </c>
      <c r="U2272" s="267" t="s">
        <v>5305</v>
      </c>
      <c r="AA2272" s="218"/>
    </row>
    <row r="2273" spans="1:27" ht="24" x14ac:dyDescent="0.25">
      <c r="A2273" s="405">
        <v>3001721</v>
      </c>
      <c r="B2273" s="406">
        <v>42474</v>
      </c>
      <c r="C2273" s="405" t="s">
        <v>42</v>
      </c>
      <c r="D2273" s="401" t="s">
        <v>5306</v>
      </c>
      <c r="E2273" s="120">
        <v>150</v>
      </c>
      <c r="F2273" s="133" t="s">
        <v>222</v>
      </c>
      <c r="G2273" s="404" t="s">
        <v>45</v>
      </c>
      <c r="H2273" s="411">
        <v>313.5</v>
      </c>
      <c r="I2273" s="89">
        <f t="shared" si="409"/>
        <v>-28.215</v>
      </c>
      <c r="J2273" s="391">
        <f t="shared" si="410"/>
        <v>-6.2565</v>
      </c>
      <c r="K2273" s="90">
        <f t="shared" si="408"/>
        <v>279.02850000000001</v>
      </c>
      <c r="L2273" s="131">
        <v>930</v>
      </c>
      <c r="M2273" s="187">
        <v>66.63</v>
      </c>
      <c r="N2273" s="91">
        <f t="shared" si="392"/>
        <v>206.13</v>
      </c>
      <c r="O2273" s="411">
        <f t="shared" si="405"/>
        <v>72.898500000000013</v>
      </c>
      <c r="P2273" s="132" t="s">
        <v>52</v>
      </c>
      <c r="Q2273" s="232"/>
      <c r="R2273" s="411"/>
      <c r="T2273" s="134" t="s">
        <v>145</v>
      </c>
      <c r="U2273" s="267" t="s">
        <v>5307</v>
      </c>
      <c r="AA2273" s="218"/>
    </row>
    <row r="2274" spans="1:27" ht="24" x14ac:dyDescent="0.25">
      <c r="A2274" s="419">
        <v>3001722</v>
      </c>
      <c r="B2274" s="421">
        <v>42474</v>
      </c>
      <c r="C2274" s="419" t="s">
        <v>555</v>
      </c>
      <c r="D2274" s="417" t="s">
        <v>5308</v>
      </c>
      <c r="E2274" s="120">
        <v>328</v>
      </c>
      <c r="F2274" s="119" t="s">
        <v>5309</v>
      </c>
      <c r="G2274" s="434" t="s">
        <v>45</v>
      </c>
      <c r="H2274" s="427">
        <v>5564.52</v>
      </c>
      <c r="I2274" s="427">
        <v>0</v>
      </c>
      <c r="J2274" s="427">
        <v>0</v>
      </c>
      <c r="K2274" s="425">
        <f t="shared" si="408"/>
        <v>5564.52</v>
      </c>
      <c r="L2274" s="187">
        <v>1560</v>
      </c>
      <c r="N2274" s="91">
        <f t="shared" si="392"/>
        <v>511.68</v>
      </c>
      <c r="O2274" s="411">
        <f t="shared" si="405"/>
        <v>5052.84</v>
      </c>
      <c r="P2274" s="132" t="s">
        <v>183</v>
      </c>
      <c r="Q2274" s="232"/>
      <c r="R2274" s="411"/>
      <c r="T2274" s="439" t="s">
        <v>5310</v>
      </c>
      <c r="U2274" s="446" t="s">
        <v>5311</v>
      </c>
      <c r="W2274" s="153" t="s">
        <v>5312</v>
      </c>
      <c r="AA2274" s="218"/>
    </row>
    <row r="2275" spans="1:27" ht="24" x14ac:dyDescent="0.25">
      <c r="A2275" s="432"/>
      <c r="B2275" s="433"/>
      <c r="C2275" s="432"/>
      <c r="D2275" s="454"/>
      <c r="E2275" s="120">
        <v>328</v>
      </c>
      <c r="F2275" s="119" t="s">
        <v>5313</v>
      </c>
      <c r="G2275" s="435"/>
      <c r="H2275" s="438"/>
      <c r="I2275" s="438"/>
      <c r="J2275" s="438"/>
      <c r="K2275" s="437"/>
      <c r="L2275" s="187">
        <v>940</v>
      </c>
      <c r="N2275" s="91">
        <f t="shared" si="392"/>
        <v>308.32</v>
      </c>
      <c r="O2275" s="411">
        <f t="shared" si="405"/>
        <v>-308.32</v>
      </c>
      <c r="P2275" s="132" t="s">
        <v>183</v>
      </c>
      <c r="Q2275" s="232"/>
      <c r="R2275" s="411"/>
      <c r="T2275" s="440"/>
      <c r="U2275" s="448"/>
      <c r="AA2275" s="218"/>
    </row>
    <row r="2276" spans="1:27" ht="24" x14ac:dyDescent="0.25">
      <c r="A2276" s="420"/>
      <c r="B2276" s="422"/>
      <c r="C2276" s="420"/>
      <c r="D2276" s="418"/>
      <c r="E2276" s="120">
        <v>328</v>
      </c>
      <c r="F2276" s="119" t="s">
        <v>5314</v>
      </c>
      <c r="G2276" s="436"/>
      <c r="H2276" s="428"/>
      <c r="I2276" s="428"/>
      <c r="J2276" s="428"/>
      <c r="K2276" s="426"/>
      <c r="L2276" s="187">
        <v>3200</v>
      </c>
      <c r="N2276" s="91">
        <f t="shared" si="392"/>
        <v>1049.6000000000001</v>
      </c>
      <c r="O2276" s="411">
        <f t="shared" si="405"/>
        <v>-1049.6000000000001</v>
      </c>
      <c r="P2276" s="132" t="s">
        <v>183</v>
      </c>
      <c r="Q2276" s="232"/>
      <c r="R2276" s="411"/>
      <c r="T2276" s="441"/>
      <c r="U2276" s="447"/>
      <c r="AA2276" s="218"/>
    </row>
    <row r="2277" spans="1:27" ht="24" x14ac:dyDescent="0.25">
      <c r="A2277" s="405">
        <v>3001723</v>
      </c>
      <c r="B2277" s="406">
        <v>42474</v>
      </c>
      <c r="C2277" s="405" t="s">
        <v>42</v>
      </c>
      <c r="D2277" s="401" t="s">
        <v>5315</v>
      </c>
      <c r="E2277" s="120">
        <v>250</v>
      </c>
      <c r="F2277" s="133" t="s">
        <v>2796</v>
      </c>
      <c r="G2277" s="404" t="s">
        <v>45</v>
      </c>
      <c r="H2277" s="411">
        <v>165.06</v>
      </c>
      <c r="I2277" s="89">
        <f t="shared" ref="I2277:I2287" si="411">-(H2277*0.09)</f>
        <v>-14.855399999999999</v>
      </c>
      <c r="J2277" s="391">
        <f t="shared" ref="J2277:J2287" si="412">-((H2277*0.019)+0.3)</f>
        <v>-3.43614</v>
      </c>
      <c r="K2277" s="90">
        <f t="shared" ref="K2277:K2314" si="413">SUM(H2277:J2277)</f>
        <v>146.76846</v>
      </c>
      <c r="L2277" s="187">
        <v>340</v>
      </c>
      <c r="N2277" s="91">
        <f t="shared" si="392"/>
        <v>85</v>
      </c>
      <c r="O2277" s="411">
        <f t="shared" si="405"/>
        <v>61.768460000000005</v>
      </c>
      <c r="P2277" s="132" t="s">
        <v>183</v>
      </c>
      <c r="Q2277" s="232"/>
      <c r="R2277" s="411"/>
      <c r="T2277" s="134" t="s">
        <v>204</v>
      </c>
      <c r="U2277" s="267" t="s">
        <v>5316</v>
      </c>
      <c r="W2277" s="153" t="s">
        <v>5317</v>
      </c>
      <c r="AA2277" s="218"/>
    </row>
    <row r="2278" spans="1:27" ht="24" x14ac:dyDescent="0.25">
      <c r="A2278" s="405">
        <v>3001724</v>
      </c>
      <c r="B2278" s="406">
        <v>42474</v>
      </c>
      <c r="C2278" s="405" t="s">
        <v>42</v>
      </c>
      <c r="D2278" s="401" t="s">
        <v>5318</v>
      </c>
      <c r="E2278" s="120">
        <v>100</v>
      </c>
      <c r="F2278" s="133" t="s">
        <v>288</v>
      </c>
      <c r="G2278" s="404" t="s">
        <v>45</v>
      </c>
      <c r="H2278" s="411">
        <v>187.16</v>
      </c>
      <c r="I2278" s="89">
        <f t="shared" si="411"/>
        <v>-16.8444</v>
      </c>
      <c r="J2278" s="391">
        <f t="shared" si="412"/>
        <v>-3.8560399999999997</v>
      </c>
      <c r="K2278" s="90">
        <f t="shared" si="413"/>
        <v>166.45955999999998</v>
      </c>
      <c r="L2278" s="131">
        <v>950</v>
      </c>
      <c r="M2278" s="187">
        <v>32.65</v>
      </c>
      <c r="N2278" s="91">
        <f t="shared" si="392"/>
        <v>127.65</v>
      </c>
      <c r="O2278" s="411">
        <f t="shared" si="405"/>
        <v>38.809559999999976</v>
      </c>
      <c r="P2278" s="132" t="s">
        <v>52</v>
      </c>
      <c r="Q2278" s="232"/>
      <c r="R2278" s="411"/>
      <c r="T2278" s="134" t="s">
        <v>145</v>
      </c>
      <c r="U2278" s="267" t="s">
        <v>5319</v>
      </c>
      <c r="AA2278" s="218"/>
    </row>
    <row r="2279" spans="1:27" ht="24" x14ac:dyDescent="0.25">
      <c r="A2279" s="405">
        <v>3001725</v>
      </c>
      <c r="B2279" s="406">
        <v>42474</v>
      </c>
      <c r="C2279" s="405" t="s">
        <v>42</v>
      </c>
      <c r="D2279" s="401" t="s">
        <v>5320</v>
      </c>
      <c r="E2279" s="120">
        <v>130</v>
      </c>
      <c r="F2279" s="133" t="s">
        <v>247</v>
      </c>
      <c r="G2279" s="404" t="s">
        <v>45</v>
      </c>
      <c r="H2279" s="411">
        <v>140.4</v>
      </c>
      <c r="I2279" s="89">
        <f t="shared" si="411"/>
        <v>-12.635999999999999</v>
      </c>
      <c r="J2279" s="391">
        <f t="shared" si="412"/>
        <v>-2.9676</v>
      </c>
      <c r="K2279" s="90">
        <f t="shared" si="413"/>
        <v>124.79640000000001</v>
      </c>
      <c r="L2279" s="131">
        <v>610</v>
      </c>
      <c r="M2279" s="187">
        <v>41.71</v>
      </c>
      <c r="N2279" s="91">
        <f t="shared" si="392"/>
        <v>121.00999999999999</v>
      </c>
      <c r="O2279" s="411">
        <f t="shared" si="405"/>
        <v>3.7864000000000146</v>
      </c>
      <c r="P2279" s="132" t="s">
        <v>52</v>
      </c>
      <c r="Q2279" s="232"/>
      <c r="R2279" s="411"/>
      <c r="T2279" s="134" t="s">
        <v>145</v>
      </c>
      <c r="U2279" s="267" t="s">
        <v>5321</v>
      </c>
      <c r="AA2279" s="218"/>
    </row>
    <row r="2280" spans="1:27" ht="24" x14ac:dyDescent="0.25">
      <c r="A2280" s="405">
        <v>3001726</v>
      </c>
      <c r="B2280" s="406">
        <v>42474</v>
      </c>
      <c r="C2280" s="405" t="s">
        <v>42</v>
      </c>
      <c r="D2280" s="401" t="s">
        <v>5322</v>
      </c>
      <c r="E2280" s="120">
        <v>500</v>
      </c>
      <c r="F2280" s="133" t="s">
        <v>472</v>
      </c>
      <c r="G2280" s="404" t="s">
        <v>45</v>
      </c>
      <c r="H2280" s="411">
        <v>426.55</v>
      </c>
      <c r="I2280" s="89">
        <f t="shared" si="411"/>
        <v>-38.389499999999998</v>
      </c>
      <c r="J2280" s="391">
        <f t="shared" si="412"/>
        <v>-8.4044500000000006</v>
      </c>
      <c r="K2280" s="90">
        <f t="shared" si="413"/>
        <v>379.75605000000002</v>
      </c>
      <c r="L2280" s="187">
        <v>450</v>
      </c>
      <c r="M2280" s="187">
        <v>49.38</v>
      </c>
      <c r="N2280" s="91">
        <f t="shared" si="392"/>
        <v>274.38</v>
      </c>
      <c r="O2280" s="411">
        <f t="shared" si="405"/>
        <v>105.37605000000002</v>
      </c>
      <c r="P2280" s="132" t="s">
        <v>183</v>
      </c>
      <c r="Q2280" s="232"/>
      <c r="R2280" s="411"/>
      <c r="T2280" s="134" t="s">
        <v>145</v>
      </c>
      <c r="U2280" s="267" t="s">
        <v>5323</v>
      </c>
      <c r="AA2280" s="218"/>
    </row>
    <row r="2281" spans="1:27" ht="24" x14ac:dyDescent="0.25">
      <c r="A2281" s="405">
        <v>3001727</v>
      </c>
      <c r="B2281" s="406">
        <v>42474</v>
      </c>
      <c r="C2281" s="405" t="s">
        <v>42</v>
      </c>
      <c r="D2281" s="401" t="s">
        <v>5324</v>
      </c>
      <c r="E2281" s="120">
        <v>750</v>
      </c>
      <c r="F2281" s="133" t="s">
        <v>5325</v>
      </c>
      <c r="G2281" s="404" t="s">
        <v>45</v>
      </c>
      <c r="H2281" s="411">
        <v>456</v>
      </c>
      <c r="I2281" s="89">
        <f t="shared" si="411"/>
        <v>-41.04</v>
      </c>
      <c r="J2281" s="391">
        <f t="shared" si="412"/>
        <v>-8.9640000000000004</v>
      </c>
      <c r="K2281" s="90">
        <f t="shared" si="413"/>
        <v>405.99599999999998</v>
      </c>
      <c r="L2281" s="187">
        <v>290</v>
      </c>
      <c r="M2281" s="187">
        <v>64.97</v>
      </c>
      <c r="N2281" s="91">
        <f t="shared" ref="N2281:N2344" si="414">((L2281)*(E2281*0.001))+M2281</f>
        <v>282.47000000000003</v>
      </c>
      <c r="O2281" s="411">
        <f t="shared" si="405"/>
        <v>123.52599999999995</v>
      </c>
      <c r="P2281" s="132" t="s">
        <v>235</v>
      </c>
      <c r="Q2281" s="232"/>
      <c r="R2281" s="411"/>
      <c r="T2281" s="134" t="s">
        <v>145</v>
      </c>
      <c r="U2281" s="266" t="s">
        <v>5326</v>
      </c>
      <c r="AA2281" s="218"/>
    </row>
    <row r="2282" spans="1:27" ht="24" x14ac:dyDescent="0.25">
      <c r="A2282" s="405">
        <v>3001728</v>
      </c>
      <c r="B2282" s="406">
        <v>42474</v>
      </c>
      <c r="C2282" s="405" t="s">
        <v>42</v>
      </c>
      <c r="D2282" s="401" t="s">
        <v>5327</v>
      </c>
      <c r="E2282" s="120">
        <v>175</v>
      </c>
      <c r="F2282" s="133" t="s">
        <v>222</v>
      </c>
      <c r="G2282" s="404" t="s">
        <v>45</v>
      </c>
      <c r="H2282" s="411">
        <v>313.25</v>
      </c>
      <c r="I2282" s="89">
        <f t="shared" si="411"/>
        <v>-28.192499999999999</v>
      </c>
      <c r="J2282" s="391">
        <f t="shared" si="412"/>
        <v>-6.2517499999999995</v>
      </c>
      <c r="K2282" s="90">
        <f t="shared" si="413"/>
        <v>278.80574999999999</v>
      </c>
      <c r="L2282" s="131">
        <v>930</v>
      </c>
      <c r="M2282" s="187">
        <v>67.55</v>
      </c>
      <c r="N2282" s="91">
        <f t="shared" si="414"/>
        <v>230.3</v>
      </c>
      <c r="O2282" s="411">
        <f t="shared" si="405"/>
        <v>48.505749999999978</v>
      </c>
      <c r="P2282" s="132" t="s">
        <v>52</v>
      </c>
      <c r="Q2282" s="232"/>
      <c r="R2282" s="411"/>
      <c r="T2282" s="134" t="s">
        <v>145</v>
      </c>
      <c r="U2282" s="267" t="s">
        <v>5328</v>
      </c>
      <c r="AA2282" s="218"/>
    </row>
    <row r="2283" spans="1:27" ht="24" x14ac:dyDescent="0.25">
      <c r="A2283" s="405">
        <v>3001729</v>
      </c>
      <c r="B2283" s="406">
        <v>42474</v>
      </c>
      <c r="C2283" s="405" t="s">
        <v>42</v>
      </c>
      <c r="D2283" s="401" t="s">
        <v>5329</v>
      </c>
      <c r="E2283" s="120">
        <v>150</v>
      </c>
      <c r="F2283" s="133" t="s">
        <v>227</v>
      </c>
      <c r="G2283" s="404" t="s">
        <v>45</v>
      </c>
      <c r="H2283" s="411">
        <v>135.19999999999999</v>
      </c>
      <c r="I2283" s="89">
        <f t="shared" si="411"/>
        <v>-12.167999999999999</v>
      </c>
      <c r="J2283" s="391">
        <f t="shared" si="412"/>
        <v>-2.8687999999999994</v>
      </c>
      <c r="K2283" s="90">
        <f t="shared" si="413"/>
        <v>120.16319999999999</v>
      </c>
      <c r="L2283" s="131">
        <v>350</v>
      </c>
      <c r="M2283" s="187">
        <v>35.86</v>
      </c>
      <c r="N2283" s="91">
        <f t="shared" si="414"/>
        <v>88.36</v>
      </c>
      <c r="O2283" s="411">
        <f t="shared" si="405"/>
        <v>31.80319999999999</v>
      </c>
      <c r="P2283" s="132" t="s">
        <v>52</v>
      </c>
      <c r="Q2283" s="232"/>
      <c r="R2283" s="411"/>
      <c r="T2283" s="134" t="s">
        <v>145</v>
      </c>
      <c r="U2283" s="267" t="s">
        <v>5330</v>
      </c>
      <c r="AA2283" s="218"/>
    </row>
    <row r="2284" spans="1:27" ht="24" x14ac:dyDescent="0.25">
      <c r="A2284" s="405">
        <v>3001730</v>
      </c>
      <c r="B2284" s="406">
        <v>42474</v>
      </c>
      <c r="C2284" s="405" t="s">
        <v>42</v>
      </c>
      <c r="D2284" s="401" t="s">
        <v>5331</v>
      </c>
      <c r="E2284" s="120">
        <v>100</v>
      </c>
      <c r="F2284" s="133" t="s">
        <v>161</v>
      </c>
      <c r="G2284" s="404" t="s">
        <v>45</v>
      </c>
      <c r="H2284" s="411">
        <v>235</v>
      </c>
      <c r="I2284" s="89">
        <f t="shared" si="411"/>
        <v>-21.15</v>
      </c>
      <c r="J2284" s="391">
        <f t="shared" si="412"/>
        <v>-4.7649999999999997</v>
      </c>
      <c r="K2284" s="90">
        <f t="shared" si="413"/>
        <v>209.08500000000001</v>
      </c>
      <c r="L2284" s="131">
        <v>1322</v>
      </c>
      <c r="M2284" s="187">
        <v>35.56</v>
      </c>
      <c r="N2284" s="91">
        <f t="shared" si="414"/>
        <v>167.76000000000002</v>
      </c>
      <c r="O2284" s="411">
        <f t="shared" si="405"/>
        <v>41.324999999999989</v>
      </c>
      <c r="P2284" s="132" t="s">
        <v>52</v>
      </c>
      <c r="Q2284" s="232"/>
      <c r="R2284" s="411"/>
      <c r="T2284" s="134" t="s">
        <v>145</v>
      </c>
      <c r="U2284" s="267" t="s">
        <v>5332</v>
      </c>
      <c r="AA2284" s="218"/>
    </row>
    <row r="2285" spans="1:27" ht="24" x14ac:dyDescent="0.25">
      <c r="A2285" s="419">
        <v>3001731</v>
      </c>
      <c r="B2285" s="421">
        <v>42474</v>
      </c>
      <c r="C2285" s="419" t="s">
        <v>42</v>
      </c>
      <c r="D2285" s="417" t="s">
        <v>5333</v>
      </c>
      <c r="E2285" s="120">
        <v>500</v>
      </c>
      <c r="F2285" s="119" t="s">
        <v>5334</v>
      </c>
      <c r="G2285" s="434" t="s">
        <v>45</v>
      </c>
      <c r="H2285" s="427">
        <v>625</v>
      </c>
      <c r="I2285" s="452">
        <f t="shared" si="411"/>
        <v>-56.25</v>
      </c>
      <c r="J2285" s="425">
        <f t="shared" si="412"/>
        <v>-12.175000000000001</v>
      </c>
      <c r="K2285" s="425">
        <f t="shared" si="413"/>
        <v>556.57500000000005</v>
      </c>
      <c r="L2285" s="187">
        <v>280</v>
      </c>
      <c r="M2285" s="187">
        <v>18.649999999999999</v>
      </c>
      <c r="N2285" s="91">
        <f t="shared" si="414"/>
        <v>158.65</v>
      </c>
      <c r="O2285" s="411">
        <f t="shared" si="405"/>
        <v>397.92500000000007</v>
      </c>
      <c r="P2285" s="132" t="s">
        <v>1732</v>
      </c>
      <c r="Q2285" s="232"/>
      <c r="R2285" s="411"/>
      <c r="T2285" s="439" t="s">
        <v>145</v>
      </c>
      <c r="U2285" s="267" t="s">
        <v>5335</v>
      </c>
      <c r="AA2285" s="218"/>
    </row>
    <row r="2286" spans="1:27" ht="24" x14ac:dyDescent="0.25">
      <c r="A2286" s="420"/>
      <c r="B2286" s="422"/>
      <c r="C2286" s="420"/>
      <c r="D2286" s="418"/>
      <c r="E2286" s="120">
        <v>150</v>
      </c>
      <c r="F2286" s="119" t="s">
        <v>5336</v>
      </c>
      <c r="G2286" s="436"/>
      <c r="H2286" s="428"/>
      <c r="I2286" s="453"/>
      <c r="J2286" s="426"/>
      <c r="K2286" s="426"/>
      <c r="L2286" s="187">
        <v>1300</v>
      </c>
      <c r="M2286" s="187">
        <v>29.62</v>
      </c>
      <c r="N2286" s="91">
        <f t="shared" si="414"/>
        <v>224.62</v>
      </c>
      <c r="O2286" s="411">
        <f t="shared" si="405"/>
        <v>-224.62</v>
      </c>
      <c r="P2286" s="132" t="s">
        <v>1732</v>
      </c>
      <c r="Q2286" s="232"/>
      <c r="R2286" s="411"/>
      <c r="T2286" s="441"/>
      <c r="U2286" s="267" t="s">
        <v>5337</v>
      </c>
      <c r="AA2286" s="218"/>
    </row>
    <row r="2287" spans="1:27" x14ac:dyDescent="0.25">
      <c r="A2287" s="419">
        <v>3001732</v>
      </c>
      <c r="B2287" s="421">
        <v>42474</v>
      </c>
      <c r="C2287" s="419" t="s">
        <v>42</v>
      </c>
      <c r="D2287" s="417" t="s">
        <v>5338</v>
      </c>
      <c r="E2287" s="120">
        <v>250</v>
      </c>
      <c r="F2287" s="133" t="s">
        <v>247</v>
      </c>
      <c r="G2287" s="434" t="s">
        <v>45</v>
      </c>
      <c r="H2287" s="427">
        <v>705</v>
      </c>
      <c r="I2287" s="452">
        <f t="shared" si="411"/>
        <v>-63.449999999999996</v>
      </c>
      <c r="J2287" s="425">
        <f t="shared" si="412"/>
        <v>-13.695</v>
      </c>
      <c r="K2287" s="425">
        <f t="shared" si="413"/>
        <v>627.8549999999999</v>
      </c>
      <c r="L2287" s="131">
        <v>610</v>
      </c>
      <c r="M2287" s="468">
        <v>180.6</v>
      </c>
      <c r="N2287" s="91">
        <f t="shared" si="414"/>
        <v>333.1</v>
      </c>
      <c r="O2287" s="411">
        <f t="shared" si="405"/>
        <v>294.75499999999988</v>
      </c>
      <c r="P2287" s="132" t="s">
        <v>52</v>
      </c>
      <c r="Q2287" s="232"/>
      <c r="R2287" s="411"/>
      <c r="T2287" s="439" t="s">
        <v>244</v>
      </c>
      <c r="U2287" s="446" t="s">
        <v>5339</v>
      </c>
      <c r="V2287" s="133" t="s">
        <v>55</v>
      </c>
      <c r="AA2287" s="218"/>
    </row>
    <row r="2288" spans="1:27" x14ac:dyDescent="0.25">
      <c r="A2288" s="420"/>
      <c r="B2288" s="422"/>
      <c r="C2288" s="420"/>
      <c r="D2288" s="418"/>
      <c r="E2288" s="120">
        <v>250</v>
      </c>
      <c r="F2288" s="133" t="s">
        <v>51</v>
      </c>
      <c r="G2288" s="436"/>
      <c r="H2288" s="428"/>
      <c r="I2288" s="453"/>
      <c r="J2288" s="426"/>
      <c r="K2288" s="426"/>
      <c r="L2288" s="131">
        <v>1015</v>
      </c>
      <c r="M2288" s="469"/>
      <c r="N2288" s="91">
        <f t="shared" si="414"/>
        <v>253.75</v>
      </c>
      <c r="O2288" s="411">
        <f t="shared" si="405"/>
        <v>-253.75</v>
      </c>
      <c r="P2288" s="132" t="s">
        <v>52</v>
      </c>
      <c r="Q2288" s="232"/>
      <c r="R2288" s="411"/>
      <c r="T2288" s="441"/>
      <c r="U2288" s="447"/>
      <c r="AA2288" s="218"/>
    </row>
    <row r="2289" spans="1:27" x14ac:dyDescent="0.25">
      <c r="A2289" s="405">
        <v>3001733</v>
      </c>
      <c r="B2289" s="406">
        <v>42474</v>
      </c>
      <c r="C2289" s="405" t="s">
        <v>56</v>
      </c>
      <c r="D2289" s="401" t="s">
        <v>5340</v>
      </c>
      <c r="E2289" s="120">
        <v>1000</v>
      </c>
      <c r="F2289" s="133" t="s">
        <v>1547</v>
      </c>
      <c r="G2289" s="404" t="s">
        <v>45</v>
      </c>
      <c r="H2289" s="411">
        <v>770</v>
      </c>
      <c r="I2289" s="411">
        <v>0</v>
      </c>
      <c r="J2289" s="411">
        <v>0</v>
      </c>
      <c r="K2289" s="90">
        <f t="shared" si="413"/>
        <v>770</v>
      </c>
      <c r="L2289" s="131">
        <v>385</v>
      </c>
      <c r="M2289" s="187">
        <v>91.24</v>
      </c>
      <c r="N2289" s="91">
        <f t="shared" si="414"/>
        <v>476.24</v>
      </c>
      <c r="O2289" s="411">
        <f t="shared" si="405"/>
        <v>293.76</v>
      </c>
      <c r="P2289" s="132" t="s">
        <v>52</v>
      </c>
      <c r="Q2289" s="232"/>
      <c r="R2289" s="411"/>
      <c r="T2289" s="134" t="s">
        <v>244</v>
      </c>
      <c r="U2289" s="267" t="s">
        <v>5341</v>
      </c>
      <c r="V2289" s="133" t="s">
        <v>4361</v>
      </c>
      <c r="AA2289" s="218"/>
    </row>
    <row r="2290" spans="1:27" ht="24" x14ac:dyDescent="0.25">
      <c r="A2290" s="405">
        <v>3001734</v>
      </c>
      <c r="B2290" s="406">
        <v>42474</v>
      </c>
      <c r="C2290" s="405" t="s">
        <v>42</v>
      </c>
      <c r="D2290" s="401" t="s">
        <v>5342</v>
      </c>
      <c r="E2290" s="120">
        <v>100</v>
      </c>
      <c r="F2290" s="133" t="s">
        <v>288</v>
      </c>
      <c r="G2290" s="404" t="s">
        <v>45</v>
      </c>
      <c r="H2290" s="411">
        <v>187.16</v>
      </c>
      <c r="I2290" s="89">
        <f t="shared" ref="I2290:I2291" si="415">-(H2290*0.09)</f>
        <v>-16.8444</v>
      </c>
      <c r="J2290" s="391">
        <f t="shared" ref="J2290:J2291" si="416">-((H2290*0.019)+0.3)</f>
        <v>-3.8560399999999997</v>
      </c>
      <c r="K2290" s="90">
        <f t="shared" si="413"/>
        <v>166.45955999999998</v>
      </c>
      <c r="L2290" s="131">
        <v>950</v>
      </c>
      <c r="M2290" s="187">
        <v>29.7</v>
      </c>
      <c r="N2290" s="91">
        <f t="shared" si="414"/>
        <v>124.7</v>
      </c>
      <c r="O2290" s="411">
        <f t="shared" si="405"/>
        <v>41.759559999999979</v>
      </c>
      <c r="P2290" s="132" t="s">
        <v>52</v>
      </c>
      <c r="Q2290" s="232"/>
      <c r="R2290" s="411"/>
      <c r="T2290" s="134" t="s">
        <v>145</v>
      </c>
      <c r="U2290" s="267" t="s">
        <v>5343</v>
      </c>
      <c r="AA2290" s="218"/>
    </row>
    <row r="2291" spans="1:27" x14ac:dyDescent="0.25">
      <c r="A2291" s="405">
        <v>3001735</v>
      </c>
      <c r="B2291" s="406">
        <v>42475</v>
      </c>
      <c r="C2291" s="405" t="s">
        <v>42</v>
      </c>
      <c r="D2291" s="401" t="s">
        <v>5344</v>
      </c>
      <c r="E2291" s="120">
        <v>500</v>
      </c>
      <c r="F2291" s="133" t="s">
        <v>1547</v>
      </c>
      <c r="G2291" s="404" t="s">
        <v>45</v>
      </c>
      <c r="H2291" s="411">
        <v>500.74</v>
      </c>
      <c r="I2291" s="89">
        <f t="shared" si="415"/>
        <v>-45.066600000000001</v>
      </c>
      <c r="J2291" s="391">
        <f t="shared" si="416"/>
        <v>-9.8140600000000013</v>
      </c>
      <c r="K2291" s="90">
        <f t="shared" si="413"/>
        <v>445.85934000000003</v>
      </c>
      <c r="L2291" s="131">
        <v>385</v>
      </c>
      <c r="M2291" s="187">
        <v>180.59</v>
      </c>
      <c r="N2291" s="91">
        <f t="shared" si="414"/>
        <v>373.09000000000003</v>
      </c>
      <c r="O2291" s="411">
        <f t="shared" si="405"/>
        <v>72.76934</v>
      </c>
      <c r="P2291" s="132" t="s">
        <v>52</v>
      </c>
      <c r="Q2291" s="232"/>
      <c r="R2291" s="411"/>
      <c r="T2291" s="134" t="s">
        <v>244</v>
      </c>
      <c r="U2291" s="267" t="s">
        <v>5345</v>
      </c>
      <c r="V2291" s="133" t="s">
        <v>55</v>
      </c>
      <c r="AA2291" s="218"/>
    </row>
    <row r="2292" spans="1:27" x14ac:dyDescent="0.25">
      <c r="A2292" s="405">
        <v>3001736</v>
      </c>
      <c r="B2292" s="406">
        <v>42475</v>
      </c>
      <c r="C2292" s="405" t="s">
        <v>141</v>
      </c>
      <c r="D2292" s="401" t="s">
        <v>5346</v>
      </c>
      <c r="E2292" s="120">
        <v>1400</v>
      </c>
      <c r="F2292" s="133" t="s">
        <v>5347</v>
      </c>
      <c r="G2292" s="404" t="s">
        <v>45</v>
      </c>
      <c r="H2292" s="411">
        <v>18200</v>
      </c>
      <c r="I2292" s="411">
        <v>0</v>
      </c>
      <c r="J2292" s="391">
        <f>-((H2292*0.0325)+0.3)</f>
        <v>-591.79999999999995</v>
      </c>
      <c r="K2292" s="90">
        <f t="shared" si="413"/>
        <v>17608.2</v>
      </c>
      <c r="L2292" s="187">
        <v>10230</v>
      </c>
      <c r="M2292" s="131">
        <v>0</v>
      </c>
      <c r="N2292" s="91">
        <f t="shared" si="414"/>
        <v>14322.000000000002</v>
      </c>
      <c r="O2292" s="411">
        <f t="shared" si="405"/>
        <v>3286.1999999999989</v>
      </c>
      <c r="P2292" s="132" t="s">
        <v>66</v>
      </c>
      <c r="Q2292" s="232"/>
      <c r="R2292" s="411"/>
      <c r="T2292" s="134" t="s">
        <v>5348</v>
      </c>
      <c r="U2292" s="266" t="s">
        <v>1229</v>
      </c>
      <c r="W2292" s="153" t="s">
        <v>5349</v>
      </c>
      <c r="AA2292" s="218">
        <v>200</v>
      </c>
    </row>
    <row r="2293" spans="1:27" x14ac:dyDescent="0.25">
      <c r="A2293" s="419">
        <v>3001737</v>
      </c>
      <c r="B2293" s="421">
        <v>42475</v>
      </c>
      <c r="C2293" s="419" t="s">
        <v>327</v>
      </c>
      <c r="D2293" s="417" t="s">
        <v>5350</v>
      </c>
      <c r="E2293" s="120">
        <v>600</v>
      </c>
      <c r="F2293" s="133" t="s">
        <v>222</v>
      </c>
      <c r="G2293" s="434" t="s">
        <v>45</v>
      </c>
      <c r="H2293" s="427">
        <v>1175</v>
      </c>
      <c r="I2293" s="427">
        <v>0</v>
      </c>
      <c r="J2293" s="425">
        <f>-((H2293*0.022)+0.3)</f>
        <v>-26.15</v>
      </c>
      <c r="K2293" s="425">
        <f t="shared" si="413"/>
        <v>1148.8499999999999</v>
      </c>
      <c r="L2293" s="131">
        <v>930</v>
      </c>
      <c r="M2293" s="187">
        <v>103.8</v>
      </c>
      <c r="N2293" s="91">
        <f t="shared" si="414"/>
        <v>661.8</v>
      </c>
      <c r="O2293" s="411">
        <f t="shared" si="405"/>
        <v>487.04999999999995</v>
      </c>
      <c r="P2293" s="132" t="s">
        <v>52</v>
      </c>
      <c r="Q2293" s="232"/>
      <c r="R2293" s="411"/>
      <c r="T2293" s="134" t="s">
        <v>244</v>
      </c>
      <c r="U2293" s="267" t="s">
        <v>5351</v>
      </c>
      <c r="V2293" s="133" t="s">
        <v>55</v>
      </c>
      <c r="W2293" s="153" t="s">
        <v>5352</v>
      </c>
      <c r="AA2293" s="218">
        <v>10</v>
      </c>
    </row>
    <row r="2294" spans="1:27" ht="24" x14ac:dyDescent="0.25">
      <c r="A2294" s="420"/>
      <c r="B2294" s="422"/>
      <c r="C2294" s="420"/>
      <c r="D2294" s="418"/>
      <c r="E2294" s="120">
        <v>500</v>
      </c>
      <c r="F2294" s="133" t="s">
        <v>5353</v>
      </c>
      <c r="G2294" s="436"/>
      <c r="H2294" s="428"/>
      <c r="I2294" s="428"/>
      <c r="J2294" s="426"/>
      <c r="K2294" s="426"/>
      <c r="L2294" s="187">
        <v>281.11</v>
      </c>
      <c r="M2294" s="187">
        <v>23.95</v>
      </c>
      <c r="N2294" s="91">
        <f t="shared" si="414"/>
        <v>164.505</v>
      </c>
      <c r="O2294" s="411">
        <f t="shared" si="405"/>
        <v>-164.505</v>
      </c>
      <c r="P2294" s="132" t="s">
        <v>76</v>
      </c>
      <c r="Q2294" s="232"/>
      <c r="R2294" s="411"/>
      <c r="T2294" s="134" t="s">
        <v>145</v>
      </c>
      <c r="U2294" s="267" t="s">
        <v>5354</v>
      </c>
      <c r="V2294" s="133" t="s">
        <v>5355</v>
      </c>
      <c r="AA2294" s="218"/>
    </row>
    <row r="2295" spans="1:27" x14ac:dyDescent="0.25">
      <c r="A2295" s="405">
        <v>3001738</v>
      </c>
      <c r="B2295" s="406">
        <v>42475</v>
      </c>
      <c r="C2295" s="405" t="s">
        <v>63</v>
      </c>
      <c r="D2295" s="401" t="s">
        <v>5356</v>
      </c>
      <c r="E2295" s="120">
        <v>100</v>
      </c>
      <c r="F2295" s="133" t="s">
        <v>254</v>
      </c>
      <c r="G2295" s="404" t="s">
        <v>45</v>
      </c>
      <c r="H2295" s="411">
        <v>745.2</v>
      </c>
      <c r="I2295" s="411">
        <v>0</v>
      </c>
      <c r="J2295" s="391">
        <f>-((H2295*0.022)+0.3)</f>
        <v>-16.694400000000002</v>
      </c>
      <c r="K2295" s="396">
        <f t="shared" si="413"/>
        <v>728.50560000000007</v>
      </c>
      <c r="L2295" s="187">
        <v>4330.32</v>
      </c>
      <c r="M2295" s="187">
        <v>74.5</v>
      </c>
      <c r="N2295" s="91">
        <f t="shared" si="414"/>
        <v>507.53199999999998</v>
      </c>
      <c r="O2295" s="411">
        <f t="shared" si="405"/>
        <v>220.97360000000009</v>
      </c>
      <c r="P2295" s="132" t="s">
        <v>46</v>
      </c>
      <c r="Q2295" s="232"/>
      <c r="R2295" s="411">
        <v>55.2</v>
      </c>
      <c r="S2295" s="133" t="s">
        <v>52</v>
      </c>
      <c r="T2295" s="134" t="s">
        <v>851</v>
      </c>
      <c r="U2295" s="266" t="s">
        <v>5357</v>
      </c>
      <c r="V2295" s="133" t="s">
        <v>5358</v>
      </c>
      <c r="W2295" s="153" t="s">
        <v>5359</v>
      </c>
      <c r="AA2295" s="218"/>
    </row>
    <row r="2296" spans="1:27" ht="24" x14ac:dyDescent="0.25">
      <c r="A2296" s="405">
        <v>3001739</v>
      </c>
      <c r="B2296" s="406">
        <v>42475</v>
      </c>
      <c r="C2296" s="405" t="s">
        <v>63</v>
      </c>
      <c r="D2296" s="401" t="s">
        <v>5360</v>
      </c>
      <c r="E2296" s="120">
        <v>100</v>
      </c>
      <c r="F2296" s="133" t="s">
        <v>431</v>
      </c>
      <c r="G2296" s="404" t="s">
        <v>45</v>
      </c>
      <c r="H2296" s="411">
        <v>200</v>
      </c>
      <c r="I2296" s="411">
        <v>0</v>
      </c>
      <c r="J2296" s="391">
        <f>-((H2296*0.022)+0.3)</f>
        <v>-4.6999999999999993</v>
      </c>
      <c r="K2296" s="396">
        <f t="shared" si="413"/>
        <v>195.3</v>
      </c>
      <c r="L2296" s="131">
        <v>990</v>
      </c>
      <c r="M2296" s="187">
        <v>37.26</v>
      </c>
      <c r="N2296" s="91">
        <f t="shared" si="414"/>
        <v>136.26</v>
      </c>
      <c r="O2296" s="411">
        <f t="shared" si="405"/>
        <v>59.04000000000002</v>
      </c>
      <c r="P2296" s="132" t="s">
        <v>52</v>
      </c>
      <c r="Q2296" s="232"/>
      <c r="R2296" s="411"/>
      <c r="T2296" s="134" t="s">
        <v>145</v>
      </c>
      <c r="U2296" s="267" t="s">
        <v>5361</v>
      </c>
      <c r="W2296" s="153" t="s">
        <v>5362</v>
      </c>
      <c r="AA2296" s="218"/>
    </row>
    <row r="2297" spans="1:27" ht="24" x14ac:dyDescent="0.25">
      <c r="A2297" s="405">
        <v>3001740</v>
      </c>
      <c r="B2297" s="406">
        <v>42475</v>
      </c>
      <c r="C2297" s="405" t="s">
        <v>159</v>
      </c>
      <c r="D2297" s="401" t="s">
        <v>5363</v>
      </c>
      <c r="E2297" s="120">
        <v>5</v>
      </c>
      <c r="F2297" s="133" t="s">
        <v>277</v>
      </c>
      <c r="G2297" s="404" t="s">
        <v>45</v>
      </c>
      <c r="H2297" s="411">
        <v>29.85</v>
      </c>
      <c r="I2297" s="411">
        <v>0</v>
      </c>
      <c r="J2297" s="391">
        <f t="shared" ref="J2297:J2298" si="417">-((H2297*0.019)+0.3)</f>
        <v>-0.86715000000000009</v>
      </c>
      <c r="K2297" s="396">
        <f t="shared" si="413"/>
        <v>28.982850000000003</v>
      </c>
      <c r="M2297" s="187">
        <v>17.52</v>
      </c>
      <c r="N2297" s="91">
        <f t="shared" si="414"/>
        <v>17.52</v>
      </c>
      <c r="O2297" s="411">
        <f t="shared" si="405"/>
        <v>11.462850000000003</v>
      </c>
      <c r="P2297" s="132" t="s">
        <v>52</v>
      </c>
      <c r="Q2297" s="232"/>
      <c r="R2297" s="411"/>
      <c r="T2297" s="134" t="s">
        <v>145</v>
      </c>
      <c r="U2297" s="267" t="s">
        <v>5364</v>
      </c>
      <c r="W2297" s="153" t="s">
        <v>5365</v>
      </c>
      <c r="AA2297" s="218"/>
    </row>
    <row r="2298" spans="1:27" x14ac:dyDescent="0.25">
      <c r="A2298" s="405">
        <v>3001741</v>
      </c>
      <c r="B2298" s="406">
        <v>42475</v>
      </c>
      <c r="C2298" s="405" t="s">
        <v>42</v>
      </c>
      <c r="D2298" s="401" t="s">
        <v>5366</v>
      </c>
      <c r="E2298" s="120">
        <v>500</v>
      </c>
      <c r="F2298" s="133" t="s">
        <v>307</v>
      </c>
      <c r="G2298" s="404" t="s">
        <v>45</v>
      </c>
      <c r="H2298" s="411">
        <v>570</v>
      </c>
      <c r="I2298" s="89">
        <f t="shared" ref="I2298" si="418">-(H2298*0.09)</f>
        <v>-51.3</v>
      </c>
      <c r="J2298" s="391">
        <f t="shared" si="417"/>
        <v>-11.13</v>
      </c>
      <c r="K2298" s="396">
        <f t="shared" si="413"/>
        <v>507.57000000000005</v>
      </c>
      <c r="L2298" s="187">
        <v>725</v>
      </c>
      <c r="M2298" s="131">
        <v>0</v>
      </c>
      <c r="N2298" s="91">
        <f t="shared" si="414"/>
        <v>362.5</v>
      </c>
      <c r="O2298" s="411">
        <f t="shared" si="405"/>
        <v>145.07000000000005</v>
      </c>
      <c r="P2298" s="132" t="s">
        <v>66</v>
      </c>
      <c r="Q2298" s="232"/>
      <c r="R2298" s="411"/>
      <c r="T2298" s="134" t="s">
        <v>364</v>
      </c>
      <c r="U2298" s="267" t="s">
        <v>5367</v>
      </c>
      <c r="AA2298" s="218"/>
    </row>
    <row r="2299" spans="1:27" ht="24" x14ac:dyDescent="0.25">
      <c r="A2299" s="405">
        <v>3001742</v>
      </c>
      <c r="B2299" s="406">
        <v>42475</v>
      </c>
      <c r="C2299" s="405" t="s">
        <v>63</v>
      </c>
      <c r="D2299" s="401" t="s">
        <v>5368</v>
      </c>
      <c r="E2299" s="120">
        <v>100</v>
      </c>
      <c r="F2299" s="133" t="s">
        <v>277</v>
      </c>
      <c r="G2299" s="404" t="s">
        <v>45</v>
      </c>
      <c r="H2299" s="411">
        <v>570</v>
      </c>
      <c r="I2299" s="411">
        <v>0</v>
      </c>
      <c r="J2299" s="391">
        <f>-((H2299*0.022)+0.3)</f>
        <v>-12.84</v>
      </c>
      <c r="K2299" s="396">
        <f t="shared" si="413"/>
        <v>557.16</v>
      </c>
      <c r="M2299" s="187">
        <v>66.040000000000006</v>
      </c>
      <c r="N2299" s="91">
        <f t="shared" si="414"/>
        <v>66.040000000000006</v>
      </c>
      <c r="O2299" s="411">
        <f t="shared" si="405"/>
        <v>491.11999999999995</v>
      </c>
      <c r="P2299" s="132" t="s">
        <v>52</v>
      </c>
      <c r="Q2299" s="232"/>
      <c r="R2299" s="411"/>
      <c r="T2299" s="134" t="s">
        <v>145</v>
      </c>
      <c r="U2299" s="267" t="s">
        <v>5369</v>
      </c>
      <c r="W2299" s="153" t="s">
        <v>5370</v>
      </c>
      <c r="AA2299" s="218"/>
    </row>
    <row r="2300" spans="1:27" ht="24" x14ac:dyDescent="0.25">
      <c r="A2300" s="405">
        <v>3001743</v>
      </c>
      <c r="B2300" s="406">
        <v>42475</v>
      </c>
      <c r="C2300" s="405" t="s">
        <v>327</v>
      </c>
      <c r="D2300" s="401" t="s">
        <v>5371</v>
      </c>
      <c r="E2300" s="120">
        <v>30</v>
      </c>
      <c r="F2300" s="133" t="s">
        <v>161</v>
      </c>
      <c r="G2300" s="404" t="s">
        <v>45</v>
      </c>
      <c r="H2300" s="411">
        <v>73</v>
      </c>
      <c r="I2300" s="411">
        <v>0</v>
      </c>
      <c r="J2300" s="391">
        <f>-((H2300*0.022)+0.3)</f>
        <v>-1.9059999999999999</v>
      </c>
      <c r="K2300" s="396">
        <f t="shared" si="413"/>
        <v>71.093999999999994</v>
      </c>
      <c r="M2300" s="187">
        <v>32.44</v>
      </c>
      <c r="N2300" s="91">
        <f t="shared" si="414"/>
        <v>32.44</v>
      </c>
      <c r="O2300" s="411">
        <f t="shared" si="405"/>
        <v>38.653999999999996</v>
      </c>
      <c r="P2300" s="132" t="s">
        <v>52</v>
      </c>
      <c r="Q2300" s="232"/>
      <c r="R2300" s="411"/>
      <c r="T2300" s="134" t="s">
        <v>145</v>
      </c>
      <c r="U2300" s="267" t="s">
        <v>5372</v>
      </c>
      <c r="W2300" s="153" t="s">
        <v>5373</v>
      </c>
      <c r="AA2300" s="218"/>
    </row>
    <row r="2301" spans="1:27" ht="24" x14ac:dyDescent="0.25">
      <c r="A2301" s="405">
        <v>3001744</v>
      </c>
      <c r="B2301" s="406">
        <v>42475</v>
      </c>
      <c r="C2301" s="405" t="s">
        <v>42</v>
      </c>
      <c r="D2301" s="401" t="s">
        <v>5374</v>
      </c>
      <c r="E2301" s="120">
        <v>500</v>
      </c>
      <c r="F2301" s="133" t="s">
        <v>5375</v>
      </c>
      <c r="G2301" s="404" t="s">
        <v>45</v>
      </c>
      <c r="H2301" s="411">
        <v>159.5</v>
      </c>
      <c r="I2301" s="89">
        <f t="shared" ref="I2301:I2314" si="419">-(H2301*0.09)</f>
        <v>-14.354999999999999</v>
      </c>
      <c r="J2301" s="391">
        <f t="shared" ref="J2301:J2314" si="420">-((H2301*0.019)+0.3)</f>
        <v>-3.3304999999999998</v>
      </c>
      <c r="K2301" s="396">
        <f t="shared" si="413"/>
        <v>141.81450000000001</v>
      </c>
      <c r="L2301" s="187">
        <v>180</v>
      </c>
      <c r="M2301" s="187">
        <v>27.32</v>
      </c>
      <c r="N2301" s="91">
        <f t="shared" si="414"/>
        <v>117.32</v>
      </c>
      <c r="O2301" s="411">
        <f t="shared" si="405"/>
        <v>24.494500000000016</v>
      </c>
      <c r="P2301" s="132" t="s">
        <v>235</v>
      </c>
      <c r="Q2301" s="232"/>
      <c r="R2301" s="411"/>
      <c r="T2301" s="134" t="s">
        <v>145</v>
      </c>
      <c r="U2301" s="267" t="s">
        <v>5376</v>
      </c>
      <c r="AA2301" s="218"/>
    </row>
    <row r="2302" spans="1:27" ht="24" x14ac:dyDescent="0.25">
      <c r="A2302" s="405">
        <v>3001745</v>
      </c>
      <c r="B2302" s="406">
        <v>42475</v>
      </c>
      <c r="C2302" s="405" t="s">
        <v>42</v>
      </c>
      <c r="D2302" s="401" t="s">
        <v>5377</v>
      </c>
      <c r="E2302" s="120">
        <v>500</v>
      </c>
      <c r="F2302" s="133" t="s">
        <v>175</v>
      </c>
      <c r="G2302" s="404" t="s">
        <v>45</v>
      </c>
      <c r="H2302" s="411">
        <v>266.39</v>
      </c>
      <c r="I2302" s="89">
        <f t="shared" si="419"/>
        <v>-23.975099999999998</v>
      </c>
      <c r="J2302" s="391">
        <f t="shared" si="420"/>
        <v>-5.3614099999999993</v>
      </c>
      <c r="K2302" s="396">
        <f t="shared" si="413"/>
        <v>237.05348999999998</v>
      </c>
      <c r="L2302" s="131">
        <v>250</v>
      </c>
      <c r="M2302" s="187">
        <v>62.29</v>
      </c>
      <c r="N2302" s="91">
        <f t="shared" si="414"/>
        <v>187.29</v>
      </c>
      <c r="O2302" s="411">
        <f t="shared" si="405"/>
        <v>49.76348999999999</v>
      </c>
      <c r="P2302" s="132" t="s">
        <v>52</v>
      </c>
      <c r="Q2302" s="232"/>
      <c r="R2302" s="411"/>
      <c r="T2302" s="134" t="s">
        <v>145</v>
      </c>
      <c r="U2302" s="267" t="s">
        <v>5378</v>
      </c>
      <c r="AA2302" s="218"/>
    </row>
    <row r="2303" spans="1:27" ht="24" x14ac:dyDescent="0.25">
      <c r="A2303" s="405">
        <v>3001746</v>
      </c>
      <c r="B2303" s="406">
        <v>42475</v>
      </c>
      <c r="C2303" s="405" t="s">
        <v>42</v>
      </c>
      <c r="D2303" s="401" t="s">
        <v>5379</v>
      </c>
      <c r="E2303" s="120">
        <v>100</v>
      </c>
      <c r="F2303" s="133" t="s">
        <v>161</v>
      </c>
      <c r="G2303" s="404" t="s">
        <v>45</v>
      </c>
      <c r="H2303" s="411">
        <v>235</v>
      </c>
      <c r="I2303" s="89">
        <f t="shared" si="419"/>
        <v>-21.15</v>
      </c>
      <c r="J2303" s="391">
        <f t="shared" si="420"/>
        <v>-4.7649999999999997</v>
      </c>
      <c r="K2303" s="396">
        <f t="shared" si="413"/>
        <v>209.08500000000001</v>
      </c>
      <c r="L2303" s="131">
        <v>1322</v>
      </c>
      <c r="M2303" s="187">
        <v>29.26</v>
      </c>
      <c r="N2303" s="91">
        <f t="shared" si="414"/>
        <v>161.46</v>
      </c>
      <c r="O2303" s="411">
        <f t="shared" si="405"/>
        <v>47.625</v>
      </c>
      <c r="P2303" s="132" t="s">
        <v>52</v>
      </c>
      <c r="Q2303" s="232"/>
      <c r="R2303" s="411"/>
      <c r="T2303" s="134" t="s">
        <v>145</v>
      </c>
      <c r="U2303" s="267" t="s">
        <v>5380</v>
      </c>
      <c r="AA2303" s="218"/>
    </row>
    <row r="2304" spans="1:27" ht="24" x14ac:dyDescent="0.25">
      <c r="A2304" s="405">
        <v>3001747</v>
      </c>
      <c r="B2304" s="406">
        <v>42475</v>
      </c>
      <c r="C2304" s="405" t="s">
        <v>42</v>
      </c>
      <c r="D2304" s="401" t="s">
        <v>5381</v>
      </c>
      <c r="E2304" s="120">
        <v>200</v>
      </c>
      <c r="F2304" s="133" t="s">
        <v>451</v>
      </c>
      <c r="G2304" s="404" t="s">
        <v>45</v>
      </c>
      <c r="H2304" s="411">
        <v>114.84</v>
      </c>
      <c r="I2304" s="89">
        <f t="shared" si="419"/>
        <v>-10.335599999999999</v>
      </c>
      <c r="J2304" s="391">
        <f t="shared" si="420"/>
        <v>-2.4819599999999999</v>
      </c>
      <c r="K2304" s="396">
        <f t="shared" si="413"/>
        <v>102.02244</v>
      </c>
      <c r="L2304" s="131">
        <v>336.55</v>
      </c>
      <c r="M2304" s="187">
        <v>20.21</v>
      </c>
      <c r="N2304" s="91">
        <f t="shared" si="414"/>
        <v>87.52000000000001</v>
      </c>
      <c r="O2304" s="411">
        <f t="shared" si="405"/>
        <v>14.502439999999993</v>
      </c>
      <c r="P2304" s="132" t="s">
        <v>52</v>
      </c>
      <c r="Q2304" s="232"/>
      <c r="R2304" s="411"/>
      <c r="T2304" s="134" t="s">
        <v>145</v>
      </c>
      <c r="U2304" s="267" t="s">
        <v>5382</v>
      </c>
      <c r="AA2304" s="218"/>
    </row>
    <row r="2305" spans="1:27" ht="24" x14ac:dyDescent="0.25">
      <c r="A2305" s="405">
        <v>3001748</v>
      </c>
      <c r="B2305" s="406">
        <v>42475</v>
      </c>
      <c r="C2305" s="405" t="s">
        <v>42</v>
      </c>
      <c r="D2305" s="401" t="s">
        <v>5383</v>
      </c>
      <c r="E2305" s="120">
        <v>300</v>
      </c>
      <c r="F2305" s="133" t="s">
        <v>1547</v>
      </c>
      <c r="G2305" s="404" t="s">
        <v>45</v>
      </c>
      <c r="H2305" s="411">
        <v>287.51</v>
      </c>
      <c r="I2305" s="89">
        <f t="shared" si="419"/>
        <v>-25.875899999999998</v>
      </c>
      <c r="J2305" s="391">
        <f t="shared" si="420"/>
        <v>-5.7626899999999992</v>
      </c>
      <c r="K2305" s="396">
        <f t="shared" si="413"/>
        <v>255.87141</v>
      </c>
      <c r="L2305" s="131">
        <v>385</v>
      </c>
      <c r="M2305" s="187">
        <v>59.44</v>
      </c>
      <c r="N2305" s="91">
        <f t="shared" si="414"/>
        <v>174.94</v>
      </c>
      <c r="O2305" s="411">
        <f t="shared" si="405"/>
        <v>80.93141</v>
      </c>
      <c r="P2305" s="132" t="s">
        <v>52</v>
      </c>
      <c r="Q2305" s="232"/>
      <c r="R2305" s="411"/>
      <c r="T2305" s="134" t="s">
        <v>145</v>
      </c>
      <c r="U2305" s="267" t="s">
        <v>5384</v>
      </c>
      <c r="AA2305" s="218"/>
    </row>
    <row r="2306" spans="1:27" ht="24" x14ac:dyDescent="0.25">
      <c r="A2306" s="405">
        <v>3001749</v>
      </c>
      <c r="B2306" s="406">
        <v>42475</v>
      </c>
      <c r="C2306" s="405" t="s">
        <v>42</v>
      </c>
      <c r="D2306" s="401" t="s">
        <v>5385</v>
      </c>
      <c r="E2306" s="120">
        <v>250</v>
      </c>
      <c r="F2306" s="133" t="s">
        <v>1293</v>
      </c>
      <c r="G2306" s="404" t="s">
        <v>45</v>
      </c>
      <c r="H2306" s="411">
        <v>269.8</v>
      </c>
      <c r="I2306" s="89">
        <f t="shared" si="419"/>
        <v>-24.282</v>
      </c>
      <c r="J2306" s="391">
        <f t="shared" si="420"/>
        <v>-5.4261999999999997</v>
      </c>
      <c r="K2306" s="396">
        <f t="shared" si="413"/>
        <v>240.09180000000001</v>
      </c>
      <c r="L2306" s="131">
        <v>513</v>
      </c>
      <c r="M2306" s="187">
        <v>64.41</v>
      </c>
      <c r="N2306" s="91">
        <f t="shared" si="414"/>
        <v>192.66</v>
      </c>
      <c r="O2306" s="411">
        <f t="shared" si="405"/>
        <v>47.43180000000001</v>
      </c>
      <c r="P2306" s="132" t="s">
        <v>52</v>
      </c>
      <c r="Q2306" s="232"/>
      <c r="R2306" s="411"/>
      <c r="T2306" s="134" t="s">
        <v>145</v>
      </c>
      <c r="U2306" s="267" t="s">
        <v>5386</v>
      </c>
      <c r="AA2306" s="218"/>
    </row>
    <row r="2307" spans="1:27" ht="24" x14ac:dyDescent="0.25">
      <c r="A2307" s="405">
        <v>3001750</v>
      </c>
      <c r="B2307" s="406">
        <v>42475</v>
      </c>
      <c r="C2307" s="405" t="s">
        <v>42</v>
      </c>
      <c r="D2307" s="401" t="s">
        <v>212</v>
      </c>
      <c r="E2307" s="120">
        <v>125</v>
      </c>
      <c r="F2307" s="133" t="s">
        <v>288</v>
      </c>
      <c r="G2307" s="404" t="s">
        <v>45</v>
      </c>
      <c r="H2307" s="411">
        <v>258.39999999999998</v>
      </c>
      <c r="I2307" s="89">
        <f t="shared" si="419"/>
        <v>-23.255999999999997</v>
      </c>
      <c r="J2307" s="391">
        <f t="shared" si="420"/>
        <v>-5.2095999999999991</v>
      </c>
      <c r="K2307" s="396">
        <f t="shared" si="413"/>
        <v>229.93439999999998</v>
      </c>
      <c r="L2307" s="131">
        <v>950</v>
      </c>
      <c r="M2307" s="187">
        <v>39.71</v>
      </c>
      <c r="N2307" s="91">
        <f t="shared" si="414"/>
        <v>158.46</v>
      </c>
      <c r="O2307" s="411">
        <f t="shared" si="405"/>
        <v>71.474399999999974</v>
      </c>
      <c r="P2307" s="132" t="s">
        <v>52</v>
      </c>
      <c r="Q2307" s="232"/>
      <c r="R2307" s="411"/>
      <c r="T2307" s="134" t="s">
        <v>145</v>
      </c>
      <c r="U2307" s="267" t="s">
        <v>5387</v>
      </c>
      <c r="AA2307" s="218"/>
    </row>
    <row r="2308" spans="1:27" ht="24" x14ac:dyDescent="0.25">
      <c r="A2308" s="405">
        <v>3001751</v>
      </c>
      <c r="B2308" s="406">
        <v>42475</v>
      </c>
      <c r="C2308" s="405" t="s">
        <v>42</v>
      </c>
      <c r="D2308" s="401" t="s">
        <v>5388</v>
      </c>
      <c r="E2308" s="120">
        <v>100</v>
      </c>
      <c r="F2308" s="133" t="s">
        <v>1707</v>
      </c>
      <c r="G2308" s="404" t="s">
        <v>45</v>
      </c>
      <c r="H2308" s="411">
        <v>119.44</v>
      </c>
      <c r="I2308" s="89">
        <f t="shared" si="419"/>
        <v>-10.749599999999999</v>
      </c>
      <c r="J2308" s="391">
        <f t="shared" si="420"/>
        <v>-2.5693599999999996</v>
      </c>
      <c r="K2308" s="396">
        <f t="shared" si="413"/>
        <v>106.12103999999999</v>
      </c>
      <c r="M2308" s="187">
        <v>13.71</v>
      </c>
      <c r="N2308" s="91">
        <f t="shared" si="414"/>
        <v>13.71</v>
      </c>
      <c r="O2308" s="411">
        <f t="shared" si="405"/>
        <v>92.411039999999986</v>
      </c>
      <c r="P2308" s="132" t="s">
        <v>52</v>
      </c>
      <c r="Q2308" s="232"/>
      <c r="R2308" s="411"/>
      <c r="T2308" s="134" t="s">
        <v>145</v>
      </c>
      <c r="U2308" s="267" t="s">
        <v>5389</v>
      </c>
      <c r="AA2308" s="218"/>
    </row>
    <row r="2309" spans="1:27" ht="24" x14ac:dyDescent="0.25">
      <c r="A2309" s="405">
        <v>3001752</v>
      </c>
      <c r="B2309" s="406">
        <v>42475</v>
      </c>
      <c r="C2309" s="405" t="s">
        <v>42</v>
      </c>
      <c r="D2309" s="401" t="s">
        <v>5390</v>
      </c>
      <c r="E2309" s="120">
        <v>250</v>
      </c>
      <c r="F2309" s="133" t="s">
        <v>605</v>
      </c>
      <c r="G2309" s="404" t="s">
        <v>45</v>
      </c>
      <c r="H2309" s="411">
        <v>358.71</v>
      </c>
      <c r="I2309" s="89">
        <f t="shared" si="419"/>
        <v>-32.283899999999996</v>
      </c>
      <c r="J2309" s="391">
        <f t="shared" si="420"/>
        <v>-7.1154899999999994</v>
      </c>
      <c r="K2309" s="396">
        <f t="shared" si="413"/>
        <v>319.31060999999994</v>
      </c>
      <c r="L2309" s="131">
        <v>600</v>
      </c>
      <c r="M2309" s="187">
        <v>55.04</v>
      </c>
      <c r="N2309" s="91">
        <f t="shared" si="414"/>
        <v>205.04</v>
      </c>
      <c r="O2309" s="411">
        <f t="shared" si="405"/>
        <v>114.27060999999995</v>
      </c>
      <c r="P2309" s="132" t="s">
        <v>52</v>
      </c>
      <c r="Q2309" s="232"/>
      <c r="R2309" s="411"/>
      <c r="T2309" s="134" t="s">
        <v>145</v>
      </c>
      <c r="U2309" s="267" t="s">
        <v>5391</v>
      </c>
      <c r="AA2309" s="218"/>
    </row>
    <row r="2310" spans="1:27" ht="24" x14ac:dyDescent="0.25">
      <c r="A2310" s="405">
        <v>3001753</v>
      </c>
      <c r="B2310" s="406">
        <v>42475</v>
      </c>
      <c r="C2310" s="405" t="s">
        <v>42</v>
      </c>
      <c r="D2310" s="401" t="s">
        <v>5392</v>
      </c>
      <c r="E2310" s="120">
        <v>250</v>
      </c>
      <c r="F2310" s="133" t="s">
        <v>1137</v>
      </c>
      <c r="G2310" s="404" t="s">
        <v>45</v>
      </c>
      <c r="H2310" s="411">
        <v>126.35</v>
      </c>
      <c r="I2310" s="89">
        <f t="shared" si="419"/>
        <v>-11.371499999999999</v>
      </c>
      <c r="J2310" s="391">
        <f t="shared" si="420"/>
        <v>-2.7006499999999996</v>
      </c>
      <c r="K2310" s="396">
        <f t="shared" si="413"/>
        <v>112.27785</v>
      </c>
      <c r="L2310" s="131">
        <v>220</v>
      </c>
      <c r="M2310" s="187">
        <v>35.799999999999997</v>
      </c>
      <c r="N2310" s="91">
        <f t="shared" si="414"/>
        <v>90.8</v>
      </c>
      <c r="O2310" s="411">
        <f t="shared" si="405"/>
        <v>21.477850000000004</v>
      </c>
      <c r="P2310" s="132" t="s">
        <v>52</v>
      </c>
      <c r="Q2310" s="232"/>
      <c r="R2310" s="411"/>
      <c r="T2310" s="134" t="s">
        <v>145</v>
      </c>
      <c r="U2310" s="267" t="s">
        <v>5393</v>
      </c>
      <c r="AA2310" s="218"/>
    </row>
    <row r="2311" spans="1:27" ht="24" x14ac:dyDescent="0.25">
      <c r="A2311" s="405">
        <v>3001754</v>
      </c>
      <c r="B2311" s="406">
        <v>42475</v>
      </c>
      <c r="C2311" s="405" t="s">
        <v>42</v>
      </c>
      <c r="D2311" s="401" t="s">
        <v>5394</v>
      </c>
      <c r="E2311" s="120">
        <v>500</v>
      </c>
      <c r="F2311" s="133" t="s">
        <v>451</v>
      </c>
      <c r="G2311" s="404" t="s">
        <v>45</v>
      </c>
      <c r="H2311" s="411">
        <v>287.10000000000002</v>
      </c>
      <c r="I2311" s="89">
        <f t="shared" si="419"/>
        <v>-25.839000000000002</v>
      </c>
      <c r="J2311" s="391">
        <f t="shared" si="420"/>
        <v>-5.7549000000000001</v>
      </c>
      <c r="K2311" s="396">
        <f t="shared" si="413"/>
        <v>255.50610000000003</v>
      </c>
      <c r="L2311" s="131">
        <v>336.55</v>
      </c>
      <c r="M2311" s="187">
        <v>42.43</v>
      </c>
      <c r="N2311" s="91">
        <f t="shared" si="414"/>
        <v>210.70500000000001</v>
      </c>
      <c r="O2311" s="411">
        <f t="shared" si="405"/>
        <v>44.801100000000019</v>
      </c>
      <c r="P2311" s="132" t="s">
        <v>52</v>
      </c>
      <c r="Q2311" s="232"/>
      <c r="R2311" s="411"/>
      <c r="T2311" s="134" t="s">
        <v>145</v>
      </c>
      <c r="U2311" s="267" t="s">
        <v>5395</v>
      </c>
      <c r="AA2311" s="218"/>
    </row>
    <row r="2312" spans="1:27" ht="36" x14ac:dyDescent="0.25">
      <c r="A2312" s="405">
        <v>3001755</v>
      </c>
      <c r="B2312" s="406">
        <v>42475</v>
      </c>
      <c r="C2312" s="405" t="s">
        <v>42</v>
      </c>
      <c r="D2312" s="401" t="s">
        <v>5396</v>
      </c>
      <c r="E2312" s="120">
        <v>2000</v>
      </c>
      <c r="F2312" s="119" t="s">
        <v>5397</v>
      </c>
      <c r="G2312" s="404" t="s">
        <v>45</v>
      </c>
      <c r="H2312" s="411">
        <v>580.72</v>
      </c>
      <c r="I2312" s="89">
        <f t="shared" si="419"/>
        <v>-52.264800000000001</v>
      </c>
      <c r="J2312" s="391">
        <f t="shared" si="420"/>
        <v>-11.333680000000001</v>
      </c>
      <c r="K2312" s="396">
        <f t="shared" si="413"/>
        <v>517.12152000000003</v>
      </c>
      <c r="L2312" s="187">
        <v>145</v>
      </c>
      <c r="M2312" s="187">
        <v>43.72</v>
      </c>
      <c r="N2312" s="91">
        <f t="shared" si="414"/>
        <v>333.72</v>
      </c>
      <c r="O2312" s="411">
        <f t="shared" si="405"/>
        <v>183.40152</v>
      </c>
      <c r="P2312" s="132" t="s">
        <v>183</v>
      </c>
      <c r="Q2312" s="232"/>
      <c r="R2312" s="411"/>
      <c r="T2312" s="134" t="s">
        <v>324</v>
      </c>
      <c r="U2312" s="266" t="s">
        <v>5398</v>
      </c>
      <c r="AA2312" s="218"/>
    </row>
    <row r="2313" spans="1:27" ht="24" x14ac:dyDescent="0.25">
      <c r="A2313" s="405">
        <v>3001756</v>
      </c>
      <c r="B2313" s="406">
        <v>42475</v>
      </c>
      <c r="C2313" s="405" t="s">
        <v>42</v>
      </c>
      <c r="D2313" s="401" t="s">
        <v>5399</v>
      </c>
      <c r="E2313" s="120">
        <v>100</v>
      </c>
      <c r="F2313" s="133" t="s">
        <v>829</v>
      </c>
      <c r="G2313" s="404" t="s">
        <v>45</v>
      </c>
      <c r="H2313" s="411">
        <v>114</v>
      </c>
      <c r="I2313" s="89">
        <f t="shared" si="419"/>
        <v>-10.26</v>
      </c>
      <c r="J2313" s="391">
        <f t="shared" si="420"/>
        <v>-2.4659999999999997</v>
      </c>
      <c r="K2313" s="396">
        <f t="shared" si="413"/>
        <v>101.274</v>
      </c>
      <c r="L2313" s="131">
        <v>510</v>
      </c>
      <c r="M2313" s="187">
        <v>28.69</v>
      </c>
      <c r="N2313" s="91">
        <f t="shared" si="414"/>
        <v>79.69</v>
      </c>
      <c r="O2313" s="411">
        <f t="shared" si="405"/>
        <v>21.584000000000003</v>
      </c>
      <c r="P2313" s="132" t="s">
        <v>52</v>
      </c>
      <c r="Q2313" s="232"/>
      <c r="R2313" s="411"/>
      <c r="T2313" s="134" t="s">
        <v>145</v>
      </c>
      <c r="U2313" s="267" t="s">
        <v>5400</v>
      </c>
      <c r="AA2313" s="218"/>
    </row>
    <row r="2314" spans="1:27" ht="24" x14ac:dyDescent="0.25">
      <c r="A2314" s="405">
        <v>3001757</v>
      </c>
      <c r="B2314" s="406">
        <v>42475</v>
      </c>
      <c r="C2314" s="405" t="s">
        <v>42</v>
      </c>
      <c r="D2314" s="401" t="s">
        <v>5401</v>
      </c>
      <c r="E2314" s="120">
        <v>450</v>
      </c>
      <c r="F2314" s="133" t="s">
        <v>877</v>
      </c>
      <c r="G2314" s="404" t="s">
        <v>45</v>
      </c>
      <c r="H2314" s="411">
        <v>332.81</v>
      </c>
      <c r="I2314" s="89">
        <f t="shared" si="419"/>
        <v>-29.9529</v>
      </c>
      <c r="J2314" s="391">
        <f t="shared" si="420"/>
        <v>-6.6233899999999997</v>
      </c>
      <c r="K2314" s="396">
        <f t="shared" si="413"/>
        <v>296.23371000000003</v>
      </c>
      <c r="L2314" s="131">
        <v>235</v>
      </c>
      <c r="M2314" s="187">
        <v>47.37</v>
      </c>
      <c r="N2314" s="91">
        <f t="shared" si="414"/>
        <v>153.12</v>
      </c>
      <c r="O2314" s="411">
        <f t="shared" si="405"/>
        <v>143.11371000000003</v>
      </c>
      <c r="P2314" s="132" t="s">
        <v>52</v>
      </c>
      <c r="Q2314" s="232"/>
      <c r="R2314" s="411"/>
      <c r="T2314" s="134" t="s">
        <v>145</v>
      </c>
      <c r="U2314" s="267" t="s">
        <v>5402</v>
      </c>
      <c r="AA2314" s="218"/>
    </row>
    <row r="2315" spans="1:27" ht="30" x14ac:dyDescent="0.25">
      <c r="A2315" s="419">
        <v>3001758</v>
      </c>
      <c r="B2315" s="421">
        <v>42475</v>
      </c>
      <c r="C2315" s="419" t="s">
        <v>327</v>
      </c>
      <c r="D2315" s="417" t="s">
        <v>5403</v>
      </c>
      <c r="E2315" s="120">
        <v>415</v>
      </c>
      <c r="F2315" s="133" t="s">
        <v>5404</v>
      </c>
      <c r="G2315" s="434" t="s">
        <v>45</v>
      </c>
      <c r="H2315" s="427">
        <v>6947.6</v>
      </c>
      <c r="I2315" s="427">
        <v>0</v>
      </c>
      <c r="J2315" s="391">
        <f t="shared" ref="J2315:J2316" si="421">-((H2315*0.019)+0.3)</f>
        <v>-132.30440000000002</v>
      </c>
      <c r="K2315" s="396">
        <f t="shared" ref="K2315:K2316" si="422">SUM(H2315:J2315)</f>
        <v>6815.2956000000004</v>
      </c>
      <c r="L2315" s="187">
        <v>9890</v>
      </c>
      <c r="M2315" s="187">
        <v>189.06</v>
      </c>
      <c r="N2315" s="91">
        <f t="shared" si="414"/>
        <v>4293.4100000000008</v>
      </c>
      <c r="O2315" s="411">
        <f t="shared" si="405"/>
        <v>2521.8855999999996</v>
      </c>
      <c r="P2315" s="132" t="s">
        <v>330</v>
      </c>
      <c r="Q2315" s="232"/>
      <c r="R2315" s="411"/>
      <c r="T2315" s="134" t="s">
        <v>97</v>
      </c>
      <c r="U2315" s="267" t="s">
        <v>5405</v>
      </c>
      <c r="V2315" s="207" t="s">
        <v>5406</v>
      </c>
      <c r="W2315" s="153" t="s">
        <v>5407</v>
      </c>
      <c r="AA2315" s="218"/>
    </row>
    <row r="2316" spans="1:27" ht="36" x14ac:dyDescent="0.25">
      <c r="A2316" s="420"/>
      <c r="B2316" s="422"/>
      <c r="C2316" s="420"/>
      <c r="D2316" s="418"/>
      <c r="E2316" s="120">
        <v>470</v>
      </c>
      <c r="F2316" s="133" t="s">
        <v>5408</v>
      </c>
      <c r="G2316" s="436"/>
      <c r="H2316" s="428"/>
      <c r="I2316" s="428"/>
      <c r="J2316" s="391">
        <f t="shared" si="421"/>
        <v>-0.3</v>
      </c>
      <c r="K2316" s="396">
        <f t="shared" si="422"/>
        <v>-0.3</v>
      </c>
      <c r="L2316" s="187">
        <v>2840</v>
      </c>
      <c r="M2316" s="131">
        <v>0</v>
      </c>
      <c r="N2316" s="91">
        <f t="shared" si="414"/>
        <v>1334.8000000000002</v>
      </c>
      <c r="O2316" s="411">
        <f t="shared" ref="O2316:O2379" si="423">K2316-N2316</f>
        <v>-1335.1000000000001</v>
      </c>
      <c r="P2316" s="132" t="s">
        <v>59</v>
      </c>
      <c r="Q2316" s="232"/>
      <c r="R2316" s="411"/>
      <c r="T2316" s="134" t="s">
        <v>60</v>
      </c>
      <c r="U2316" s="267" t="s">
        <v>5409</v>
      </c>
      <c r="V2316" s="133" t="s">
        <v>5410</v>
      </c>
      <c r="AA2316" s="218"/>
    </row>
    <row r="2317" spans="1:27" ht="24" x14ac:dyDescent="0.25">
      <c r="A2317" s="405">
        <v>3001759</v>
      </c>
      <c r="B2317" s="406">
        <v>42475</v>
      </c>
      <c r="C2317" s="405" t="s">
        <v>42</v>
      </c>
      <c r="D2317" s="401" t="s">
        <v>5411</v>
      </c>
      <c r="E2317" s="120">
        <v>100</v>
      </c>
      <c r="F2317" s="133" t="s">
        <v>161</v>
      </c>
      <c r="G2317" s="404" t="s">
        <v>45</v>
      </c>
      <c r="H2317" s="411">
        <v>235</v>
      </c>
      <c r="I2317" s="89">
        <f t="shared" ref="I2317" si="424">-(H2317*0.09)</f>
        <v>-21.15</v>
      </c>
      <c r="J2317" s="391">
        <f t="shared" ref="J2317" si="425">-((H2317*0.019)+0.3)</f>
        <v>-4.7649999999999997</v>
      </c>
      <c r="K2317" s="396">
        <f t="shared" ref="K2317:K2319" si="426">SUM(H2317:J2317)</f>
        <v>209.08500000000001</v>
      </c>
      <c r="L2317" s="131">
        <v>1322</v>
      </c>
      <c r="M2317" s="187">
        <v>26.45</v>
      </c>
      <c r="N2317" s="91">
        <f t="shared" si="414"/>
        <v>158.65</v>
      </c>
      <c r="O2317" s="411">
        <f t="shared" si="423"/>
        <v>50.435000000000002</v>
      </c>
      <c r="P2317" s="132" t="s">
        <v>52</v>
      </c>
      <c r="Q2317" s="232"/>
      <c r="R2317" s="411"/>
      <c r="T2317" s="134" t="s">
        <v>145</v>
      </c>
      <c r="U2317" s="267" t="s">
        <v>5412</v>
      </c>
      <c r="AA2317" s="218"/>
    </row>
    <row r="2318" spans="1:27" ht="24" x14ac:dyDescent="0.25">
      <c r="A2318" s="405">
        <v>3001760</v>
      </c>
      <c r="B2318" s="406">
        <v>42475</v>
      </c>
      <c r="C2318" s="405" t="s">
        <v>237</v>
      </c>
      <c r="D2318" s="401" t="s">
        <v>5413</v>
      </c>
      <c r="E2318" s="120">
        <v>70</v>
      </c>
      <c r="F2318" s="133" t="s">
        <v>860</v>
      </c>
      <c r="G2318" s="404" t="s">
        <v>45</v>
      </c>
      <c r="H2318" s="411">
        <v>348.49</v>
      </c>
      <c r="I2318" s="397">
        <f>-(H2318*0.15)</f>
        <v>-52.273499999999999</v>
      </c>
      <c r="J2318" s="411">
        <v>0</v>
      </c>
      <c r="K2318" s="396">
        <f t="shared" si="426"/>
        <v>296.2165</v>
      </c>
      <c r="L2318" s="131">
        <v>3700</v>
      </c>
      <c r="M2318" s="187">
        <v>60.4</v>
      </c>
      <c r="N2318" s="91">
        <f t="shared" si="414"/>
        <v>319.39999999999998</v>
      </c>
      <c r="O2318" s="411">
        <f t="shared" si="423"/>
        <v>-23.183499999999981</v>
      </c>
      <c r="P2318" s="132" t="s">
        <v>52</v>
      </c>
      <c r="Q2318" s="232"/>
      <c r="R2318" s="411"/>
      <c r="T2318" s="134" t="s">
        <v>145</v>
      </c>
      <c r="U2318" s="267" t="s">
        <v>5414</v>
      </c>
      <c r="AA2318" s="218"/>
    </row>
    <row r="2319" spans="1:27" ht="24" x14ac:dyDescent="0.25">
      <c r="A2319" s="419">
        <v>3001761</v>
      </c>
      <c r="B2319" s="421">
        <v>42475</v>
      </c>
      <c r="C2319" s="419" t="s">
        <v>5415</v>
      </c>
      <c r="D2319" s="417" t="s">
        <v>1192</v>
      </c>
      <c r="E2319" s="120">
        <v>10000</v>
      </c>
      <c r="F2319" s="133" t="s">
        <v>688</v>
      </c>
      <c r="G2319" s="434" t="s">
        <v>45</v>
      </c>
      <c r="H2319" s="427">
        <v>20077.5</v>
      </c>
      <c r="I2319" s="427">
        <v>0</v>
      </c>
      <c r="J2319" s="425">
        <v>-264.3</v>
      </c>
      <c r="K2319" s="425">
        <f t="shared" si="426"/>
        <v>19813.2</v>
      </c>
      <c r="L2319" s="187">
        <v>865</v>
      </c>
      <c r="N2319" s="91">
        <f t="shared" si="414"/>
        <v>8650</v>
      </c>
      <c r="O2319" s="411">
        <f t="shared" si="423"/>
        <v>11163.2</v>
      </c>
      <c r="P2319" s="132" t="s">
        <v>66</v>
      </c>
      <c r="Q2319" s="232"/>
      <c r="R2319" s="411"/>
      <c r="T2319" s="134" t="s">
        <v>260</v>
      </c>
      <c r="U2319" s="267" t="s">
        <v>5416</v>
      </c>
      <c r="V2319" s="133" t="s">
        <v>3181</v>
      </c>
      <c r="W2319" s="153" t="s">
        <v>2090</v>
      </c>
      <c r="AA2319" s="218"/>
    </row>
    <row r="2320" spans="1:27" x14ac:dyDescent="0.25">
      <c r="A2320" s="432"/>
      <c r="B2320" s="433"/>
      <c r="C2320" s="432"/>
      <c r="D2320" s="454"/>
      <c r="E2320" s="120">
        <v>750</v>
      </c>
      <c r="F2320" s="133" t="s">
        <v>5417</v>
      </c>
      <c r="G2320" s="435"/>
      <c r="H2320" s="438"/>
      <c r="I2320" s="438"/>
      <c r="J2320" s="437"/>
      <c r="K2320" s="437"/>
      <c r="L2320" s="187">
        <v>1100</v>
      </c>
      <c r="M2320" s="187">
        <v>115</v>
      </c>
      <c r="N2320" s="91">
        <f t="shared" si="414"/>
        <v>940</v>
      </c>
      <c r="O2320" s="411">
        <f t="shared" si="423"/>
        <v>-940</v>
      </c>
      <c r="P2320" s="132" t="s">
        <v>183</v>
      </c>
      <c r="Q2320" s="232"/>
      <c r="R2320" s="411"/>
      <c r="T2320" s="134" t="s">
        <v>314</v>
      </c>
      <c r="U2320" s="267" t="s">
        <v>5418</v>
      </c>
      <c r="V2320" s="133" t="s">
        <v>5419</v>
      </c>
      <c r="AA2320" s="218"/>
    </row>
    <row r="2321" spans="1:27" ht="24" x14ac:dyDescent="0.25">
      <c r="A2321" s="432"/>
      <c r="B2321" s="433"/>
      <c r="C2321" s="432"/>
      <c r="D2321" s="454"/>
      <c r="E2321" s="120">
        <v>5000</v>
      </c>
      <c r="F2321" s="133" t="s">
        <v>5420</v>
      </c>
      <c r="G2321" s="435"/>
      <c r="H2321" s="438"/>
      <c r="I2321" s="438"/>
      <c r="J2321" s="437"/>
      <c r="K2321" s="437"/>
      <c r="L2321" s="187">
        <v>520</v>
      </c>
      <c r="N2321" s="91">
        <f t="shared" si="414"/>
        <v>2600</v>
      </c>
      <c r="O2321" s="411">
        <f t="shared" si="423"/>
        <v>-2600</v>
      </c>
      <c r="P2321" s="132" t="s">
        <v>46</v>
      </c>
      <c r="Q2321" s="232"/>
      <c r="R2321" s="411"/>
      <c r="T2321" s="134" t="s">
        <v>260</v>
      </c>
      <c r="U2321" s="267" t="s">
        <v>5421</v>
      </c>
      <c r="V2321" s="133" t="s">
        <v>5422</v>
      </c>
      <c r="AA2321" s="218"/>
    </row>
    <row r="2322" spans="1:27" x14ac:dyDescent="0.25">
      <c r="A2322" s="420"/>
      <c r="B2322" s="422"/>
      <c r="C2322" s="420"/>
      <c r="D2322" s="418"/>
      <c r="E2322" s="120">
        <v>2500</v>
      </c>
      <c r="F2322" s="133" t="s">
        <v>4066</v>
      </c>
      <c r="G2322" s="436"/>
      <c r="H2322" s="428"/>
      <c r="I2322" s="428"/>
      <c r="J2322" s="426"/>
      <c r="K2322" s="426"/>
      <c r="L2322" s="187">
        <v>680</v>
      </c>
      <c r="N2322" s="91">
        <f t="shared" si="414"/>
        <v>1700</v>
      </c>
      <c r="O2322" s="411">
        <f t="shared" si="423"/>
        <v>-1700</v>
      </c>
      <c r="P2322" s="132" t="s">
        <v>66</v>
      </c>
      <c r="Q2322" s="232"/>
      <c r="R2322" s="411"/>
      <c r="T2322" s="134" t="s">
        <v>314</v>
      </c>
      <c r="U2322" s="301">
        <v>3924078115</v>
      </c>
      <c r="V2322" s="133" t="s">
        <v>5423</v>
      </c>
      <c r="AA2322" s="218"/>
    </row>
    <row r="2323" spans="1:27" x14ac:dyDescent="0.25">
      <c r="A2323" s="419">
        <v>3001762</v>
      </c>
      <c r="B2323" s="421">
        <v>42475</v>
      </c>
      <c r="C2323" s="419" t="s">
        <v>56</v>
      </c>
      <c r="D2323" s="417" t="s">
        <v>783</v>
      </c>
      <c r="E2323" s="120">
        <v>862</v>
      </c>
      <c r="F2323" s="133" t="s">
        <v>5424</v>
      </c>
      <c r="G2323" s="434" t="s">
        <v>45</v>
      </c>
      <c r="H2323" s="427">
        <v>53329.04</v>
      </c>
      <c r="I2323" s="427">
        <v>0</v>
      </c>
      <c r="J2323" s="427">
        <v>0</v>
      </c>
      <c r="K2323" s="425">
        <f t="shared" ref="K2323" si="427">SUM(H2323:J2323)</f>
        <v>53329.04</v>
      </c>
      <c r="L2323" s="187">
        <v>293.12</v>
      </c>
      <c r="N2323" s="91">
        <f t="shared" si="414"/>
        <v>252.66944000000001</v>
      </c>
      <c r="O2323" s="411">
        <f t="shared" si="423"/>
        <v>53076.370560000003</v>
      </c>
      <c r="P2323" s="132" t="s">
        <v>638</v>
      </c>
      <c r="Q2323" s="232"/>
      <c r="R2323" s="411"/>
      <c r="T2323" s="470" t="s">
        <v>5425</v>
      </c>
      <c r="U2323" s="505">
        <v>4348057</v>
      </c>
      <c r="V2323" s="133" t="s">
        <v>5426</v>
      </c>
      <c r="AA2323" s="218"/>
    </row>
    <row r="2324" spans="1:27" x14ac:dyDescent="0.25">
      <c r="A2324" s="432"/>
      <c r="B2324" s="433"/>
      <c r="C2324" s="432"/>
      <c r="D2324" s="454"/>
      <c r="E2324" s="120">
        <v>991</v>
      </c>
      <c r="F2324" s="133" t="s">
        <v>5427</v>
      </c>
      <c r="G2324" s="435"/>
      <c r="H2324" s="438"/>
      <c r="I2324" s="438"/>
      <c r="J2324" s="438"/>
      <c r="K2324" s="437"/>
      <c r="L2324" s="187">
        <v>586.24</v>
      </c>
      <c r="N2324" s="91">
        <f t="shared" si="414"/>
        <v>580.96384</v>
      </c>
      <c r="O2324" s="411">
        <f t="shared" si="423"/>
        <v>-580.96384</v>
      </c>
      <c r="P2324" s="132" t="s">
        <v>638</v>
      </c>
      <c r="Q2324" s="232"/>
      <c r="R2324" s="411"/>
      <c r="T2324" s="471"/>
      <c r="U2324" s="506"/>
      <c r="AA2324" s="218"/>
    </row>
    <row r="2325" spans="1:27" x14ac:dyDescent="0.25">
      <c r="A2325" s="432"/>
      <c r="B2325" s="433"/>
      <c r="C2325" s="432"/>
      <c r="D2325" s="454"/>
      <c r="E2325" s="120">
        <v>600</v>
      </c>
      <c r="F2325" s="133" t="s">
        <v>5428</v>
      </c>
      <c r="G2325" s="435"/>
      <c r="H2325" s="438"/>
      <c r="I2325" s="438"/>
      <c r="J2325" s="438"/>
      <c r="K2325" s="437"/>
      <c r="L2325" s="187">
        <v>940.95</v>
      </c>
      <c r="N2325" s="91">
        <f t="shared" si="414"/>
        <v>564.57000000000005</v>
      </c>
      <c r="O2325" s="411">
        <f t="shared" si="423"/>
        <v>-564.57000000000005</v>
      </c>
      <c r="P2325" s="132" t="s">
        <v>638</v>
      </c>
      <c r="Q2325" s="232"/>
      <c r="R2325" s="411"/>
      <c r="T2325" s="471"/>
      <c r="U2325" s="506"/>
      <c r="AA2325" s="218"/>
    </row>
    <row r="2326" spans="1:27" x14ac:dyDescent="0.25">
      <c r="A2326" s="432"/>
      <c r="B2326" s="433"/>
      <c r="C2326" s="432"/>
      <c r="D2326" s="454"/>
      <c r="E2326" s="120">
        <v>2681</v>
      </c>
      <c r="F2326" s="133" t="s">
        <v>5429</v>
      </c>
      <c r="G2326" s="435"/>
      <c r="H2326" s="438"/>
      <c r="I2326" s="438"/>
      <c r="J2326" s="438"/>
      <c r="K2326" s="437"/>
      <c r="L2326" s="187">
        <v>1165.6099999999999</v>
      </c>
      <c r="N2326" s="91">
        <f t="shared" si="414"/>
        <v>3125.0004099999996</v>
      </c>
      <c r="O2326" s="411">
        <f t="shared" si="423"/>
        <v>-3125.0004099999996</v>
      </c>
      <c r="P2326" s="132" t="s">
        <v>638</v>
      </c>
      <c r="Q2326" s="232"/>
      <c r="R2326" s="411"/>
      <c r="T2326" s="471"/>
      <c r="U2326" s="506"/>
      <c r="AA2326" s="218"/>
    </row>
    <row r="2327" spans="1:27" ht="24" x14ac:dyDescent="0.25">
      <c r="A2327" s="432"/>
      <c r="B2327" s="433"/>
      <c r="C2327" s="432"/>
      <c r="D2327" s="454"/>
      <c r="E2327" s="120">
        <v>1325</v>
      </c>
      <c r="F2327" s="119" t="s">
        <v>5430</v>
      </c>
      <c r="G2327" s="435"/>
      <c r="H2327" s="438"/>
      <c r="I2327" s="438"/>
      <c r="J2327" s="438"/>
      <c r="K2327" s="437"/>
      <c r="L2327" s="187">
        <v>1472.47</v>
      </c>
      <c r="N2327" s="91">
        <f t="shared" si="414"/>
        <v>1951.0227499999999</v>
      </c>
      <c r="O2327" s="411">
        <f t="shared" si="423"/>
        <v>-1951.0227499999999</v>
      </c>
      <c r="P2327" s="132" t="s">
        <v>638</v>
      </c>
      <c r="Q2327" s="232"/>
      <c r="R2327" s="411"/>
      <c r="T2327" s="471"/>
      <c r="U2327" s="506"/>
      <c r="AA2327" s="218"/>
    </row>
    <row r="2328" spans="1:27" x14ac:dyDescent="0.25">
      <c r="A2328" s="432"/>
      <c r="B2328" s="433"/>
      <c r="C2328" s="432"/>
      <c r="D2328" s="454"/>
      <c r="E2328" s="120">
        <v>2148</v>
      </c>
      <c r="F2328" s="133" t="s">
        <v>5431</v>
      </c>
      <c r="G2328" s="435"/>
      <c r="H2328" s="438"/>
      <c r="I2328" s="438"/>
      <c r="J2328" s="438"/>
      <c r="K2328" s="437"/>
      <c r="L2328" s="187">
        <v>1744.98</v>
      </c>
      <c r="N2328" s="91">
        <f t="shared" si="414"/>
        <v>3748.2170400000005</v>
      </c>
      <c r="O2328" s="411">
        <f t="shared" si="423"/>
        <v>-3748.2170400000005</v>
      </c>
      <c r="P2328" s="132" t="s">
        <v>638</v>
      </c>
      <c r="Q2328" s="232"/>
      <c r="R2328" s="411"/>
      <c r="T2328" s="471"/>
      <c r="U2328" s="506"/>
      <c r="AA2328" s="218"/>
    </row>
    <row r="2329" spans="1:27" x14ac:dyDescent="0.25">
      <c r="A2329" s="432"/>
      <c r="B2329" s="433"/>
      <c r="C2329" s="432"/>
      <c r="D2329" s="454"/>
      <c r="E2329" s="120">
        <v>1522</v>
      </c>
      <c r="F2329" s="133" t="s">
        <v>5432</v>
      </c>
      <c r="G2329" s="435"/>
      <c r="H2329" s="438"/>
      <c r="I2329" s="438"/>
      <c r="J2329" s="438"/>
      <c r="K2329" s="437"/>
      <c r="L2329" s="187">
        <v>2445.7199999999998</v>
      </c>
      <c r="N2329" s="91">
        <f t="shared" si="414"/>
        <v>3722.3858399999999</v>
      </c>
      <c r="O2329" s="411">
        <f t="shared" si="423"/>
        <v>-3722.3858399999999</v>
      </c>
      <c r="P2329" s="132" t="s">
        <v>638</v>
      </c>
      <c r="Q2329" s="232"/>
      <c r="R2329" s="411"/>
      <c r="T2329" s="471"/>
      <c r="U2329" s="506"/>
      <c r="AA2329" s="218"/>
    </row>
    <row r="2330" spans="1:27" x14ac:dyDescent="0.25">
      <c r="A2330" s="432"/>
      <c r="B2330" s="433"/>
      <c r="C2330" s="432"/>
      <c r="D2330" s="454"/>
      <c r="E2330" s="120">
        <v>1569</v>
      </c>
      <c r="F2330" s="133" t="s">
        <v>5433</v>
      </c>
      <c r="G2330" s="435"/>
      <c r="H2330" s="438"/>
      <c r="I2330" s="438"/>
      <c r="J2330" s="438"/>
      <c r="K2330" s="437"/>
      <c r="L2330" s="187">
        <v>3487.67</v>
      </c>
      <c r="N2330" s="91">
        <f t="shared" si="414"/>
        <v>5472.1542300000001</v>
      </c>
      <c r="O2330" s="411">
        <f t="shared" si="423"/>
        <v>-5472.1542300000001</v>
      </c>
      <c r="P2330" s="132" t="s">
        <v>638</v>
      </c>
      <c r="Q2330" s="232"/>
      <c r="R2330" s="411"/>
      <c r="T2330" s="471"/>
      <c r="U2330" s="506"/>
      <c r="AA2330" s="218"/>
    </row>
    <row r="2331" spans="1:27" ht="24" x14ac:dyDescent="0.25">
      <c r="A2331" s="432"/>
      <c r="B2331" s="433"/>
      <c r="C2331" s="432"/>
      <c r="D2331" s="454"/>
      <c r="E2331" s="120">
        <v>3093</v>
      </c>
      <c r="F2331" s="119" t="s">
        <v>5434</v>
      </c>
      <c r="G2331" s="435"/>
      <c r="H2331" s="438"/>
      <c r="I2331" s="438"/>
      <c r="J2331" s="438"/>
      <c r="K2331" s="437"/>
      <c r="L2331" s="187">
        <v>4202.1499999999996</v>
      </c>
      <c r="N2331" s="91">
        <f t="shared" si="414"/>
        <v>12997.249949999999</v>
      </c>
      <c r="O2331" s="411">
        <f t="shared" si="423"/>
        <v>-12997.249949999999</v>
      </c>
      <c r="P2331" s="132" t="s">
        <v>638</v>
      </c>
      <c r="Q2331" s="232"/>
      <c r="R2331" s="411"/>
      <c r="T2331" s="471"/>
      <c r="U2331" s="506"/>
      <c r="AA2331" s="218"/>
    </row>
    <row r="2332" spans="1:27" ht="24" x14ac:dyDescent="0.25">
      <c r="A2332" s="432"/>
      <c r="B2332" s="433"/>
      <c r="C2332" s="432"/>
      <c r="D2332" s="454"/>
      <c r="E2332" s="120">
        <v>2213</v>
      </c>
      <c r="F2332" s="119" t="s">
        <v>5435</v>
      </c>
      <c r="G2332" s="435"/>
      <c r="H2332" s="438"/>
      <c r="I2332" s="438"/>
      <c r="J2332" s="438"/>
      <c r="K2332" s="437"/>
      <c r="L2332" s="187">
        <v>82</v>
      </c>
      <c r="N2332" s="91">
        <f t="shared" si="414"/>
        <v>181.46600000000001</v>
      </c>
      <c r="O2332" s="411">
        <f t="shared" si="423"/>
        <v>-181.46600000000001</v>
      </c>
      <c r="P2332" s="132" t="s">
        <v>638</v>
      </c>
      <c r="Q2332" s="232"/>
      <c r="R2332" s="411"/>
      <c r="T2332" s="471"/>
      <c r="U2332" s="506"/>
      <c r="AA2332" s="218"/>
    </row>
    <row r="2333" spans="1:27" ht="24" x14ac:dyDescent="0.25">
      <c r="A2333" s="432"/>
      <c r="B2333" s="433"/>
      <c r="C2333" s="432"/>
      <c r="D2333" s="454"/>
      <c r="E2333" s="120">
        <v>3875</v>
      </c>
      <c r="F2333" s="119" t="s">
        <v>5436</v>
      </c>
      <c r="G2333" s="435"/>
      <c r="H2333" s="438"/>
      <c r="I2333" s="438"/>
      <c r="J2333" s="438"/>
      <c r="K2333" s="437"/>
      <c r="L2333" s="187">
        <v>105</v>
      </c>
      <c r="N2333" s="91">
        <f t="shared" si="414"/>
        <v>406.875</v>
      </c>
      <c r="O2333" s="411">
        <f t="shared" si="423"/>
        <v>-406.875</v>
      </c>
      <c r="P2333" s="132" t="s">
        <v>638</v>
      </c>
      <c r="Q2333" s="232"/>
      <c r="R2333" s="411"/>
      <c r="T2333" s="471"/>
      <c r="U2333" s="506"/>
      <c r="AA2333" s="218"/>
    </row>
    <row r="2334" spans="1:27" ht="24" x14ac:dyDescent="0.25">
      <c r="A2334" s="432"/>
      <c r="B2334" s="433"/>
      <c r="C2334" s="432"/>
      <c r="D2334" s="454"/>
      <c r="E2334" s="120">
        <v>1728</v>
      </c>
      <c r="F2334" s="119" t="s">
        <v>5437</v>
      </c>
      <c r="G2334" s="435"/>
      <c r="H2334" s="438"/>
      <c r="I2334" s="438"/>
      <c r="J2334" s="438"/>
      <c r="K2334" s="437"/>
      <c r="L2334" s="187">
        <v>123</v>
      </c>
      <c r="N2334" s="91">
        <f t="shared" si="414"/>
        <v>212.54400000000001</v>
      </c>
      <c r="O2334" s="411">
        <f t="shared" si="423"/>
        <v>-212.54400000000001</v>
      </c>
      <c r="P2334" s="132" t="s">
        <v>638</v>
      </c>
      <c r="Q2334" s="232"/>
      <c r="R2334" s="411"/>
      <c r="T2334" s="471"/>
      <c r="U2334" s="506"/>
      <c r="AA2334" s="218"/>
    </row>
    <row r="2335" spans="1:27" x14ac:dyDescent="0.25">
      <c r="A2335" s="432"/>
      <c r="B2335" s="433"/>
      <c r="C2335" s="432"/>
      <c r="D2335" s="454"/>
      <c r="E2335" s="120">
        <v>320</v>
      </c>
      <c r="F2335" s="133" t="s">
        <v>5438</v>
      </c>
      <c r="G2335" s="435"/>
      <c r="H2335" s="438"/>
      <c r="I2335" s="438"/>
      <c r="J2335" s="438"/>
      <c r="K2335" s="437"/>
      <c r="L2335" s="187">
        <v>140</v>
      </c>
      <c r="N2335" s="91">
        <f t="shared" si="414"/>
        <v>44.800000000000004</v>
      </c>
      <c r="O2335" s="411">
        <f t="shared" si="423"/>
        <v>-44.800000000000004</v>
      </c>
      <c r="P2335" s="132" t="s">
        <v>638</v>
      </c>
      <c r="Q2335" s="232"/>
      <c r="R2335" s="411"/>
      <c r="T2335" s="471"/>
      <c r="U2335" s="506"/>
      <c r="AA2335" s="218"/>
    </row>
    <row r="2336" spans="1:27" x14ac:dyDescent="0.25">
      <c r="A2336" s="432"/>
      <c r="B2336" s="433"/>
      <c r="C2336" s="432"/>
      <c r="D2336" s="454"/>
      <c r="E2336" s="120">
        <v>1173</v>
      </c>
      <c r="F2336" s="133" t="s">
        <v>5439</v>
      </c>
      <c r="G2336" s="435"/>
      <c r="H2336" s="438"/>
      <c r="I2336" s="438"/>
      <c r="J2336" s="438"/>
      <c r="K2336" s="437"/>
      <c r="L2336" s="187">
        <v>164</v>
      </c>
      <c r="N2336" s="91">
        <f t="shared" si="414"/>
        <v>192.37200000000001</v>
      </c>
      <c r="O2336" s="411">
        <f t="shared" si="423"/>
        <v>-192.37200000000001</v>
      </c>
      <c r="P2336" s="132" t="s">
        <v>638</v>
      </c>
      <c r="Q2336" s="232"/>
      <c r="R2336" s="411"/>
      <c r="T2336" s="471"/>
      <c r="U2336" s="506"/>
      <c r="AA2336" s="218"/>
    </row>
    <row r="2337" spans="1:27" x14ac:dyDescent="0.25">
      <c r="A2337" s="432"/>
      <c r="B2337" s="433"/>
      <c r="C2337" s="432"/>
      <c r="D2337" s="454"/>
      <c r="E2337" s="120">
        <v>950</v>
      </c>
      <c r="F2337" s="133" t="s">
        <v>5440</v>
      </c>
      <c r="G2337" s="435"/>
      <c r="H2337" s="438"/>
      <c r="I2337" s="438"/>
      <c r="J2337" s="438"/>
      <c r="K2337" s="437"/>
      <c r="L2337" s="187">
        <v>200</v>
      </c>
      <c r="N2337" s="91">
        <f t="shared" si="414"/>
        <v>190</v>
      </c>
      <c r="O2337" s="411">
        <f t="shared" si="423"/>
        <v>-190</v>
      </c>
      <c r="P2337" s="132" t="s">
        <v>638</v>
      </c>
      <c r="Q2337" s="232"/>
      <c r="R2337" s="411"/>
      <c r="T2337" s="471"/>
      <c r="U2337" s="506"/>
      <c r="AA2337" s="218"/>
    </row>
    <row r="2338" spans="1:27" ht="24" x14ac:dyDescent="0.25">
      <c r="A2338" s="432"/>
      <c r="B2338" s="433"/>
      <c r="C2338" s="432"/>
      <c r="D2338" s="454"/>
      <c r="E2338" s="120">
        <v>2156</v>
      </c>
      <c r="F2338" s="119" t="s">
        <v>5441</v>
      </c>
      <c r="G2338" s="435"/>
      <c r="H2338" s="438"/>
      <c r="I2338" s="438"/>
      <c r="J2338" s="438"/>
      <c r="K2338" s="437"/>
      <c r="L2338" s="187">
        <v>265</v>
      </c>
      <c r="N2338" s="91">
        <f t="shared" si="414"/>
        <v>571.34</v>
      </c>
      <c r="O2338" s="411">
        <f t="shared" si="423"/>
        <v>-571.34</v>
      </c>
      <c r="P2338" s="132" t="s">
        <v>638</v>
      </c>
      <c r="Q2338" s="232"/>
      <c r="R2338" s="411"/>
      <c r="T2338" s="471"/>
      <c r="U2338" s="506"/>
      <c r="AA2338" s="218"/>
    </row>
    <row r="2339" spans="1:27" x14ac:dyDescent="0.25">
      <c r="A2339" s="432"/>
      <c r="B2339" s="433"/>
      <c r="C2339" s="432"/>
      <c r="D2339" s="454"/>
      <c r="E2339" s="120">
        <v>675</v>
      </c>
      <c r="F2339" s="133" t="s">
        <v>5442</v>
      </c>
      <c r="G2339" s="435"/>
      <c r="H2339" s="438"/>
      <c r="I2339" s="438"/>
      <c r="J2339" s="438"/>
      <c r="K2339" s="437"/>
      <c r="L2339" s="187">
        <v>300</v>
      </c>
      <c r="N2339" s="91">
        <f t="shared" si="414"/>
        <v>202.5</v>
      </c>
      <c r="O2339" s="411">
        <f t="shared" si="423"/>
        <v>-202.5</v>
      </c>
      <c r="P2339" s="132" t="s">
        <v>638</v>
      </c>
      <c r="Q2339" s="232"/>
      <c r="R2339" s="411"/>
      <c r="T2339" s="471"/>
      <c r="U2339" s="506"/>
      <c r="AA2339" s="218"/>
    </row>
    <row r="2340" spans="1:27" ht="24" x14ac:dyDescent="0.25">
      <c r="A2340" s="432"/>
      <c r="B2340" s="433"/>
      <c r="C2340" s="432"/>
      <c r="D2340" s="454"/>
      <c r="E2340" s="120">
        <v>1470</v>
      </c>
      <c r="F2340" s="119" t="s">
        <v>5443</v>
      </c>
      <c r="G2340" s="435"/>
      <c r="H2340" s="438"/>
      <c r="I2340" s="438"/>
      <c r="J2340" s="438"/>
      <c r="K2340" s="437"/>
      <c r="L2340" s="187">
        <v>335</v>
      </c>
      <c r="N2340" s="91">
        <f t="shared" si="414"/>
        <v>492.45</v>
      </c>
      <c r="O2340" s="411">
        <f t="shared" si="423"/>
        <v>-492.45</v>
      </c>
      <c r="P2340" s="132" t="s">
        <v>638</v>
      </c>
      <c r="Q2340" s="232"/>
      <c r="R2340" s="411"/>
      <c r="T2340" s="471"/>
      <c r="U2340" s="506"/>
      <c r="AA2340" s="218"/>
    </row>
    <row r="2341" spans="1:27" ht="36" x14ac:dyDescent="0.25">
      <c r="A2341" s="432"/>
      <c r="B2341" s="433"/>
      <c r="C2341" s="432"/>
      <c r="D2341" s="454"/>
      <c r="E2341" s="120">
        <v>10336</v>
      </c>
      <c r="F2341" s="119" t="s">
        <v>5444</v>
      </c>
      <c r="G2341" s="435"/>
      <c r="H2341" s="438"/>
      <c r="I2341" s="438"/>
      <c r="J2341" s="438"/>
      <c r="K2341" s="437"/>
      <c r="L2341" s="187">
        <v>450</v>
      </c>
      <c r="N2341" s="91">
        <f t="shared" si="414"/>
        <v>4651.2</v>
      </c>
      <c r="O2341" s="411">
        <f t="shared" si="423"/>
        <v>-4651.2</v>
      </c>
      <c r="P2341" s="132" t="s">
        <v>638</v>
      </c>
      <c r="Q2341" s="232"/>
      <c r="R2341" s="411"/>
      <c r="T2341" s="471"/>
      <c r="U2341" s="506"/>
      <c r="AA2341" s="218"/>
    </row>
    <row r="2342" spans="1:27" ht="24" x14ac:dyDescent="0.25">
      <c r="A2342" s="420"/>
      <c r="B2342" s="422"/>
      <c r="C2342" s="420"/>
      <c r="D2342" s="418"/>
      <c r="E2342" s="120">
        <v>2172</v>
      </c>
      <c r="F2342" s="119" t="s">
        <v>5445</v>
      </c>
      <c r="G2342" s="436"/>
      <c r="H2342" s="428"/>
      <c r="I2342" s="428"/>
      <c r="J2342" s="428"/>
      <c r="K2342" s="426"/>
      <c r="L2342" s="187">
        <v>675</v>
      </c>
      <c r="N2342" s="91">
        <f t="shared" si="414"/>
        <v>1466.1000000000001</v>
      </c>
      <c r="O2342" s="411">
        <f t="shared" si="423"/>
        <v>-1466.1000000000001</v>
      </c>
      <c r="P2342" s="132" t="s">
        <v>638</v>
      </c>
      <c r="Q2342" s="232"/>
      <c r="R2342" s="411"/>
      <c r="T2342" s="472"/>
      <c r="U2342" s="490"/>
      <c r="AA2342" s="218"/>
    </row>
    <row r="2343" spans="1:27" x14ac:dyDescent="0.25">
      <c r="A2343" s="405">
        <v>3001763</v>
      </c>
      <c r="B2343" s="406">
        <v>42478</v>
      </c>
      <c r="C2343" s="405" t="s">
        <v>141</v>
      </c>
      <c r="D2343" s="401" t="s">
        <v>5446</v>
      </c>
      <c r="E2343" s="120">
        <v>470</v>
      </c>
      <c r="F2343" s="133" t="s">
        <v>85</v>
      </c>
      <c r="G2343" s="404" t="s">
        <v>45</v>
      </c>
      <c r="H2343" s="411">
        <v>1111</v>
      </c>
      <c r="I2343" s="411">
        <v>0</v>
      </c>
      <c r="J2343" s="391">
        <f>-((H2343*0.0325)+0.3)</f>
        <v>-36.407499999999999</v>
      </c>
      <c r="K2343" s="396">
        <f t="shared" ref="K2343:K2367" si="428">SUM(H2343:J2343)</f>
        <v>1074.5925</v>
      </c>
      <c r="L2343" s="131">
        <v>1296</v>
      </c>
      <c r="M2343" s="187">
        <v>254.92</v>
      </c>
      <c r="N2343" s="91">
        <f t="shared" si="414"/>
        <v>864.04</v>
      </c>
      <c r="O2343" s="411">
        <f t="shared" si="423"/>
        <v>210.55250000000001</v>
      </c>
      <c r="P2343" s="132" t="s">
        <v>52</v>
      </c>
      <c r="Q2343" s="232"/>
      <c r="R2343" s="411"/>
      <c r="T2343" s="134" t="s">
        <v>244</v>
      </c>
      <c r="U2343" s="267" t="s">
        <v>5447</v>
      </c>
      <c r="V2343" s="133" t="s">
        <v>55</v>
      </c>
      <c r="W2343" s="153" t="s">
        <v>5448</v>
      </c>
      <c r="AA2343" s="218">
        <v>10</v>
      </c>
    </row>
    <row r="2344" spans="1:27" ht="24" x14ac:dyDescent="0.25">
      <c r="A2344" s="405">
        <v>3001764</v>
      </c>
      <c r="B2344" s="406">
        <v>42478</v>
      </c>
      <c r="C2344" s="405" t="s">
        <v>63</v>
      </c>
      <c r="D2344" s="401" t="s">
        <v>5449</v>
      </c>
      <c r="E2344" s="120">
        <v>500</v>
      </c>
      <c r="F2344" s="119" t="s">
        <v>5450</v>
      </c>
      <c r="G2344" s="404" t="s">
        <v>45</v>
      </c>
      <c r="H2344" s="411">
        <v>220</v>
      </c>
      <c r="I2344" s="411">
        <v>0</v>
      </c>
      <c r="J2344" s="391">
        <f>-((H2344*0.022)+0.3)</f>
        <v>-5.14</v>
      </c>
      <c r="K2344" s="396">
        <f t="shared" si="428"/>
        <v>214.86</v>
      </c>
      <c r="L2344" s="187">
        <v>280</v>
      </c>
      <c r="M2344" s="187">
        <v>25.13</v>
      </c>
      <c r="N2344" s="91">
        <f t="shared" si="414"/>
        <v>165.13</v>
      </c>
      <c r="O2344" s="411">
        <f t="shared" si="423"/>
        <v>49.730000000000018</v>
      </c>
      <c r="P2344" s="132" t="s">
        <v>5451</v>
      </c>
      <c r="Q2344" s="232"/>
      <c r="R2344" s="411"/>
      <c r="T2344" s="134" t="s">
        <v>145</v>
      </c>
      <c r="U2344" s="267" t="s">
        <v>5452</v>
      </c>
      <c r="W2344" s="153" t="s">
        <v>5453</v>
      </c>
      <c r="AA2344" s="218"/>
    </row>
    <row r="2345" spans="1:27" ht="24" x14ac:dyDescent="0.25">
      <c r="A2345" s="405">
        <v>3001765</v>
      </c>
      <c r="B2345" s="406">
        <v>42478</v>
      </c>
      <c r="C2345" s="405" t="s">
        <v>63</v>
      </c>
      <c r="D2345" s="401" t="s">
        <v>5454</v>
      </c>
      <c r="E2345" s="120">
        <v>170</v>
      </c>
      <c r="F2345" s="133" t="s">
        <v>161</v>
      </c>
      <c r="G2345" s="404" t="s">
        <v>45</v>
      </c>
      <c r="H2345" s="411">
        <v>385.9</v>
      </c>
      <c r="I2345" s="411">
        <v>0</v>
      </c>
      <c r="J2345" s="391">
        <f>-((H2345*0.022)+0.3)</f>
        <v>-8.7897999999999996</v>
      </c>
      <c r="K2345" s="396">
        <f t="shared" si="428"/>
        <v>377.11019999999996</v>
      </c>
      <c r="L2345" s="131">
        <v>1322</v>
      </c>
      <c r="M2345" s="187">
        <v>71.650000000000006</v>
      </c>
      <c r="N2345" s="91">
        <f t="shared" ref="N2345:N2409" si="429">((L2345)*(E2345*0.001))+M2345</f>
        <v>296.39</v>
      </c>
      <c r="O2345" s="411">
        <f t="shared" si="423"/>
        <v>80.720199999999977</v>
      </c>
      <c r="P2345" s="132" t="s">
        <v>52</v>
      </c>
      <c r="Q2345" s="232"/>
      <c r="R2345" s="411"/>
      <c r="T2345" s="134" t="s">
        <v>145</v>
      </c>
      <c r="U2345" s="267" t="s">
        <v>5455</v>
      </c>
      <c r="W2345" s="153" t="s">
        <v>5456</v>
      </c>
      <c r="AA2345" s="218"/>
    </row>
    <row r="2346" spans="1:27" ht="24" x14ac:dyDescent="0.25">
      <c r="A2346" s="405">
        <v>3001766</v>
      </c>
      <c r="B2346" s="406">
        <v>42478</v>
      </c>
      <c r="C2346" s="405" t="s">
        <v>78</v>
      </c>
      <c r="D2346" s="401" t="s">
        <v>5457</v>
      </c>
      <c r="E2346" s="120">
        <v>100</v>
      </c>
      <c r="F2346" s="133" t="s">
        <v>829</v>
      </c>
      <c r="G2346" s="404" t="s">
        <v>45</v>
      </c>
      <c r="H2346" s="411">
        <v>100</v>
      </c>
      <c r="I2346" s="411">
        <v>0</v>
      </c>
      <c r="J2346" s="391">
        <f t="shared" ref="J2346:J2359" si="430">-((H2346*0.019)+0.3)</f>
        <v>-2.1999999999999997</v>
      </c>
      <c r="K2346" s="396">
        <f t="shared" si="428"/>
        <v>97.8</v>
      </c>
      <c r="L2346" s="131">
        <v>510</v>
      </c>
      <c r="M2346" s="187">
        <v>34.07</v>
      </c>
      <c r="N2346" s="91">
        <f t="shared" si="429"/>
        <v>85.07</v>
      </c>
      <c r="O2346" s="411">
        <f t="shared" si="423"/>
        <v>12.730000000000004</v>
      </c>
      <c r="P2346" s="132" t="s">
        <v>52</v>
      </c>
      <c r="Q2346" s="232"/>
      <c r="R2346" s="411"/>
      <c r="T2346" s="134" t="s">
        <v>145</v>
      </c>
      <c r="U2346" s="267" t="s">
        <v>5458</v>
      </c>
      <c r="W2346" s="153" t="s">
        <v>5459</v>
      </c>
      <c r="AA2346" s="218"/>
    </row>
    <row r="2347" spans="1:27" ht="24" x14ac:dyDescent="0.25">
      <c r="A2347" s="405">
        <v>3001767</v>
      </c>
      <c r="B2347" s="406">
        <v>42478</v>
      </c>
      <c r="C2347" s="405" t="s">
        <v>42</v>
      </c>
      <c r="D2347" s="401" t="s">
        <v>5460</v>
      </c>
      <c r="E2347" s="120">
        <v>50</v>
      </c>
      <c r="F2347" s="133" t="s">
        <v>431</v>
      </c>
      <c r="G2347" s="404" t="s">
        <v>45</v>
      </c>
      <c r="H2347" s="411">
        <v>106.99</v>
      </c>
      <c r="I2347" s="89">
        <f t="shared" ref="I2347:I2359" si="431">-(H2347*0.09)</f>
        <v>-9.6290999999999993</v>
      </c>
      <c r="J2347" s="391">
        <f t="shared" si="430"/>
        <v>-2.3328099999999998</v>
      </c>
      <c r="K2347" s="396">
        <f t="shared" si="428"/>
        <v>95.028090000000006</v>
      </c>
      <c r="L2347" s="131">
        <v>990</v>
      </c>
      <c r="M2347" s="187">
        <v>26.9</v>
      </c>
      <c r="N2347" s="91">
        <f t="shared" si="429"/>
        <v>76.400000000000006</v>
      </c>
      <c r="O2347" s="411">
        <f t="shared" si="423"/>
        <v>18.62809</v>
      </c>
      <c r="P2347" s="132" t="s">
        <v>52</v>
      </c>
      <c r="Q2347" s="232"/>
      <c r="R2347" s="411"/>
      <c r="T2347" s="134" t="s">
        <v>145</v>
      </c>
      <c r="U2347" s="267" t="s">
        <v>5461</v>
      </c>
      <c r="AA2347" s="218"/>
    </row>
    <row r="2348" spans="1:27" ht="24" x14ac:dyDescent="0.25">
      <c r="A2348" s="405">
        <v>3001768</v>
      </c>
      <c r="B2348" s="406">
        <v>42478</v>
      </c>
      <c r="C2348" s="405" t="s">
        <v>42</v>
      </c>
      <c r="D2348" s="401" t="s">
        <v>5462</v>
      </c>
      <c r="E2348" s="120">
        <v>100</v>
      </c>
      <c r="F2348" s="133" t="s">
        <v>161</v>
      </c>
      <c r="G2348" s="404" t="s">
        <v>45</v>
      </c>
      <c r="H2348" s="411">
        <v>253.8</v>
      </c>
      <c r="I2348" s="89">
        <f t="shared" si="431"/>
        <v>-22.841999999999999</v>
      </c>
      <c r="J2348" s="391">
        <f t="shared" si="430"/>
        <v>-5.1222000000000003</v>
      </c>
      <c r="K2348" s="396">
        <f t="shared" si="428"/>
        <v>225.83580000000003</v>
      </c>
      <c r="L2348" s="131">
        <v>1322</v>
      </c>
      <c r="M2348" s="187">
        <v>34.93</v>
      </c>
      <c r="N2348" s="91">
        <f t="shared" si="429"/>
        <v>167.13000000000002</v>
      </c>
      <c r="O2348" s="411">
        <f t="shared" si="423"/>
        <v>58.705800000000011</v>
      </c>
      <c r="P2348" s="132" t="s">
        <v>52</v>
      </c>
      <c r="Q2348" s="232"/>
      <c r="R2348" s="411">
        <v>18.8</v>
      </c>
      <c r="S2348" s="133" t="s">
        <v>2024</v>
      </c>
      <c r="T2348" s="134" t="s">
        <v>145</v>
      </c>
      <c r="U2348" s="267" t="s">
        <v>5455</v>
      </c>
      <c r="AA2348" s="218"/>
    </row>
    <row r="2349" spans="1:27" ht="24" x14ac:dyDescent="0.25">
      <c r="A2349" s="405">
        <v>3001769</v>
      </c>
      <c r="B2349" s="406">
        <v>42478</v>
      </c>
      <c r="C2349" s="405" t="s">
        <v>42</v>
      </c>
      <c r="D2349" s="401" t="s">
        <v>5463</v>
      </c>
      <c r="E2349" s="120">
        <v>50</v>
      </c>
      <c r="F2349" s="133" t="s">
        <v>161</v>
      </c>
      <c r="G2349" s="404" t="s">
        <v>45</v>
      </c>
      <c r="H2349" s="411">
        <v>123.75</v>
      </c>
      <c r="I2349" s="89">
        <f t="shared" si="431"/>
        <v>-11.137499999999999</v>
      </c>
      <c r="J2349" s="391">
        <f t="shared" si="430"/>
        <v>-2.6512499999999997</v>
      </c>
      <c r="K2349" s="396">
        <f t="shared" si="428"/>
        <v>109.96124999999999</v>
      </c>
      <c r="L2349" s="131">
        <v>1322</v>
      </c>
      <c r="M2349" s="187">
        <v>30.36</v>
      </c>
      <c r="N2349" s="91">
        <f t="shared" si="429"/>
        <v>96.460000000000008</v>
      </c>
      <c r="O2349" s="411">
        <f t="shared" si="423"/>
        <v>13.501249999999985</v>
      </c>
      <c r="P2349" s="132" t="s">
        <v>52</v>
      </c>
      <c r="Q2349" s="232"/>
      <c r="R2349" s="411"/>
      <c r="T2349" s="134" t="s">
        <v>145</v>
      </c>
      <c r="U2349" s="267" t="s">
        <v>5464</v>
      </c>
      <c r="AA2349" s="218"/>
    </row>
    <row r="2350" spans="1:27" ht="24" x14ac:dyDescent="0.25">
      <c r="A2350" s="405">
        <v>3001770</v>
      </c>
      <c r="B2350" s="406">
        <v>42478</v>
      </c>
      <c r="C2350" s="405" t="s">
        <v>42</v>
      </c>
      <c r="D2350" s="401" t="s">
        <v>5465</v>
      </c>
      <c r="E2350" s="120">
        <v>50</v>
      </c>
      <c r="F2350" s="133" t="s">
        <v>5466</v>
      </c>
      <c r="G2350" s="404" t="s">
        <v>45</v>
      </c>
      <c r="H2350" s="411">
        <v>122.5</v>
      </c>
      <c r="I2350" s="89">
        <f t="shared" si="431"/>
        <v>-11.025</v>
      </c>
      <c r="J2350" s="391">
        <f t="shared" si="430"/>
        <v>-2.6274999999999999</v>
      </c>
      <c r="K2350" s="396">
        <f t="shared" si="428"/>
        <v>108.8475</v>
      </c>
      <c r="L2350" s="187">
        <v>1453</v>
      </c>
      <c r="M2350" s="187">
        <v>27.98</v>
      </c>
      <c r="N2350" s="91">
        <f t="shared" si="429"/>
        <v>100.63000000000001</v>
      </c>
      <c r="O2350" s="411">
        <f t="shared" si="423"/>
        <v>8.2174999999999869</v>
      </c>
      <c r="P2350" s="132" t="s">
        <v>601</v>
      </c>
      <c r="Q2350" s="232"/>
      <c r="R2350" s="411"/>
      <c r="T2350" s="134" t="s">
        <v>145</v>
      </c>
      <c r="U2350" s="267" t="s">
        <v>5467</v>
      </c>
      <c r="AA2350" s="218"/>
    </row>
    <row r="2351" spans="1:27" ht="24" x14ac:dyDescent="0.25">
      <c r="A2351" s="405">
        <v>3001771</v>
      </c>
      <c r="B2351" s="406">
        <v>42478</v>
      </c>
      <c r="C2351" s="405" t="s">
        <v>42</v>
      </c>
      <c r="D2351" s="401" t="s">
        <v>5468</v>
      </c>
      <c r="E2351" s="120">
        <v>50</v>
      </c>
      <c r="F2351" s="133" t="s">
        <v>3654</v>
      </c>
      <c r="G2351" s="404" t="s">
        <v>45</v>
      </c>
      <c r="H2351" s="411">
        <v>161.69999999999999</v>
      </c>
      <c r="I2351" s="89">
        <f t="shared" si="431"/>
        <v>-14.552999999999999</v>
      </c>
      <c r="J2351" s="391">
        <f t="shared" si="430"/>
        <v>-3.3722999999999996</v>
      </c>
      <c r="K2351" s="396">
        <f t="shared" si="428"/>
        <v>143.7747</v>
      </c>
      <c r="L2351" s="187">
        <v>2300</v>
      </c>
      <c r="M2351" s="187">
        <v>25.01</v>
      </c>
      <c r="N2351" s="91">
        <f t="shared" si="429"/>
        <v>140.01</v>
      </c>
      <c r="O2351" s="411">
        <f t="shared" si="423"/>
        <v>3.7647000000000048</v>
      </c>
      <c r="P2351" s="132" t="s">
        <v>601</v>
      </c>
      <c r="Q2351" s="232"/>
      <c r="R2351" s="411"/>
      <c r="T2351" s="134" t="s">
        <v>145</v>
      </c>
      <c r="U2351" s="267" t="s">
        <v>5469</v>
      </c>
      <c r="AA2351" s="218"/>
    </row>
    <row r="2352" spans="1:27" x14ac:dyDescent="0.25">
      <c r="A2352" s="405">
        <v>3001772</v>
      </c>
      <c r="B2352" s="406">
        <v>42478</v>
      </c>
      <c r="C2352" s="405" t="s">
        <v>42</v>
      </c>
      <c r="D2352" s="401" t="s">
        <v>5219</v>
      </c>
      <c r="E2352" s="120">
        <v>1000</v>
      </c>
      <c r="F2352" s="133" t="s">
        <v>451</v>
      </c>
      <c r="G2352" s="404" t="s">
        <v>45</v>
      </c>
      <c r="H2352" s="411">
        <v>536.75</v>
      </c>
      <c r="I2352" s="89">
        <f t="shared" si="431"/>
        <v>-48.307499999999997</v>
      </c>
      <c r="J2352" s="391">
        <f t="shared" si="430"/>
        <v>-10.498250000000001</v>
      </c>
      <c r="K2352" s="396">
        <f t="shared" si="428"/>
        <v>477.94425000000001</v>
      </c>
      <c r="L2352" s="131">
        <v>300</v>
      </c>
      <c r="M2352" s="187">
        <v>162.77000000000001</v>
      </c>
      <c r="N2352" s="91">
        <f t="shared" si="429"/>
        <v>462.77</v>
      </c>
      <c r="O2352" s="411">
        <f t="shared" si="423"/>
        <v>15.174250000000029</v>
      </c>
      <c r="P2352" s="132" t="s">
        <v>52</v>
      </c>
      <c r="Q2352" s="232"/>
      <c r="R2352" s="411"/>
      <c r="T2352" s="407" t="s">
        <v>97</v>
      </c>
      <c r="U2352" s="266">
        <v>3065624100</v>
      </c>
      <c r="V2352" s="133" t="s">
        <v>55</v>
      </c>
      <c r="AA2352" s="218"/>
    </row>
    <row r="2353" spans="1:27" ht="24" x14ac:dyDescent="0.25">
      <c r="A2353" s="405">
        <v>3001773</v>
      </c>
      <c r="B2353" s="406">
        <v>42478</v>
      </c>
      <c r="C2353" s="405" t="s">
        <v>42</v>
      </c>
      <c r="D2353" s="401" t="s">
        <v>5470</v>
      </c>
      <c r="E2353" s="120">
        <v>50</v>
      </c>
      <c r="F2353" s="133" t="s">
        <v>161</v>
      </c>
      <c r="G2353" s="404" t="s">
        <v>45</v>
      </c>
      <c r="H2353" s="411">
        <v>123.75</v>
      </c>
      <c r="I2353" s="89">
        <f t="shared" si="431"/>
        <v>-11.137499999999999</v>
      </c>
      <c r="J2353" s="391">
        <f t="shared" si="430"/>
        <v>-2.6512499999999997</v>
      </c>
      <c r="K2353" s="396">
        <f t="shared" si="428"/>
        <v>109.96124999999999</v>
      </c>
      <c r="L2353" s="131">
        <v>1322</v>
      </c>
      <c r="M2353" s="187">
        <v>23.16</v>
      </c>
      <c r="N2353" s="91">
        <f t="shared" si="429"/>
        <v>89.26</v>
      </c>
      <c r="O2353" s="411">
        <f t="shared" si="423"/>
        <v>20.701249999999987</v>
      </c>
      <c r="P2353" s="132" t="s">
        <v>52</v>
      </c>
      <c r="Q2353" s="232"/>
      <c r="R2353" s="411"/>
      <c r="T2353" s="409" t="s">
        <v>145</v>
      </c>
      <c r="U2353" s="267" t="s">
        <v>5471</v>
      </c>
      <c r="AA2353" s="218"/>
    </row>
    <row r="2354" spans="1:27" ht="24" x14ac:dyDescent="0.25">
      <c r="A2354" s="405">
        <v>3001774</v>
      </c>
      <c r="B2354" s="406">
        <v>42478</v>
      </c>
      <c r="C2354" s="405" t="s">
        <v>42</v>
      </c>
      <c r="D2354" s="401" t="s">
        <v>5472</v>
      </c>
      <c r="E2354" s="120">
        <v>200</v>
      </c>
      <c r="F2354" s="133" t="s">
        <v>165</v>
      </c>
      <c r="G2354" s="404" t="s">
        <v>45</v>
      </c>
      <c r="H2354" s="411">
        <v>198</v>
      </c>
      <c r="I2354" s="89">
        <f t="shared" si="431"/>
        <v>-17.82</v>
      </c>
      <c r="J2354" s="391">
        <f t="shared" si="430"/>
        <v>-4.0620000000000003</v>
      </c>
      <c r="K2354" s="396">
        <f t="shared" si="428"/>
        <v>176.11799999999999</v>
      </c>
      <c r="L2354" s="131">
        <v>440</v>
      </c>
      <c r="M2354" s="187">
        <v>43.36</v>
      </c>
      <c r="N2354" s="91">
        <f t="shared" si="429"/>
        <v>131.36000000000001</v>
      </c>
      <c r="O2354" s="411">
        <f t="shared" si="423"/>
        <v>44.757999999999981</v>
      </c>
      <c r="P2354" s="132" t="s">
        <v>52</v>
      </c>
      <c r="Q2354" s="232"/>
      <c r="R2354" s="411"/>
      <c r="T2354" s="134" t="s">
        <v>145</v>
      </c>
      <c r="U2354" s="267" t="s">
        <v>5473</v>
      </c>
      <c r="AA2354" s="218"/>
    </row>
    <row r="2355" spans="1:27" ht="24" x14ac:dyDescent="0.25">
      <c r="A2355" s="405">
        <v>3001775</v>
      </c>
      <c r="B2355" s="406">
        <v>42478</v>
      </c>
      <c r="C2355" s="405" t="s">
        <v>42</v>
      </c>
      <c r="D2355" s="401" t="s">
        <v>5474</v>
      </c>
      <c r="E2355" s="120">
        <v>50</v>
      </c>
      <c r="F2355" s="133" t="s">
        <v>431</v>
      </c>
      <c r="G2355" s="404" t="s">
        <v>45</v>
      </c>
      <c r="H2355" s="411">
        <v>106.99</v>
      </c>
      <c r="I2355" s="89">
        <f t="shared" si="431"/>
        <v>-9.6290999999999993</v>
      </c>
      <c r="J2355" s="391">
        <f t="shared" si="430"/>
        <v>-2.3328099999999998</v>
      </c>
      <c r="K2355" s="396">
        <f t="shared" si="428"/>
        <v>95.028090000000006</v>
      </c>
      <c r="L2355" s="131">
        <v>990</v>
      </c>
      <c r="M2355" s="187">
        <v>27.45</v>
      </c>
      <c r="N2355" s="91">
        <f t="shared" si="429"/>
        <v>76.95</v>
      </c>
      <c r="O2355" s="411">
        <f t="shared" si="423"/>
        <v>18.078090000000003</v>
      </c>
      <c r="P2355" s="132" t="s">
        <v>52</v>
      </c>
      <c r="Q2355" s="232"/>
      <c r="R2355" s="411"/>
      <c r="T2355" s="134" t="s">
        <v>145</v>
      </c>
      <c r="U2355" s="267" t="s">
        <v>5475</v>
      </c>
      <c r="AA2355" s="218"/>
    </row>
    <row r="2356" spans="1:27" ht="24" x14ac:dyDescent="0.25">
      <c r="A2356" s="419">
        <v>3001776</v>
      </c>
      <c r="B2356" s="421">
        <v>42478</v>
      </c>
      <c r="C2356" s="419" t="s">
        <v>42</v>
      </c>
      <c r="D2356" s="417" t="s">
        <v>5476</v>
      </c>
      <c r="E2356" s="120">
        <v>200</v>
      </c>
      <c r="F2356" s="133" t="s">
        <v>5038</v>
      </c>
      <c r="G2356" s="434" t="s">
        <v>45</v>
      </c>
      <c r="H2356" s="427">
        <v>519.16</v>
      </c>
      <c r="I2356" s="452">
        <f t="shared" si="431"/>
        <v>-46.724399999999996</v>
      </c>
      <c r="J2356" s="425">
        <f t="shared" si="430"/>
        <v>-10.16404</v>
      </c>
      <c r="K2356" s="425">
        <f t="shared" si="428"/>
        <v>462.27155999999997</v>
      </c>
      <c r="L2356" s="131">
        <v>990</v>
      </c>
      <c r="M2356" s="187">
        <v>77.62</v>
      </c>
      <c r="N2356" s="91">
        <f t="shared" si="429"/>
        <v>275.62</v>
      </c>
      <c r="O2356" s="411">
        <f t="shared" si="423"/>
        <v>186.65155999999996</v>
      </c>
      <c r="P2356" s="132" t="s">
        <v>52</v>
      </c>
      <c r="Q2356" s="232"/>
      <c r="R2356" s="411"/>
      <c r="T2356" s="134" t="s">
        <v>145</v>
      </c>
      <c r="U2356" s="446" t="s">
        <v>5477</v>
      </c>
      <c r="AA2356" s="218"/>
    </row>
    <row r="2357" spans="1:27" ht="24" x14ac:dyDescent="0.25">
      <c r="A2357" s="420"/>
      <c r="B2357" s="422"/>
      <c r="C2357" s="420"/>
      <c r="D2357" s="418"/>
      <c r="E2357" s="120">
        <v>200</v>
      </c>
      <c r="F2357" s="133" t="s">
        <v>451</v>
      </c>
      <c r="G2357" s="436"/>
      <c r="H2357" s="428"/>
      <c r="I2357" s="453"/>
      <c r="J2357" s="426"/>
      <c r="K2357" s="426"/>
      <c r="L2357" s="131">
        <v>300</v>
      </c>
      <c r="N2357" s="91">
        <f t="shared" si="429"/>
        <v>60</v>
      </c>
      <c r="O2357" s="411">
        <f t="shared" si="423"/>
        <v>-60</v>
      </c>
      <c r="P2357" s="132" t="s">
        <v>52</v>
      </c>
      <c r="Q2357" s="232"/>
      <c r="R2357" s="411"/>
      <c r="T2357" s="134" t="s">
        <v>145</v>
      </c>
      <c r="U2357" s="447"/>
      <c r="AA2357" s="218"/>
    </row>
    <row r="2358" spans="1:27" ht="24" x14ac:dyDescent="0.25">
      <c r="A2358" s="405">
        <v>3001777</v>
      </c>
      <c r="B2358" s="406">
        <v>42478</v>
      </c>
      <c r="C2358" s="405" t="s">
        <v>42</v>
      </c>
      <c r="D2358" s="401" t="s">
        <v>5478</v>
      </c>
      <c r="E2358" s="120">
        <v>250</v>
      </c>
      <c r="F2358" s="133" t="s">
        <v>1137</v>
      </c>
      <c r="G2358" s="404" t="s">
        <v>45</v>
      </c>
      <c r="H2358" s="411">
        <v>136.46</v>
      </c>
      <c r="I2358" s="89">
        <f t="shared" si="431"/>
        <v>-12.2814</v>
      </c>
      <c r="J2358" s="391">
        <f t="shared" si="430"/>
        <v>-2.8927399999999999</v>
      </c>
      <c r="K2358" s="396">
        <f t="shared" si="428"/>
        <v>121.28586</v>
      </c>
      <c r="L2358" s="131">
        <v>220</v>
      </c>
      <c r="M2358" s="187">
        <v>25.14</v>
      </c>
      <c r="N2358" s="91">
        <f t="shared" si="429"/>
        <v>80.14</v>
      </c>
      <c r="O2358" s="411">
        <f t="shared" si="423"/>
        <v>41.145859999999999</v>
      </c>
      <c r="P2358" s="132" t="s">
        <v>52</v>
      </c>
      <c r="Q2358" s="232"/>
      <c r="R2358" s="411">
        <v>10.11</v>
      </c>
      <c r="S2358" s="133" t="s">
        <v>1169</v>
      </c>
      <c r="T2358" s="134" t="s">
        <v>145</v>
      </c>
      <c r="U2358" s="267" t="s">
        <v>5479</v>
      </c>
      <c r="AA2358" s="218"/>
    </row>
    <row r="2359" spans="1:27" ht="24" x14ac:dyDescent="0.25">
      <c r="A2359" s="419">
        <v>3001778</v>
      </c>
      <c r="B2359" s="421">
        <v>42478</v>
      </c>
      <c r="C2359" s="419" t="s">
        <v>42</v>
      </c>
      <c r="D2359" s="417" t="s">
        <v>5480</v>
      </c>
      <c r="E2359" s="120">
        <v>500</v>
      </c>
      <c r="F2359" s="133" t="s">
        <v>5481</v>
      </c>
      <c r="G2359" s="434" t="s">
        <v>45</v>
      </c>
      <c r="H2359" s="427">
        <v>874</v>
      </c>
      <c r="I2359" s="452">
        <f t="shared" si="431"/>
        <v>-78.66</v>
      </c>
      <c r="J2359" s="425">
        <f t="shared" si="430"/>
        <v>-16.905999999999999</v>
      </c>
      <c r="K2359" s="425">
        <f t="shared" si="428"/>
        <v>778.43400000000008</v>
      </c>
      <c r="L2359" s="187">
        <v>570</v>
      </c>
      <c r="M2359" s="187">
        <v>66.260000000000005</v>
      </c>
      <c r="N2359" s="91">
        <f t="shared" si="429"/>
        <v>351.26</v>
      </c>
      <c r="O2359" s="411">
        <f t="shared" si="423"/>
        <v>427.17400000000009</v>
      </c>
      <c r="P2359" s="132" t="s">
        <v>235</v>
      </c>
      <c r="Q2359" s="232"/>
      <c r="R2359" s="411"/>
      <c r="T2359" s="439" t="s">
        <v>145</v>
      </c>
      <c r="U2359" s="266" t="s">
        <v>5482</v>
      </c>
      <c r="AA2359" s="218"/>
    </row>
    <row r="2360" spans="1:27" ht="24" x14ac:dyDescent="0.25">
      <c r="A2360" s="420"/>
      <c r="B2360" s="422"/>
      <c r="C2360" s="420"/>
      <c r="D2360" s="418"/>
      <c r="E2360" s="120">
        <v>500</v>
      </c>
      <c r="F2360" s="133" t="s">
        <v>1185</v>
      </c>
      <c r="G2360" s="436"/>
      <c r="H2360" s="428"/>
      <c r="I2360" s="453"/>
      <c r="J2360" s="426"/>
      <c r="K2360" s="426"/>
      <c r="L2360" s="187">
        <v>340</v>
      </c>
      <c r="M2360" s="187"/>
      <c r="N2360" s="91">
        <f t="shared" si="429"/>
        <v>170</v>
      </c>
      <c r="O2360" s="411">
        <f t="shared" si="423"/>
        <v>-170</v>
      </c>
      <c r="P2360" s="132" t="s">
        <v>235</v>
      </c>
      <c r="Q2360" s="232"/>
      <c r="R2360" s="411"/>
      <c r="T2360" s="441"/>
      <c r="U2360" s="266" t="s">
        <v>5483</v>
      </c>
      <c r="AA2360" s="218"/>
    </row>
    <row r="2361" spans="1:27" ht="24" x14ac:dyDescent="0.25">
      <c r="A2361" s="405">
        <v>3001779</v>
      </c>
      <c r="B2361" s="406">
        <v>42478</v>
      </c>
      <c r="C2361" s="405" t="s">
        <v>237</v>
      </c>
      <c r="D2361" s="401" t="s">
        <v>5484</v>
      </c>
      <c r="E2361" s="120">
        <v>100</v>
      </c>
      <c r="F2361" s="133" t="s">
        <v>3301</v>
      </c>
      <c r="G2361" s="404" t="s">
        <v>45</v>
      </c>
      <c r="H2361" s="411">
        <v>167.38</v>
      </c>
      <c r="I2361" s="397">
        <f>-(H2361*0.15)</f>
        <v>-25.106999999999999</v>
      </c>
      <c r="J2361" s="411">
        <v>0</v>
      </c>
      <c r="K2361" s="396">
        <f t="shared" si="428"/>
        <v>142.273</v>
      </c>
      <c r="L2361" s="187">
        <v>771</v>
      </c>
      <c r="M2361" s="187">
        <v>77.099999999999994</v>
      </c>
      <c r="N2361" s="91">
        <f t="shared" si="429"/>
        <v>154.19999999999999</v>
      </c>
      <c r="O2361" s="411">
        <f t="shared" si="423"/>
        <v>-11.926999999999992</v>
      </c>
      <c r="P2361" s="132" t="s">
        <v>601</v>
      </c>
      <c r="Q2361" s="232"/>
      <c r="R2361" s="411"/>
      <c r="T2361" s="134" t="s">
        <v>145</v>
      </c>
      <c r="U2361" s="267" t="s">
        <v>5485</v>
      </c>
      <c r="AA2361" s="218"/>
    </row>
    <row r="2362" spans="1:27" x14ac:dyDescent="0.25">
      <c r="A2362" s="419">
        <v>3001780</v>
      </c>
      <c r="B2362" s="421">
        <v>42478</v>
      </c>
      <c r="C2362" s="419" t="s">
        <v>237</v>
      </c>
      <c r="D2362" s="417" t="s">
        <v>5486</v>
      </c>
      <c r="E2362" s="120">
        <v>300</v>
      </c>
      <c r="F2362" s="133" t="s">
        <v>5487</v>
      </c>
      <c r="G2362" s="434" t="s">
        <v>45</v>
      </c>
      <c r="H2362" s="427">
        <v>1461.24</v>
      </c>
      <c r="I2362" s="452">
        <f>-(H2362*0.15)</f>
        <v>-219.18600000000001</v>
      </c>
      <c r="J2362" s="427">
        <v>0</v>
      </c>
      <c r="K2362" s="425">
        <f t="shared" si="428"/>
        <v>1242.0540000000001</v>
      </c>
      <c r="L2362" s="187">
        <v>1191</v>
      </c>
      <c r="M2362" s="131">
        <v>0</v>
      </c>
      <c r="N2362" s="91">
        <f t="shared" si="429"/>
        <v>357.3</v>
      </c>
      <c r="O2362" s="411">
        <f t="shared" si="423"/>
        <v>884.75400000000013</v>
      </c>
      <c r="P2362" s="132" t="s">
        <v>601</v>
      </c>
      <c r="Q2362" s="232"/>
      <c r="R2362" s="411"/>
      <c r="T2362" s="439" t="s">
        <v>473</v>
      </c>
      <c r="U2362" s="446" t="s">
        <v>5488</v>
      </c>
      <c r="AA2362" s="218"/>
    </row>
    <row r="2363" spans="1:27" x14ac:dyDescent="0.25">
      <c r="A2363" s="420"/>
      <c r="B2363" s="422"/>
      <c r="C2363" s="420"/>
      <c r="D2363" s="418"/>
      <c r="E2363" s="120">
        <v>300</v>
      </c>
      <c r="F2363" s="133" t="s">
        <v>5489</v>
      </c>
      <c r="G2363" s="436"/>
      <c r="H2363" s="428"/>
      <c r="I2363" s="453"/>
      <c r="J2363" s="428"/>
      <c r="K2363" s="426"/>
      <c r="L2363" s="187">
        <v>1121</v>
      </c>
      <c r="N2363" s="91">
        <f t="shared" si="429"/>
        <v>336.3</v>
      </c>
      <c r="O2363" s="411">
        <f t="shared" si="423"/>
        <v>-336.3</v>
      </c>
      <c r="P2363" s="132" t="s">
        <v>601</v>
      </c>
      <c r="Q2363" s="232"/>
      <c r="R2363" s="411"/>
      <c r="T2363" s="441"/>
      <c r="U2363" s="447"/>
      <c r="AA2363" s="218"/>
    </row>
    <row r="2364" spans="1:27" ht="24" x14ac:dyDescent="0.25">
      <c r="A2364" s="405">
        <v>3001781</v>
      </c>
      <c r="B2364" s="406">
        <v>42478</v>
      </c>
      <c r="C2364" s="405" t="s">
        <v>42</v>
      </c>
      <c r="D2364" s="401" t="s">
        <v>5490</v>
      </c>
      <c r="E2364" s="120">
        <v>110</v>
      </c>
      <c r="F2364" s="133" t="s">
        <v>70</v>
      </c>
      <c r="G2364" s="404" t="s">
        <v>45</v>
      </c>
      <c r="H2364" s="411">
        <v>290.39999999999998</v>
      </c>
      <c r="I2364" s="397">
        <f>-(H2364*0.09)</f>
        <v>-26.135999999999996</v>
      </c>
      <c r="J2364" s="391">
        <f t="shared" ref="J2364" si="432">-((H2364*0.019)+0.3)</f>
        <v>-5.8175999999999997</v>
      </c>
      <c r="K2364" s="396">
        <f t="shared" si="428"/>
        <v>258.44639999999998</v>
      </c>
      <c r="M2364" s="187">
        <v>75.17</v>
      </c>
      <c r="N2364" s="91">
        <f t="shared" si="429"/>
        <v>75.17</v>
      </c>
      <c r="O2364" s="411">
        <f t="shared" si="423"/>
        <v>183.27639999999997</v>
      </c>
      <c r="P2364" s="132" t="s">
        <v>52</v>
      </c>
      <c r="Q2364" s="232"/>
      <c r="R2364" s="411"/>
      <c r="T2364" s="134" t="s">
        <v>145</v>
      </c>
      <c r="U2364" s="267" t="s">
        <v>5491</v>
      </c>
      <c r="AA2364" s="218"/>
    </row>
    <row r="2365" spans="1:27" ht="36" x14ac:dyDescent="0.25">
      <c r="A2365" s="405">
        <v>3001782</v>
      </c>
      <c r="B2365" s="406">
        <v>42478</v>
      </c>
      <c r="C2365" s="405" t="s">
        <v>63</v>
      </c>
      <c r="D2365" s="401" t="s">
        <v>5492</v>
      </c>
      <c r="E2365" s="120">
        <v>100</v>
      </c>
      <c r="F2365" s="119" t="s">
        <v>5493</v>
      </c>
      <c r="G2365" s="404" t="s">
        <v>45</v>
      </c>
      <c r="H2365" s="411">
        <v>145</v>
      </c>
      <c r="I2365" s="411">
        <v>0</v>
      </c>
      <c r="J2365" s="391">
        <f>-((H2365*0.022)+0.3)</f>
        <v>-3.4899999999999998</v>
      </c>
      <c r="K2365" s="396">
        <f t="shared" si="428"/>
        <v>141.51</v>
      </c>
      <c r="L2365" s="187">
        <v>700</v>
      </c>
      <c r="M2365" s="187">
        <v>13.98</v>
      </c>
      <c r="N2365" s="91">
        <f t="shared" si="429"/>
        <v>83.98</v>
      </c>
      <c r="O2365" s="411">
        <f t="shared" si="423"/>
        <v>57.529999999999987</v>
      </c>
      <c r="P2365" s="132" t="s">
        <v>183</v>
      </c>
      <c r="Q2365" s="232"/>
      <c r="R2365" s="411"/>
      <c r="T2365" s="134" t="s">
        <v>145</v>
      </c>
      <c r="U2365" s="267" t="s">
        <v>5494</v>
      </c>
      <c r="W2365" s="153" t="s">
        <v>5495</v>
      </c>
      <c r="AA2365" s="218"/>
    </row>
    <row r="2366" spans="1:27" ht="24" x14ac:dyDescent="0.25">
      <c r="A2366" s="405">
        <v>3001783</v>
      </c>
      <c r="B2366" s="406">
        <v>42478</v>
      </c>
      <c r="C2366" s="405" t="s">
        <v>327</v>
      </c>
      <c r="D2366" s="401" t="s">
        <v>5496</v>
      </c>
      <c r="E2366" s="120">
        <v>50</v>
      </c>
      <c r="F2366" s="133" t="s">
        <v>1991</v>
      </c>
      <c r="G2366" s="404" t="s">
        <v>45</v>
      </c>
      <c r="H2366" s="411">
        <v>286</v>
      </c>
      <c r="I2366" s="411">
        <v>0</v>
      </c>
      <c r="J2366" s="391">
        <f>-((H2366*0.022)+0.3)</f>
        <v>-6.5919999999999996</v>
      </c>
      <c r="K2366" s="396">
        <f t="shared" si="428"/>
        <v>279.40800000000002</v>
      </c>
      <c r="M2366" s="187">
        <v>38.06</v>
      </c>
      <c r="N2366" s="91">
        <f t="shared" si="429"/>
        <v>38.06</v>
      </c>
      <c r="O2366" s="411">
        <f t="shared" si="423"/>
        <v>241.34800000000001</v>
      </c>
      <c r="P2366" s="132" t="s">
        <v>52</v>
      </c>
      <c r="Q2366" s="232"/>
      <c r="R2366" s="411"/>
      <c r="T2366" s="134" t="s">
        <v>145</v>
      </c>
      <c r="U2366" s="267" t="s">
        <v>5497</v>
      </c>
      <c r="W2366" s="153" t="s">
        <v>5498</v>
      </c>
      <c r="AA2366" s="218"/>
    </row>
    <row r="2367" spans="1:27" x14ac:dyDescent="0.25">
      <c r="A2367" s="419">
        <v>3001784</v>
      </c>
      <c r="B2367" s="421">
        <v>42478</v>
      </c>
      <c r="C2367" s="419" t="s">
        <v>56</v>
      </c>
      <c r="D2367" s="417" t="s">
        <v>57</v>
      </c>
      <c r="E2367" s="120">
        <v>1000</v>
      </c>
      <c r="F2367" s="133" t="s">
        <v>5499</v>
      </c>
      <c r="G2367" s="434" t="s">
        <v>45</v>
      </c>
      <c r="H2367" s="427">
        <v>9855</v>
      </c>
      <c r="I2367" s="427">
        <v>0</v>
      </c>
      <c r="J2367" s="427">
        <v>0</v>
      </c>
      <c r="K2367" s="425">
        <f t="shared" si="428"/>
        <v>9855</v>
      </c>
      <c r="L2367" s="131">
        <v>3300</v>
      </c>
      <c r="M2367" s="468">
        <v>324.45</v>
      </c>
      <c r="N2367" s="91">
        <f t="shared" si="429"/>
        <v>3624.45</v>
      </c>
      <c r="O2367" s="411">
        <f t="shared" si="423"/>
        <v>6230.55</v>
      </c>
      <c r="P2367" s="132" t="s">
        <v>52</v>
      </c>
      <c r="Q2367" s="232"/>
      <c r="R2367" s="411"/>
      <c r="T2367" s="439" t="s">
        <v>89</v>
      </c>
      <c r="U2367" s="446" t="s">
        <v>5500</v>
      </c>
      <c r="V2367" s="133" t="s">
        <v>55</v>
      </c>
      <c r="W2367" s="153" t="s">
        <v>1855</v>
      </c>
      <c r="AA2367" s="218"/>
    </row>
    <row r="2368" spans="1:27" x14ac:dyDescent="0.25">
      <c r="A2368" s="432"/>
      <c r="B2368" s="433"/>
      <c r="C2368" s="432"/>
      <c r="D2368" s="454"/>
      <c r="E2368" s="120">
        <v>1000</v>
      </c>
      <c r="F2368" s="133" t="s">
        <v>5501</v>
      </c>
      <c r="G2368" s="435"/>
      <c r="H2368" s="438"/>
      <c r="I2368" s="438"/>
      <c r="J2368" s="438"/>
      <c r="K2368" s="437"/>
      <c r="L2368" s="131">
        <v>2150</v>
      </c>
      <c r="M2368" s="491"/>
      <c r="N2368" s="91">
        <f t="shared" si="429"/>
        <v>2150</v>
      </c>
      <c r="O2368" s="411">
        <f t="shared" si="423"/>
        <v>-2150</v>
      </c>
      <c r="P2368" s="132" t="s">
        <v>52</v>
      </c>
      <c r="Q2368" s="232"/>
      <c r="R2368" s="411"/>
      <c r="T2368" s="440"/>
      <c r="U2368" s="448"/>
      <c r="V2368" s="133" t="s">
        <v>2564</v>
      </c>
      <c r="AA2368" s="218"/>
    </row>
    <row r="2369" spans="1:27" x14ac:dyDescent="0.25">
      <c r="A2369" s="420"/>
      <c r="B2369" s="422"/>
      <c r="C2369" s="420"/>
      <c r="D2369" s="418"/>
      <c r="E2369" s="120">
        <v>2000</v>
      </c>
      <c r="F2369" s="133" t="s">
        <v>2092</v>
      </c>
      <c r="G2369" s="436"/>
      <c r="H2369" s="428"/>
      <c r="I2369" s="428"/>
      <c r="J2369" s="428"/>
      <c r="K2369" s="426"/>
      <c r="L2369" s="131">
        <v>990</v>
      </c>
      <c r="M2369" s="469"/>
      <c r="N2369" s="91">
        <f t="shared" si="429"/>
        <v>1980</v>
      </c>
      <c r="O2369" s="411">
        <f t="shared" si="423"/>
        <v>-1980</v>
      </c>
      <c r="P2369" s="132" t="s">
        <v>52</v>
      </c>
      <c r="Q2369" s="232"/>
      <c r="R2369" s="411"/>
      <c r="T2369" s="441"/>
      <c r="U2369" s="447"/>
      <c r="AA2369" s="218"/>
    </row>
    <row r="2370" spans="1:27" x14ac:dyDescent="0.25">
      <c r="A2370" s="419">
        <v>3001785</v>
      </c>
      <c r="B2370" s="421">
        <v>42478</v>
      </c>
      <c r="C2370" s="419" t="s">
        <v>141</v>
      </c>
      <c r="D2370" s="417" t="s">
        <v>5502</v>
      </c>
      <c r="E2370" s="120">
        <v>1000</v>
      </c>
      <c r="F2370" s="133" t="s">
        <v>5503</v>
      </c>
      <c r="G2370" s="434" t="s">
        <v>45</v>
      </c>
      <c r="H2370" s="427">
        <v>640</v>
      </c>
      <c r="I2370" s="427">
        <v>0</v>
      </c>
      <c r="J2370" s="425">
        <f>-((H2370*0.0325)+0.3)</f>
        <v>-21.1</v>
      </c>
      <c r="K2370" s="425">
        <f t="shared" ref="K2370" si="433">SUM(H2370:J2370)</f>
        <v>618.9</v>
      </c>
      <c r="L2370" s="187">
        <v>240</v>
      </c>
      <c r="M2370" s="187">
        <v>31.93</v>
      </c>
      <c r="N2370" s="91">
        <f t="shared" si="429"/>
        <v>271.93</v>
      </c>
      <c r="O2370" s="411">
        <f t="shared" si="423"/>
        <v>346.96999999999997</v>
      </c>
      <c r="P2370" s="132" t="s">
        <v>235</v>
      </c>
      <c r="Q2370" s="232"/>
      <c r="R2370" s="411"/>
      <c r="T2370" s="439" t="s">
        <v>145</v>
      </c>
      <c r="U2370" s="267" t="s">
        <v>5504</v>
      </c>
      <c r="W2370" s="153" t="s">
        <v>5505</v>
      </c>
      <c r="AA2370" s="218"/>
    </row>
    <row r="2371" spans="1:27" x14ac:dyDescent="0.25">
      <c r="A2371" s="420"/>
      <c r="B2371" s="422"/>
      <c r="C2371" s="420"/>
      <c r="D2371" s="418"/>
      <c r="E2371" s="120">
        <v>1000</v>
      </c>
      <c r="F2371" s="133" t="s">
        <v>5506</v>
      </c>
      <c r="G2371" s="436"/>
      <c r="H2371" s="428"/>
      <c r="I2371" s="428"/>
      <c r="J2371" s="426"/>
      <c r="K2371" s="426"/>
      <c r="L2371" s="187">
        <v>185</v>
      </c>
      <c r="M2371" s="187">
        <v>45.1</v>
      </c>
      <c r="N2371" s="91">
        <f t="shared" si="429"/>
        <v>230.1</v>
      </c>
      <c r="O2371" s="411">
        <f t="shared" si="423"/>
        <v>-230.1</v>
      </c>
      <c r="P2371" s="132" t="s">
        <v>235</v>
      </c>
      <c r="Q2371" s="232"/>
      <c r="R2371" s="411"/>
      <c r="T2371" s="441"/>
      <c r="U2371" s="267" t="s">
        <v>5507</v>
      </c>
      <c r="AA2371" s="218"/>
    </row>
    <row r="2372" spans="1:27" x14ac:dyDescent="0.25">
      <c r="A2372" s="405">
        <v>3001786</v>
      </c>
      <c r="B2372" s="406">
        <v>42479</v>
      </c>
      <c r="C2372" s="405" t="s">
        <v>63</v>
      </c>
      <c r="D2372" s="401" t="s">
        <v>3069</v>
      </c>
      <c r="E2372" s="120">
        <v>400</v>
      </c>
      <c r="F2372" s="133" t="s">
        <v>4334</v>
      </c>
      <c r="G2372" s="404" t="s">
        <v>45</v>
      </c>
      <c r="H2372" s="411">
        <v>1120</v>
      </c>
      <c r="I2372" s="411">
        <v>0</v>
      </c>
      <c r="J2372" s="391">
        <f>-((H2372*0.022)+0.3)</f>
        <v>-24.939999999999998</v>
      </c>
      <c r="K2372" s="396">
        <f t="shared" ref="K2372:K2404" si="434">SUM(H2372:J2372)</f>
        <v>1095.06</v>
      </c>
      <c r="L2372" s="187">
        <v>1600</v>
      </c>
      <c r="M2372" s="187">
        <v>99</v>
      </c>
      <c r="N2372" s="91">
        <f t="shared" si="429"/>
        <v>739</v>
      </c>
      <c r="O2372" s="411">
        <f t="shared" si="423"/>
        <v>356.05999999999995</v>
      </c>
      <c r="P2372" s="132" t="s">
        <v>235</v>
      </c>
      <c r="Q2372" s="232"/>
      <c r="R2372" s="411"/>
      <c r="T2372" s="134" t="s">
        <v>5508</v>
      </c>
      <c r="U2372" s="267" t="s">
        <v>5509</v>
      </c>
      <c r="W2372" s="153" t="s">
        <v>5510</v>
      </c>
      <c r="AA2372" s="218">
        <v>25</v>
      </c>
    </row>
    <row r="2373" spans="1:27" ht="24" x14ac:dyDescent="0.25">
      <c r="A2373" s="405">
        <v>3001787</v>
      </c>
      <c r="B2373" s="406">
        <v>42479</v>
      </c>
      <c r="C2373" s="405" t="s">
        <v>42</v>
      </c>
      <c r="D2373" s="401" t="s">
        <v>5511</v>
      </c>
      <c r="E2373" s="120">
        <v>50</v>
      </c>
      <c r="F2373" s="133" t="s">
        <v>2483</v>
      </c>
      <c r="G2373" s="404" t="s">
        <v>45</v>
      </c>
      <c r="H2373" s="411">
        <v>117.6</v>
      </c>
      <c r="I2373" s="397">
        <f>-(H2373*0.09)</f>
        <v>-10.584</v>
      </c>
      <c r="J2373" s="391">
        <f t="shared" ref="J2373:J2376" si="435">-((H2373*0.019)+0.3)</f>
        <v>-2.5343999999999998</v>
      </c>
      <c r="K2373" s="396">
        <f t="shared" si="434"/>
        <v>104.48159999999999</v>
      </c>
      <c r="L2373" s="131">
        <v>1450</v>
      </c>
      <c r="M2373" s="187">
        <v>37.520000000000003</v>
      </c>
      <c r="N2373" s="91">
        <f t="shared" si="429"/>
        <v>110.02000000000001</v>
      </c>
      <c r="O2373" s="411">
        <f t="shared" si="423"/>
        <v>-5.5384000000000242</v>
      </c>
      <c r="P2373" s="132" t="s">
        <v>52</v>
      </c>
      <c r="Q2373" s="232"/>
      <c r="R2373" s="411"/>
      <c r="T2373" s="134" t="s">
        <v>145</v>
      </c>
      <c r="U2373" s="267" t="s">
        <v>5512</v>
      </c>
      <c r="AA2373" s="218"/>
    </row>
    <row r="2374" spans="1:27" ht="24" x14ac:dyDescent="0.25">
      <c r="A2374" s="405">
        <v>3001788</v>
      </c>
      <c r="B2374" s="406">
        <v>42479</v>
      </c>
      <c r="C2374" s="405" t="s">
        <v>42</v>
      </c>
      <c r="D2374" s="401" t="s">
        <v>5513</v>
      </c>
      <c r="E2374" s="120">
        <v>100</v>
      </c>
      <c r="F2374" s="133" t="s">
        <v>288</v>
      </c>
      <c r="G2374" s="404" t="s">
        <v>45</v>
      </c>
      <c r="H2374" s="411">
        <v>187.16</v>
      </c>
      <c r="I2374" s="397">
        <f t="shared" ref="I2374:I2376" si="436">-(H2374*0.09)</f>
        <v>-16.8444</v>
      </c>
      <c r="J2374" s="391">
        <f t="shared" si="435"/>
        <v>-3.8560399999999997</v>
      </c>
      <c r="K2374" s="396">
        <f t="shared" si="434"/>
        <v>166.45955999999998</v>
      </c>
      <c r="L2374" s="131">
        <v>990</v>
      </c>
      <c r="M2374" s="187">
        <v>48.33</v>
      </c>
      <c r="N2374" s="91">
        <f t="shared" si="429"/>
        <v>147.32999999999998</v>
      </c>
      <c r="O2374" s="411">
        <f t="shared" si="423"/>
        <v>19.129559999999998</v>
      </c>
      <c r="P2374" s="132" t="s">
        <v>52</v>
      </c>
      <c r="Q2374" s="232"/>
      <c r="R2374" s="411"/>
      <c r="T2374" s="134" t="s">
        <v>145</v>
      </c>
      <c r="U2374" s="267" t="s">
        <v>5514</v>
      </c>
      <c r="AA2374" s="218"/>
    </row>
    <row r="2375" spans="1:27" ht="24" x14ac:dyDescent="0.25">
      <c r="A2375" s="405">
        <v>3001789</v>
      </c>
      <c r="B2375" s="406">
        <v>42479</v>
      </c>
      <c r="C2375" s="405" t="s">
        <v>42</v>
      </c>
      <c r="D2375" s="401" t="s">
        <v>5515</v>
      </c>
      <c r="E2375" s="120">
        <v>250</v>
      </c>
      <c r="F2375" s="133" t="s">
        <v>590</v>
      </c>
      <c r="G2375" s="404" t="s">
        <v>45</v>
      </c>
      <c r="H2375" s="411">
        <v>263.99</v>
      </c>
      <c r="I2375" s="397">
        <f t="shared" si="436"/>
        <v>-23.7591</v>
      </c>
      <c r="J2375" s="391">
        <f t="shared" si="435"/>
        <v>-5.3158099999999999</v>
      </c>
      <c r="K2375" s="396">
        <f t="shared" si="434"/>
        <v>234.91509000000002</v>
      </c>
      <c r="L2375" s="187">
        <v>740</v>
      </c>
      <c r="M2375" s="187">
        <v>32.44</v>
      </c>
      <c r="N2375" s="91">
        <f t="shared" si="429"/>
        <v>217.44</v>
      </c>
      <c r="O2375" s="411">
        <f t="shared" si="423"/>
        <v>17.475090000000023</v>
      </c>
      <c r="P2375" s="132" t="s">
        <v>235</v>
      </c>
      <c r="Q2375" s="232"/>
      <c r="R2375" s="411"/>
      <c r="T2375" s="134" t="s">
        <v>145</v>
      </c>
      <c r="U2375" s="267" t="s">
        <v>5516</v>
      </c>
      <c r="AA2375" s="218"/>
    </row>
    <row r="2376" spans="1:27" ht="24" x14ac:dyDescent="0.25">
      <c r="A2376" s="405">
        <v>3001790</v>
      </c>
      <c r="B2376" s="406">
        <v>42479</v>
      </c>
      <c r="C2376" s="405" t="s">
        <v>42</v>
      </c>
      <c r="D2376" s="401" t="s">
        <v>5517</v>
      </c>
      <c r="E2376" s="120">
        <v>100</v>
      </c>
      <c r="F2376" s="133" t="s">
        <v>176</v>
      </c>
      <c r="G2376" s="404" t="s">
        <v>45</v>
      </c>
      <c r="H2376" s="411">
        <v>325.85000000000002</v>
      </c>
      <c r="I2376" s="397">
        <f t="shared" si="436"/>
        <v>-29.326499999999999</v>
      </c>
      <c r="J2376" s="391">
        <f t="shared" si="435"/>
        <v>-6.4911500000000002</v>
      </c>
      <c r="K2376" s="396">
        <f t="shared" si="434"/>
        <v>290.03235000000001</v>
      </c>
      <c r="L2376" s="131">
        <v>1693</v>
      </c>
      <c r="M2376" s="187">
        <v>32.78</v>
      </c>
      <c r="N2376" s="91">
        <f t="shared" si="429"/>
        <v>202.08</v>
      </c>
      <c r="O2376" s="411">
        <f t="shared" si="423"/>
        <v>87.952349999999996</v>
      </c>
      <c r="P2376" s="132" t="s">
        <v>52</v>
      </c>
      <c r="Q2376" s="232"/>
      <c r="R2376" s="411"/>
      <c r="T2376" s="134" t="s">
        <v>145</v>
      </c>
      <c r="U2376" s="267" t="s">
        <v>5518</v>
      </c>
      <c r="AA2376" s="218"/>
    </row>
    <row r="2377" spans="1:27" x14ac:dyDescent="0.25">
      <c r="A2377" s="405">
        <v>3001791</v>
      </c>
      <c r="B2377" s="406">
        <v>42479</v>
      </c>
      <c r="C2377" s="405" t="s">
        <v>237</v>
      </c>
      <c r="D2377" s="401" t="s">
        <v>5519</v>
      </c>
      <c r="E2377" s="120">
        <v>500</v>
      </c>
      <c r="F2377" s="133" t="s">
        <v>2361</v>
      </c>
      <c r="G2377" s="404" t="s">
        <v>45</v>
      </c>
      <c r="H2377" s="411">
        <v>651.9</v>
      </c>
      <c r="I2377" s="397">
        <f t="shared" ref="I2377:I2384" si="437">-(H2377*0.15)</f>
        <v>-97.784999999999997</v>
      </c>
      <c r="J2377" s="411">
        <v>0</v>
      </c>
      <c r="K2377" s="396">
        <f t="shared" si="434"/>
        <v>554.11500000000001</v>
      </c>
      <c r="L2377" s="187">
        <v>785</v>
      </c>
      <c r="M2377" s="187">
        <v>113.86</v>
      </c>
      <c r="N2377" s="91">
        <f t="shared" si="429"/>
        <v>506.36</v>
      </c>
      <c r="O2377" s="411">
        <f t="shared" si="423"/>
        <v>47.754999999999995</v>
      </c>
      <c r="P2377" s="132" t="s">
        <v>638</v>
      </c>
      <c r="Q2377" s="232"/>
      <c r="R2377" s="411"/>
      <c r="T2377" s="134" t="s">
        <v>97</v>
      </c>
      <c r="U2377" s="267" t="s">
        <v>5520</v>
      </c>
      <c r="W2377" s="153" t="s">
        <v>5521</v>
      </c>
      <c r="AA2377" s="218"/>
    </row>
    <row r="2378" spans="1:27" ht="24" x14ac:dyDescent="0.25">
      <c r="A2378" s="405">
        <v>3001792</v>
      </c>
      <c r="B2378" s="406">
        <v>42479</v>
      </c>
      <c r="C2378" s="405" t="s">
        <v>237</v>
      </c>
      <c r="D2378" s="401" t="s">
        <v>5522</v>
      </c>
      <c r="E2378" s="120">
        <v>125</v>
      </c>
      <c r="F2378" s="133" t="s">
        <v>161</v>
      </c>
      <c r="G2378" s="404" t="s">
        <v>45</v>
      </c>
      <c r="H2378" s="411">
        <v>300</v>
      </c>
      <c r="I2378" s="397">
        <f t="shared" si="437"/>
        <v>-45</v>
      </c>
      <c r="J2378" s="411">
        <v>0</v>
      </c>
      <c r="K2378" s="396">
        <f t="shared" si="434"/>
        <v>255</v>
      </c>
      <c r="L2378" s="131">
        <v>1322</v>
      </c>
      <c r="M2378" s="187">
        <v>35.18</v>
      </c>
      <c r="N2378" s="91">
        <f t="shared" si="429"/>
        <v>200.43</v>
      </c>
      <c r="O2378" s="411">
        <f t="shared" si="423"/>
        <v>54.569999999999993</v>
      </c>
      <c r="P2378" s="132" t="s">
        <v>52</v>
      </c>
      <c r="Q2378" s="232"/>
      <c r="R2378" s="411"/>
      <c r="T2378" s="134" t="s">
        <v>145</v>
      </c>
      <c r="U2378" s="267" t="s">
        <v>5523</v>
      </c>
      <c r="AA2378" s="218"/>
    </row>
    <row r="2379" spans="1:27" ht="24" x14ac:dyDescent="0.25">
      <c r="A2379" s="405">
        <v>3001793</v>
      </c>
      <c r="B2379" s="406">
        <v>42479</v>
      </c>
      <c r="C2379" s="405" t="s">
        <v>237</v>
      </c>
      <c r="D2379" s="401" t="s">
        <v>5524</v>
      </c>
      <c r="E2379" s="120">
        <v>100</v>
      </c>
      <c r="F2379" s="133" t="s">
        <v>161</v>
      </c>
      <c r="G2379" s="404" t="s">
        <v>45</v>
      </c>
      <c r="H2379" s="411">
        <v>270</v>
      </c>
      <c r="I2379" s="397">
        <f t="shared" si="437"/>
        <v>-40.5</v>
      </c>
      <c r="J2379" s="411">
        <v>0</v>
      </c>
      <c r="K2379" s="396">
        <f t="shared" si="434"/>
        <v>229.5</v>
      </c>
      <c r="L2379" s="131">
        <v>1322</v>
      </c>
      <c r="M2379" s="187">
        <v>44.95</v>
      </c>
      <c r="N2379" s="91">
        <f t="shared" si="429"/>
        <v>177.15000000000003</v>
      </c>
      <c r="O2379" s="411">
        <f t="shared" si="423"/>
        <v>52.349999999999966</v>
      </c>
      <c r="P2379" s="132" t="s">
        <v>52</v>
      </c>
      <c r="Q2379" s="232"/>
      <c r="R2379" s="411"/>
      <c r="T2379" s="134" t="s">
        <v>145</v>
      </c>
      <c r="U2379" s="267" t="s">
        <v>5525</v>
      </c>
      <c r="AA2379" s="218"/>
    </row>
    <row r="2380" spans="1:27" x14ac:dyDescent="0.25">
      <c r="A2380" s="405">
        <v>3001794</v>
      </c>
      <c r="B2380" s="406">
        <v>42479</v>
      </c>
      <c r="C2380" s="405" t="s">
        <v>56</v>
      </c>
      <c r="D2380" s="401" t="s">
        <v>1192</v>
      </c>
      <c r="E2380" s="120">
        <v>1500</v>
      </c>
      <c r="F2380" s="133" t="s">
        <v>5526</v>
      </c>
      <c r="G2380" s="404" t="s">
        <v>45</v>
      </c>
      <c r="H2380" s="411">
        <v>1815</v>
      </c>
      <c r="I2380" s="411">
        <v>0</v>
      </c>
      <c r="J2380" s="411">
        <v>0</v>
      </c>
      <c r="K2380" s="396">
        <f t="shared" si="434"/>
        <v>1815</v>
      </c>
      <c r="L2380" s="131">
        <v>856</v>
      </c>
      <c r="N2380" s="91">
        <f t="shared" si="429"/>
        <v>1284</v>
      </c>
      <c r="O2380" s="411">
        <f t="shared" ref="O2380:O2443" si="438">K2380-N2380</f>
        <v>531</v>
      </c>
      <c r="P2380" s="132" t="s">
        <v>66</v>
      </c>
      <c r="Q2380" s="232"/>
      <c r="R2380" s="411"/>
      <c r="T2380" s="134" t="s">
        <v>314</v>
      </c>
      <c r="U2380" s="267" t="s">
        <v>5527</v>
      </c>
      <c r="V2380" s="133" t="s">
        <v>5528</v>
      </c>
      <c r="W2380" s="153" t="s">
        <v>2090</v>
      </c>
      <c r="AA2380" s="218"/>
    </row>
    <row r="2381" spans="1:27" ht="24" x14ac:dyDescent="0.25">
      <c r="A2381" s="405">
        <v>3001795</v>
      </c>
      <c r="B2381" s="406">
        <v>42479</v>
      </c>
      <c r="C2381" s="405" t="s">
        <v>237</v>
      </c>
      <c r="D2381" s="401" t="s">
        <v>5529</v>
      </c>
      <c r="E2381" s="120">
        <v>500</v>
      </c>
      <c r="F2381" s="133" t="s">
        <v>5530</v>
      </c>
      <c r="G2381" s="404" t="s">
        <v>45</v>
      </c>
      <c r="H2381" s="411">
        <v>146.63999999999999</v>
      </c>
      <c r="I2381" s="397">
        <f t="shared" si="437"/>
        <v>-21.995999999999999</v>
      </c>
      <c r="J2381" s="411">
        <v>0</v>
      </c>
      <c r="K2381" s="396">
        <f t="shared" si="434"/>
        <v>124.64399999999999</v>
      </c>
      <c r="L2381" s="187">
        <v>75</v>
      </c>
      <c r="M2381" s="187">
        <v>7.49</v>
      </c>
      <c r="N2381" s="91">
        <f t="shared" si="429"/>
        <v>44.99</v>
      </c>
      <c r="O2381" s="411">
        <f t="shared" si="438"/>
        <v>79.653999999999996</v>
      </c>
      <c r="P2381" s="132" t="s">
        <v>643</v>
      </c>
      <c r="Q2381" s="232"/>
      <c r="R2381" s="411"/>
      <c r="T2381" s="134" t="s">
        <v>145</v>
      </c>
      <c r="U2381" s="267" t="s">
        <v>5531</v>
      </c>
      <c r="AA2381" s="218"/>
    </row>
    <row r="2382" spans="1:27" ht="24" x14ac:dyDescent="0.25">
      <c r="A2382" s="405">
        <v>3001796</v>
      </c>
      <c r="B2382" s="406">
        <v>42479</v>
      </c>
      <c r="C2382" s="405" t="s">
        <v>42</v>
      </c>
      <c r="D2382" s="401" t="s">
        <v>5532</v>
      </c>
      <c r="E2382" s="120">
        <v>50</v>
      </c>
      <c r="F2382" s="133" t="s">
        <v>161</v>
      </c>
      <c r="G2382" s="404" t="s">
        <v>45</v>
      </c>
      <c r="H2382" s="411">
        <v>123.75</v>
      </c>
      <c r="I2382" s="397">
        <f>-(H2382*0.09)</f>
        <v>-11.137499999999999</v>
      </c>
      <c r="J2382" s="391">
        <f t="shared" ref="J2382:J2385" si="439">-((H2382*0.019)+0.3)</f>
        <v>-2.6512499999999997</v>
      </c>
      <c r="K2382" s="396">
        <f t="shared" si="434"/>
        <v>109.96124999999999</v>
      </c>
      <c r="L2382" s="131">
        <v>1322</v>
      </c>
      <c r="M2382" s="187">
        <v>16.8</v>
      </c>
      <c r="N2382" s="91">
        <f t="shared" si="429"/>
        <v>82.9</v>
      </c>
      <c r="O2382" s="411">
        <f t="shared" si="438"/>
        <v>27.061249999999987</v>
      </c>
      <c r="P2382" s="132" t="s">
        <v>52</v>
      </c>
      <c r="Q2382" s="232"/>
      <c r="R2382" s="411"/>
      <c r="T2382" s="134" t="s">
        <v>145</v>
      </c>
      <c r="U2382" s="267" t="s">
        <v>5533</v>
      </c>
      <c r="AA2382" s="218"/>
    </row>
    <row r="2383" spans="1:27" ht="24" x14ac:dyDescent="0.25">
      <c r="A2383" s="405">
        <v>3001797</v>
      </c>
      <c r="B2383" s="406">
        <v>42479</v>
      </c>
      <c r="C2383" s="405" t="s">
        <v>42</v>
      </c>
      <c r="D2383" s="401" t="s">
        <v>5534</v>
      </c>
      <c r="E2383" s="120">
        <v>250</v>
      </c>
      <c r="F2383" s="133" t="s">
        <v>1137</v>
      </c>
      <c r="G2383" s="404" t="s">
        <v>45</v>
      </c>
      <c r="H2383" s="411">
        <v>126.35</v>
      </c>
      <c r="I2383" s="397">
        <f t="shared" si="437"/>
        <v>-18.952499999999997</v>
      </c>
      <c r="J2383" s="391">
        <f t="shared" si="439"/>
        <v>-2.7006499999999996</v>
      </c>
      <c r="K2383" s="396">
        <f t="shared" si="434"/>
        <v>104.69685</v>
      </c>
      <c r="L2383" s="131">
        <v>220</v>
      </c>
      <c r="M2383" s="187">
        <v>33.46</v>
      </c>
      <c r="N2383" s="91">
        <f t="shared" si="429"/>
        <v>88.460000000000008</v>
      </c>
      <c r="O2383" s="411">
        <f t="shared" si="438"/>
        <v>16.23684999999999</v>
      </c>
      <c r="P2383" s="132" t="s">
        <v>52</v>
      </c>
      <c r="Q2383" s="232"/>
      <c r="R2383" s="411"/>
      <c r="T2383" s="134" t="s">
        <v>145</v>
      </c>
      <c r="U2383" s="267" t="s">
        <v>5535</v>
      </c>
      <c r="AA2383" s="218"/>
    </row>
    <row r="2384" spans="1:27" ht="24" x14ac:dyDescent="0.25">
      <c r="A2384" s="405">
        <v>3001798</v>
      </c>
      <c r="B2384" s="406">
        <v>42479</v>
      </c>
      <c r="C2384" s="405" t="s">
        <v>42</v>
      </c>
      <c r="D2384" s="401" t="s">
        <v>5536</v>
      </c>
      <c r="E2384" s="120">
        <v>100</v>
      </c>
      <c r="F2384" s="133" t="s">
        <v>182</v>
      </c>
      <c r="G2384" s="404" t="s">
        <v>45</v>
      </c>
      <c r="H2384" s="411">
        <v>190</v>
      </c>
      <c r="I2384" s="397">
        <f t="shared" si="437"/>
        <v>-28.5</v>
      </c>
      <c r="J2384" s="391">
        <f t="shared" si="439"/>
        <v>-3.9099999999999997</v>
      </c>
      <c r="K2384" s="396">
        <f t="shared" si="434"/>
        <v>157.59</v>
      </c>
      <c r="L2384" s="131">
        <v>1060</v>
      </c>
      <c r="M2384" s="187">
        <v>30.34</v>
      </c>
      <c r="N2384" s="91">
        <f t="shared" si="429"/>
        <v>136.34</v>
      </c>
      <c r="O2384" s="411">
        <f t="shared" si="438"/>
        <v>21.25</v>
      </c>
      <c r="P2384" s="132" t="s">
        <v>52</v>
      </c>
      <c r="Q2384" s="232"/>
      <c r="R2384" s="411"/>
      <c r="T2384" s="134" t="s">
        <v>145</v>
      </c>
      <c r="U2384" s="267" t="s">
        <v>5537</v>
      </c>
      <c r="AA2384" s="218"/>
    </row>
    <row r="2385" spans="1:27" ht="24" customHeight="1" x14ac:dyDescent="0.25">
      <c r="A2385" s="419">
        <v>3001799</v>
      </c>
      <c r="B2385" s="421">
        <v>42479</v>
      </c>
      <c r="C2385" s="419" t="s">
        <v>42</v>
      </c>
      <c r="D2385" s="417" t="s">
        <v>5538</v>
      </c>
      <c r="E2385" s="120">
        <v>500</v>
      </c>
      <c r="F2385" s="133" t="s">
        <v>451</v>
      </c>
      <c r="G2385" s="434" t="s">
        <v>45</v>
      </c>
      <c r="H2385" s="427">
        <v>406.54</v>
      </c>
      <c r="I2385" s="452">
        <f>-(H2385*0.09)</f>
        <v>-36.5886</v>
      </c>
      <c r="J2385" s="425">
        <f t="shared" si="439"/>
        <v>-8.0242599999999999</v>
      </c>
      <c r="K2385" s="425">
        <f t="shared" si="434"/>
        <v>361.92714000000001</v>
      </c>
      <c r="L2385" s="131">
        <v>300</v>
      </c>
      <c r="M2385" s="187">
        <v>42.87</v>
      </c>
      <c r="N2385" s="91">
        <f t="shared" si="429"/>
        <v>192.87</v>
      </c>
      <c r="O2385" s="411">
        <f t="shared" si="438"/>
        <v>169.05714</v>
      </c>
      <c r="P2385" s="132" t="s">
        <v>52</v>
      </c>
      <c r="Q2385" s="232"/>
      <c r="R2385" s="411"/>
      <c r="T2385" s="470" t="s">
        <v>145</v>
      </c>
      <c r="U2385" s="267" t="s">
        <v>5539</v>
      </c>
      <c r="AA2385" s="218"/>
    </row>
    <row r="2386" spans="1:27" x14ac:dyDescent="0.25">
      <c r="A2386" s="420"/>
      <c r="B2386" s="422"/>
      <c r="C2386" s="420"/>
      <c r="D2386" s="418"/>
      <c r="E2386" s="120">
        <v>100</v>
      </c>
      <c r="F2386" s="133" t="s">
        <v>1707</v>
      </c>
      <c r="G2386" s="436"/>
      <c r="H2386" s="428"/>
      <c r="I2386" s="453"/>
      <c r="J2386" s="426"/>
      <c r="K2386" s="426"/>
      <c r="L2386" s="131">
        <v>400</v>
      </c>
      <c r="M2386" s="187">
        <v>26.98</v>
      </c>
      <c r="N2386" s="91">
        <f t="shared" si="429"/>
        <v>66.98</v>
      </c>
      <c r="O2386" s="411">
        <f t="shared" si="438"/>
        <v>-66.98</v>
      </c>
      <c r="P2386" s="132" t="s">
        <v>52</v>
      </c>
      <c r="Q2386" s="232"/>
      <c r="R2386" s="411"/>
      <c r="T2386" s="472"/>
      <c r="U2386" s="267" t="s">
        <v>5540</v>
      </c>
      <c r="AA2386" s="218"/>
    </row>
    <row r="2387" spans="1:27" x14ac:dyDescent="0.25">
      <c r="A2387" s="405">
        <v>3001800</v>
      </c>
      <c r="B2387" s="406">
        <v>42479</v>
      </c>
      <c r="C2387" s="405" t="s">
        <v>56</v>
      </c>
      <c r="D2387" s="401" t="s">
        <v>5541</v>
      </c>
      <c r="E2387" s="120">
        <v>2000</v>
      </c>
      <c r="F2387" s="133" t="s">
        <v>5542</v>
      </c>
      <c r="G2387" s="404" t="s">
        <v>45</v>
      </c>
      <c r="H2387" s="411">
        <v>930</v>
      </c>
      <c r="I2387" s="411">
        <v>0</v>
      </c>
      <c r="J2387" s="411">
        <v>0</v>
      </c>
      <c r="K2387" s="396">
        <f t="shared" si="434"/>
        <v>930</v>
      </c>
      <c r="L2387" s="131">
        <v>235</v>
      </c>
      <c r="M2387" s="187">
        <v>91.6</v>
      </c>
      <c r="N2387" s="91">
        <f t="shared" si="429"/>
        <v>561.6</v>
      </c>
      <c r="O2387" s="411">
        <f t="shared" si="438"/>
        <v>368.4</v>
      </c>
      <c r="P2387" s="132" t="s">
        <v>52</v>
      </c>
      <c r="Q2387" s="232"/>
      <c r="R2387" s="411"/>
      <c r="T2387" s="134" t="s">
        <v>244</v>
      </c>
      <c r="U2387" s="267" t="s">
        <v>5543</v>
      </c>
      <c r="V2387" s="133" t="s">
        <v>4104</v>
      </c>
      <c r="AA2387" s="218"/>
    </row>
    <row r="2388" spans="1:27" ht="24" x14ac:dyDescent="0.25">
      <c r="A2388" s="405">
        <v>3001801</v>
      </c>
      <c r="B2388" s="406">
        <v>42479</v>
      </c>
      <c r="C2388" s="405" t="s">
        <v>42</v>
      </c>
      <c r="D2388" s="401" t="s">
        <v>5544</v>
      </c>
      <c r="E2388" s="120">
        <v>250</v>
      </c>
      <c r="F2388" s="133" t="s">
        <v>288</v>
      </c>
      <c r="G2388" s="404" t="s">
        <v>45</v>
      </c>
      <c r="H2388" s="411">
        <v>574.04999999999995</v>
      </c>
      <c r="I2388" s="397">
        <f>-(H2388*0.09)</f>
        <v>-51.664499999999997</v>
      </c>
      <c r="J2388" s="391">
        <f t="shared" ref="J2388:J2389" si="440">-((H2388*0.019)+0.3)</f>
        <v>-11.206949999999999</v>
      </c>
      <c r="K2388" s="396">
        <f t="shared" si="434"/>
        <v>511.17854999999997</v>
      </c>
      <c r="L2388" s="131">
        <v>990</v>
      </c>
      <c r="M2388" s="187">
        <v>165.24</v>
      </c>
      <c r="N2388" s="91">
        <f t="shared" si="429"/>
        <v>412.74</v>
      </c>
      <c r="O2388" s="411">
        <f t="shared" si="438"/>
        <v>98.438549999999964</v>
      </c>
      <c r="P2388" s="132" t="s">
        <v>52</v>
      </c>
      <c r="Q2388" s="232"/>
      <c r="R2388" s="411"/>
      <c r="T2388" s="134" t="s">
        <v>145</v>
      </c>
      <c r="U2388" s="267" t="s">
        <v>5545</v>
      </c>
      <c r="AA2388" s="218"/>
    </row>
    <row r="2389" spans="1:27" ht="24" x14ac:dyDescent="0.25">
      <c r="A2389" s="405">
        <v>3001802</v>
      </c>
      <c r="B2389" s="406">
        <v>42479</v>
      </c>
      <c r="C2389" s="405" t="s">
        <v>42</v>
      </c>
      <c r="D2389" s="401" t="s">
        <v>5546</v>
      </c>
      <c r="E2389" s="120">
        <v>250</v>
      </c>
      <c r="F2389" s="133" t="s">
        <v>234</v>
      </c>
      <c r="G2389" s="404" t="s">
        <v>45</v>
      </c>
      <c r="H2389" s="411">
        <v>163.88</v>
      </c>
      <c r="I2389" s="397">
        <f>-(H2389*0.09)</f>
        <v>-14.749199999999998</v>
      </c>
      <c r="J2389" s="391">
        <f t="shared" si="440"/>
        <v>-3.4137199999999996</v>
      </c>
      <c r="K2389" s="396">
        <f t="shared" si="434"/>
        <v>145.71707999999998</v>
      </c>
      <c r="L2389" s="187">
        <v>370</v>
      </c>
      <c r="N2389" s="91">
        <f t="shared" si="429"/>
        <v>92.5</v>
      </c>
      <c r="O2389" s="411">
        <f t="shared" si="438"/>
        <v>53.217079999999982</v>
      </c>
      <c r="P2389" s="132" t="s">
        <v>235</v>
      </c>
      <c r="Q2389" s="232"/>
      <c r="R2389" s="411"/>
      <c r="T2389" s="134" t="s">
        <v>145</v>
      </c>
      <c r="U2389" s="267" t="s">
        <v>5547</v>
      </c>
      <c r="AA2389" s="218"/>
    </row>
    <row r="2390" spans="1:27" x14ac:dyDescent="0.25">
      <c r="A2390" s="405">
        <v>3001803</v>
      </c>
      <c r="B2390" s="406">
        <v>42479</v>
      </c>
      <c r="C2390" s="405" t="s">
        <v>63</v>
      </c>
      <c r="D2390" s="401" t="s">
        <v>5548</v>
      </c>
      <c r="E2390" s="120">
        <v>7000</v>
      </c>
      <c r="F2390" s="133" t="s">
        <v>5549</v>
      </c>
      <c r="G2390" s="404" t="s">
        <v>45</v>
      </c>
      <c r="H2390" s="411">
        <v>3010</v>
      </c>
      <c r="I2390" s="411">
        <v>0</v>
      </c>
      <c r="J2390" s="391">
        <f>-((H2390*0.022)+0.3)</f>
        <v>-66.52</v>
      </c>
      <c r="K2390" s="396">
        <f t="shared" si="434"/>
        <v>2943.48</v>
      </c>
      <c r="L2390" s="187">
        <v>285</v>
      </c>
      <c r="M2390" s="187">
        <v>199.57</v>
      </c>
      <c r="N2390" s="91">
        <f t="shared" si="429"/>
        <v>2194.5700000000002</v>
      </c>
      <c r="O2390" s="411">
        <f t="shared" si="438"/>
        <v>748.90999999999985</v>
      </c>
      <c r="P2390" s="132" t="s">
        <v>235</v>
      </c>
      <c r="Q2390" s="232"/>
      <c r="R2390" s="411"/>
      <c r="T2390" s="134" t="s">
        <v>565</v>
      </c>
      <c r="U2390" s="267" t="s">
        <v>5550</v>
      </c>
      <c r="W2390" s="153" t="s">
        <v>5551</v>
      </c>
      <c r="AA2390" s="218">
        <v>10</v>
      </c>
    </row>
    <row r="2391" spans="1:27" x14ac:dyDescent="0.25">
      <c r="A2391" s="405">
        <v>3001804</v>
      </c>
      <c r="B2391" s="406">
        <v>42480</v>
      </c>
      <c r="C2391" s="405" t="s">
        <v>141</v>
      </c>
      <c r="D2391" s="401" t="s">
        <v>5552</v>
      </c>
      <c r="E2391" s="120">
        <v>2000</v>
      </c>
      <c r="F2391" s="133" t="s">
        <v>5553</v>
      </c>
      <c r="G2391" s="404" t="s">
        <v>45</v>
      </c>
      <c r="H2391" s="411">
        <v>1100</v>
      </c>
      <c r="I2391" s="411">
        <v>0</v>
      </c>
      <c r="J2391" s="391">
        <f>-((H2391*0.022)+0.3)</f>
        <v>-24.5</v>
      </c>
      <c r="K2391" s="396">
        <f t="shared" si="434"/>
        <v>1075.5</v>
      </c>
      <c r="L2391" s="131">
        <v>300</v>
      </c>
      <c r="M2391" s="187">
        <v>104.28</v>
      </c>
      <c r="N2391" s="91">
        <f t="shared" si="429"/>
        <v>704.28</v>
      </c>
      <c r="O2391" s="411">
        <f t="shared" si="438"/>
        <v>371.22</v>
      </c>
      <c r="P2391" s="132" t="s">
        <v>52</v>
      </c>
      <c r="Q2391" s="232"/>
      <c r="R2391" s="411"/>
      <c r="T2391" s="134" t="s">
        <v>244</v>
      </c>
      <c r="U2391" s="267" t="s">
        <v>5554</v>
      </c>
      <c r="V2391" s="133" t="s">
        <v>55</v>
      </c>
      <c r="W2391" s="153" t="s">
        <v>5555</v>
      </c>
      <c r="AA2391" s="218">
        <v>10</v>
      </c>
    </row>
    <row r="2392" spans="1:27" ht="24" x14ac:dyDescent="0.25">
      <c r="A2392" s="405">
        <v>3001805</v>
      </c>
      <c r="B2392" s="406">
        <v>42480</v>
      </c>
      <c r="C2392" s="405" t="s">
        <v>63</v>
      </c>
      <c r="D2392" s="401" t="s">
        <v>3069</v>
      </c>
      <c r="E2392" s="120">
        <v>100</v>
      </c>
      <c r="F2392" s="133" t="s">
        <v>5556</v>
      </c>
      <c r="G2392" s="404" t="s">
        <v>45</v>
      </c>
      <c r="H2392" s="411">
        <v>270</v>
      </c>
      <c r="I2392" s="411">
        <v>0</v>
      </c>
      <c r="J2392" s="391">
        <f>-((H2392*0.022)+0.3)</f>
        <v>-6.2399999999999993</v>
      </c>
      <c r="K2392" s="396">
        <f t="shared" si="434"/>
        <v>263.76</v>
      </c>
      <c r="L2392" s="187">
        <v>1300</v>
      </c>
      <c r="M2392" s="187">
        <v>28.33</v>
      </c>
      <c r="N2392" s="91">
        <f t="shared" si="429"/>
        <v>158.32999999999998</v>
      </c>
      <c r="O2392" s="411">
        <f t="shared" si="438"/>
        <v>105.43</v>
      </c>
      <c r="P2392" s="132" t="s">
        <v>183</v>
      </c>
      <c r="Q2392" s="232"/>
      <c r="R2392" s="411"/>
      <c r="T2392" s="134" t="s">
        <v>324</v>
      </c>
      <c r="U2392" s="266" t="s">
        <v>5557</v>
      </c>
      <c r="W2392" s="153" t="s">
        <v>5510</v>
      </c>
      <c r="AA2392" s="218"/>
    </row>
    <row r="2393" spans="1:27" x14ac:dyDescent="0.25">
      <c r="A2393" s="405">
        <v>3001806</v>
      </c>
      <c r="B2393" s="406">
        <v>42480</v>
      </c>
      <c r="C2393" s="405" t="s">
        <v>63</v>
      </c>
      <c r="D2393" s="401" t="s">
        <v>5558</v>
      </c>
      <c r="E2393" s="120">
        <v>250</v>
      </c>
      <c r="F2393" s="133" t="s">
        <v>5559</v>
      </c>
      <c r="G2393" s="404" t="s">
        <v>45</v>
      </c>
      <c r="H2393" s="411">
        <v>3750</v>
      </c>
      <c r="I2393" s="411">
        <v>0</v>
      </c>
      <c r="J2393" s="391">
        <f>-((H2393*0.022)+0.3)</f>
        <v>-82.8</v>
      </c>
      <c r="K2393" s="396">
        <f t="shared" si="434"/>
        <v>3667.2</v>
      </c>
      <c r="L2393" s="131">
        <v>7980</v>
      </c>
      <c r="M2393" s="187">
        <v>98.45</v>
      </c>
      <c r="N2393" s="91">
        <f t="shared" si="429"/>
        <v>2093.4499999999998</v>
      </c>
      <c r="O2393" s="411">
        <f t="shared" si="438"/>
        <v>1573.75</v>
      </c>
      <c r="P2393" s="132" t="s">
        <v>5247</v>
      </c>
      <c r="Q2393" s="232"/>
      <c r="R2393" s="411"/>
      <c r="T2393" s="134" t="s">
        <v>244</v>
      </c>
      <c r="U2393" s="266" t="s">
        <v>5560</v>
      </c>
      <c r="V2393" s="181"/>
      <c r="W2393" s="153" t="s">
        <v>5561</v>
      </c>
      <c r="AA2393" s="218">
        <v>10</v>
      </c>
    </row>
    <row r="2394" spans="1:27" ht="24" x14ac:dyDescent="0.25">
      <c r="A2394" s="405">
        <v>3001807</v>
      </c>
      <c r="B2394" s="406">
        <v>42480</v>
      </c>
      <c r="C2394" s="405" t="s">
        <v>42</v>
      </c>
      <c r="D2394" s="401" t="s">
        <v>5562</v>
      </c>
      <c r="E2394" s="120">
        <v>500</v>
      </c>
      <c r="F2394" s="133" t="s">
        <v>983</v>
      </c>
      <c r="G2394" s="404" t="s">
        <v>45</v>
      </c>
      <c r="H2394" s="411">
        <v>287.10000000000002</v>
      </c>
      <c r="I2394" s="397">
        <f>-(H2394*0.09)</f>
        <v>-25.839000000000002</v>
      </c>
      <c r="J2394" s="391">
        <f t="shared" ref="J2394:J2402" si="441">-((H2394*0.019)+0.3)</f>
        <v>-5.7549000000000001</v>
      </c>
      <c r="K2394" s="396">
        <f t="shared" si="434"/>
        <v>255.50610000000003</v>
      </c>
      <c r="L2394" s="131">
        <v>300</v>
      </c>
      <c r="M2394" s="187">
        <v>51.96</v>
      </c>
      <c r="N2394" s="91">
        <f t="shared" si="429"/>
        <v>201.96</v>
      </c>
      <c r="O2394" s="411">
        <f t="shared" si="438"/>
        <v>53.546100000000024</v>
      </c>
      <c r="P2394" s="132" t="s">
        <v>52</v>
      </c>
      <c r="Q2394" s="232"/>
      <c r="R2394" s="411"/>
      <c r="T2394" s="134" t="s">
        <v>145</v>
      </c>
      <c r="U2394" s="267" t="s">
        <v>5563</v>
      </c>
      <c r="AA2394" s="218"/>
    </row>
    <row r="2395" spans="1:27" ht="24" x14ac:dyDescent="0.25">
      <c r="A2395" s="405">
        <v>3001808</v>
      </c>
      <c r="B2395" s="406">
        <v>42480</v>
      </c>
      <c r="C2395" s="405" t="s">
        <v>42</v>
      </c>
      <c r="D2395" s="401" t="s">
        <v>5564</v>
      </c>
      <c r="E2395" s="120">
        <v>150</v>
      </c>
      <c r="F2395" s="133" t="s">
        <v>161</v>
      </c>
      <c r="G2395" s="404" t="s">
        <v>45</v>
      </c>
      <c r="H2395" s="411">
        <v>332.5</v>
      </c>
      <c r="I2395" s="397">
        <f t="shared" ref="I2395:I2402" si="442">-(H2395*0.09)</f>
        <v>-29.924999999999997</v>
      </c>
      <c r="J2395" s="391">
        <f t="shared" si="441"/>
        <v>-6.6174999999999997</v>
      </c>
      <c r="K2395" s="396">
        <f t="shared" si="434"/>
        <v>295.95749999999998</v>
      </c>
      <c r="L2395" s="131">
        <v>1322</v>
      </c>
      <c r="M2395" s="187">
        <v>61.78</v>
      </c>
      <c r="N2395" s="91">
        <f t="shared" si="429"/>
        <v>260.08</v>
      </c>
      <c r="O2395" s="411">
        <f t="shared" si="438"/>
        <v>35.877499999999998</v>
      </c>
      <c r="P2395" s="132" t="s">
        <v>52</v>
      </c>
      <c r="Q2395" s="232"/>
      <c r="R2395" s="411"/>
      <c r="T2395" s="134" t="s">
        <v>145</v>
      </c>
      <c r="U2395" s="267" t="s">
        <v>5565</v>
      </c>
      <c r="AA2395" s="218"/>
    </row>
    <row r="2396" spans="1:27" ht="24" x14ac:dyDescent="0.25">
      <c r="A2396" s="405">
        <v>3001809</v>
      </c>
      <c r="B2396" s="406">
        <v>42480</v>
      </c>
      <c r="C2396" s="405" t="s">
        <v>42</v>
      </c>
      <c r="D2396" s="401" t="s">
        <v>5566</v>
      </c>
      <c r="E2396" s="120">
        <v>100</v>
      </c>
      <c r="F2396" s="133" t="s">
        <v>829</v>
      </c>
      <c r="G2396" s="404" t="s">
        <v>45</v>
      </c>
      <c r="H2396" s="411">
        <v>114</v>
      </c>
      <c r="I2396" s="397">
        <f t="shared" si="442"/>
        <v>-10.26</v>
      </c>
      <c r="J2396" s="391">
        <f t="shared" si="441"/>
        <v>-2.4659999999999997</v>
      </c>
      <c r="K2396" s="396">
        <f t="shared" si="434"/>
        <v>101.274</v>
      </c>
      <c r="L2396" s="131">
        <v>510</v>
      </c>
      <c r="N2396" s="91">
        <f t="shared" si="429"/>
        <v>51</v>
      </c>
      <c r="O2396" s="411">
        <f t="shared" si="438"/>
        <v>50.274000000000001</v>
      </c>
      <c r="P2396" s="132" t="s">
        <v>52</v>
      </c>
      <c r="Q2396" s="232"/>
      <c r="R2396" s="411"/>
      <c r="T2396" s="134" t="s">
        <v>145</v>
      </c>
      <c r="U2396" s="267" t="s">
        <v>5567</v>
      </c>
      <c r="AA2396" s="218"/>
    </row>
    <row r="2397" spans="1:27" ht="24" x14ac:dyDescent="0.25">
      <c r="A2397" s="405">
        <v>3001810</v>
      </c>
      <c r="B2397" s="406">
        <v>42480</v>
      </c>
      <c r="C2397" s="405" t="s">
        <v>42</v>
      </c>
      <c r="D2397" s="401" t="s">
        <v>5568</v>
      </c>
      <c r="E2397" s="120">
        <v>100</v>
      </c>
      <c r="F2397" s="133" t="s">
        <v>5569</v>
      </c>
      <c r="G2397" s="404" t="s">
        <v>45</v>
      </c>
      <c r="H2397" s="411">
        <v>129.6</v>
      </c>
      <c r="I2397" s="397">
        <f t="shared" si="442"/>
        <v>-11.664</v>
      </c>
      <c r="J2397" s="391">
        <f t="shared" si="441"/>
        <v>-2.7623999999999995</v>
      </c>
      <c r="K2397" s="396">
        <f t="shared" si="434"/>
        <v>115.17359999999999</v>
      </c>
      <c r="L2397" s="187">
        <v>815</v>
      </c>
      <c r="M2397" s="187">
        <v>14.16</v>
      </c>
      <c r="N2397" s="91">
        <f t="shared" si="429"/>
        <v>95.66</v>
      </c>
      <c r="O2397" s="411">
        <f t="shared" si="438"/>
        <v>19.513599999999997</v>
      </c>
      <c r="P2397" s="132" t="s">
        <v>235</v>
      </c>
      <c r="Q2397" s="232"/>
      <c r="R2397" s="411">
        <v>9.6</v>
      </c>
      <c r="S2397" s="133" t="s">
        <v>52</v>
      </c>
      <c r="T2397" s="134" t="s">
        <v>145</v>
      </c>
      <c r="U2397" s="267" t="s">
        <v>5570</v>
      </c>
      <c r="AA2397" s="218"/>
    </row>
    <row r="2398" spans="1:27" ht="24" x14ac:dyDescent="0.25">
      <c r="A2398" s="405">
        <v>3001811</v>
      </c>
      <c r="B2398" s="406">
        <v>42480</v>
      </c>
      <c r="C2398" s="405" t="s">
        <v>42</v>
      </c>
      <c r="D2398" s="401" t="s">
        <v>5571</v>
      </c>
      <c r="E2398" s="120">
        <v>50</v>
      </c>
      <c r="F2398" s="133" t="s">
        <v>431</v>
      </c>
      <c r="G2398" s="404" t="s">
        <v>45</v>
      </c>
      <c r="H2398" s="411">
        <v>115.55</v>
      </c>
      <c r="I2398" s="397">
        <f t="shared" si="442"/>
        <v>-10.3995</v>
      </c>
      <c r="J2398" s="391">
        <f t="shared" si="441"/>
        <v>-2.4954499999999995</v>
      </c>
      <c r="K2398" s="396">
        <f t="shared" si="434"/>
        <v>102.65504999999999</v>
      </c>
      <c r="L2398" s="131">
        <v>990</v>
      </c>
      <c r="M2398" s="187">
        <v>28.64</v>
      </c>
      <c r="N2398" s="91">
        <f t="shared" si="429"/>
        <v>78.14</v>
      </c>
      <c r="O2398" s="411">
        <f t="shared" si="438"/>
        <v>24.515049999999988</v>
      </c>
      <c r="P2398" s="132" t="s">
        <v>52</v>
      </c>
      <c r="Q2398" s="232"/>
      <c r="R2398" s="411">
        <v>8.56</v>
      </c>
      <c r="S2398" s="133" t="s">
        <v>5572</v>
      </c>
      <c r="T2398" s="134" t="s">
        <v>145</v>
      </c>
      <c r="U2398" s="267" t="s">
        <v>5573</v>
      </c>
      <c r="AA2398" s="218"/>
    </row>
    <row r="2399" spans="1:27" ht="24" x14ac:dyDescent="0.25">
      <c r="A2399" s="405">
        <v>3001812</v>
      </c>
      <c r="B2399" s="406">
        <v>42480</v>
      </c>
      <c r="C2399" s="405" t="s">
        <v>42</v>
      </c>
      <c r="D2399" s="401" t="s">
        <v>5574</v>
      </c>
      <c r="E2399" s="120">
        <v>500</v>
      </c>
      <c r="F2399" s="133" t="s">
        <v>1798</v>
      </c>
      <c r="G2399" s="404" t="s">
        <v>45</v>
      </c>
      <c r="H2399" s="411">
        <v>209</v>
      </c>
      <c r="I2399" s="397">
        <f t="shared" si="442"/>
        <v>-18.809999999999999</v>
      </c>
      <c r="J2399" s="391">
        <f t="shared" si="441"/>
        <v>-4.2709999999999999</v>
      </c>
      <c r="K2399" s="396">
        <f t="shared" si="434"/>
        <v>185.91900000000001</v>
      </c>
      <c r="L2399" s="187">
        <v>225</v>
      </c>
      <c r="M2399" s="187">
        <v>30.83</v>
      </c>
      <c r="N2399" s="91">
        <f t="shared" si="429"/>
        <v>143.32999999999998</v>
      </c>
      <c r="O2399" s="411">
        <f t="shared" si="438"/>
        <v>42.589000000000027</v>
      </c>
      <c r="P2399" s="132" t="s">
        <v>183</v>
      </c>
      <c r="Q2399" s="232"/>
      <c r="R2399" s="411"/>
      <c r="T2399" s="134" t="s">
        <v>324</v>
      </c>
      <c r="U2399" s="267" t="s">
        <v>5575</v>
      </c>
      <c r="AA2399" s="218"/>
    </row>
    <row r="2400" spans="1:27" ht="24" x14ac:dyDescent="0.25">
      <c r="A2400" s="405">
        <v>3001813</v>
      </c>
      <c r="B2400" s="406">
        <v>42480</v>
      </c>
      <c r="C2400" s="405" t="s">
        <v>42</v>
      </c>
      <c r="D2400" s="401" t="s">
        <v>5576</v>
      </c>
      <c r="E2400" s="120">
        <v>150</v>
      </c>
      <c r="F2400" s="133" t="s">
        <v>1547</v>
      </c>
      <c r="G2400" s="404" t="s">
        <v>45</v>
      </c>
      <c r="H2400" s="411">
        <v>158.13</v>
      </c>
      <c r="I2400" s="397">
        <f t="shared" si="442"/>
        <v>-14.231699999999998</v>
      </c>
      <c r="J2400" s="391">
        <f t="shared" si="441"/>
        <v>-3.3044699999999998</v>
      </c>
      <c r="K2400" s="396">
        <f t="shared" si="434"/>
        <v>140.59383</v>
      </c>
      <c r="L2400" s="131">
        <v>385</v>
      </c>
      <c r="M2400" s="187">
        <v>23</v>
      </c>
      <c r="N2400" s="91">
        <f t="shared" si="429"/>
        <v>80.75</v>
      </c>
      <c r="O2400" s="411">
        <f t="shared" si="438"/>
        <v>59.843829999999997</v>
      </c>
      <c r="P2400" s="132" t="s">
        <v>52</v>
      </c>
      <c r="Q2400" s="232"/>
      <c r="R2400" s="411"/>
      <c r="T2400" s="134" t="s">
        <v>145</v>
      </c>
      <c r="U2400" s="267" t="s">
        <v>5577</v>
      </c>
      <c r="AA2400" s="218"/>
    </row>
    <row r="2401" spans="1:27" ht="24" x14ac:dyDescent="0.25">
      <c r="A2401" s="405">
        <v>3001814</v>
      </c>
      <c r="B2401" s="406">
        <v>42480</v>
      </c>
      <c r="C2401" s="405" t="s">
        <v>42</v>
      </c>
      <c r="D2401" s="401" t="s">
        <v>5578</v>
      </c>
      <c r="E2401" s="120">
        <v>325</v>
      </c>
      <c r="F2401" s="133" t="s">
        <v>829</v>
      </c>
      <c r="G2401" s="404" t="s">
        <v>45</v>
      </c>
      <c r="H2401" s="411">
        <v>312.55</v>
      </c>
      <c r="I2401" s="397">
        <f t="shared" si="442"/>
        <v>-28.1295</v>
      </c>
      <c r="J2401" s="391">
        <f t="shared" si="441"/>
        <v>-6.2384500000000003</v>
      </c>
      <c r="K2401" s="396">
        <f t="shared" si="434"/>
        <v>278.18205</v>
      </c>
      <c r="L2401" s="131">
        <v>510</v>
      </c>
      <c r="M2401" s="187">
        <v>61.82</v>
      </c>
      <c r="N2401" s="91">
        <f t="shared" si="429"/>
        <v>227.57</v>
      </c>
      <c r="O2401" s="411">
        <f t="shared" si="438"/>
        <v>50.612050000000011</v>
      </c>
      <c r="P2401" s="132" t="s">
        <v>52</v>
      </c>
      <c r="Q2401" s="232"/>
      <c r="R2401" s="411"/>
      <c r="T2401" s="134" t="s">
        <v>145</v>
      </c>
      <c r="U2401" s="267" t="s">
        <v>5579</v>
      </c>
      <c r="AA2401" s="218"/>
    </row>
    <row r="2402" spans="1:27" x14ac:dyDescent="0.25">
      <c r="A2402" s="405">
        <v>3001815</v>
      </c>
      <c r="B2402" s="406">
        <v>42480</v>
      </c>
      <c r="C2402" s="405" t="s">
        <v>42</v>
      </c>
      <c r="D2402" s="401" t="s">
        <v>5580</v>
      </c>
      <c r="E2402" s="120">
        <v>250</v>
      </c>
      <c r="F2402" s="133" t="s">
        <v>282</v>
      </c>
      <c r="G2402" s="404" t="s">
        <v>45</v>
      </c>
      <c r="H2402" s="411">
        <v>693.5</v>
      </c>
      <c r="I2402" s="397">
        <f t="shared" si="442"/>
        <v>-62.414999999999999</v>
      </c>
      <c r="J2402" s="391">
        <f t="shared" si="441"/>
        <v>-13.4765</v>
      </c>
      <c r="K2402" s="396">
        <f t="shared" si="434"/>
        <v>617.60850000000005</v>
      </c>
      <c r="L2402" s="187">
        <v>1700</v>
      </c>
      <c r="M2402" s="187">
        <v>122.06</v>
      </c>
      <c r="N2402" s="91">
        <f t="shared" si="429"/>
        <v>547.05999999999995</v>
      </c>
      <c r="O2402" s="411">
        <f t="shared" si="438"/>
        <v>70.548500000000104</v>
      </c>
      <c r="P2402" s="132" t="s">
        <v>235</v>
      </c>
      <c r="Q2402" s="232"/>
      <c r="R2402" s="411"/>
      <c r="T2402" s="134" t="s">
        <v>576</v>
      </c>
      <c r="U2402" s="267" t="s">
        <v>5581</v>
      </c>
      <c r="AA2402" s="218"/>
    </row>
    <row r="2403" spans="1:27" ht="24" x14ac:dyDescent="0.25">
      <c r="A2403" s="405">
        <v>3001816</v>
      </c>
      <c r="B2403" s="406">
        <v>42480</v>
      </c>
      <c r="C2403" s="405" t="s">
        <v>63</v>
      </c>
      <c r="D2403" s="401" t="s">
        <v>2767</v>
      </c>
      <c r="E2403" s="120">
        <v>2000</v>
      </c>
      <c r="F2403" s="133" t="s">
        <v>5582</v>
      </c>
      <c r="G2403" s="404" t="s">
        <v>45</v>
      </c>
      <c r="H2403" s="411">
        <v>560</v>
      </c>
      <c r="I2403" s="411">
        <v>0</v>
      </c>
      <c r="J2403" s="391">
        <f>-((H2403*0.022)+0.3)</f>
        <v>-12.62</v>
      </c>
      <c r="K2403" s="396">
        <f t="shared" si="434"/>
        <v>547.38</v>
      </c>
      <c r="L2403" s="131">
        <v>150</v>
      </c>
      <c r="M2403" s="187">
        <v>84.31</v>
      </c>
      <c r="N2403" s="91">
        <f t="shared" si="429"/>
        <v>384.31</v>
      </c>
      <c r="O2403" s="411">
        <f t="shared" si="438"/>
        <v>163.07</v>
      </c>
      <c r="P2403" s="132" t="s">
        <v>52</v>
      </c>
      <c r="Q2403" s="232"/>
      <c r="R2403" s="411"/>
      <c r="T2403" s="134" t="s">
        <v>145</v>
      </c>
      <c r="U2403" s="267" t="s">
        <v>5583</v>
      </c>
      <c r="W2403" s="153" t="s">
        <v>2769</v>
      </c>
      <c r="AA2403" s="218"/>
    </row>
    <row r="2404" spans="1:27" ht="24" x14ac:dyDescent="0.25">
      <c r="A2404" s="419">
        <v>3001817</v>
      </c>
      <c r="B2404" s="421">
        <v>42480</v>
      </c>
      <c r="C2404" s="419" t="s">
        <v>141</v>
      </c>
      <c r="D2404" s="417" t="s">
        <v>5584</v>
      </c>
      <c r="E2404" s="120">
        <v>500</v>
      </c>
      <c r="F2404" s="133" t="s">
        <v>5585</v>
      </c>
      <c r="G2404" s="434" t="s">
        <v>45</v>
      </c>
      <c r="H2404" s="427">
        <v>381</v>
      </c>
      <c r="I2404" s="427">
        <v>0</v>
      </c>
      <c r="J2404" s="425">
        <f>-((H2404*0.0325)+0.3)</f>
        <v>-12.682500000000001</v>
      </c>
      <c r="K2404" s="425">
        <f t="shared" si="434"/>
        <v>368.3175</v>
      </c>
      <c r="L2404" s="131">
        <v>80</v>
      </c>
      <c r="N2404" s="91">
        <f t="shared" si="429"/>
        <v>40</v>
      </c>
      <c r="O2404" s="411">
        <f t="shared" si="438"/>
        <v>328.3175</v>
      </c>
      <c r="P2404" s="132" t="s">
        <v>52</v>
      </c>
      <c r="Q2404" s="232"/>
      <c r="R2404" s="411"/>
      <c r="T2404" s="134" t="s">
        <v>145</v>
      </c>
      <c r="U2404" s="267" t="s">
        <v>5586</v>
      </c>
      <c r="W2404" s="153" t="s">
        <v>5587</v>
      </c>
      <c r="AA2404" s="218"/>
    </row>
    <row r="2405" spans="1:27" ht="24" x14ac:dyDescent="0.25">
      <c r="A2405" s="432"/>
      <c r="B2405" s="433"/>
      <c r="C2405" s="432"/>
      <c r="D2405" s="454"/>
      <c r="E2405" s="120">
        <v>500</v>
      </c>
      <c r="F2405" s="133" t="s">
        <v>5588</v>
      </c>
      <c r="G2405" s="435"/>
      <c r="H2405" s="438"/>
      <c r="I2405" s="438"/>
      <c r="J2405" s="437"/>
      <c r="K2405" s="437"/>
      <c r="L2405" s="187">
        <v>150</v>
      </c>
      <c r="M2405" s="187">
        <v>15.67</v>
      </c>
      <c r="N2405" s="91">
        <f t="shared" si="429"/>
        <v>90.67</v>
      </c>
      <c r="O2405" s="411">
        <f t="shared" si="438"/>
        <v>-90.67</v>
      </c>
      <c r="P2405" s="132" t="s">
        <v>235</v>
      </c>
      <c r="Q2405" s="232"/>
      <c r="R2405" s="411"/>
      <c r="T2405" s="134" t="s">
        <v>145</v>
      </c>
      <c r="U2405" s="267" t="s">
        <v>5589</v>
      </c>
      <c r="V2405" s="133" t="s">
        <v>5590</v>
      </c>
      <c r="AA2405" s="218"/>
    </row>
    <row r="2406" spans="1:27" ht="24" x14ac:dyDescent="0.25">
      <c r="A2406" s="420"/>
      <c r="B2406" s="422"/>
      <c r="C2406" s="420"/>
      <c r="D2406" s="418"/>
      <c r="E2406" s="120">
        <v>500</v>
      </c>
      <c r="F2406" s="133" t="s">
        <v>5591</v>
      </c>
      <c r="G2406" s="436"/>
      <c r="H2406" s="428"/>
      <c r="I2406" s="428"/>
      <c r="J2406" s="426"/>
      <c r="K2406" s="426"/>
      <c r="L2406" s="131">
        <v>80</v>
      </c>
      <c r="M2406" s="187">
        <v>24.74</v>
      </c>
      <c r="N2406" s="91">
        <f t="shared" si="429"/>
        <v>64.739999999999995</v>
      </c>
      <c r="O2406" s="411">
        <f t="shared" si="438"/>
        <v>-64.739999999999995</v>
      </c>
      <c r="P2406" s="132" t="s">
        <v>52</v>
      </c>
      <c r="Q2406" s="232"/>
      <c r="R2406" s="411"/>
      <c r="T2406" s="134" t="s">
        <v>145</v>
      </c>
      <c r="U2406" s="267" t="s">
        <v>5592</v>
      </c>
      <c r="AA2406" s="218"/>
    </row>
    <row r="2407" spans="1:27" x14ac:dyDescent="0.25">
      <c r="A2407" s="419">
        <v>3001818</v>
      </c>
      <c r="B2407" s="421">
        <v>42480</v>
      </c>
      <c r="C2407" s="419" t="s">
        <v>63</v>
      </c>
      <c r="D2407" s="417" t="s">
        <v>4674</v>
      </c>
      <c r="E2407" s="120">
        <v>1166</v>
      </c>
      <c r="F2407" s="133" t="s">
        <v>5593</v>
      </c>
      <c r="G2407" s="434" t="s">
        <v>45</v>
      </c>
      <c r="H2407" s="427">
        <v>1099.28</v>
      </c>
      <c r="I2407" s="427">
        <v>0</v>
      </c>
      <c r="J2407" s="425">
        <f>-((H2407*0.022)+0.3)</f>
        <v>-24.484159999999999</v>
      </c>
      <c r="K2407" s="425">
        <f t="shared" ref="K2407" si="443">SUM(H2407:J2407)</f>
        <v>1074.79584</v>
      </c>
      <c r="L2407" s="131">
        <v>300</v>
      </c>
      <c r="M2407" s="468">
        <v>123.76</v>
      </c>
      <c r="N2407" s="91">
        <f t="shared" si="429"/>
        <v>473.55999999999995</v>
      </c>
      <c r="O2407" s="411">
        <f t="shared" si="438"/>
        <v>601.23584000000005</v>
      </c>
      <c r="P2407" s="132" t="s">
        <v>52</v>
      </c>
      <c r="Q2407" s="232"/>
      <c r="R2407" s="411"/>
      <c r="T2407" s="439" t="s">
        <v>97</v>
      </c>
      <c r="U2407" s="446" t="s">
        <v>5594</v>
      </c>
      <c r="V2407" s="133" t="s">
        <v>55</v>
      </c>
      <c r="W2407" s="153" t="s">
        <v>4676</v>
      </c>
      <c r="AA2407" s="218">
        <v>50</v>
      </c>
    </row>
    <row r="2408" spans="1:27" x14ac:dyDescent="0.25">
      <c r="A2408" s="420"/>
      <c r="B2408" s="422"/>
      <c r="C2408" s="420"/>
      <c r="D2408" s="418"/>
      <c r="E2408" s="120">
        <v>250</v>
      </c>
      <c r="F2408" s="133" t="s">
        <v>288</v>
      </c>
      <c r="G2408" s="436"/>
      <c r="H2408" s="428"/>
      <c r="I2408" s="428"/>
      <c r="J2408" s="426"/>
      <c r="K2408" s="426"/>
      <c r="L2408" s="131">
        <v>990</v>
      </c>
      <c r="M2408" s="469"/>
      <c r="N2408" s="91">
        <f t="shared" si="429"/>
        <v>247.5</v>
      </c>
      <c r="O2408" s="411">
        <f t="shared" si="438"/>
        <v>-247.5</v>
      </c>
      <c r="P2408" s="132" t="s">
        <v>52</v>
      </c>
      <c r="Q2408" s="232"/>
      <c r="R2408" s="411"/>
      <c r="T2408" s="441"/>
      <c r="U2408" s="447"/>
      <c r="AA2408" s="218"/>
    </row>
    <row r="2409" spans="1:27" x14ac:dyDescent="0.25">
      <c r="A2409" s="405">
        <v>3001819</v>
      </c>
      <c r="B2409" s="406">
        <v>42480</v>
      </c>
      <c r="C2409" s="405" t="s">
        <v>42</v>
      </c>
      <c r="D2409" s="401" t="s">
        <v>5595</v>
      </c>
      <c r="E2409" s="120">
        <v>100</v>
      </c>
      <c r="F2409" s="133" t="s">
        <v>860</v>
      </c>
      <c r="G2409" s="404" t="s">
        <v>45</v>
      </c>
      <c r="H2409" s="411">
        <v>688.04</v>
      </c>
      <c r="I2409" s="397">
        <f t="shared" ref="I2409:I2410" si="444">-(H2409*0.09)</f>
        <v>-61.923599999999993</v>
      </c>
      <c r="J2409" s="391">
        <f t="shared" ref="J2409:J2410" si="445">-((H2409*0.019)+0.3)</f>
        <v>-13.37276</v>
      </c>
      <c r="K2409" s="396">
        <f t="shared" ref="K2409:K2411" si="446">SUM(H2409:J2409)</f>
        <v>612.74364000000003</v>
      </c>
      <c r="L2409" s="131">
        <v>3300</v>
      </c>
      <c r="M2409" s="187">
        <v>219.35</v>
      </c>
      <c r="N2409" s="91">
        <f t="shared" si="429"/>
        <v>549.35</v>
      </c>
      <c r="O2409" s="411">
        <f t="shared" si="438"/>
        <v>63.393640000000005</v>
      </c>
      <c r="P2409" s="132" t="s">
        <v>52</v>
      </c>
      <c r="Q2409" s="232"/>
      <c r="R2409" s="411"/>
      <c r="T2409" s="134" t="s">
        <v>244</v>
      </c>
      <c r="U2409" s="267" t="s">
        <v>5596</v>
      </c>
      <c r="V2409" s="133" t="s">
        <v>55</v>
      </c>
      <c r="AA2409" s="218"/>
    </row>
    <row r="2410" spans="1:27" x14ac:dyDescent="0.25">
      <c r="A2410" s="405">
        <v>3001820</v>
      </c>
      <c r="B2410" s="406">
        <v>42480</v>
      </c>
      <c r="C2410" s="405" t="s">
        <v>42</v>
      </c>
      <c r="D2410" s="401" t="s">
        <v>5597</v>
      </c>
      <c r="E2410" s="120">
        <v>2250</v>
      </c>
      <c r="F2410" s="133" t="s">
        <v>5598</v>
      </c>
      <c r="G2410" s="404" t="s">
        <v>45</v>
      </c>
      <c r="H2410" s="411">
        <v>1549.45</v>
      </c>
      <c r="I2410" s="397">
        <f t="shared" si="444"/>
        <v>-139.45050000000001</v>
      </c>
      <c r="J2410" s="391">
        <f t="shared" si="445"/>
        <v>-29.739550000000001</v>
      </c>
      <c r="K2410" s="396">
        <f t="shared" si="446"/>
        <v>1380.2599500000001</v>
      </c>
      <c r="L2410" s="187">
        <v>339</v>
      </c>
      <c r="M2410" s="187">
        <v>91.6</v>
      </c>
      <c r="N2410" s="91">
        <f t="shared" ref="N2410:N2473" si="447">((L2410)*(E2410*0.001))+M2410</f>
        <v>854.35</v>
      </c>
      <c r="O2410" s="411">
        <f t="shared" si="438"/>
        <v>525.90995000000009</v>
      </c>
      <c r="P2410" s="132" t="s">
        <v>3401</v>
      </c>
      <c r="Q2410" s="232"/>
      <c r="R2410" s="411"/>
      <c r="T2410" s="134" t="s">
        <v>244</v>
      </c>
      <c r="U2410" s="267" t="s">
        <v>5599</v>
      </c>
      <c r="V2410" s="133" t="s">
        <v>55</v>
      </c>
      <c r="AA2410" s="218"/>
    </row>
    <row r="2411" spans="1:27" x14ac:dyDescent="0.25">
      <c r="A2411" s="419">
        <v>3001821</v>
      </c>
      <c r="B2411" s="421">
        <v>42480</v>
      </c>
      <c r="C2411" s="419" t="s">
        <v>63</v>
      </c>
      <c r="D2411" s="429" t="s">
        <v>5600</v>
      </c>
      <c r="E2411" s="120">
        <v>175</v>
      </c>
      <c r="F2411" s="133" t="s">
        <v>227</v>
      </c>
      <c r="G2411" s="434" t="s">
        <v>45</v>
      </c>
      <c r="H2411" s="427">
        <v>1309.2</v>
      </c>
      <c r="I2411" s="427">
        <v>0</v>
      </c>
      <c r="J2411" s="498">
        <f>-((H2411*0.022)+0.3)</f>
        <v>-29.102399999999999</v>
      </c>
      <c r="K2411" s="425">
        <f t="shared" si="446"/>
        <v>1280.0976000000001</v>
      </c>
      <c r="L2411" s="131">
        <v>350</v>
      </c>
      <c r="M2411" s="510">
        <v>114.7</v>
      </c>
      <c r="N2411" s="91">
        <f t="shared" si="447"/>
        <v>175.95000000000002</v>
      </c>
      <c r="O2411" s="411">
        <f t="shared" si="438"/>
        <v>1104.1476</v>
      </c>
      <c r="P2411" s="132" t="s">
        <v>52</v>
      </c>
      <c r="Q2411" s="232"/>
      <c r="R2411" s="411"/>
      <c r="T2411" s="439" t="s">
        <v>244</v>
      </c>
      <c r="U2411" s="446" t="s">
        <v>5601</v>
      </c>
      <c r="V2411" s="133" t="s">
        <v>55</v>
      </c>
      <c r="W2411" s="153" t="s">
        <v>5602</v>
      </c>
      <c r="AA2411" s="218">
        <v>10</v>
      </c>
    </row>
    <row r="2412" spans="1:27" x14ac:dyDescent="0.25">
      <c r="A2412" s="432"/>
      <c r="B2412" s="433"/>
      <c r="C2412" s="432"/>
      <c r="D2412" s="430"/>
      <c r="E2412" s="120">
        <v>175</v>
      </c>
      <c r="F2412" s="133" t="s">
        <v>165</v>
      </c>
      <c r="G2412" s="435"/>
      <c r="H2412" s="438"/>
      <c r="I2412" s="438"/>
      <c r="J2412" s="525"/>
      <c r="K2412" s="437"/>
      <c r="L2412" s="131">
        <v>440</v>
      </c>
      <c r="M2412" s="511"/>
      <c r="N2412" s="91">
        <f t="shared" si="447"/>
        <v>77.000000000000014</v>
      </c>
      <c r="O2412" s="411">
        <f t="shared" si="438"/>
        <v>-77.000000000000014</v>
      </c>
      <c r="P2412" s="132" t="s">
        <v>52</v>
      </c>
      <c r="Q2412" s="232"/>
      <c r="R2412" s="411"/>
      <c r="T2412" s="440"/>
      <c r="U2412" s="448"/>
      <c r="AA2412" s="218"/>
    </row>
    <row r="2413" spans="1:27" x14ac:dyDescent="0.25">
      <c r="A2413" s="420"/>
      <c r="B2413" s="422"/>
      <c r="C2413" s="420"/>
      <c r="D2413" s="431"/>
      <c r="E2413" s="120">
        <v>600</v>
      </c>
      <c r="F2413" s="133" t="s">
        <v>51</v>
      </c>
      <c r="G2413" s="436"/>
      <c r="H2413" s="428"/>
      <c r="I2413" s="428"/>
      <c r="J2413" s="499"/>
      <c r="K2413" s="426"/>
      <c r="L2413" s="131">
        <v>1015</v>
      </c>
      <c r="M2413" s="512"/>
      <c r="N2413" s="91">
        <f t="shared" si="447"/>
        <v>609</v>
      </c>
      <c r="O2413" s="411">
        <f t="shared" si="438"/>
        <v>-609</v>
      </c>
      <c r="P2413" s="132" t="s">
        <v>52</v>
      </c>
      <c r="Q2413" s="232"/>
      <c r="R2413" s="411"/>
      <c r="T2413" s="441"/>
      <c r="U2413" s="447"/>
      <c r="AA2413" s="218"/>
    </row>
    <row r="2414" spans="1:27" ht="24" x14ac:dyDescent="0.25">
      <c r="A2414" s="419">
        <v>3001822</v>
      </c>
      <c r="B2414" s="421">
        <v>42480</v>
      </c>
      <c r="C2414" s="419" t="s">
        <v>63</v>
      </c>
      <c r="D2414" s="417" t="s">
        <v>5603</v>
      </c>
      <c r="E2414" s="120">
        <v>6</v>
      </c>
      <c r="F2414" s="133" t="s">
        <v>5604</v>
      </c>
      <c r="G2414" s="434" t="s">
        <v>45</v>
      </c>
      <c r="H2414" s="427">
        <v>459</v>
      </c>
      <c r="I2414" s="427">
        <v>0</v>
      </c>
      <c r="J2414" s="498">
        <f>-((H2414*0.022)+0.3)</f>
        <v>-10.398</v>
      </c>
      <c r="K2414" s="425">
        <f t="shared" ref="K2414" si="448">SUM(H2414:J2414)</f>
        <v>448.60199999999998</v>
      </c>
      <c r="L2414" s="187">
        <v>4000</v>
      </c>
      <c r="N2414" s="91">
        <f t="shared" si="447"/>
        <v>24</v>
      </c>
      <c r="O2414" s="411">
        <f t="shared" si="438"/>
        <v>424.60199999999998</v>
      </c>
      <c r="P2414" s="132" t="s">
        <v>183</v>
      </c>
      <c r="Q2414" s="232"/>
      <c r="R2414" s="411"/>
      <c r="T2414" s="470" t="s">
        <v>324</v>
      </c>
      <c r="U2414" s="266" t="s">
        <v>5605</v>
      </c>
      <c r="W2414" s="153" t="s">
        <v>5606</v>
      </c>
      <c r="AA2414" s="218"/>
    </row>
    <row r="2415" spans="1:27" x14ac:dyDescent="0.25">
      <c r="A2415" s="432"/>
      <c r="B2415" s="433"/>
      <c r="C2415" s="432"/>
      <c r="D2415" s="454"/>
      <c r="E2415" s="120">
        <v>3</v>
      </c>
      <c r="F2415" s="133" t="s">
        <v>3183</v>
      </c>
      <c r="G2415" s="435"/>
      <c r="H2415" s="438"/>
      <c r="I2415" s="438"/>
      <c r="J2415" s="525"/>
      <c r="K2415" s="437"/>
      <c r="L2415" s="187">
        <v>5000</v>
      </c>
      <c r="N2415" s="91">
        <f t="shared" si="447"/>
        <v>15</v>
      </c>
      <c r="O2415" s="411">
        <f t="shared" si="438"/>
        <v>-15</v>
      </c>
      <c r="P2415" s="132" t="s">
        <v>183</v>
      </c>
      <c r="Q2415" s="232"/>
      <c r="R2415" s="411"/>
      <c r="T2415" s="471"/>
      <c r="U2415" s="505" t="s">
        <v>5607</v>
      </c>
      <c r="AA2415" s="218"/>
    </row>
    <row r="2416" spans="1:27" x14ac:dyDescent="0.25">
      <c r="A2416" s="420"/>
      <c r="B2416" s="422"/>
      <c r="C2416" s="420"/>
      <c r="D2416" s="418"/>
      <c r="E2416" s="120">
        <v>6</v>
      </c>
      <c r="F2416" s="133" t="s">
        <v>5608</v>
      </c>
      <c r="G2416" s="436"/>
      <c r="H2416" s="428"/>
      <c r="I2416" s="428"/>
      <c r="J2416" s="499"/>
      <c r="K2416" s="426"/>
      <c r="L2416" s="187">
        <v>6000</v>
      </c>
      <c r="N2416" s="91">
        <f t="shared" si="447"/>
        <v>36</v>
      </c>
      <c r="O2416" s="411">
        <f t="shared" si="438"/>
        <v>-36</v>
      </c>
      <c r="P2416" s="132" t="s">
        <v>183</v>
      </c>
      <c r="Q2416" s="232"/>
      <c r="R2416" s="411"/>
      <c r="T2416" s="472"/>
      <c r="U2416" s="490"/>
      <c r="AA2416" s="218"/>
    </row>
    <row r="2417" spans="1:27" ht="24" x14ac:dyDescent="0.25">
      <c r="A2417" s="405">
        <v>3001823</v>
      </c>
      <c r="B2417" s="406">
        <v>42480</v>
      </c>
      <c r="C2417" s="405" t="s">
        <v>63</v>
      </c>
      <c r="D2417" s="401" t="s">
        <v>5609</v>
      </c>
      <c r="E2417" s="120">
        <v>88</v>
      </c>
      <c r="F2417" s="133" t="s">
        <v>5610</v>
      </c>
      <c r="G2417" s="404" t="s">
        <v>45</v>
      </c>
      <c r="H2417" s="411">
        <v>359.29</v>
      </c>
      <c r="I2417" s="411">
        <v>0</v>
      </c>
      <c r="J2417" s="391">
        <f>-((H2417*0.022)+0.3)</f>
        <v>-8.2043800000000005</v>
      </c>
      <c r="K2417" s="396">
        <f t="shared" ref="K2417:K2421" si="449">SUM(H2417:J2417)</f>
        <v>351.08562000000001</v>
      </c>
      <c r="L2417" s="187">
        <v>2475.9899999999998</v>
      </c>
      <c r="M2417" s="131">
        <v>5</v>
      </c>
      <c r="N2417" s="91">
        <f t="shared" si="447"/>
        <v>222.88711999999998</v>
      </c>
      <c r="O2417" s="411">
        <f t="shared" si="438"/>
        <v>128.19850000000002</v>
      </c>
      <c r="P2417" s="132" t="s">
        <v>76</v>
      </c>
      <c r="Q2417" s="232"/>
      <c r="R2417" s="411"/>
      <c r="T2417" s="134" t="s">
        <v>145</v>
      </c>
      <c r="U2417" s="267" t="s">
        <v>5611</v>
      </c>
      <c r="V2417" s="133" t="s">
        <v>5612</v>
      </c>
      <c r="W2417" s="153" t="s">
        <v>5613</v>
      </c>
      <c r="AA2417" s="218"/>
    </row>
    <row r="2418" spans="1:27" ht="24" x14ac:dyDescent="0.25">
      <c r="A2418" s="405">
        <v>3001824</v>
      </c>
      <c r="B2418" s="406">
        <v>42481</v>
      </c>
      <c r="C2418" s="405" t="s">
        <v>63</v>
      </c>
      <c r="D2418" s="401" t="s">
        <v>5614</v>
      </c>
      <c r="E2418" s="120">
        <v>225</v>
      </c>
      <c r="F2418" s="133" t="s">
        <v>3814</v>
      </c>
      <c r="G2418" s="404" t="s">
        <v>45</v>
      </c>
      <c r="H2418" s="411">
        <v>503</v>
      </c>
      <c r="I2418" s="411">
        <v>0</v>
      </c>
      <c r="J2418" s="391">
        <f>-((H2418*0.022)+0.3)</f>
        <v>-11.366</v>
      </c>
      <c r="K2418" s="396">
        <f t="shared" si="449"/>
        <v>491.63400000000001</v>
      </c>
      <c r="L2418" s="187">
        <v>1250</v>
      </c>
      <c r="N2418" s="91">
        <f t="shared" si="447"/>
        <v>281.25</v>
      </c>
      <c r="O2418" s="411">
        <f t="shared" si="438"/>
        <v>210.38400000000001</v>
      </c>
      <c r="P2418" s="132" t="s">
        <v>144</v>
      </c>
      <c r="Q2418" s="232"/>
      <c r="R2418" s="411"/>
      <c r="T2418" s="134" t="s">
        <v>145</v>
      </c>
      <c r="U2418" s="267" t="s">
        <v>5615</v>
      </c>
      <c r="W2418" s="153" t="s">
        <v>5616</v>
      </c>
      <c r="AA2418" s="218"/>
    </row>
    <row r="2419" spans="1:27" x14ac:dyDescent="0.25">
      <c r="A2419" s="405">
        <v>3001825</v>
      </c>
      <c r="B2419" s="406">
        <v>42481</v>
      </c>
      <c r="C2419" s="405" t="s">
        <v>327</v>
      </c>
      <c r="D2419" s="401" t="s">
        <v>5617</v>
      </c>
      <c r="E2419" s="120">
        <v>305</v>
      </c>
      <c r="F2419" s="133" t="s">
        <v>5618</v>
      </c>
      <c r="G2419" s="404" t="s">
        <v>45</v>
      </c>
      <c r="H2419" s="411">
        <v>2714.5</v>
      </c>
      <c r="I2419" s="411">
        <v>0</v>
      </c>
      <c r="J2419" s="391">
        <f>-((H2419*0.022)+0.3)</f>
        <v>-60.018999999999991</v>
      </c>
      <c r="K2419" s="396">
        <f t="shared" si="449"/>
        <v>2654.4810000000002</v>
      </c>
      <c r="L2419" s="187">
        <v>6920</v>
      </c>
      <c r="M2419" s="158">
        <v>0</v>
      </c>
      <c r="N2419" s="91">
        <f t="shared" si="447"/>
        <v>2110.6</v>
      </c>
      <c r="O2419" s="411">
        <f t="shared" si="438"/>
        <v>543.88100000000031</v>
      </c>
      <c r="P2419" s="132" t="s">
        <v>59</v>
      </c>
      <c r="Q2419" s="232"/>
      <c r="R2419" s="411"/>
      <c r="T2419" s="134" t="s">
        <v>1346</v>
      </c>
      <c r="U2419" s="267" t="s">
        <v>5619</v>
      </c>
      <c r="W2419" s="153" t="s">
        <v>5620</v>
      </c>
      <c r="AA2419" s="218">
        <v>10</v>
      </c>
    </row>
    <row r="2420" spans="1:27" ht="24" x14ac:dyDescent="0.25">
      <c r="A2420" s="405">
        <v>3001826</v>
      </c>
      <c r="B2420" s="406">
        <v>42481</v>
      </c>
      <c r="C2420" s="405" t="s">
        <v>63</v>
      </c>
      <c r="D2420" s="401" t="s">
        <v>5621</v>
      </c>
      <c r="E2420" s="120">
        <v>120</v>
      </c>
      <c r="F2420" s="133" t="s">
        <v>5622</v>
      </c>
      <c r="G2420" s="404" t="s">
        <v>45</v>
      </c>
      <c r="H2420" s="411">
        <v>261</v>
      </c>
      <c r="I2420" s="411">
        <v>0</v>
      </c>
      <c r="J2420" s="391">
        <f>-((H2420*0.022)+0.3)</f>
        <v>-6.0419999999999998</v>
      </c>
      <c r="K2420" s="396">
        <f t="shared" si="449"/>
        <v>254.958</v>
      </c>
      <c r="L2420" s="187">
        <v>1500</v>
      </c>
      <c r="M2420" s="187">
        <v>19.78</v>
      </c>
      <c r="N2420" s="91">
        <f t="shared" si="447"/>
        <v>199.78</v>
      </c>
      <c r="O2420" s="411">
        <f t="shared" si="438"/>
        <v>55.177999999999997</v>
      </c>
      <c r="P2420" s="132" t="s">
        <v>235</v>
      </c>
      <c r="Q2420" s="232"/>
      <c r="R2420" s="411"/>
      <c r="T2420" s="134" t="s">
        <v>145</v>
      </c>
      <c r="U2420" s="267" t="s">
        <v>5623</v>
      </c>
      <c r="W2420" s="153" t="s">
        <v>5624</v>
      </c>
      <c r="AA2420" s="218"/>
    </row>
    <row r="2421" spans="1:27" x14ac:dyDescent="0.25">
      <c r="A2421" s="419">
        <v>3001827</v>
      </c>
      <c r="B2421" s="421">
        <v>42481</v>
      </c>
      <c r="C2421" s="419" t="s">
        <v>56</v>
      </c>
      <c r="D2421" s="417" t="s">
        <v>1303</v>
      </c>
      <c r="E2421" s="120">
        <v>250</v>
      </c>
      <c r="F2421" s="133" t="s">
        <v>3893</v>
      </c>
      <c r="G2421" s="434" t="s">
        <v>45</v>
      </c>
      <c r="H2421" s="427">
        <v>2277.91</v>
      </c>
      <c r="I2421" s="427">
        <v>0</v>
      </c>
      <c r="J2421" s="427">
        <v>0</v>
      </c>
      <c r="K2421" s="425">
        <f t="shared" si="449"/>
        <v>2277.91</v>
      </c>
      <c r="L2421" s="187">
        <v>2357.94</v>
      </c>
      <c r="M2421" s="187">
        <v>125.93</v>
      </c>
      <c r="N2421" s="91">
        <f t="shared" si="447"/>
        <v>715.41499999999996</v>
      </c>
      <c r="O2421" s="411">
        <f t="shared" si="438"/>
        <v>1562.4949999999999</v>
      </c>
      <c r="P2421" s="132" t="s">
        <v>46</v>
      </c>
      <c r="Q2421" s="232"/>
      <c r="R2421" s="411"/>
      <c r="T2421" s="439" t="s">
        <v>47</v>
      </c>
      <c r="U2421" s="446" t="s">
        <v>5625</v>
      </c>
      <c r="V2421" s="133" t="s">
        <v>5626</v>
      </c>
      <c r="W2421" s="153" t="s">
        <v>1796</v>
      </c>
      <c r="AA2421" s="218"/>
    </row>
    <row r="2422" spans="1:27" x14ac:dyDescent="0.25">
      <c r="A2422" s="432"/>
      <c r="B2422" s="433"/>
      <c r="C2422" s="432"/>
      <c r="D2422" s="454"/>
      <c r="E2422" s="120">
        <v>500</v>
      </c>
      <c r="F2422" s="133" t="s">
        <v>5627</v>
      </c>
      <c r="G2422" s="435"/>
      <c r="H2422" s="438"/>
      <c r="I2422" s="438"/>
      <c r="J2422" s="438"/>
      <c r="K2422" s="437"/>
      <c r="L2422" s="187">
        <v>1507.49</v>
      </c>
      <c r="M2422" s="187"/>
      <c r="N2422" s="91">
        <f t="shared" si="447"/>
        <v>753.745</v>
      </c>
      <c r="O2422" s="411">
        <f t="shared" si="438"/>
        <v>-753.745</v>
      </c>
      <c r="P2422" s="132" t="s">
        <v>46</v>
      </c>
      <c r="Q2422" s="232"/>
      <c r="R2422" s="411"/>
      <c r="T2422" s="441"/>
      <c r="U2422" s="447"/>
      <c r="V2422" s="133" t="s">
        <v>5628</v>
      </c>
      <c r="AA2422" s="218"/>
    </row>
    <row r="2423" spans="1:27" x14ac:dyDescent="0.25">
      <c r="A2423" s="432"/>
      <c r="B2423" s="433"/>
      <c r="C2423" s="432"/>
      <c r="D2423" s="454"/>
      <c r="E2423" s="120">
        <v>1000</v>
      </c>
      <c r="F2423" s="133" t="s">
        <v>5629</v>
      </c>
      <c r="G2423" s="435"/>
      <c r="H2423" s="438"/>
      <c r="I2423" s="438"/>
      <c r="J2423" s="438"/>
      <c r="K2423" s="437"/>
      <c r="L2423" s="187">
        <v>120</v>
      </c>
      <c r="M2423" s="187">
        <v>42.8</v>
      </c>
      <c r="N2423" s="91">
        <f t="shared" si="447"/>
        <v>162.80000000000001</v>
      </c>
      <c r="O2423" s="411">
        <f t="shared" si="438"/>
        <v>-162.80000000000001</v>
      </c>
      <c r="P2423" s="132" t="s">
        <v>235</v>
      </c>
      <c r="Q2423" s="232"/>
      <c r="R2423" s="411"/>
      <c r="T2423" s="439" t="s">
        <v>145</v>
      </c>
      <c r="U2423" s="446" t="s">
        <v>5630</v>
      </c>
      <c r="V2423" s="133" t="s">
        <v>5631</v>
      </c>
      <c r="AA2423" s="218"/>
    </row>
    <row r="2424" spans="1:27" x14ac:dyDescent="0.25">
      <c r="A2424" s="432"/>
      <c r="B2424" s="433"/>
      <c r="C2424" s="432"/>
      <c r="D2424" s="454"/>
      <c r="E2424" s="120">
        <v>500</v>
      </c>
      <c r="F2424" s="133" t="s">
        <v>5632</v>
      </c>
      <c r="G2424" s="435"/>
      <c r="H2424" s="438"/>
      <c r="I2424" s="438"/>
      <c r="J2424" s="438"/>
      <c r="K2424" s="437"/>
      <c r="L2424" s="187">
        <v>80</v>
      </c>
      <c r="M2424" s="187"/>
      <c r="N2424" s="91">
        <f t="shared" si="447"/>
        <v>40</v>
      </c>
      <c r="O2424" s="411">
        <f t="shared" si="438"/>
        <v>-40</v>
      </c>
      <c r="P2424" s="132" t="s">
        <v>235</v>
      </c>
      <c r="Q2424" s="232"/>
      <c r="R2424" s="411"/>
      <c r="T2424" s="440"/>
      <c r="U2424" s="448"/>
      <c r="V2424" s="133" t="s">
        <v>5631</v>
      </c>
      <c r="AA2424" s="218"/>
    </row>
    <row r="2425" spans="1:27" x14ac:dyDescent="0.25">
      <c r="A2425" s="432"/>
      <c r="B2425" s="433"/>
      <c r="C2425" s="432"/>
      <c r="D2425" s="454"/>
      <c r="E2425" s="120">
        <v>500</v>
      </c>
      <c r="F2425" s="133" t="s">
        <v>5633</v>
      </c>
      <c r="G2425" s="435"/>
      <c r="H2425" s="438"/>
      <c r="I2425" s="438"/>
      <c r="J2425" s="438"/>
      <c r="K2425" s="437"/>
      <c r="L2425" s="187">
        <v>55</v>
      </c>
      <c r="M2425" s="187"/>
      <c r="N2425" s="91">
        <f t="shared" si="447"/>
        <v>27.5</v>
      </c>
      <c r="O2425" s="411">
        <f t="shared" si="438"/>
        <v>-27.5</v>
      </c>
      <c r="P2425" s="132" t="s">
        <v>235</v>
      </c>
      <c r="Q2425" s="232"/>
      <c r="R2425" s="411"/>
      <c r="T2425" s="440"/>
      <c r="U2425" s="448"/>
      <c r="V2425" s="133" t="s">
        <v>5631</v>
      </c>
      <c r="AA2425" s="218"/>
    </row>
    <row r="2426" spans="1:27" x14ac:dyDescent="0.25">
      <c r="A2426" s="420"/>
      <c r="B2426" s="422"/>
      <c r="C2426" s="420"/>
      <c r="D2426" s="418"/>
      <c r="E2426" s="120">
        <v>500</v>
      </c>
      <c r="F2426" s="133" t="s">
        <v>5634</v>
      </c>
      <c r="G2426" s="436"/>
      <c r="H2426" s="428"/>
      <c r="I2426" s="428"/>
      <c r="J2426" s="428"/>
      <c r="K2426" s="426"/>
      <c r="L2426" s="187">
        <v>55</v>
      </c>
      <c r="M2426" s="187"/>
      <c r="N2426" s="91">
        <f t="shared" si="447"/>
        <v>27.5</v>
      </c>
      <c r="O2426" s="411">
        <f t="shared" si="438"/>
        <v>-27.5</v>
      </c>
      <c r="P2426" s="132" t="s">
        <v>235</v>
      </c>
      <c r="Q2426" s="232"/>
      <c r="R2426" s="411"/>
      <c r="T2426" s="441"/>
      <c r="U2426" s="447"/>
      <c r="V2426" s="133" t="s">
        <v>5631</v>
      </c>
      <c r="AA2426" s="218"/>
    </row>
    <row r="2427" spans="1:27" ht="24" x14ac:dyDescent="0.25">
      <c r="A2427" s="405">
        <v>3001828</v>
      </c>
      <c r="B2427" s="406">
        <v>42481</v>
      </c>
      <c r="C2427" s="405" t="s">
        <v>42</v>
      </c>
      <c r="D2427" s="401" t="s">
        <v>3329</v>
      </c>
      <c r="E2427" s="120">
        <v>100</v>
      </c>
      <c r="F2427" s="133" t="s">
        <v>5635</v>
      </c>
      <c r="G2427" s="404" t="s">
        <v>45</v>
      </c>
      <c r="H2427" s="411">
        <v>427.5</v>
      </c>
      <c r="I2427" s="397">
        <f t="shared" ref="I2427:I2444" si="450">-(H2427*0.09)</f>
        <v>-38.475000000000001</v>
      </c>
      <c r="J2427" s="391">
        <f t="shared" ref="J2427:J2444" si="451">-((H2427*0.019)+0.3)</f>
        <v>-8.4225000000000012</v>
      </c>
      <c r="K2427" s="396">
        <f t="shared" ref="K2427:K2527" si="452">SUM(H2427:J2427)</f>
        <v>380.60249999999996</v>
      </c>
      <c r="L2427" s="131">
        <v>2150</v>
      </c>
      <c r="M2427" s="187">
        <v>38.83</v>
      </c>
      <c r="N2427" s="91">
        <f t="shared" si="447"/>
        <v>253.82999999999998</v>
      </c>
      <c r="O2427" s="411">
        <f t="shared" si="438"/>
        <v>126.77249999999998</v>
      </c>
      <c r="P2427" s="132" t="s">
        <v>52</v>
      </c>
      <c r="Q2427" s="232"/>
      <c r="R2427" s="411"/>
      <c r="T2427" s="134" t="s">
        <v>145</v>
      </c>
      <c r="U2427" s="267" t="s">
        <v>5636</v>
      </c>
      <c r="AA2427" s="218"/>
    </row>
    <row r="2428" spans="1:27" ht="24" x14ac:dyDescent="0.25">
      <c r="A2428" s="405">
        <v>3001829</v>
      </c>
      <c r="B2428" s="406">
        <v>42481</v>
      </c>
      <c r="C2428" s="405" t="s">
        <v>42</v>
      </c>
      <c r="D2428" s="401" t="s">
        <v>5637</v>
      </c>
      <c r="E2428" s="120">
        <v>325</v>
      </c>
      <c r="F2428" s="133" t="s">
        <v>829</v>
      </c>
      <c r="G2428" s="404" t="s">
        <v>45</v>
      </c>
      <c r="H2428" s="411">
        <v>312.55</v>
      </c>
      <c r="I2428" s="397">
        <f t="shared" si="450"/>
        <v>-28.1295</v>
      </c>
      <c r="J2428" s="391">
        <f t="shared" si="451"/>
        <v>-6.2384500000000003</v>
      </c>
      <c r="K2428" s="396">
        <f t="shared" si="452"/>
        <v>278.18205</v>
      </c>
      <c r="L2428" s="131">
        <v>510</v>
      </c>
      <c r="M2428" s="187">
        <v>51.41</v>
      </c>
      <c r="N2428" s="91">
        <f t="shared" si="447"/>
        <v>217.16</v>
      </c>
      <c r="O2428" s="411">
        <f t="shared" si="438"/>
        <v>61.022050000000007</v>
      </c>
      <c r="P2428" s="132" t="s">
        <v>52</v>
      </c>
      <c r="Q2428" s="232"/>
      <c r="R2428" s="411"/>
      <c r="T2428" s="134" t="s">
        <v>145</v>
      </c>
      <c r="U2428" s="267" t="s">
        <v>5638</v>
      </c>
      <c r="AA2428" s="218"/>
    </row>
    <row r="2429" spans="1:27" ht="24" x14ac:dyDescent="0.25">
      <c r="A2429" s="405">
        <v>3001830</v>
      </c>
      <c r="B2429" s="406">
        <v>42481</v>
      </c>
      <c r="C2429" s="405" t="s">
        <v>42</v>
      </c>
      <c r="D2429" s="401" t="s">
        <v>5639</v>
      </c>
      <c r="E2429" s="120">
        <v>100</v>
      </c>
      <c r="F2429" s="133" t="s">
        <v>247</v>
      </c>
      <c r="G2429" s="404" t="s">
        <v>45</v>
      </c>
      <c r="H2429" s="411">
        <v>108</v>
      </c>
      <c r="I2429" s="397">
        <f t="shared" si="450"/>
        <v>-9.7199999999999989</v>
      </c>
      <c r="J2429" s="391">
        <f t="shared" si="451"/>
        <v>-2.3519999999999999</v>
      </c>
      <c r="K2429" s="396">
        <f t="shared" si="452"/>
        <v>95.927999999999997</v>
      </c>
      <c r="L2429" s="131">
        <v>610</v>
      </c>
      <c r="M2429" s="187">
        <v>38.950000000000003</v>
      </c>
      <c r="N2429" s="91">
        <f t="shared" si="447"/>
        <v>99.95</v>
      </c>
      <c r="O2429" s="411">
        <f t="shared" si="438"/>
        <v>-4.0220000000000056</v>
      </c>
      <c r="P2429" s="132" t="s">
        <v>52</v>
      </c>
      <c r="Q2429" s="232"/>
      <c r="R2429" s="411"/>
      <c r="T2429" s="134" t="s">
        <v>145</v>
      </c>
      <c r="U2429" s="267" t="s">
        <v>5640</v>
      </c>
      <c r="AA2429" s="218"/>
    </row>
    <row r="2430" spans="1:27" ht="24" x14ac:dyDescent="0.25">
      <c r="A2430" s="405">
        <v>3001831</v>
      </c>
      <c r="B2430" s="406">
        <v>42481</v>
      </c>
      <c r="C2430" s="405" t="s">
        <v>42</v>
      </c>
      <c r="D2430" s="401" t="s">
        <v>5641</v>
      </c>
      <c r="E2430" s="120">
        <v>140</v>
      </c>
      <c r="F2430" s="133" t="s">
        <v>70</v>
      </c>
      <c r="G2430" s="404" t="s">
        <v>45</v>
      </c>
      <c r="H2430" s="411">
        <v>399.17</v>
      </c>
      <c r="I2430" s="397">
        <f t="shared" si="450"/>
        <v>-35.9253</v>
      </c>
      <c r="J2430" s="391">
        <f t="shared" si="451"/>
        <v>-7.8842299999999996</v>
      </c>
      <c r="K2430" s="396">
        <f t="shared" si="452"/>
        <v>355.36047000000002</v>
      </c>
      <c r="L2430" s="131">
        <v>1564</v>
      </c>
      <c r="M2430" s="187">
        <v>59.61</v>
      </c>
      <c r="N2430" s="91">
        <f t="shared" si="447"/>
        <v>278.57</v>
      </c>
      <c r="O2430" s="411">
        <f t="shared" si="438"/>
        <v>76.790470000000028</v>
      </c>
      <c r="P2430" s="132" t="s">
        <v>52</v>
      </c>
      <c r="Q2430" s="232"/>
      <c r="R2430" s="411">
        <v>29.57</v>
      </c>
      <c r="S2430" s="133" t="s">
        <v>5642</v>
      </c>
      <c r="T2430" s="134" t="s">
        <v>145</v>
      </c>
      <c r="U2430" s="267" t="s">
        <v>5643</v>
      </c>
      <c r="AA2430" s="218"/>
    </row>
    <row r="2431" spans="1:27" ht="24" x14ac:dyDescent="0.25">
      <c r="A2431" s="405">
        <v>3001832</v>
      </c>
      <c r="B2431" s="406">
        <v>42481</v>
      </c>
      <c r="C2431" s="405" t="s">
        <v>42</v>
      </c>
      <c r="D2431" s="401" t="s">
        <v>2994</v>
      </c>
      <c r="E2431" s="120">
        <v>100</v>
      </c>
      <c r="F2431" s="133" t="s">
        <v>114</v>
      </c>
      <c r="G2431" s="404" t="s">
        <v>45</v>
      </c>
      <c r="H2431" s="411">
        <v>369.69</v>
      </c>
      <c r="I2431" s="397">
        <f t="shared" si="450"/>
        <v>-33.272100000000002</v>
      </c>
      <c r="J2431" s="391">
        <f t="shared" si="451"/>
        <v>-7.3241099999999992</v>
      </c>
      <c r="K2431" s="396">
        <f t="shared" si="452"/>
        <v>329.09378999999996</v>
      </c>
      <c r="L2431" s="131">
        <v>1750</v>
      </c>
      <c r="M2431" s="187">
        <v>57.81</v>
      </c>
      <c r="N2431" s="91">
        <f t="shared" si="447"/>
        <v>232.81</v>
      </c>
      <c r="O2431" s="411">
        <f t="shared" si="438"/>
        <v>96.283789999999954</v>
      </c>
      <c r="P2431" s="132" t="s">
        <v>52</v>
      </c>
      <c r="Q2431" s="232"/>
      <c r="R2431" s="411"/>
      <c r="T2431" s="134" t="s">
        <v>145</v>
      </c>
      <c r="U2431" s="267" t="s">
        <v>5644</v>
      </c>
      <c r="AA2431" s="218"/>
    </row>
    <row r="2432" spans="1:27" ht="24" x14ac:dyDescent="0.25">
      <c r="A2432" s="405">
        <v>3001833</v>
      </c>
      <c r="B2432" s="406">
        <v>42481</v>
      </c>
      <c r="C2432" s="405" t="s">
        <v>42</v>
      </c>
      <c r="D2432" s="401" t="s">
        <v>5645</v>
      </c>
      <c r="E2432" s="120">
        <v>175</v>
      </c>
      <c r="F2432" s="133" t="s">
        <v>247</v>
      </c>
      <c r="G2432" s="404" t="s">
        <v>45</v>
      </c>
      <c r="H2432" s="411">
        <v>183.75</v>
      </c>
      <c r="I2432" s="397">
        <f t="shared" si="450"/>
        <v>-16.537499999999998</v>
      </c>
      <c r="J2432" s="391">
        <f t="shared" si="451"/>
        <v>-3.7912499999999998</v>
      </c>
      <c r="K2432" s="396">
        <f t="shared" si="452"/>
        <v>163.42125000000001</v>
      </c>
      <c r="L2432" s="131">
        <v>610</v>
      </c>
      <c r="M2432" s="187">
        <v>52.79</v>
      </c>
      <c r="N2432" s="91">
        <f t="shared" si="447"/>
        <v>159.54000000000002</v>
      </c>
      <c r="O2432" s="411">
        <f t="shared" si="438"/>
        <v>3.8812499999999943</v>
      </c>
      <c r="P2432" s="132" t="s">
        <v>52</v>
      </c>
      <c r="Q2432" s="232"/>
      <c r="R2432" s="411"/>
      <c r="T2432" s="134" t="s">
        <v>145</v>
      </c>
      <c r="U2432" s="267" t="s">
        <v>5646</v>
      </c>
      <c r="AA2432" s="218"/>
    </row>
    <row r="2433" spans="1:27" ht="24" x14ac:dyDescent="0.25">
      <c r="A2433" s="419">
        <v>3001834</v>
      </c>
      <c r="B2433" s="421">
        <v>42481</v>
      </c>
      <c r="C2433" s="419" t="s">
        <v>42</v>
      </c>
      <c r="D2433" s="417" t="s">
        <v>5647</v>
      </c>
      <c r="E2433" s="120">
        <v>125</v>
      </c>
      <c r="F2433" s="119" t="s">
        <v>5648</v>
      </c>
      <c r="G2433" s="434" t="s">
        <v>45</v>
      </c>
      <c r="H2433" s="427">
        <v>332.12</v>
      </c>
      <c r="I2433" s="452">
        <f t="shared" si="450"/>
        <v>-29.890799999999999</v>
      </c>
      <c r="J2433" s="425">
        <f t="shared" si="451"/>
        <v>-6.6102799999999995</v>
      </c>
      <c r="K2433" s="425">
        <f t="shared" si="452"/>
        <v>295.61892</v>
      </c>
      <c r="L2433" s="187">
        <v>1074</v>
      </c>
      <c r="M2433" s="187">
        <v>37.69</v>
      </c>
      <c r="N2433" s="91">
        <f t="shared" si="447"/>
        <v>171.94</v>
      </c>
      <c r="O2433" s="411">
        <f t="shared" si="438"/>
        <v>123.67892000000001</v>
      </c>
      <c r="P2433" s="132" t="s">
        <v>330</v>
      </c>
      <c r="Q2433" s="232"/>
      <c r="R2433" s="411"/>
      <c r="T2433" s="439" t="s">
        <v>145</v>
      </c>
      <c r="U2433" s="446" t="s">
        <v>5649</v>
      </c>
      <c r="AA2433" s="218"/>
    </row>
    <row r="2434" spans="1:27" x14ac:dyDescent="0.25">
      <c r="A2434" s="420"/>
      <c r="B2434" s="422"/>
      <c r="C2434" s="420"/>
      <c r="D2434" s="418"/>
      <c r="E2434" s="120">
        <v>250</v>
      </c>
      <c r="F2434" s="133" t="s">
        <v>5650</v>
      </c>
      <c r="G2434" s="436"/>
      <c r="H2434" s="428"/>
      <c r="I2434" s="453"/>
      <c r="J2434" s="426"/>
      <c r="K2434" s="426"/>
      <c r="L2434" s="187">
        <v>314</v>
      </c>
      <c r="N2434" s="91">
        <f t="shared" si="447"/>
        <v>78.5</v>
      </c>
      <c r="O2434" s="411">
        <f t="shared" si="438"/>
        <v>-78.5</v>
      </c>
      <c r="P2434" s="132" t="s">
        <v>330</v>
      </c>
      <c r="Q2434" s="232"/>
      <c r="R2434" s="411"/>
      <c r="T2434" s="441"/>
      <c r="U2434" s="447"/>
      <c r="AA2434" s="218"/>
    </row>
    <row r="2435" spans="1:27" ht="24" x14ac:dyDescent="0.25">
      <c r="A2435" s="405">
        <v>3001835</v>
      </c>
      <c r="B2435" s="406">
        <v>42481</v>
      </c>
      <c r="C2435" s="405" t="s">
        <v>42</v>
      </c>
      <c r="D2435" s="401" t="s">
        <v>5651</v>
      </c>
      <c r="E2435" s="120">
        <v>250</v>
      </c>
      <c r="F2435" s="133" t="s">
        <v>3121</v>
      </c>
      <c r="G2435" s="404" t="s">
        <v>45</v>
      </c>
      <c r="H2435" s="411">
        <v>123.5</v>
      </c>
      <c r="I2435" s="397">
        <f t="shared" si="450"/>
        <v>-11.115</v>
      </c>
      <c r="J2435" s="391">
        <f t="shared" si="451"/>
        <v>-2.6464999999999996</v>
      </c>
      <c r="K2435" s="396">
        <f t="shared" si="452"/>
        <v>109.7385</v>
      </c>
      <c r="L2435" s="187">
        <v>130</v>
      </c>
      <c r="M2435" s="187">
        <v>37.4</v>
      </c>
      <c r="N2435" s="91">
        <f t="shared" si="447"/>
        <v>69.900000000000006</v>
      </c>
      <c r="O2435" s="411">
        <f t="shared" si="438"/>
        <v>39.838499999999996</v>
      </c>
      <c r="P2435" s="132" t="s">
        <v>3597</v>
      </c>
      <c r="Q2435" s="232"/>
      <c r="R2435" s="411"/>
      <c r="T2435" s="134" t="s">
        <v>324</v>
      </c>
      <c r="U2435" s="267" t="s">
        <v>5652</v>
      </c>
      <c r="AA2435" s="218"/>
    </row>
    <row r="2436" spans="1:27" ht="24" x14ac:dyDescent="0.25">
      <c r="A2436" s="405">
        <v>3001836</v>
      </c>
      <c r="B2436" s="406">
        <v>42481</v>
      </c>
      <c r="C2436" s="405" t="s">
        <v>42</v>
      </c>
      <c r="D2436" s="401" t="s">
        <v>5653</v>
      </c>
      <c r="E2436" s="120">
        <v>150</v>
      </c>
      <c r="F2436" s="133" t="s">
        <v>431</v>
      </c>
      <c r="G2436" s="404" t="s">
        <v>45</v>
      </c>
      <c r="H2436" s="411">
        <v>236.7</v>
      </c>
      <c r="I2436" s="397">
        <f t="shared" si="450"/>
        <v>-21.302999999999997</v>
      </c>
      <c r="J2436" s="391">
        <f t="shared" si="451"/>
        <v>-4.7972999999999999</v>
      </c>
      <c r="K2436" s="396">
        <f t="shared" si="452"/>
        <v>210.59969999999998</v>
      </c>
      <c r="L2436" s="131">
        <v>990</v>
      </c>
      <c r="M2436" s="187">
        <v>59.55</v>
      </c>
      <c r="N2436" s="91">
        <f t="shared" si="447"/>
        <v>208.05</v>
      </c>
      <c r="O2436" s="411">
        <f t="shared" si="438"/>
        <v>2.549699999999973</v>
      </c>
      <c r="P2436" s="132" t="s">
        <v>52</v>
      </c>
      <c r="Q2436" s="232"/>
      <c r="R2436" s="411"/>
      <c r="T2436" s="134" t="s">
        <v>145</v>
      </c>
      <c r="U2436" s="267" t="s">
        <v>5654</v>
      </c>
      <c r="AA2436" s="218"/>
    </row>
    <row r="2437" spans="1:27" ht="24" x14ac:dyDescent="0.25">
      <c r="A2437" s="405">
        <v>3001837</v>
      </c>
      <c r="B2437" s="406">
        <v>42481</v>
      </c>
      <c r="C2437" s="405" t="s">
        <v>42</v>
      </c>
      <c r="D2437" s="401" t="s">
        <v>5655</v>
      </c>
      <c r="E2437" s="120">
        <v>100</v>
      </c>
      <c r="F2437" s="133" t="s">
        <v>5656</v>
      </c>
      <c r="G2437" s="404" t="s">
        <v>45</v>
      </c>
      <c r="H2437" s="411">
        <v>182.16</v>
      </c>
      <c r="I2437" s="397">
        <f t="shared" si="450"/>
        <v>-16.394399999999997</v>
      </c>
      <c r="J2437" s="391">
        <f t="shared" si="451"/>
        <v>-3.7610399999999995</v>
      </c>
      <c r="K2437" s="396">
        <f t="shared" si="452"/>
        <v>162.00456</v>
      </c>
      <c r="L2437" s="187">
        <v>881</v>
      </c>
      <c r="M2437" s="187">
        <v>18.43</v>
      </c>
      <c r="N2437" s="91">
        <f t="shared" si="447"/>
        <v>106.53</v>
      </c>
      <c r="O2437" s="411">
        <f t="shared" si="438"/>
        <v>55.474559999999997</v>
      </c>
      <c r="P2437" s="132" t="s">
        <v>926</v>
      </c>
      <c r="Q2437" s="232"/>
      <c r="R2437" s="411"/>
      <c r="T2437" s="134" t="s">
        <v>145</v>
      </c>
      <c r="U2437" s="267" t="s">
        <v>5657</v>
      </c>
      <c r="AA2437" s="218"/>
    </row>
    <row r="2438" spans="1:27" ht="24" x14ac:dyDescent="0.25">
      <c r="A2438" s="405">
        <v>3001838</v>
      </c>
      <c r="B2438" s="406">
        <v>42481</v>
      </c>
      <c r="C2438" s="405" t="s">
        <v>42</v>
      </c>
      <c r="D2438" s="401" t="s">
        <v>5658</v>
      </c>
      <c r="E2438" s="120">
        <v>100</v>
      </c>
      <c r="F2438" s="133" t="s">
        <v>161</v>
      </c>
      <c r="G2438" s="404" t="s">
        <v>45</v>
      </c>
      <c r="H2438" s="411">
        <v>235</v>
      </c>
      <c r="I2438" s="397">
        <f t="shared" si="450"/>
        <v>-21.15</v>
      </c>
      <c r="J2438" s="391">
        <f t="shared" si="451"/>
        <v>-4.7649999999999997</v>
      </c>
      <c r="K2438" s="396">
        <f t="shared" si="452"/>
        <v>209.08500000000001</v>
      </c>
      <c r="L2438" s="131">
        <v>1322</v>
      </c>
      <c r="M2438" s="187">
        <v>56.47</v>
      </c>
      <c r="N2438" s="91">
        <f t="shared" si="447"/>
        <v>188.67000000000002</v>
      </c>
      <c r="O2438" s="411">
        <f t="shared" si="438"/>
        <v>20.414999999999992</v>
      </c>
      <c r="P2438" s="132" t="s">
        <v>52</v>
      </c>
      <c r="Q2438" s="232"/>
      <c r="R2438" s="411"/>
      <c r="T2438" s="134" t="s">
        <v>145</v>
      </c>
      <c r="U2438" s="267" t="s">
        <v>5659</v>
      </c>
      <c r="AA2438" s="218"/>
    </row>
    <row r="2439" spans="1:27" ht="24" x14ac:dyDescent="0.25">
      <c r="A2439" s="405">
        <v>3001839</v>
      </c>
      <c r="B2439" s="406">
        <v>42481</v>
      </c>
      <c r="C2439" s="405" t="s">
        <v>42</v>
      </c>
      <c r="D2439" s="401" t="s">
        <v>5660</v>
      </c>
      <c r="E2439" s="120">
        <v>70</v>
      </c>
      <c r="F2439" s="133" t="s">
        <v>860</v>
      </c>
      <c r="G2439" s="404" t="s">
        <v>45</v>
      </c>
      <c r="H2439" s="411">
        <v>363.09</v>
      </c>
      <c r="I2439" s="397">
        <f t="shared" si="450"/>
        <v>-32.678099999999993</v>
      </c>
      <c r="J2439" s="391">
        <f t="shared" si="451"/>
        <v>-7.1987099999999993</v>
      </c>
      <c r="K2439" s="396">
        <f t="shared" si="452"/>
        <v>323.21319</v>
      </c>
      <c r="L2439" s="131">
        <v>3300</v>
      </c>
      <c r="M2439" s="187">
        <v>55.18</v>
      </c>
      <c r="N2439" s="91">
        <f t="shared" si="447"/>
        <v>286.18</v>
      </c>
      <c r="O2439" s="411">
        <f t="shared" si="438"/>
        <v>37.033189999999991</v>
      </c>
      <c r="P2439" s="132" t="s">
        <v>52</v>
      </c>
      <c r="Q2439" s="232"/>
      <c r="R2439" s="411"/>
      <c r="T2439" s="134" t="s">
        <v>145</v>
      </c>
      <c r="U2439" s="267" t="s">
        <v>5661</v>
      </c>
      <c r="AA2439" s="218"/>
    </row>
    <row r="2440" spans="1:27" ht="24" x14ac:dyDescent="0.25">
      <c r="A2440" s="405">
        <v>3001840</v>
      </c>
      <c r="B2440" s="406">
        <v>42481</v>
      </c>
      <c r="C2440" s="405" t="s">
        <v>42</v>
      </c>
      <c r="D2440" s="401" t="s">
        <v>5478</v>
      </c>
      <c r="E2440" s="120">
        <v>250</v>
      </c>
      <c r="F2440" s="133" t="s">
        <v>451</v>
      </c>
      <c r="G2440" s="404" t="s">
        <v>45</v>
      </c>
      <c r="H2440" s="411">
        <v>155.03</v>
      </c>
      <c r="I2440" s="397">
        <f t="shared" si="450"/>
        <v>-13.9527</v>
      </c>
      <c r="J2440" s="391">
        <f t="shared" si="451"/>
        <v>-3.2455699999999998</v>
      </c>
      <c r="K2440" s="396">
        <f t="shared" si="452"/>
        <v>137.83173000000002</v>
      </c>
      <c r="L2440" s="131">
        <v>300</v>
      </c>
      <c r="M2440" s="187">
        <v>15.18</v>
      </c>
      <c r="N2440" s="91">
        <f t="shared" si="447"/>
        <v>90.18</v>
      </c>
      <c r="O2440" s="411">
        <f t="shared" si="438"/>
        <v>47.651730000000015</v>
      </c>
      <c r="P2440" s="132" t="s">
        <v>52</v>
      </c>
      <c r="Q2440" s="232"/>
      <c r="R2440" s="411">
        <v>11.48</v>
      </c>
      <c r="S2440" s="133" t="s">
        <v>1169</v>
      </c>
      <c r="T2440" s="134" t="s">
        <v>145</v>
      </c>
      <c r="U2440" s="267" t="s">
        <v>5662</v>
      </c>
      <c r="AA2440" s="218"/>
    </row>
    <row r="2441" spans="1:27" ht="24" x14ac:dyDescent="0.25">
      <c r="A2441" s="405">
        <v>3001841</v>
      </c>
      <c r="B2441" s="406">
        <v>42481</v>
      </c>
      <c r="C2441" s="405" t="s">
        <v>42</v>
      </c>
      <c r="D2441" s="401" t="s">
        <v>5663</v>
      </c>
      <c r="E2441" s="120">
        <v>125</v>
      </c>
      <c r="F2441" s="133" t="s">
        <v>288</v>
      </c>
      <c r="G2441" s="404" t="s">
        <v>45</v>
      </c>
      <c r="H2441" s="411">
        <v>258.39999999999998</v>
      </c>
      <c r="I2441" s="397">
        <f t="shared" si="450"/>
        <v>-23.255999999999997</v>
      </c>
      <c r="J2441" s="391">
        <f t="shared" si="451"/>
        <v>-5.2095999999999991</v>
      </c>
      <c r="K2441" s="396">
        <f t="shared" si="452"/>
        <v>229.93439999999998</v>
      </c>
      <c r="L2441" s="131">
        <v>990</v>
      </c>
      <c r="M2441" s="187">
        <v>42.61</v>
      </c>
      <c r="N2441" s="91">
        <f t="shared" si="447"/>
        <v>166.36</v>
      </c>
      <c r="O2441" s="411">
        <f t="shared" si="438"/>
        <v>63.574399999999969</v>
      </c>
      <c r="P2441" s="132" t="s">
        <v>52</v>
      </c>
      <c r="Q2441" s="232"/>
      <c r="R2441" s="411"/>
      <c r="T2441" s="134" t="s">
        <v>145</v>
      </c>
      <c r="U2441" s="267" t="s">
        <v>5664</v>
      </c>
      <c r="AA2441" s="218"/>
    </row>
    <row r="2442" spans="1:27" ht="24" x14ac:dyDescent="0.25">
      <c r="A2442" s="405">
        <v>3001842</v>
      </c>
      <c r="B2442" s="406">
        <v>42481</v>
      </c>
      <c r="C2442" s="405" t="s">
        <v>42</v>
      </c>
      <c r="D2442" s="401" t="s">
        <v>5665</v>
      </c>
      <c r="E2442" s="120">
        <v>250</v>
      </c>
      <c r="F2442" s="133" t="s">
        <v>1472</v>
      </c>
      <c r="G2442" s="404" t="s">
        <v>45</v>
      </c>
      <c r="H2442" s="411">
        <v>157.51</v>
      </c>
      <c r="I2442" s="397">
        <f t="shared" si="450"/>
        <v>-14.175899999999999</v>
      </c>
      <c r="J2442" s="391">
        <f t="shared" si="451"/>
        <v>-3.2926899999999995</v>
      </c>
      <c r="K2442" s="396">
        <f t="shared" si="452"/>
        <v>140.04140999999998</v>
      </c>
      <c r="M2442" s="187">
        <v>25.12</v>
      </c>
      <c r="N2442" s="91">
        <f t="shared" si="447"/>
        <v>25.12</v>
      </c>
      <c r="O2442" s="411">
        <f t="shared" si="438"/>
        <v>114.92140999999998</v>
      </c>
      <c r="P2442" s="132" t="s">
        <v>52</v>
      </c>
      <c r="Q2442" s="232"/>
      <c r="R2442" s="411">
        <v>11.67</v>
      </c>
      <c r="S2442" s="133" t="s">
        <v>52</v>
      </c>
      <c r="T2442" s="134" t="s">
        <v>145</v>
      </c>
      <c r="U2442" s="267" t="s">
        <v>5666</v>
      </c>
      <c r="AA2442" s="218"/>
    </row>
    <row r="2443" spans="1:27" x14ac:dyDescent="0.25">
      <c r="A2443" s="405">
        <v>3001843</v>
      </c>
      <c r="B2443" s="406">
        <v>42481</v>
      </c>
      <c r="C2443" s="405" t="s">
        <v>42</v>
      </c>
      <c r="D2443" s="401" t="s">
        <v>5667</v>
      </c>
      <c r="E2443" s="120">
        <v>250</v>
      </c>
      <c r="F2443" s="133" t="s">
        <v>626</v>
      </c>
      <c r="G2443" s="404" t="s">
        <v>45</v>
      </c>
      <c r="H2443" s="411">
        <v>798</v>
      </c>
      <c r="I2443" s="397">
        <f t="shared" si="450"/>
        <v>-71.819999999999993</v>
      </c>
      <c r="J2443" s="391">
        <f t="shared" si="451"/>
        <v>-15.462</v>
      </c>
      <c r="K2443" s="396">
        <f t="shared" si="452"/>
        <v>710.71800000000007</v>
      </c>
      <c r="L2443" s="187">
        <v>1926.69</v>
      </c>
      <c r="M2443" s="187">
        <v>104.64</v>
      </c>
      <c r="N2443" s="91">
        <f t="shared" si="447"/>
        <v>586.3125</v>
      </c>
      <c r="O2443" s="411">
        <f t="shared" si="438"/>
        <v>124.40550000000007</v>
      </c>
      <c r="P2443" s="132" t="s">
        <v>46</v>
      </c>
      <c r="Q2443" s="232"/>
      <c r="R2443" s="411"/>
      <c r="T2443" s="134" t="s">
        <v>47</v>
      </c>
      <c r="U2443" s="267" t="s">
        <v>5668</v>
      </c>
      <c r="AA2443" s="218"/>
    </row>
    <row r="2444" spans="1:27" ht="24" x14ac:dyDescent="0.25">
      <c r="A2444" s="405">
        <v>3001844</v>
      </c>
      <c r="B2444" s="406">
        <v>42481</v>
      </c>
      <c r="C2444" s="405" t="s">
        <v>42</v>
      </c>
      <c r="D2444" s="401" t="s">
        <v>5669</v>
      </c>
      <c r="E2444" s="120">
        <v>250</v>
      </c>
      <c r="F2444" s="133" t="s">
        <v>5670</v>
      </c>
      <c r="G2444" s="404" t="s">
        <v>45</v>
      </c>
      <c r="H2444" s="411">
        <v>380.4</v>
      </c>
      <c r="I2444" s="397">
        <f t="shared" si="450"/>
        <v>-34.235999999999997</v>
      </c>
      <c r="J2444" s="391">
        <f t="shared" si="451"/>
        <v>-7.5275999999999996</v>
      </c>
      <c r="K2444" s="396">
        <f t="shared" si="452"/>
        <v>338.63639999999998</v>
      </c>
      <c r="L2444" s="187">
        <v>1025.6500000000001</v>
      </c>
      <c r="M2444" s="187">
        <v>67.180000000000007</v>
      </c>
      <c r="N2444" s="91">
        <f t="shared" si="447"/>
        <v>323.59250000000003</v>
      </c>
      <c r="O2444" s="411">
        <f t="shared" ref="O2444:O2507" si="453">K2444-N2444</f>
        <v>15.043899999999951</v>
      </c>
      <c r="P2444" s="132" t="s">
        <v>76</v>
      </c>
      <c r="Q2444" s="232"/>
      <c r="R2444" s="411"/>
      <c r="T2444" s="134" t="s">
        <v>145</v>
      </c>
      <c r="U2444" s="267" t="s">
        <v>5671</v>
      </c>
      <c r="V2444" s="133" t="s">
        <v>5672</v>
      </c>
      <c r="AA2444" s="218"/>
    </row>
    <row r="2445" spans="1:27" x14ac:dyDescent="0.25">
      <c r="A2445" s="419">
        <v>3001845</v>
      </c>
      <c r="B2445" s="421">
        <v>42481</v>
      </c>
      <c r="C2445" s="419" t="s">
        <v>327</v>
      </c>
      <c r="D2445" s="417" t="s">
        <v>5673</v>
      </c>
      <c r="E2445" s="120">
        <v>310</v>
      </c>
      <c r="F2445" s="133" t="s">
        <v>874</v>
      </c>
      <c r="G2445" s="434" t="s">
        <v>45</v>
      </c>
      <c r="H2445" s="427">
        <v>1671</v>
      </c>
      <c r="I2445" s="427">
        <v>0</v>
      </c>
      <c r="J2445" s="425">
        <f>-((H2445*0.022)+0.3)</f>
        <v>-37.061999999999998</v>
      </c>
      <c r="K2445" s="425">
        <f t="shared" si="452"/>
        <v>1633.9380000000001</v>
      </c>
      <c r="L2445" s="187">
        <v>2050</v>
      </c>
      <c r="M2445" s="187">
        <v>216.12</v>
      </c>
      <c r="N2445" s="91">
        <f t="shared" si="447"/>
        <v>851.62</v>
      </c>
      <c r="O2445" s="411">
        <f t="shared" si="453"/>
        <v>782.3180000000001</v>
      </c>
      <c r="P2445" s="132" t="s">
        <v>3597</v>
      </c>
      <c r="Q2445" s="232"/>
      <c r="R2445" s="411"/>
      <c r="T2445" s="439" t="s">
        <v>399</v>
      </c>
      <c r="U2445" s="446" t="s">
        <v>5674</v>
      </c>
      <c r="W2445" s="153" t="s">
        <v>5675</v>
      </c>
      <c r="AA2445" s="218">
        <v>10</v>
      </c>
    </row>
    <row r="2446" spans="1:27" x14ac:dyDescent="0.25">
      <c r="A2446" s="420"/>
      <c r="B2446" s="422"/>
      <c r="C2446" s="420"/>
      <c r="D2446" s="418"/>
      <c r="E2446" s="120">
        <v>240</v>
      </c>
      <c r="F2446" s="133" t="s">
        <v>70</v>
      </c>
      <c r="G2446" s="436"/>
      <c r="H2446" s="428"/>
      <c r="I2446" s="428"/>
      <c r="J2446" s="426"/>
      <c r="K2446" s="426"/>
      <c r="L2446" s="187">
        <v>1790</v>
      </c>
      <c r="M2446" s="187"/>
      <c r="N2446" s="91">
        <f t="shared" si="447"/>
        <v>429.59999999999997</v>
      </c>
      <c r="O2446" s="411">
        <f t="shared" si="453"/>
        <v>-429.59999999999997</v>
      </c>
      <c r="P2446" s="132" t="s">
        <v>3597</v>
      </c>
      <c r="Q2446" s="232"/>
      <c r="R2446" s="411"/>
      <c r="T2446" s="441"/>
      <c r="U2446" s="447"/>
      <c r="AA2446" s="218"/>
    </row>
    <row r="2447" spans="1:27" ht="24" x14ac:dyDescent="0.25">
      <c r="A2447" s="405">
        <v>3001846</v>
      </c>
      <c r="B2447" s="406">
        <v>42481</v>
      </c>
      <c r="C2447" s="405" t="s">
        <v>327</v>
      </c>
      <c r="D2447" s="401" t="s">
        <v>5676</v>
      </c>
      <c r="E2447" s="120">
        <v>190</v>
      </c>
      <c r="F2447" s="133" t="s">
        <v>182</v>
      </c>
      <c r="G2447" s="404" t="s">
        <v>45</v>
      </c>
      <c r="H2447" s="411">
        <v>370</v>
      </c>
      <c r="I2447" s="411">
        <v>0</v>
      </c>
      <c r="J2447" s="391">
        <f>-((H2447*0.022)+0.3)</f>
        <v>-8.44</v>
      </c>
      <c r="K2447" s="396">
        <f t="shared" si="452"/>
        <v>361.56</v>
      </c>
      <c r="M2447" s="187">
        <v>74.349999999999994</v>
      </c>
      <c r="N2447" s="91">
        <f t="shared" si="447"/>
        <v>74.349999999999994</v>
      </c>
      <c r="O2447" s="411">
        <f t="shared" si="453"/>
        <v>287.21000000000004</v>
      </c>
      <c r="P2447" s="132" t="s">
        <v>52</v>
      </c>
      <c r="Q2447" s="232"/>
      <c r="R2447" s="411"/>
      <c r="T2447" s="134" t="s">
        <v>145</v>
      </c>
      <c r="U2447" s="267" t="s">
        <v>5677</v>
      </c>
      <c r="W2447" s="153" t="s">
        <v>5678</v>
      </c>
      <c r="AA2447" s="218"/>
    </row>
    <row r="2448" spans="1:27" ht="24" x14ac:dyDescent="0.25">
      <c r="A2448" s="405">
        <v>3001847</v>
      </c>
      <c r="B2448" s="406">
        <v>42482</v>
      </c>
      <c r="C2448" s="405" t="s">
        <v>42</v>
      </c>
      <c r="D2448" s="401" t="s">
        <v>5679</v>
      </c>
      <c r="E2448" s="120">
        <v>126</v>
      </c>
      <c r="F2448" s="133" t="s">
        <v>70</v>
      </c>
      <c r="G2448" s="404" t="s">
        <v>45</v>
      </c>
      <c r="H2448" s="411">
        <v>332.64</v>
      </c>
      <c r="I2448" s="397">
        <f t="shared" ref="I2448:I2455" si="454">-(H2448*0.09)</f>
        <v>-29.937599999999996</v>
      </c>
      <c r="J2448" s="391">
        <f t="shared" ref="J2448:J2462" si="455">-((H2448*0.019)+0.3)</f>
        <v>-6.6201599999999994</v>
      </c>
      <c r="K2448" s="396">
        <f t="shared" si="452"/>
        <v>296.08224000000001</v>
      </c>
      <c r="L2448" s="131">
        <v>1000</v>
      </c>
      <c r="M2448" s="187">
        <v>76.78</v>
      </c>
      <c r="N2448" s="91">
        <f t="shared" si="447"/>
        <v>202.78</v>
      </c>
      <c r="O2448" s="411">
        <f t="shared" si="453"/>
        <v>93.302240000000012</v>
      </c>
      <c r="P2448" s="132" t="s">
        <v>52</v>
      </c>
      <c r="Q2448" s="232"/>
      <c r="R2448" s="411"/>
      <c r="T2448" s="134" t="s">
        <v>145</v>
      </c>
      <c r="U2448" s="267" t="s">
        <v>5680</v>
      </c>
      <c r="AA2448" s="218"/>
    </row>
    <row r="2449" spans="1:27" ht="24" x14ac:dyDescent="0.25">
      <c r="A2449" s="405">
        <v>3001848</v>
      </c>
      <c r="B2449" s="406">
        <v>42482</v>
      </c>
      <c r="C2449" s="405" t="s">
        <v>141</v>
      </c>
      <c r="D2449" s="401" t="s">
        <v>3195</v>
      </c>
      <c r="E2449" s="120">
        <v>250</v>
      </c>
      <c r="F2449" s="133" t="s">
        <v>3196</v>
      </c>
      <c r="G2449" s="404" t="s">
        <v>45</v>
      </c>
      <c r="H2449" s="411">
        <v>156.75</v>
      </c>
      <c r="I2449" s="411">
        <v>0</v>
      </c>
      <c r="J2449" s="391">
        <f>-((H2449*0.0325)+0.3)</f>
        <v>-5.3943750000000001</v>
      </c>
      <c r="K2449" s="396">
        <f t="shared" si="452"/>
        <v>151.355625</v>
      </c>
      <c r="L2449" s="187">
        <v>350</v>
      </c>
      <c r="M2449" s="187">
        <v>21.37</v>
      </c>
      <c r="N2449" s="91">
        <f t="shared" si="447"/>
        <v>108.87</v>
      </c>
      <c r="O2449" s="411">
        <f t="shared" si="453"/>
        <v>42.485624999999999</v>
      </c>
      <c r="P2449" s="132" t="s">
        <v>183</v>
      </c>
      <c r="Q2449" s="232"/>
      <c r="R2449" s="411"/>
      <c r="T2449" s="134" t="s">
        <v>145</v>
      </c>
      <c r="U2449" s="267" t="s">
        <v>5681</v>
      </c>
      <c r="W2449" s="153" t="s">
        <v>3199</v>
      </c>
      <c r="AA2449" s="218"/>
    </row>
    <row r="2450" spans="1:27" ht="24" x14ac:dyDescent="0.25">
      <c r="A2450" s="405">
        <v>3001849</v>
      </c>
      <c r="B2450" s="406">
        <v>42482</v>
      </c>
      <c r="C2450" s="405" t="s">
        <v>5682</v>
      </c>
      <c r="D2450" s="401" t="s">
        <v>5683</v>
      </c>
      <c r="E2450" s="120">
        <v>250</v>
      </c>
      <c r="F2450" s="133" t="s">
        <v>5684</v>
      </c>
      <c r="G2450" s="404" t="s">
        <v>45</v>
      </c>
      <c r="H2450" s="411">
        <v>320</v>
      </c>
      <c r="I2450" s="397">
        <f t="shared" si="454"/>
        <v>-28.799999999999997</v>
      </c>
      <c r="J2450" s="391">
        <f t="shared" si="455"/>
        <v>-6.38</v>
      </c>
      <c r="K2450" s="396">
        <f t="shared" si="452"/>
        <v>284.82</v>
      </c>
      <c r="M2450" s="187">
        <v>53.69</v>
      </c>
      <c r="N2450" s="91">
        <f t="shared" si="447"/>
        <v>53.69</v>
      </c>
      <c r="O2450" s="411">
        <f t="shared" si="453"/>
        <v>231.13</v>
      </c>
      <c r="P2450" s="132" t="s">
        <v>52</v>
      </c>
      <c r="Q2450" s="232"/>
      <c r="R2450" s="411"/>
      <c r="T2450" s="134" t="s">
        <v>145</v>
      </c>
      <c r="U2450" s="267" t="s">
        <v>5685</v>
      </c>
      <c r="AA2450" s="218"/>
    </row>
    <row r="2451" spans="1:27" ht="24" x14ac:dyDescent="0.25">
      <c r="A2451" s="405">
        <v>3001850</v>
      </c>
      <c r="B2451" s="406">
        <v>42482</v>
      </c>
      <c r="C2451" s="405" t="s">
        <v>5682</v>
      </c>
      <c r="D2451" s="401" t="s">
        <v>5686</v>
      </c>
      <c r="E2451" s="120">
        <v>130</v>
      </c>
      <c r="F2451" s="133" t="s">
        <v>165</v>
      </c>
      <c r="G2451" s="404" t="s">
        <v>45</v>
      </c>
      <c r="H2451" s="411">
        <v>128.69999999999999</v>
      </c>
      <c r="I2451" s="397">
        <f t="shared" si="454"/>
        <v>-11.582999999999998</v>
      </c>
      <c r="J2451" s="391">
        <f t="shared" si="455"/>
        <v>-2.7452999999999994</v>
      </c>
      <c r="K2451" s="396">
        <f t="shared" si="452"/>
        <v>114.37169999999999</v>
      </c>
      <c r="M2451" s="187">
        <v>21.28</v>
      </c>
      <c r="N2451" s="91">
        <f t="shared" si="447"/>
        <v>21.28</v>
      </c>
      <c r="O2451" s="411">
        <f t="shared" si="453"/>
        <v>93.091699999999989</v>
      </c>
      <c r="P2451" s="132" t="s">
        <v>52</v>
      </c>
      <c r="Q2451" s="232"/>
      <c r="R2451" s="411"/>
      <c r="T2451" s="134" t="s">
        <v>145</v>
      </c>
      <c r="U2451" s="267" t="s">
        <v>5687</v>
      </c>
      <c r="AA2451" s="218"/>
    </row>
    <row r="2452" spans="1:27" ht="24" x14ac:dyDescent="0.25">
      <c r="A2452" s="405">
        <v>3001851</v>
      </c>
      <c r="B2452" s="406">
        <v>42482</v>
      </c>
      <c r="C2452" s="405" t="s">
        <v>5682</v>
      </c>
      <c r="D2452" s="401" t="s">
        <v>5688</v>
      </c>
      <c r="E2452" s="120">
        <v>300</v>
      </c>
      <c r="F2452" s="133" t="s">
        <v>1547</v>
      </c>
      <c r="G2452" s="404" t="s">
        <v>45</v>
      </c>
      <c r="H2452" s="411">
        <v>287.51</v>
      </c>
      <c r="I2452" s="397">
        <f t="shared" si="454"/>
        <v>-25.875899999999998</v>
      </c>
      <c r="J2452" s="391">
        <f t="shared" si="455"/>
        <v>-5.7626899999999992</v>
      </c>
      <c r="K2452" s="396">
        <f t="shared" si="452"/>
        <v>255.87141</v>
      </c>
      <c r="M2452" s="187">
        <v>61.05</v>
      </c>
      <c r="N2452" s="91">
        <f t="shared" si="447"/>
        <v>61.05</v>
      </c>
      <c r="O2452" s="411">
        <f t="shared" si="453"/>
        <v>194.82141000000001</v>
      </c>
      <c r="P2452" s="132" t="s">
        <v>52</v>
      </c>
      <c r="Q2452" s="232"/>
      <c r="R2452" s="411"/>
      <c r="T2452" s="134" t="s">
        <v>145</v>
      </c>
      <c r="U2452" s="267" t="s">
        <v>5689</v>
      </c>
      <c r="AA2452" s="218"/>
    </row>
    <row r="2453" spans="1:27" x14ac:dyDescent="0.25">
      <c r="A2453" s="405">
        <v>3001852</v>
      </c>
      <c r="B2453" s="406">
        <v>42482</v>
      </c>
      <c r="C2453" s="405" t="s">
        <v>5682</v>
      </c>
      <c r="D2453" s="401" t="s">
        <v>2207</v>
      </c>
      <c r="E2453" s="120">
        <v>325</v>
      </c>
      <c r="F2453" s="133" t="s">
        <v>300</v>
      </c>
      <c r="G2453" s="404" t="s">
        <v>45</v>
      </c>
      <c r="H2453" s="411">
        <v>1296.75</v>
      </c>
      <c r="I2453" s="397">
        <f t="shared" si="454"/>
        <v>-116.7075</v>
      </c>
      <c r="J2453" s="391">
        <f t="shared" si="455"/>
        <v>-24.93825</v>
      </c>
      <c r="K2453" s="396">
        <f t="shared" si="452"/>
        <v>1155.1042500000001</v>
      </c>
      <c r="M2453" s="187">
        <v>125</v>
      </c>
      <c r="N2453" s="91">
        <f t="shared" si="447"/>
        <v>125</v>
      </c>
      <c r="O2453" s="411">
        <f t="shared" si="453"/>
        <v>1030.1042500000001</v>
      </c>
      <c r="P2453" s="132" t="s">
        <v>52</v>
      </c>
      <c r="Q2453" s="232"/>
      <c r="R2453" s="411"/>
      <c r="T2453" s="134" t="s">
        <v>3793</v>
      </c>
      <c r="U2453" s="267" t="s">
        <v>5690</v>
      </c>
      <c r="V2453" s="133" t="s">
        <v>55</v>
      </c>
      <c r="AA2453" s="218"/>
    </row>
    <row r="2454" spans="1:27" ht="24" x14ac:dyDescent="0.25">
      <c r="A2454" s="405">
        <v>3001853</v>
      </c>
      <c r="B2454" s="406">
        <v>42482</v>
      </c>
      <c r="C2454" s="405" t="s">
        <v>5682</v>
      </c>
      <c r="D2454" s="401" t="s">
        <v>5691</v>
      </c>
      <c r="E2454" s="120">
        <v>50</v>
      </c>
      <c r="F2454" s="133" t="s">
        <v>161</v>
      </c>
      <c r="G2454" s="404" t="s">
        <v>45</v>
      </c>
      <c r="H2454" s="411">
        <v>123.75</v>
      </c>
      <c r="I2454" s="397">
        <f t="shared" si="454"/>
        <v>-11.137499999999999</v>
      </c>
      <c r="J2454" s="391">
        <f t="shared" si="455"/>
        <v>-2.6512499999999997</v>
      </c>
      <c r="K2454" s="396">
        <f t="shared" si="452"/>
        <v>109.96124999999999</v>
      </c>
      <c r="L2454" s="131">
        <v>1322</v>
      </c>
      <c r="M2454" s="187">
        <v>18.37</v>
      </c>
      <c r="N2454" s="91">
        <f t="shared" si="447"/>
        <v>84.470000000000013</v>
      </c>
      <c r="O2454" s="411">
        <f t="shared" si="453"/>
        <v>25.49124999999998</v>
      </c>
      <c r="P2454" s="132" t="s">
        <v>52</v>
      </c>
      <c r="Q2454" s="232"/>
      <c r="R2454" s="411"/>
      <c r="T2454" s="134" t="s">
        <v>145</v>
      </c>
      <c r="U2454" s="267" t="s">
        <v>5692</v>
      </c>
      <c r="AA2454" s="218"/>
    </row>
    <row r="2455" spans="1:27" ht="24" x14ac:dyDescent="0.25">
      <c r="A2455" s="405">
        <v>3001854</v>
      </c>
      <c r="B2455" s="406">
        <v>42482</v>
      </c>
      <c r="C2455" s="405" t="s">
        <v>5682</v>
      </c>
      <c r="D2455" s="401" t="s">
        <v>5693</v>
      </c>
      <c r="E2455" s="120">
        <v>250</v>
      </c>
      <c r="F2455" s="133" t="s">
        <v>5694</v>
      </c>
      <c r="G2455" s="404" t="s">
        <v>45</v>
      </c>
      <c r="H2455" s="411">
        <v>912</v>
      </c>
      <c r="I2455" s="397">
        <f t="shared" si="454"/>
        <v>-82.08</v>
      </c>
      <c r="J2455" s="391">
        <f t="shared" si="455"/>
        <v>-17.628</v>
      </c>
      <c r="K2455" s="396">
        <f t="shared" si="452"/>
        <v>812.29199999999992</v>
      </c>
      <c r="M2455" s="187">
        <v>60.84</v>
      </c>
      <c r="N2455" s="91">
        <f t="shared" si="447"/>
        <v>60.84</v>
      </c>
      <c r="O2455" s="411">
        <f t="shared" si="453"/>
        <v>751.45199999999988</v>
      </c>
      <c r="P2455" s="132" t="s">
        <v>52</v>
      </c>
      <c r="Q2455" s="232"/>
      <c r="R2455" s="411"/>
      <c r="T2455" s="134" t="s">
        <v>145</v>
      </c>
      <c r="U2455" s="266" t="s">
        <v>5695</v>
      </c>
      <c r="AA2455" s="218"/>
    </row>
    <row r="2456" spans="1:27" x14ac:dyDescent="0.25">
      <c r="A2456" s="405">
        <v>3001855</v>
      </c>
      <c r="B2456" s="406">
        <v>42482</v>
      </c>
      <c r="C2456" s="405" t="s">
        <v>78</v>
      </c>
      <c r="D2456" s="401" t="s">
        <v>5696</v>
      </c>
      <c r="E2456" s="120">
        <v>100</v>
      </c>
      <c r="F2456" s="133" t="s">
        <v>5697</v>
      </c>
      <c r="G2456" s="404" t="s">
        <v>45</v>
      </c>
      <c r="H2456" s="411">
        <v>135</v>
      </c>
      <c r="I2456" s="411">
        <v>0</v>
      </c>
      <c r="J2456" s="391">
        <f t="shared" si="455"/>
        <v>-2.8649999999999998</v>
      </c>
      <c r="K2456" s="396">
        <f t="shared" si="452"/>
        <v>132.13499999999999</v>
      </c>
      <c r="L2456" s="187">
        <v>500</v>
      </c>
      <c r="M2456" s="187">
        <v>47.24</v>
      </c>
      <c r="N2456" s="91">
        <f t="shared" si="447"/>
        <v>97.240000000000009</v>
      </c>
      <c r="O2456" s="411">
        <f t="shared" si="453"/>
        <v>34.894999999999982</v>
      </c>
      <c r="P2456" s="132" t="s">
        <v>313</v>
      </c>
      <c r="Q2456" s="232"/>
      <c r="R2456" s="411"/>
      <c r="T2456" s="134" t="s">
        <v>314</v>
      </c>
      <c r="U2456" s="267" t="s">
        <v>5698</v>
      </c>
      <c r="V2456" s="133" t="s">
        <v>5699</v>
      </c>
      <c r="W2456" s="153" t="s">
        <v>5700</v>
      </c>
      <c r="AA2456" s="218"/>
    </row>
    <row r="2457" spans="1:27" ht="24" x14ac:dyDescent="0.25">
      <c r="A2457" s="405">
        <v>3001856</v>
      </c>
      <c r="B2457" s="406">
        <v>42482</v>
      </c>
      <c r="C2457" s="405" t="s">
        <v>237</v>
      </c>
      <c r="D2457" s="401" t="s">
        <v>5701</v>
      </c>
      <c r="E2457" s="120">
        <v>100</v>
      </c>
      <c r="F2457" s="133" t="s">
        <v>161</v>
      </c>
      <c r="G2457" s="404" t="s">
        <v>45</v>
      </c>
      <c r="H2457" s="411">
        <v>227.7</v>
      </c>
      <c r="I2457" s="397">
        <f t="shared" ref="I2457:I2458" si="456">-(H2457*0.15)</f>
        <v>-34.154999999999994</v>
      </c>
      <c r="J2457" s="391">
        <v>0</v>
      </c>
      <c r="K2457" s="396">
        <f t="shared" si="452"/>
        <v>193.54499999999999</v>
      </c>
      <c r="L2457" s="131">
        <v>1322</v>
      </c>
      <c r="M2457" s="187">
        <v>20.63</v>
      </c>
      <c r="N2457" s="91">
        <f t="shared" si="447"/>
        <v>152.83000000000001</v>
      </c>
      <c r="O2457" s="411">
        <f t="shared" si="453"/>
        <v>40.714999999999975</v>
      </c>
      <c r="P2457" s="132" t="s">
        <v>52</v>
      </c>
      <c r="Q2457" s="232"/>
      <c r="R2457" s="411"/>
      <c r="T2457" s="134" t="s">
        <v>145</v>
      </c>
      <c r="U2457" s="267" t="s">
        <v>5702</v>
      </c>
      <c r="AA2457" s="218"/>
    </row>
    <row r="2458" spans="1:27" ht="24" x14ac:dyDescent="0.25">
      <c r="A2458" s="405">
        <v>3001857</v>
      </c>
      <c r="B2458" s="406">
        <v>42482</v>
      </c>
      <c r="C2458" s="405" t="s">
        <v>237</v>
      </c>
      <c r="D2458" s="401" t="s">
        <v>5703</v>
      </c>
      <c r="E2458" s="120">
        <v>200</v>
      </c>
      <c r="F2458" s="133" t="s">
        <v>5066</v>
      </c>
      <c r="G2458" s="404" t="s">
        <v>45</v>
      </c>
      <c r="H2458" s="411">
        <v>487.08</v>
      </c>
      <c r="I2458" s="397">
        <f t="shared" si="456"/>
        <v>-73.061999999999998</v>
      </c>
      <c r="J2458" s="391">
        <v>0</v>
      </c>
      <c r="K2458" s="396">
        <f t="shared" si="452"/>
        <v>414.01799999999997</v>
      </c>
      <c r="L2458" s="187">
        <v>1191</v>
      </c>
      <c r="M2458" s="187">
        <v>44.86</v>
      </c>
      <c r="N2458" s="91">
        <f t="shared" si="447"/>
        <v>283.06</v>
      </c>
      <c r="O2458" s="411">
        <f t="shared" si="453"/>
        <v>130.95799999999997</v>
      </c>
      <c r="P2458" s="132" t="s">
        <v>601</v>
      </c>
      <c r="Q2458" s="232"/>
      <c r="R2458" s="411"/>
      <c r="T2458" s="134" t="s">
        <v>145</v>
      </c>
      <c r="U2458" s="267" t="s">
        <v>5704</v>
      </c>
      <c r="AA2458" s="218"/>
    </row>
    <row r="2459" spans="1:27" ht="24" x14ac:dyDescent="0.25">
      <c r="A2459" s="405">
        <v>3001858</v>
      </c>
      <c r="B2459" s="406">
        <v>42482</v>
      </c>
      <c r="C2459" s="405" t="s">
        <v>5682</v>
      </c>
      <c r="D2459" s="401" t="s">
        <v>5705</v>
      </c>
      <c r="E2459" s="120">
        <v>50</v>
      </c>
      <c r="F2459" s="133" t="s">
        <v>217</v>
      </c>
      <c r="G2459" s="404" t="s">
        <v>45</v>
      </c>
      <c r="H2459" s="411">
        <v>123.75</v>
      </c>
      <c r="I2459" s="397">
        <f t="shared" ref="I2459:I2462" si="457">-(H2459*0.09)</f>
        <v>-11.137499999999999</v>
      </c>
      <c r="J2459" s="391">
        <f t="shared" si="455"/>
        <v>-2.6512499999999997</v>
      </c>
      <c r="K2459" s="396">
        <f t="shared" si="452"/>
        <v>109.96124999999999</v>
      </c>
      <c r="M2459" s="187">
        <v>38.229999999999997</v>
      </c>
      <c r="N2459" s="91">
        <f t="shared" si="447"/>
        <v>38.229999999999997</v>
      </c>
      <c r="O2459" s="411">
        <f t="shared" si="453"/>
        <v>71.731249999999989</v>
      </c>
      <c r="P2459" s="132" t="s">
        <v>52</v>
      </c>
      <c r="Q2459" s="232"/>
      <c r="R2459" s="411"/>
      <c r="T2459" s="134" t="s">
        <v>145</v>
      </c>
      <c r="U2459" s="267" t="s">
        <v>5706</v>
      </c>
      <c r="AA2459" s="218"/>
    </row>
    <row r="2460" spans="1:27" ht="24" x14ac:dyDescent="0.25">
      <c r="A2460" s="405">
        <v>3001859</v>
      </c>
      <c r="B2460" s="406">
        <v>42482</v>
      </c>
      <c r="C2460" s="405" t="s">
        <v>5682</v>
      </c>
      <c r="D2460" s="401" t="s">
        <v>5707</v>
      </c>
      <c r="E2460" s="120">
        <v>250</v>
      </c>
      <c r="F2460" s="133" t="s">
        <v>5684</v>
      </c>
      <c r="G2460" s="404" t="s">
        <v>45</v>
      </c>
      <c r="H2460" s="411">
        <v>320</v>
      </c>
      <c r="I2460" s="397">
        <f t="shared" si="457"/>
        <v>-28.799999999999997</v>
      </c>
      <c r="J2460" s="391">
        <f t="shared" si="455"/>
        <v>-6.38</v>
      </c>
      <c r="K2460" s="396">
        <f t="shared" si="452"/>
        <v>284.82</v>
      </c>
      <c r="M2460" s="187">
        <v>45.59</v>
      </c>
      <c r="N2460" s="91">
        <f t="shared" si="447"/>
        <v>45.59</v>
      </c>
      <c r="O2460" s="411">
        <f t="shared" si="453"/>
        <v>239.23</v>
      </c>
      <c r="P2460" s="132" t="s">
        <v>52</v>
      </c>
      <c r="Q2460" s="232"/>
      <c r="R2460" s="411"/>
      <c r="T2460" s="134" t="s">
        <v>145</v>
      </c>
      <c r="U2460" s="267" t="s">
        <v>5708</v>
      </c>
      <c r="AA2460" s="218"/>
    </row>
    <row r="2461" spans="1:27" x14ac:dyDescent="0.25">
      <c r="A2461" s="405">
        <v>3001860</v>
      </c>
      <c r="B2461" s="406">
        <v>42482</v>
      </c>
      <c r="C2461" s="405" t="s">
        <v>5682</v>
      </c>
      <c r="D2461" s="401" t="s">
        <v>2919</v>
      </c>
      <c r="E2461" s="120">
        <v>150</v>
      </c>
      <c r="F2461" s="133" t="s">
        <v>70</v>
      </c>
      <c r="G2461" s="404" t="s">
        <v>45</v>
      </c>
      <c r="H2461" s="411">
        <v>416</v>
      </c>
      <c r="I2461" s="397">
        <f t="shared" si="457"/>
        <v>-37.44</v>
      </c>
      <c r="J2461" s="391">
        <f t="shared" si="455"/>
        <v>-8.2040000000000006</v>
      </c>
      <c r="K2461" s="396">
        <f t="shared" si="452"/>
        <v>370.35599999999999</v>
      </c>
      <c r="M2461" s="187">
        <v>219.35</v>
      </c>
      <c r="N2461" s="91">
        <f t="shared" si="447"/>
        <v>219.35</v>
      </c>
      <c r="O2461" s="411">
        <f t="shared" si="453"/>
        <v>151.006</v>
      </c>
      <c r="P2461" s="132" t="s">
        <v>52</v>
      </c>
      <c r="Q2461" s="232"/>
      <c r="R2461" s="411"/>
      <c r="T2461" s="134" t="s">
        <v>244</v>
      </c>
      <c r="U2461" s="267" t="s">
        <v>5709</v>
      </c>
      <c r="V2461" s="133" t="s">
        <v>55</v>
      </c>
      <c r="AA2461" s="218"/>
    </row>
    <row r="2462" spans="1:27" ht="24" x14ac:dyDescent="0.25">
      <c r="A2462" s="405">
        <v>3001861</v>
      </c>
      <c r="B2462" s="406">
        <v>42482</v>
      </c>
      <c r="C2462" s="405" t="s">
        <v>5682</v>
      </c>
      <c r="D2462" s="401" t="s">
        <v>5710</v>
      </c>
      <c r="E2462" s="120">
        <v>250</v>
      </c>
      <c r="F2462" s="133" t="s">
        <v>312</v>
      </c>
      <c r="G2462" s="404" t="s">
        <v>45</v>
      </c>
      <c r="H2462" s="411">
        <v>231.28</v>
      </c>
      <c r="I2462" s="397">
        <f t="shared" si="457"/>
        <v>-20.815200000000001</v>
      </c>
      <c r="J2462" s="391">
        <f t="shared" si="455"/>
        <v>-4.6943199999999994</v>
      </c>
      <c r="K2462" s="396">
        <f t="shared" si="452"/>
        <v>205.77047999999999</v>
      </c>
      <c r="L2462" s="158">
        <v>514</v>
      </c>
      <c r="M2462" s="158">
        <v>65.400000000000006</v>
      </c>
      <c r="N2462" s="91">
        <f t="shared" si="447"/>
        <v>193.9</v>
      </c>
      <c r="O2462" s="411">
        <f t="shared" si="453"/>
        <v>11.870479999999986</v>
      </c>
      <c r="P2462" s="132" t="s">
        <v>3597</v>
      </c>
      <c r="Q2462" s="232"/>
      <c r="R2462" s="411"/>
      <c r="T2462" s="134" t="s">
        <v>324</v>
      </c>
      <c r="U2462" s="267" t="s">
        <v>5711</v>
      </c>
      <c r="AA2462" s="218"/>
    </row>
    <row r="2463" spans="1:27" ht="24" x14ac:dyDescent="0.25">
      <c r="A2463" s="405">
        <v>3001862</v>
      </c>
      <c r="B2463" s="406">
        <v>42482</v>
      </c>
      <c r="C2463" s="405" t="s">
        <v>5682</v>
      </c>
      <c r="D2463" s="401" t="s">
        <v>5712</v>
      </c>
      <c r="E2463" s="120">
        <v>500</v>
      </c>
      <c r="F2463" s="133" t="s">
        <v>173</v>
      </c>
      <c r="G2463" s="404" t="s">
        <v>45</v>
      </c>
      <c r="H2463" s="411">
        <v>416.1</v>
      </c>
      <c r="I2463" s="397">
        <f t="shared" ref="I2463:I2468" si="458">-(H2463*0.09)</f>
        <v>-37.448999999999998</v>
      </c>
      <c r="J2463" s="391">
        <f t="shared" ref="J2463:J2468" si="459">-((H2463*0.019)+0.3)</f>
        <v>-8.2058999999999997</v>
      </c>
      <c r="K2463" s="396">
        <f t="shared" si="452"/>
        <v>370.44510000000002</v>
      </c>
      <c r="L2463" s="131">
        <v>405</v>
      </c>
      <c r="M2463" s="187">
        <v>62.35</v>
      </c>
      <c r="N2463" s="91">
        <f t="shared" si="447"/>
        <v>264.85000000000002</v>
      </c>
      <c r="O2463" s="411">
        <f t="shared" si="453"/>
        <v>105.5951</v>
      </c>
      <c r="P2463" s="132" t="s">
        <v>52</v>
      </c>
      <c r="Q2463" s="232"/>
      <c r="R2463" s="411"/>
      <c r="T2463" s="134" t="s">
        <v>145</v>
      </c>
      <c r="U2463" s="267" t="s">
        <v>5713</v>
      </c>
      <c r="AA2463" s="218"/>
    </row>
    <row r="2464" spans="1:27" ht="24" x14ac:dyDescent="0.25">
      <c r="A2464" s="405">
        <v>3001863</v>
      </c>
      <c r="B2464" s="406">
        <v>42482</v>
      </c>
      <c r="C2464" s="405" t="s">
        <v>5682</v>
      </c>
      <c r="D2464" s="401" t="s">
        <v>5714</v>
      </c>
      <c r="E2464" s="120">
        <v>200</v>
      </c>
      <c r="F2464" s="133" t="s">
        <v>161</v>
      </c>
      <c r="G2464" s="404" t="s">
        <v>45</v>
      </c>
      <c r="H2464" s="411">
        <v>427.02</v>
      </c>
      <c r="I2464" s="397">
        <f t="shared" si="458"/>
        <v>-38.431799999999996</v>
      </c>
      <c r="J2464" s="391">
        <f t="shared" si="459"/>
        <v>-8.4133800000000001</v>
      </c>
      <c r="K2464" s="396">
        <f t="shared" si="452"/>
        <v>380.17481999999995</v>
      </c>
      <c r="M2464" s="187">
        <v>54.87</v>
      </c>
      <c r="N2464" s="91">
        <f t="shared" si="447"/>
        <v>54.87</v>
      </c>
      <c r="O2464" s="411">
        <f t="shared" si="453"/>
        <v>325.30481999999995</v>
      </c>
      <c r="P2464" s="132" t="s">
        <v>52</v>
      </c>
      <c r="Q2464" s="232"/>
      <c r="R2464" s="411"/>
      <c r="T2464" s="134" t="s">
        <v>145</v>
      </c>
      <c r="U2464" s="267" t="s">
        <v>5715</v>
      </c>
      <c r="AA2464" s="218"/>
    </row>
    <row r="2465" spans="1:27" ht="24" x14ac:dyDescent="0.25">
      <c r="A2465" s="405">
        <v>3001864</v>
      </c>
      <c r="B2465" s="406">
        <v>42482</v>
      </c>
      <c r="C2465" s="405" t="s">
        <v>5682</v>
      </c>
      <c r="D2465" s="401" t="s">
        <v>5716</v>
      </c>
      <c r="E2465" s="120">
        <v>60</v>
      </c>
      <c r="F2465" s="133" t="s">
        <v>5717</v>
      </c>
      <c r="G2465" s="404" t="s">
        <v>45</v>
      </c>
      <c r="H2465" s="411">
        <v>369</v>
      </c>
      <c r="I2465" s="397">
        <f t="shared" si="458"/>
        <v>-33.21</v>
      </c>
      <c r="J2465" s="391">
        <f t="shared" si="459"/>
        <v>-7.3109999999999999</v>
      </c>
      <c r="K2465" s="396">
        <f t="shared" si="452"/>
        <v>328.47900000000004</v>
      </c>
      <c r="M2465" s="187">
        <v>50.27</v>
      </c>
      <c r="N2465" s="91">
        <f t="shared" si="447"/>
        <v>50.27</v>
      </c>
      <c r="O2465" s="411">
        <f t="shared" si="453"/>
        <v>278.20900000000006</v>
      </c>
      <c r="P2465" s="132" t="s">
        <v>52</v>
      </c>
      <c r="Q2465" s="232"/>
      <c r="R2465" s="411"/>
      <c r="T2465" s="134" t="s">
        <v>145</v>
      </c>
      <c r="U2465" s="267" t="s">
        <v>5718</v>
      </c>
      <c r="AA2465" s="218"/>
    </row>
    <row r="2466" spans="1:27" ht="24" x14ac:dyDescent="0.25">
      <c r="A2466" s="405">
        <v>3001865</v>
      </c>
      <c r="B2466" s="406">
        <v>42482</v>
      </c>
      <c r="C2466" s="405" t="s">
        <v>5682</v>
      </c>
      <c r="D2466" s="401" t="s">
        <v>5719</v>
      </c>
      <c r="E2466" s="120">
        <v>150</v>
      </c>
      <c r="F2466" s="133" t="s">
        <v>227</v>
      </c>
      <c r="G2466" s="404" t="s">
        <v>45</v>
      </c>
      <c r="H2466" s="411">
        <v>135.19999999999999</v>
      </c>
      <c r="I2466" s="397">
        <f t="shared" si="458"/>
        <v>-12.167999999999999</v>
      </c>
      <c r="J2466" s="391">
        <f t="shared" si="459"/>
        <v>-2.8687999999999994</v>
      </c>
      <c r="K2466" s="396">
        <f t="shared" si="452"/>
        <v>120.16319999999999</v>
      </c>
      <c r="M2466" s="187">
        <v>35.72</v>
      </c>
      <c r="N2466" s="91">
        <f t="shared" si="447"/>
        <v>35.72</v>
      </c>
      <c r="O2466" s="411">
        <f t="shared" si="453"/>
        <v>84.44319999999999</v>
      </c>
      <c r="P2466" s="132" t="s">
        <v>52</v>
      </c>
      <c r="Q2466" s="232"/>
      <c r="R2466" s="411"/>
      <c r="T2466" s="134" t="s">
        <v>145</v>
      </c>
      <c r="U2466" s="267" t="s">
        <v>5720</v>
      </c>
      <c r="AA2466" s="218"/>
    </row>
    <row r="2467" spans="1:27" ht="24" x14ac:dyDescent="0.25">
      <c r="A2467" s="405">
        <v>3001866</v>
      </c>
      <c r="B2467" s="406">
        <v>42482</v>
      </c>
      <c r="C2467" s="405" t="s">
        <v>5682</v>
      </c>
      <c r="D2467" s="401" t="s">
        <v>5721</v>
      </c>
      <c r="E2467" s="120">
        <v>250</v>
      </c>
      <c r="F2467" s="133" t="s">
        <v>4803</v>
      </c>
      <c r="G2467" s="404" t="s">
        <v>45</v>
      </c>
      <c r="H2467" s="411">
        <v>176.88</v>
      </c>
      <c r="I2467" s="397">
        <f t="shared" si="458"/>
        <v>-15.919199999999998</v>
      </c>
      <c r="J2467" s="391">
        <f t="shared" si="459"/>
        <v>-3.6607199999999995</v>
      </c>
      <c r="K2467" s="396">
        <f t="shared" si="452"/>
        <v>157.30008000000001</v>
      </c>
      <c r="M2467" s="187">
        <v>31.09</v>
      </c>
      <c r="N2467" s="91">
        <f t="shared" si="447"/>
        <v>31.09</v>
      </c>
      <c r="O2467" s="411">
        <f t="shared" si="453"/>
        <v>126.21008</v>
      </c>
      <c r="P2467" s="132" t="s">
        <v>52</v>
      </c>
      <c r="Q2467" s="232"/>
      <c r="R2467" s="411"/>
      <c r="T2467" s="134" t="s">
        <v>145</v>
      </c>
      <c r="U2467" s="267" t="s">
        <v>5722</v>
      </c>
      <c r="AA2467" s="218"/>
    </row>
    <row r="2468" spans="1:27" ht="24" x14ac:dyDescent="0.25">
      <c r="A2468" s="405">
        <v>3001867</v>
      </c>
      <c r="B2468" s="406">
        <v>42482</v>
      </c>
      <c r="C2468" s="405" t="s">
        <v>5682</v>
      </c>
      <c r="D2468" s="401" t="s">
        <v>5723</v>
      </c>
      <c r="E2468" s="120">
        <v>150</v>
      </c>
      <c r="F2468" s="133" t="s">
        <v>614</v>
      </c>
      <c r="G2468" s="404" t="s">
        <v>45</v>
      </c>
      <c r="H2468" s="392">
        <v>176.87</v>
      </c>
      <c r="I2468" s="397">
        <f t="shared" si="458"/>
        <v>-15.9183</v>
      </c>
      <c r="J2468" s="391">
        <f t="shared" si="459"/>
        <v>-3.6605299999999996</v>
      </c>
      <c r="K2468" s="396">
        <f t="shared" si="452"/>
        <v>157.29117000000002</v>
      </c>
      <c r="L2468" s="187">
        <v>1000</v>
      </c>
      <c r="M2468" s="187">
        <v>15.63</v>
      </c>
      <c r="N2468" s="91">
        <f t="shared" si="447"/>
        <v>165.63</v>
      </c>
      <c r="O2468" s="411">
        <f t="shared" si="453"/>
        <v>-8.3388299999999731</v>
      </c>
      <c r="P2468" s="132" t="s">
        <v>235</v>
      </c>
      <c r="Q2468" s="232"/>
      <c r="R2468" s="411"/>
      <c r="T2468" s="134" t="s">
        <v>145</v>
      </c>
      <c r="U2468" s="267" t="s">
        <v>5724</v>
      </c>
      <c r="AA2468" s="218"/>
    </row>
    <row r="2469" spans="1:27" x14ac:dyDescent="0.25">
      <c r="A2469" s="419">
        <v>3001868</v>
      </c>
      <c r="B2469" s="421">
        <v>42482</v>
      </c>
      <c r="C2469" s="419" t="s">
        <v>63</v>
      </c>
      <c r="D2469" s="417" t="s">
        <v>5725</v>
      </c>
      <c r="E2469" s="120">
        <v>568</v>
      </c>
      <c r="F2469" s="133" t="s">
        <v>157</v>
      </c>
      <c r="G2469" s="434" t="s">
        <v>45</v>
      </c>
      <c r="H2469" s="427">
        <v>752.32</v>
      </c>
      <c r="I2469" s="452">
        <v>0</v>
      </c>
      <c r="J2469" s="425">
        <f>-((H2469*0.022)+0.3)</f>
        <v>-16.851040000000001</v>
      </c>
      <c r="K2469" s="425">
        <f t="shared" si="452"/>
        <v>735.46896000000004</v>
      </c>
      <c r="N2469" s="91">
        <f t="shared" si="447"/>
        <v>0</v>
      </c>
      <c r="O2469" s="411">
        <f t="shared" si="453"/>
        <v>735.46896000000004</v>
      </c>
      <c r="P2469" s="132" t="s">
        <v>52</v>
      </c>
      <c r="Q2469" s="232"/>
      <c r="R2469" s="411"/>
      <c r="T2469" s="470" t="s">
        <v>1229</v>
      </c>
      <c r="U2469" s="505" t="s">
        <v>1229</v>
      </c>
      <c r="W2469" s="153" t="s">
        <v>5726</v>
      </c>
      <c r="AA2469" s="218"/>
    </row>
    <row r="2470" spans="1:27" x14ac:dyDescent="0.25">
      <c r="A2470" s="420"/>
      <c r="B2470" s="422"/>
      <c r="C2470" s="420"/>
      <c r="D2470" s="418"/>
      <c r="E2470" s="120">
        <v>100</v>
      </c>
      <c r="F2470" s="133" t="s">
        <v>165</v>
      </c>
      <c r="G2470" s="436"/>
      <c r="H2470" s="428"/>
      <c r="I2470" s="453"/>
      <c r="J2470" s="426"/>
      <c r="K2470" s="426"/>
      <c r="L2470" s="131">
        <v>440</v>
      </c>
      <c r="N2470" s="91">
        <f t="shared" si="447"/>
        <v>44</v>
      </c>
      <c r="O2470" s="411">
        <f t="shared" si="453"/>
        <v>-44</v>
      </c>
      <c r="P2470" s="132" t="s">
        <v>52</v>
      </c>
      <c r="Q2470" s="232"/>
      <c r="R2470" s="411"/>
      <c r="T2470" s="472"/>
      <c r="U2470" s="490"/>
      <c r="AA2470" s="218"/>
    </row>
    <row r="2471" spans="1:27" x14ac:dyDescent="0.25">
      <c r="A2471" s="405">
        <v>3001869</v>
      </c>
      <c r="B2471" s="406">
        <v>42482</v>
      </c>
      <c r="C2471" s="405" t="s">
        <v>63</v>
      </c>
      <c r="D2471" s="401" t="s">
        <v>1357</v>
      </c>
      <c r="E2471" s="120">
        <v>160</v>
      </c>
      <c r="F2471" s="133" t="s">
        <v>5727</v>
      </c>
      <c r="G2471" s="404" t="s">
        <v>45</v>
      </c>
      <c r="H2471" s="392">
        <v>480</v>
      </c>
      <c r="I2471" s="397">
        <v>0</v>
      </c>
      <c r="J2471" s="391">
        <f>-((H2471*0.022)+0.3)</f>
        <v>-10.86</v>
      </c>
      <c r="K2471" s="396">
        <f t="shared" si="452"/>
        <v>469.14</v>
      </c>
      <c r="L2471" s="187">
        <v>1845</v>
      </c>
      <c r="M2471" s="187">
        <v>105</v>
      </c>
      <c r="N2471" s="91">
        <f t="shared" si="447"/>
        <v>400.2</v>
      </c>
      <c r="O2471" s="411">
        <f t="shared" si="453"/>
        <v>68.94</v>
      </c>
      <c r="P2471" s="132" t="s">
        <v>183</v>
      </c>
      <c r="Q2471" s="232"/>
      <c r="R2471" s="411"/>
      <c r="T2471" s="134" t="s">
        <v>67</v>
      </c>
      <c r="U2471" s="267" t="s">
        <v>5728</v>
      </c>
      <c r="W2471" s="153" t="s">
        <v>1360</v>
      </c>
      <c r="AA2471" s="218"/>
    </row>
    <row r="2472" spans="1:27" x14ac:dyDescent="0.25">
      <c r="A2472" s="419">
        <v>3001870</v>
      </c>
      <c r="B2472" s="421">
        <v>42482</v>
      </c>
      <c r="C2472" s="419" t="s">
        <v>63</v>
      </c>
      <c r="D2472" s="417" t="s">
        <v>3069</v>
      </c>
      <c r="E2472" s="120">
        <v>2500</v>
      </c>
      <c r="F2472" s="133" t="s">
        <v>5729</v>
      </c>
      <c r="G2472" s="434" t="s">
        <v>45</v>
      </c>
      <c r="H2472" s="427">
        <v>385</v>
      </c>
      <c r="I2472" s="452">
        <v>0</v>
      </c>
      <c r="J2472" s="425">
        <f>-((H2472*0.022)+0.3)</f>
        <v>-8.77</v>
      </c>
      <c r="K2472" s="425">
        <f t="shared" si="452"/>
        <v>376.23</v>
      </c>
      <c r="L2472" s="187">
        <v>49</v>
      </c>
      <c r="M2472" s="187">
        <v>19.510000000000002</v>
      </c>
      <c r="N2472" s="91">
        <f t="shared" si="447"/>
        <v>142.01</v>
      </c>
      <c r="O2472" s="411">
        <f t="shared" si="453"/>
        <v>234.22000000000003</v>
      </c>
      <c r="P2472" s="132" t="s">
        <v>1732</v>
      </c>
      <c r="Q2472" s="232"/>
      <c r="R2472" s="411"/>
      <c r="T2472" s="439" t="s">
        <v>145</v>
      </c>
      <c r="U2472" s="267" t="s">
        <v>5730</v>
      </c>
      <c r="W2472" s="153" t="s">
        <v>5510</v>
      </c>
      <c r="AA2472" s="218"/>
    </row>
    <row r="2473" spans="1:27" x14ac:dyDescent="0.25">
      <c r="A2473" s="420"/>
      <c r="B2473" s="422"/>
      <c r="C2473" s="420"/>
      <c r="D2473" s="418"/>
      <c r="E2473" s="120">
        <v>2500</v>
      </c>
      <c r="F2473" s="133" t="s">
        <v>5731</v>
      </c>
      <c r="G2473" s="436"/>
      <c r="H2473" s="428"/>
      <c r="I2473" s="453"/>
      <c r="J2473" s="426"/>
      <c r="K2473" s="426"/>
      <c r="L2473" s="187">
        <v>49</v>
      </c>
      <c r="M2473" s="187">
        <v>19.920000000000002</v>
      </c>
      <c r="N2473" s="91">
        <f t="shared" si="447"/>
        <v>142.42000000000002</v>
      </c>
      <c r="O2473" s="411">
        <f t="shared" si="453"/>
        <v>-142.42000000000002</v>
      </c>
      <c r="P2473" s="132" t="s">
        <v>1732</v>
      </c>
      <c r="Q2473" s="232"/>
      <c r="R2473" s="411"/>
      <c r="T2473" s="441"/>
      <c r="U2473" s="267" t="s">
        <v>5732</v>
      </c>
      <c r="AA2473" s="218"/>
    </row>
    <row r="2474" spans="1:27" x14ac:dyDescent="0.25">
      <c r="A2474" s="419">
        <v>3001871</v>
      </c>
      <c r="B2474" s="421">
        <v>42482</v>
      </c>
      <c r="C2474" s="419" t="s">
        <v>56</v>
      </c>
      <c r="D2474" s="417" t="s">
        <v>5733</v>
      </c>
      <c r="E2474" s="120">
        <v>5000</v>
      </c>
      <c r="F2474" s="133" t="s">
        <v>5734</v>
      </c>
      <c r="G2474" s="434" t="s">
        <v>45</v>
      </c>
      <c r="H2474" s="427">
        <v>8250</v>
      </c>
      <c r="I2474" s="452">
        <v>0</v>
      </c>
      <c r="J2474" s="425">
        <v>0</v>
      </c>
      <c r="K2474" s="425">
        <f t="shared" si="452"/>
        <v>8250</v>
      </c>
      <c r="L2474" s="131">
        <v>840</v>
      </c>
      <c r="M2474" s="468">
        <v>169.21</v>
      </c>
      <c r="N2474" s="91">
        <f t="shared" ref="N2474:N2538" si="460">((L2474)*(E2474*0.001))+M2474</f>
        <v>4369.21</v>
      </c>
      <c r="O2474" s="411">
        <f t="shared" si="453"/>
        <v>3880.79</v>
      </c>
      <c r="P2474" s="132" t="s">
        <v>5735</v>
      </c>
      <c r="Q2474" s="232"/>
      <c r="R2474" s="411"/>
      <c r="T2474" s="439" t="s">
        <v>97</v>
      </c>
      <c r="U2474" s="505">
        <v>3757173663</v>
      </c>
      <c r="V2474" s="133" t="s">
        <v>5736</v>
      </c>
      <c r="AA2474" s="218"/>
    </row>
    <row r="2475" spans="1:27" x14ac:dyDescent="0.25">
      <c r="A2475" s="432"/>
      <c r="B2475" s="433"/>
      <c r="C2475" s="432"/>
      <c r="D2475" s="454"/>
      <c r="E2475" s="120">
        <v>1000</v>
      </c>
      <c r="F2475" s="133" t="s">
        <v>5737</v>
      </c>
      <c r="G2475" s="435"/>
      <c r="H2475" s="438"/>
      <c r="I2475" s="484"/>
      <c r="J2475" s="437"/>
      <c r="K2475" s="437"/>
      <c r="L2475" s="187">
        <v>785</v>
      </c>
      <c r="M2475" s="491"/>
      <c r="N2475" s="91">
        <f t="shared" si="460"/>
        <v>785</v>
      </c>
      <c r="O2475" s="411">
        <f t="shared" si="453"/>
        <v>-785</v>
      </c>
      <c r="P2475" s="132" t="s">
        <v>5735</v>
      </c>
      <c r="Q2475" s="232"/>
      <c r="R2475" s="411"/>
      <c r="T2475" s="440"/>
      <c r="U2475" s="506"/>
      <c r="AA2475" s="218"/>
    </row>
    <row r="2476" spans="1:27" x14ac:dyDescent="0.25">
      <c r="A2476" s="420"/>
      <c r="B2476" s="422"/>
      <c r="C2476" s="420"/>
      <c r="D2476" s="418"/>
      <c r="E2476" s="120">
        <v>3000</v>
      </c>
      <c r="F2476" s="133" t="s">
        <v>5738</v>
      </c>
      <c r="G2476" s="436"/>
      <c r="H2476" s="428"/>
      <c r="I2476" s="453"/>
      <c r="J2476" s="426"/>
      <c r="K2476" s="426"/>
      <c r="L2476" s="131">
        <v>58.3</v>
      </c>
      <c r="M2476" s="469"/>
      <c r="N2476" s="91">
        <f t="shared" si="460"/>
        <v>174.89999999999998</v>
      </c>
      <c r="O2476" s="411">
        <f t="shared" si="453"/>
        <v>-174.89999999999998</v>
      </c>
      <c r="P2476" s="132" t="s">
        <v>5735</v>
      </c>
      <c r="Q2476" s="232"/>
      <c r="R2476" s="411"/>
      <c r="T2476" s="441"/>
      <c r="U2476" s="490"/>
      <c r="AA2476" s="218"/>
    </row>
    <row r="2477" spans="1:27" ht="24" x14ac:dyDescent="0.25">
      <c r="A2477" s="405">
        <v>3001872</v>
      </c>
      <c r="B2477" s="406">
        <v>42485</v>
      </c>
      <c r="C2477" s="405" t="s">
        <v>63</v>
      </c>
      <c r="D2477" s="401" t="s">
        <v>5739</v>
      </c>
      <c r="E2477" s="120">
        <v>210</v>
      </c>
      <c r="F2477" s="133" t="s">
        <v>178</v>
      </c>
      <c r="G2477" s="404" t="s">
        <v>45</v>
      </c>
      <c r="H2477" s="411">
        <v>371.7</v>
      </c>
      <c r="I2477" s="411">
        <v>0</v>
      </c>
      <c r="J2477" s="391">
        <f>-((H2477*0.022)+0.3)</f>
        <v>-8.4773999999999994</v>
      </c>
      <c r="K2477" s="396">
        <f t="shared" si="452"/>
        <v>363.2226</v>
      </c>
      <c r="L2477" s="131">
        <v>1170</v>
      </c>
      <c r="M2477" s="187">
        <v>90.74</v>
      </c>
      <c r="N2477" s="91">
        <f t="shared" si="460"/>
        <v>336.44</v>
      </c>
      <c r="O2477" s="411">
        <f t="shared" si="453"/>
        <v>26.782600000000002</v>
      </c>
      <c r="P2477" s="132" t="s">
        <v>52</v>
      </c>
      <c r="Q2477" s="232"/>
      <c r="R2477" s="411"/>
      <c r="T2477" s="134" t="s">
        <v>145</v>
      </c>
      <c r="U2477" s="267" t="s">
        <v>5740</v>
      </c>
      <c r="AA2477" s="218"/>
    </row>
    <row r="2478" spans="1:27" ht="24" x14ac:dyDescent="0.25">
      <c r="A2478" s="405">
        <v>3001873</v>
      </c>
      <c r="B2478" s="406">
        <v>42485</v>
      </c>
      <c r="C2478" s="405" t="s">
        <v>5682</v>
      </c>
      <c r="D2478" s="401" t="s">
        <v>5741</v>
      </c>
      <c r="E2478" s="120">
        <v>300</v>
      </c>
      <c r="F2478" s="133" t="s">
        <v>292</v>
      </c>
      <c r="G2478" s="404" t="s">
        <v>45</v>
      </c>
      <c r="H2478" s="411">
        <v>231.66</v>
      </c>
      <c r="I2478" s="397">
        <f t="shared" ref="I2478:I2497" si="461">-(H2478*0.09)</f>
        <v>-20.849399999999999</v>
      </c>
      <c r="J2478" s="391">
        <f t="shared" ref="J2478:J2497" si="462">-((H2478*0.019)+0.3)</f>
        <v>-4.7015399999999996</v>
      </c>
      <c r="K2478" s="396">
        <f t="shared" si="452"/>
        <v>206.10906</v>
      </c>
      <c r="L2478" s="131">
        <v>390</v>
      </c>
      <c r="M2478" s="187">
        <v>48.83</v>
      </c>
      <c r="N2478" s="91">
        <f t="shared" si="460"/>
        <v>165.82999999999998</v>
      </c>
      <c r="O2478" s="411">
        <f t="shared" si="453"/>
        <v>40.279060000000015</v>
      </c>
      <c r="P2478" s="132" t="s">
        <v>52</v>
      </c>
      <c r="Q2478" s="232"/>
      <c r="R2478" s="411"/>
      <c r="T2478" s="134" t="s">
        <v>145</v>
      </c>
      <c r="U2478" s="267" t="s">
        <v>5742</v>
      </c>
      <c r="AA2478" s="218"/>
    </row>
    <row r="2479" spans="1:27" ht="24" x14ac:dyDescent="0.25">
      <c r="A2479" s="405">
        <v>3001874</v>
      </c>
      <c r="B2479" s="406">
        <v>42485</v>
      </c>
      <c r="C2479" s="405" t="s">
        <v>5682</v>
      </c>
      <c r="D2479" s="401" t="s">
        <v>5743</v>
      </c>
      <c r="E2479" s="120">
        <v>750</v>
      </c>
      <c r="F2479" s="133" t="s">
        <v>3327</v>
      </c>
      <c r="G2479" s="404" t="s">
        <v>45</v>
      </c>
      <c r="H2479" s="411">
        <v>423.63</v>
      </c>
      <c r="I2479" s="397">
        <f t="shared" si="461"/>
        <v>-38.1267</v>
      </c>
      <c r="J2479" s="391">
        <f t="shared" si="462"/>
        <v>-8.3489699999999996</v>
      </c>
      <c r="K2479" s="396">
        <f t="shared" si="452"/>
        <v>377.15432999999996</v>
      </c>
      <c r="L2479" s="187">
        <v>291.52</v>
      </c>
      <c r="M2479" s="187">
        <v>43.05</v>
      </c>
      <c r="N2479" s="91">
        <f t="shared" si="460"/>
        <v>261.69</v>
      </c>
      <c r="O2479" s="411">
        <f t="shared" si="453"/>
        <v>115.46432999999996</v>
      </c>
      <c r="P2479" s="132" t="s">
        <v>46</v>
      </c>
      <c r="Q2479" s="232"/>
      <c r="R2479" s="411"/>
      <c r="T2479" s="134" t="s">
        <v>145</v>
      </c>
      <c r="U2479" s="267" t="s">
        <v>5744</v>
      </c>
      <c r="AA2479" s="218"/>
    </row>
    <row r="2480" spans="1:27" ht="24" x14ac:dyDescent="0.25">
      <c r="A2480" s="405">
        <v>3001875</v>
      </c>
      <c r="B2480" s="406">
        <v>42485</v>
      </c>
      <c r="C2480" s="405" t="s">
        <v>5682</v>
      </c>
      <c r="D2480" s="401" t="s">
        <v>5745</v>
      </c>
      <c r="E2480" s="120">
        <v>175</v>
      </c>
      <c r="F2480" s="133" t="s">
        <v>51</v>
      </c>
      <c r="G2480" s="404" t="s">
        <v>45</v>
      </c>
      <c r="H2480" s="411">
        <v>439.02</v>
      </c>
      <c r="I2480" s="397">
        <f t="shared" si="461"/>
        <v>-39.511799999999994</v>
      </c>
      <c r="J2480" s="391">
        <f t="shared" si="462"/>
        <v>-8.6413799999999998</v>
      </c>
      <c r="K2480" s="396">
        <f t="shared" si="452"/>
        <v>390.86681999999996</v>
      </c>
      <c r="L2480" s="131">
        <v>1015</v>
      </c>
      <c r="M2480" s="187">
        <v>80.680000000000007</v>
      </c>
      <c r="N2480" s="91">
        <f t="shared" si="460"/>
        <v>258.30500000000006</v>
      </c>
      <c r="O2480" s="411">
        <f t="shared" si="453"/>
        <v>132.5618199999999</v>
      </c>
      <c r="P2480" s="132" t="s">
        <v>52</v>
      </c>
      <c r="Q2480" s="232"/>
      <c r="R2480" s="411"/>
      <c r="T2480" s="134" t="s">
        <v>145</v>
      </c>
      <c r="U2480" s="267" t="s">
        <v>5746</v>
      </c>
      <c r="AA2480" s="218"/>
    </row>
    <row r="2481" spans="1:27" ht="24" x14ac:dyDescent="0.25">
      <c r="A2481" s="405">
        <v>3001876</v>
      </c>
      <c r="B2481" s="406">
        <v>42485</v>
      </c>
      <c r="C2481" s="405" t="s">
        <v>5682</v>
      </c>
      <c r="D2481" s="401" t="s">
        <v>5747</v>
      </c>
      <c r="E2481" s="120">
        <v>210</v>
      </c>
      <c r="F2481" s="133" t="s">
        <v>165</v>
      </c>
      <c r="G2481" s="404" t="s">
        <v>45</v>
      </c>
      <c r="H2481" s="411">
        <v>205.8</v>
      </c>
      <c r="I2481" s="397">
        <f t="shared" si="461"/>
        <v>-18.522000000000002</v>
      </c>
      <c r="J2481" s="391">
        <f t="shared" si="462"/>
        <v>-4.2102000000000004</v>
      </c>
      <c r="K2481" s="396">
        <f t="shared" si="452"/>
        <v>183.06780000000003</v>
      </c>
      <c r="L2481" s="131">
        <v>480</v>
      </c>
      <c r="M2481" s="187">
        <v>26.11</v>
      </c>
      <c r="N2481" s="91">
        <f t="shared" si="460"/>
        <v>126.91</v>
      </c>
      <c r="O2481" s="411">
        <f t="shared" si="453"/>
        <v>56.157800000000037</v>
      </c>
      <c r="P2481" s="132" t="s">
        <v>52</v>
      </c>
      <c r="Q2481" s="232"/>
      <c r="R2481" s="411"/>
      <c r="T2481" s="134" t="s">
        <v>145</v>
      </c>
      <c r="U2481" s="267" t="s">
        <v>5748</v>
      </c>
      <c r="AA2481" s="218"/>
    </row>
    <row r="2482" spans="1:27" ht="24" x14ac:dyDescent="0.25">
      <c r="A2482" s="405">
        <v>3001877</v>
      </c>
      <c r="B2482" s="406">
        <v>42485</v>
      </c>
      <c r="C2482" s="405" t="s">
        <v>5682</v>
      </c>
      <c r="D2482" s="401" t="s">
        <v>5749</v>
      </c>
      <c r="E2482" s="120">
        <v>16</v>
      </c>
      <c r="F2482" s="133" t="s">
        <v>51</v>
      </c>
      <c r="G2482" s="404" t="s">
        <v>45</v>
      </c>
      <c r="H2482" s="411">
        <v>29.6</v>
      </c>
      <c r="I2482" s="397">
        <f t="shared" si="461"/>
        <v>-2.6640000000000001</v>
      </c>
      <c r="J2482" s="391">
        <f t="shared" si="462"/>
        <v>-0.86240000000000006</v>
      </c>
      <c r="K2482" s="396">
        <f t="shared" si="452"/>
        <v>26.073599999999999</v>
      </c>
      <c r="L2482" s="131">
        <v>1015</v>
      </c>
      <c r="M2482" s="187">
        <v>32.08</v>
      </c>
      <c r="N2482" s="91">
        <f t="shared" si="460"/>
        <v>48.32</v>
      </c>
      <c r="O2482" s="411">
        <f t="shared" si="453"/>
        <v>-22.246400000000001</v>
      </c>
      <c r="P2482" s="132" t="s">
        <v>52</v>
      </c>
      <c r="Q2482" s="232"/>
      <c r="R2482" s="411"/>
      <c r="T2482" s="134" t="s">
        <v>145</v>
      </c>
      <c r="U2482" s="267" t="s">
        <v>5750</v>
      </c>
      <c r="AA2482" s="218"/>
    </row>
    <row r="2483" spans="1:27" ht="24" x14ac:dyDescent="0.25">
      <c r="A2483" s="405">
        <v>3001878</v>
      </c>
      <c r="B2483" s="406">
        <v>42485</v>
      </c>
      <c r="C2483" s="405" t="s">
        <v>5682</v>
      </c>
      <c r="D2483" s="401" t="s">
        <v>1786</v>
      </c>
      <c r="E2483" s="120">
        <v>250</v>
      </c>
      <c r="F2483" s="133" t="s">
        <v>3327</v>
      </c>
      <c r="G2483" s="404" t="s">
        <v>45</v>
      </c>
      <c r="H2483" s="411">
        <v>129.55000000000001</v>
      </c>
      <c r="I2483" s="397">
        <f t="shared" si="461"/>
        <v>-11.659500000000001</v>
      </c>
      <c r="J2483" s="391">
        <f t="shared" si="462"/>
        <v>-2.76145</v>
      </c>
      <c r="K2483" s="396">
        <f t="shared" si="452"/>
        <v>115.12905000000001</v>
      </c>
      <c r="L2483" s="187">
        <v>291.52</v>
      </c>
      <c r="M2483" s="187">
        <v>12.32</v>
      </c>
      <c r="N2483" s="91">
        <f t="shared" si="460"/>
        <v>85.199999999999989</v>
      </c>
      <c r="O2483" s="411">
        <f t="shared" si="453"/>
        <v>29.929050000000018</v>
      </c>
      <c r="P2483" s="132" t="s">
        <v>46</v>
      </c>
      <c r="Q2483" s="232"/>
      <c r="R2483" s="411"/>
      <c r="T2483" s="134" t="s">
        <v>145</v>
      </c>
      <c r="U2483" s="267" t="s">
        <v>5751</v>
      </c>
      <c r="AA2483" s="218"/>
    </row>
    <row r="2484" spans="1:27" ht="24" x14ac:dyDescent="0.25">
      <c r="A2484" s="405">
        <v>3001879</v>
      </c>
      <c r="B2484" s="406">
        <v>42485</v>
      </c>
      <c r="C2484" s="405" t="s">
        <v>5682</v>
      </c>
      <c r="D2484" s="401" t="s">
        <v>5752</v>
      </c>
      <c r="E2484" s="120">
        <v>100</v>
      </c>
      <c r="F2484" s="133" t="s">
        <v>217</v>
      </c>
      <c r="G2484" s="404" t="s">
        <v>45</v>
      </c>
      <c r="H2484" s="411">
        <v>235</v>
      </c>
      <c r="I2484" s="397">
        <f t="shared" si="461"/>
        <v>-21.15</v>
      </c>
      <c r="J2484" s="391">
        <f t="shared" si="462"/>
        <v>-4.7649999999999997</v>
      </c>
      <c r="K2484" s="396">
        <f t="shared" si="452"/>
        <v>209.08500000000001</v>
      </c>
      <c r="L2484" s="131">
        <v>1322</v>
      </c>
      <c r="M2484" s="187">
        <v>20.62</v>
      </c>
      <c r="N2484" s="91">
        <f t="shared" si="460"/>
        <v>152.82000000000002</v>
      </c>
      <c r="O2484" s="411">
        <f t="shared" si="453"/>
        <v>56.264999999999986</v>
      </c>
      <c r="P2484" s="132" t="s">
        <v>52</v>
      </c>
      <c r="Q2484" s="232"/>
      <c r="R2484" s="411"/>
      <c r="T2484" s="134" t="s">
        <v>145</v>
      </c>
      <c r="U2484" s="267" t="s">
        <v>5753</v>
      </c>
      <c r="AA2484" s="218"/>
    </row>
    <row r="2485" spans="1:27" ht="24" x14ac:dyDescent="0.25">
      <c r="A2485" s="405">
        <v>3001880</v>
      </c>
      <c r="B2485" s="406">
        <v>42485</v>
      </c>
      <c r="C2485" s="405" t="s">
        <v>5682</v>
      </c>
      <c r="D2485" s="401" t="s">
        <v>5754</v>
      </c>
      <c r="E2485" s="120">
        <v>100</v>
      </c>
      <c r="F2485" s="133" t="s">
        <v>247</v>
      </c>
      <c r="G2485" s="404" t="s">
        <v>45</v>
      </c>
      <c r="H2485" s="411">
        <v>123.4</v>
      </c>
      <c r="I2485" s="397">
        <f t="shared" si="461"/>
        <v>-11.106</v>
      </c>
      <c r="J2485" s="391">
        <f t="shared" si="462"/>
        <v>-2.6446000000000001</v>
      </c>
      <c r="K2485" s="396">
        <f t="shared" si="452"/>
        <v>109.64940000000001</v>
      </c>
      <c r="L2485" s="131">
        <v>610</v>
      </c>
      <c r="M2485" s="187">
        <v>37.28</v>
      </c>
      <c r="N2485" s="91">
        <f t="shared" si="460"/>
        <v>98.28</v>
      </c>
      <c r="O2485" s="411">
        <f t="shared" si="453"/>
        <v>11.369400000000013</v>
      </c>
      <c r="P2485" s="132" t="s">
        <v>52</v>
      </c>
      <c r="Q2485" s="232"/>
      <c r="R2485" s="411"/>
      <c r="T2485" s="134" t="s">
        <v>145</v>
      </c>
      <c r="U2485" s="267" t="s">
        <v>5755</v>
      </c>
      <c r="AA2485" s="218"/>
    </row>
    <row r="2486" spans="1:27" ht="24" x14ac:dyDescent="0.25">
      <c r="A2486" s="405">
        <v>3001881</v>
      </c>
      <c r="B2486" s="406">
        <v>42485</v>
      </c>
      <c r="C2486" s="405" t="s">
        <v>5682</v>
      </c>
      <c r="D2486" s="401" t="s">
        <v>5756</v>
      </c>
      <c r="E2486" s="120">
        <v>100</v>
      </c>
      <c r="F2486" s="133" t="s">
        <v>176</v>
      </c>
      <c r="G2486" s="404" t="s">
        <v>45</v>
      </c>
      <c r="H2486" s="411">
        <v>325.85000000000002</v>
      </c>
      <c r="I2486" s="397">
        <f t="shared" si="461"/>
        <v>-29.326499999999999</v>
      </c>
      <c r="J2486" s="391">
        <f t="shared" si="462"/>
        <v>-6.4911500000000002</v>
      </c>
      <c r="K2486" s="396">
        <f t="shared" si="452"/>
        <v>290.03235000000001</v>
      </c>
      <c r="L2486" s="131">
        <v>1693</v>
      </c>
      <c r="M2486" s="187">
        <v>60.47</v>
      </c>
      <c r="N2486" s="91">
        <f t="shared" si="460"/>
        <v>229.77</v>
      </c>
      <c r="O2486" s="411">
        <f t="shared" si="453"/>
        <v>60.262349999999998</v>
      </c>
      <c r="P2486" s="132" t="s">
        <v>52</v>
      </c>
      <c r="Q2486" s="232"/>
      <c r="R2486" s="411"/>
      <c r="T2486" s="134" t="s">
        <v>145</v>
      </c>
      <c r="U2486" s="267" t="s">
        <v>5757</v>
      </c>
      <c r="AA2486" s="218"/>
    </row>
    <row r="2487" spans="1:27" ht="24" x14ac:dyDescent="0.25">
      <c r="A2487" s="405">
        <v>3001882</v>
      </c>
      <c r="B2487" s="406">
        <v>42485</v>
      </c>
      <c r="C2487" s="405" t="s">
        <v>5682</v>
      </c>
      <c r="D2487" s="401" t="s">
        <v>5758</v>
      </c>
      <c r="E2487" s="120">
        <v>100</v>
      </c>
      <c r="F2487" s="133" t="s">
        <v>217</v>
      </c>
      <c r="G2487" s="404" t="s">
        <v>45</v>
      </c>
      <c r="H2487" s="411">
        <v>235</v>
      </c>
      <c r="I2487" s="397">
        <f t="shared" si="461"/>
        <v>-21.15</v>
      </c>
      <c r="J2487" s="391">
        <f t="shared" si="462"/>
        <v>-4.7649999999999997</v>
      </c>
      <c r="K2487" s="396">
        <f t="shared" si="452"/>
        <v>209.08500000000001</v>
      </c>
      <c r="L2487" s="131">
        <v>1322</v>
      </c>
      <c r="M2487" s="187">
        <v>45.54</v>
      </c>
      <c r="N2487" s="91">
        <f t="shared" si="460"/>
        <v>177.74</v>
      </c>
      <c r="O2487" s="411">
        <f t="shared" si="453"/>
        <v>31.344999999999999</v>
      </c>
      <c r="P2487" s="132" t="s">
        <v>52</v>
      </c>
      <c r="Q2487" s="232"/>
      <c r="R2487" s="411"/>
      <c r="T2487" s="134" t="s">
        <v>145</v>
      </c>
      <c r="U2487" s="267" t="s">
        <v>5759</v>
      </c>
      <c r="AA2487" s="218"/>
    </row>
    <row r="2488" spans="1:27" ht="24" x14ac:dyDescent="0.25">
      <c r="A2488" s="405">
        <v>3001883</v>
      </c>
      <c r="B2488" s="406">
        <v>42485</v>
      </c>
      <c r="C2488" s="405" t="s">
        <v>5682</v>
      </c>
      <c r="D2488" s="401" t="s">
        <v>5760</v>
      </c>
      <c r="E2488" s="120">
        <v>150</v>
      </c>
      <c r="F2488" s="133" t="s">
        <v>829</v>
      </c>
      <c r="G2488" s="404" t="s">
        <v>45</v>
      </c>
      <c r="H2488" s="411">
        <v>158.03</v>
      </c>
      <c r="I2488" s="397">
        <f t="shared" si="461"/>
        <v>-14.2227</v>
      </c>
      <c r="J2488" s="391">
        <f t="shared" si="462"/>
        <v>-3.3025699999999998</v>
      </c>
      <c r="K2488" s="396">
        <f t="shared" si="452"/>
        <v>140.50473</v>
      </c>
      <c r="L2488" s="131">
        <v>510</v>
      </c>
      <c r="M2488" s="187">
        <v>23.65</v>
      </c>
      <c r="N2488" s="91">
        <f t="shared" si="460"/>
        <v>100.15</v>
      </c>
      <c r="O2488" s="411">
        <f t="shared" si="453"/>
        <v>40.354729999999989</v>
      </c>
      <c r="P2488" s="132" t="s">
        <v>52</v>
      </c>
      <c r="Q2488" s="232"/>
      <c r="R2488" s="411"/>
      <c r="T2488" s="134" t="s">
        <v>145</v>
      </c>
      <c r="U2488" s="267" t="s">
        <v>5761</v>
      </c>
      <c r="AA2488" s="218"/>
    </row>
    <row r="2489" spans="1:27" ht="24" x14ac:dyDescent="0.25">
      <c r="A2489" s="405">
        <v>3001884</v>
      </c>
      <c r="B2489" s="406">
        <v>42485</v>
      </c>
      <c r="C2489" s="405" t="s">
        <v>5682</v>
      </c>
      <c r="D2489" s="401" t="s">
        <v>5762</v>
      </c>
      <c r="E2489" s="120">
        <v>375</v>
      </c>
      <c r="F2489" s="133" t="s">
        <v>1547</v>
      </c>
      <c r="G2489" s="404" t="s">
        <v>45</v>
      </c>
      <c r="H2489" s="411">
        <v>375.55</v>
      </c>
      <c r="I2489" s="397">
        <f t="shared" si="461"/>
        <v>-33.799500000000002</v>
      </c>
      <c r="J2489" s="391">
        <f t="shared" si="462"/>
        <v>-7.4354499999999994</v>
      </c>
      <c r="K2489" s="396">
        <f t="shared" si="452"/>
        <v>334.31504999999999</v>
      </c>
      <c r="L2489" s="131">
        <v>385</v>
      </c>
      <c r="M2489" s="187">
        <v>63.77</v>
      </c>
      <c r="N2489" s="91">
        <f t="shared" si="460"/>
        <v>208.14500000000001</v>
      </c>
      <c r="O2489" s="411">
        <f t="shared" si="453"/>
        <v>126.17004999999997</v>
      </c>
      <c r="P2489" s="132" t="s">
        <v>52</v>
      </c>
      <c r="Q2489" s="232"/>
      <c r="R2489" s="411"/>
      <c r="T2489" s="134" t="s">
        <v>145</v>
      </c>
      <c r="U2489" s="267" t="s">
        <v>5763</v>
      </c>
      <c r="AA2489" s="218"/>
    </row>
    <row r="2490" spans="1:27" ht="24" x14ac:dyDescent="0.25">
      <c r="A2490" s="405">
        <v>3001885</v>
      </c>
      <c r="B2490" s="406">
        <v>42485</v>
      </c>
      <c r="C2490" s="405" t="s">
        <v>5682</v>
      </c>
      <c r="D2490" s="401" t="s">
        <v>5764</v>
      </c>
      <c r="E2490" s="120">
        <v>100</v>
      </c>
      <c r="F2490" s="133" t="s">
        <v>247</v>
      </c>
      <c r="G2490" s="404" t="s">
        <v>45</v>
      </c>
      <c r="H2490" s="411">
        <v>123.4</v>
      </c>
      <c r="I2490" s="397">
        <f t="shared" si="461"/>
        <v>-11.106</v>
      </c>
      <c r="J2490" s="391">
        <f t="shared" si="462"/>
        <v>-2.6446000000000001</v>
      </c>
      <c r="K2490" s="396">
        <f t="shared" si="452"/>
        <v>109.64940000000001</v>
      </c>
      <c r="L2490" s="131">
        <v>610</v>
      </c>
      <c r="M2490" s="187">
        <v>29.64</v>
      </c>
      <c r="N2490" s="91">
        <f t="shared" si="460"/>
        <v>90.64</v>
      </c>
      <c r="O2490" s="411">
        <f t="shared" si="453"/>
        <v>19.009400000000014</v>
      </c>
      <c r="P2490" s="132" t="s">
        <v>52</v>
      </c>
      <c r="Q2490" s="232"/>
      <c r="R2490" s="411"/>
      <c r="T2490" s="134" t="s">
        <v>145</v>
      </c>
      <c r="U2490" s="267" t="s">
        <v>5765</v>
      </c>
      <c r="AA2490" s="218"/>
    </row>
    <row r="2491" spans="1:27" ht="24" x14ac:dyDescent="0.25">
      <c r="A2491" s="405">
        <v>3001886</v>
      </c>
      <c r="B2491" s="406">
        <v>42485</v>
      </c>
      <c r="C2491" s="405" t="s">
        <v>5682</v>
      </c>
      <c r="D2491" s="401" t="s">
        <v>5766</v>
      </c>
      <c r="E2491" s="120">
        <v>100</v>
      </c>
      <c r="F2491" s="133" t="s">
        <v>217</v>
      </c>
      <c r="G2491" s="404" t="s">
        <v>45</v>
      </c>
      <c r="H2491" s="411">
        <v>235</v>
      </c>
      <c r="I2491" s="397">
        <f t="shared" si="461"/>
        <v>-21.15</v>
      </c>
      <c r="J2491" s="391">
        <f t="shared" si="462"/>
        <v>-4.7649999999999997</v>
      </c>
      <c r="K2491" s="396">
        <f t="shared" si="452"/>
        <v>209.08500000000001</v>
      </c>
      <c r="L2491" s="131">
        <v>1322</v>
      </c>
      <c r="M2491" s="187">
        <v>60.15</v>
      </c>
      <c r="N2491" s="91">
        <f t="shared" si="460"/>
        <v>192.35000000000002</v>
      </c>
      <c r="O2491" s="411">
        <f t="shared" si="453"/>
        <v>16.734999999999985</v>
      </c>
      <c r="P2491" s="132" t="s">
        <v>52</v>
      </c>
      <c r="Q2491" s="232"/>
      <c r="R2491" s="411"/>
      <c r="T2491" s="134" t="s">
        <v>145</v>
      </c>
      <c r="U2491" s="267" t="s">
        <v>5767</v>
      </c>
      <c r="AA2491" s="218"/>
    </row>
    <row r="2492" spans="1:27" ht="24" x14ac:dyDescent="0.25">
      <c r="A2492" s="405">
        <v>3001887</v>
      </c>
      <c r="B2492" s="406">
        <v>42485</v>
      </c>
      <c r="C2492" s="405" t="s">
        <v>5682</v>
      </c>
      <c r="D2492" s="401" t="s">
        <v>5768</v>
      </c>
      <c r="E2492" s="120">
        <v>250</v>
      </c>
      <c r="F2492" s="133" t="s">
        <v>2435</v>
      </c>
      <c r="G2492" s="404" t="s">
        <v>45</v>
      </c>
      <c r="H2492" s="411">
        <v>550</v>
      </c>
      <c r="I2492" s="397">
        <f t="shared" si="461"/>
        <v>-49.5</v>
      </c>
      <c r="J2492" s="391">
        <f t="shared" si="462"/>
        <v>-10.75</v>
      </c>
      <c r="K2492" s="396">
        <f t="shared" si="452"/>
        <v>489.75</v>
      </c>
      <c r="L2492" s="187">
        <v>1320</v>
      </c>
      <c r="M2492" s="187">
        <v>57.21</v>
      </c>
      <c r="N2492" s="91">
        <f t="shared" si="460"/>
        <v>387.21</v>
      </c>
      <c r="O2492" s="411">
        <f t="shared" si="453"/>
        <v>102.54000000000002</v>
      </c>
      <c r="P2492" s="132" t="s">
        <v>235</v>
      </c>
      <c r="Q2492" s="232"/>
      <c r="R2492" s="411"/>
      <c r="T2492" s="134" t="s">
        <v>145</v>
      </c>
      <c r="U2492" s="267" t="s">
        <v>5769</v>
      </c>
      <c r="AA2492" s="218"/>
    </row>
    <row r="2493" spans="1:27" ht="24" x14ac:dyDescent="0.25">
      <c r="A2493" s="405">
        <v>3001888</v>
      </c>
      <c r="B2493" s="406">
        <v>42485</v>
      </c>
      <c r="C2493" s="405" t="s">
        <v>5682</v>
      </c>
      <c r="D2493" s="401" t="s">
        <v>5770</v>
      </c>
      <c r="E2493" s="120">
        <v>100</v>
      </c>
      <c r="F2493" s="133" t="s">
        <v>4063</v>
      </c>
      <c r="G2493" s="404" t="s">
        <v>45</v>
      </c>
      <c r="H2493" s="411">
        <v>259.38</v>
      </c>
      <c r="I2493" s="397">
        <f t="shared" si="461"/>
        <v>-23.344199999999997</v>
      </c>
      <c r="J2493" s="391">
        <f t="shared" si="462"/>
        <v>-5.2282199999999994</v>
      </c>
      <c r="K2493" s="396">
        <f t="shared" si="452"/>
        <v>230.80758</v>
      </c>
      <c r="L2493" s="131">
        <v>1237</v>
      </c>
      <c r="M2493" s="187">
        <v>36.869999999999997</v>
      </c>
      <c r="N2493" s="91">
        <f t="shared" si="460"/>
        <v>160.57</v>
      </c>
      <c r="O2493" s="411">
        <f t="shared" si="453"/>
        <v>70.237580000000008</v>
      </c>
      <c r="P2493" s="132" t="s">
        <v>52</v>
      </c>
      <c r="Q2493" s="232"/>
      <c r="R2493" s="411"/>
      <c r="T2493" s="134" t="s">
        <v>145</v>
      </c>
      <c r="U2493" s="267" t="s">
        <v>5771</v>
      </c>
      <c r="AA2493" s="218"/>
    </row>
    <row r="2494" spans="1:27" ht="24" x14ac:dyDescent="0.25">
      <c r="A2494" s="405">
        <v>3001889</v>
      </c>
      <c r="B2494" s="406">
        <v>42485</v>
      </c>
      <c r="C2494" s="405" t="s">
        <v>5682</v>
      </c>
      <c r="D2494" s="401" t="s">
        <v>5772</v>
      </c>
      <c r="E2494" s="120">
        <v>125</v>
      </c>
      <c r="F2494" s="133" t="s">
        <v>877</v>
      </c>
      <c r="G2494" s="404" t="s">
        <v>45</v>
      </c>
      <c r="H2494" s="411">
        <v>125.08</v>
      </c>
      <c r="I2494" s="397">
        <f t="shared" si="461"/>
        <v>-11.257199999999999</v>
      </c>
      <c r="J2494" s="391">
        <f t="shared" si="462"/>
        <v>-2.6765199999999996</v>
      </c>
      <c r="K2494" s="396">
        <f t="shared" si="452"/>
        <v>111.14628</v>
      </c>
      <c r="L2494" s="131">
        <v>235</v>
      </c>
      <c r="M2494" s="187">
        <v>28.48</v>
      </c>
      <c r="N2494" s="91">
        <f t="shared" si="460"/>
        <v>57.855000000000004</v>
      </c>
      <c r="O2494" s="411">
        <f t="shared" si="453"/>
        <v>53.29128</v>
      </c>
      <c r="P2494" s="132" t="s">
        <v>52</v>
      </c>
      <c r="Q2494" s="232"/>
      <c r="R2494" s="411"/>
      <c r="T2494" s="134" t="s">
        <v>145</v>
      </c>
      <c r="U2494" s="267" t="s">
        <v>5773</v>
      </c>
      <c r="AA2494" s="218"/>
    </row>
    <row r="2495" spans="1:27" ht="24" x14ac:dyDescent="0.25">
      <c r="A2495" s="405">
        <v>3001890</v>
      </c>
      <c r="B2495" s="406">
        <v>42485</v>
      </c>
      <c r="C2495" s="405" t="s">
        <v>5682</v>
      </c>
      <c r="D2495" s="401" t="s">
        <v>5774</v>
      </c>
      <c r="E2495" s="120">
        <v>250</v>
      </c>
      <c r="F2495" s="133" t="s">
        <v>1293</v>
      </c>
      <c r="G2495" s="404" t="s">
        <v>45</v>
      </c>
      <c r="H2495" s="411">
        <v>269.8</v>
      </c>
      <c r="I2495" s="397">
        <f t="shared" si="461"/>
        <v>-24.282</v>
      </c>
      <c r="J2495" s="391">
        <f t="shared" si="462"/>
        <v>-5.4261999999999997</v>
      </c>
      <c r="K2495" s="396">
        <f t="shared" si="452"/>
        <v>240.09180000000001</v>
      </c>
      <c r="L2495" s="131">
        <v>523</v>
      </c>
      <c r="M2495" s="187">
        <v>19.05</v>
      </c>
      <c r="N2495" s="91">
        <f t="shared" si="460"/>
        <v>149.80000000000001</v>
      </c>
      <c r="O2495" s="411">
        <f t="shared" si="453"/>
        <v>90.291799999999995</v>
      </c>
      <c r="P2495" s="132" t="s">
        <v>52</v>
      </c>
      <c r="Q2495" s="232"/>
      <c r="R2495" s="411"/>
      <c r="T2495" s="134" t="s">
        <v>145</v>
      </c>
      <c r="U2495" s="267" t="s">
        <v>5775</v>
      </c>
      <c r="AA2495" s="218"/>
    </row>
    <row r="2496" spans="1:27" ht="24" x14ac:dyDescent="0.25">
      <c r="A2496" s="405">
        <v>3001891</v>
      </c>
      <c r="B2496" s="406">
        <v>42485</v>
      </c>
      <c r="C2496" s="405" t="s">
        <v>5682</v>
      </c>
      <c r="D2496" s="401" t="s">
        <v>5776</v>
      </c>
      <c r="E2496" s="120">
        <v>250</v>
      </c>
      <c r="F2496" s="133" t="s">
        <v>2238</v>
      </c>
      <c r="G2496" s="404" t="s">
        <v>45</v>
      </c>
      <c r="H2496" s="411">
        <v>123.5</v>
      </c>
      <c r="I2496" s="397">
        <f t="shared" si="461"/>
        <v>-11.115</v>
      </c>
      <c r="J2496" s="391">
        <f t="shared" si="462"/>
        <v>-2.6464999999999996</v>
      </c>
      <c r="K2496" s="396">
        <f t="shared" si="452"/>
        <v>109.7385</v>
      </c>
      <c r="L2496" s="131">
        <v>200</v>
      </c>
      <c r="M2496" s="187">
        <v>34.86</v>
      </c>
      <c r="N2496" s="91">
        <f t="shared" si="460"/>
        <v>84.86</v>
      </c>
      <c r="O2496" s="411">
        <f t="shared" si="453"/>
        <v>24.878500000000003</v>
      </c>
      <c r="P2496" s="132" t="s">
        <v>52</v>
      </c>
      <c r="Q2496" s="232"/>
      <c r="R2496" s="411"/>
      <c r="T2496" s="134" t="s">
        <v>145</v>
      </c>
      <c r="U2496" s="267" t="s">
        <v>5777</v>
      </c>
      <c r="AA2496" s="218"/>
    </row>
    <row r="2497" spans="1:27" ht="24" x14ac:dyDescent="0.25">
      <c r="A2497" s="405">
        <v>3001892</v>
      </c>
      <c r="B2497" s="406">
        <v>42485</v>
      </c>
      <c r="C2497" s="405" t="s">
        <v>5682</v>
      </c>
      <c r="D2497" s="401" t="s">
        <v>5778</v>
      </c>
      <c r="E2497" s="120">
        <v>375</v>
      </c>
      <c r="F2497" s="133" t="s">
        <v>247</v>
      </c>
      <c r="G2497" s="404" t="s">
        <v>45</v>
      </c>
      <c r="H2497" s="411">
        <v>439.57</v>
      </c>
      <c r="I2497" s="397">
        <f t="shared" si="461"/>
        <v>-39.561299999999996</v>
      </c>
      <c r="J2497" s="391">
        <f t="shared" si="462"/>
        <v>-8.6518300000000004</v>
      </c>
      <c r="K2497" s="396">
        <f t="shared" si="452"/>
        <v>391.35686999999996</v>
      </c>
      <c r="L2497" s="131">
        <v>610</v>
      </c>
      <c r="M2497" s="187">
        <v>64.97</v>
      </c>
      <c r="N2497" s="91">
        <f t="shared" si="460"/>
        <v>293.72000000000003</v>
      </c>
      <c r="O2497" s="411">
        <f t="shared" si="453"/>
        <v>97.636869999999931</v>
      </c>
      <c r="P2497" s="132" t="s">
        <v>52</v>
      </c>
      <c r="Q2497" s="232"/>
      <c r="R2497" s="411"/>
      <c r="T2497" s="134" t="s">
        <v>145</v>
      </c>
      <c r="U2497" s="267" t="s">
        <v>5779</v>
      </c>
      <c r="AA2497" s="218"/>
    </row>
    <row r="2498" spans="1:27" ht="24" x14ac:dyDescent="0.25">
      <c r="A2498" s="405">
        <v>3001893</v>
      </c>
      <c r="B2498" s="406">
        <v>42485</v>
      </c>
      <c r="C2498" s="405" t="s">
        <v>237</v>
      </c>
      <c r="D2498" s="401" t="s">
        <v>5159</v>
      </c>
      <c r="E2498" s="120">
        <v>100</v>
      </c>
      <c r="F2498" s="133" t="s">
        <v>217</v>
      </c>
      <c r="G2498" s="404" t="s">
        <v>45</v>
      </c>
      <c r="H2498" s="411">
        <v>327.61</v>
      </c>
      <c r="I2498" s="397">
        <f t="shared" ref="I2498:I2500" si="463">-(H2498*0.15)</f>
        <v>-49.141500000000001</v>
      </c>
      <c r="J2498" s="411">
        <v>0</v>
      </c>
      <c r="K2498" s="396">
        <f t="shared" si="452"/>
        <v>278.46850000000001</v>
      </c>
      <c r="L2498" s="131">
        <v>1322</v>
      </c>
      <c r="M2498" s="187">
        <v>85.03</v>
      </c>
      <c r="N2498" s="91">
        <f t="shared" si="460"/>
        <v>217.23000000000002</v>
      </c>
      <c r="O2498" s="411">
        <f t="shared" si="453"/>
        <v>61.238499999999988</v>
      </c>
      <c r="P2498" s="132" t="s">
        <v>52</v>
      </c>
      <c r="Q2498" s="232"/>
      <c r="R2498" s="411"/>
      <c r="T2498" s="134" t="s">
        <v>145</v>
      </c>
      <c r="U2498" s="267" t="s">
        <v>5780</v>
      </c>
      <c r="AA2498" s="218"/>
    </row>
    <row r="2499" spans="1:27" x14ac:dyDescent="0.25">
      <c r="A2499" s="405">
        <v>3001894</v>
      </c>
      <c r="B2499" s="406">
        <v>42485</v>
      </c>
      <c r="C2499" s="405" t="s">
        <v>237</v>
      </c>
      <c r="D2499" s="401" t="s">
        <v>5781</v>
      </c>
      <c r="E2499" s="120">
        <v>1000</v>
      </c>
      <c r="F2499" s="133" t="s">
        <v>210</v>
      </c>
      <c r="G2499" s="404" t="s">
        <v>45</v>
      </c>
      <c r="H2499" s="411">
        <v>840.72</v>
      </c>
      <c r="I2499" s="397">
        <f t="shared" si="463"/>
        <v>-126.108</v>
      </c>
      <c r="J2499" s="411">
        <v>0</v>
      </c>
      <c r="K2499" s="396">
        <f t="shared" si="452"/>
        <v>714.61200000000008</v>
      </c>
      <c r="L2499" s="187">
        <v>670</v>
      </c>
      <c r="N2499" s="91">
        <f t="shared" si="460"/>
        <v>670</v>
      </c>
      <c r="O2499" s="411">
        <f t="shared" si="453"/>
        <v>44.61200000000008</v>
      </c>
      <c r="P2499" s="132" t="s">
        <v>235</v>
      </c>
      <c r="Q2499" s="232"/>
      <c r="R2499" s="411"/>
      <c r="T2499" s="134" t="s">
        <v>3409</v>
      </c>
      <c r="U2499" s="267" t="s">
        <v>5782</v>
      </c>
      <c r="AA2499" s="218"/>
    </row>
    <row r="2500" spans="1:27" ht="24" x14ac:dyDescent="0.25">
      <c r="A2500" s="405">
        <v>3001895</v>
      </c>
      <c r="B2500" s="406">
        <v>42485</v>
      </c>
      <c r="C2500" s="405" t="s">
        <v>237</v>
      </c>
      <c r="D2500" s="401" t="s">
        <v>5783</v>
      </c>
      <c r="E2500" s="120">
        <v>30</v>
      </c>
      <c r="F2500" s="133" t="s">
        <v>217</v>
      </c>
      <c r="G2500" s="404" t="s">
        <v>45</v>
      </c>
      <c r="H2500" s="411">
        <v>114.26</v>
      </c>
      <c r="I2500" s="397">
        <f t="shared" si="463"/>
        <v>-17.138999999999999</v>
      </c>
      <c r="J2500" s="411">
        <v>0</v>
      </c>
      <c r="K2500" s="396">
        <f t="shared" si="452"/>
        <v>97.121000000000009</v>
      </c>
      <c r="L2500" s="131">
        <v>1322</v>
      </c>
      <c r="M2500" s="187">
        <v>39.78</v>
      </c>
      <c r="N2500" s="91">
        <f t="shared" si="460"/>
        <v>79.44</v>
      </c>
      <c r="O2500" s="411">
        <f t="shared" si="453"/>
        <v>17.681000000000012</v>
      </c>
      <c r="P2500" s="132" t="s">
        <v>52</v>
      </c>
      <c r="Q2500" s="232"/>
      <c r="R2500" s="411"/>
      <c r="T2500" s="134" t="s">
        <v>145</v>
      </c>
      <c r="U2500" s="267" t="s">
        <v>5784</v>
      </c>
      <c r="AA2500" s="218"/>
    </row>
    <row r="2501" spans="1:27" x14ac:dyDescent="0.25">
      <c r="A2501" s="405">
        <v>3001896</v>
      </c>
      <c r="B2501" s="406">
        <v>42485</v>
      </c>
      <c r="C2501" s="405" t="s">
        <v>63</v>
      </c>
      <c r="D2501" s="401" t="s">
        <v>5785</v>
      </c>
      <c r="E2501" s="120">
        <v>3000</v>
      </c>
      <c r="F2501" s="133" t="s">
        <v>5786</v>
      </c>
      <c r="G2501" s="404" t="s">
        <v>45</v>
      </c>
      <c r="H2501" s="411">
        <v>2250</v>
      </c>
      <c r="I2501" s="411">
        <v>0</v>
      </c>
      <c r="J2501" s="391">
        <f>-((H2501*0.022)+0.3)</f>
        <v>-49.8</v>
      </c>
      <c r="K2501" s="396">
        <f t="shared" si="452"/>
        <v>2200.1999999999998</v>
      </c>
      <c r="L2501" s="187">
        <v>534</v>
      </c>
      <c r="M2501" s="187">
        <v>105</v>
      </c>
      <c r="N2501" s="91">
        <f t="shared" si="460"/>
        <v>1707</v>
      </c>
      <c r="O2501" s="411">
        <f t="shared" si="453"/>
        <v>493.19999999999982</v>
      </c>
      <c r="P2501" s="132" t="s">
        <v>183</v>
      </c>
      <c r="Q2501" s="232"/>
      <c r="R2501" s="411"/>
      <c r="T2501" s="134" t="s">
        <v>331</v>
      </c>
      <c r="U2501" s="266" t="s">
        <v>5787</v>
      </c>
      <c r="W2501" s="153" t="s">
        <v>5788</v>
      </c>
      <c r="AA2501" s="218">
        <v>10</v>
      </c>
    </row>
    <row r="2502" spans="1:27" ht="24" x14ac:dyDescent="0.25">
      <c r="A2502" s="405">
        <v>3001897</v>
      </c>
      <c r="B2502" s="406">
        <v>42485</v>
      </c>
      <c r="C2502" s="405" t="s">
        <v>141</v>
      </c>
      <c r="D2502" s="401" t="s">
        <v>5789</v>
      </c>
      <c r="E2502" s="120">
        <v>10</v>
      </c>
      <c r="F2502" s="133" t="s">
        <v>5790</v>
      </c>
      <c r="G2502" s="404" t="s">
        <v>45</v>
      </c>
      <c r="H2502" s="411">
        <v>48</v>
      </c>
      <c r="I2502" s="411">
        <v>0</v>
      </c>
      <c r="J2502" s="391">
        <f>-((H2502*0.0325)+0.3)</f>
        <v>-1.86</v>
      </c>
      <c r="K2502" s="396">
        <f t="shared" si="452"/>
        <v>46.14</v>
      </c>
      <c r="M2502" s="187">
        <v>12.73</v>
      </c>
      <c r="N2502" s="91">
        <f t="shared" si="460"/>
        <v>12.73</v>
      </c>
      <c r="O2502" s="411">
        <f t="shared" si="453"/>
        <v>33.409999999999997</v>
      </c>
      <c r="P2502" s="132" t="s">
        <v>52</v>
      </c>
      <c r="Q2502" s="232"/>
      <c r="R2502" s="411"/>
      <c r="T2502" s="134" t="s">
        <v>145</v>
      </c>
      <c r="U2502" s="267" t="s">
        <v>5791</v>
      </c>
      <c r="W2502" s="153" t="s">
        <v>5792</v>
      </c>
      <c r="AA2502" s="218"/>
    </row>
    <row r="2503" spans="1:27" ht="24" x14ac:dyDescent="0.25">
      <c r="A2503" s="405">
        <v>3001898</v>
      </c>
      <c r="B2503" s="406">
        <v>42485</v>
      </c>
      <c r="C2503" s="405" t="s">
        <v>141</v>
      </c>
      <c r="D2503" s="401" t="s">
        <v>5793</v>
      </c>
      <c r="E2503" s="120">
        <v>540</v>
      </c>
      <c r="F2503" s="119" t="s">
        <v>5794</v>
      </c>
      <c r="G2503" s="404" t="s">
        <v>45</v>
      </c>
      <c r="H2503" s="411">
        <v>248.4</v>
      </c>
      <c r="I2503" s="411">
        <v>0</v>
      </c>
      <c r="J2503" s="391">
        <f>-((H2503*0.0325)+0.3)</f>
        <v>-8.3730000000000011</v>
      </c>
      <c r="K2503" s="396">
        <f t="shared" si="452"/>
        <v>240.02700000000002</v>
      </c>
      <c r="L2503" s="187">
        <v>228</v>
      </c>
      <c r="M2503" s="187">
        <v>10.199999999999999</v>
      </c>
      <c r="N2503" s="91">
        <f t="shared" si="460"/>
        <v>133.32</v>
      </c>
      <c r="O2503" s="411">
        <f t="shared" si="453"/>
        <v>106.70700000000002</v>
      </c>
      <c r="P2503" s="132" t="s">
        <v>643</v>
      </c>
      <c r="Q2503" s="232"/>
      <c r="R2503" s="411"/>
      <c r="T2503" s="134" t="s">
        <v>145</v>
      </c>
      <c r="U2503" s="267" t="s">
        <v>5795</v>
      </c>
      <c r="W2503" s="153" t="s">
        <v>5796</v>
      </c>
      <c r="AA2503" s="218"/>
    </row>
    <row r="2504" spans="1:27" x14ac:dyDescent="0.25">
      <c r="A2504" s="405">
        <v>3001899</v>
      </c>
      <c r="B2504" s="406">
        <v>42486</v>
      </c>
      <c r="C2504" s="405" t="s">
        <v>63</v>
      </c>
      <c r="D2504" s="401" t="s">
        <v>1361</v>
      </c>
      <c r="E2504" s="120">
        <v>9695</v>
      </c>
      <c r="F2504" s="133" t="s">
        <v>1205</v>
      </c>
      <c r="G2504" s="404" t="s">
        <v>45</v>
      </c>
      <c r="H2504" s="411">
        <v>1776</v>
      </c>
      <c r="I2504" s="411">
        <v>0</v>
      </c>
      <c r="J2504" s="391">
        <f>-((H2504*0.022)+0.3)</f>
        <v>-39.371999999999993</v>
      </c>
      <c r="K2504" s="396">
        <f t="shared" si="452"/>
        <v>1736.6279999999999</v>
      </c>
      <c r="L2504" s="187">
        <v>125</v>
      </c>
      <c r="M2504" s="187">
        <v>172.58</v>
      </c>
      <c r="N2504" s="91">
        <f t="shared" si="460"/>
        <v>1384.4549999999999</v>
      </c>
      <c r="O2504" s="411">
        <f t="shared" si="453"/>
        <v>352.173</v>
      </c>
      <c r="P2504" s="132" t="s">
        <v>3184</v>
      </c>
      <c r="Q2504" s="232"/>
      <c r="R2504" s="411">
        <v>131.6</v>
      </c>
      <c r="T2504" s="134" t="s">
        <v>97</v>
      </c>
      <c r="U2504" s="267" t="s">
        <v>5797</v>
      </c>
      <c r="V2504" s="133" t="s">
        <v>55</v>
      </c>
      <c r="W2504" s="153" t="s">
        <v>1363</v>
      </c>
      <c r="AA2504" s="218">
        <v>10</v>
      </c>
    </row>
    <row r="2505" spans="1:27" x14ac:dyDescent="0.25">
      <c r="A2505" s="419">
        <v>3001900</v>
      </c>
      <c r="B2505" s="421">
        <v>42486</v>
      </c>
      <c r="C2505" s="419" t="s">
        <v>56</v>
      </c>
      <c r="D2505" s="417" t="s">
        <v>5798</v>
      </c>
      <c r="E2505" s="120">
        <v>5000</v>
      </c>
      <c r="F2505" s="133" t="s">
        <v>5799</v>
      </c>
      <c r="G2505" s="434" t="s">
        <v>45</v>
      </c>
      <c r="H2505" s="427">
        <v>15470</v>
      </c>
      <c r="I2505" s="427">
        <v>0</v>
      </c>
      <c r="J2505" s="427">
        <v>0</v>
      </c>
      <c r="K2505" s="425">
        <f t="shared" si="452"/>
        <v>15470</v>
      </c>
      <c r="L2505" s="131">
        <v>2495</v>
      </c>
      <c r="M2505" s="468">
        <v>695</v>
      </c>
      <c r="N2505" s="91">
        <f t="shared" si="460"/>
        <v>13170</v>
      </c>
      <c r="O2505" s="411">
        <f t="shared" si="453"/>
        <v>2300</v>
      </c>
      <c r="P2505" s="132" t="s">
        <v>52</v>
      </c>
      <c r="Q2505" s="232"/>
      <c r="R2505" s="411"/>
      <c r="T2505" s="439" t="s">
        <v>97</v>
      </c>
      <c r="U2505" s="481" t="s">
        <v>5800</v>
      </c>
      <c r="V2505" s="133" t="s">
        <v>5801</v>
      </c>
      <c r="AA2505" s="218"/>
    </row>
    <row r="2506" spans="1:27" x14ac:dyDescent="0.25">
      <c r="A2506" s="420"/>
      <c r="B2506" s="422"/>
      <c r="C2506" s="420"/>
      <c r="D2506" s="418"/>
      <c r="E2506" s="120">
        <v>5</v>
      </c>
      <c r="F2506" s="133" t="s">
        <v>5802</v>
      </c>
      <c r="G2506" s="436"/>
      <c r="H2506" s="428"/>
      <c r="I2506" s="428"/>
      <c r="J2506" s="428"/>
      <c r="K2506" s="426"/>
      <c r="M2506" s="469"/>
      <c r="N2506" s="91"/>
      <c r="O2506" s="411">
        <f t="shared" si="453"/>
        <v>0</v>
      </c>
      <c r="P2506" s="132" t="s">
        <v>52</v>
      </c>
      <c r="Q2506" s="232"/>
      <c r="R2506" s="411"/>
      <c r="T2506" s="441"/>
      <c r="U2506" s="490"/>
      <c r="AA2506" s="218"/>
    </row>
    <row r="2507" spans="1:27" ht="24" x14ac:dyDescent="0.25">
      <c r="A2507" s="405">
        <v>3001901</v>
      </c>
      <c r="B2507" s="406">
        <v>42486</v>
      </c>
      <c r="C2507" s="405" t="s">
        <v>327</v>
      </c>
      <c r="D2507" s="401" t="s">
        <v>5803</v>
      </c>
      <c r="E2507" s="120">
        <v>2000</v>
      </c>
      <c r="F2507" s="133" t="s">
        <v>5804</v>
      </c>
      <c r="G2507" s="404" t="s">
        <v>45</v>
      </c>
      <c r="H2507" s="411">
        <v>2900</v>
      </c>
      <c r="I2507" s="411">
        <v>0</v>
      </c>
      <c r="J2507" s="391">
        <f>-((H2507*0.022)+0.3)</f>
        <v>-64.099999999999994</v>
      </c>
      <c r="K2507" s="396">
        <f t="shared" si="452"/>
        <v>2835.9</v>
      </c>
      <c r="L2507" s="187">
        <v>982</v>
      </c>
      <c r="M2507" s="158">
        <v>0</v>
      </c>
      <c r="N2507" s="91">
        <f t="shared" si="460"/>
        <v>1964</v>
      </c>
      <c r="O2507" s="411">
        <f t="shared" si="453"/>
        <v>871.90000000000009</v>
      </c>
      <c r="P2507" s="132" t="s">
        <v>66</v>
      </c>
      <c r="Q2507" s="232"/>
      <c r="R2507" s="411"/>
      <c r="T2507" s="134" t="s">
        <v>5805</v>
      </c>
      <c r="U2507" s="267" t="s">
        <v>5806</v>
      </c>
      <c r="W2507" s="153" t="s">
        <v>5807</v>
      </c>
      <c r="AA2507" s="218">
        <v>10</v>
      </c>
    </row>
    <row r="2508" spans="1:27" x14ac:dyDescent="0.25">
      <c r="A2508" s="405">
        <v>3001902</v>
      </c>
      <c r="B2508" s="406">
        <v>42486</v>
      </c>
      <c r="C2508" s="405" t="s">
        <v>63</v>
      </c>
      <c r="D2508" s="401" t="s">
        <v>5808</v>
      </c>
      <c r="E2508" s="120">
        <v>500</v>
      </c>
      <c r="F2508" s="133" t="s">
        <v>1550</v>
      </c>
      <c r="G2508" s="404" t="s">
        <v>45</v>
      </c>
      <c r="H2508" s="411">
        <v>750</v>
      </c>
      <c r="I2508" s="411">
        <v>0</v>
      </c>
      <c r="J2508" s="391">
        <f>-((H2508*0.022)+0.3)</f>
        <v>-16.8</v>
      </c>
      <c r="K2508" s="396">
        <f t="shared" si="452"/>
        <v>733.2</v>
      </c>
      <c r="M2508" s="187">
        <v>151.63999999999999</v>
      </c>
      <c r="N2508" s="91">
        <f t="shared" si="460"/>
        <v>151.63999999999999</v>
      </c>
      <c r="O2508" s="411">
        <f t="shared" ref="O2508:O2571" si="464">K2508-N2508</f>
        <v>581.56000000000006</v>
      </c>
      <c r="P2508" s="132" t="s">
        <v>52</v>
      </c>
      <c r="Q2508" s="232"/>
      <c r="R2508" s="411"/>
      <c r="T2508" s="134" t="s">
        <v>97</v>
      </c>
      <c r="U2508" s="267" t="s">
        <v>5809</v>
      </c>
      <c r="V2508" s="133" t="s">
        <v>55</v>
      </c>
      <c r="W2508" s="153" t="s">
        <v>5810</v>
      </c>
      <c r="AA2508" s="218"/>
    </row>
    <row r="2509" spans="1:27" ht="24" customHeight="1" x14ac:dyDescent="0.25">
      <c r="A2509" s="419">
        <v>3001903</v>
      </c>
      <c r="B2509" s="421">
        <v>42486</v>
      </c>
      <c r="C2509" s="419" t="s">
        <v>78</v>
      </c>
      <c r="D2509" s="417" t="s">
        <v>4519</v>
      </c>
      <c r="E2509" s="120">
        <v>12</v>
      </c>
      <c r="F2509" s="133" t="s">
        <v>307</v>
      </c>
      <c r="G2509" s="434" t="s">
        <v>45</v>
      </c>
      <c r="H2509" s="427">
        <v>75</v>
      </c>
      <c r="I2509" s="427">
        <v>0</v>
      </c>
      <c r="J2509" s="425">
        <f t="shared" ref="J2509" si="465">-((H2509*0.019)+0.3)</f>
        <v>-1.7250000000000001</v>
      </c>
      <c r="K2509" s="425">
        <f t="shared" si="452"/>
        <v>73.275000000000006</v>
      </c>
      <c r="L2509" s="131">
        <v>690</v>
      </c>
      <c r="M2509" s="187">
        <v>19.68</v>
      </c>
      <c r="N2509" s="91">
        <f t="shared" si="460"/>
        <v>27.96</v>
      </c>
      <c r="O2509" s="411">
        <f t="shared" si="464"/>
        <v>45.315000000000005</v>
      </c>
      <c r="P2509" s="132" t="s">
        <v>52</v>
      </c>
      <c r="Q2509" s="232"/>
      <c r="R2509" s="411"/>
      <c r="T2509" s="439" t="s">
        <v>145</v>
      </c>
      <c r="U2509" s="446" t="s">
        <v>5811</v>
      </c>
      <c r="W2509" s="153" t="s">
        <v>5812</v>
      </c>
      <c r="AA2509" s="218"/>
    </row>
    <row r="2510" spans="1:27" x14ac:dyDescent="0.25">
      <c r="A2510" s="420"/>
      <c r="B2510" s="422"/>
      <c r="C2510" s="420"/>
      <c r="D2510" s="418"/>
      <c r="E2510" s="120">
        <v>8</v>
      </c>
      <c r="F2510" s="133" t="s">
        <v>288</v>
      </c>
      <c r="G2510" s="436"/>
      <c r="H2510" s="428"/>
      <c r="I2510" s="428"/>
      <c r="J2510" s="426"/>
      <c r="K2510" s="426"/>
      <c r="L2510" s="131">
        <v>1069</v>
      </c>
      <c r="M2510" s="187"/>
      <c r="N2510" s="91">
        <f t="shared" si="460"/>
        <v>8.5519999999999996</v>
      </c>
      <c r="O2510" s="411">
        <f t="shared" si="464"/>
        <v>-8.5519999999999996</v>
      </c>
      <c r="P2510" s="132" t="s">
        <v>52</v>
      </c>
      <c r="Q2510" s="232"/>
      <c r="R2510" s="411"/>
      <c r="T2510" s="441"/>
      <c r="U2510" s="447"/>
      <c r="AA2510" s="218"/>
    </row>
    <row r="2511" spans="1:27" ht="24" x14ac:dyDescent="0.25">
      <c r="A2511" s="405">
        <v>3001904</v>
      </c>
      <c r="B2511" s="406">
        <v>42486</v>
      </c>
      <c r="C2511" s="405" t="s">
        <v>78</v>
      </c>
      <c r="D2511" s="401" t="s">
        <v>269</v>
      </c>
      <c r="E2511" s="120">
        <v>100</v>
      </c>
      <c r="F2511" s="133" t="s">
        <v>1270</v>
      </c>
      <c r="G2511" s="404" t="s">
        <v>45</v>
      </c>
      <c r="H2511" s="411">
        <v>280</v>
      </c>
      <c r="I2511" s="411">
        <v>0</v>
      </c>
      <c r="J2511" s="391">
        <f t="shared" ref="J2511" si="466">-((H2511*0.019)+0.3)</f>
        <v>-5.62</v>
      </c>
      <c r="K2511" s="396">
        <f t="shared" si="452"/>
        <v>274.38</v>
      </c>
      <c r="L2511" s="131">
        <v>1241.08</v>
      </c>
      <c r="M2511" s="187">
        <v>26.13</v>
      </c>
      <c r="N2511" s="91">
        <f t="shared" si="460"/>
        <v>150.238</v>
      </c>
      <c r="O2511" s="411">
        <f t="shared" si="464"/>
        <v>124.142</v>
      </c>
      <c r="P2511" s="132" t="s">
        <v>86</v>
      </c>
      <c r="Q2511" s="232"/>
      <c r="R2511" s="411"/>
      <c r="T2511" s="134" t="s">
        <v>145</v>
      </c>
      <c r="U2511" s="267" t="s">
        <v>5813</v>
      </c>
      <c r="W2511" s="153" t="s">
        <v>271</v>
      </c>
      <c r="AA2511" s="218"/>
    </row>
    <row r="2512" spans="1:27" ht="24" x14ac:dyDescent="0.25">
      <c r="A2512" s="405">
        <v>3001905</v>
      </c>
      <c r="B2512" s="406">
        <v>42486</v>
      </c>
      <c r="C2512" s="405" t="s">
        <v>63</v>
      </c>
      <c r="D2512" s="401" t="s">
        <v>5814</v>
      </c>
      <c r="E2512" s="120">
        <v>120</v>
      </c>
      <c r="F2512" s="133" t="s">
        <v>217</v>
      </c>
      <c r="G2512" s="404" t="s">
        <v>45</v>
      </c>
      <c r="H2512" s="411">
        <v>282</v>
      </c>
      <c r="I2512" s="411">
        <v>0</v>
      </c>
      <c r="J2512" s="391">
        <f>-((H2512*0.022)+0.3)</f>
        <v>-6.5039999999999996</v>
      </c>
      <c r="K2512" s="396">
        <f t="shared" si="452"/>
        <v>275.49599999999998</v>
      </c>
      <c r="L2512" s="131">
        <v>1322</v>
      </c>
      <c r="M2512" s="187">
        <v>57.46</v>
      </c>
      <c r="N2512" s="91">
        <f t="shared" si="460"/>
        <v>216.1</v>
      </c>
      <c r="O2512" s="411">
        <f t="shared" si="464"/>
        <v>59.395999999999987</v>
      </c>
      <c r="P2512" s="132" t="s">
        <v>52</v>
      </c>
      <c r="Q2512" s="232"/>
      <c r="R2512" s="411"/>
      <c r="T2512" s="134" t="s">
        <v>145</v>
      </c>
      <c r="U2512" s="267" t="s">
        <v>5815</v>
      </c>
      <c r="W2512" s="153" t="s">
        <v>5816</v>
      </c>
      <c r="AA2512" s="218"/>
    </row>
    <row r="2513" spans="1:27" ht="24" x14ac:dyDescent="0.25">
      <c r="A2513" s="405">
        <v>3001906</v>
      </c>
      <c r="B2513" s="406">
        <v>42486</v>
      </c>
      <c r="C2513" s="405" t="s">
        <v>5682</v>
      </c>
      <c r="D2513" s="401" t="s">
        <v>5817</v>
      </c>
      <c r="E2513" s="120">
        <v>50</v>
      </c>
      <c r="F2513" s="133" t="s">
        <v>1991</v>
      </c>
      <c r="G2513" s="404" t="s">
        <v>45</v>
      </c>
      <c r="H2513" s="411">
        <v>292.89999999999998</v>
      </c>
      <c r="I2513" s="397">
        <f t="shared" ref="I2513:I2524" si="467">-(H2513*0.09)</f>
        <v>-26.360999999999997</v>
      </c>
      <c r="J2513" s="391">
        <f t="shared" ref="J2513:J2527" si="468">-((H2513*0.019)+0.3)</f>
        <v>-5.8650999999999991</v>
      </c>
      <c r="K2513" s="396">
        <f t="shared" si="452"/>
        <v>260.6739</v>
      </c>
      <c r="L2513" s="131">
        <v>3000</v>
      </c>
      <c r="M2513" s="187">
        <v>34.49</v>
      </c>
      <c r="N2513" s="91">
        <f t="shared" si="460"/>
        <v>184.49</v>
      </c>
      <c r="O2513" s="411">
        <f t="shared" si="464"/>
        <v>76.183899999999994</v>
      </c>
      <c r="P2513" s="132" t="s">
        <v>52</v>
      </c>
      <c r="Q2513" s="232"/>
      <c r="R2513" s="411"/>
      <c r="T2513" s="134" t="s">
        <v>145</v>
      </c>
      <c r="U2513" s="267" t="s">
        <v>5818</v>
      </c>
      <c r="AA2513" s="218"/>
    </row>
    <row r="2514" spans="1:27" ht="24" x14ac:dyDescent="0.25">
      <c r="A2514" s="405">
        <v>3001907</v>
      </c>
      <c r="B2514" s="406">
        <v>42486</v>
      </c>
      <c r="C2514" s="405" t="s">
        <v>5682</v>
      </c>
      <c r="D2514" s="401" t="s">
        <v>5819</v>
      </c>
      <c r="E2514" s="120">
        <v>100</v>
      </c>
      <c r="F2514" s="133" t="s">
        <v>5820</v>
      </c>
      <c r="G2514" s="404" t="s">
        <v>45</v>
      </c>
      <c r="H2514" s="411">
        <v>107.35</v>
      </c>
      <c r="I2514" s="397">
        <f t="shared" si="467"/>
        <v>-9.6614999999999984</v>
      </c>
      <c r="J2514" s="391">
        <f t="shared" si="468"/>
        <v>-2.3396499999999998</v>
      </c>
      <c r="K2514" s="396">
        <f t="shared" si="452"/>
        <v>95.348849999999985</v>
      </c>
      <c r="L2514" s="187">
        <v>500</v>
      </c>
      <c r="M2514" s="187">
        <v>20.52</v>
      </c>
      <c r="N2514" s="91">
        <f t="shared" si="460"/>
        <v>70.52</v>
      </c>
      <c r="O2514" s="411">
        <f t="shared" si="464"/>
        <v>24.828849999999989</v>
      </c>
      <c r="P2514" s="132" t="s">
        <v>183</v>
      </c>
      <c r="Q2514" s="232"/>
      <c r="R2514" s="411"/>
      <c r="T2514" s="134" t="s">
        <v>145</v>
      </c>
      <c r="U2514" s="267" t="s">
        <v>5821</v>
      </c>
      <c r="AA2514" s="218"/>
    </row>
    <row r="2515" spans="1:27" ht="24" x14ac:dyDescent="0.25">
      <c r="A2515" s="405">
        <v>3001908</v>
      </c>
      <c r="B2515" s="406">
        <v>42486</v>
      </c>
      <c r="C2515" s="405" t="s">
        <v>5682</v>
      </c>
      <c r="D2515" s="401" t="s">
        <v>5822</v>
      </c>
      <c r="E2515" s="120">
        <v>100</v>
      </c>
      <c r="F2515" s="133" t="s">
        <v>1991</v>
      </c>
      <c r="G2515" s="404" t="s">
        <v>45</v>
      </c>
      <c r="H2515" s="411">
        <v>576.65</v>
      </c>
      <c r="I2515" s="397">
        <f t="shared" si="467"/>
        <v>-51.898499999999999</v>
      </c>
      <c r="J2515" s="391">
        <f t="shared" si="468"/>
        <v>-11.256349999999999</v>
      </c>
      <c r="K2515" s="396">
        <f t="shared" si="452"/>
        <v>513.49514999999997</v>
      </c>
      <c r="L2515" s="131">
        <v>3000</v>
      </c>
      <c r="M2515" s="187">
        <v>58.77</v>
      </c>
      <c r="N2515" s="91">
        <f t="shared" si="460"/>
        <v>358.77</v>
      </c>
      <c r="O2515" s="411">
        <f t="shared" si="464"/>
        <v>154.72514999999999</v>
      </c>
      <c r="P2515" s="132" t="s">
        <v>52</v>
      </c>
      <c r="Q2515" s="232"/>
      <c r="R2515" s="411"/>
      <c r="T2515" s="134" t="s">
        <v>145</v>
      </c>
      <c r="U2515" s="267" t="s">
        <v>5823</v>
      </c>
      <c r="AA2515" s="218"/>
    </row>
    <row r="2516" spans="1:27" ht="24" x14ac:dyDescent="0.25">
      <c r="A2516" s="405">
        <v>3001909</v>
      </c>
      <c r="B2516" s="406">
        <v>42486</v>
      </c>
      <c r="C2516" s="405" t="s">
        <v>5682</v>
      </c>
      <c r="D2516" s="401" t="s">
        <v>5824</v>
      </c>
      <c r="E2516" s="120">
        <v>400</v>
      </c>
      <c r="F2516" s="133" t="s">
        <v>227</v>
      </c>
      <c r="G2516" s="404" t="s">
        <v>45</v>
      </c>
      <c r="H2516" s="411">
        <v>333.45</v>
      </c>
      <c r="I2516" s="397">
        <f t="shared" si="467"/>
        <v>-30.010499999999997</v>
      </c>
      <c r="J2516" s="391">
        <f t="shared" si="468"/>
        <v>-6.6355499999999994</v>
      </c>
      <c r="K2516" s="396">
        <f t="shared" si="452"/>
        <v>296.80394999999999</v>
      </c>
      <c r="L2516" s="131">
        <v>350</v>
      </c>
      <c r="M2516" s="187">
        <v>49.45</v>
      </c>
      <c r="N2516" s="91">
        <f t="shared" si="460"/>
        <v>189.45</v>
      </c>
      <c r="O2516" s="411">
        <f t="shared" si="464"/>
        <v>107.35395</v>
      </c>
      <c r="P2516" s="132" t="s">
        <v>52</v>
      </c>
      <c r="Q2516" s="232"/>
      <c r="R2516" s="411"/>
      <c r="T2516" s="134" t="s">
        <v>145</v>
      </c>
      <c r="U2516" s="267" t="s">
        <v>5825</v>
      </c>
      <c r="AA2516" s="218"/>
    </row>
    <row r="2517" spans="1:27" ht="24" x14ac:dyDescent="0.25">
      <c r="A2517" s="405">
        <v>3001910</v>
      </c>
      <c r="B2517" s="406">
        <v>42486</v>
      </c>
      <c r="C2517" s="405" t="s">
        <v>5682</v>
      </c>
      <c r="D2517" s="401" t="s">
        <v>5826</v>
      </c>
      <c r="E2517" s="120">
        <v>1000</v>
      </c>
      <c r="F2517" s="133" t="s">
        <v>5827</v>
      </c>
      <c r="G2517" s="404" t="s">
        <v>45</v>
      </c>
      <c r="H2517" s="411">
        <v>240.36</v>
      </c>
      <c r="I2517" s="397">
        <f t="shared" si="467"/>
        <v>-21.632400000000001</v>
      </c>
      <c r="J2517" s="391">
        <f t="shared" si="468"/>
        <v>-4.8668399999999998</v>
      </c>
      <c r="K2517" s="396">
        <f t="shared" si="452"/>
        <v>213.86076000000003</v>
      </c>
      <c r="L2517" s="187">
        <v>145</v>
      </c>
      <c r="M2517" s="187">
        <v>27.61</v>
      </c>
      <c r="N2517" s="91">
        <f t="shared" si="460"/>
        <v>172.61</v>
      </c>
      <c r="O2517" s="411">
        <f t="shared" si="464"/>
        <v>41.250760000000014</v>
      </c>
      <c r="P2517" s="132" t="s">
        <v>183</v>
      </c>
      <c r="Q2517" s="232"/>
      <c r="R2517" s="411"/>
      <c r="T2517" s="134" t="s">
        <v>145</v>
      </c>
      <c r="U2517" s="267" t="s">
        <v>5828</v>
      </c>
      <c r="AA2517" s="218"/>
    </row>
    <row r="2518" spans="1:27" ht="24" x14ac:dyDescent="0.25">
      <c r="A2518" s="405">
        <v>3001911</v>
      </c>
      <c r="B2518" s="406">
        <v>42486</v>
      </c>
      <c r="C2518" s="405" t="s">
        <v>5682</v>
      </c>
      <c r="D2518" s="401" t="s">
        <v>5829</v>
      </c>
      <c r="E2518" s="120">
        <v>1000</v>
      </c>
      <c r="F2518" s="133" t="s">
        <v>451</v>
      </c>
      <c r="G2518" s="404" t="s">
        <v>45</v>
      </c>
      <c r="H2518" s="411">
        <v>600</v>
      </c>
      <c r="I2518" s="397">
        <f t="shared" si="467"/>
        <v>-54</v>
      </c>
      <c r="J2518" s="391">
        <f t="shared" si="468"/>
        <v>-11.700000000000001</v>
      </c>
      <c r="K2518" s="396">
        <f t="shared" si="452"/>
        <v>534.29999999999995</v>
      </c>
      <c r="L2518" s="131">
        <v>300</v>
      </c>
      <c r="M2518" s="187">
        <v>67.8</v>
      </c>
      <c r="N2518" s="91">
        <f t="shared" si="460"/>
        <v>367.8</v>
      </c>
      <c r="O2518" s="411">
        <f t="shared" si="464"/>
        <v>166.49999999999994</v>
      </c>
      <c r="P2518" s="132" t="s">
        <v>52</v>
      </c>
      <c r="Q2518" s="232"/>
      <c r="R2518" s="411"/>
      <c r="T2518" s="134" t="s">
        <v>145</v>
      </c>
      <c r="U2518" s="267" t="s">
        <v>5830</v>
      </c>
      <c r="AA2518" s="218"/>
    </row>
    <row r="2519" spans="1:27" ht="24" x14ac:dyDescent="0.25">
      <c r="A2519" s="405">
        <v>3001912</v>
      </c>
      <c r="B2519" s="406">
        <v>42486</v>
      </c>
      <c r="C2519" s="405" t="s">
        <v>5682</v>
      </c>
      <c r="D2519" s="401" t="s">
        <v>5831</v>
      </c>
      <c r="E2519" s="120">
        <v>125</v>
      </c>
      <c r="F2519" s="133" t="s">
        <v>247</v>
      </c>
      <c r="G2519" s="404" t="s">
        <v>45</v>
      </c>
      <c r="H2519" s="411">
        <v>151.72999999999999</v>
      </c>
      <c r="I2519" s="397">
        <f t="shared" si="467"/>
        <v>-13.655699999999998</v>
      </c>
      <c r="J2519" s="391">
        <f t="shared" si="468"/>
        <v>-3.1828699999999994</v>
      </c>
      <c r="K2519" s="396">
        <f t="shared" si="452"/>
        <v>134.89142999999999</v>
      </c>
      <c r="L2519" s="131">
        <v>540</v>
      </c>
      <c r="M2519" s="187">
        <v>68.67</v>
      </c>
      <c r="N2519" s="91">
        <f t="shared" si="460"/>
        <v>136.17000000000002</v>
      </c>
      <c r="O2519" s="411">
        <f t="shared" si="464"/>
        <v>-1.2785700000000304</v>
      </c>
      <c r="P2519" s="132" t="s">
        <v>52</v>
      </c>
      <c r="Q2519" s="232"/>
      <c r="R2519" s="411"/>
      <c r="T2519" s="134" t="s">
        <v>145</v>
      </c>
      <c r="U2519" s="267" t="s">
        <v>5832</v>
      </c>
      <c r="AA2519" s="218"/>
    </row>
    <row r="2520" spans="1:27" ht="24" x14ac:dyDescent="0.25">
      <c r="A2520" s="405">
        <v>3001913</v>
      </c>
      <c r="B2520" s="406">
        <v>42486</v>
      </c>
      <c r="C2520" s="405" t="s">
        <v>5682</v>
      </c>
      <c r="D2520" s="401" t="s">
        <v>5833</v>
      </c>
      <c r="E2520" s="120">
        <v>200</v>
      </c>
      <c r="F2520" s="133" t="s">
        <v>217</v>
      </c>
      <c r="G2520" s="404" t="s">
        <v>45</v>
      </c>
      <c r="H2520" s="411">
        <v>427.02</v>
      </c>
      <c r="I2520" s="397">
        <f t="shared" si="467"/>
        <v>-38.431799999999996</v>
      </c>
      <c r="J2520" s="391">
        <f t="shared" si="468"/>
        <v>-8.4133800000000001</v>
      </c>
      <c r="K2520" s="396">
        <f t="shared" si="452"/>
        <v>380.17481999999995</v>
      </c>
      <c r="L2520" s="131">
        <v>1322</v>
      </c>
      <c r="M2520" s="187">
        <v>55.54</v>
      </c>
      <c r="N2520" s="91">
        <f t="shared" si="460"/>
        <v>319.94000000000005</v>
      </c>
      <c r="O2520" s="411">
        <f t="shared" si="464"/>
        <v>60.2348199999999</v>
      </c>
      <c r="P2520" s="132" t="s">
        <v>52</v>
      </c>
      <c r="Q2520" s="232"/>
      <c r="R2520" s="411"/>
      <c r="T2520" s="134" t="s">
        <v>145</v>
      </c>
      <c r="U2520" s="267" t="s">
        <v>5834</v>
      </c>
      <c r="AA2520" s="218"/>
    </row>
    <row r="2521" spans="1:27" ht="24" x14ac:dyDescent="0.25">
      <c r="A2521" s="405">
        <v>3001914</v>
      </c>
      <c r="B2521" s="406">
        <v>42486</v>
      </c>
      <c r="C2521" s="405" t="s">
        <v>5682</v>
      </c>
      <c r="D2521" s="401" t="s">
        <v>5835</v>
      </c>
      <c r="E2521" s="120">
        <v>100</v>
      </c>
      <c r="F2521" s="133" t="s">
        <v>217</v>
      </c>
      <c r="G2521" s="404" t="s">
        <v>45</v>
      </c>
      <c r="H2521" s="411">
        <v>235</v>
      </c>
      <c r="I2521" s="397">
        <f t="shared" si="467"/>
        <v>-21.15</v>
      </c>
      <c r="J2521" s="391">
        <f t="shared" si="468"/>
        <v>-4.7649999999999997</v>
      </c>
      <c r="K2521" s="396">
        <f t="shared" si="452"/>
        <v>209.08500000000001</v>
      </c>
      <c r="L2521" s="131">
        <v>1322</v>
      </c>
      <c r="M2521" s="187">
        <v>35.799999999999997</v>
      </c>
      <c r="N2521" s="91">
        <f t="shared" si="460"/>
        <v>168</v>
      </c>
      <c r="O2521" s="411">
        <f t="shared" si="464"/>
        <v>41.085000000000008</v>
      </c>
      <c r="P2521" s="132" t="s">
        <v>52</v>
      </c>
      <c r="Q2521" s="232"/>
      <c r="R2521" s="411"/>
      <c r="T2521" s="134" t="s">
        <v>145</v>
      </c>
      <c r="U2521" s="267" t="s">
        <v>5836</v>
      </c>
      <c r="AA2521" s="218"/>
    </row>
    <row r="2522" spans="1:27" ht="24" x14ac:dyDescent="0.25">
      <c r="A2522" s="405">
        <v>3001915</v>
      </c>
      <c r="B2522" s="406">
        <v>42486</v>
      </c>
      <c r="C2522" s="405" t="s">
        <v>5682</v>
      </c>
      <c r="D2522" s="401" t="s">
        <v>5837</v>
      </c>
      <c r="E2522" s="120">
        <v>100</v>
      </c>
      <c r="F2522" s="133" t="s">
        <v>85</v>
      </c>
      <c r="G2522" s="404" t="s">
        <v>45</v>
      </c>
      <c r="H2522" s="411">
        <v>223.58</v>
      </c>
      <c r="I2522" s="397">
        <f t="shared" si="467"/>
        <v>-20.122199999999999</v>
      </c>
      <c r="J2522" s="391">
        <f t="shared" si="468"/>
        <v>-4.5480200000000002</v>
      </c>
      <c r="K2522" s="396">
        <f t="shared" si="452"/>
        <v>198.90978000000001</v>
      </c>
      <c r="L2522" s="131">
        <v>1296</v>
      </c>
      <c r="M2522" s="187">
        <v>45.39</v>
      </c>
      <c r="N2522" s="91">
        <f t="shared" si="460"/>
        <v>174.99</v>
      </c>
      <c r="O2522" s="411">
        <f t="shared" si="464"/>
        <v>23.919780000000003</v>
      </c>
      <c r="P2522" s="132" t="s">
        <v>52</v>
      </c>
      <c r="Q2522" s="232"/>
      <c r="R2522" s="411"/>
      <c r="T2522" s="134" t="s">
        <v>145</v>
      </c>
      <c r="U2522" s="267" t="s">
        <v>5838</v>
      </c>
      <c r="AA2522" s="218"/>
    </row>
    <row r="2523" spans="1:27" ht="24" x14ac:dyDescent="0.25">
      <c r="A2523" s="405">
        <v>3001916</v>
      </c>
      <c r="B2523" s="406">
        <v>42486</v>
      </c>
      <c r="C2523" s="405" t="s">
        <v>5682</v>
      </c>
      <c r="D2523" s="401" t="s">
        <v>5839</v>
      </c>
      <c r="E2523" s="120">
        <v>100</v>
      </c>
      <c r="F2523" s="133" t="s">
        <v>829</v>
      </c>
      <c r="G2523" s="404" t="s">
        <v>45</v>
      </c>
      <c r="H2523" s="411">
        <v>114</v>
      </c>
      <c r="I2523" s="397">
        <f t="shared" si="467"/>
        <v>-10.26</v>
      </c>
      <c r="J2523" s="391">
        <f t="shared" si="468"/>
        <v>-2.4659999999999997</v>
      </c>
      <c r="K2523" s="396">
        <v>3</v>
      </c>
      <c r="L2523" s="131">
        <v>510</v>
      </c>
      <c r="M2523" s="187">
        <v>35.49</v>
      </c>
      <c r="N2523" s="91">
        <f t="shared" si="460"/>
        <v>86.490000000000009</v>
      </c>
      <c r="O2523" s="411">
        <f t="shared" si="464"/>
        <v>-83.490000000000009</v>
      </c>
      <c r="P2523" s="132" t="s">
        <v>52</v>
      </c>
      <c r="Q2523" s="232"/>
      <c r="R2523" s="411"/>
      <c r="T2523" s="134" t="s">
        <v>145</v>
      </c>
      <c r="U2523" s="267" t="s">
        <v>5840</v>
      </c>
      <c r="AA2523" s="218"/>
    </row>
    <row r="2524" spans="1:27" ht="24" x14ac:dyDescent="0.25">
      <c r="A2524" s="405">
        <v>3001917</v>
      </c>
      <c r="B2524" s="406">
        <v>42486</v>
      </c>
      <c r="C2524" s="405" t="s">
        <v>5682</v>
      </c>
      <c r="D2524" s="401" t="s">
        <v>5841</v>
      </c>
      <c r="E2524" s="120">
        <v>100</v>
      </c>
      <c r="F2524" s="133" t="s">
        <v>217</v>
      </c>
      <c r="G2524" s="404" t="s">
        <v>45</v>
      </c>
      <c r="H2524" s="411">
        <v>235</v>
      </c>
      <c r="I2524" s="397">
        <f t="shared" si="467"/>
        <v>-21.15</v>
      </c>
      <c r="J2524" s="391">
        <f t="shared" si="468"/>
        <v>-4.7649999999999997</v>
      </c>
      <c r="K2524" s="396">
        <f t="shared" si="452"/>
        <v>209.08500000000001</v>
      </c>
      <c r="L2524" s="131">
        <v>1322</v>
      </c>
      <c r="M2524" s="187">
        <v>32.049999999999997</v>
      </c>
      <c r="N2524" s="91">
        <f t="shared" si="460"/>
        <v>164.25</v>
      </c>
      <c r="O2524" s="411">
        <f t="shared" si="464"/>
        <v>44.835000000000008</v>
      </c>
      <c r="P2524" s="132" t="s">
        <v>52</v>
      </c>
      <c r="Q2524" s="232"/>
      <c r="R2524" s="411"/>
      <c r="T2524" s="134" t="s">
        <v>145</v>
      </c>
      <c r="U2524" s="267" t="s">
        <v>5842</v>
      </c>
      <c r="AA2524" s="218"/>
    </row>
    <row r="2525" spans="1:27" ht="24" x14ac:dyDescent="0.25">
      <c r="A2525" s="405">
        <v>3001918</v>
      </c>
      <c r="B2525" s="406">
        <v>42486</v>
      </c>
      <c r="C2525" s="405" t="s">
        <v>159</v>
      </c>
      <c r="D2525" s="401" t="s">
        <v>5843</v>
      </c>
      <c r="E2525" s="120">
        <v>96</v>
      </c>
      <c r="F2525" s="133" t="s">
        <v>1991</v>
      </c>
      <c r="G2525" s="404" t="s">
        <v>45</v>
      </c>
      <c r="H2525" s="411">
        <v>484.8</v>
      </c>
      <c r="I2525" s="411">
        <v>0</v>
      </c>
      <c r="J2525" s="391">
        <f t="shared" si="468"/>
        <v>-9.5112000000000005</v>
      </c>
      <c r="K2525" s="396">
        <f t="shared" si="452"/>
        <v>475.28880000000004</v>
      </c>
      <c r="L2525" s="131">
        <v>3000</v>
      </c>
      <c r="M2525" s="187">
        <v>61.78</v>
      </c>
      <c r="N2525" s="91">
        <f t="shared" si="460"/>
        <v>349.78</v>
      </c>
      <c r="O2525" s="411">
        <f t="shared" si="464"/>
        <v>125.50880000000006</v>
      </c>
      <c r="P2525" s="132" t="s">
        <v>52</v>
      </c>
      <c r="Q2525" s="232"/>
      <c r="R2525" s="411"/>
      <c r="T2525" s="134" t="s">
        <v>145</v>
      </c>
      <c r="U2525" s="267" t="s">
        <v>5844</v>
      </c>
      <c r="W2525" s="153" t="s">
        <v>5845</v>
      </c>
      <c r="AA2525" s="218"/>
    </row>
    <row r="2526" spans="1:27" ht="24" x14ac:dyDescent="0.25">
      <c r="A2526" s="405">
        <v>3001919</v>
      </c>
      <c r="B2526" s="406">
        <v>42486</v>
      </c>
      <c r="C2526" s="405" t="s">
        <v>237</v>
      </c>
      <c r="D2526" s="401" t="s">
        <v>5846</v>
      </c>
      <c r="E2526" s="120">
        <v>100</v>
      </c>
      <c r="F2526" s="133" t="s">
        <v>217</v>
      </c>
      <c r="G2526" s="404" t="s">
        <v>45</v>
      </c>
      <c r="H2526" s="411">
        <v>227.7</v>
      </c>
      <c r="I2526" s="397">
        <f t="shared" ref="I2526" si="469">-(H2526*0.15)</f>
        <v>-34.154999999999994</v>
      </c>
      <c r="J2526" s="411">
        <v>0</v>
      </c>
      <c r="K2526" s="396">
        <f t="shared" si="452"/>
        <v>193.54499999999999</v>
      </c>
      <c r="L2526" s="131">
        <v>1322</v>
      </c>
      <c r="M2526" s="187">
        <v>56.47</v>
      </c>
      <c r="N2526" s="91">
        <f t="shared" si="460"/>
        <v>188.67000000000002</v>
      </c>
      <c r="O2526" s="411">
        <f t="shared" si="464"/>
        <v>4.8749999999999716</v>
      </c>
      <c r="P2526" s="132" t="s">
        <v>52</v>
      </c>
      <c r="Q2526" s="232"/>
      <c r="R2526" s="411"/>
      <c r="T2526" s="134" t="s">
        <v>145</v>
      </c>
      <c r="U2526" s="267" t="s">
        <v>5847</v>
      </c>
      <c r="AA2526" s="218"/>
    </row>
    <row r="2527" spans="1:27" x14ac:dyDescent="0.25">
      <c r="A2527" s="419">
        <v>3001920</v>
      </c>
      <c r="B2527" s="421">
        <v>42486</v>
      </c>
      <c r="C2527" s="419" t="s">
        <v>78</v>
      </c>
      <c r="D2527" s="417" t="s">
        <v>4006</v>
      </c>
      <c r="E2527" s="120">
        <v>9000</v>
      </c>
      <c r="F2527" s="133" t="s">
        <v>5848</v>
      </c>
      <c r="G2527" s="434" t="s">
        <v>45</v>
      </c>
      <c r="H2527" s="427">
        <v>5800</v>
      </c>
      <c r="I2527" s="427">
        <v>0</v>
      </c>
      <c r="J2527" s="425">
        <f t="shared" si="468"/>
        <v>-110.5</v>
      </c>
      <c r="K2527" s="425">
        <f t="shared" si="452"/>
        <v>5689.5</v>
      </c>
      <c r="L2527" s="187">
        <v>162</v>
      </c>
      <c r="M2527" s="468">
        <v>299.67</v>
      </c>
      <c r="N2527" s="91">
        <f t="shared" si="460"/>
        <v>1757.67</v>
      </c>
      <c r="O2527" s="411">
        <f t="shared" si="464"/>
        <v>3931.83</v>
      </c>
      <c r="P2527" s="132" t="s">
        <v>5735</v>
      </c>
      <c r="Q2527" s="232"/>
      <c r="R2527" s="411"/>
      <c r="T2527" s="439" t="s">
        <v>97</v>
      </c>
      <c r="U2527" s="446" t="s">
        <v>5849</v>
      </c>
      <c r="V2527" s="133" t="s">
        <v>55</v>
      </c>
      <c r="W2527" s="153" t="s">
        <v>4009</v>
      </c>
      <c r="AA2527" s="218">
        <v>25</v>
      </c>
    </row>
    <row r="2528" spans="1:27" ht="24" x14ac:dyDescent="0.25">
      <c r="A2528" s="432"/>
      <c r="B2528" s="433"/>
      <c r="C2528" s="432"/>
      <c r="D2528" s="454"/>
      <c r="E2528" s="120">
        <v>4750</v>
      </c>
      <c r="F2528" s="119" t="s">
        <v>5850</v>
      </c>
      <c r="G2528" s="435"/>
      <c r="H2528" s="438"/>
      <c r="I2528" s="438"/>
      <c r="J2528" s="437"/>
      <c r="K2528" s="437"/>
      <c r="L2528" s="187">
        <v>165</v>
      </c>
      <c r="M2528" s="491"/>
      <c r="N2528" s="91">
        <f t="shared" si="460"/>
        <v>783.75</v>
      </c>
      <c r="O2528" s="411">
        <f t="shared" si="464"/>
        <v>-783.75</v>
      </c>
      <c r="P2528" s="132" t="s">
        <v>5735</v>
      </c>
      <c r="Q2528" s="232"/>
      <c r="R2528" s="411"/>
      <c r="T2528" s="440"/>
      <c r="U2528" s="448"/>
      <c r="AA2528" s="218"/>
    </row>
    <row r="2529" spans="1:27" ht="24" x14ac:dyDescent="0.25">
      <c r="A2529" s="420"/>
      <c r="B2529" s="422"/>
      <c r="C2529" s="420"/>
      <c r="D2529" s="418"/>
      <c r="E2529" s="120">
        <v>2250</v>
      </c>
      <c r="F2529" s="119" t="s">
        <v>5851</v>
      </c>
      <c r="G2529" s="436"/>
      <c r="H2529" s="428"/>
      <c r="I2529" s="428"/>
      <c r="J2529" s="426"/>
      <c r="K2529" s="426"/>
      <c r="L2529" s="187">
        <v>183</v>
      </c>
      <c r="M2529" s="469"/>
      <c r="N2529" s="91">
        <f t="shared" si="460"/>
        <v>411.75</v>
      </c>
      <c r="O2529" s="411">
        <f t="shared" si="464"/>
        <v>-411.75</v>
      </c>
      <c r="P2529" s="132" t="s">
        <v>5735</v>
      </c>
      <c r="Q2529" s="232"/>
      <c r="R2529" s="411"/>
      <c r="T2529" s="441"/>
      <c r="U2529" s="447"/>
      <c r="AA2529" s="218"/>
    </row>
    <row r="2530" spans="1:27" ht="36" x14ac:dyDescent="0.25">
      <c r="A2530" s="405">
        <v>3001921</v>
      </c>
      <c r="B2530" s="406">
        <v>42487</v>
      </c>
      <c r="C2530" s="405" t="s">
        <v>63</v>
      </c>
      <c r="D2530" s="401" t="s">
        <v>5852</v>
      </c>
      <c r="E2530" s="120">
        <v>500</v>
      </c>
      <c r="F2530" s="133" t="s">
        <v>2199</v>
      </c>
      <c r="G2530" s="404" t="s">
        <v>45</v>
      </c>
      <c r="H2530" s="411">
        <v>860</v>
      </c>
      <c r="I2530" s="411">
        <v>0</v>
      </c>
      <c r="J2530" s="391">
        <f>-((H2530*0.022)+0.3)</f>
        <v>-19.22</v>
      </c>
      <c r="K2530" s="396">
        <f t="shared" ref="K2530:K2534" si="470">SUM(H2530:J2530)</f>
        <v>840.78</v>
      </c>
      <c r="L2530" s="187">
        <v>1190</v>
      </c>
      <c r="N2530" s="91">
        <f t="shared" si="460"/>
        <v>595</v>
      </c>
      <c r="O2530" s="411">
        <f t="shared" si="464"/>
        <v>245.77999999999997</v>
      </c>
      <c r="P2530" s="132" t="s">
        <v>601</v>
      </c>
      <c r="Q2530" s="232"/>
      <c r="R2530" s="411"/>
      <c r="T2530" s="134" t="s">
        <v>60</v>
      </c>
      <c r="U2530" s="267" t="s">
        <v>5853</v>
      </c>
      <c r="W2530" s="153" t="s">
        <v>5854</v>
      </c>
      <c r="AA2530" s="218"/>
    </row>
    <row r="2531" spans="1:27" ht="24" x14ac:dyDescent="0.25">
      <c r="A2531" s="405">
        <v>3001922</v>
      </c>
      <c r="B2531" s="406">
        <v>42487</v>
      </c>
      <c r="C2531" s="405" t="s">
        <v>63</v>
      </c>
      <c r="D2531" s="401" t="s">
        <v>5600</v>
      </c>
      <c r="E2531" s="120">
        <v>300</v>
      </c>
      <c r="F2531" s="133" t="s">
        <v>165</v>
      </c>
      <c r="G2531" s="404" t="s">
        <v>45</v>
      </c>
      <c r="H2531" s="411">
        <v>255</v>
      </c>
      <c r="I2531" s="411">
        <v>0</v>
      </c>
      <c r="J2531" s="391">
        <f>-((H2531*0.022)+0.3)</f>
        <v>-5.9099999999999993</v>
      </c>
      <c r="K2531" s="396">
        <f t="shared" si="470"/>
        <v>249.09</v>
      </c>
      <c r="L2531" s="131">
        <v>480</v>
      </c>
      <c r="M2531" s="187">
        <v>34.67</v>
      </c>
      <c r="N2531" s="91">
        <f t="shared" si="460"/>
        <v>178.67000000000002</v>
      </c>
      <c r="O2531" s="411">
        <f t="shared" si="464"/>
        <v>70.419999999999987</v>
      </c>
      <c r="P2531" s="132" t="s">
        <v>52</v>
      </c>
      <c r="Q2531" s="232"/>
      <c r="R2531" s="411"/>
      <c r="T2531" s="134" t="s">
        <v>145</v>
      </c>
      <c r="U2531" s="267" t="s">
        <v>5855</v>
      </c>
      <c r="W2531" s="153" t="s">
        <v>5602</v>
      </c>
      <c r="AA2531" s="218"/>
    </row>
    <row r="2532" spans="1:27" x14ac:dyDescent="0.25">
      <c r="A2532" s="419">
        <v>3001923</v>
      </c>
      <c r="B2532" s="421">
        <v>42487</v>
      </c>
      <c r="C2532" s="419" t="s">
        <v>141</v>
      </c>
      <c r="D2532" s="417" t="s">
        <v>3960</v>
      </c>
      <c r="E2532" s="120">
        <v>500</v>
      </c>
      <c r="F2532" s="133" t="s">
        <v>217</v>
      </c>
      <c r="G2532" s="434" t="s">
        <v>45</v>
      </c>
      <c r="H2532" s="427">
        <v>1440</v>
      </c>
      <c r="I2532" s="427">
        <v>0</v>
      </c>
      <c r="J2532" s="425">
        <f>-((H2532*0.0325)+0.3)</f>
        <v>-47.1</v>
      </c>
      <c r="K2532" s="425">
        <f t="shared" si="470"/>
        <v>1392.9</v>
      </c>
      <c r="L2532" s="131">
        <v>1322</v>
      </c>
      <c r="M2532" s="555">
        <v>107.92</v>
      </c>
      <c r="N2532" s="91">
        <f t="shared" si="460"/>
        <v>768.92</v>
      </c>
      <c r="O2532" s="411">
        <f t="shared" si="464"/>
        <v>623.98000000000013</v>
      </c>
      <c r="P2532" s="132" t="s">
        <v>86</v>
      </c>
      <c r="Q2532" s="232"/>
      <c r="R2532" s="411"/>
      <c r="T2532" s="439" t="s">
        <v>5856</v>
      </c>
      <c r="U2532" s="446" t="s">
        <v>5857</v>
      </c>
      <c r="W2532" s="153" t="s">
        <v>3962</v>
      </c>
      <c r="AA2532" s="473">
        <v>25</v>
      </c>
    </row>
    <row r="2533" spans="1:27" x14ac:dyDescent="0.25">
      <c r="A2533" s="420"/>
      <c r="B2533" s="422"/>
      <c r="C2533" s="420"/>
      <c r="D2533" s="418"/>
      <c r="E2533" s="120">
        <v>1000</v>
      </c>
      <c r="F2533" s="133" t="s">
        <v>5858</v>
      </c>
      <c r="G2533" s="436"/>
      <c r="H2533" s="428"/>
      <c r="I2533" s="428"/>
      <c r="J2533" s="426"/>
      <c r="K2533" s="426"/>
      <c r="L2533" s="187">
        <v>190</v>
      </c>
      <c r="M2533" s="557"/>
      <c r="N2533" s="91">
        <f t="shared" si="460"/>
        <v>190</v>
      </c>
      <c r="O2533" s="411">
        <f t="shared" si="464"/>
        <v>-190</v>
      </c>
      <c r="P2533" s="132" t="s">
        <v>46</v>
      </c>
      <c r="Q2533" s="232"/>
      <c r="R2533" s="411"/>
      <c r="T2533" s="441"/>
      <c r="U2533" s="447"/>
      <c r="V2533" s="133" t="s">
        <v>5859</v>
      </c>
      <c r="AA2533" s="474"/>
    </row>
    <row r="2534" spans="1:27" ht="24" x14ac:dyDescent="0.25">
      <c r="A2534" s="419">
        <v>3001924</v>
      </c>
      <c r="B2534" s="421">
        <v>42487</v>
      </c>
      <c r="C2534" s="419" t="s">
        <v>63</v>
      </c>
      <c r="D2534" s="417" t="s">
        <v>5860</v>
      </c>
      <c r="E2534" s="120">
        <v>400</v>
      </c>
      <c r="F2534" s="133" t="s">
        <v>5861</v>
      </c>
      <c r="G2534" s="434" t="s">
        <v>45</v>
      </c>
      <c r="H2534" s="427">
        <v>1956</v>
      </c>
      <c r="I2534" s="427">
        <v>0</v>
      </c>
      <c r="J2534" s="425">
        <f>-((H2534*0.022)+0.3)</f>
        <v>-43.331999999999994</v>
      </c>
      <c r="K2534" s="425">
        <f t="shared" si="470"/>
        <v>1912.6680000000001</v>
      </c>
      <c r="L2534" s="187">
        <v>552</v>
      </c>
      <c r="M2534" s="187">
        <v>10.18</v>
      </c>
      <c r="N2534" s="91">
        <f t="shared" si="460"/>
        <v>230.98000000000002</v>
      </c>
      <c r="O2534" s="411">
        <f t="shared" si="464"/>
        <v>1681.6880000000001</v>
      </c>
      <c r="P2534" s="132" t="s">
        <v>76</v>
      </c>
      <c r="Q2534" s="232"/>
      <c r="R2534" s="411"/>
      <c r="T2534" s="134" t="s">
        <v>145</v>
      </c>
      <c r="U2534" s="267" t="s">
        <v>5862</v>
      </c>
      <c r="V2534" s="133" t="s">
        <v>5863</v>
      </c>
      <c r="W2534" s="153" t="s">
        <v>5864</v>
      </c>
      <c r="AA2534" s="473">
        <v>10</v>
      </c>
    </row>
    <row r="2535" spans="1:27" x14ac:dyDescent="0.25">
      <c r="A2535" s="432"/>
      <c r="B2535" s="433"/>
      <c r="C2535" s="432"/>
      <c r="D2535" s="454"/>
      <c r="E2535" s="120">
        <v>400</v>
      </c>
      <c r="F2535" s="133" t="s">
        <v>5865</v>
      </c>
      <c r="G2535" s="435"/>
      <c r="H2535" s="438"/>
      <c r="I2535" s="438"/>
      <c r="J2535" s="437"/>
      <c r="K2535" s="437"/>
      <c r="L2535" s="187">
        <v>1110</v>
      </c>
      <c r="M2535" s="187">
        <v>115</v>
      </c>
      <c r="N2535" s="91">
        <f t="shared" si="460"/>
        <v>559</v>
      </c>
      <c r="O2535" s="411">
        <f t="shared" si="464"/>
        <v>-559</v>
      </c>
      <c r="P2535" s="132" t="s">
        <v>183</v>
      </c>
      <c r="Q2535" s="232"/>
      <c r="R2535" s="411"/>
      <c r="T2535" s="439" t="s">
        <v>60</v>
      </c>
      <c r="U2535" s="446" t="s">
        <v>5866</v>
      </c>
      <c r="V2535" s="133" t="s">
        <v>5867</v>
      </c>
      <c r="AA2535" s="478"/>
    </row>
    <row r="2536" spans="1:27" x14ac:dyDescent="0.25">
      <c r="A2536" s="432"/>
      <c r="B2536" s="433"/>
      <c r="C2536" s="432"/>
      <c r="D2536" s="454"/>
      <c r="E2536" s="120">
        <v>400</v>
      </c>
      <c r="F2536" s="133" t="s">
        <v>5868</v>
      </c>
      <c r="G2536" s="435"/>
      <c r="H2536" s="438"/>
      <c r="I2536" s="438"/>
      <c r="J2536" s="437"/>
      <c r="K2536" s="437"/>
      <c r="L2536" s="187">
        <v>1110</v>
      </c>
      <c r="M2536" s="187"/>
      <c r="N2536" s="91">
        <f t="shared" si="460"/>
        <v>444</v>
      </c>
      <c r="O2536" s="411">
        <f t="shared" si="464"/>
        <v>-444</v>
      </c>
      <c r="P2536" s="132" t="s">
        <v>183</v>
      </c>
      <c r="Q2536" s="232"/>
      <c r="R2536" s="411"/>
      <c r="T2536" s="440"/>
      <c r="U2536" s="448"/>
      <c r="V2536" s="133" t="s">
        <v>5867</v>
      </c>
      <c r="AA2536" s="478"/>
    </row>
    <row r="2537" spans="1:27" x14ac:dyDescent="0.25">
      <c r="A2537" s="420"/>
      <c r="B2537" s="422"/>
      <c r="C2537" s="420"/>
      <c r="D2537" s="418"/>
      <c r="E2537" s="120">
        <v>400</v>
      </c>
      <c r="F2537" s="133" t="s">
        <v>5869</v>
      </c>
      <c r="G2537" s="436"/>
      <c r="H2537" s="428"/>
      <c r="I2537" s="428"/>
      <c r="J2537" s="426"/>
      <c r="K2537" s="426"/>
      <c r="L2537" s="187">
        <v>1110</v>
      </c>
      <c r="M2537" s="187"/>
      <c r="N2537" s="91">
        <f t="shared" si="460"/>
        <v>444</v>
      </c>
      <c r="O2537" s="411">
        <f t="shared" si="464"/>
        <v>-444</v>
      </c>
      <c r="P2537" s="132" t="s">
        <v>183</v>
      </c>
      <c r="Q2537" s="232"/>
      <c r="R2537" s="411"/>
      <c r="T2537" s="441"/>
      <c r="U2537" s="447"/>
      <c r="V2537" s="133" t="s">
        <v>5867</v>
      </c>
      <c r="AA2537" s="474"/>
    </row>
    <row r="2538" spans="1:27" ht="24" x14ac:dyDescent="0.25">
      <c r="A2538" s="405">
        <v>3001925</v>
      </c>
      <c r="B2538" s="406">
        <v>42487</v>
      </c>
      <c r="C2538" s="405" t="s">
        <v>5682</v>
      </c>
      <c r="D2538" s="401" t="s">
        <v>5870</v>
      </c>
      <c r="E2538" s="120">
        <v>100</v>
      </c>
      <c r="F2538" s="133" t="s">
        <v>247</v>
      </c>
      <c r="G2538" s="404" t="s">
        <v>45</v>
      </c>
      <c r="H2538" s="411">
        <v>123.4</v>
      </c>
      <c r="I2538" s="397">
        <f t="shared" ref="I2538:I2547" si="471">-(H2538*0.09)</f>
        <v>-11.106</v>
      </c>
      <c r="J2538" s="391">
        <f t="shared" ref="J2538:J2547" si="472">-((H2538*0.019)+0.3)</f>
        <v>-2.6446000000000001</v>
      </c>
      <c r="K2538" s="396">
        <f t="shared" ref="K2538:K2549" si="473">SUM(H2538:J2538)</f>
        <v>109.64940000000001</v>
      </c>
      <c r="L2538" s="131">
        <v>540</v>
      </c>
      <c r="M2538" s="187">
        <v>35.08</v>
      </c>
      <c r="N2538" s="91">
        <f t="shared" si="460"/>
        <v>89.08</v>
      </c>
      <c r="O2538" s="411">
        <f t="shared" si="464"/>
        <v>20.569400000000016</v>
      </c>
      <c r="P2538" s="132" t="s">
        <v>52</v>
      </c>
      <c r="Q2538" s="232"/>
      <c r="R2538" s="411"/>
      <c r="T2538" s="134" t="s">
        <v>145</v>
      </c>
      <c r="U2538" s="267" t="s">
        <v>5871</v>
      </c>
      <c r="AA2538" s="218"/>
    </row>
    <row r="2539" spans="1:27" x14ac:dyDescent="0.25">
      <c r="A2539" s="419">
        <v>3001926</v>
      </c>
      <c r="B2539" s="421">
        <v>42487</v>
      </c>
      <c r="C2539" s="419" t="s">
        <v>5682</v>
      </c>
      <c r="D2539" s="417" t="s">
        <v>5872</v>
      </c>
      <c r="E2539" s="120">
        <v>250</v>
      </c>
      <c r="F2539" s="133" t="s">
        <v>950</v>
      </c>
      <c r="G2539" s="434" t="s">
        <v>45</v>
      </c>
      <c r="H2539" s="427">
        <v>1450.52</v>
      </c>
      <c r="I2539" s="452">
        <f t="shared" si="471"/>
        <v>-130.54679999999999</v>
      </c>
      <c r="J2539" s="425">
        <f t="shared" si="472"/>
        <v>-27.85988</v>
      </c>
      <c r="K2539" s="425">
        <f t="shared" si="473"/>
        <v>1292.1133199999999</v>
      </c>
      <c r="L2539" s="187">
        <v>725</v>
      </c>
      <c r="M2539" s="187">
        <v>77</v>
      </c>
      <c r="N2539" s="91">
        <f t="shared" ref="N2539:N2602" si="474">((L2539)*(E2539*0.001))+M2539</f>
        <v>258.25</v>
      </c>
      <c r="O2539" s="411">
        <f t="shared" si="464"/>
        <v>1033.8633199999999</v>
      </c>
      <c r="P2539" s="132" t="s">
        <v>46</v>
      </c>
      <c r="Q2539" s="232"/>
      <c r="R2539" s="411"/>
      <c r="T2539" s="134" t="s">
        <v>5873</v>
      </c>
      <c r="U2539" s="267" t="s">
        <v>5874</v>
      </c>
      <c r="AA2539" s="218"/>
    </row>
    <row r="2540" spans="1:27" x14ac:dyDescent="0.25">
      <c r="A2540" s="420"/>
      <c r="B2540" s="422"/>
      <c r="C2540" s="420"/>
      <c r="D2540" s="418"/>
      <c r="E2540" s="120">
        <v>500</v>
      </c>
      <c r="F2540" s="133" t="s">
        <v>431</v>
      </c>
      <c r="G2540" s="436"/>
      <c r="H2540" s="428"/>
      <c r="I2540" s="453"/>
      <c r="J2540" s="426"/>
      <c r="K2540" s="426"/>
      <c r="L2540" s="131">
        <v>990</v>
      </c>
      <c r="M2540" s="187">
        <v>107.92</v>
      </c>
      <c r="N2540" s="91">
        <f t="shared" si="474"/>
        <v>602.91999999999996</v>
      </c>
      <c r="O2540" s="411">
        <f t="shared" si="464"/>
        <v>-602.91999999999996</v>
      </c>
      <c r="P2540" s="132" t="s">
        <v>52</v>
      </c>
      <c r="Q2540" s="232"/>
      <c r="R2540" s="411"/>
      <c r="T2540" s="134" t="s">
        <v>5856</v>
      </c>
      <c r="U2540" s="267" t="s">
        <v>5875</v>
      </c>
      <c r="V2540" s="133" t="s">
        <v>5876</v>
      </c>
      <c r="AA2540" s="218"/>
    </row>
    <row r="2541" spans="1:27" ht="24" x14ac:dyDescent="0.25">
      <c r="A2541" s="405">
        <v>3001927</v>
      </c>
      <c r="B2541" s="406">
        <v>42487</v>
      </c>
      <c r="C2541" s="405" t="s">
        <v>5682</v>
      </c>
      <c r="D2541" s="401" t="s">
        <v>5877</v>
      </c>
      <c r="E2541" s="120">
        <v>100</v>
      </c>
      <c r="F2541" s="133" t="s">
        <v>939</v>
      </c>
      <c r="G2541" s="404" t="s">
        <v>45</v>
      </c>
      <c r="H2541" s="411">
        <v>128.57</v>
      </c>
      <c r="I2541" s="397">
        <f t="shared" si="471"/>
        <v>-11.571299999999999</v>
      </c>
      <c r="J2541" s="391">
        <f t="shared" si="472"/>
        <v>-2.7428299999999997</v>
      </c>
      <c r="K2541" s="396">
        <f t="shared" si="473"/>
        <v>114.25587</v>
      </c>
      <c r="L2541" s="131">
        <v>445</v>
      </c>
      <c r="M2541" s="187">
        <v>31.03</v>
      </c>
      <c r="N2541" s="91">
        <f t="shared" si="474"/>
        <v>75.53</v>
      </c>
      <c r="O2541" s="411">
        <f t="shared" si="464"/>
        <v>38.72587</v>
      </c>
      <c r="P2541" s="132" t="s">
        <v>52</v>
      </c>
      <c r="Q2541" s="232"/>
      <c r="R2541" s="411"/>
      <c r="T2541" s="134" t="s">
        <v>145</v>
      </c>
      <c r="U2541" s="267" t="s">
        <v>5878</v>
      </c>
      <c r="AA2541" s="218"/>
    </row>
    <row r="2542" spans="1:27" ht="24" x14ac:dyDescent="0.25">
      <c r="A2542" s="405">
        <v>3001928</v>
      </c>
      <c r="B2542" s="406">
        <v>42487</v>
      </c>
      <c r="C2542" s="405" t="s">
        <v>5682</v>
      </c>
      <c r="D2542" s="401" t="s">
        <v>5879</v>
      </c>
      <c r="E2542" s="120">
        <v>1000</v>
      </c>
      <c r="F2542" s="119" t="s">
        <v>5880</v>
      </c>
      <c r="G2542" s="404" t="s">
        <v>45</v>
      </c>
      <c r="H2542" s="411">
        <v>253.98</v>
      </c>
      <c r="I2542" s="397">
        <f t="shared" si="471"/>
        <v>-22.858199999999997</v>
      </c>
      <c r="J2542" s="391">
        <f t="shared" si="472"/>
        <v>-5.1256199999999996</v>
      </c>
      <c r="K2542" s="396">
        <f t="shared" si="473"/>
        <v>225.99618000000001</v>
      </c>
      <c r="L2542" s="187">
        <v>110</v>
      </c>
      <c r="M2542" s="187">
        <v>23.13</v>
      </c>
      <c r="N2542" s="91">
        <f t="shared" si="474"/>
        <v>133.13</v>
      </c>
      <c r="O2542" s="411">
        <f t="shared" si="464"/>
        <v>92.866180000000014</v>
      </c>
      <c r="P2542" s="132" t="s">
        <v>183</v>
      </c>
      <c r="Q2542" s="232"/>
      <c r="R2542" s="411"/>
      <c r="T2542" s="134" t="s">
        <v>145</v>
      </c>
      <c r="U2542" s="267" t="s">
        <v>5881</v>
      </c>
      <c r="AA2542" s="218"/>
    </row>
    <row r="2543" spans="1:27" ht="24" x14ac:dyDescent="0.25">
      <c r="A2543" s="405">
        <v>3001929</v>
      </c>
      <c r="B2543" s="406">
        <v>42487</v>
      </c>
      <c r="C2543" s="405" t="s">
        <v>5682</v>
      </c>
      <c r="D2543" s="401" t="s">
        <v>5882</v>
      </c>
      <c r="E2543" s="120">
        <v>100</v>
      </c>
      <c r="F2543" s="133" t="s">
        <v>217</v>
      </c>
      <c r="G2543" s="404" t="s">
        <v>45</v>
      </c>
      <c r="H2543" s="411">
        <v>235</v>
      </c>
      <c r="I2543" s="397">
        <f t="shared" si="471"/>
        <v>-21.15</v>
      </c>
      <c r="J2543" s="391">
        <f t="shared" si="472"/>
        <v>-4.7649999999999997</v>
      </c>
      <c r="K2543" s="396">
        <f t="shared" si="473"/>
        <v>209.08500000000001</v>
      </c>
      <c r="L2543" s="131">
        <v>1322</v>
      </c>
      <c r="M2543" s="187">
        <v>55.57</v>
      </c>
      <c r="N2543" s="91">
        <f t="shared" si="474"/>
        <v>187.77</v>
      </c>
      <c r="O2543" s="411">
        <f t="shared" si="464"/>
        <v>21.314999999999998</v>
      </c>
      <c r="P2543" s="132" t="s">
        <v>52</v>
      </c>
      <c r="Q2543" s="232"/>
      <c r="R2543" s="411"/>
      <c r="T2543" s="134" t="s">
        <v>145</v>
      </c>
      <c r="U2543" s="267" t="s">
        <v>5883</v>
      </c>
      <c r="AA2543" s="218"/>
    </row>
    <row r="2544" spans="1:27" ht="24" x14ac:dyDescent="0.25">
      <c r="A2544" s="405">
        <v>3001930</v>
      </c>
      <c r="B2544" s="406">
        <v>42487</v>
      </c>
      <c r="C2544" s="405" t="s">
        <v>5682</v>
      </c>
      <c r="D2544" s="401" t="s">
        <v>5884</v>
      </c>
      <c r="E2544" s="120">
        <v>250</v>
      </c>
      <c r="F2544" s="133" t="s">
        <v>877</v>
      </c>
      <c r="G2544" s="404" t="s">
        <v>45</v>
      </c>
      <c r="H2544" s="411">
        <v>184.89</v>
      </c>
      <c r="I2544" s="397">
        <f t="shared" si="471"/>
        <v>-16.640099999999997</v>
      </c>
      <c r="J2544" s="391">
        <f t="shared" si="472"/>
        <v>-3.8129099999999996</v>
      </c>
      <c r="K2544" s="396">
        <f t="shared" si="473"/>
        <v>164.43699000000001</v>
      </c>
      <c r="L2544" s="131">
        <v>235</v>
      </c>
      <c r="M2544" s="187">
        <v>39.19</v>
      </c>
      <c r="N2544" s="91">
        <f t="shared" si="474"/>
        <v>97.94</v>
      </c>
      <c r="O2544" s="411">
        <f t="shared" si="464"/>
        <v>66.496990000000011</v>
      </c>
      <c r="P2544" s="132" t="s">
        <v>52</v>
      </c>
      <c r="Q2544" s="232"/>
      <c r="R2544" s="411"/>
      <c r="T2544" s="134" t="s">
        <v>145</v>
      </c>
      <c r="U2544" s="267" t="s">
        <v>5885</v>
      </c>
      <c r="AA2544" s="218"/>
    </row>
    <row r="2545" spans="1:27" ht="24" x14ac:dyDescent="0.25">
      <c r="A2545" s="405">
        <v>3001931</v>
      </c>
      <c r="B2545" s="406">
        <v>42487</v>
      </c>
      <c r="C2545" s="405" t="s">
        <v>5682</v>
      </c>
      <c r="D2545" s="401" t="s">
        <v>5886</v>
      </c>
      <c r="E2545" s="120">
        <v>125</v>
      </c>
      <c r="F2545" s="133" t="s">
        <v>176</v>
      </c>
      <c r="G2545" s="404" t="s">
        <v>45</v>
      </c>
      <c r="H2545" s="411">
        <v>407.31</v>
      </c>
      <c r="I2545" s="397">
        <f t="shared" si="471"/>
        <v>-36.657899999999998</v>
      </c>
      <c r="J2545" s="391">
        <f t="shared" si="472"/>
        <v>-8.0388900000000003</v>
      </c>
      <c r="K2545" s="396">
        <f t="shared" si="473"/>
        <v>362.61321000000004</v>
      </c>
      <c r="L2545" s="131">
        <v>1693</v>
      </c>
      <c r="M2545" s="187">
        <v>64.55</v>
      </c>
      <c r="N2545" s="91">
        <f t="shared" si="474"/>
        <v>276.17500000000001</v>
      </c>
      <c r="O2545" s="411">
        <f t="shared" si="464"/>
        <v>86.438210000000026</v>
      </c>
      <c r="P2545" s="132" t="s">
        <v>52</v>
      </c>
      <c r="Q2545" s="232"/>
      <c r="R2545" s="411"/>
      <c r="T2545" s="134" t="s">
        <v>145</v>
      </c>
      <c r="U2545" s="267" t="s">
        <v>5887</v>
      </c>
      <c r="AA2545" s="218"/>
    </row>
    <row r="2546" spans="1:27" ht="24" x14ac:dyDescent="0.25">
      <c r="A2546" s="405">
        <v>3001932</v>
      </c>
      <c r="B2546" s="406">
        <v>42487</v>
      </c>
      <c r="C2546" s="405" t="s">
        <v>5682</v>
      </c>
      <c r="D2546" s="401" t="s">
        <v>5888</v>
      </c>
      <c r="E2546" s="120">
        <v>250</v>
      </c>
      <c r="F2546" s="133" t="s">
        <v>5889</v>
      </c>
      <c r="G2546" s="404" t="s">
        <v>45</v>
      </c>
      <c r="H2546" s="411">
        <v>522.5</v>
      </c>
      <c r="I2546" s="397">
        <f t="shared" si="471"/>
        <v>-47.024999999999999</v>
      </c>
      <c r="J2546" s="391">
        <f t="shared" si="472"/>
        <v>-10.227500000000001</v>
      </c>
      <c r="K2546" s="396">
        <f t="shared" si="473"/>
        <v>465.2475</v>
      </c>
      <c r="L2546" s="187">
        <v>770</v>
      </c>
      <c r="M2546" s="187">
        <v>39.35</v>
      </c>
      <c r="N2546" s="91">
        <f t="shared" si="474"/>
        <v>231.85</v>
      </c>
      <c r="O2546" s="411">
        <f t="shared" si="464"/>
        <v>233.39750000000001</v>
      </c>
      <c r="P2546" s="132" t="s">
        <v>235</v>
      </c>
      <c r="Q2546" s="232"/>
      <c r="R2546" s="411"/>
      <c r="T2546" s="134" t="s">
        <v>145</v>
      </c>
      <c r="U2546" s="267" t="s">
        <v>5890</v>
      </c>
      <c r="AA2546" s="218"/>
    </row>
    <row r="2547" spans="1:27" x14ac:dyDescent="0.25">
      <c r="A2547" s="419">
        <v>3001933</v>
      </c>
      <c r="B2547" s="421">
        <v>42487</v>
      </c>
      <c r="C2547" s="419" t="s">
        <v>5682</v>
      </c>
      <c r="D2547" s="417" t="s">
        <v>5891</v>
      </c>
      <c r="E2547" s="120">
        <v>200</v>
      </c>
      <c r="F2547" s="133" t="s">
        <v>5892</v>
      </c>
      <c r="G2547" s="434" t="s">
        <v>45</v>
      </c>
      <c r="H2547" s="427">
        <v>1374.95</v>
      </c>
      <c r="I2547" s="452">
        <f t="shared" si="471"/>
        <v>-123.74549999999999</v>
      </c>
      <c r="J2547" s="425">
        <f t="shared" si="472"/>
        <v>-26.424050000000001</v>
      </c>
      <c r="K2547" s="425">
        <f t="shared" si="473"/>
        <v>1224.78045</v>
      </c>
      <c r="L2547" s="187">
        <v>2250</v>
      </c>
      <c r="M2547" s="131">
        <v>0</v>
      </c>
      <c r="N2547" s="91">
        <f t="shared" si="474"/>
        <v>450</v>
      </c>
      <c r="O2547" s="411">
        <f t="shared" si="464"/>
        <v>774.78044999999997</v>
      </c>
      <c r="P2547" s="132" t="s">
        <v>601</v>
      </c>
      <c r="Q2547" s="232"/>
      <c r="R2547" s="411"/>
      <c r="T2547" s="439" t="s">
        <v>473</v>
      </c>
      <c r="U2547" s="446" t="s">
        <v>5893</v>
      </c>
      <c r="AA2547" s="218"/>
    </row>
    <row r="2548" spans="1:27" x14ac:dyDescent="0.25">
      <c r="A2548" s="420"/>
      <c r="B2548" s="422"/>
      <c r="C2548" s="420"/>
      <c r="D2548" s="418"/>
      <c r="E2548" s="120">
        <v>500</v>
      </c>
      <c r="F2548" s="133" t="s">
        <v>4884</v>
      </c>
      <c r="G2548" s="436"/>
      <c r="H2548" s="428"/>
      <c r="I2548" s="453"/>
      <c r="J2548" s="426"/>
      <c r="K2548" s="426"/>
      <c r="L2548" s="187">
        <v>480</v>
      </c>
      <c r="N2548" s="91">
        <f t="shared" si="474"/>
        <v>240</v>
      </c>
      <c r="O2548" s="411">
        <f t="shared" si="464"/>
        <v>-240</v>
      </c>
      <c r="P2548" s="132" t="s">
        <v>601</v>
      </c>
      <c r="Q2548" s="232"/>
      <c r="R2548" s="411"/>
      <c r="T2548" s="441"/>
      <c r="U2548" s="447"/>
      <c r="AA2548" s="218"/>
    </row>
    <row r="2549" spans="1:27" x14ac:dyDescent="0.25">
      <c r="A2549" s="419">
        <v>3001934</v>
      </c>
      <c r="B2549" s="421">
        <v>42487</v>
      </c>
      <c r="C2549" s="419" t="s">
        <v>63</v>
      </c>
      <c r="D2549" s="417" t="s">
        <v>5894</v>
      </c>
      <c r="E2549" s="120">
        <v>660</v>
      </c>
      <c r="F2549" s="133" t="s">
        <v>5895</v>
      </c>
      <c r="G2549" s="434" t="s">
        <v>45</v>
      </c>
      <c r="H2549" s="427">
        <v>6480</v>
      </c>
      <c r="I2549" s="427">
        <v>0</v>
      </c>
      <c r="J2549" s="425">
        <f>-((H2549*0.022)+0.3)</f>
        <v>-142.86000000000001</v>
      </c>
      <c r="K2549" s="425">
        <f t="shared" si="473"/>
        <v>6337.14</v>
      </c>
      <c r="L2549" s="131">
        <v>2500</v>
      </c>
      <c r="M2549" s="468">
        <v>154.44999999999999</v>
      </c>
      <c r="N2549" s="91">
        <f t="shared" si="474"/>
        <v>1804.45</v>
      </c>
      <c r="O2549" s="411">
        <f t="shared" si="464"/>
        <v>4532.6900000000005</v>
      </c>
      <c r="P2549" s="132" t="s">
        <v>86</v>
      </c>
      <c r="Q2549" s="232"/>
      <c r="R2549" s="411"/>
      <c r="T2549" s="439" t="s">
        <v>875</v>
      </c>
      <c r="U2549" s="446" t="s">
        <v>5896</v>
      </c>
      <c r="AA2549" s="473">
        <v>50</v>
      </c>
    </row>
    <row r="2550" spans="1:27" x14ac:dyDescent="0.25">
      <c r="A2550" s="432"/>
      <c r="B2550" s="433"/>
      <c r="C2550" s="432"/>
      <c r="D2550" s="454"/>
      <c r="E2550" s="120">
        <v>510</v>
      </c>
      <c r="F2550" s="133" t="s">
        <v>5897</v>
      </c>
      <c r="G2550" s="435"/>
      <c r="H2550" s="438"/>
      <c r="I2550" s="438"/>
      <c r="J2550" s="437"/>
      <c r="K2550" s="437"/>
      <c r="L2550" s="131">
        <v>4990</v>
      </c>
      <c r="M2550" s="491"/>
      <c r="N2550" s="91">
        <f t="shared" si="474"/>
        <v>2544.9</v>
      </c>
      <c r="O2550" s="411">
        <f t="shared" si="464"/>
        <v>-2544.9</v>
      </c>
      <c r="P2550" s="132" t="s">
        <v>86</v>
      </c>
      <c r="Q2550" s="232"/>
      <c r="R2550" s="411"/>
      <c r="T2550" s="440"/>
      <c r="U2550" s="448"/>
      <c r="W2550" s="153" t="s">
        <v>5898</v>
      </c>
      <c r="AA2550" s="478"/>
    </row>
    <row r="2551" spans="1:27" x14ac:dyDescent="0.25">
      <c r="A2551" s="432"/>
      <c r="B2551" s="433"/>
      <c r="C2551" s="432"/>
      <c r="D2551" s="454"/>
      <c r="E2551" s="120">
        <v>500</v>
      </c>
      <c r="F2551" s="133" t="s">
        <v>4799</v>
      </c>
      <c r="G2551" s="435"/>
      <c r="H2551" s="438"/>
      <c r="I2551" s="438"/>
      <c r="J2551" s="437"/>
      <c r="K2551" s="437"/>
      <c r="L2551" s="187">
        <v>1616.96</v>
      </c>
      <c r="M2551" s="491"/>
      <c r="N2551" s="91">
        <f t="shared" si="474"/>
        <v>808.48</v>
      </c>
      <c r="O2551" s="411">
        <f t="shared" si="464"/>
        <v>-808.48</v>
      </c>
      <c r="P2551" s="132" t="s">
        <v>76</v>
      </c>
      <c r="Q2551" s="232"/>
      <c r="R2551" s="411"/>
      <c r="T2551" s="440"/>
      <c r="U2551" s="448"/>
      <c r="V2551" s="133" t="s">
        <v>5899</v>
      </c>
      <c r="AA2551" s="478"/>
    </row>
    <row r="2552" spans="1:27" x14ac:dyDescent="0.25">
      <c r="A2552" s="420"/>
      <c r="B2552" s="422"/>
      <c r="C2552" s="420"/>
      <c r="D2552" s="418"/>
      <c r="E2552" s="120">
        <v>500</v>
      </c>
      <c r="F2552" s="133" t="s">
        <v>5900</v>
      </c>
      <c r="G2552" s="436"/>
      <c r="H2552" s="428"/>
      <c r="I2552" s="428"/>
      <c r="J2552" s="426"/>
      <c r="K2552" s="426"/>
      <c r="L2552" s="187">
        <v>656.16</v>
      </c>
      <c r="M2552" s="469"/>
      <c r="N2552" s="91">
        <f t="shared" si="474"/>
        <v>328.08</v>
      </c>
      <c r="O2552" s="411">
        <f t="shared" si="464"/>
        <v>-328.08</v>
      </c>
      <c r="P2552" s="132" t="s">
        <v>76</v>
      </c>
      <c r="Q2552" s="232"/>
      <c r="R2552" s="411"/>
      <c r="T2552" s="441"/>
      <c r="U2552" s="447"/>
      <c r="V2552" s="133" t="s">
        <v>5899</v>
      </c>
      <c r="AA2552" s="474"/>
    </row>
    <row r="2553" spans="1:27" x14ac:dyDescent="0.25">
      <c r="A2553" s="405">
        <v>3001935</v>
      </c>
      <c r="B2553" s="406">
        <v>42488</v>
      </c>
      <c r="C2553" s="405" t="s">
        <v>555</v>
      </c>
      <c r="D2553" s="401" t="s">
        <v>3827</v>
      </c>
      <c r="E2553" s="120">
        <v>8000</v>
      </c>
      <c r="F2553" s="133" t="s">
        <v>5901</v>
      </c>
      <c r="G2553" s="404" t="s">
        <v>45</v>
      </c>
      <c r="H2553" s="411">
        <v>8250</v>
      </c>
      <c r="I2553" s="411">
        <v>0</v>
      </c>
      <c r="J2553" s="411">
        <v>0</v>
      </c>
      <c r="K2553" s="396">
        <f t="shared" ref="K2553:K2580" si="475">SUM(H2553:J2553)</f>
        <v>8250</v>
      </c>
      <c r="L2553" s="187">
        <v>800</v>
      </c>
      <c r="M2553" s="131">
        <v>0</v>
      </c>
      <c r="N2553" s="91">
        <f t="shared" si="474"/>
        <v>6400</v>
      </c>
      <c r="O2553" s="411">
        <f t="shared" si="464"/>
        <v>1850</v>
      </c>
      <c r="P2553" s="132" t="s">
        <v>46</v>
      </c>
      <c r="Q2553" s="232"/>
      <c r="R2553" s="411"/>
      <c r="T2553" s="134" t="s">
        <v>47</v>
      </c>
      <c r="U2553" s="267" t="s">
        <v>5902</v>
      </c>
      <c r="W2553" s="153" t="s">
        <v>5903</v>
      </c>
      <c r="AA2553" s="218">
        <v>100</v>
      </c>
    </row>
    <row r="2554" spans="1:27" ht="24" x14ac:dyDescent="0.25">
      <c r="A2554" s="405">
        <v>3001936</v>
      </c>
      <c r="B2554" s="406">
        <v>42488</v>
      </c>
      <c r="C2554" s="405" t="s">
        <v>63</v>
      </c>
      <c r="D2554" s="401" t="s">
        <v>5904</v>
      </c>
      <c r="E2554" s="120">
        <v>240</v>
      </c>
      <c r="F2554" s="133" t="s">
        <v>506</v>
      </c>
      <c r="G2554" s="404" t="s">
        <v>45</v>
      </c>
      <c r="H2554" s="411">
        <v>290</v>
      </c>
      <c r="I2554" s="411">
        <v>0</v>
      </c>
      <c r="J2554" s="391">
        <f>-((H2554*0.022)+0.3)</f>
        <v>-6.68</v>
      </c>
      <c r="K2554" s="396">
        <f t="shared" si="475"/>
        <v>283.32</v>
      </c>
      <c r="L2554" s="131">
        <v>731</v>
      </c>
      <c r="M2554" s="187">
        <v>61.71</v>
      </c>
      <c r="N2554" s="91">
        <f t="shared" si="474"/>
        <v>237.15</v>
      </c>
      <c r="O2554" s="411">
        <f t="shared" si="464"/>
        <v>46.169999999999987</v>
      </c>
      <c r="P2554" s="132" t="s">
        <v>86</v>
      </c>
      <c r="Q2554" s="232"/>
      <c r="R2554" s="411"/>
      <c r="T2554" s="134" t="s">
        <v>145</v>
      </c>
      <c r="U2554" s="267" t="s">
        <v>5905</v>
      </c>
      <c r="W2554" s="153" t="s">
        <v>5906</v>
      </c>
      <c r="AA2554" s="218"/>
    </row>
    <row r="2555" spans="1:27" ht="24" x14ac:dyDescent="0.25">
      <c r="A2555" s="405">
        <v>3001937</v>
      </c>
      <c r="B2555" s="406">
        <v>42488</v>
      </c>
      <c r="C2555" s="405" t="s">
        <v>63</v>
      </c>
      <c r="D2555" s="401" t="s">
        <v>5907</v>
      </c>
      <c r="E2555" s="120">
        <v>80</v>
      </c>
      <c r="F2555" s="133" t="s">
        <v>422</v>
      </c>
      <c r="G2555" s="404" t="s">
        <v>45</v>
      </c>
      <c r="H2555" s="411">
        <v>137</v>
      </c>
      <c r="I2555" s="411">
        <v>0</v>
      </c>
      <c r="J2555" s="391">
        <f>-((H2555*0.022)+0.3)</f>
        <v>-3.3139999999999996</v>
      </c>
      <c r="K2555" s="396">
        <f t="shared" si="475"/>
        <v>133.68600000000001</v>
      </c>
      <c r="L2555" s="131">
        <v>690</v>
      </c>
      <c r="M2555" s="187">
        <v>42.85</v>
      </c>
      <c r="N2555" s="91">
        <f t="shared" si="474"/>
        <v>98.050000000000011</v>
      </c>
      <c r="O2555" s="411">
        <f t="shared" si="464"/>
        <v>35.635999999999996</v>
      </c>
      <c r="P2555" s="132" t="s">
        <v>52</v>
      </c>
      <c r="Q2555" s="232"/>
      <c r="R2555" s="411"/>
      <c r="T2555" s="134" t="s">
        <v>145</v>
      </c>
      <c r="U2555" s="267" t="s">
        <v>5908</v>
      </c>
      <c r="W2555" s="153" t="s">
        <v>5909</v>
      </c>
      <c r="AA2555" s="218"/>
    </row>
    <row r="2556" spans="1:27" x14ac:dyDescent="0.25">
      <c r="A2556" s="405">
        <v>3001938</v>
      </c>
      <c r="B2556" s="406">
        <v>42488</v>
      </c>
      <c r="C2556" s="405" t="s">
        <v>327</v>
      </c>
      <c r="D2556" s="401" t="s">
        <v>5910</v>
      </c>
      <c r="E2556" s="120">
        <v>550</v>
      </c>
      <c r="F2556" s="133" t="s">
        <v>1547</v>
      </c>
      <c r="G2556" s="404" t="s">
        <v>45</v>
      </c>
      <c r="H2556" s="411">
        <v>550</v>
      </c>
      <c r="I2556" s="411">
        <v>0</v>
      </c>
      <c r="J2556" s="391">
        <f>-((H2556*0.022)+0.3)</f>
        <v>-12.4</v>
      </c>
      <c r="K2556" s="396">
        <f t="shared" si="475"/>
        <v>537.6</v>
      </c>
      <c r="L2556" s="131">
        <v>385</v>
      </c>
      <c r="M2556" s="187">
        <v>193.87</v>
      </c>
      <c r="N2556" s="91">
        <f t="shared" si="474"/>
        <v>405.62</v>
      </c>
      <c r="O2556" s="411">
        <f t="shared" si="464"/>
        <v>131.98000000000002</v>
      </c>
      <c r="P2556" s="132" t="s">
        <v>52</v>
      </c>
      <c r="Q2556" s="232"/>
      <c r="R2556" s="411"/>
      <c r="T2556" s="134" t="s">
        <v>244</v>
      </c>
      <c r="U2556" s="267" t="s">
        <v>5911</v>
      </c>
      <c r="V2556" s="133" t="s">
        <v>55</v>
      </c>
      <c r="W2556" s="153" t="s">
        <v>5912</v>
      </c>
      <c r="AA2556" s="218"/>
    </row>
    <row r="2557" spans="1:27" x14ac:dyDescent="0.25">
      <c r="A2557" s="419">
        <v>3001939</v>
      </c>
      <c r="B2557" s="421">
        <v>42488</v>
      </c>
      <c r="C2557" s="419" t="s">
        <v>63</v>
      </c>
      <c r="D2557" s="417" t="s">
        <v>4674</v>
      </c>
      <c r="E2557" s="120">
        <v>500</v>
      </c>
      <c r="F2557" s="133" t="s">
        <v>1293</v>
      </c>
      <c r="G2557" s="434" t="s">
        <v>45</v>
      </c>
      <c r="H2557" s="427">
        <v>1040</v>
      </c>
      <c r="I2557" s="427">
        <v>0</v>
      </c>
      <c r="J2557" s="425">
        <f>-((H2557*0.022)+0.3)</f>
        <v>-23.18</v>
      </c>
      <c r="K2557" s="425">
        <f t="shared" si="475"/>
        <v>1016.82</v>
      </c>
      <c r="L2557" s="131">
        <v>523</v>
      </c>
      <c r="M2557" s="468">
        <v>129.76</v>
      </c>
      <c r="N2557" s="91">
        <f t="shared" si="474"/>
        <v>391.26</v>
      </c>
      <c r="O2557" s="411">
        <f t="shared" si="464"/>
        <v>625.56000000000006</v>
      </c>
      <c r="P2557" s="132" t="s">
        <v>52</v>
      </c>
      <c r="Q2557" s="232"/>
      <c r="R2557" s="411"/>
      <c r="T2557" s="439" t="s">
        <v>244</v>
      </c>
      <c r="U2557" s="446" t="s">
        <v>5913</v>
      </c>
      <c r="W2557" s="153" t="s">
        <v>4676</v>
      </c>
      <c r="AA2557" s="218"/>
    </row>
    <row r="2558" spans="1:27" x14ac:dyDescent="0.25">
      <c r="A2558" s="420"/>
      <c r="B2558" s="422"/>
      <c r="C2558" s="420"/>
      <c r="D2558" s="418"/>
      <c r="E2558" s="120">
        <v>500</v>
      </c>
      <c r="F2558" s="133" t="s">
        <v>1707</v>
      </c>
      <c r="G2558" s="436"/>
      <c r="H2558" s="428"/>
      <c r="I2558" s="428"/>
      <c r="J2558" s="426"/>
      <c r="K2558" s="426"/>
      <c r="L2558" s="131">
        <v>400</v>
      </c>
      <c r="M2558" s="469"/>
      <c r="N2558" s="91">
        <f t="shared" si="474"/>
        <v>200</v>
      </c>
      <c r="O2558" s="411">
        <f t="shared" si="464"/>
        <v>-200</v>
      </c>
      <c r="P2558" s="132" t="s">
        <v>52</v>
      </c>
      <c r="Q2558" s="232"/>
      <c r="R2558" s="411"/>
      <c r="T2558" s="441"/>
      <c r="U2558" s="447"/>
      <c r="AA2558" s="218"/>
    </row>
    <row r="2559" spans="1:27" x14ac:dyDescent="0.25">
      <c r="A2559" s="405">
        <v>3001940</v>
      </c>
      <c r="B2559" s="406">
        <v>42488</v>
      </c>
      <c r="C2559" s="405" t="s">
        <v>56</v>
      </c>
      <c r="D2559" s="401" t="s">
        <v>1718</v>
      </c>
      <c r="E2559" s="120">
        <v>1000</v>
      </c>
      <c r="F2559" s="133" t="s">
        <v>5914</v>
      </c>
      <c r="G2559" s="404" t="s">
        <v>45</v>
      </c>
      <c r="H2559" s="411">
        <v>3299</v>
      </c>
      <c r="I2559" s="411">
        <v>0</v>
      </c>
      <c r="J2559" s="411">
        <v>0</v>
      </c>
      <c r="K2559" s="396">
        <f t="shared" si="475"/>
        <v>3299</v>
      </c>
      <c r="L2559" s="187">
        <v>1750</v>
      </c>
      <c r="M2559" s="187">
        <v>223.58</v>
      </c>
      <c r="N2559" s="91">
        <f t="shared" si="474"/>
        <v>1973.58</v>
      </c>
      <c r="O2559" s="411">
        <f t="shared" si="464"/>
        <v>1325.42</v>
      </c>
      <c r="P2559" s="132" t="s">
        <v>235</v>
      </c>
      <c r="Q2559" s="232"/>
      <c r="R2559" s="411"/>
      <c r="T2559" s="134" t="s">
        <v>399</v>
      </c>
      <c r="U2559" s="267" t="s">
        <v>5915</v>
      </c>
      <c r="V2559" s="133" t="s">
        <v>5916</v>
      </c>
      <c r="W2559" s="153" t="s">
        <v>2440</v>
      </c>
      <c r="AA2559" s="218"/>
    </row>
    <row r="2560" spans="1:27" ht="24" x14ac:dyDescent="0.25">
      <c r="A2560" s="405">
        <v>3001941</v>
      </c>
      <c r="B2560" s="406">
        <v>42488</v>
      </c>
      <c r="C2560" s="405" t="s">
        <v>5682</v>
      </c>
      <c r="D2560" s="401" t="s">
        <v>5917</v>
      </c>
      <c r="E2560" s="120">
        <v>100</v>
      </c>
      <c r="F2560" s="133" t="s">
        <v>217</v>
      </c>
      <c r="G2560" s="404" t="s">
        <v>45</v>
      </c>
      <c r="H2560" s="411">
        <v>235</v>
      </c>
      <c r="I2560" s="397">
        <f t="shared" ref="I2560:I2565" si="476">-(H2560*0.09)</f>
        <v>-21.15</v>
      </c>
      <c r="J2560" s="391">
        <f t="shared" ref="J2560:J2565" si="477">-((H2560*0.019)+0.3)</f>
        <v>-4.7649999999999997</v>
      </c>
      <c r="K2560" s="396">
        <f t="shared" si="475"/>
        <v>209.08500000000001</v>
      </c>
      <c r="L2560" s="131">
        <v>1322</v>
      </c>
      <c r="M2560" s="187">
        <v>26.45</v>
      </c>
      <c r="N2560" s="91">
        <f t="shared" si="474"/>
        <v>158.65</v>
      </c>
      <c r="O2560" s="411">
        <f t="shared" si="464"/>
        <v>50.435000000000002</v>
      </c>
      <c r="P2560" s="132" t="s">
        <v>52</v>
      </c>
      <c r="Q2560" s="232"/>
      <c r="R2560" s="411"/>
      <c r="T2560" s="134" t="s">
        <v>145</v>
      </c>
      <c r="U2560" s="267" t="s">
        <v>5918</v>
      </c>
      <c r="AA2560" s="218"/>
    </row>
    <row r="2561" spans="1:27" ht="24" x14ac:dyDescent="0.25">
      <c r="A2561" s="405">
        <v>3001942</v>
      </c>
      <c r="B2561" s="406">
        <v>42488</v>
      </c>
      <c r="C2561" s="405" t="s">
        <v>5682</v>
      </c>
      <c r="D2561" s="401" t="s">
        <v>5919</v>
      </c>
      <c r="E2561" s="120">
        <v>50</v>
      </c>
      <c r="F2561" s="133" t="s">
        <v>4380</v>
      </c>
      <c r="G2561" s="404" t="s">
        <v>45</v>
      </c>
      <c r="H2561" s="411">
        <v>344.38</v>
      </c>
      <c r="I2561" s="397">
        <f t="shared" si="476"/>
        <v>-30.994199999999999</v>
      </c>
      <c r="J2561" s="391">
        <f t="shared" si="477"/>
        <v>-6.8432199999999996</v>
      </c>
      <c r="K2561" s="396">
        <f t="shared" si="475"/>
        <v>306.54258000000004</v>
      </c>
      <c r="L2561" s="187">
        <v>2900</v>
      </c>
      <c r="M2561" s="187">
        <v>64.73</v>
      </c>
      <c r="N2561" s="91">
        <v>214.73</v>
      </c>
      <c r="O2561" s="411">
        <f t="shared" si="464"/>
        <v>91.812580000000054</v>
      </c>
      <c r="P2561" s="132" t="s">
        <v>46</v>
      </c>
      <c r="Q2561" s="232"/>
      <c r="R2561" s="411"/>
      <c r="T2561" s="134" t="s">
        <v>324</v>
      </c>
      <c r="U2561" s="267" t="s">
        <v>5920</v>
      </c>
      <c r="AA2561" s="218"/>
    </row>
    <row r="2562" spans="1:27" ht="24" x14ac:dyDescent="0.25">
      <c r="A2562" s="405">
        <v>3001943</v>
      </c>
      <c r="B2562" s="406">
        <v>42488</v>
      </c>
      <c r="C2562" s="405" t="s">
        <v>5682</v>
      </c>
      <c r="D2562" s="401" t="s">
        <v>5921</v>
      </c>
      <c r="E2562" s="120">
        <v>50</v>
      </c>
      <c r="F2562" s="133" t="s">
        <v>5922</v>
      </c>
      <c r="G2562" s="404" t="s">
        <v>45</v>
      </c>
      <c r="H2562" s="411">
        <v>104</v>
      </c>
      <c r="I2562" s="397">
        <f t="shared" si="476"/>
        <v>-9.36</v>
      </c>
      <c r="J2562" s="391">
        <f t="shared" si="477"/>
        <v>-2.2759999999999998</v>
      </c>
      <c r="K2562" s="396">
        <f t="shared" si="475"/>
        <v>92.364000000000004</v>
      </c>
      <c r="L2562" s="187">
        <v>1300</v>
      </c>
      <c r="M2562" s="187">
        <v>20.58</v>
      </c>
      <c r="N2562" s="91">
        <f t="shared" si="474"/>
        <v>85.58</v>
      </c>
      <c r="O2562" s="411">
        <f t="shared" si="464"/>
        <v>6.784000000000006</v>
      </c>
      <c r="P2562" s="132" t="s">
        <v>235</v>
      </c>
      <c r="Q2562" s="232"/>
      <c r="R2562" s="411"/>
      <c r="T2562" s="134" t="s">
        <v>145</v>
      </c>
      <c r="U2562" s="267" t="s">
        <v>5923</v>
      </c>
      <c r="V2562" s="133" t="s">
        <v>5924</v>
      </c>
      <c r="AA2562" s="218"/>
    </row>
    <row r="2563" spans="1:27" ht="24" x14ac:dyDescent="0.25">
      <c r="A2563" s="405">
        <v>3001944</v>
      </c>
      <c r="B2563" s="406">
        <v>42488</v>
      </c>
      <c r="C2563" s="405" t="s">
        <v>5682</v>
      </c>
      <c r="D2563" s="401" t="s">
        <v>5925</v>
      </c>
      <c r="E2563" s="120">
        <v>50</v>
      </c>
      <c r="F2563" s="133" t="s">
        <v>217</v>
      </c>
      <c r="G2563" s="404" t="s">
        <v>45</v>
      </c>
      <c r="H2563" s="411">
        <v>123.75</v>
      </c>
      <c r="I2563" s="397">
        <f t="shared" si="476"/>
        <v>-11.137499999999999</v>
      </c>
      <c r="J2563" s="391">
        <f t="shared" si="477"/>
        <v>-2.6512499999999997</v>
      </c>
      <c r="K2563" s="396">
        <f t="shared" si="475"/>
        <v>109.96124999999999</v>
      </c>
      <c r="L2563" s="131">
        <v>1322</v>
      </c>
      <c r="M2563" s="187">
        <v>29.92</v>
      </c>
      <c r="N2563" s="91">
        <f t="shared" si="474"/>
        <v>96.02000000000001</v>
      </c>
      <c r="O2563" s="411">
        <f t="shared" si="464"/>
        <v>13.941249999999982</v>
      </c>
      <c r="P2563" s="132" t="s">
        <v>52</v>
      </c>
      <c r="Q2563" s="232"/>
      <c r="R2563" s="411"/>
      <c r="T2563" s="134" t="s">
        <v>145</v>
      </c>
      <c r="U2563" s="267" t="s">
        <v>5926</v>
      </c>
      <c r="AA2563" s="218"/>
    </row>
    <row r="2564" spans="1:27" ht="24" x14ac:dyDescent="0.25">
      <c r="A2564" s="405">
        <v>3001945</v>
      </c>
      <c r="B2564" s="406">
        <v>42488</v>
      </c>
      <c r="C2564" s="405" t="s">
        <v>5682</v>
      </c>
      <c r="D2564" s="401" t="s">
        <v>5927</v>
      </c>
      <c r="E2564" s="120">
        <v>75</v>
      </c>
      <c r="F2564" s="133" t="s">
        <v>217</v>
      </c>
      <c r="G2564" s="404" t="s">
        <v>45</v>
      </c>
      <c r="H2564" s="411">
        <v>218.5</v>
      </c>
      <c r="I2564" s="397">
        <f t="shared" si="476"/>
        <v>-19.664999999999999</v>
      </c>
      <c r="J2564" s="391">
        <f t="shared" si="477"/>
        <v>-4.4514999999999993</v>
      </c>
      <c r="K2564" s="396">
        <f t="shared" si="475"/>
        <v>194.3835</v>
      </c>
      <c r="L2564" s="131">
        <v>1322</v>
      </c>
      <c r="M2564" s="187">
        <v>33.950000000000003</v>
      </c>
      <c r="N2564" s="91">
        <f t="shared" si="474"/>
        <v>133.1</v>
      </c>
      <c r="O2564" s="411">
        <f t="shared" si="464"/>
        <v>61.283500000000004</v>
      </c>
      <c r="P2564" s="132" t="s">
        <v>52</v>
      </c>
      <c r="Q2564" s="232"/>
      <c r="R2564" s="411"/>
      <c r="T2564" s="134" t="s">
        <v>145</v>
      </c>
      <c r="U2564" s="267" t="s">
        <v>5928</v>
      </c>
      <c r="AA2564" s="218"/>
    </row>
    <row r="2565" spans="1:27" ht="24" x14ac:dyDescent="0.25">
      <c r="A2565" s="405">
        <v>3001946</v>
      </c>
      <c r="B2565" s="406">
        <v>42488</v>
      </c>
      <c r="C2565" s="405" t="s">
        <v>5682</v>
      </c>
      <c r="D2565" s="401" t="s">
        <v>5929</v>
      </c>
      <c r="E2565" s="120">
        <v>50</v>
      </c>
      <c r="F2565" s="133" t="s">
        <v>300</v>
      </c>
      <c r="G2565" s="404" t="s">
        <v>45</v>
      </c>
      <c r="H2565" s="411">
        <v>219.33</v>
      </c>
      <c r="I2565" s="397">
        <f t="shared" si="476"/>
        <v>-19.739699999999999</v>
      </c>
      <c r="J2565" s="391">
        <f t="shared" si="477"/>
        <v>-4.4672700000000001</v>
      </c>
      <c r="K2565" s="396">
        <f t="shared" si="475"/>
        <v>195.12303</v>
      </c>
      <c r="L2565" s="131">
        <v>2150</v>
      </c>
      <c r="M2565" s="187">
        <v>20</v>
      </c>
      <c r="N2565" s="91">
        <f t="shared" si="474"/>
        <v>127.5</v>
      </c>
      <c r="O2565" s="411">
        <f t="shared" si="464"/>
        <v>67.62303</v>
      </c>
      <c r="P2565" s="132" t="s">
        <v>52</v>
      </c>
      <c r="Q2565" s="232"/>
      <c r="R2565" s="411">
        <v>16.25</v>
      </c>
      <c r="S2565" s="133" t="s">
        <v>5930</v>
      </c>
      <c r="T2565" s="134" t="s">
        <v>145</v>
      </c>
      <c r="U2565" s="267" t="s">
        <v>5931</v>
      </c>
      <c r="AA2565" s="218"/>
    </row>
    <row r="2566" spans="1:27" x14ac:dyDescent="0.25">
      <c r="A2566" s="419">
        <v>3001947</v>
      </c>
      <c r="B2566" s="421">
        <v>42488</v>
      </c>
      <c r="C2566" s="419" t="s">
        <v>327</v>
      </c>
      <c r="D2566" s="417" t="s">
        <v>5932</v>
      </c>
      <c r="E2566" s="120">
        <v>3000</v>
      </c>
      <c r="F2566" s="133" t="s">
        <v>5933</v>
      </c>
      <c r="G2566" s="434" t="s">
        <v>45</v>
      </c>
      <c r="H2566" s="427">
        <v>9300</v>
      </c>
      <c r="I2566" s="427">
        <v>0</v>
      </c>
      <c r="J2566" s="425">
        <f>-((H2566*0.022)+0.3)</f>
        <v>-204.9</v>
      </c>
      <c r="K2566" s="425">
        <f t="shared" si="475"/>
        <v>9095.1</v>
      </c>
      <c r="L2566" s="187">
        <v>1800</v>
      </c>
      <c r="M2566" s="187">
        <v>280</v>
      </c>
      <c r="N2566" s="91">
        <f t="shared" si="474"/>
        <v>5680</v>
      </c>
      <c r="O2566" s="411">
        <f t="shared" si="464"/>
        <v>3415.1000000000004</v>
      </c>
      <c r="P2566" s="132" t="s">
        <v>235</v>
      </c>
      <c r="Q2566" s="232"/>
      <c r="R2566" s="411"/>
      <c r="T2566" s="134" t="s">
        <v>5934</v>
      </c>
      <c r="U2566" s="267" t="s">
        <v>5935</v>
      </c>
      <c r="W2566" s="153" t="s">
        <v>5936</v>
      </c>
      <c r="AA2566" s="473">
        <v>70</v>
      </c>
    </row>
    <row r="2567" spans="1:27" ht="24" x14ac:dyDescent="0.25">
      <c r="A2567" s="420"/>
      <c r="B2567" s="422"/>
      <c r="C2567" s="420"/>
      <c r="D2567" s="418"/>
      <c r="E2567" s="120">
        <v>150</v>
      </c>
      <c r="F2567" s="133" t="s">
        <v>5937</v>
      </c>
      <c r="G2567" s="436"/>
      <c r="H2567" s="428"/>
      <c r="I2567" s="428"/>
      <c r="J2567" s="426"/>
      <c r="K2567" s="426"/>
      <c r="L2567" s="187">
        <v>14180</v>
      </c>
      <c r="M2567" s="187">
        <v>35.159999999999997</v>
      </c>
      <c r="N2567" s="91">
        <f t="shared" si="474"/>
        <v>2162.16</v>
      </c>
      <c r="O2567" s="411">
        <f t="shared" si="464"/>
        <v>-2162.16</v>
      </c>
      <c r="P2567" s="132" t="s">
        <v>313</v>
      </c>
      <c r="Q2567" s="232"/>
      <c r="R2567" s="411"/>
      <c r="T2567" s="134" t="s">
        <v>145</v>
      </c>
      <c r="U2567" s="267" t="s">
        <v>5938</v>
      </c>
      <c r="V2567" s="133" t="s">
        <v>5939</v>
      </c>
      <c r="AA2567" s="474"/>
    </row>
    <row r="2568" spans="1:27" ht="24" x14ac:dyDescent="0.25">
      <c r="A2568" s="419">
        <v>3001948</v>
      </c>
      <c r="B2568" s="421">
        <v>42489</v>
      </c>
      <c r="C2568" s="419" t="s">
        <v>56</v>
      </c>
      <c r="D2568" s="417" t="s">
        <v>5940</v>
      </c>
      <c r="E2568" s="120">
        <v>250</v>
      </c>
      <c r="F2568" s="133" t="s">
        <v>217</v>
      </c>
      <c r="G2568" s="434" t="s">
        <v>45</v>
      </c>
      <c r="H2568" s="427">
        <v>1425</v>
      </c>
      <c r="I2568" s="427">
        <v>0</v>
      </c>
      <c r="J2568" s="427">
        <v>0</v>
      </c>
      <c r="K2568" s="425">
        <f t="shared" si="475"/>
        <v>1425</v>
      </c>
      <c r="L2568" s="131">
        <v>1322</v>
      </c>
      <c r="M2568" s="187">
        <v>86.31</v>
      </c>
      <c r="N2568" s="91">
        <f>((L2568)*(E2568*0.001))+M2567</f>
        <v>365.65999999999997</v>
      </c>
      <c r="O2568" s="411">
        <f t="shared" si="464"/>
        <v>1059.3400000000001</v>
      </c>
      <c r="P2568" s="132" t="s">
        <v>52</v>
      </c>
      <c r="Q2568" s="232"/>
      <c r="R2568" s="411"/>
      <c r="T2568" s="134" t="s">
        <v>145</v>
      </c>
      <c r="U2568" s="267" t="s">
        <v>5941</v>
      </c>
      <c r="V2568" s="133" t="s">
        <v>5942</v>
      </c>
      <c r="AA2568" s="218"/>
    </row>
    <row r="2569" spans="1:27" ht="36" x14ac:dyDescent="0.25">
      <c r="A2569" s="420"/>
      <c r="B2569" s="422"/>
      <c r="C2569" s="420"/>
      <c r="D2569" s="418"/>
      <c r="E2569" s="120">
        <v>500</v>
      </c>
      <c r="F2569" s="133" t="s">
        <v>2199</v>
      </c>
      <c r="G2569" s="436"/>
      <c r="H2569" s="428"/>
      <c r="I2569" s="428"/>
      <c r="J2569" s="428"/>
      <c r="K2569" s="426"/>
      <c r="L2569" s="187">
        <v>1190</v>
      </c>
      <c r="M2569" s="131">
        <v>0</v>
      </c>
      <c r="N2569" s="91">
        <f t="shared" si="474"/>
        <v>595</v>
      </c>
      <c r="O2569" s="411">
        <f t="shared" si="464"/>
        <v>-595</v>
      </c>
      <c r="P2569" s="132" t="s">
        <v>601</v>
      </c>
      <c r="Q2569" s="232"/>
      <c r="R2569" s="411"/>
      <c r="T2569" s="134" t="s">
        <v>60</v>
      </c>
      <c r="U2569" s="267" t="s">
        <v>5943</v>
      </c>
      <c r="AA2569" s="218"/>
    </row>
    <row r="2570" spans="1:27" ht="24" x14ac:dyDescent="0.25">
      <c r="A2570" s="405">
        <v>3001949</v>
      </c>
      <c r="B2570" s="406">
        <v>42489</v>
      </c>
      <c r="C2570" s="405" t="s">
        <v>63</v>
      </c>
      <c r="D2570" s="401" t="s">
        <v>5944</v>
      </c>
      <c r="E2570" s="120">
        <v>125</v>
      </c>
      <c r="F2570" s="133" t="s">
        <v>165</v>
      </c>
      <c r="G2570" s="404" t="s">
        <v>45</v>
      </c>
      <c r="H2570" s="411">
        <v>125</v>
      </c>
      <c r="I2570" s="411">
        <v>0</v>
      </c>
      <c r="J2570" s="391">
        <f>-((H2570*0.022)+0.3)</f>
        <v>-3.05</v>
      </c>
      <c r="K2570" s="396">
        <f t="shared" si="475"/>
        <v>121.95</v>
      </c>
      <c r="L2570" s="131">
        <v>440</v>
      </c>
      <c r="M2570" s="187">
        <v>28.09</v>
      </c>
      <c r="N2570" s="91">
        <f t="shared" si="474"/>
        <v>83.09</v>
      </c>
      <c r="O2570" s="411">
        <f t="shared" si="464"/>
        <v>38.86</v>
      </c>
      <c r="P2570" s="132" t="s">
        <v>52</v>
      </c>
      <c r="Q2570" s="232"/>
      <c r="R2570" s="411"/>
      <c r="T2570" s="134" t="s">
        <v>145</v>
      </c>
      <c r="U2570" s="267" t="s">
        <v>5945</v>
      </c>
      <c r="W2570" s="153" t="s">
        <v>5946</v>
      </c>
      <c r="AA2570" s="218"/>
    </row>
    <row r="2571" spans="1:27" x14ac:dyDescent="0.25">
      <c r="A2571" s="405">
        <v>3001950</v>
      </c>
      <c r="B2571" s="406">
        <v>42489</v>
      </c>
      <c r="C2571" s="405" t="s">
        <v>5682</v>
      </c>
      <c r="D2571" s="401" t="s">
        <v>5947</v>
      </c>
      <c r="E2571" s="120">
        <v>500</v>
      </c>
      <c r="F2571" s="133" t="s">
        <v>5948</v>
      </c>
      <c r="G2571" s="404" t="s">
        <v>45</v>
      </c>
      <c r="H2571" s="411">
        <v>1083</v>
      </c>
      <c r="I2571" s="397">
        <f t="shared" ref="I2571:I2575" si="478">-(H2571*0.09)</f>
        <v>-97.47</v>
      </c>
      <c r="J2571" s="391">
        <f t="shared" ref="J2571:J2575" si="479">-((H2571*0.019)+0.3)</f>
        <v>-20.876999999999999</v>
      </c>
      <c r="K2571" s="396">
        <f t="shared" si="475"/>
        <v>964.65300000000002</v>
      </c>
      <c r="L2571" s="131">
        <v>626</v>
      </c>
      <c r="M2571" s="187">
        <v>109.89</v>
      </c>
      <c r="N2571" s="91">
        <f t="shared" si="474"/>
        <v>422.89</v>
      </c>
      <c r="O2571" s="411">
        <f t="shared" si="464"/>
        <v>541.76300000000003</v>
      </c>
      <c r="P2571" s="132" t="s">
        <v>52</v>
      </c>
      <c r="Q2571" s="232"/>
      <c r="R2571" s="411"/>
      <c r="T2571" s="134" t="s">
        <v>244</v>
      </c>
      <c r="U2571" s="310" t="s">
        <v>5949</v>
      </c>
      <c r="V2571" s="133" t="s">
        <v>55</v>
      </c>
      <c r="AA2571" s="218"/>
    </row>
    <row r="2572" spans="1:27" ht="24" x14ac:dyDescent="0.25">
      <c r="A2572" s="405">
        <v>3001951</v>
      </c>
      <c r="B2572" s="406">
        <v>42489</v>
      </c>
      <c r="C2572" s="405" t="s">
        <v>5682</v>
      </c>
      <c r="D2572" s="401" t="s">
        <v>5950</v>
      </c>
      <c r="E2572" s="120">
        <v>50</v>
      </c>
      <c r="F2572" s="133" t="s">
        <v>288</v>
      </c>
      <c r="G2572" s="404" t="s">
        <v>45</v>
      </c>
      <c r="H2572" s="411">
        <v>102.41</v>
      </c>
      <c r="I2572" s="397">
        <f t="shared" si="478"/>
        <v>-9.216899999999999</v>
      </c>
      <c r="J2572" s="391">
        <f t="shared" si="479"/>
        <v>-2.24579</v>
      </c>
      <c r="K2572" s="396">
        <f t="shared" si="475"/>
        <v>90.947310000000002</v>
      </c>
      <c r="L2572" s="131">
        <v>950</v>
      </c>
      <c r="M2572" s="187">
        <v>40.299999999999997</v>
      </c>
      <c r="N2572" s="91">
        <f t="shared" si="474"/>
        <v>87.8</v>
      </c>
      <c r="O2572" s="411">
        <f t="shared" ref="O2572:O2635" si="480">K2572-N2572</f>
        <v>3.1473100000000045</v>
      </c>
      <c r="P2572" s="132" t="s">
        <v>52</v>
      </c>
      <c r="Q2572" s="232"/>
      <c r="R2572" s="411"/>
      <c r="T2572" s="134" t="s">
        <v>145</v>
      </c>
      <c r="U2572" s="267" t="s">
        <v>5951</v>
      </c>
      <c r="AA2572" s="218"/>
    </row>
    <row r="2573" spans="1:27" ht="24" x14ac:dyDescent="0.25">
      <c r="A2573" s="405">
        <v>3001952</v>
      </c>
      <c r="B2573" s="406">
        <v>42489</v>
      </c>
      <c r="C2573" s="405" t="s">
        <v>5682</v>
      </c>
      <c r="D2573" s="401" t="s">
        <v>5952</v>
      </c>
      <c r="E2573" s="120">
        <v>50</v>
      </c>
      <c r="F2573" s="133" t="s">
        <v>5048</v>
      </c>
      <c r="G2573" s="404" t="s">
        <v>45</v>
      </c>
      <c r="H2573" s="411">
        <v>176.4</v>
      </c>
      <c r="I2573" s="397">
        <f t="shared" si="478"/>
        <v>-15.875999999999999</v>
      </c>
      <c r="J2573" s="391">
        <f t="shared" si="479"/>
        <v>-3.6515999999999997</v>
      </c>
      <c r="K2573" s="396">
        <f t="shared" si="475"/>
        <v>156.8724</v>
      </c>
      <c r="L2573" s="187">
        <v>1800</v>
      </c>
      <c r="M2573" s="187">
        <v>18.97</v>
      </c>
      <c r="N2573" s="91">
        <f t="shared" si="474"/>
        <v>108.97</v>
      </c>
      <c r="O2573" s="411">
        <f t="shared" si="480"/>
        <v>47.9024</v>
      </c>
      <c r="P2573" s="132" t="s">
        <v>601</v>
      </c>
      <c r="Q2573" s="212"/>
      <c r="R2573" s="411"/>
      <c r="T2573" s="134" t="s">
        <v>145</v>
      </c>
      <c r="U2573" s="267" t="s">
        <v>5953</v>
      </c>
      <c r="AA2573" s="218"/>
    </row>
    <row r="2574" spans="1:27" ht="24" x14ac:dyDescent="0.25">
      <c r="A2574" s="405">
        <v>3001953</v>
      </c>
      <c r="B2574" s="406">
        <v>42489</v>
      </c>
      <c r="C2574" s="405" t="s">
        <v>5682</v>
      </c>
      <c r="D2574" s="401" t="s">
        <v>5954</v>
      </c>
      <c r="E2574" s="120">
        <v>84</v>
      </c>
      <c r="F2574" s="133" t="s">
        <v>5955</v>
      </c>
      <c r="G2574" s="404" t="s">
        <v>45</v>
      </c>
      <c r="H2574" s="411">
        <v>129.6</v>
      </c>
      <c r="I2574" s="397">
        <f t="shared" si="478"/>
        <v>-11.664</v>
      </c>
      <c r="J2574" s="391">
        <f t="shared" si="479"/>
        <v>-2.7623999999999995</v>
      </c>
      <c r="K2574" s="396">
        <f t="shared" si="475"/>
        <v>115.17359999999999</v>
      </c>
      <c r="L2574" s="187">
        <v>1000</v>
      </c>
      <c r="M2574" s="187">
        <v>44.11</v>
      </c>
      <c r="N2574" s="91">
        <f t="shared" si="474"/>
        <v>128.11000000000001</v>
      </c>
      <c r="O2574" s="411">
        <f t="shared" si="480"/>
        <v>-12.93640000000002</v>
      </c>
      <c r="P2574" s="132" t="s">
        <v>183</v>
      </c>
      <c r="Q2574" s="232"/>
      <c r="R2574" s="411"/>
      <c r="T2574" s="134" t="s">
        <v>145</v>
      </c>
      <c r="U2574" s="267" t="s">
        <v>5956</v>
      </c>
      <c r="AA2574" s="218"/>
    </row>
    <row r="2575" spans="1:27" ht="24" x14ac:dyDescent="0.25">
      <c r="A2575" s="405">
        <v>3001954</v>
      </c>
      <c r="B2575" s="406">
        <v>42489</v>
      </c>
      <c r="C2575" s="405" t="s">
        <v>5682</v>
      </c>
      <c r="D2575" s="401" t="s">
        <v>5957</v>
      </c>
      <c r="E2575" s="120">
        <v>500</v>
      </c>
      <c r="F2575" s="133" t="s">
        <v>451</v>
      </c>
      <c r="G2575" s="404" t="s">
        <v>45</v>
      </c>
      <c r="H2575" s="411">
        <v>310.07</v>
      </c>
      <c r="I2575" s="397">
        <f t="shared" si="478"/>
        <v>-27.906299999999998</v>
      </c>
      <c r="J2575" s="391">
        <f t="shared" si="479"/>
        <v>-6.1913299999999998</v>
      </c>
      <c r="K2575" s="396">
        <f t="shared" si="475"/>
        <v>275.97237000000001</v>
      </c>
      <c r="L2575" s="131">
        <v>300</v>
      </c>
      <c r="M2575" s="187">
        <v>36.21</v>
      </c>
      <c r="N2575" s="91">
        <f t="shared" si="474"/>
        <v>186.21</v>
      </c>
      <c r="O2575" s="411">
        <f t="shared" si="480"/>
        <v>89.762370000000004</v>
      </c>
      <c r="P2575" s="132" t="s">
        <v>52</v>
      </c>
      <c r="Q2575" s="232"/>
      <c r="R2575" s="411">
        <v>22.97</v>
      </c>
      <c r="S2575" s="133" t="s">
        <v>435</v>
      </c>
      <c r="T2575" s="134" t="s">
        <v>145</v>
      </c>
      <c r="U2575" s="267" t="s">
        <v>5958</v>
      </c>
      <c r="AA2575" s="218"/>
    </row>
    <row r="2576" spans="1:27" ht="24" x14ac:dyDescent="0.25">
      <c r="A2576" s="405">
        <v>3001955</v>
      </c>
      <c r="B2576" s="406">
        <v>42489</v>
      </c>
      <c r="C2576" s="405" t="s">
        <v>280</v>
      </c>
      <c r="D2576" s="401" t="s">
        <v>5959</v>
      </c>
      <c r="E2576" s="120">
        <v>125</v>
      </c>
      <c r="F2576" s="133" t="s">
        <v>829</v>
      </c>
      <c r="G2576" s="404" t="s">
        <v>45</v>
      </c>
      <c r="H2576" s="411">
        <v>121.25</v>
      </c>
      <c r="I2576" s="411">
        <v>0</v>
      </c>
      <c r="J2576" s="391">
        <f>-((H2576*0.022)+0.3)</f>
        <v>-2.9674999999999998</v>
      </c>
      <c r="K2576" s="396">
        <f t="shared" si="475"/>
        <v>118.2825</v>
      </c>
      <c r="L2576" s="131">
        <v>510</v>
      </c>
      <c r="M2576" s="187">
        <v>36.79</v>
      </c>
      <c r="N2576" s="91">
        <f t="shared" si="474"/>
        <v>100.53999999999999</v>
      </c>
      <c r="O2576" s="411">
        <f t="shared" si="480"/>
        <v>17.742500000000007</v>
      </c>
      <c r="P2576" s="132" t="s">
        <v>52</v>
      </c>
      <c r="Q2576" s="232"/>
      <c r="R2576" s="411"/>
      <c r="T2576" s="134" t="s">
        <v>145</v>
      </c>
      <c r="U2576" s="267" t="s">
        <v>5960</v>
      </c>
      <c r="W2576" s="153" t="s">
        <v>5961</v>
      </c>
      <c r="AA2576" s="218"/>
    </row>
    <row r="2577" spans="1:27" x14ac:dyDescent="0.25">
      <c r="A2577" s="405">
        <v>3001956</v>
      </c>
      <c r="B2577" s="406">
        <v>42489</v>
      </c>
      <c r="C2577" s="405" t="s">
        <v>327</v>
      </c>
      <c r="D2577" s="401" t="s">
        <v>5962</v>
      </c>
      <c r="E2577" s="120">
        <v>280</v>
      </c>
      <c r="F2577" s="133" t="s">
        <v>114</v>
      </c>
      <c r="G2577" s="404" t="s">
        <v>45</v>
      </c>
      <c r="H2577" s="411">
        <v>923.82</v>
      </c>
      <c r="I2577" s="411">
        <v>0</v>
      </c>
      <c r="J2577" s="391">
        <f>-((H2577*0.022)+0.3)</f>
        <v>-20.624040000000001</v>
      </c>
      <c r="K2577" s="396">
        <f t="shared" si="475"/>
        <v>903.19596000000001</v>
      </c>
      <c r="M2577" s="187">
        <v>104.28</v>
      </c>
      <c r="N2577" s="91">
        <f t="shared" si="474"/>
        <v>104.28</v>
      </c>
      <c r="O2577" s="411">
        <f t="shared" si="480"/>
        <v>798.91596000000004</v>
      </c>
      <c r="P2577" s="132" t="s">
        <v>52</v>
      </c>
      <c r="Q2577" s="232"/>
      <c r="R2577" s="411">
        <v>78.22</v>
      </c>
      <c r="S2577" s="133" t="s">
        <v>5963</v>
      </c>
      <c r="T2577" s="134" t="s">
        <v>244</v>
      </c>
      <c r="U2577" s="267" t="s">
        <v>5964</v>
      </c>
      <c r="V2577" s="133" t="s">
        <v>55</v>
      </c>
      <c r="W2577" s="153" t="s">
        <v>5965</v>
      </c>
      <c r="AA2577" s="218"/>
    </row>
    <row r="2578" spans="1:27" x14ac:dyDescent="0.25">
      <c r="A2578" s="419">
        <v>3001957</v>
      </c>
      <c r="B2578" s="421">
        <v>42489</v>
      </c>
      <c r="C2578" s="419" t="s">
        <v>56</v>
      </c>
      <c r="D2578" s="417" t="s">
        <v>5966</v>
      </c>
      <c r="E2578" s="120">
        <v>1000</v>
      </c>
      <c r="F2578" s="133" t="s">
        <v>165</v>
      </c>
      <c r="G2578" s="434" t="s">
        <v>45</v>
      </c>
      <c r="H2578" s="427">
        <v>1540</v>
      </c>
      <c r="I2578" s="427">
        <v>0</v>
      </c>
      <c r="J2578" s="427">
        <v>0</v>
      </c>
      <c r="K2578" s="425">
        <f t="shared" si="475"/>
        <v>1540</v>
      </c>
      <c r="L2578" s="131">
        <v>480</v>
      </c>
      <c r="M2578" s="468">
        <v>136.83000000000001</v>
      </c>
      <c r="N2578" s="91">
        <f t="shared" si="474"/>
        <v>616.83000000000004</v>
      </c>
      <c r="O2578" s="411">
        <f t="shared" si="480"/>
        <v>923.17</v>
      </c>
      <c r="P2578" s="132" t="s">
        <v>52</v>
      </c>
      <c r="Q2578" s="232"/>
      <c r="R2578" s="411"/>
      <c r="T2578" s="439" t="s">
        <v>244</v>
      </c>
      <c r="U2578" s="446" t="s">
        <v>5967</v>
      </c>
      <c r="V2578" s="133" t="s">
        <v>55</v>
      </c>
      <c r="AA2578" s="218"/>
    </row>
    <row r="2579" spans="1:27" x14ac:dyDescent="0.25">
      <c r="A2579" s="420"/>
      <c r="B2579" s="422"/>
      <c r="C2579" s="420"/>
      <c r="D2579" s="418"/>
      <c r="E2579" s="120">
        <v>1000</v>
      </c>
      <c r="F2579" s="133" t="s">
        <v>247</v>
      </c>
      <c r="G2579" s="436"/>
      <c r="H2579" s="428"/>
      <c r="I2579" s="428"/>
      <c r="J2579" s="428"/>
      <c r="K2579" s="426"/>
      <c r="L2579" s="131">
        <v>580</v>
      </c>
      <c r="M2579" s="469"/>
      <c r="N2579" s="91">
        <f t="shared" si="474"/>
        <v>580</v>
      </c>
      <c r="O2579" s="411">
        <f t="shared" si="480"/>
        <v>-580</v>
      </c>
      <c r="P2579" s="132" t="s">
        <v>52</v>
      </c>
      <c r="Q2579" s="232"/>
      <c r="R2579" s="411"/>
      <c r="T2579" s="441"/>
      <c r="U2579" s="447"/>
      <c r="V2579" s="133" t="s">
        <v>5736</v>
      </c>
      <c r="AA2579" s="218"/>
    </row>
    <row r="2580" spans="1:27" x14ac:dyDescent="0.25">
      <c r="A2580" s="419">
        <v>3001958</v>
      </c>
      <c r="B2580" s="421">
        <v>42489</v>
      </c>
      <c r="C2580" s="419" t="s">
        <v>56</v>
      </c>
      <c r="D2580" s="417" t="s">
        <v>3382</v>
      </c>
      <c r="E2580" s="120">
        <v>516</v>
      </c>
      <c r="F2580" s="133" t="s">
        <v>528</v>
      </c>
      <c r="G2580" s="460" t="s">
        <v>45</v>
      </c>
      <c r="H2580" s="427">
        <v>3023.1</v>
      </c>
      <c r="I2580" s="427">
        <v>0</v>
      </c>
      <c r="J2580" s="427">
        <v>0</v>
      </c>
      <c r="K2580" s="425">
        <f t="shared" si="475"/>
        <v>3023.1</v>
      </c>
      <c r="L2580" s="131">
        <v>1021</v>
      </c>
      <c r="M2580" s="468">
        <v>140.08000000000001</v>
      </c>
      <c r="N2580" s="91">
        <f t="shared" si="474"/>
        <v>666.91600000000005</v>
      </c>
      <c r="O2580" s="411">
        <f t="shared" si="480"/>
        <v>2356.1839999999997</v>
      </c>
      <c r="P2580" s="132" t="s">
        <v>52</v>
      </c>
      <c r="Q2580" s="232"/>
      <c r="R2580" s="411"/>
      <c r="T2580" s="439" t="s">
        <v>5856</v>
      </c>
      <c r="U2580" s="481" t="s">
        <v>5968</v>
      </c>
      <c r="V2580" s="133" t="s">
        <v>55</v>
      </c>
      <c r="W2580" s="153" t="s">
        <v>3385</v>
      </c>
      <c r="AA2580" s="218"/>
    </row>
    <row r="2581" spans="1:27" x14ac:dyDescent="0.25">
      <c r="A2581" s="432"/>
      <c r="B2581" s="433"/>
      <c r="C2581" s="432"/>
      <c r="D2581" s="454"/>
      <c r="E2581" s="120">
        <v>154</v>
      </c>
      <c r="F2581" s="133" t="s">
        <v>5969</v>
      </c>
      <c r="G2581" s="461"/>
      <c r="H2581" s="438"/>
      <c r="I2581" s="438"/>
      <c r="J2581" s="438"/>
      <c r="K2581" s="437"/>
      <c r="L2581" s="131">
        <v>4368</v>
      </c>
      <c r="M2581" s="491"/>
      <c r="N2581" s="91">
        <f t="shared" si="474"/>
        <v>672.67200000000003</v>
      </c>
      <c r="O2581" s="411">
        <f t="shared" si="480"/>
        <v>-672.67200000000003</v>
      </c>
      <c r="P2581" s="132" t="s">
        <v>52</v>
      </c>
      <c r="Q2581" s="232"/>
      <c r="R2581" s="411"/>
      <c r="T2581" s="440"/>
      <c r="U2581" s="482"/>
      <c r="V2581" s="133" t="s">
        <v>5970</v>
      </c>
      <c r="AA2581" s="218"/>
    </row>
    <row r="2582" spans="1:27" x14ac:dyDescent="0.25">
      <c r="A2582" s="432"/>
      <c r="B2582" s="433"/>
      <c r="C2582" s="432"/>
      <c r="D2582" s="454"/>
      <c r="E2582" s="120">
        <v>425</v>
      </c>
      <c r="F2582" s="133" t="s">
        <v>1273</v>
      </c>
      <c r="G2582" s="461"/>
      <c r="H2582" s="438"/>
      <c r="I2582" s="438"/>
      <c r="J2582" s="438"/>
      <c r="K2582" s="437"/>
      <c r="L2582" s="131">
        <v>616</v>
      </c>
      <c r="M2582" s="491"/>
      <c r="N2582" s="91">
        <f t="shared" si="474"/>
        <v>261.8</v>
      </c>
      <c r="O2582" s="411">
        <f t="shared" si="480"/>
        <v>-261.8</v>
      </c>
      <c r="P2582" s="132" t="s">
        <v>52</v>
      </c>
      <c r="Q2582" s="232"/>
      <c r="R2582" s="411"/>
      <c r="T2582" s="440"/>
      <c r="U2582" s="482"/>
      <c r="V2582" s="133" t="s">
        <v>5971</v>
      </c>
      <c r="AA2582" s="218"/>
    </row>
    <row r="2583" spans="1:27" x14ac:dyDescent="0.25">
      <c r="A2583" s="420"/>
      <c r="B2583" s="422"/>
      <c r="C2583" s="420"/>
      <c r="D2583" s="418"/>
      <c r="E2583" s="120">
        <v>279</v>
      </c>
      <c r="F2583" s="133" t="s">
        <v>277</v>
      </c>
      <c r="G2583" s="462"/>
      <c r="H2583" s="428"/>
      <c r="I2583" s="428"/>
      <c r="J2583" s="428"/>
      <c r="K2583" s="426"/>
      <c r="L2583" s="131">
        <v>3500</v>
      </c>
      <c r="M2583" s="469"/>
      <c r="N2583" s="91">
        <f t="shared" si="474"/>
        <v>976.50000000000011</v>
      </c>
      <c r="O2583" s="411">
        <f t="shared" si="480"/>
        <v>-976.50000000000011</v>
      </c>
      <c r="P2583" s="132" t="s">
        <v>52</v>
      </c>
      <c r="Q2583" s="232"/>
      <c r="R2583" s="411"/>
      <c r="T2583" s="441"/>
      <c r="U2583" s="483"/>
      <c r="AA2583" s="218"/>
    </row>
    <row r="2584" spans="1:27" x14ac:dyDescent="0.25">
      <c r="A2584" s="405">
        <v>3001959</v>
      </c>
      <c r="B2584" s="406">
        <v>42489</v>
      </c>
      <c r="C2584" s="405" t="s">
        <v>63</v>
      </c>
      <c r="D2584" s="401" t="s">
        <v>5972</v>
      </c>
      <c r="E2584" s="120">
        <v>600</v>
      </c>
      <c r="F2584" s="133" t="s">
        <v>247</v>
      </c>
      <c r="G2584" s="404" t="s">
        <v>45</v>
      </c>
      <c r="H2584" s="411">
        <v>610</v>
      </c>
      <c r="I2584" s="411">
        <v>0</v>
      </c>
      <c r="J2584" s="391">
        <f>-((H2584*0.022)+0.3)</f>
        <v>-13.72</v>
      </c>
      <c r="K2584" s="396">
        <f t="shared" ref="K2584:K2623" si="481">SUM(H2584:J2584)</f>
        <v>596.28</v>
      </c>
      <c r="L2584" s="131">
        <v>580</v>
      </c>
      <c r="M2584" s="187">
        <v>104.27</v>
      </c>
      <c r="N2584" s="91">
        <f t="shared" si="474"/>
        <v>452.27</v>
      </c>
      <c r="O2584" s="411">
        <f t="shared" si="480"/>
        <v>144.01</v>
      </c>
      <c r="P2584" s="132" t="s">
        <v>52</v>
      </c>
      <c r="Q2584" s="232"/>
      <c r="R2584" s="411"/>
      <c r="T2584" s="134" t="s">
        <v>244</v>
      </c>
      <c r="U2584" s="266" t="s">
        <v>5973</v>
      </c>
      <c r="V2584" s="133" t="s">
        <v>55</v>
      </c>
      <c r="W2584" s="153" t="s">
        <v>5974</v>
      </c>
      <c r="AA2584" s="218"/>
    </row>
    <row r="2585" spans="1:27" ht="24" x14ac:dyDescent="0.25">
      <c r="A2585" s="405">
        <v>3001960</v>
      </c>
      <c r="B2585" s="406">
        <v>42489</v>
      </c>
      <c r="C2585" s="405" t="s">
        <v>5682</v>
      </c>
      <c r="D2585" s="401" t="s">
        <v>5975</v>
      </c>
      <c r="E2585" s="120">
        <v>250</v>
      </c>
      <c r="F2585" s="133" t="s">
        <v>832</v>
      </c>
      <c r="G2585" s="404" t="s">
        <v>45</v>
      </c>
      <c r="H2585" s="411">
        <v>258.75</v>
      </c>
      <c r="I2585" s="397">
        <f t="shared" ref="I2585:I2587" si="482">-(H2585*0.09)</f>
        <v>-23.287499999999998</v>
      </c>
      <c r="J2585" s="391">
        <f t="shared" ref="J2585:J2588" si="483">-((H2585*0.019)+0.3)</f>
        <v>-5.2162499999999996</v>
      </c>
      <c r="K2585" s="396">
        <f t="shared" si="481"/>
        <v>230.24625</v>
      </c>
      <c r="L2585" s="187">
        <v>540</v>
      </c>
      <c r="M2585" s="187">
        <v>32.69</v>
      </c>
      <c r="N2585" s="91">
        <f t="shared" si="474"/>
        <v>167.69</v>
      </c>
      <c r="O2585" s="411">
        <f t="shared" si="480"/>
        <v>62.556250000000006</v>
      </c>
      <c r="P2585" s="132" t="s">
        <v>235</v>
      </c>
      <c r="Q2585" s="232"/>
      <c r="R2585" s="411"/>
      <c r="T2585" s="134" t="s">
        <v>145</v>
      </c>
      <c r="U2585" s="267" t="s">
        <v>5976</v>
      </c>
      <c r="AA2585" s="218"/>
    </row>
    <row r="2586" spans="1:27" ht="24" x14ac:dyDescent="0.25">
      <c r="A2586" s="405">
        <v>3001961</v>
      </c>
      <c r="B2586" s="406">
        <v>42489</v>
      </c>
      <c r="C2586" s="405" t="s">
        <v>5682</v>
      </c>
      <c r="D2586" s="401" t="s">
        <v>5977</v>
      </c>
      <c r="E2586" s="120">
        <v>100</v>
      </c>
      <c r="F2586" s="133" t="s">
        <v>227</v>
      </c>
      <c r="G2586" s="404" t="s">
        <v>45</v>
      </c>
      <c r="H2586" s="411">
        <v>90.14</v>
      </c>
      <c r="I2586" s="397">
        <f t="shared" si="482"/>
        <v>-8.1126000000000005</v>
      </c>
      <c r="J2586" s="391">
        <f t="shared" si="483"/>
        <v>-2.0126599999999999</v>
      </c>
      <c r="K2586" s="396">
        <f t="shared" si="481"/>
        <v>80.014740000000003</v>
      </c>
      <c r="L2586" s="131">
        <v>350</v>
      </c>
      <c r="M2586" s="187">
        <v>32.99</v>
      </c>
      <c r="N2586" s="91">
        <f t="shared" si="474"/>
        <v>67.990000000000009</v>
      </c>
      <c r="O2586" s="411">
        <f t="shared" si="480"/>
        <v>12.024739999999994</v>
      </c>
      <c r="P2586" s="132" t="s">
        <v>52</v>
      </c>
      <c r="Q2586" s="232"/>
      <c r="R2586" s="411"/>
      <c r="T2586" s="134" t="s">
        <v>145</v>
      </c>
      <c r="U2586" s="267" t="s">
        <v>5978</v>
      </c>
      <c r="AA2586" s="218"/>
    </row>
    <row r="2587" spans="1:27" ht="24" x14ac:dyDescent="0.25">
      <c r="A2587" s="405">
        <v>3001962</v>
      </c>
      <c r="B2587" s="406">
        <v>42489</v>
      </c>
      <c r="C2587" s="405" t="s">
        <v>5682</v>
      </c>
      <c r="D2587" s="401" t="s">
        <v>5979</v>
      </c>
      <c r="E2587" s="120">
        <v>225</v>
      </c>
      <c r="F2587" s="133" t="s">
        <v>222</v>
      </c>
      <c r="G2587" s="404" t="s">
        <v>45</v>
      </c>
      <c r="H2587" s="411">
        <v>487.03</v>
      </c>
      <c r="I2587" s="397">
        <f t="shared" si="482"/>
        <v>-43.832699999999996</v>
      </c>
      <c r="J2587" s="391">
        <f t="shared" si="483"/>
        <v>-9.5535700000000006</v>
      </c>
      <c r="K2587" s="396">
        <f t="shared" si="481"/>
        <v>433.64373000000001</v>
      </c>
      <c r="L2587" s="131">
        <v>930</v>
      </c>
      <c r="M2587" s="187">
        <v>67.59</v>
      </c>
      <c r="N2587" s="91">
        <f t="shared" si="474"/>
        <v>276.84000000000003</v>
      </c>
      <c r="O2587" s="411">
        <f t="shared" si="480"/>
        <v>156.80372999999997</v>
      </c>
      <c r="P2587" s="132" t="s">
        <v>52</v>
      </c>
      <c r="Q2587" s="232"/>
      <c r="R2587" s="411"/>
      <c r="T2587" s="134" t="s">
        <v>145</v>
      </c>
      <c r="U2587" s="267" t="s">
        <v>5980</v>
      </c>
      <c r="AA2587" s="218"/>
    </row>
    <row r="2588" spans="1:27" ht="24" x14ac:dyDescent="0.25">
      <c r="A2588" s="405">
        <v>3001963</v>
      </c>
      <c r="B2588" s="406">
        <v>42489</v>
      </c>
      <c r="C2588" s="405" t="s">
        <v>694</v>
      </c>
      <c r="D2588" s="401" t="s">
        <v>5254</v>
      </c>
      <c r="E2588" s="120">
        <v>130</v>
      </c>
      <c r="F2588" s="133" t="s">
        <v>2491</v>
      </c>
      <c r="G2588" s="404" t="s">
        <v>45</v>
      </c>
      <c r="H2588" s="411">
        <v>109.6</v>
      </c>
      <c r="I2588" s="411">
        <v>0</v>
      </c>
      <c r="J2588" s="391">
        <f t="shared" si="483"/>
        <v>-2.3823999999999996</v>
      </c>
      <c r="K2588" s="396">
        <f t="shared" si="481"/>
        <v>107.21759999999999</v>
      </c>
      <c r="L2588" s="187">
        <v>560</v>
      </c>
      <c r="M2588" s="187">
        <v>25.13</v>
      </c>
      <c r="N2588" s="91">
        <f t="shared" si="474"/>
        <v>97.929999999999993</v>
      </c>
      <c r="O2588" s="411">
        <f t="shared" si="480"/>
        <v>9.2875999999999976</v>
      </c>
      <c r="P2588" s="132" t="s">
        <v>235</v>
      </c>
      <c r="Q2588" s="232"/>
      <c r="R2588" s="411"/>
      <c r="T2588" s="134" t="s">
        <v>145</v>
      </c>
      <c r="U2588" s="267" t="s">
        <v>5981</v>
      </c>
      <c r="W2588" s="153" t="s">
        <v>5256</v>
      </c>
      <c r="AA2588" s="218"/>
    </row>
    <row r="2589" spans="1:27" x14ac:dyDescent="0.25">
      <c r="A2589" s="419">
        <v>3001964</v>
      </c>
      <c r="B2589" s="421">
        <v>42489</v>
      </c>
      <c r="C2589" s="419" t="s">
        <v>63</v>
      </c>
      <c r="D2589" s="417" t="s">
        <v>5982</v>
      </c>
      <c r="E2589" s="120">
        <v>3000</v>
      </c>
      <c r="F2589" s="133" t="s">
        <v>472</v>
      </c>
      <c r="G2589" s="434" t="s">
        <v>45</v>
      </c>
      <c r="H2589" s="427">
        <v>2550</v>
      </c>
      <c r="I2589" s="427">
        <v>0</v>
      </c>
      <c r="J2589" s="425">
        <f>-((H2589*0.022)+0.3)</f>
        <v>-56.399999999999991</v>
      </c>
      <c r="K2589" s="425">
        <f t="shared" si="481"/>
        <v>2493.6</v>
      </c>
      <c r="L2589" s="187">
        <v>436</v>
      </c>
      <c r="M2589" s="510">
        <v>92.12</v>
      </c>
      <c r="N2589" s="91">
        <f t="shared" si="474"/>
        <v>1400.12</v>
      </c>
      <c r="O2589" s="411">
        <f t="shared" si="480"/>
        <v>1093.48</v>
      </c>
      <c r="P2589" s="132" t="s">
        <v>183</v>
      </c>
      <c r="Q2589" s="232"/>
      <c r="R2589" s="411"/>
      <c r="T2589" s="439" t="s">
        <v>244</v>
      </c>
      <c r="U2589" s="446" t="s">
        <v>5983</v>
      </c>
      <c r="W2589" s="153" t="s">
        <v>5984</v>
      </c>
      <c r="AA2589" s="218">
        <v>10</v>
      </c>
    </row>
    <row r="2590" spans="1:27" x14ac:dyDescent="0.25">
      <c r="A2590" s="420"/>
      <c r="B2590" s="422"/>
      <c r="C2590" s="420"/>
      <c r="D2590" s="418"/>
      <c r="E2590" s="120">
        <v>1500</v>
      </c>
      <c r="F2590" s="133" t="s">
        <v>580</v>
      </c>
      <c r="G2590" s="436"/>
      <c r="H2590" s="428"/>
      <c r="I2590" s="428"/>
      <c r="J2590" s="426"/>
      <c r="K2590" s="426"/>
      <c r="L2590" s="187">
        <v>169</v>
      </c>
      <c r="M2590" s="512"/>
      <c r="N2590" s="91">
        <f t="shared" si="474"/>
        <v>253.5</v>
      </c>
      <c r="O2590" s="411">
        <f t="shared" si="480"/>
        <v>-253.5</v>
      </c>
      <c r="P2590" s="132" t="s">
        <v>183</v>
      </c>
      <c r="Q2590" s="232"/>
      <c r="R2590" s="411"/>
      <c r="T2590" s="441"/>
      <c r="U2590" s="447"/>
      <c r="AA2590" s="218"/>
    </row>
    <row r="2591" spans="1:27" ht="24" x14ac:dyDescent="0.25">
      <c r="A2591" s="419">
        <v>3001965</v>
      </c>
      <c r="B2591" s="421">
        <v>42492</v>
      </c>
      <c r="C2591" s="419" t="s">
        <v>327</v>
      </c>
      <c r="D2591" s="417" t="s">
        <v>5985</v>
      </c>
      <c r="E2591" s="120">
        <v>40</v>
      </c>
      <c r="F2591" s="133" t="s">
        <v>5986</v>
      </c>
      <c r="G2591" s="434" t="s">
        <v>45</v>
      </c>
      <c r="H2591" s="427">
        <v>360</v>
      </c>
      <c r="I2591" s="427">
        <v>0</v>
      </c>
      <c r="J2591" s="425">
        <f>-((H2591*0.022)+0.3)</f>
        <v>-8.2200000000000006</v>
      </c>
      <c r="K2591" s="425">
        <f t="shared" si="481"/>
        <v>351.78</v>
      </c>
      <c r="L2591" s="187">
        <v>2800</v>
      </c>
      <c r="M2591" s="187">
        <v>24.9</v>
      </c>
      <c r="N2591" s="91">
        <f t="shared" si="474"/>
        <v>136.9</v>
      </c>
      <c r="O2591" s="411">
        <f t="shared" si="480"/>
        <v>214.87999999999997</v>
      </c>
      <c r="P2591" s="132" t="s">
        <v>183</v>
      </c>
      <c r="Q2591" s="232"/>
      <c r="R2591" s="411"/>
      <c r="T2591" s="134" t="s">
        <v>145</v>
      </c>
      <c r="U2591" s="267" t="s">
        <v>5987</v>
      </c>
      <c r="V2591" s="133" t="s">
        <v>5863</v>
      </c>
      <c r="W2591" s="153" t="s">
        <v>5988</v>
      </c>
      <c r="AA2591" s="218"/>
    </row>
    <row r="2592" spans="1:27" x14ac:dyDescent="0.25">
      <c r="A2592" s="420"/>
      <c r="B2592" s="422"/>
      <c r="C2592" s="420"/>
      <c r="D2592" s="418"/>
      <c r="E2592" s="120">
        <v>4</v>
      </c>
      <c r="F2592" s="133" t="s">
        <v>5989</v>
      </c>
      <c r="G2592" s="436"/>
      <c r="H2592" s="428"/>
      <c r="I2592" s="428"/>
      <c r="J2592" s="426"/>
      <c r="K2592" s="426"/>
      <c r="L2592" s="187">
        <v>17600</v>
      </c>
      <c r="M2592" s="187">
        <v>12.32</v>
      </c>
      <c r="N2592" s="91">
        <f t="shared" si="474"/>
        <v>82.72</v>
      </c>
      <c r="O2592" s="411">
        <f t="shared" si="480"/>
        <v>-82.72</v>
      </c>
      <c r="P2592" s="132" t="s">
        <v>313</v>
      </c>
      <c r="Q2592" s="232"/>
      <c r="R2592" s="411"/>
      <c r="T2592" s="134" t="s">
        <v>314</v>
      </c>
      <c r="U2592" s="267" t="s">
        <v>5990</v>
      </c>
      <c r="AA2592" s="218"/>
    </row>
    <row r="2593" spans="1:27" ht="24" x14ac:dyDescent="0.25">
      <c r="A2593" s="405">
        <v>3001966</v>
      </c>
      <c r="B2593" s="406">
        <v>42492</v>
      </c>
      <c r="C2593" s="405" t="s">
        <v>327</v>
      </c>
      <c r="D2593" s="401" t="s">
        <v>5991</v>
      </c>
      <c r="E2593" s="120">
        <v>120</v>
      </c>
      <c r="F2593" s="133" t="s">
        <v>1547</v>
      </c>
      <c r="G2593" s="404" t="s">
        <v>45</v>
      </c>
      <c r="H2593" s="411">
        <v>129.6</v>
      </c>
      <c r="I2593" s="411">
        <v>0</v>
      </c>
      <c r="J2593" s="391">
        <f>-((H2593*0.022)+0.3)</f>
        <v>-3.1511999999999993</v>
      </c>
      <c r="K2593" s="396">
        <f t="shared" si="481"/>
        <v>126.44879999999999</v>
      </c>
      <c r="L2593" s="131">
        <v>385</v>
      </c>
      <c r="M2593" s="187">
        <v>20.09</v>
      </c>
      <c r="N2593" s="91">
        <f t="shared" si="474"/>
        <v>66.289999999999992</v>
      </c>
      <c r="O2593" s="411">
        <f t="shared" si="480"/>
        <v>60.158799999999999</v>
      </c>
      <c r="P2593" s="132" t="s">
        <v>52</v>
      </c>
      <c r="Q2593" s="232"/>
      <c r="R2593" s="411"/>
      <c r="T2593" s="134" t="s">
        <v>145</v>
      </c>
      <c r="U2593" s="267" t="s">
        <v>5992</v>
      </c>
      <c r="W2593" s="153" t="s">
        <v>5993</v>
      </c>
      <c r="AA2593" s="218"/>
    </row>
    <row r="2594" spans="1:27" ht="24" x14ac:dyDescent="0.25">
      <c r="A2594" s="405">
        <v>3001967</v>
      </c>
      <c r="B2594" s="406">
        <v>42492</v>
      </c>
      <c r="C2594" s="405" t="s">
        <v>5682</v>
      </c>
      <c r="D2594" s="401" t="s">
        <v>5994</v>
      </c>
      <c r="E2594" s="120">
        <v>500</v>
      </c>
      <c r="F2594" s="133" t="s">
        <v>1042</v>
      </c>
      <c r="G2594" s="404" t="s">
        <v>45</v>
      </c>
      <c r="H2594" s="411">
        <v>152.78</v>
      </c>
      <c r="I2594" s="397">
        <f t="shared" ref="I2594:I2619" si="484">-(H2594*0.09)</f>
        <v>-13.7502</v>
      </c>
      <c r="J2594" s="391">
        <f t="shared" ref="J2594:J2619" si="485">-((H2594*0.019)+0.3)</f>
        <v>-3.2028199999999996</v>
      </c>
      <c r="K2594" s="396">
        <f t="shared" si="481"/>
        <v>135.82697999999999</v>
      </c>
      <c r="M2594" s="187">
        <v>45.39</v>
      </c>
      <c r="N2594" s="91">
        <f t="shared" si="474"/>
        <v>45.39</v>
      </c>
      <c r="O2594" s="411">
        <f t="shared" si="480"/>
        <v>90.436979999999991</v>
      </c>
      <c r="P2594" s="132" t="s">
        <v>52</v>
      </c>
      <c r="Q2594" s="232"/>
      <c r="R2594" s="411"/>
      <c r="T2594" s="134" t="s">
        <v>145</v>
      </c>
      <c r="U2594" s="267" t="s">
        <v>5995</v>
      </c>
      <c r="AA2594" s="218"/>
    </row>
    <row r="2595" spans="1:27" x14ac:dyDescent="0.25">
      <c r="A2595" s="405">
        <v>3001968</v>
      </c>
      <c r="B2595" s="406">
        <v>42492</v>
      </c>
      <c r="C2595" s="405" t="s">
        <v>5682</v>
      </c>
      <c r="D2595" s="401" t="s">
        <v>5996</v>
      </c>
      <c r="E2595" s="120">
        <v>1020</v>
      </c>
      <c r="F2595" s="133" t="s">
        <v>5997</v>
      </c>
      <c r="G2595" s="404" t="s">
        <v>45</v>
      </c>
      <c r="H2595" s="411">
        <v>2400</v>
      </c>
      <c r="I2595" s="397">
        <f t="shared" si="484"/>
        <v>-216</v>
      </c>
      <c r="J2595" s="391">
        <f t="shared" si="485"/>
        <v>-45.9</v>
      </c>
      <c r="K2595" s="396">
        <f t="shared" si="481"/>
        <v>2138.1</v>
      </c>
      <c r="L2595" s="131">
        <v>1575</v>
      </c>
      <c r="M2595" s="187">
        <v>100.89</v>
      </c>
      <c r="N2595" s="91">
        <f t="shared" si="474"/>
        <v>1707.39</v>
      </c>
      <c r="O2595" s="411">
        <f t="shared" si="480"/>
        <v>430.70999999999981</v>
      </c>
      <c r="P2595" s="132" t="s">
        <v>52</v>
      </c>
      <c r="Q2595" s="232"/>
      <c r="R2595" s="411"/>
      <c r="T2595" s="134" t="s">
        <v>244</v>
      </c>
      <c r="U2595" s="266" t="s">
        <v>5998</v>
      </c>
      <c r="V2595" s="133" t="s">
        <v>55</v>
      </c>
      <c r="AA2595" s="218"/>
    </row>
    <row r="2596" spans="1:27" x14ac:dyDescent="0.25">
      <c r="A2596" s="405">
        <v>3001969</v>
      </c>
      <c r="B2596" s="406">
        <v>42492</v>
      </c>
      <c r="C2596" s="405" t="s">
        <v>5682</v>
      </c>
      <c r="D2596" s="401" t="s">
        <v>5999</v>
      </c>
      <c r="E2596" s="120">
        <v>250</v>
      </c>
      <c r="F2596" s="133" t="s">
        <v>2361</v>
      </c>
      <c r="G2596" s="404" t="s">
        <v>45</v>
      </c>
      <c r="H2596" s="411">
        <v>320</v>
      </c>
      <c r="I2596" s="397">
        <f t="shared" si="484"/>
        <v>-28.799999999999997</v>
      </c>
      <c r="J2596" s="391">
        <f t="shared" si="485"/>
        <v>-6.38</v>
      </c>
      <c r="K2596" s="396">
        <f t="shared" si="481"/>
        <v>284.82</v>
      </c>
      <c r="L2596" s="187">
        <v>882</v>
      </c>
      <c r="M2596" s="187">
        <v>56.58</v>
      </c>
      <c r="N2596" s="91">
        <f t="shared" si="474"/>
        <v>277.08</v>
      </c>
      <c r="O2596" s="411">
        <f t="shared" si="480"/>
        <v>7.7400000000000091</v>
      </c>
      <c r="P2596" s="132" t="s">
        <v>330</v>
      </c>
      <c r="Q2596" s="232"/>
      <c r="R2596" s="411"/>
      <c r="T2596" s="134" t="s">
        <v>314</v>
      </c>
      <c r="U2596" s="267" t="s">
        <v>6000</v>
      </c>
      <c r="AA2596" s="218"/>
    </row>
    <row r="2597" spans="1:27" ht="24" x14ac:dyDescent="0.25">
      <c r="A2597" s="405">
        <v>3001970</v>
      </c>
      <c r="B2597" s="406">
        <v>42492</v>
      </c>
      <c r="C2597" s="405" t="s">
        <v>5682</v>
      </c>
      <c r="D2597" s="401" t="s">
        <v>6001</v>
      </c>
      <c r="E2597" s="120">
        <v>100</v>
      </c>
      <c r="F2597" s="133" t="s">
        <v>227</v>
      </c>
      <c r="G2597" s="404" t="s">
        <v>45</v>
      </c>
      <c r="H2597" s="411">
        <v>90.14</v>
      </c>
      <c r="I2597" s="397">
        <f t="shared" si="484"/>
        <v>-8.1126000000000005</v>
      </c>
      <c r="J2597" s="391">
        <f t="shared" si="485"/>
        <v>-2.0126599999999999</v>
      </c>
      <c r="K2597" s="396">
        <f t="shared" si="481"/>
        <v>80.014740000000003</v>
      </c>
      <c r="L2597" s="131">
        <v>350</v>
      </c>
      <c r="M2597" s="187">
        <v>26.7</v>
      </c>
      <c r="N2597" s="91">
        <f t="shared" si="474"/>
        <v>61.7</v>
      </c>
      <c r="O2597" s="411">
        <f t="shared" si="480"/>
        <v>18.31474</v>
      </c>
      <c r="P2597" s="132" t="s">
        <v>52</v>
      </c>
      <c r="Q2597" s="232"/>
      <c r="R2597" s="411"/>
      <c r="T2597" s="134" t="s">
        <v>145</v>
      </c>
      <c r="U2597" s="267" t="s">
        <v>6002</v>
      </c>
      <c r="AA2597" s="218"/>
    </row>
    <row r="2598" spans="1:27" x14ac:dyDescent="0.25">
      <c r="A2598" s="405">
        <v>3001971</v>
      </c>
      <c r="B2598" s="406">
        <v>42492</v>
      </c>
      <c r="C2598" s="405" t="s">
        <v>5682</v>
      </c>
      <c r="D2598" s="401" t="s">
        <v>6003</v>
      </c>
      <c r="E2598" s="120">
        <v>500</v>
      </c>
      <c r="F2598" s="133" t="s">
        <v>119</v>
      </c>
      <c r="G2598" s="404" t="s">
        <v>45</v>
      </c>
      <c r="H2598" s="411">
        <v>342</v>
      </c>
      <c r="I2598" s="397">
        <f t="shared" si="484"/>
        <v>-30.779999999999998</v>
      </c>
      <c r="J2598" s="391">
        <f t="shared" si="485"/>
        <v>-6.798</v>
      </c>
      <c r="K2598" s="396">
        <f t="shared" si="481"/>
        <v>304.42200000000003</v>
      </c>
      <c r="L2598" s="187">
        <v>319</v>
      </c>
      <c r="M2598" s="131">
        <v>62.68</v>
      </c>
      <c r="N2598" s="91">
        <f t="shared" si="474"/>
        <v>222.18</v>
      </c>
      <c r="O2598" s="411">
        <f t="shared" si="480"/>
        <v>82.242000000000019</v>
      </c>
      <c r="P2598" s="132" t="s">
        <v>3597</v>
      </c>
      <c r="Q2598" s="232"/>
      <c r="R2598" s="411"/>
      <c r="T2598" s="134" t="s">
        <v>576</v>
      </c>
      <c r="U2598" s="267" t="s">
        <v>6004</v>
      </c>
      <c r="AA2598" s="218"/>
    </row>
    <row r="2599" spans="1:27" ht="24" x14ac:dyDescent="0.25">
      <c r="A2599" s="405">
        <v>3001972</v>
      </c>
      <c r="B2599" s="406">
        <v>42492</v>
      </c>
      <c r="C2599" s="405" t="s">
        <v>5682</v>
      </c>
      <c r="D2599" s="401" t="s">
        <v>6005</v>
      </c>
      <c r="E2599" s="120">
        <v>100</v>
      </c>
      <c r="F2599" s="133" t="s">
        <v>247</v>
      </c>
      <c r="G2599" s="404" t="s">
        <v>45</v>
      </c>
      <c r="H2599" s="411">
        <v>123.4</v>
      </c>
      <c r="I2599" s="397">
        <f t="shared" si="484"/>
        <v>-11.106</v>
      </c>
      <c r="J2599" s="391">
        <f t="shared" si="485"/>
        <v>-2.6446000000000001</v>
      </c>
      <c r="K2599" s="396">
        <f t="shared" si="481"/>
        <v>109.64940000000001</v>
      </c>
      <c r="L2599" s="131">
        <v>580</v>
      </c>
      <c r="M2599" s="187">
        <v>48.78</v>
      </c>
      <c r="N2599" s="91">
        <f t="shared" si="474"/>
        <v>106.78</v>
      </c>
      <c r="O2599" s="411">
        <f t="shared" si="480"/>
        <v>2.8694000000000131</v>
      </c>
      <c r="P2599" s="132" t="s">
        <v>52</v>
      </c>
      <c r="Q2599" s="232"/>
      <c r="R2599" s="411"/>
      <c r="T2599" s="134" t="s">
        <v>145</v>
      </c>
      <c r="U2599" s="267" t="s">
        <v>6006</v>
      </c>
      <c r="AA2599" s="218"/>
    </row>
    <row r="2600" spans="1:27" x14ac:dyDescent="0.25">
      <c r="A2600" s="405">
        <v>3001973</v>
      </c>
      <c r="B2600" s="406">
        <v>42492</v>
      </c>
      <c r="C2600" s="405" t="s">
        <v>5682</v>
      </c>
      <c r="D2600" s="401" t="s">
        <v>6007</v>
      </c>
      <c r="E2600" s="120">
        <v>1000</v>
      </c>
      <c r="F2600" s="133" t="s">
        <v>451</v>
      </c>
      <c r="G2600" s="404" t="s">
        <v>45</v>
      </c>
      <c r="H2600" s="411">
        <v>600</v>
      </c>
      <c r="I2600" s="397">
        <f t="shared" si="484"/>
        <v>-54</v>
      </c>
      <c r="J2600" s="391">
        <f t="shared" si="485"/>
        <v>-11.700000000000001</v>
      </c>
      <c r="K2600" s="396">
        <f t="shared" si="481"/>
        <v>534.29999999999995</v>
      </c>
      <c r="L2600" s="131">
        <v>300</v>
      </c>
      <c r="M2600" s="187">
        <v>124.88</v>
      </c>
      <c r="N2600" s="91">
        <f t="shared" si="474"/>
        <v>424.88</v>
      </c>
      <c r="O2600" s="411">
        <f t="shared" si="480"/>
        <v>109.41999999999996</v>
      </c>
      <c r="P2600" s="132" t="s">
        <v>52</v>
      </c>
      <c r="Q2600" s="232"/>
      <c r="R2600" s="411"/>
      <c r="T2600" s="134" t="s">
        <v>97</v>
      </c>
      <c r="U2600" s="267" t="s">
        <v>6008</v>
      </c>
      <c r="V2600" s="133" t="s">
        <v>55</v>
      </c>
      <c r="AA2600" s="218"/>
    </row>
    <row r="2601" spans="1:27" ht="24" x14ac:dyDescent="0.25">
      <c r="A2601" s="405">
        <v>3001974</v>
      </c>
      <c r="B2601" s="406">
        <v>42492</v>
      </c>
      <c r="C2601" s="405" t="s">
        <v>5682</v>
      </c>
      <c r="D2601" s="401" t="s">
        <v>6009</v>
      </c>
      <c r="E2601" s="120">
        <v>100</v>
      </c>
      <c r="F2601" s="133" t="s">
        <v>288</v>
      </c>
      <c r="G2601" s="404" t="s">
        <v>45</v>
      </c>
      <c r="H2601" s="411">
        <v>198.16</v>
      </c>
      <c r="I2601" s="397">
        <f t="shared" si="484"/>
        <v>-17.834399999999999</v>
      </c>
      <c r="J2601" s="391">
        <f t="shared" si="485"/>
        <v>-4.0650399999999998</v>
      </c>
      <c r="K2601" s="396">
        <f t="shared" si="481"/>
        <v>176.26056</v>
      </c>
      <c r="L2601" s="131">
        <v>950</v>
      </c>
      <c r="M2601" s="187">
        <v>49.93</v>
      </c>
      <c r="N2601" s="91">
        <f t="shared" si="474"/>
        <v>144.93</v>
      </c>
      <c r="O2601" s="411">
        <f t="shared" si="480"/>
        <v>31.330559999999991</v>
      </c>
      <c r="P2601" s="132" t="s">
        <v>52</v>
      </c>
      <c r="Q2601" s="232"/>
      <c r="R2601" s="411"/>
      <c r="T2601" s="134" t="s">
        <v>145</v>
      </c>
      <c r="U2601" s="267" t="s">
        <v>6010</v>
      </c>
      <c r="AA2601" s="218"/>
    </row>
    <row r="2602" spans="1:27" ht="24" x14ac:dyDescent="0.25">
      <c r="A2602" s="405">
        <v>3001975</v>
      </c>
      <c r="B2602" s="406">
        <v>42492</v>
      </c>
      <c r="C2602" s="405" t="s">
        <v>5682</v>
      </c>
      <c r="D2602" s="401" t="s">
        <v>6011</v>
      </c>
      <c r="E2602" s="120">
        <v>100</v>
      </c>
      <c r="F2602" s="133" t="s">
        <v>829</v>
      </c>
      <c r="G2602" s="404" t="s">
        <v>45</v>
      </c>
      <c r="H2602" s="411">
        <v>114</v>
      </c>
      <c r="I2602" s="397">
        <f t="shared" si="484"/>
        <v>-10.26</v>
      </c>
      <c r="J2602" s="391">
        <f t="shared" si="485"/>
        <v>-2.4659999999999997</v>
      </c>
      <c r="K2602" s="396">
        <f t="shared" si="481"/>
        <v>101.274</v>
      </c>
      <c r="L2602" s="131">
        <v>510</v>
      </c>
      <c r="M2602" s="187">
        <v>24.95</v>
      </c>
      <c r="N2602" s="91">
        <f t="shared" si="474"/>
        <v>75.95</v>
      </c>
      <c r="O2602" s="411">
        <f t="shared" si="480"/>
        <v>25.323999999999998</v>
      </c>
      <c r="P2602" s="132" t="s">
        <v>52</v>
      </c>
      <c r="Q2602" s="232"/>
      <c r="R2602" s="411"/>
      <c r="T2602" s="134" t="s">
        <v>145</v>
      </c>
      <c r="U2602" s="267" t="s">
        <v>6012</v>
      </c>
      <c r="AA2602" s="218"/>
    </row>
    <row r="2603" spans="1:27" ht="24" x14ac:dyDescent="0.25">
      <c r="A2603" s="405">
        <v>3001976</v>
      </c>
      <c r="B2603" s="406">
        <v>42492</v>
      </c>
      <c r="C2603" s="405" t="s">
        <v>5682</v>
      </c>
      <c r="D2603" s="401" t="s">
        <v>6013</v>
      </c>
      <c r="E2603" s="120">
        <v>250</v>
      </c>
      <c r="F2603" s="133" t="s">
        <v>609</v>
      </c>
      <c r="G2603" s="404" t="s">
        <v>45</v>
      </c>
      <c r="H2603" s="411">
        <v>158.26</v>
      </c>
      <c r="I2603" s="397">
        <f t="shared" si="484"/>
        <v>-14.243399999999999</v>
      </c>
      <c r="J2603" s="391">
        <f t="shared" si="485"/>
        <v>-3.3069399999999995</v>
      </c>
      <c r="K2603" s="396">
        <f t="shared" si="481"/>
        <v>140.70965999999999</v>
      </c>
      <c r="L2603" s="131">
        <v>280</v>
      </c>
      <c r="M2603" s="187">
        <v>31.63</v>
      </c>
      <c r="N2603" s="91">
        <f t="shared" ref="N2603:N2667" si="486">((L2603)*(E2603*0.001))+M2603</f>
        <v>101.63</v>
      </c>
      <c r="O2603" s="411">
        <f t="shared" si="480"/>
        <v>39.07965999999999</v>
      </c>
      <c r="P2603" s="132" t="s">
        <v>52</v>
      </c>
      <c r="Q2603" s="232"/>
      <c r="R2603" s="411"/>
      <c r="T2603" s="134" t="s">
        <v>145</v>
      </c>
      <c r="U2603" s="267" t="s">
        <v>6014</v>
      </c>
      <c r="AA2603" s="218"/>
    </row>
    <row r="2604" spans="1:27" x14ac:dyDescent="0.25">
      <c r="A2604" s="405">
        <v>3001977</v>
      </c>
      <c r="B2604" s="406">
        <v>42492</v>
      </c>
      <c r="C2604" s="405" t="s">
        <v>5682</v>
      </c>
      <c r="D2604" s="401" t="s">
        <v>6015</v>
      </c>
      <c r="E2604" s="120">
        <v>300</v>
      </c>
      <c r="F2604" s="133" t="s">
        <v>178</v>
      </c>
      <c r="G2604" s="404" t="s">
        <v>45</v>
      </c>
      <c r="H2604" s="411">
        <v>555</v>
      </c>
      <c r="I2604" s="397">
        <f t="shared" si="484"/>
        <v>-49.949999999999996</v>
      </c>
      <c r="J2604" s="391">
        <f t="shared" si="485"/>
        <v>-10.845000000000001</v>
      </c>
      <c r="K2604" s="396">
        <f t="shared" si="481"/>
        <v>494.20499999999998</v>
      </c>
      <c r="L2604" s="131">
        <v>1170</v>
      </c>
      <c r="M2604" s="187">
        <v>200.99</v>
      </c>
      <c r="N2604" s="91">
        <f t="shared" si="486"/>
        <v>551.99</v>
      </c>
      <c r="O2604" s="411">
        <f t="shared" si="480"/>
        <v>-57.785000000000025</v>
      </c>
      <c r="P2604" s="132" t="s">
        <v>52</v>
      </c>
      <c r="Q2604" s="232"/>
      <c r="R2604" s="411"/>
      <c r="T2604" s="134" t="s">
        <v>244</v>
      </c>
      <c r="U2604" s="267" t="s">
        <v>6016</v>
      </c>
      <c r="V2604" s="133" t="s">
        <v>55</v>
      </c>
      <c r="AA2604" s="218"/>
    </row>
    <row r="2605" spans="1:27" ht="24" x14ac:dyDescent="0.25">
      <c r="A2605" s="405">
        <v>3001978</v>
      </c>
      <c r="B2605" s="406">
        <v>42492</v>
      </c>
      <c r="C2605" s="405" t="s">
        <v>5682</v>
      </c>
      <c r="D2605" s="401" t="s">
        <v>6017</v>
      </c>
      <c r="E2605" s="120">
        <v>250</v>
      </c>
      <c r="F2605" s="133" t="s">
        <v>438</v>
      </c>
      <c r="G2605" s="404" t="s">
        <v>45</v>
      </c>
      <c r="H2605" s="411">
        <v>153.59</v>
      </c>
      <c r="I2605" s="397">
        <f t="shared" si="484"/>
        <v>-13.8231</v>
      </c>
      <c r="J2605" s="391">
        <f t="shared" si="485"/>
        <v>-3.21821</v>
      </c>
      <c r="K2605" s="396">
        <f t="shared" si="481"/>
        <v>136.54868999999999</v>
      </c>
      <c r="M2605" s="187">
        <v>42.33</v>
      </c>
      <c r="N2605" s="91">
        <f t="shared" si="486"/>
        <v>42.33</v>
      </c>
      <c r="O2605" s="411">
        <f t="shared" si="480"/>
        <v>94.218689999999995</v>
      </c>
      <c r="P2605" s="132" t="s">
        <v>52</v>
      </c>
      <c r="Q2605" s="232"/>
      <c r="R2605" s="411"/>
      <c r="T2605" s="134" t="s">
        <v>145</v>
      </c>
      <c r="U2605" s="267" t="s">
        <v>6018</v>
      </c>
      <c r="AA2605" s="218"/>
    </row>
    <row r="2606" spans="1:27" x14ac:dyDescent="0.25">
      <c r="A2606" s="405">
        <v>3001979</v>
      </c>
      <c r="B2606" s="406">
        <v>42492</v>
      </c>
      <c r="C2606" s="405" t="s">
        <v>5682</v>
      </c>
      <c r="D2606" s="401" t="s">
        <v>6019</v>
      </c>
      <c r="E2606" s="120">
        <v>1300</v>
      </c>
      <c r="F2606" s="133" t="s">
        <v>173</v>
      </c>
      <c r="G2606" s="404" t="s">
        <v>45</v>
      </c>
      <c r="H2606" s="411">
        <v>1200.95</v>
      </c>
      <c r="I2606" s="397">
        <f t="shared" si="484"/>
        <v>-108.0855</v>
      </c>
      <c r="J2606" s="391">
        <f t="shared" si="485"/>
        <v>-23.11805</v>
      </c>
      <c r="K2606" s="396">
        <f t="shared" si="481"/>
        <v>1069.7464500000001</v>
      </c>
      <c r="L2606" s="187">
        <v>540</v>
      </c>
      <c r="M2606" s="187">
        <v>105</v>
      </c>
      <c r="N2606" s="91">
        <f t="shared" si="486"/>
        <v>807</v>
      </c>
      <c r="O2606" s="411">
        <f t="shared" si="480"/>
        <v>262.7464500000001</v>
      </c>
      <c r="P2606" s="132" t="s">
        <v>183</v>
      </c>
      <c r="Q2606" s="232"/>
      <c r="R2606" s="411"/>
      <c r="T2606" s="134" t="s">
        <v>3598</v>
      </c>
      <c r="U2606" s="267" t="s">
        <v>6020</v>
      </c>
      <c r="AA2606" s="218"/>
    </row>
    <row r="2607" spans="1:27" ht="24" x14ac:dyDescent="0.25">
      <c r="A2607" s="405">
        <v>3001980</v>
      </c>
      <c r="B2607" s="406">
        <v>42492</v>
      </c>
      <c r="C2607" s="405" t="s">
        <v>5682</v>
      </c>
      <c r="D2607" s="401" t="s">
        <v>6021</v>
      </c>
      <c r="E2607" s="120">
        <v>200</v>
      </c>
      <c r="F2607" s="133" t="s">
        <v>2949</v>
      </c>
      <c r="G2607" s="404" t="s">
        <v>45</v>
      </c>
      <c r="H2607" s="411">
        <v>400</v>
      </c>
      <c r="I2607" s="397">
        <f t="shared" si="484"/>
        <v>-36</v>
      </c>
      <c r="J2607" s="391">
        <f t="shared" si="485"/>
        <v>-7.8999999999999995</v>
      </c>
      <c r="K2607" s="396">
        <f t="shared" si="481"/>
        <v>356.1</v>
      </c>
      <c r="M2607" s="187">
        <v>53.27</v>
      </c>
      <c r="N2607" s="91">
        <f t="shared" si="486"/>
        <v>53.27</v>
      </c>
      <c r="O2607" s="411">
        <f t="shared" si="480"/>
        <v>302.83000000000004</v>
      </c>
      <c r="P2607" s="132" t="s">
        <v>52</v>
      </c>
      <c r="Q2607" s="232"/>
      <c r="R2607" s="411"/>
      <c r="T2607" s="134" t="s">
        <v>145</v>
      </c>
      <c r="U2607" s="267" t="s">
        <v>6022</v>
      </c>
      <c r="AA2607" s="218"/>
    </row>
    <row r="2608" spans="1:27" x14ac:dyDescent="0.25">
      <c r="A2608" s="405">
        <v>3001981</v>
      </c>
      <c r="B2608" s="406">
        <v>42492</v>
      </c>
      <c r="C2608" s="405" t="s">
        <v>5682</v>
      </c>
      <c r="D2608" s="401" t="s">
        <v>6023</v>
      </c>
      <c r="E2608" s="120">
        <v>350</v>
      </c>
      <c r="F2608" s="133" t="s">
        <v>528</v>
      </c>
      <c r="G2608" s="404" t="s">
        <v>45</v>
      </c>
      <c r="H2608" s="411">
        <v>643.05999999999995</v>
      </c>
      <c r="I2608" s="397">
        <f t="shared" si="484"/>
        <v>-57.875399999999992</v>
      </c>
      <c r="J2608" s="391">
        <f t="shared" si="485"/>
        <v>-12.518139999999999</v>
      </c>
      <c r="K2608" s="396">
        <f t="shared" si="481"/>
        <v>572.66645999999992</v>
      </c>
      <c r="L2608" s="131">
        <v>1021</v>
      </c>
      <c r="M2608" s="187">
        <v>216.5</v>
      </c>
      <c r="N2608" s="91">
        <f t="shared" si="486"/>
        <v>573.85</v>
      </c>
      <c r="O2608" s="411">
        <f t="shared" si="480"/>
        <v>-1.1835400000001073</v>
      </c>
      <c r="P2608" s="132" t="s">
        <v>52</v>
      </c>
      <c r="Q2608" s="232"/>
      <c r="R2608" s="411"/>
      <c r="T2608" s="134" t="s">
        <v>244</v>
      </c>
      <c r="U2608" s="267" t="s">
        <v>6024</v>
      </c>
      <c r="V2608" s="133" t="s">
        <v>55</v>
      </c>
      <c r="W2608" s="153"/>
      <c r="AA2608" s="218"/>
    </row>
    <row r="2609" spans="1:27" ht="24" x14ac:dyDescent="0.25">
      <c r="A2609" s="405">
        <v>3001982</v>
      </c>
      <c r="B2609" s="406">
        <v>42492</v>
      </c>
      <c r="C2609" s="405" t="s">
        <v>5682</v>
      </c>
      <c r="D2609" s="401" t="s">
        <v>6025</v>
      </c>
      <c r="E2609" s="120">
        <v>100</v>
      </c>
      <c r="F2609" s="133" t="s">
        <v>431</v>
      </c>
      <c r="G2609" s="404" t="s">
        <v>45</v>
      </c>
      <c r="H2609" s="411">
        <v>216.11</v>
      </c>
      <c r="I2609" s="397">
        <f t="shared" si="484"/>
        <v>-19.4499</v>
      </c>
      <c r="J2609" s="391">
        <f t="shared" si="485"/>
        <v>-4.4060899999999998</v>
      </c>
      <c r="K2609" s="396">
        <f t="shared" si="481"/>
        <v>192.25400999999999</v>
      </c>
      <c r="L2609" s="131">
        <v>990</v>
      </c>
      <c r="M2609" s="187">
        <v>43.18</v>
      </c>
      <c r="N2609" s="91">
        <f t="shared" si="486"/>
        <v>142.18</v>
      </c>
      <c r="O2609" s="411">
        <f t="shared" si="480"/>
        <v>50.074009999999987</v>
      </c>
      <c r="P2609" s="132" t="s">
        <v>52</v>
      </c>
      <c r="Q2609" s="232"/>
      <c r="R2609" s="411"/>
      <c r="T2609" s="134" t="s">
        <v>145</v>
      </c>
      <c r="U2609" s="267" t="s">
        <v>6026</v>
      </c>
      <c r="AA2609" s="218"/>
    </row>
    <row r="2610" spans="1:27" ht="24" x14ac:dyDescent="0.25">
      <c r="A2610" s="405">
        <v>3001983</v>
      </c>
      <c r="B2610" s="406">
        <v>42492</v>
      </c>
      <c r="C2610" s="405" t="s">
        <v>5682</v>
      </c>
      <c r="D2610" s="401" t="s">
        <v>6027</v>
      </c>
      <c r="E2610" s="120">
        <v>250</v>
      </c>
      <c r="F2610" s="133" t="s">
        <v>4803</v>
      </c>
      <c r="G2610" s="404" t="s">
        <v>45</v>
      </c>
      <c r="H2610" s="411">
        <v>176.88</v>
      </c>
      <c r="I2610" s="397">
        <f t="shared" si="484"/>
        <v>-15.919199999999998</v>
      </c>
      <c r="J2610" s="391">
        <f t="shared" si="485"/>
        <v>-3.6607199999999995</v>
      </c>
      <c r="K2610" s="396">
        <f t="shared" si="481"/>
        <v>157.30008000000001</v>
      </c>
      <c r="M2610" s="187">
        <v>48.21</v>
      </c>
      <c r="N2610" s="91">
        <f t="shared" si="486"/>
        <v>48.21</v>
      </c>
      <c r="O2610" s="411">
        <f t="shared" si="480"/>
        <v>109.09008</v>
      </c>
      <c r="P2610" s="132" t="s">
        <v>52</v>
      </c>
      <c r="Q2610" s="232"/>
      <c r="R2610" s="411"/>
      <c r="T2610" s="134" t="s">
        <v>145</v>
      </c>
      <c r="U2610" s="267" t="s">
        <v>6028</v>
      </c>
      <c r="AA2610" s="218"/>
    </row>
    <row r="2611" spans="1:27" ht="24" x14ac:dyDescent="0.25">
      <c r="A2611" s="405">
        <v>3001984</v>
      </c>
      <c r="B2611" s="406">
        <v>42492</v>
      </c>
      <c r="C2611" s="405" t="s">
        <v>5682</v>
      </c>
      <c r="D2611" s="401" t="s">
        <v>6029</v>
      </c>
      <c r="E2611" s="120">
        <v>200</v>
      </c>
      <c r="F2611" s="133" t="s">
        <v>3345</v>
      </c>
      <c r="G2611" s="404" t="s">
        <v>45</v>
      </c>
      <c r="H2611" s="411">
        <v>463.32</v>
      </c>
      <c r="I2611" s="397">
        <f t="shared" si="484"/>
        <v>-41.698799999999999</v>
      </c>
      <c r="J2611" s="391">
        <f t="shared" si="485"/>
        <v>-9.1030800000000003</v>
      </c>
      <c r="K2611" s="396">
        <f t="shared" si="481"/>
        <v>412.51812000000001</v>
      </c>
      <c r="L2611" s="187">
        <v>1480</v>
      </c>
      <c r="M2611" s="187">
        <v>56.36</v>
      </c>
      <c r="N2611" s="91">
        <f t="shared" si="486"/>
        <v>352.36</v>
      </c>
      <c r="O2611" s="411">
        <f t="shared" si="480"/>
        <v>60.158119999999997</v>
      </c>
      <c r="P2611" s="132" t="s">
        <v>601</v>
      </c>
      <c r="Q2611" s="232"/>
      <c r="R2611" s="411"/>
      <c r="T2611" s="134" t="s">
        <v>145</v>
      </c>
      <c r="U2611" s="267" t="s">
        <v>6030</v>
      </c>
      <c r="AA2611" s="218"/>
    </row>
    <row r="2612" spans="1:27" ht="24" x14ac:dyDescent="0.25">
      <c r="A2612" s="405">
        <v>3001985</v>
      </c>
      <c r="B2612" s="406">
        <v>42492</v>
      </c>
      <c r="C2612" s="405" t="s">
        <v>42</v>
      </c>
      <c r="D2612" s="401" t="s">
        <v>1503</v>
      </c>
      <c r="E2612" s="120">
        <v>1000</v>
      </c>
      <c r="F2612" s="119" t="s">
        <v>4033</v>
      </c>
      <c r="G2612" s="404" t="s">
        <v>45</v>
      </c>
      <c r="H2612" s="411">
        <v>565</v>
      </c>
      <c r="I2612" s="397">
        <f t="shared" si="484"/>
        <v>-50.85</v>
      </c>
      <c r="J2612" s="391">
        <f t="shared" si="485"/>
        <v>-11.035</v>
      </c>
      <c r="K2612" s="396">
        <f t="shared" si="481"/>
        <v>503.11499999999995</v>
      </c>
      <c r="L2612" s="187">
        <v>330</v>
      </c>
      <c r="M2612" s="187">
        <v>56.99</v>
      </c>
      <c r="N2612" s="91">
        <f t="shared" si="486"/>
        <v>386.99</v>
      </c>
      <c r="O2612" s="411">
        <f t="shared" si="480"/>
        <v>116.12499999999994</v>
      </c>
      <c r="P2612" s="132" t="s">
        <v>1505</v>
      </c>
      <c r="Q2612" s="232"/>
      <c r="R2612" s="411"/>
      <c r="T2612" s="134" t="s">
        <v>145</v>
      </c>
      <c r="U2612" s="267" t="s">
        <v>6031</v>
      </c>
      <c r="AA2612" s="218"/>
    </row>
    <row r="2613" spans="1:27" x14ac:dyDescent="0.25">
      <c r="A2613" s="405">
        <v>3001986</v>
      </c>
      <c r="B2613" s="406">
        <v>42492</v>
      </c>
      <c r="C2613" s="405" t="s">
        <v>5682</v>
      </c>
      <c r="D2613" s="401" t="s">
        <v>6032</v>
      </c>
      <c r="E2613" s="120">
        <v>250</v>
      </c>
      <c r="F2613" s="133" t="s">
        <v>489</v>
      </c>
      <c r="G2613" s="404" t="s">
        <v>45</v>
      </c>
      <c r="H2613" s="411">
        <v>308.75</v>
      </c>
      <c r="I2613" s="397">
        <f t="shared" si="484"/>
        <v>-27.787499999999998</v>
      </c>
      <c r="J2613" s="391">
        <f t="shared" si="485"/>
        <v>-6.1662499999999998</v>
      </c>
      <c r="K2613" s="396">
        <f t="shared" si="481"/>
        <v>274.79624999999999</v>
      </c>
      <c r="L2613" s="187">
        <v>795</v>
      </c>
      <c r="M2613" s="187">
        <v>120.07</v>
      </c>
      <c r="N2613" s="91">
        <f t="shared" si="486"/>
        <v>318.82</v>
      </c>
      <c r="O2613" s="411">
        <f t="shared" si="480"/>
        <v>-44.023750000000007</v>
      </c>
      <c r="P2613" s="132" t="s">
        <v>3401</v>
      </c>
      <c r="Q2613" s="232"/>
      <c r="R2613" s="411"/>
      <c r="T2613" s="134" t="s">
        <v>314</v>
      </c>
      <c r="U2613" s="266">
        <v>3670391970</v>
      </c>
      <c r="AA2613" s="218"/>
    </row>
    <row r="2614" spans="1:27" ht="24" x14ac:dyDescent="0.25">
      <c r="A2614" s="405">
        <v>3001987</v>
      </c>
      <c r="B2614" s="406">
        <v>42492</v>
      </c>
      <c r="C2614" s="405" t="s">
        <v>5682</v>
      </c>
      <c r="D2614" s="401" t="s">
        <v>6033</v>
      </c>
      <c r="E2614" s="120">
        <v>225</v>
      </c>
      <c r="F2614" s="133" t="s">
        <v>247</v>
      </c>
      <c r="G2614" s="404" t="s">
        <v>45</v>
      </c>
      <c r="H2614" s="411">
        <v>277.63</v>
      </c>
      <c r="I2614" s="397">
        <f t="shared" si="484"/>
        <v>-24.986699999999999</v>
      </c>
      <c r="J2614" s="391">
        <f t="shared" si="485"/>
        <v>-5.5749699999999995</v>
      </c>
      <c r="K2614" s="396">
        <f t="shared" si="481"/>
        <v>247.06833</v>
      </c>
      <c r="L2614" s="131">
        <v>580</v>
      </c>
      <c r="M2614" s="187">
        <v>38.380000000000003</v>
      </c>
      <c r="N2614" s="91">
        <f t="shared" si="486"/>
        <v>168.88</v>
      </c>
      <c r="O2614" s="411">
        <f t="shared" si="480"/>
        <v>78.188330000000008</v>
      </c>
      <c r="P2614" s="132" t="s">
        <v>52</v>
      </c>
      <c r="Q2614" s="232"/>
      <c r="R2614" s="411"/>
      <c r="T2614" s="134" t="s">
        <v>145</v>
      </c>
      <c r="U2614" s="267" t="s">
        <v>6034</v>
      </c>
      <c r="AA2614" s="218"/>
    </row>
    <row r="2615" spans="1:27" ht="24" x14ac:dyDescent="0.25">
      <c r="A2615" s="405">
        <v>3001988</v>
      </c>
      <c r="B2615" s="406">
        <v>42492</v>
      </c>
      <c r="C2615" s="405" t="s">
        <v>42</v>
      </c>
      <c r="D2615" s="401" t="s">
        <v>6035</v>
      </c>
      <c r="E2615" s="120">
        <v>55</v>
      </c>
      <c r="F2615" s="133" t="s">
        <v>247</v>
      </c>
      <c r="G2615" s="404" t="s">
        <v>45</v>
      </c>
      <c r="H2615" s="411">
        <v>68.75</v>
      </c>
      <c r="I2615" s="397">
        <f t="shared" si="484"/>
        <v>-6.1875</v>
      </c>
      <c r="J2615" s="391">
        <f t="shared" si="485"/>
        <v>-1.60625</v>
      </c>
      <c r="K2615" s="396">
        <f t="shared" si="481"/>
        <v>60.956249999999997</v>
      </c>
      <c r="L2615" s="131">
        <v>580</v>
      </c>
      <c r="M2615" s="187">
        <v>32.479999999999997</v>
      </c>
      <c r="N2615" s="91">
        <f t="shared" si="486"/>
        <v>64.38</v>
      </c>
      <c r="O2615" s="411">
        <f t="shared" si="480"/>
        <v>-3.4237499999999983</v>
      </c>
      <c r="P2615" s="132" t="s">
        <v>52</v>
      </c>
      <c r="Q2615" s="232"/>
      <c r="R2615" s="411"/>
      <c r="T2615" s="134" t="s">
        <v>145</v>
      </c>
      <c r="U2615" s="267" t="s">
        <v>6036</v>
      </c>
      <c r="AA2615" s="218"/>
    </row>
    <row r="2616" spans="1:27" ht="24" x14ac:dyDescent="0.25">
      <c r="A2616" s="405">
        <v>3001989</v>
      </c>
      <c r="B2616" s="406">
        <v>42492</v>
      </c>
      <c r="C2616" s="405" t="s">
        <v>5682</v>
      </c>
      <c r="D2616" s="401" t="s">
        <v>6037</v>
      </c>
      <c r="E2616" s="120">
        <v>1000</v>
      </c>
      <c r="F2616" s="133" t="s">
        <v>6038</v>
      </c>
      <c r="G2616" s="404" t="s">
        <v>45</v>
      </c>
      <c r="H2616" s="411">
        <v>132.15</v>
      </c>
      <c r="I2616" s="397">
        <f t="shared" si="484"/>
        <v>-11.8935</v>
      </c>
      <c r="J2616" s="391">
        <f t="shared" si="485"/>
        <v>-2.8108499999999998</v>
      </c>
      <c r="K2616" s="396">
        <f t="shared" si="481"/>
        <v>117.44565</v>
      </c>
      <c r="L2616" s="187">
        <v>58</v>
      </c>
      <c r="M2616" s="187">
        <v>13.7</v>
      </c>
      <c r="N2616" s="91">
        <f t="shared" si="486"/>
        <v>71.7</v>
      </c>
      <c r="O2616" s="411">
        <f t="shared" si="480"/>
        <v>45.745649999999998</v>
      </c>
      <c r="P2616" s="132" t="s">
        <v>183</v>
      </c>
      <c r="Q2616" s="232"/>
      <c r="R2616" s="411">
        <v>9.7899999999999991</v>
      </c>
      <c r="S2616" s="133" t="s">
        <v>1169</v>
      </c>
      <c r="T2616" s="134" t="s">
        <v>145</v>
      </c>
      <c r="U2616" s="267" t="s">
        <v>6039</v>
      </c>
      <c r="AA2616" s="218"/>
    </row>
    <row r="2617" spans="1:27" ht="24" x14ac:dyDescent="0.25">
      <c r="A2617" s="405">
        <v>3001990</v>
      </c>
      <c r="B2617" s="406">
        <v>42492</v>
      </c>
      <c r="C2617" s="405" t="s">
        <v>5682</v>
      </c>
      <c r="D2617" s="401" t="s">
        <v>6040</v>
      </c>
      <c r="E2617" s="120">
        <v>400</v>
      </c>
      <c r="F2617" s="133" t="s">
        <v>165</v>
      </c>
      <c r="G2617" s="404" t="s">
        <v>45</v>
      </c>
      <c r="H2617" s="411">
        <v>387.62</v>
      </c>
      <c r="I2617" s="397">
        <f t="shared" si="484"/>
        <v>-34.885799999999996</v>
      </c>
      <c r="J2617" s="391">
        <f t="shared" si="485"/>
        <v>-7.6647799999999995</v>
      </c>
      <c r="K2617" s="396">
        <f t="shared" si="481"/>
        <v>345.06941999999998</v>
      </c>
      <c r="L2617" s="131">
        <v>440</v>
      </c>
      <c r="M2617" s="187">
        <v>53.65</v>
      </c>
      <c r="N2617" s="91">
        <f t="shared" si="486"/>
        <v>229.65</v>
      </c>
      <c r="O2617" s="411">
        <f t="shared" si="480"/>
        <v>115.41941999999997</v>
      </c>
      <c r="P2617" s="132" t="s">
        <v>52</v>
      </c>
      <c r="Q2617" s="232"/>
      <c r="R2617" s="411"/>
      <c r="T2617" s="134" t="s">
        <v>145</v>
      </c>
      <c r="U2617" s="267" t="s">
        <v>6041</v>
      </c>
      <c r="AA2617" s="218"/>
    </row>
    <row r="2618" spans="1:27" x14ac:dyDescent="0.25">
      <c r="A2618" s="405">
        <v>3001991</v>
      </c>
      <c r="B2618" s="406">
        <v>42492</v>
      </c>
      <c r="C2618" s="405" t="s">
        <v>5682</v>
      </c>
      <c r="D2618" s="401" t="s">
        <v>6042</v>
      </c>
      <c r="E2618" s="120">
        <v>400</v>
      </c>
      <c r="F2618" s="133" t="s">
        <v>51</v>
      </c>
      <c r="G2618" s="404" t="s">
        <v>45</v>
      </c>
      <c r="H2618" s="411">
        <v>898</v>
      </c>
      <c r="I2618" s="397">
        <f t="shared" si="484"/>
        <v>-80.819999999999993</v>
      </c>
      <c r="J2618" s="391">
        <f t="shared" si="485"/>
        <v>-17.362000000000002</v>
      </c>
      <c r="K2618" s="396">
        <f t="shared" si="481"/>
        <v>799.8180000000001</v>
      </c>
      <c r="L2618" s="131">
        <v>1015</v>
      </c>
      <c r="M2618" s="187">
        <v>181.82</v>
      </c>
      <c r="N2618" s="91">
        <f t="shared" si="486"/>
        <v>587.81999999999994</v>
      </c>
      <c r="O2618" s="411">
        <f t="shared" si="480"/>
        <v>211.99800000000016</v>
      </c>
      <c r="P2618" s="132" t="s">
        <v>52</v>
      </c>
      <c r="Q2618" s="232"/>
      <c r="R2618" s="411"/>
      <c r="T2618" s="134" t="s">
        <v>244</v>
      </c>
      <c r="U2618" s="267" t="s">
        <v>6043</v>
      </c>
      <c r="V2618" s="133" t="s">
        <v>55</v>
      </c>
      <c r="AA2618" s="218"/>
    </row>
    <row r="2619" spans="1:27" ht="24" x14ac:dyDescent="0.25">
      <c r="A2619" s="405">
        <v>3001992</v>
      </c>
      <c r="B2619" s="406">
        <v>42492</v>
      </c>
      <c r="C2619" s="405" t="s">
        <v>5682</v>
      </c>
      <c r="D2619" s="401" t="s">
        <v>6044</v>
      </c>
      <c r="E2619" s="120">
        <v>260</v>
      </c>
      <c r="F2619" s="133" t="s">
        <v>227</v>
      </c>
      <c r="G2619" s="404" t="s">
        <v>45</v>
      </c>
      <c r="H2619" s="411">
        <v>45.74</v>
      </c>
      <c r="I2619" s="397">
        <f t="shared" si="484"/>
        <v>-4.1166</v>
      </c>
      <c r="J2619" s="391">
        <f t="shared" si="485"/>
        <v>-1.16906</v>
      </c>
      <c r="K2619" s="396">
        <f t="shared" si="481"/>
        <v>40.454340000000002</v>
      </c>
      <c r="L2619" s="131">
        <v>0</v>
      </c>
      <c r="M2619" s="187">
        <v>21.29</v>
      </c>
      <c r="N2619" s="91">
        <f t="shared" si="486"/>
        <v>21.29</v>
      </c>
      <c r="O2619" s="411">
        <f t="shared" si="480"/>
        <v>19.164340000000003</v>
      </c>
      <c r="P2619" s="132" t="s">
        <v>52</v>
      </c>
      <c r="Q2619" s="232"/>
      <c r="R2619" s="411"/>
      <c r="T2619" s="134" t="s">
        <v>145</v>
      </c>
      <c r="U2619" s="267" t="s">
        <v>6045</v>
      </c>
      <c r="AA2619" s="218"/>
    </row>
    <row r="2620" spans="1:27" x14ac:dyDescent="0.25">
      <c r="A2620" s="405">
        <v>3001993</v>
      </c>
      <c r="B2620" s="406">
        <v>42492</v>
      </c>
      <c r="C2620" s="405" t="s">
        <v>63</v>
      </c>
      <c r="D2620" s="401" t="s">
        <v>6046</v>
      </c>
      <c r="E2620" s="120">
        <v>550</v>
      </c>
      <c r="F2620" s="133" t="s">
        <v>422</v>
      </c>
      <c r="G2620" s="404" t="s">
        <v>45</v>
      </c>
      <c r="H2620" s="411">
        <v>825</v>
      </c>
      <c r="I2620" s="411">
        <v>0</v>
      </c>
      <c r="J2620" s="391">
        <f>-((H2620*0.022)+0.3)</f>
        <v>-18.45</v>
      </c>
      <c r="K2620" s="396">
        <f t="shared" si="481"/>
        <v>806.55</v>
      </c>
      <c r="L2620" s="131">
        <v>690</v>
      </c>
      <c r="M2620" s="187">
        <v>126.36</v>
      </c>
      <c r="N2620" s="91">
        <f t="shared" si="486"/>
        <v>505.86000000000007</v>
      </c>
      <c r="O2620" s="411">
        <f t="shared" si="480"/>
        <v>300.68999999999988</v>
      </c>
      <c r="P2620" s="132" t="s">
        <v>52</v>
      </c>
      <c r="Q2620" s="232"/>
      <c r="R2620" s="411"/>
      <c r="T2620" s="134" t="s">
        <v>97</v>
      </c>
      <c r="U2620" s="267" t="s">
        <v>6047</v>
      </c>
      <c r="V2620" s="133" t="s">
        <v>55</v>
      </c>
      <c r="W2620" s="153" t="s">
        <v>6048</v>
      </c>
      <c r="AA2620" s="218"/>
    </row>
    <row r="2621" spans="1:27" x14ac:dyDescent="0.25">
      <c r="A2621" s="405">
        <v>3001994</v>
      </c>
      <c r="B2621" s="406">
        <v>42492</v>
      </c>
      <c r="C2621" s="405" t="s">
        <v>63</v>
      </c>
      <c r="D2621" s="401" t="s">
        <v>6049</v>
      </c>
      <c r="E2621" s="120">
        <v>1750</v>
      </c>
      <c r="F2621" s="133" t="s">
        <v>6050</v>
      </c>
      <c r="G2621" s="404" t="s">
        <v>45</v>
      </c>
      <c r="H2621" s="411">
        <v>2800</v>
      </c>
      <c r="I2621" s="411">
        <v>0</v>
      </c>
      <c r="J2621" s="391">
        <f>-((H2621*0.022)+0.3)</f>
        <v>-61.899999999999991</v>
      </c>
      <c r="K2621" s="396">
        <f t="shared" si="481"/>
        <v>2738.1</v>
      </c>
      <c r="L2621" s="187">
        <v>1100</v>
      </c>
      <c r="M2621" s="187">
        <v>280.06</v>
      </c>
      <c r="N2621" s="91">
        <f t="shared" si="486"/>
        <v>2205.06</v>
      </c>
      <c r="O2621" s="411">
        <f t="shared" si="480"/>
        <v>533.04</v>
      </c>
      <c r="P2621" s="132" t="s">
        <v>2895</v>
      </c>
      <c r="Q2621" s="232"/>
      <c r="R2621" s="411"/>
      <c r="T2621" s="134" t="s">
        <v>53</v>
      </c>
      <c r="U2621" s="267" t="s">
        <v>6051</v>
      </c>
      <c r="V2621" s="133" t="s">
        <v>55</v>
      </c>
      <c r="W2621" s="153" t="s">
        <v>6052</v>
      </c>
      <c r="AA2621" s="218">
        <v>10</v>
      </c>
    </row>
    <row r="2622" spans="1:27" ht="24" x14ac:dyDescent="0.25">
      <c r="A2622" s="405">
        <v>3001995</v>
      </c>
      <c r="B2622" s="406">
        <v>42492</v>
      </c>
      <c r="C2622" s="405" t="s">
        <v>63</v>
      </c>
      <c r="D2622" s="401" t="s">
        <v>6053</v>
      </c>
      <c r="E2622" s="120">
        <v>500</v>
      </c>
      <c r="F2622" s="133" t="s">
        <v>6054</v>
      </c>
      <c r="G2622" s="404" t="s">
        <v>45</v>
      </c>
      <c r="H2622" s="411">
        <v>450</v>
      </c>
      <c r="I2622" s="411">
        <v>0</v>
      </c>
      <c r="J2622" s="391">
        <f>-((H2622*0.022)+0.3)</f>
        <v>-10.199999999999999</v>
      </c>
      <c r="K2622" s="396">
        <f t="shared" si="481"/>
        <v>439.8</v>
      </c>
      <c r="L2622" s="131">
        <v>400</v>
      </c>
      <c r="M2622" s="187">
        <v>52.59</v>
      </c>
      <c r="N2622" s="91">
        <f t="shared" si="486"/>
        <v>252.59</v>
      </c>
      <c r="O2622" s="411">
        <f t="shared" si="480"/>
        <v>187.21</v>
      </c>
      <c r="P2622" s="132" t="s">
        <v>52</v>
      </c>
      <c r="Q2622" s="232"/>
      <c r="R2622" s="411"/>
      <c r="T2622" s="134" t="s">
        <v>145</v>
      </c>
      <c r="U2622" s="267" t="s">
        <v>6055</v>
      </c>
      <c r="W2622" s="153" t="s">
        <v>1022</v>
      </c>
      <c r="AA2622" s="218"/>
    </row>
    <row r="2623" spans="1:27" ht="24" x14ac:dyDescent="0.25">
      <c r="A2623" s="405">
        <v>3001996</v>
      </c>
      <c r="B2623" s="406">
        <v>42492</v>
      </c>
      <c r="C2623" s="405" t="s">
        <v>63</v>
      </c>
      <c r="D2623" s="401" t="s">
        <v>6056</v>
      </c>
      <c r="E2623" s="120">
        <v>1730</v>
      </c>
      <c r="F2623" s="133" t="s">
        <v>6057</v>
      </c>
      <c r="G2623" s="404" t="s">
        <v>45</v>
      </c>
      <c r="H2623" s="411">
        <v>330</v>
      </c>
      <c r="I2623" s="411">
        <v>0</v>
      </c>
      <c r="J2623" s="391">
        <f>-((H2623*0.022)+0.3)</f>
        <v>-7.56</v>
      </c>
      <c r="K2623" s="396">
        <f t="shared" si="481"/>
        <v>322.44</v>
      </c>
      <c r="L2623" s="131">
        <v>70</v>
      </c>
      <c r="M2623" s="187">
        <v>115.83</v>
      </c>
      <c r="N2623" s="91">
        <f t="shared" si="486"/>
        <v>236.93</v>
      </c>
      <c r="O2623" s="411">
        <f t="shared" si="480"/>
        <v>85.509999999999991</v>
      </c>
      <c r="P2623" s="132" t="s">
        <v>52</v>
      </c>
      <c r="Q2623" s="232"/>
      <c r="R2623" s="411"/>
      <c r="T2623" s="134" t="s">
        <v>145</v>
      </c>
      <c r="U2623" s="266" t="s">
        <v>6058</v>
      </c>
      <c r="W2623" s="153" t="s">
        <v>6059</v>
      </c>
      <c r="AA2623" s="218"/>
    </row>
    <row r="2624" spans="1:27" ht="24" x14ac:dyDescent="0.25">
      <c r="A2624" s="405">
        <v>3001997</v>
      </c>
      <c r="B2624" s="406">
        <v>42492</v>
      </c>
      <c r="C2624" s="405" t="s">
        <v>141</v>
      </c>
      <c r="D2624" s="401" t="s">
        <v>6060</v>
      </c>
      <c r="E2624" s="120">
        <v>500</v>
      </c>
      <c r="F2624" s="133" t="s">
        <v>2796</v>
      </c>
      <c r="G2624" s="404" t="s">
        <v>45</v>
      </c>
      <c r="H2624" s="411">
        <v>332.86</v>
      </c>
      <c r="I2624" s="411">
        <v>0</v>
      </c>
      <c r="J2624" s="391">
        <f>-((H2624*0.0325)+0.3)</f>
        <v>-11.117950000000002</v>
      </c>
      <c r="K2624" s="396">
        <f t="shared" ref="K2624:K2625" si="487">SUM(H2624:J2624)</f>
        <v>321.74205000000001</v>
      </c>
      <c r="L2624" s="187">
        <v>300</v>
      </c>
      <c r="M2624" s="187">
        <v>31.97</v>
      </c>
      <c r="N2624" s="91">
        <f t="shared" si="486"/>
        <v>181.97</v>
      </c>
      <c r="O2624" s="411">
        <f t="shared" si="480"/>
        <v>139.77205000000001</v>
      </c>
      <c r="P2624" s="132" t="s">
        <v>235</v>
      </c>
      <c r="Q2624" s="232"/>
      <c r="R2624" s="411">
        <v>22.86</v>
      </c>
      <c r="S2624" s="133" t="s">
        <v>4494</v>
      </c>
      <c r="T2624" s="134" t="s">
        <v>145</v>
      </c>
      <c r="U2624" s="267" t="s">
        <v>6061</v>
      </c>
      <c r="W2624" s="153" t="s">
        <v>6062</v>
      </c>
      <c r="AA2624" s="218"/>
    </row>
    <row r="2625" spans="1:27" ht="24" x14ac:dyDescent="0.25">
      <c r="A2625" s="419">
        <v>3001998</v>
      </c>
      <c r="B2625" s="421">
        <v>42493</v>
      </c>
      <c r="C2625" s="419" t="s">
        <v>555</v>
      </c>
      <c r="D2625" s="417" t="s">
        <v>6063</v>
      </c>
      <c r="E2625" s="120">
        <v>1641</v>
      </c>
      <c r="F2625" s="119" t="s">
        <v>6064</v>
      </c>
      <c r="G2625" s="434" t="s">
        <v>45</v>
      </c>
      <c r="H2625" s="427">
        <v>4894</v>
      </c>
      <c r="I2625" s="427">
        <v>0</v>
      </c>
      <c r="J2625" s="427">
        <v>0</v>
      </c>
      <c r="K2625" s="425">
        <f t="shared" si="487"/>
        <v>4894</v>
      </c>
      <c r="L2625" s="187">
        <v>1180</v>
      </c>
      <c r="M2625" s="187">
        <v>288.44</v>
      </c>
      <c r="N2625" s="91">
        <f t="shared" si="486"/>
        <v>2224.8200000000002</v>
      </c>
      <c r="O2625" s="411">
        <f t="shared" si="480"/>
        <v>2669.18</v>
      </c>
      <c r="P2625" s="132" t="s">
        <v>1063</v>
      </c>
      <c r="Q2625" s="232"/>
      <c r="R2625" s="411"/>
      <c r="T2625" s="470" t="s">
        <v>6065</v>
      </c>
      <c r="U2625" s="505">
        <v>84330</v>
      </c>
      <c r="W2625" s="153" t="s">
        <v>6066</v>
      </c>
      <c r="AA2625" s="218"/>
    </row>
    <row r="2626" spans="1:27" ht="24" x14ac:dyDescent="0.25">
      <c r="A2626" s="432"/>
      <c r="B2626" s="433"/>
      <c r="C2626" s="432"/>
      <c r="D2626" s="454"/>
      <c r="E2626" s="120">
        <v>656</v>
      </c>
      <c r="F2626" s="119" t="s">
        <v>6067</v>
      </c>
      <c r="G2626" s="435"/>
      <c r="H2626" s="438"/>
      <c r="I2626" s="438"/>
      <c r="J2626" s="438"/>
      <c r="K2626" s="437"/>
      <c r="L2626" s="187">
        <v>773</v>
      </c>
      <c r="N2626" s="91">
        <f t="shared" si="486"/>
        <v>507.08800000000002</v>
      </c>
      <c r="O2626" s="411">
        <f t="shared" si="480"/>
        <v>-507.08800000000002</v>
      </c>
      <c r="P2626" s="132" t="s">
        <v>1063</v>
      </c>
      <c r="Q2626" s="232"/>
      <c r="R2626" s="411"/>
      <c r="T2626" s="471"/>
      <c r="U2626" s="506"/>
      <c r="AA2626" s="218"/>
    </row>
    <row r="2627" spans="1:27" ht="24" x14ac:dyDescent="0.25">
      <c r="A2627" s="432"/>
      <c r="B2627" s="433"/>
      <c r="C2627" s="432"/>
      <c r="D2627" s="454"/>
      <c r="E2627" s="120">
        <v>60</v>
      </c>
      <c r="F2627" s="119" t="s">
        <v>6068</v>
      </c>
      <c r="G2627" s="435"/>
      <c r="H2627" s="438"/>
      <c r="I2627" s="438"/>
      <c r="J2627" s="438"/>
      <c r="K2627" s="437"/>
      <c r="L2627" s="131">
        <v>7280</v>
      </c>
      <c r="N2627" s="91">
        <f t="shared" si="486"/>
        <v>436.8</v>
      </c>
      <c r="O2627" s="411">
        <f t="shared" si="480"/>
        <v>-436.8</v>
      </c>
      <c r="P2627" s="132" t="s">
        <v>1063</v>
      </c>
      <c r="Q2627" s="232"/>
      <c r="R2627" s="411"/>
      <c r="T2627" s="471"/>
      <c r="U2627" s="506"/>
      <c r="AA2627" s="218"/>
    </row>
    <row r="2628" spans="1:27" ht="24" x14ac:dyDescent="0.25">
      <c r="A2628" s="420"/>
      <c r="B2628" s="422"/>
      <c r="C2628" s="420"/>
      <c r="D2628" s="418"/>
      <c r="E2628" s="120">
        <v>60</v>
      </c>
      <c r="F2628" s="119" t="s">
        <v>6069</v>
      </c>
      <c r="G2628" s="436"/>
      <c r="H2628" s="428"/>
      <c r="I2628" s="428"/>
      <c r="J2628" s="428"/>
      <c r="K2628" s="426"/>
      <c r="L2628" s="131">
        <v>7280</v>
      </c>
      <c r="N2628" s="91">
        <f t="shared" si="486"/>
        <v>436.8</v>
      </c>
      <c r="O2628" s="411">
        <f t="shared" si="480"/>
        <v>-436.8</v>
      </c>
      <c r="P2628" s="132" t="s">
        <v>1063</v>
      </c>
      <c r="Q2628" s="232"/>
      <c r="R2628" s="411"/>
      <c r="T2628" s="472"/>
      <c r="U2628" s="490"/>
      <c r="AA2628" s="218"/>
    </row>
    <row r="2629" spans="1:27" ht="24" x14ac:dyDescent="0.25">
      <c r="A2629" s="405">
        <v>3001999</v>
      </c>
      <c r="B2629" s="406">
        <v>42493</v>
      </c>
      <c r="C2629" s="405" t="s">
        <v>327</v>
      </c>
      <c r="D2629" s="401" t="s">
        <v>6070</v>
      </c>
      <c r="E2629" s="120">
        <v>75</v>
      </c>
      <c r="F2629" s="133" t="s">
        <v>277</v>
      </c>
      <c r="G2629" s="404" t="s">
        <v>45</v>
      </c>
      <c r="H2629" s="411">
        <v>447</v>
      </c>
      <c r="I2629" s="411">
        <v>0</v>
      </c>
      <c r="J2629" s="391">
        <f>-((H2629*0.022)+0.3)</f>
        <v>-10.134</v>
      </c>
      <c r="K2629" s="396">
        <f t="shared" ref="K2629:K2649" si="488">SUM(H2629:J2629)</f>
        <v>436.86599999999999</v>
      </c>
      <c r="L2629" s="187">
        <v>3460</v>
      </c>
      <c r="M2629" s="187">
        <v>24.66</v>
      </c>
      <c r="N2629" s="91">
        <f t="shared" si="486"/>
        <v>284.16000000000003</v>
      </c>
      <c r="O2629" s="411">
        <f t="shared" si="480"/>
        <v>152.70599999999996</v>
      </c>
      <c r="P2629" s="132" t="s">
        <v>183</v>
      </c>
      <c r="Q2629" s="232"/>
      <c r="R2629" s="411"/>
      <c r="T2629" s="134" t="s">
        <v>145</v>
      </c>
      <c r="U2629" s="267" t="s">
        <v>6071</v>
      </c>
      <c r="V2629" s="133" t="s">
        <v>6072</v>
      </c>
      <c r="W2629" s="153" t="s">
        <v>6073</v>
      </c>
      <c r="AA2629" s="218"/>
    </row>
    <row r="2630" spans="1:27" ht="24" x14ac:dyDescent="0.25">
      <c r="A2630" s="405">
        <v>3002000</v>
      </c>
      <c r="B2630" s="406">
        <v>42493</v>
      </c>
      <c r="C2630" s="405" t="s">
        <v>42</v>
      </c>
      <c r="D2630" s="401" t="s">
        <v>6074</v>
      </c>
      <c r="E2630" s="120">
        <v>75</v>
      </c>
      <c r="F2630" s="133" t="s">
        <v>247</v>
      </c>
      <c r="G2630" s="404" t="s">
        <v>45</v>
      </c>
      <c r="H2630" s="411">
        <v>246.77</v>
      </c>
      <c r="I2630" s="397">
        <f t="shared" ref="I2630:I2643" si="489">-(H2630*0.09)</f>
        <v>-22.209299999999999</v>
      </c>
      <c r="J2630" s="391">
        <f t="shared" ref="J2630:J2643" si="490">-((H2630*0.019)+0.3)</f>
        <v>-4.9886299999999997</v>
      </c>
      <c r="K2630" s="396">
        <f t="shared" si="488"/>
        <v>219.57207</v>
      </c>
      <c r="L2630" s="131">
        <v>580</v>
      </c>
      <c r="M2630" s="187">
        <v>47.63</v>
      </c>
      <c r="N2630" s="91">
        <f t="shared" si="486"/>
        <v>91.13</v>
      </c>
      <c r="O2630" s="411">
        <f t="shared" si="480"/>
        <v>128.44207</v>
      </c>
      <c r="P2630" s="132" t="s">
        <v>86</v>
      </c>
      <c r="Q2630" s="232"/>
      <c r="R2630" s="411"/>
      <c r="T2630" s="134" t="s">
        <v>145</v>
      </c>
      <c r="U2630" s="267" t="s">
        <v>6075</v>
      </c>
      <c r="AA2630" s="218"/>
    </row>
    <row r="2631" spans="1:27" ht="24" x14ac:dyDescent="0.25">
      <c r="A2631" s="405">
        <v>3002001</v>
      </c>
      <c r="B2631" s="406">
        <v>42493</v>
      </c>
      <c r="C2631" s="405" t="s">
        <v>5682</v>
      </c>
      <c r="D2631" s="401" t="s">
        <v>6076</v>
      </c>
      <c r="E2631" s="120">
        <v>100</v>
      </c>
      <c r="F2631" s="133" t="s">
        <v>247</v>
      </c>
      <c r="G2631" s="404" t="s">
        <v>45</v>
      </c>
      <c r="H2631" s="411">
        <v>123.4</v>
      </c>
      <c r="I2631" s="397">
        <f t="shared" si="489"/>
        <v>-11.106</v>
      </c>
      <c r="J2631" s="391">
        <f t="shared" si="490"/>
        <v>-2.6446000000000001</v>
      </c>
      <c r="K2631" s="396">
        <f t="shared" si="488"/>
        <v>109.64940000000001</v>
      </c>
      <c r="L2631" s="131">
        <v>580</v>
      </c>
      <c r="M2631" s="187">
        <v>40.880000000000003</v>
      </c>
      <c r="N2631" s="91">
        <f t="shared" si="486"/>
        <v>98.88</v>
      </c>
      <c r="O2631" s="411">
        <f t="shared" si="480"/>
        <v>10.769400000000019</v>
      </c>
      <c r="P2631" s="132" t="s">
        <v>86</v>
      </c>
      <c r="Q2631" s="232"/>
      <c r="R2631" s="411"/>
      <c r="T2631" s="134" t="s">
        <v>145</v>
      </c>
      <c r="U2631" s="267" t="s">
        <v>6077</v>
      </c>
      <c r="AA2631" s="218"/>
    </row>
    <row r="2632" spans="1:27" ht="24" x14ac:dyDescent="0.25">
      <c r="A2632" s="405">
        <v>3002002</v>
      </c>
      <c r="B2632" s="406">
        <v>42493</v>
      </c>
      <c r="C2632" s="405" t="s">
        <v>5682</v>
      </c>
      <c r="D2632" s="401" t="s">
        <v>4760</v>
      </c>
      <c r="E2632" s="120">
        <v>50</v>
      </c>
      <c r="F2632" s="133" t="s">
        <v>4761</v>
      </c>
      <c r="G2632" s="404" t="s">
        <v>45</v>
      </c>
      <c r="H2632" s="411">
        <v>745.75</v>
      </c>
      <c r="I2632" s="397">
        <f t="shared" si="489"/>
        <v>-67.117499999999993</v>
      </c>
      <c r="J2632" s="391">
        <f t="shared" si="490"/>
        <v>-14.469250000000001</v>
      </c>
      <c r="K2632" s="396">
        <f t="shared" si="488"/>
        <v>664.16325000000006</v>
      </c>
      <c r="L2632" s="187">
        <v>6831.87</v>
      </c>
      <c r="M2632" s="187">
        <v>88.26</v>
      </c>
      <c r="N2632" s="91">
        <f t="shared" si="486"/>
        <v>429.8535</v>
      </c>
      <c r="O2632" s="411">
        <f t="shared" si="480"/>
        <v>234.30975000000007</v>
      </c>
      <c r="P2632" s="132" t="s">
        <v>46</v>
      </c>
      <c r="Q2632" s="232"/>
      <c r="R2632" s="411"/>
      <c r="T2632" s="134" t="s">
        <v>324</v>
      </c>
      <c r="U2632" s="267" t="s">
        <v>6078</v>
      </c>
      <c r="AA2632" s="218"/>
    </row>
    <row r="2633" spans="1:27" x14ac:dyDescent="0.25">
      <c r="A2633" s="405">
        <v>3002003</v>
      </c>
      <c r="B2633" s="406">
        <v>42493</v>
      </c>
      <c r="C2633" s="405" t="s">
        <v>5682</v>
      </c>
      <c r="D2633" s="401" t="s">
        <v>6079</v>
      </c>
      <c r="E2633" s="120">
        <v>320</v>
      </c>
      <c r="F2633" s="133" t="s">
        <v>222</v>
      </c>
      <c r="G2633" s="404" t="s">
        <v>45</v>
      </c>
      <c r="H2633" s="411">
        <v>553.6</v>
      </c>
      <c r="I2633" s="397">
        <f t="shared" si="489"/>
        <v>-49.823999999999998</v>
      </c>
      <c r="J2633" s="391">
        <f t="shared" si="490"/>
        <v>-10.8184</v>
      </c>
      <c r="K2633" s="396">
        <f t="shared" si="488"/>
        <v>492.95760000000001</v>
      </c>
      <c r="L2633" s="131">
        <v>930</v>
      </c>
      <c r="M2633" s="224">
        <v>141.6</v>
      </c>
      <c r="N2633" s="91">
        <f t="shared" si="486"/>
        <v>439.20000000000005</v>
      </c>
      <c r="O2633" s="411">
        <f t="shared" si="480"/>
        <v>53.757599999999968</v>
      </c>
      <c r="P2633" s="132" t="s">
        <v>52</v>
      </c>
      <c r="Q2633" s="232"/>
      <c r="R2633" s="411"/>
      <c r="T2633" s="134" t="s">
        <v>1467</v>
      </c>
      <c r="U2633" s="267" t="s">
        <v>6080</v>
      </c>
      <c r="V2633" s="133" t="s">
        <v>55</v>
      </c>
      <c r="AA2633" s="218"/>
    </row>
    <row r="2634" spans="1:27" ht="24" x14ac:dyDescent="0.25">
      <c r="A2634" s="405">
        <v>3002004</v>
      </c>
      <c r="B2634" s="406">
        <v>42493</v>
      </c>
      <c r="C2634" s="405" t="s">
        <v>5682</v>
      </c>
      <c r="D2634" s="401" t="s">
        <v>6081</v>
      </c>
      <c r="E2634" s="120">
        <v>100</v>
      </c>
      <c r="F2634" s="133" t="s">
        <v>629</v>
      </c>
      <c r="G2634" s="404" t="s">
        <v>45</v>
      </c>
      <c r="H2634" s="411">
        <v>201.4</v>
      </c>
      <c r="I2634" s="397">
        <f t="shared" si="489"/>
        <v>-18.126000000000001</v>
      </c>
      <c r="J2634" s="391">
        <f t="shared" si="490"/>
        <v>-4.1265999999999998</v>
      </c>
      <c r="K2634" s="396">
        <f t="shared" si="488"/>
        <v>179.1474</v>
      </c>
      <c r="M2634" s="187">
        <v>29.13</v>
      </c>
      <c r="N2634" s="91">
        <f t="shared" si="486"/>
        <v>29.13</v>
      </c>
      <c r="O2634" s="411">
        <f t="shared" si="480"/>
        <v>150.01740000000001</v>
      </c>
      <c r="P2634" s="132" t="s">
        <v>52</v>
      </c>
      <c r="Q2634" s="232"/>
      <c r="R2634" s="411">
        <v>14.1</v>
      </c>
      <c r="S2634" s="133" t="s">
        <v>630</v>
      </c>
      <c r="T2634" s="134" t="s">
        <v>145</v>
      </c>
      <c r="U2634" s="267" t="s">
        <v>6082</v>
      </c>
      <c r="AA2634" s="218"/>
    </row>
    <row r="2635" spans="1:27" ht="24" x14ac:dyDescent="0.25">
      <c r="A2635" s="405">
        <v>3002005</v>
      </c>
      <c r="B2635" s="406">
        <v>42493</v>
      </c>
      <c r="C2635" s="405" t="s">
        <v>5682</v>
      </c>
      <c r="D2635" s="401" t="s">
        <v>6083</v>
      </c>
      <c r="E2635" s="120">
        <v>350</v>
      </c>
      <c r="F2635" s="133" t="s">
        <v>1547</v>
      </c>
      <c r="G2635" s="404" t="s">
        <v>45</v>
      </c>
      <c r="H2635" s="411">
        <v>335.43</v>
      </c>
      <c r="I2635" s="397">
        <f t="shared" si="489"/>
        <v>-30.188700000000001</v>
      </c>
      <c r="J2635" s="391">
        <f t="shared" si="490"/>
        <v>-6.6731699999999998</v>
      </c>
      <c r="K2635" s="396">
        <f t="shared" si="488"/>
        <v>298.56813</v>
      </c>
      <c r="L2635" s="131">
        <v>385</v>
      </c>
      <c r="M2635" s="187">
        <v>45.31</v>
      </c>
      <c r="N2635" s="91">
        <f t="shared" si="486"/>
        <v>180.06</v>
      </c>
      <c r="O2635" s="411">
        <f t="shared" si="480"/>
        <v>118.50812999999999</v>
      </c>
      <c r="P2635" s="132" t="s">
        <v>52</v>
      </c>
      <c r="Q2635" s="232"/>
      <c r="R2635" s="411"/>
      <c r="T2635" s="134" t="s">
        <v>145</v>
      </c>
      <c r="U2635" s="267" t="s">
        <v>6084</v>
      </c>
      <c r="AA2635" s="218"/>
    </row>
    <row r="2636" spans="1:27" ht="24" x14ac:dyDescent="0.25">
      <c r="A2636" s="405">
        <v>3002006</v>
      </c>
      <c r="B2636" s="406">
        <v>42493</v>
      </c>
      <c r="C2636" s="405" t="s">
        <v>5682</v>
      </c>
      <c r="D2636" s="401" t="s">
        <v>6085</v>
      </c>
      <c r="E2636" s="120">
        <v>250</v>
      </c>
      <c r="F2636" s="133" t="s">
        <v>1550</v>
      </c>
      <c r="G2636" s="404" t="s">
        <v>45</v>
      </c>
      <c r="H2636" s="411">
        <v>320</v>
      </c>
      <c r="I2636" s="397">
        <f t="shared" si="489"/>
        <v>-28.799999999999997</v>
      </c>
      <c r="J2636" s="391">
        <f t="shared" si="490"/>
        <v>-6.38</v>
      </c>
      <c r="K2636" s="396">
        <f t="shared" si="488"/>
        <v>284.82</v>
      </c>
      <c r="M2636" s="187">
        <v>55.54</v>
      </c>
      <c r="N2636" s="91">
        <f t="shared" si="486"/>
        <v>55.54</v>
      </c>
      <c r="O2636" s="411">
        <f t="shared" ref="O2636:O2699" si="491">K2636-N2636</f>
        <v>229.28</v>
      </c>
      <c r="P2636" s="132" t="s">
        <v>52</v>
      </c>
      <c r="Q2636" s="232"/>
      <c r="R2636" s="411"/>
      <c r="T2636" s="134" t="s">
        <v>145</v>
      </c>
      <c r="U2636" s="267" t="s">
        <v>6086</v>
      </c>
      <c r="AA2636" s="218"/>
    </row>
    <row r="2637" spans="1:27" ht="24" x14ac:dyDescent="0.25">
      <c r="A2637" s="405">
        <v>3002007</v>
      </c>
      <c r="B2637" s="406">
        <v>42493</v>
      </c>
      <c r="C2637" s="405" t="s">
        <v>5682</v>
      </c>
      <c r="D2637" s="401" t="s">
        <v>6087</v>
      </c>
      <c r="E2637" s="120">
        <v>150</v>
      </c>
      <c r="F2637" s="133" t="s">
        <v>247</v>
      </c>
      <c r="G2637" s="404" t="s">
        <v>45</v>
      </c>
      <c r="H2637" s="411">
        <v>185.09</v>
      </c>
      <c r="I2637" s="397">
        <f t="shared" si="489"/>
        <v>-16.658100000000001</v>
      </c>
      <c r="J2637" s="391">
        <f t="shared" si="490"/>
        <v>-3.8167099999999996</v>
      </c>
      <c r="K2637" s="396">
        <f t="shared" si="488"/>
        <v>164.61519000000001</v>
      </c>
      <c r="L2637" s="131">
        <v>580</v>
      </c>
      <c r="M2637" s="187">
        <v>51.78</v>
      </c>
      <c r="N2637" s="91">
        <f t="shared" si="486"/>
        <v>138.78</v>
      </c>
      <c r="O2637" s="411">
        <f t="shared" si="491"/>
        <v>25.835190000000011</v>
      </c>
      <c r="P2637" s="132" t="s">
        <v>52</v>
      </c>
      <c r="Q2637" s="232"/>
      <c r="R2637" s="411"/>
      <c r="T2637" s="134" t="s">
        <v>145</v>
      </c>
      <c r="U2637" s="267" t="s">
        <v>6088</v>
      </c>
      <c r="AA2637" s="218"/>
    </row>
    <row r="2638" spans="1:27" ht="24" x14ac:dyDescent="0.25">
      <c r="A2638" s="405">
        <v>3002008</v>
      </c>
      <c r="B2638" s="406">
        <v>42493</v>
      </c>
      <c r="C2638" s="405" t="s">
        <v>5682</v>
      </c>
      <c r="D2638" s="401" t="s">
        <v>6089</v>
      </c>
      <c r="E2638" s="120">
        <v>500</v>
      </c>
      <c r="F2638" s="133" t="s">
        <v>1137</v>
      </c>
      <c r="G2638" s="404" t="s">
        <v>45</v>
      </c>
      <c r="H2638" s="411">
        <v>218.5</v>
      </c>
      <c r="I2638" s="397">
        <f t="shared" si="489"/>
        <v>-19.664999999999999</v>
      </c>
      <c r="J2638" s="391">
        <f t="shared" si="490"/>
        <v>-4.4514999999999993</v>
      </c>
      <c r="K2638" s="396">
        <f t="shared" si="488"/>
        <v>194.3835</v>
      </c>
      <c r="L2638" s="131">
        <v>220</v>
      </c>
      <c r="M2638" s="187">
        <v>34.47</v>
      </c>
      <c r="N2638" s="91">
        <f t="shared" si="486"/>
        <v>144.47</v>
      </c>
      <c r="O2638" s="411">
        <f t="shared" si="491"/>
        <v>49.913499999999999</v>
      </c>
      <c r="P2638" s="132" t="s">
        <v>52</v>
      </c>
      <c r="Q2638" s="232"/>
      <c r="R2638" s="411"/>
      <c r="T2638" s="134" t="s">
        <v>145</v>
      </c>
      <c r="U2638" s="267" t="s">
        <v>6090</v>
      </c>
      <c r="AA2638" s="218"/>
    </row>
    <row r="2639" spans="1:27" ht="24" x14ac:dyDescent="0.25">
      <c r="A2639" s="405">
        <v>3002009</v>
      </c>
      <c r="B2639" s="406">
        <v>42493</v>
      </c>
      <c r="C2639" s="405" t="s">
        <v>5682</v>
      </c>
      <c r="D2639" s="401" t="s">
        <v>6091</v>
      </c>
      <c r="E2639" s="120">
        <v>325</v>
      </c>
      <c r="F2639" s="133" t="s">
        <v>829</v>
      </c>
      <c r="G2639" s="404" t="s">
        <v>45</v>
      </c>
      <c r="H2639" s="411">
        <v>312.55</v>
      </c>
      <c r="I2639" s="397">
        <f t="shared" si="489"/>
        <v>-28.1295</v>
      </c>
      <c r="J2639" s="391">
        <f t="shared" si="490"/>
        <v>-6.2384500000000003</v>
      </c>
      <c r="K2639" s="396">
        <f t="shared" si="488"/>
        <v>278.18205</v>
      </c>
      <c r="L2639" s="131">
        <v>510</v>
      </c>
      <c r="M2639" s="187">
        <v>50.22</v>
      </c>
      <c r="N2639" s="91">
        <f t="shared" si="486"/>
        <v>215.97</v>
      </c>
      <c r="O2639" s="411">
        <f t="shared" si="491"/>
        <v>62.212050000000005</v>
      </c>
      <c r="P2639" s="132" t="s">
        <v>52</v>
      </c>
      <c r="Q2639" s="232"/>
      <c r="R2639" s="411"/>
      <c r="T2639" s="134" t="s">
        <v>145</v>
      </c>
      <c r="U2639" s="267" t="s">
        <v>6092</v>
      </c>
      <c r="AA2639" s="218"/>
    </row>
    <row r="2640" spans="1:27" ht="24" x14ac:dyDescent="0.25">
      <c r="A2640" s="405">
        <v>3002010</v>
      </c>
      <c r="B2640" s="406">
        <v>42493</v>
      </c>
      <c r="C2640" s="405" t="s">
        <v>5682</v>
      </c>
      <c r="D2640" s="401" t="s">
        <v>6093</v>
      </c>
      <c r="E2640" s="120">
        <v>100</v>
      </c>
      <c r="F2640" s="133" t="s">
        <v>161</v>
      </c>
      <c r="G2640" s="404" t="s">
        <v>45</v>
      </c>
      <c r="H2640" s="411">
        <v>235</v>
      </c>
      <c r="I2640" s="397">
        <f t="shared" si="489"/>
        <v>-21.15</v>
      </c>
      <c r="J2640" s="391">
        <f t="shared" si="490"/>
        <v>-4.7649999999999997</v>
      </c>
      <c r="K2640" s="396">
        <f t="shared" si="488"/>
        <v>209.08500000000001</v>
      </c>
      <c r="L2640" s="131">
        <v>1322</v>
      </c>
      <c r="M2640" s="187">
        <v>35.979999999999997</v>
      </c>
      <c r="N2640" s="91">
        <f t="shared" si="486"/>
        <v>168.18</v>
      </c>
      <c r="O2640" s="411">
        <f t="shared" si="491"/>
        <v>40.905000000000001</v>
      </c>
      <c r="P2640" s="132" t="s">
        <v>86</v>
      </c>
      <c r="Q2640" s="232"/>
      <c r="R2640" s="411"/>
      <c r="T2640" s="134" t="s">
        <v>145</v>
      </c>
      <c r="U2640" s="267" t="s">
        <v>6094</v>
      </c>
      <c r="AA2640" s="218"/>
    </row>
    <row r="2641" spans="1:27" ht="24" x14ac:dyDescent="0.25">
      <c r="A2641" s="405">
        <v>3002011</v>
      </c>
      <c r="B2641" s="406">
        <v>42493</v>
      </c>
      <c r="C2641" s="405" t="s">
        <v>5682</v>
      </c>
      <c r="D2641" s="401" t="s">
        <v>5318</v>
      </c>
      <c r="E2641" s="120">
        <v>100</v>
      </c>
      <c r="F2641" s="133" t="s">
        <v>288</v>
      </c>
      <c r="G2641" s="404" t="s">
        <v>45</v>
      </c>
      <c r="H2641" s="411">
        <v>198.16</v>
      </c>
      <c r="I2641" s="397">
        <f t="shared" si="489"/>
        <v>-17.834399999999999</v>
      </c>
      <c r="J2641" s="391">
        <f t="shared" si="490"/>
        <v>-4.0650399999999998</v>
      </c>
      <c r="K2641" s="396">
        <f t="shared" si="488"/>
        <v>176.26056</v>
      </c>
      <c r="L2641" s="131">
        <v>950</v>
      </c>
      <c r="M2641" s="187">
        <v>33.1</v>
      </c>
      <c r="N2641" s="91">
        <f t="shared" si="486"/>
        <v>128.1</v>
      </c>
      <c r="O2641" s="411">
        <f t="shared" si="491"/>
        <v>48.160560000000004</v>
      </c>
      <c r="P2641" s="132" t="s">
        <v>52</v>
      </c>
      <c r="Q2641" s="232"/>
      <c r="R2641" s="411"/>
      <c r="T2641" s="134" t="s">
        <v>145</v>
      </c>
      <c r="U2641" s="267" t="s">
        <v>6095</v>
      </c>
      <c r="AA2641" s="218"/>
    </row>
    <row r="2642" spans="1:27" ht="24" x14ac:dyDescent="0.25">
      <c r="A2642" s="405">
        <v>3002012</v>
      </c>
      <c r="B2642" s="406">
        <v>42493</v>
      </c>
      <c r="C2642" s="405" t="s">
        <v>5682</v>
      </c>
      <c r="D2642" s="401" t="s">
        <v>1192</v>
      </c>
      <c r="E2642" s="120">
        <v>300</v>
      </c>
      <c r="F2642" s="133" t="s">
        <v>227</v>
      </c>
      <c r="G2642" s="404" t="s">
        <v>45</v>
      </c>
      <c r="H2642" s="411">
        <v>270.41000000000003</v>
      </c>
      <c r="I2642" s="397">
        <f t="shared" si="489"/>
        <v>-24.3369</v>
      </c>
      <c r="J2642" s="391">
        <f t="shared" si="490"/>
        <v>-5.4377900000000006</v>
      </c>
      <c r="K2642" s="396">
        <f t="shared" si="488"/>
        <v>240.63531</v>
      </c>
      <c r="L2642" s="131">
        <v>350</v>
      </c>
      <c r="M2642" s="187">
        <v>50.55</v>
      </c>
      <c r="N2642" s="91">
        <f t="shared" si="486"/>
        <v>155.55000000000001</v>
      </c>
      <c r="O2642" s="411">
        <f t="shared" si="491"/>
        <v>85.085309999999993</v>
      </c>
      <c r="P2642" s="132" t="s">
        <v>52</v>
      </c>
      <c r="Q2642" s="232"/>
      <c r="R2642" s="411"/>
      <c r="T2642" s="134" t="s">
        <v>145</v>
      </c>
      <c r="U2642" s="267" t="s">
        <v>6096</v>
      </c>
      <c r="AA2642" s="218"/>
    </row>
    <row r="2643" spans="1:27" ht="24" x14ac:dyDescent="0.25">
      <c r="A2643" s="405">
        <v>3002013</v>
      </c>
      <c r="B2643" s="406">
        <v>42493</v>
      </c>
      <c r="C2643" s="405" t="s">
        <v>5682</v>
      </c>
      <c r="D2643" s="401" t="s">
        <v>6097</v>
      </c>
      <c r="E2643" s="120">
        <v>300</v>
      </c>
      <c r="F2643" s="133" t="s">
        <v>877</v>
      </c>
      <c r="G2643" s="404" t="s">
        <v>45</v>
      </c>
      <c r="H2643" s="411">
        <v>221.86</v>
      </c>
      <c r="I2643" s="397">
        <f t="shared" si="489"/>
        <v>-19.967400000000001</v>
      </c>
      <c r="J2643" s="391">
        <f t="shared" si="490"/>
        <v>-4.5153400000000001</v>
      </c>
      <c r="K2643" s="396">
        <f t="shared" si="488"/>
        <v>197.37726000000001</v>
      </c>
      <c r="L2643" s="131">
        <v>235</v>
      </c>
      <c r="M2643" s="187">
        <v>45.45</v>
      </c>
      <c r="N2643" s="91">
        <f t="shared" si="486"/>
        <v>115.95</v>
      </c>
      <c r="O2643" s="411">
        <f t="shared" si="491"/>
        <v>81.427260000000004</v>
      </c>
      <c r="P2643" s="132" t="s">
        <v>52</v>
      </c>
      <c r="Q2643" s="232"/>
      <c r="R2643" s="411"/>
      <c r="T2643" s="134" t="s">
        <v>145</v>
      </c>
      <c r="U2643" s="267" t="s">
        <v>6098</v>
      </c>
      <c r="AA2643" s="218"/>
    </row>
    <row r="2644" spans="1:27" x14ac:dyDescent="0.25">
      <c r="A2644" s="405">
        <v>3002014</v>
      </c>
      <c r="B2644" s="406">
        <v>42493</v>
      </c>
      <c r="C2644" s="405" t="s">
        <v>63</v>
      </c>
      <c r="D2644" s="401" t="s">
        <v>6099</v>
      </c>
      <c r="E2644" s="120">
        <v>500</v>
      </c>
      <c r="F2644" s="133" t="s">
        <v>590</v>
      </c>
      <c r="G2644" s="404" t="s">
        <v>45</v>
      </c>
      <c r="H2644" s="411">
        <v>559.44000000000005</v>
      </c>
      <c r="I2644" s="411">
        <v>0</v>
      </c>
      <c r="J2644" s="391">
        <f>-((H2644*0.022)+0.3)</f>
        <v>-12.607680000000002</v>
      </c>
      <c r="K2644" s="396">
        <f t="shared" si="488"/>
        <v>546.8323200000001</v>
      </c>
      <c r="L2644" s="131">
        <v>577</v>
      </c>
      <c r="M2644" s="187">
        <v>92.34</v>
      </c>
      <c r="N2644" s="91">
        <f t="shared" si="486"/>
        <v>380.84000000000003</v>
      </c>
      <c r="O2644" s="411">
        <f t="shared" si="491"/>
        <v>165.99232000000006</v>
      </c>
      <c r="P2644" s="132" t="s">
        <v>52</v>
      </c>
      <c r="Q2644" s="232"/>
      <c r="R2644" s="411">
        <v>41.44</v>
      </c>
      <c r="S2644" s="133" t="s">
        <v>435</v>
      </c>
      <c r="T2644" s="134" t="s">
        <v>244</v>
      </c>
      <c r="U2644" s="266" t="s">
        <v>6100</v>
      </c>
      <c r="V2644" s="133" t="s">
        <v>55</v>
      </c>
      <c r="W2644" s="153" t="s">
        <v>6101</v>
      </c>
      <c r="AA2644" s="218"/>
    </row>
    <row r="2645" spans="1:27" ht="24" x14ac:dyDescent="0.25">
      <c r="A2645" s="405">
        <v>3002015</v>
      </c>
      <c r="B2645" s="406">
        <v>42493</v>
      </c>
      <c r="C2645" s="405" t="s">
        <v>327</v>
      </c>
      <c r="D2645" s="401" t="s">
        <v>6102</v>
      </c>
      <c r="E2645" s="120">
        <v>150</v>
      </c>
      <c r="F2645" s="133" t="s">
        <v>176</v>
      </c>
      <c r="G2645" s="404" t="s">
        <v>45</v>
      </c>
      <c r="H2645" s="411">
        <v>487.5</v>
      </c>
      <c r="I2645" s="411">
        <v>0</v>
      </c>
      <c r="J2645" s="391">
        <f>-((H2645*0.022)+0.3)</f>
        <v>-11.025</v>
      </c>
      <c r="K2645" s="396">
        <f t="shared" si="488"/>
        <v>476.47500000000002</v>
      </c>
      <c r="L2645" s="131">
        <v>1693</v>
      </c>
      <c r="M2645" s="187">
        <v>74.11</v>
      </c>
      <c r="N2645" s="91">
        <f t="shared" si="486"/>
        <v>328.06</v>
      </c>
      <c r="O2645" s="411">
        <f t="shared" si="491"/>
        <v>148.41500000000002</v>
      </c>
      <c r="P2645" s="132" t="s">
        <v>52</v>
      </c>
      <c r="Q2645" s="232"/>
      <c r="R2645" s="411"/>
      <c r="T2645" s="134" t="s">
        <v>145</v>
      </c>
      <c r="U2645" s="267" t="s">
        <v>6103</v>
      </c>
      <c r="AA2645" s="218"/>
    </row>
    <row r="2646" spans="1:27" x14ac:dyDescent="0.25">
      <c r="A2646" s="405">
        <v>3002016</v>
      </c>
      <c r="B2646" s="406">
        <v>42493</v>
      </c>
      <c r="C2646" s="405" t="s">
        <v>56</v>
      </c>
      <c r="D2646" s="401" t="s">
        <v>57</v>
      </c>
      <c r="E2646" s="120">
        <v>7000</v>
      </c>
      <c r="F2646" s="133" t="s">
        <v>6104</v>
      </c>
      <c r="G2646" s="404" t="s">
        <v>45</v>
      </c>
      <c r="H2646" s="411">
        <v>3500</v>
      </c>
      <c r="I2646" s="411">
        <v>0</v>
      </c>
      <c r="J2646" s="411">
        <v>0</v>
      </c>
      <c r="K2646" s="396">
        <f t="shared" si="488"/>
        <v>3500</v>
      </c>
      <c r="L2646" s="187">
        <v>229</v>
      </c>
      <c r="M2646" s="187">
        <v>124.57</v>
      </c>
      <c r="N2646" s="91">
        <f t="shared" si="486"/>
        <v>1727.57</v>
      </c>
      <c r="O2646" s="411">
        <f t="shared" si="491"/>
        <v>1772.43</v>
      </c>
      <c r="P2646" s="132" t="s">
        <v>5735</v>
      </c>
      <c r="Q2646" s="232"/>
      <c r="R2646" s="411"/>
      <c r="T2646" s="134" t="s">
        <v>97</v>
      </c>
      <c r="U2646" s="266">
        <v>3659087132</v>
      </c>
      <c r="V2646" s="133" t="s">
        <v>4104</v>
      </c>
      <c r="AA2646" s="218"/>
    </row>
    <row r="2647" spans="1:27" ht="24" x14ac:dyDescent="0.25">
      <c r="A2647" s="405">
        <v>3002017</v>
      </c>
      <c r="B2647" s="406">
        <v>42493</v>
      </c>
      <c r="C2647" s="405" t="s">
        <v>63</v>
      </c>
      <c r="D2647" s="401" t="s">
        <v>6105</v>
      </c>
      <c r="E2647" s="120">
        <v>500</v>
      </c>
      <c r="F2647" s="133" t="s">
        <v>1747</v>
      </c>
      <c r="G2647" s="404" t="s">
        <v>45</v>
      </c>
      <c r="H2647" s="411">
        <v>330</v>
      </c>
      <c r="I2647" s="411">
        <v>0</v>
      </c>
      <c r="J2647" s="391">
        <f>-((H2647*0.022)+0.3)</f>
        <v>-7.56</v>
      </c>
      <c r="K2647" s="396">
        <f t="shared" si="488"/>
        <v>322.44</v>
      </c>
      <c r="L2647" s="187">
        <v>350</v>
      </c>
      <c r="M2647" s="187">
        <v>41.83</v>
      </c>
      <c r="N2647" s="91">
        <f t="shared" si="486"/>
        <v>216.82999999999998</v>
      </c>
      <c r="O2647" s="411">
        <f t="shared" si="491"/>
        <v>105.61000000000001</v>
      </c>
      <c r="P2647" s="132" t="s">
        <v>183</v>
      </c>
      <c r="Q2647" s="232"/>
      <c r="R2647" s="411"/>
      <c r="T2647" s="134" t="s">
        <v>204</v>
      </c>
      <c r="U2647" s="267" t="s">
        <v>6106</v>
      </c>
      <c r="W2647" s="153" t="s">
        <v>1921</v>
      </c>
      <c r="AA2647" s="218"/>
    </row>
    <row r="2648" spans="1:27" ht="24" x14ac:dyDescent="0.25">
      <c r="A2648" s="405">
        <v>3002018</v>
      </c>
      <c r="B2648" s="406">
        <v>42494</v>
      </c>
      <c r="C2648" s="405" t="s">
        <v>63</v>
      </c>
      <c r="D2648" s="401" t="s">
        <v>6107</v>
      </c>
      <c r="E2648" s="120">
        <v>120</v>
      </c>
      <c r="F2648" s="133" t="s">
        <v>6108</v>
      </c>
      <c r="G2648" s="404" t="s">
        <v>45</v>
      </c>
      <c r="H2648" s="411">
        <v>155</v>
      </c>
      <c r="I2648" s="411">
        <v>0</v>
      </c>
      <c r="J2648" s="391">
        <f>-((H2648*0.022)+0.3)</f>
        <v>-3.7099999999999995</v>
      </c>
      <c r="K2648" s="396">
        <f t="shared" si="488"/>
        <v>151.29</v>
      </c>
      <c r="L2648" s="131">
        <v>579</v>
      </c>
      <c r="M2648" s="187">
        <v>27.01</v>
      </c>
      <c r="N2648" s="91">
        <f t="shared" si="486"/>
        <v>96.490000000000009</v>
      </c>
      <c r="O2648" s="411">
        <f t="shared" si="491"/>
        <v>54.799999999999983</v>
      </c>
      <c r="P2648" s="132" t="s">
        <v>52</v>
      </c>
      <c r="Q2648" s="232"/>
      <c r="R2648" s="411"/>
      <c r="T2648" s="134" t="s">
        <v>145</v>
      </c>
      <c r="U2648" s="267" t="s">
        <v>6109</v>
      </c>
      <c r="W2648" s="153" t="s">
        <v>6110</v>
      </c>
      <c r="AA2648" s="218"/>
    </row>
    <row r="2649" spans="1:27" x14ac:dyDescent="0.25">
      <c r="A2649" s="419">
        <v>3002019</v>
      </c>
      <c r="B2649" s="421">
        <v>42494</v>
      </c>
      <c r="C2649" s="419" t="s">
        <v>63</v>
      </c>
      <c r="D2649" s="417" t="s">
        <v>4674</v>
      </c>
      <c r="E2649" s="120">
        <v>750</v>
      </c>
      <c r="F2649" s="133" t="s">
        <v>451</v>
      </c>
      <c r="G2649" s="434" t="s">
        <v>45</v>
      </c>
      <c r="H2649" s="427">
        <v>1035</v>
      </c>
      <c r="I2649" s="427">
        <v>0</v>
      </c>
      <c r="J2649" s="425">
        <f>-((H2649*0.022)+0.3)</f>
        <v>-23.07</v>
      </c>
      <c r="K2649" s="425">
        <f t="shared" si="488"/>
        <v>1011.93</v>
      </c>
      <c r="L2649" s="131">
        <v>300</v>
      </c>
      <c r="M2649" s="468">
        <v>124.88</v>
      </c>
      <c r="N2649" s="91">
        <f t="shared" si="486"/>
        <v>349.88</v>
      </c>
      <c r="O2649" s="411">
        <f t="shared" si="491"/>
        <v>662.05</v>
      </c>
      <c r="P2649" s="132" t="s">
        <v>52</v>
      </c>
      <c r="Q2649" s="232"/>
      <c r="R2649" s="411"/>
      <c r="T2649" s="439" t="s">
        <v>97</v>
      </c>
      <c r="U2649" s="446" t="s">
        <v>6111</v>
      </c>
      <c r="V2649" s="133" t="s">
        <v>55</v>
      </c>
      <c r="W2649" s="153" t="s">
        <v>4676</v>
      </c>
      <c r="AA2649" s="473">
        <v>25</v>
      </c>
    </row>
    <row r="2650" spans="1:27" x14ac:dyDescent="0.25">
      <c r="A2650" s="432"/>
      <c r="B2650" s="433"/>
      <c r="C2650" s="432"/>
      <c r="D2650" s="454"/>
      <c r="E2650" s="120">
        <v>250</v>
      </c>
      <c r="F2650" s="133" t="s">
        <v>1293</v>
      </c>
      <c r="G2650" s="435"/>
      <c r="H2650" s="438"/>
      <c r="I2650" s="438"/>
      <c r="J2650" s="437"/>
      <c r="K2650" s="437"/>
      <c r="L2650" s="131">
        <v>400</v>
      </c>
      <c r="M2650" s="491"/>
      <c r="N2650" s="91">
        <f t="shared" si="486"/>
        <v>100</v>
      </c>
      <c r="O2650" s="411">
        <f t="shared" si="491"/>
        <v>-100</v>
      </c>
      <c r="P2650" s="132" t="s">
        <v>52</v>
      </c>
      <c r="Q2650" s="232"/>
      <c r="R2650" s="411"/>
      <c r="T2650" s="440"/>
      <c r="U2650" s="448"/>
      <c r="AA2650" s="478"/>
    </row>
    <row r="2651" spans="1:27" x14ac:dyDescent="0.25">
      <c r="A2651" s="420"/>
      <c r="B2651" s="422"/>
      <c r="C2651" s="420"/>
      <c r="D2651" s="418"/>
      <c r="E2651" s="120">
        <v>250</v>
      </c>
      <c r="F2651" s="133" t="s">
        <v>307</v>
      </c>
      <c r="G2651" s="436"/>
      <c r="H2651" s="428"/>
      <c r="I2651" s="428"/>
      <c r="J2651" s="426"/>
      <c r="K2651" s="426"/>
      <c r="L2651" s="131">
        <v>690</v>
      </c>
      <c r="M2651" s="469"/>
      <c r="N2651" s="91">
        <f t="shared" si="486"/>
        <v>172.5</v>
      </c>
      <c r="O2651" s="411">
        <f t="shared" si="491"/>
        <v>-172.5</v>
      </c>
      <c r="P2651" s="132" t="s">
        <v>52</v>
      </c>
      <c r="Q2651" s="232"/>
      <c r="R2651" s="411"/>
      <c r="T2651" s="441"/>
      <c r="U2651" s="447"/>
      <c r="AA2651" s="474"/>
    </row>
    <row r="2652" spans="1:27" x14ac:dyDescent="0.25">
      <c r="A2652" s="405">
        <v>3002020</v>
      </c>
      <c r="B2652" s="406">
        <v>42494</v>
      </c>
      <c r="C2652" s="405" t="s">
        <v>56</v>
      </c>
      <c r="D2652" s="401" t="s">
        <v>1932</v>
      </c>
      <c r="E2652" s="120">
        <v>2890</v>
      </c>
      <c r="F2652" s="133" t="s">
        <v>6112</v>
      </c>
      <c r="G2652" s="404" t="s">
        <v>45</v>
      </c>
      <c r="H2652" s="411">
        <v>8092</v>
      </c>
      <c r="I2652" s="411">
        <v>0</v>
      </c>
      <c r="J2652" s="411">
        <v>0</v>
      </c>
      <c r="K2652" s="396">
        <f t="shared" ref="K2652:K2704" si="492">SUM(H2652:J2652)</f>
        <v>8092</v>
      </c>
      <c r="L2652" s="187">
        <v>1999</v>
      </c>
      <c r="M2652" s="187">
        <v>150.69</v>
      </c>
      <c r="N2652" s="91">
        <f t="shared" si="486"/>
        <v>5927.8</v>
      </c>
      <c r="O2652" s="411">
        <f t="shared" si="491"/>
        <v>2164.1999999999998</v>
      </c>
      <c r="P2652" s="132" t="s">
        <v>1793</v>
      </c>
      <c r="Q2652" s="232"/>
      <c r="R2652" s="411"/>
      <c r="T2652" s="134" t="s">
        <v>244</v>
      </c>
      <c r="U2652" s="267" t="s">
        <v>6113</v>
      </c>
      <c r="V2652" s="133" t="s">
        <v>6114</v>
      </c>
      <c r="W2652" s="153" t="s">
        <v>1935</v>
      </c>
      <c r="AA2652" s="218"/>
    </row>
    <row r="2653" spans="1:27" x14ac:dyDescent="0.25">
      <c r="A2653" s="419">
        <v>3002021</v>
      </c>
      <c r="B2653" s="421">
        <v>42494</v>
      </c>
      <c r="C2653" s="419" t="s">
        <v>63</v>
      </c>
      <c r="D2653" s="417" t="s">
        <v>6115</v>
      </c>
      <c r="E2653" s="120">
        <v>165</v>
      </c>
      <c r="F2653" s="133" t="s">
        <v>70</v>
      </c>
      <c r="G2653" s="434" t="s">
        <v>45</v>
      </c>
      <c r="H2653" s="427">
        <v>1946</v>
      </c>
      <c r="I2653" s="427">
        <v>0</v>
      </c>
      <c r="J2653" s="425">
        <f>-((H2653*0.022)+0.3)</f>
        <v>-43.111999999999995</v>
      </c>
      <c r="K2653" s="425">
        <f t="shared" si="492"/>
        <v>1902.8879999999999</v>
      </c>
      <c r="L2653" s="131">
        <v>1564</v>
      </c>
      <c r="M2653" s="468">
        <v>270.57</v>
      </c>
      <c r="N2653" s="91">
        <f t="shared" si="486"/>
        <v>528.63</v>
      </c>
      <c r="O2653" s="411">
        <f t="shared" si="491"/>
        <v>1374.2579999999998</v>
      </c>
      <c r="P2653" s="132" t="s">
        <v>52</v>
      </c>
      <c r="Q2653" s="232"/>
      <c r="R2653" s="411"/>
      <c r="T2653" s="439" t="s">
        <v>1209</v>
      </c>
      <c r="U2653" s="446" t="s">
        <v>6116</v>
      </c>
      <c r="V2653" s="133" t="s">
        <v>55</v>
      </c>
      <c r="W2653" s="153" t="s">
        <v>6117</v>
      </c>
      <c r="AA2653" s="473">
        <v>10</v>
      </c>
    </row>
    <row r="2654" spans="1:27" x14ac:dyDescent="0.25">
      <c r="A2654" s="420"/>
      <c r="B2654" s="422"/>
      <c r="C2654" s="420"/>
      <c r="D2654" s="418"/>
      <c r="E2654" s="120">
        <v>820</v>
      </c>
      <c r="F2654" s="133" t="s">
        <v>178</v>
      </c>
      <c r="G2654" s="436"/>
      <c r="H2654" s="428"/>
      <c r="I2654" s="428"/>
      <c r="J2654" s="426"/>
      <c r="K2654" s="426"/>
      <c r="L2654" s="131">
        <v>1170</v>
      </c>
      <c r="M2654" s="469"/>
      <c r="N2654" s="91">
        <f t="shared" si="486"/>
        <v>959.40000000000009</v>
      </c>
      <c r="O2654" s="411">
        <f t="shared" si="491"/>
        <v>-959.40000000000009</v>
      </c>
      <c r="P2654" s="132" t="s">
        <v>52</v>
      </c>
      <c r="Q2654" s="232"/>
      <c r="R2654" s="411"/>
      <c r="T2654" s="441"/>
      <c r="U2654" s="447"/>
      <c r="AA2654" s="474"/>
    </row>
    <row r="2655" spans="1:27" ht="24" x14ac:dyDescent="0.25">
      <c r="A2655" s="405">
        <v>3002022</v>
      </c>
      <c r="B2655" s="406">
        <v>42494</v>
      </c>
      <c r="C2655" s="405" t="s">
        <v>5682</v>
      </c>
      <c r="D2655" s="401" t="s">
        <v>6118</v>
      </c>
      <c r="E2655" s="120">
        <v>150</v>
      </c>
      <c r="F2655" s="133" t="s">
        <v>182</v>
      </c>
      <c r="G2655" s="404" t="s">
        <v>45</v>
      </c>
      <c r="H2655" s="411">
        <v>289.75</v>
      </c>
      <c r="I2655" s="397">
        <f t="shared" ref="I2655:I2670" si="493">-(H2655*0.09)</f>
        <v>-26.077500000000001</v>
      </c>
      <c r="J2655" s="391">
        <f t="shared" ref="J2655:J2670" si="494">-((H2655*0.019)+0.3)</f>
        <v>-5.80525</v>
      </c>
      <c r="K2655" s="396">
        <f t="shared" si="492"/>
        <v>257.86725000000001</v>
      </c>
      <c r="L2655" s="131">
        <v>1060</v>
      </c>
      <c r="M2655" s="187">
        <v>42.65</v>
      </c>
      <c r="N2655" s="91">
        <f t="shared" si="486"/>
        <v>201.65</v>
      </c>
      <c r="O2655" s="411">
        <f t="shared" si="491"/>
        <v>56.217250000000007</v>
      </c>
      <c r="P2655" s="132" t="s">
        <v>52</v>
      </c>
      <c r="Q2655" s="232"/>
      <c r="R2655" s="411"/>
      <c r="T2655" s="134" t="s">
        <v>145</v>
      </c>
      <c r="U2655" s="267" t="s">
        <v>6119</v>
      </c>
      <c r="AA2655" s="218"/>
    </row>
    <row r="2656" spans="1:27" ht="24" x14ac:dyDescent="0.25">
      <c r="A2656" s="405">
        <v>3002023</v>
      </c>
      <c r="B2656" s="406">
        <v>42494</v>
      </c>
      <c r="C2656" s="405" t="s">
        <v>5682</v>
      </c>
      <c r="D2656" s="401" t="s">
        <v>6120</v>
      </c>
      <c r="E2656" s="120">
        <v>100</v>
      </c>
      <c r="F2656" s="133" t="s">
        <v>431</v>
      </c>
      <c r="G2656" s="404" t="s">
        <v>45</v>
      </c>
      <c r="H2656" s="411">
        <v>216.11</v>
      </c>
      <c r="I2656" s="397">
        <f t="shared" si="493"/>
        <v>-19.4499</v>
      </c>
      <c r="J2656" s="391">
        <f t="shared" si="494"/>
        <v>-4.4060899999999998</v>
      </c>
      <c r="K2656" s="396">
        <f t="shared" si="492"/>
        <v>192.25400999999999</v>
      </c>
      <c r="L2656" s="131">
        <v>990</v>
      </c>
      <c r="M2656" s="187">
        <v>33.729999999999997</v>
      </c>
      <c r="N2656" s="91">
        <f t="shared" si="486"/>
        <v>132.72999999999999</v>
      </c>
      <c r="O2656" s="411">
        <f t="shared" si="491"/>
        <v>59.524010000000004</v>
      </c>
      <c r="P2656" s="132" t="s">
        <v>52</v>
      </c>
      <c r="Q2656" s="232"/>
      <c r="R2656" s="411"/>
      <c r="T2656" s="134" t="s">
        <v>145</v>
      </c>
      <c r="U2656" s="267" t="s">
        <v>6121</v>
      </c>
      <c r="AA2656" s="218"/>
    </row>
    <row r="2657" spans="1:27" ht="24" x14ac:dyDescent="0.25">
      <c r="A2657" s="405">
        <v>3002024</v>
      </c>
      <c r="B2657" s="406">
        <v>42494</v>
      </c>
      <c r="C2657" s="405" t="s">
        <v>5682</v>
      </c>
      <c r="D2657" s="401" t="s">
        <v>6122</v>
      </c>
      <c r="E2657" s="120">
        <v>200</v>
      </c>
      <c r="F2657" s="133" t="s">
        <v>506</v>
      </c>
      <c r="G2657" s="404" t="s">
        <v>45</v>
      </c>
      <c r="H2657" s="411">
        <v>290</v>
      </c>
      <c r="I2657" s="397">
        <f t="shared" si="493"/>
        <v>-26.099999999999998</v>
      </c>
      <c r="J2657" s="391">
        <f t="shared" si="494"/>
        <v>-5.81</v>
      </c>
      <c r="K2657" s="396">
        <f t="shared" si="492"/>
        <v>258.08999999999997</v>
      </c>
      <c r="L2657" s="131">
        <v>731</v>
      </c>
      <c r="M2657" s="187">
        <v>41.25</v>
      </c>
      <c r="N2657" s="91">
        <f t="shared" si="486"/>
        <v>187.45000000000002</v>
      </c>
      <c r="O2657" s="411">
        <f t="shared" si="491"/>
        <v>70.639999999999958</v>
      </c>
      <c r="P2657" s="132" t="s">
        <v>52</v>
      </c>
      <c r="Q2657" s="232"/>
      <c r="R2657" s="411"/>
      <c r="T2657" s="134" t="s">
        <v>145</v>
      </c>
      <c r="U2657" s="267" t="s">
        <v>6123</v>
      </c>
      <c r="AA2657" s="218"/>
    </row>
    <row r="2658" spans="1:27" ht="24" x14ac:dyDescent="0.25">
      <c r="A2658" s="405">
        <v>3002025</v>
      </c>
      <c r="B2658" s="406">
        <v>42494</v>
      </c>
      <c r="C2658" s="405" t="s">
        <v>5682</v>
      </c>
      <c r="D2658" s="401" t="s">
        <v>6124</v>
      </c>
      <c r="E2658" s="120">
        <v>100</v>
      </c>
      <c r="F2658" s="133" t="s">
        <v>247</v>
      </c>
      <c r="G2658" s="404" t="s">
        <v>45</v>
      </c>
      <c r="H2658" s="411">
        <v>142.6</v>
      </c>
      <c r="I2658" s="397">
        <f t="shared" si="493"/>
        <v>-12.834</v>
      </c>
      <c r="J2658" s="391">
        <f t="shared" si="494"/>
        <v>-3.0093999999999999</v>
      </c>
      <c r="K2658" s="396">
        <f t="shared" si="492"/>
        <v>126.75659999999999</v>
      </c>
      <c r="L2658" s="131">
        <v>700</v>
      </c>
      <c r="M2658" s="187">
        <v>29.17</v>
      </c>
      <c r="N2658" s="91">
        <f t="shared" si="486"/>
        <v>99.17</v>
      </c>
      <c r="O2658" s="411">
        <f t="shared" si="491"/>
        <v>27.58659999999999</v>
      </c>
      <c r="P2658" s="132" t="s">
        <v>86</v>
      </c>
      <c r="Q2658" s="232"/>
      <c r="R2658" s="411">
        <v>10.56</v>
      </c>
      <c r="S2658" s="133" t="s">
        <v>6125</v>
      </c>
      <c r="T2658" s="134" t="s">
        <v>145</v>
      </c>
      <c r="U2658" s="267" t="s">
        <v>6126</v>
      </c>
      <c r="AA2658" s="218"/>
    </row>
    <row r="2659" spans="1:27" ht="24" x14ac:dyDescent="0.25">
      <c r="A2659" s="405">
        <v>3002026</v>
      </c>
      <c r="B2659" s="406">
        <v>42494</v>
      </c>
      <c r="C2659" s="405" t="s">
        <v>5682</v>
      </c>
      <c r="D2659" s="401" t="s">
        <v>6127</v>
      </c>
      <c r="E2659" s="120">
        <v>100</v>
      </c>
      <c r="F2659" s="133" t="s">
        <v>582</v>
      </c>
      <c r="G2659" s="404" t="s">
        <v>45</v>
      </c>
      <c r="H2659" s="411">
        <v>89.1</v>
      </c>
      <c r="I2659" s="397">
        <f t="shared" si="493"/>
        <v>-8.0189999999999984</v>
      </c>
      <c r="J2659" s="391">
        <f t="shared" si="494"/>
        <v>-1.9928999999999999</v>
      </c>
      <c r="K2659" s="396">
        <f t="shared" si="492"/>
        <v>79.088099999999983</v>
      </c>
      <c r="M2659" s="187">
        <v>45.45</v>
      </c>
      <c r="N2659" s="91">
        <f t="shared" si="486"/>
        <v>45.45</v>
      </c>
      <c r="O2659" s="411">
        <f t="shared" si="491"/>
        <v>33.63809999999998</v>
      </c>
      <c r="P2659" s="132" t="s">
        <v>52</v>
      </c>
      <c r="Q2659" s="232"/>
      <c r="R2659" s="411"/>
      <c r="T2659" s="134" t="s">
        <v>145</v>
      </c>
      <c r="U2659" s="267" t="s">
        <v>6128</v>
      </c>
      <c r="AA2659" s="218"/>
    </row>
    <row r="2660" spans="1:27" ht="24" x14ac:dyDescent="0.25">
      <c r="A2660" s="405">
        <v>3002027</v>
      </c>
      <c r="B2660" s="406">
        <v>42494</v>
      </c>
      <c r="C2660" s="405" t="s">
        <v>5682</v>
      </c>
      <c r="D2660" s="401" t="s">
        <v>6129</v>
      </c>
      <c r="E2660" s="120">
        <v>50</v>
      </c>
      <c r="F2660" s="133" t="s">
        <v>1522</v>
      </c>
      <c r="G2660" s="404" t="s">
        <v>45</v>
      </c>
      <c r="H2660" s="411">
        <v>114</v>
      </c>
      <c r="I2660" s="397">
        <f t="shared" si="493"/>
        <v>-10.26</v>
      </c>
      <c r="J2660" s="391">
        <f t="shared" si="494"/>
        <v>-2.4659999999999997</v>
      </c>
      <c r="K2660" s="396">
        <f t="shared" si="492"/>
        <v>101.274</v>
      </c>
      <c r="L2660" s="131">
        <v>716</v>
      </c>
      <c r="M2660" s="187">
        <v>27.45</v>
      </c>
      <c r="N2660" s="91">
        <f t="shared" si="486"/>
        <v>63.25</v>
      </c>
      <c r="O2660" s="411">
        <f t="shared" si="491"/>
        <v>38.024000000000001</v>
      </c>
      <c r="P2660" s="132" t="s">
        <v>52</v>
      </c>
      <c r="Q2660" s="232"/>
      <c r="R2660" s="411"/>
      <c r="T2660" s="134" t="s">
        <v>145</v>
      </c>
      <c r="U2660" s="267" t="s">
        <v>6130</v>
      </c>
      <c r="AA2660" s="218"/>
    </row>
    <row r="2661" spans="1:27" ht="24" x14ac:dyDescent="0.25">
      <c r="A2661" s="405">
        <v>3002028</v>
      </c>
      <c r="B2661" s="406">
        <v>42494</v>
      </c>
      <c r="C2661" s="405" t="s">
        <v>5682</v>
      </c>
      <c r="D2661" s="401" t="s">
        <v>703</v>
      </c>
      <c r="E2661" s="120">
        <v>250</v>
      </c>
      <c r="F2661" s="119" t="s">
        <v>963</v>
      </c>
      <c r="G2661" s="404" t="s">
        <v>45</v>
      </c>
      <c r="H2661" s="411">
        <v>280</v>
      </c>
      <c r="I2661" s="397">
        <f t="shared" si="493"/>
        <v>-25.2</v>
      </c>
      <c r="J2661" s="391">
        <f t="shared" si="494"/>
        <v>-5.62</v>
      </c>
      <c r="K2661" s="396">
        <f t="shared" si="492"/>
        <v>249.18</v>
      </c>
      <c r="L2661" s="187">
        <v>773</v>
      </c>
      <c r="M2661" s="187">
        <v>15.32</v>
      </c>
      <c r="N2661" s="91">
        <f t="shared" si="486"/>
        <v>208.57</v>
      </c>
      <c r="O2661" s="411">
        <f t="shared" si="491"/>
        <v>40.610000000000014</v>
      </c>
      <c r="P2661" s="402" t="s">
        <v>183</v>
      </c>
      <c r="Q2661" s="232"/>
      <c r="R2661" s="411"/>
      <c r="T2661" s="134" t="s">
        <v>145</v>
      </c>
      <c r="U2661" s="267" t="s">
        <v>6131</v>
      </c>
      <c r="AA2661" s="218"/>
    </row>
    <row r="2662" spans="1:27" x14ac:dyDescent="0.25">
      <c r="A2662" s="405">
        <v>3002029</v>
      </c>
      <c r="B2662" s="406">
        <v>42494</v>
      </c>
      <c r="C2662" s="405" t="s">
        <v>5682</v>
      </c>
      <c r="D2662" s="401" t="s">
        <v>6132</v>
      </c>
      <c r="E2662" s="120">
        <v>600</v>
      </c>
      <c r="F2662" s="133" t="s">
        <v>222</v>
      </c>
      <c r="G2662" s="404" t="s">
        <v>45</v>
      </c>
      <c r="H2662" s="411">
        <v>1083.24</v>
      </c>
      <c r="I2662" s="397">
        <f t="shared" si="493"/>
        <v>-97.491599999999991</v>
      </c>
      <c r="J2662" s="391">
        <f t="shared" si="494"/>
        <v>-20.88156</v>
      </c>
      <c r="K2662" s="396">
        <f t="shared" si="492"/>
        <v>964.86684000000002</v>
      </c>
      <c r="L2662" s="187">
        <v>930</v>
      </c>
      <c r="M2662" s="224">
        <v>120.85</v>
      </c>
      <c r="N2662" s="91">
        <f t="shared" si="486"/>
        <v>678.85</v>
      </c>
      <c r="O2662" s="411">
        <f t="shared" si="491"/>
        <v>286.01684</v>
      </c>
      <c r="P2662" s="405" t="s">
        <v>3597</v>
      </c>
      <c r="Q2662" s="220"/>
      <c r="R2662" s="411"/>
      <c r="T2662" s="134" t="s">
        <v>399</v>
      </c>
      <c r="U2662" s="267" t="s">
        <v>6133</v>
      </c>
      <c r="AA2662" s="218"/>
    </row>
    <row r="2663" spans="1:27" ht="24" x14ac:dyDescent="0.25">
      <c r="A2663" s="405">
        <v>3002030</v>
      </c>
      <c r="B2663" s="406">
        <v>42494</v>
      </c>
      <c r="C2663" s="405" t="s">
        <v>5682</v>
      </c>
      <c r="D2663" s="401" t="s">
        <v>6134</v>
      </c>
      <c r="E2663" s="120">
        <v>500</v>
      </c>
      <c r="F2663" s="133" t="s">
        <v>6135</v>
      </c>
      <c r="G2663" s="404" t="s">
        <v>45</v>
      </c>
      <c r="H2663" s="411">
        <v>192.4</v>
      </c>
      <c r="I2663" s="397">
        <f t="shared" si="493"/>
        <v>-17.315999999999999</v>
      </c>
      <c r="J2663" s="391">
        <f t="shared" si="494"/>
        <v>-3.9556</v>
      </c>
      <c r="K2663" s="396">
        <f t="shared" si="492"/>
        <v>171.1284</v>
      </c>
      <c r="L2663" s="187">
        <v>170</v>
      </c>
      <c r="M2663" s="187">
        <v>20.69</v>
      </c>
      <c r="N2663" s="91">
        <f t="shared" si="486"/>
        <v>105.69</v>
      </c>
      <c r="O2663" s="411">
        <f t="shared" si="491"/>
        <v>65.438400000000001</v>
      </c>
      <c r="P2663" s="403" t="s">
        <v>235</v>
      </c>
      <c r="Q2663" s="232"/>
      <c r="R2663" s="411"/>
      <c r="T2663" s="134" t="s">
        <v>145</v>
      </c>
      <c r="U2663" s="267" t="s">
        <v>6136</v>
      </c>
      <c r="AA2663" s="218"/>
    </row>
    <row r="2664" spans="1:27" ht="24" x14ac:dyDescent="0.25">
      <c r="A2664" s="405">
        <v>3002031</v>
      </c>
      <c r="B2664" s="406">
        <v>42494</v>
      </c>
      <c r="C2664" s="405" t="s">
        <v>42</v>
      </c>
      <c r="D2664" s="401" t="s">
        <v>6137</v>
      </c>
      <c r="E2664" s="120">
        <v>100</v>
      </c>
      <c r="F2664" s="133" t="s">
        <v>288</v>
      </c>
      <c r="G2664" s="404" t="s">
        <v>45</v>
      </c>
      <c r="H2664" s="411">
        <v>198.16</v>
      </c>
      <c r="I2664" s="397">
        <f t="shared" si="493"/>
        <v>-17.834399999999999</v>
      </c>
      <c r="J2664" s="391">
        <f t="shared" si="494"/>
        <v>-4.0650399999999998</v>
      </c>
      <c r="K2664" s="396">
        <f t="shared" si="492"/>
        <v>176.26056</v>
      </c>
      <c r="L2664" s="131">
        <v>950</v>
      </c>
      <c r="M2664" s="187">
        <v>39.43</v>
      </c>
      <c r="N2664" s="91">
        <f t="shared" si="486"/>
        <v>134.43</v>
      </c>
      <c r="O2664" s="411">
        <f t="shared" si="491"/>
        <v>41.830559999999991</v>
      </c>
      <c r="P2664" s="132" t="s">
        <v>52</v>
      </c>
      <c r="Q2664" s="232"/>
      <c r="R2664" s="411"/>
      <c r="T2664" s="134" t="s">
        <v>145</v>
      </c>
      <c r="U2664" s="267" t="s">
        <v>6138</v>
      </c>
      <c r="AA2664" s="218"/>
    </row>
    <row r="2665" spans="1:27" ht="24" x14ac:dyDescent="0.25">
      <c r="A2665" s="405">
        <v>3002032</v>
      </c>
      <c r="B2665" s="406">
        <v>42494</v>
      </c>
      <c r="C2665" s="405" t="s">
        <v>5682</v>
      </c>
      <c r="D2665" s="401" t="s">
        <v>6139</v>
      </c>
      <c r="E2665" s="120">
        <v>250</v>
      </c>
      <c r="F2665" s="133" t="s">
        <v>173</v>
      </c>
      <c r="G2665" s="404" t="s">
        <v>45</v>
      </c>
      <c r="H2665" s="411">
        <v>234.04</v>
      </c>
      <c r="I2665" s="397">
        <f t="shared" si="493"/>
        <v>-21.063599999999997</v>
      </c>
      <c r="J2665" s="391">
        <f t="shared" si="494"/>
        <v>-4.7467599999999992</v>
      </c>
      <c r="K2665" s="396">
        <f t="shared" si="492"/>
        <v>208.22963999999999</v>
      </c>
      <c r="L2665" s="131">
        <v>407</v>
      </c>
      <c r="M2665" s="187">
        <v>23.66</v>
      </c>
      <c r="N2665" s="91">
        <f t="shared" si="486"/>
        <v>125.41</v>
      </c>
      <c r="O2665" s="411">
        <f t="shared" si="491"/>
        <v>82.819639999999993</v>
      </c>
      <c r="P2665" s="132" t="s">
        <v>52</v>
      </c>
      <c r="Q2665" s="232"/>
      <c r="R2665" s="411">
        <v>17.34</v>
      </c>
      <c r="S2665" s="133" t="s">
        <v>1396</v>
      </c>
      <c r="T2665" s="134" t="s">
        <v>145</v>
      </c>
      <c r="U2665" s="267" t="s">
        <v>6140</v>
      </c>
      <c r="AA2665" s="218"/>
    </row>
    <row r="2666" spans="1:27" ht="24" x14ac:dyDescent="0.25">
      <c r="A2666" s="405">
        <v>3002033</v>
      </c>
      <c r="B2666" s="406">
        <v>42494</v>
      </c>
      <c r="C2666" s="405" t="s">
        <v>5682</v>
      </c>
      <c r="D2666" s="401" t="s">
        <v>6141</v>
      </c>
      <c r="E2666" s="120">
        <v>200</v>
      </c>
      <c r="F2666" s="133" t="s">
        <v>829</v>
      </c>
      <c r="G2666" s="404" t="s">
        <v>45</v>
      </c>
      <c r="H2666" s="411">
        <v>210.84</v>
      </c>
      <c r="I2666" s="397">
        <f t="shared" si="493"/>
        <v>-18.9756</v>
      </c>
      <c r="J2666" s="391">
        <f t="shared" si="494"/>
        <v>-4.3059599999999998</v>
      </c>
      <c r="K2666" s="396">
        <f t="shared" si="492"/>
        <v>187.55843999999999</v>
      </c>
      <c r="L2666" s="131">
        <v>510</v>
      </c>
      <c r="M2666" s="187">
        <v>26.5</v>
      </c>
      <c r="N2666" s="91">
        <f t="shared" si="486"/>
        <v>128.5</v>
      </c>
      <c r="O2666" s="411">
        <f t="shared" si="491"/>
        <v>59.05843999999999</v>
      </c>
      <c r="P2666" s="132" t="s">
        <v>52</v>
      </c>
      <c r="Q2666" s="232"/>
      <c r="R2666" s="411"/>
      <c r="T2666" s="134" t="s">
        <v>145</v>
      </c>
      <c r="U2666" s="267" t="s">
        <v>6142</v>
      </c>
      <c r="AA2666" s="218"/>
    </row>
    <row r="2667" spans="1:27" ht="24" x14ac:dyDescent="0.25">
      <c r="A2667" s="405">
        <v>3002034</v>
      </c>
      <c r="B2667" s="406">
        <v>42494</v>
      </c>
      <c r="C2667" s="405" t="s">
        <v>5682</v>
      </c>
      <c r="D2667" s="401" t="s">
        <v>6143</v>
      </c>
      <c r="E2667" s="120">
        <v>250</v>
      </c>
      <c r="F2667" s="133" t="s">
        <v>451</v>
      </c>
      <c r="G2667" s="404" t="s">
        <v>45</v>
      </c>
      <c r="H2667" s="411">
        <v>163.55000000000001</v>
      </c>
      <c r="I2667" s="397">
        <f t="shared" si="493"/>
        <v>-14.7195</v>
      </c>
      <c r="J2667" s="391">
        <f t="shared" si="494"/>
        <v>-3.4074499999999999</v>
      </c>
      <c r="K2667" s="396">
        <f t="shared" si="492"/>
        <v>145.42304999999999</v>
      </c>
      <c r="L2667" s="131">
        <v>300</v>
      </c>
      <c r="M2667" s="187">
        <v>32.43</v>
      </c>
      <c r="N2667" s="91">
        <f t="shared" si="486"/>
        <v>107.43</v>
      </c>
      <c r="O2667" s="411">
        <f t="shared" si="491"/>
        <v>37.993049999999982</v>
      </c>
      <c r="P2667" s="132" t="s">
        <v>52</v>
      </c>
      <c r="Q2667" s="232"/>
      <c r="R2667" s="411"/>
      <c r="T2667" s="134" t="s">
        <v>145</v>
      </c>
      <c r="U2667" s="267" t="s">
        <v>6144</v>
      </c>
      <c r="AA2667" s="218"/>
    </row>
    <row r="2668" spans="1:27" ht="24" x14ac:dyDescent="0.25">
      <c r="A2668" s="405">
        <v>3002035</v>
      </c>
      <c r="B2668" s="406">
        <v>42494</v>
      </c>
      <c r="C2668" s="405" t="s">
        <v>5682</v>
      </c>
      <c r="D2668" s="401" t="s">
        <v>6145</v>
      </c>
      <c r="E2668" s="120">
        <v>1000</v>
      </c>
      <c r="F2668" s="133" t="s">
        <v>6146</v>
      </c>
      <c r="G2668" s="404" t="s">
        <v>45</v>
      </c>
      <c r="H2668" s="411">
        <v>218.5</v>
      </c>
      <c r="I2668" s="397">
        <f t="shared" si="493"/>
        <v>-19.664999999999999</v>
      </c>
      <c r="J2668" s="391">
        <f t="shared" si="494"/>
        <v>-4.4514999999999993</v>
      </c>
      <c r="K2668" s="396">
        <f t="shared" si="492"/>
        <v>194.3835</v>
      </c>
      <c r="L2668" s="131">
        <v>35</v>
      </c>
      <c r="M2668" s="187">
        <v>50.64</v>
      </c>
      <c r="N2668" s="91">
        <f t="shared" ref="N2668:N2732" si="495">((L2668)*(E2668*0.001))+M2668</f>
        <v>85.64</v>
      </c>
      <c r="O2668" s="411">
        <f t="shared" si="491"/>
        <v>108.7435</v>
      </c>
      <c r="P2668" s="132" t="s">
        <v>52</v>
      </c>
      <c r="Q2668" s="232"/>
      <c r="R2668" s="411"/>
      <c r="T2668" s="134" t="s">
        <v>145</v>
      </c>
      <c r="U2668" s="267" t="s">
        <v>6147</v>
      </c>
      <c r="AA2668" s="218"/>
    </row>
    <row r="2669" spans="1:27" x14ac:dyDescent="0.25">
      <c r="A2669" s="405">
        <v>3002036</v>
      </c>
      <c r="B2669" s="406">
        <v>42494</v>
      </c>
      <c r="C2669" s="405" t="s">
        <v>5682</v>
      </c>
      <c r="D2669" s="401" t="s">
        <v>6148</v>
      </c>
      <c r="E2669" s="120">
        <v>500</v>
      </c>
      <c r="F2669" s="133" t="s">
        <v>161</v>
      </c>
      <c r="G2669" s="404" t="s">
        <v>45</v>
      </c>
      <c r="H2669" s="411">
        <v>1080</v>
      </c>
      <c r="I2669" s="397">
        <f t="shared" si="493"/>
        <v>-97.2</v>
      </c>
      <c r="J2669" s="391">
        <f t="shared" si="494"/>
        <v>-20.82</v>
      </c>
      <c r="K2669" s="396">
        <f t="shared" si="492"/>
        <v>961.9799999999999</v>
      </c>
      <c r="L2669" s="131">
        <v>1322</v>
      </c>
      <c r="M2669" s="187">
        <v>105.21</v>
      </c>
      <c r="N2669" s="91">
        <f t="shared" si="495"/>
        <v>766.21</v>
      </c>
      <c r="O2669" s="411">
        <f t="shared" si="491"/>
        <v>195.76999999999987</v>
      </c>
      <c r="P2669" s="132" t="s">
        <v>86</v>
      </c>
      <c r="Q2669" s="232"/>
      <c r="R2669" s="411"/>
      <c r="T2669" s="134" t="s">
        <v>244</v>
      </c>
      <c r="U2669" s="266" t="s">
        <v>6149</v>
      </c>
      <c r="V2669" s="133" t="s">
        <v>55</v>
      </c>
      <c r="AA2669" s="218"/>
    </row>
    <row r="2670" spans="1:27" ht="24" x14ac:dyDescent="0.25">
      <c r="A2670" s="405">
        <v>3002037</v>
      </c>
      <c r="B2670" s="406">
        <v>42494</v>
      </c>
      <c r="C2670" s="405" t="s">
        <v>5682</v>
      </c>
      <c r="D2670" s="401" t="s">
        <v>6150</v>
      </c>
      <c r="E2670" s="120">
        <v>100</v>
      </c>
      <c r="F2670" s="133" t="s">
        <v>6151</v>
      </c>
      <c r="G2670" s="404" t="s">
        <v>45</v>
      </c>
      <c r="H2670" s="411">
        <v>142.5</v>
      </c>
      <c r="I2670" s="397">
        <f t="shared" si="493"/>
        <v>-12.824999999999999</v>
      </c>
      <c r="J2670" s="391">
        <f t="shared" si="494"/>
        <v>-3.0074999999999998</v>
      </c>
      <c r="K2670" s="396">
        <f t="shared" si="492"/>
        <v>126.66750000000002</v>
      </c>
      <c r="L2670" s="187">
        <v>900</v>
      </c>
      <c r="M2670" s="187">
        <v>43.52</v>
      </c>
      <c r="N2670" s="91">
        <f t="shared" si="495"/>
        <v>133.52000000000001</v>
      </c>
      <c r="O2670" s="411">
        <f t="shared" si="491"/>
        <v>-6.852499999999992</v>
      </c>
      <c r="P2670" s="132" t="s">
        <v>235</v>
      </c>
      <c r="Q2670" s="232"/>
      <c r="R2670" s="411"/>
      <c r="T2670" s="134" t="s">
        <v>145</v>
      </c>
      <c r="U2670" s="267" t="s">
        <v>6152</v>
      </c>
      <c r="AA2670" s="218"/>
    </row>
    <row r="2671" spans="1:27" ht="24" customHeight="1" x14ac:dyDescent="0.25">
      <c r="A2671" s="419">
        <v>3002038</v>
      </c>
      <c r="B2671" s="421">
        <v>42494</v>
      </c>
      <c r="C2671" s="419" t="s">
        <v>327</v>
      </c>
      <c r="D2671" s="417" t="s">
        <v>4999</v>
      </c>
      <c r="E2671" s="120">
        <v>120</v>
      </c>
      <c r="F2671" s="133" t="s">
        <v>6153</v>
      </c>
      <c r="G2671" s="434" t="s">
        <v>45</v>
      </c>
      <c r="H2671" s="427">
        <v>320</v>
      </c>
      <c r="I2671" s="427">
        <v>0</v>
      </c>
      <c r="J2671" s="425">
        <f>-((H2671*0.022)+0.3)</f>
        <v>-7.339999999999999</v>
      </c>
      <c r="K2671" s="425">
        <f t="shared" si="492"/>
        <v>312.66000000000003</v>
      </c>
      <c r="M2671" s="187">
        <v>46.99</v>
      </c>
      <c r="N2671" s="91">
        <f t="shared" si="495"/>
        <v>46.99</v>
      </c>
      <c r="O2671" s="411">
        <f t="shared" si="491"/>
        <v>265.67</v>
      </c>
      <c r="P2671" s="132" t="s">
        <v>52</v>
      </c>
      <c r="Q2671" s="232"/>
      <c r="R2671" s="411"/>
      <c r="T2671" s="470" t="s">
        <v>145</v>
      </c>
      <c r="U2671" s="267" t="s">
        <v>6154</v>
      </c>
      <c r="W2671" s="153" t="s">
        <v>5002</v>
      </c>
      <c r="AA2671" s="218"/>
    </row>
    <row r="2672" spans="1:27" x14ac:dyDescent="0.25">
      <c r="A2672" s="420"/>
      <c r="B2672" s="422"/>
      <c r="C2672" s="420"/>
      <c r="D2672" s="418"/>
      <c r="E2672" s="120">
        <v>40</v>
      </c>
      <c r="F2672" s="133" t="s">
        <v>2770</v>
      </c>
      <c r="G2672" s="436"/>
      <c r="H2672" s="428"/>
      <c r="I2672" s="428"/>
      <c r="J2672" s="426"/>
      <c r="K2672" s="426"/>
      <c r="M2672" s="187">
        <v>17.440000000000001</v>
      </c>
      <c r="N2672" s="91">
        <f t="shared" si="495"/>
        <v>17.440000000000001</v>
      </c>
      <c r="O2672" s="411">
        <f t="shared" si="491"/>
        <v>-17.440000000000001</v>
      </c>
      <c r="P2672" s="132" t="s">
        <v>52</v>
      </c>
      <c r="Q2672" s="232"/>
      <c r="R2672" s="411"/>
      <c r="T2672" s="472"/>
      <c r="U2672" s="267" t="s">
        <v>6155</v>
      </c>
      <c r="AA2672" s="218"/>
    </row>
    <row r="2673" spans="1:27" ht="24" x14ac:dyDescent="0.25">
      <c r="A2673" s="405">
        <v>3002039</v>
      </c>
      <c r="B2673" s="406">
        <v>42494</v>
      </c>
      <c r="C2673" s="405" t="s">
        <v>237</v>
      </c>
      <c r="D2673" s="401" t="s">
        <v>6156</v>
      </c>
      <c r="E2673" s="120">
        <v>125</v>
      </c>
      <c r="F2673" s="133" t="s">
        <v>161</v>
      </c>
      <c r="G2673" s="404" t="s">
        <v>45</v>
      </c>
      <c r="H2673" s="411">
        <v>300</v>
      </c>
      <c r="I2673" s="397">
        <f t="shared" ref="I2673:I2674" si="496">-(H2673*0.15)</f>
        <v>-45</v>
      </c>
      <c r="J2673" s="411">
        <v>0</v>
      </c>
      <c r="K2673" s="396">
        <f t="shared" si="492"/>
        <v>255</v>
      </c>
      <c r="L2673" s="131">
        <v>1322</v>
      </c>
      <c r="M2673" s="187">
        <v>56.62</v>
      </c>
      <c r="N2673" s="91">
        <f t="shared" si="495"/>
        <v>221.87</v>
      </c>
      <c r="O2673" s="411">
        <f t="shared" si="491"/>
        <v>33.129999999999995</v>
      </c>
      <c r="P2673" s="132" t="s">
        <v>86</v>
      </c>
      <c r="Q2673" s="232"/>
      <c r="R2673" s="411"/>
      <c r="T2673" s="134" t="s">
        <v>145</v>
      </c>
      <c r="U2673" s="267" t="s">
        <v>6157</v>
      </c>
      <c r="AA2673" s="218"/>
    </row>
    <row r="2674" spans="1:27" ht="24" x14ac:dyDescent="0.25">
      <c r="A2674" s="405">
        <v>3002040</v>
      </c>
      <c r="B2674" s="406">
        <v>42494</v>
      </c>
      <c r="C2674" s="405" t="s">
        <v>237</v>
      </c>
      <c r="D2674" s="401" t="s">
        <v>6158</v>
      </c>
      <c r="E2674" s="120">
        <v>250</v>
      </c>
      <c r="F2674" s="133" t="s">
        <v>6159</v>
      </c>
      <c r="G2674" s="404" t="s">
        <v>45</v>
      </c>
      <c r="H2674" s="411">
        <v>138.69999999999999</v>
      </c>
      <c r="I2674" s="397">
        <f t="shared" si="496"/>
        <v>-20.804999999999996</v>
      </c>
      <c r="J2674" s="411">
        <v>0</v>
      </c>
      <c r="K2674" s="396">
        <f t="shared" si="492"/>
        <v>117.895</v>
      </c>
      <c r="M2674" s="187">
        <v>18.420000000000002</v>
      </c>
      <c r="N2674" s="91">
        <f t="shared" si="495"/>
        <v>18.420000000000002</v>
      </c>
      <c r="O2674" s="411">
        <f t="shared" si="491"/>
        <v>99.474999999999994</v>
      </c>
      <c r="P2674" s="132" t="s">
        <v>52</v>
      </c>
      <c r="Q2674" s="232"/>
      <c r="R2674" s="411"/>
      <c r="T2674" s="134" t="s">
        <v>145</v>
      </c>
      <c r="U2674" s="267" t="s">
        <v>6160</v>
      </c>
      <c r="AA2674" s="218"/>
    </row>
    <row r="2675" spans="1:27" ht="24" x14ac:dyDescent="0.25">
      <c r="A2675" s="405">
        <v>3002041</v>
      </c>
      <c r="B2675" s="406">
        <v>42494</v>
      </c>
      <c r="C2675" s="405" t="s">
        <v>327</v>
      </c>
      <c r="D2675" s="401" t="s">
        <v>6161</v>
      </c>
      <c r="E2675" s="120">
        <v>400</v>
      </c>
      <c r="F2675" s="133" t="s">
        <v>207</v>
      </c>
      <c r="G2675" s="404" t="s">
        <v>45</v>
      </c>
      <c r="H2675" s="411">
        <v>396</v>
      </c>
      <c r="I2675" s="411">
        <v>0</v>
      </c>
      <c r="J2675" s="391">
        <f>-((H2675*0.022)+0.3)</f>
        <v>-9.0120000000000005</v>
      </c>
      <c r="K2675" s="396">
        <f t="shared" si="492"/>
        <v>386.988</v>
      </c>
      <c r="L2675" s="131">
        <v>570</v>
      </c>
      <c r="M2675" s="187">
        <v>57.08</v>
      </c>
      <c r="N2675" s="91">
        <f t="shared" si="495"/>
        <v>285.08</v>
      </c>
      <c r="O2675" s="411">
        <f t="shared" si="491"/>
        <v>101.90800000000002</v>
      </c>
      <c r="P2675" s="132" t="s">
        <v>52</v>
      </c>
      <c r="Q2675" s="232"/>
      <c r="R2675" s="411"/>
      <c r="T2675" s="134" t="s">
        <v>145</v>
      </c>
      <c r="U2675" s="267" t="s">
        <v>6162</v>
      </c>
      <c r="W2675" s="153" t="s">
        <v>6163</v>
      </c>
      <c r="AA2675" s="218"/>
    </row>
    <row r="2676" spans="1:27" x14ac:dyDescent="0.25">
      <c r="A2676" s="405">
        <v>3002042</v>
      </c>
      <c r="B2676" s="406">
        <v>42495</v>
      </c>
      <c r="C2676" s="405" t="s">
        <v>63</v>
      </c>
      <c r="D2676" s="401" t="s">
        <v>5346</v>
      </c>
      <c r="E2676" s="120">
        <v>1100</v>
      </c>
      <c r="F2676" s="133" t="s">
        <v>6164</v>
      </c>
      <c r="G2676" s="404" t="s">
        <v>45</v>
      </c>
      <c r="H2676" s="411">
        <v>16801.5</v>
      </c>
      <c r="I2676" s="411">
        <v>0</v>
      </c>
      <c r="J2676" s="391">
        <f>-((H2676*0.022)+0.3)</f>
        <v>-369.93299999999999</v>
      </c>
      <c r="K2676" s="396">
        <f t="shared" si="492"/>
        <v>16431.566999999999</v>
      </c>
      <c r="L2676" s="187">
        <v>12380</v>
      </c>
      <c r="M2676" s="221"/>
      <c r="N2676" s="91">
        <f t="shared" si="495"/>
        <v>13618.000000000002</v>
      </c>
      <c r="O2676" s="411">
        <f t="shared" si="491"/>
        <v>2813.5669999999973</v>
      </c>
      <c r="P2676" s="132" t="s">
        <v>66</v>
      </c>
      <c r="Q2676" s="232"/>
      <c r="R2676" s="411"/>
      <c r="T2676" s="134" t="s">
        <v>67</v>
      </c>
      <c r="U2676" s="267" t="s">
        <v>6165</v>
      </c>
      <c r="W2676" s="153" t="s">
        <v>5349</v>
      </c>
      <c r="AA2676" s="218">
        <v>100</v>
      </c>
    </row>
    <row r="2677" spans="1:27" x14ac:dyDescent="0.25">
      <c r="A2677" s="419">
        <v>3002043</v>
      </c>
      <c r="B2677" s="421">
        <v>42495</v>
      </c>
      <c r="C2677" s="419" t="s">
        <v>63</v>
      </c>
      <c r="D2677" s="417" t="s">
        <v>4476</v>
      </c>
      <c r="E2677" s="120">
        <v>840</v>
      </c>
      <c r="F2677" s="133" t="s">
        <v>6166</v>
      </c>
      <c r="G2677" s="434" t="s">
        <v>45</v>
      </c>
      <c r="H2677" s="427">
        <v>1017.4</v>
      </c>
      <c r="I2677" s="427">
        <v>0</v>
      </c>
      <c r="J2677" s="425">
        <f>-((H2677*0.022)+0.3)</f>
        <v>-22.6828</v>
      </c>
      <c r="K2677" s="425">
        <f t="shared" si="492"/>
        <v>994.71719999999993</v>
      </c>
      <c r="L2677" s="187">
        <v>843</v>
      </c>
      <c r="M2677" s="131">
        <v>75</v>
      </c>
      <c r="N2677" s="91">
        <f t="shared" si="495"/>
        <v>783.12</v>
      </c>
      <c r="O2677" s="411">
        <f t="shared" si="491"/>
        <v>211.59719999999993</v>
      </c>
      <c r="P2677" s="132" t="s">
        <v>183</v>
      </c>
      <c r="Q2677" s="232"/>
      <c r="R2677" s="411"/>
      <c r="T2677" s="439" t="s">
        <v>3488</v>
      </c>
      <c r="U2677" s="444">
        <v>21385791</v>
      </c>
      <c r="V2677" s="133" t="s">
        <v>6167</v>
      </c>
      <c r="W2677" s="153" t="s">
        <v>4479</v>
      </c>
      <c r="AA2677" s="526">
        <v>10</v>
      </c>
    </row>
    <row r="2678" spans="1:27" x14ac:dyDescent="0.25">
      <c r="A2678" s="420"/>
      <c r="B2678" s="422"/>
      <c r="C2678" s="420"/>
      <c r="D2678" s="418"/>
      <c r="E2678" s="120">
        <v>280</v>
      </c>
      <c r="F2678" s="133" t="s">
        <v>1463</v>
      </c>
      <c r="G2678" s="436"/>
      <c r="H2678" s="428"/>
      <c r="I2678" s="428"/>
      <c r="J2678" s="426"/>
      <c r="K2678" s="426"/>
      <c r="L2678" s="187">
        <v>300</v>
      </c>
      <c r="N2678" s="91">
        <f t="shared" si="495"/>
        <v>84.000000000000014</v>
      </c>
      <c r="O2678" s="411">
        <f t="shared" si="491"/>
        <v>-84.000000000000014</v>
      </c>
      <c r="P2678" s="132" t="s">
        <v>183</v>
      </c>
      <c r="Q2678" s="232"/>
      <c r="R2678" s="411"/>
      <c r="T2678" s="441"/>
      <c r="U2678" s="445"/>
      <c r="AA2678" s="527"/>
    </row>
    <row r="2679" spans="1:27" x14ac:dyDescent="0.25">
      <c r="A2679" s="419">
        <v>3002044</v>
      </c>
      <c r="B2679" s="421">
        <v>42495</v>
      </c>
      <c r="C2679" s="419" t="s">
        <v>63</v>
      </c>
      <c r="D2679" s="429" t="s">
        <v>6168</v>
      </c>
      <c r="E2679" s="120">
        <v>1000</v>
      </c>
      <c r="F2679" s="133" t="s">
        <v>70</v>
      </c>
      <c r="G2679" s="434" t="s">
        <v>45</v>
      </c>
      <c r="H2679" s="427">
        <v>3140</v>
      </c>
      <c r="I2679" s="427">
        <v>0</v>
      </c>
      <c r="J2679" s="425">
        <f>-((H2679*0.022)+0.3)</f>
        <v>-69.38</v>
      </c>
      <c r="K2679" s="425">
        <f t="shared" si="492"/>
        <v>3070.62</v>
      </c>
      <c r="L2679" s="131">
        <v>1564</v>
      </c>
      <c r="M2679" s="468">
        <v>122.7</v>
      </c>
      <c r="N2679" s="91">
        <f t="shared" si="495"/>
        <v>1686.7</v>
      </c>
      <c r="O2679" s="411">
        <f t="shared" si="491"/>
        <v>1383.9199999999998</v>
      </c>
      <c r="P2679" s="132" t="s">
        <v>52</v>
      </c>
      <c r="Q2679" s="232"/>
      <c r="R2679" s="411"/>
      <c r="T2679" s="439" t="s">
        <v>875</v>
      </c>
      <c r="U2679" s="446" t="s">
        <v>6169</v>
      </c>
      <c r="W2679" s="153" t="s">
        <v>6170</v>
      </c>
      <c r="AA2679" s="526">
        <v>25</v>
      </c>
    </row>
    <row r="2680" spans="1:27" x14ac:dyDescent="0.25">
      <c r="A2680" s="420"/>
      <c r="B2680" s="422"/>
      <c r="C2680" s="420"/>
      <c r="D2680" s="431"/>
      <c r="E2680" s="120">
        <v>1000</v>
      </c>
      <c r="F2680" s="133" t="s">
        <v>6171</v>
      </c>
      <c r="G2680" s="436"/>
      <c r="H2680" s="428"/>
      <c r="I2680" s="428"/>
      <c r="J2680" s="426"/>
      <c r="K2680" s="426"/>
      <c r="M2680" s="469"/>
      <c r="N2680" s="91">
        <f t="shared" si="495"/>
        <v>0</v>
      </c>
      <c r="O2680" s="411">
        <f t="shared" si="491"/>
        <v>0</v>
      </c>
      <c r="P2680" s="132" t="s">
        <v>52</v>
      </c>
      <c r="Q2680" s="232"/>
      <c r="R2680" s="411"/>
      <c r="T2680" s="441"/>
      <c r="U2680" s="447"/>
      <c r="V2680" s="133" t="s">
        <v>6172</v>
      </c>
      <c r="AA2680" s="527"/>
    </row>
    <row r="2681" spans="1:27" ht="24" x14ac:dyDescent="0.25">
      <c r="A2681" s="405">
        <v>3002045</v>
      </c>
      <c r="B2681" s="406">
        <v>42495</v>
      </c>
      <c r="C2681" s="405" t="s">
        <v>141</v>
      </c>
      <c r="D2681" s="401" t="s">
        <v>6173</v>
      </c>
      <c r="E2681" s="120">
        <v>250</v>
      </c>
      <c r="F2681" s="133" t="s">
        <v>1137</v>
      </c>
      <c r="G2681" s="404" t="s">
        <v>45</v>
      </c>
      <c r="H2681" s="411">
        <v>128</v>
      </c>
      <c r="I2681" s="411">
        <v>0</v>
      </c>
      <c r="J2681" s="391">
        <f>-((H2681*0.0325)+0.3)</f>
        <v>-4.46</v>
      </c>
      <c r="K2681" s="396">
        <f t="shared" si="492"/>
        <v>123.54</v>
      </c>
      <c r="L2681" s="131">
        <v>220</v>
      </c>
      <c r="M2681" s="187">
        <v>17.7</v>
      </c>
      <c r="N2681" s="91">
        <f t="shared" si="495"/>
        <v>72.7</v>
      </c>
      <c r="O2681" s="411">
        <f t="shared" si="491"/>
        <v>50.84</v>
      </c>
      <c r="P2681" s="132" t="s">
        <v>52</v>
      </c>
      <c r="Q2681" s="232"/>
      <c r="R2681" s="411"/>
      <c r="T2681" s="134" t="s">
        <v>145</v>
      </c>
      <c r="U2681" s="267" t="s">
        <v>6174</v>
      </c>
      <c r="W2681" s="153" t="s">
        <v>6175</v>
      </c>
      <c r="AA2681" s="218"/>
    </row>
    <row r="2682" spans="1:27" ht="24" x14ac:dyDescent="0.25">
      <c r="A2682" s="405">
        <v>3002046</v>
      </c>
      <c r="B2682" s="406">
        <v>42495</v>
      </c>
      <c r="C2682" s="405" t="s">
        <v>56</v>
      </c>
      <c r="D2682" s="401" t="s">
        <v>3595</v>
      </c>
      <c r="E2682" s="120">
        <v>14000</v>
      </c>
      <c r="F2682" s="133" t="s">
        <v>2850</v>
      </c>
      <c r="G2682" s="404" t="s">
        <v>45</v>
      </c>
      <c r="H2682" s="411">
        <v>3500</v>
      </c>
      <c r="I2682" s="411">
        <v>0</v>
      </c>
      <c r="J2682" s="411">
        <v>0</v>
      </c>
      <c r="K2682" s="396">
        <f t="shared" si="492"/>
        <v>3500</v>
      </c>
      <c r="L2682" s="131">
        <v>250</v>
      </c>
      <c r="N2682" s="91">
        <f t="shared" si="495"/>
        <v>3500</v>
      </c>
      <c r="O2682" s="411">
        <f t="shared" si="491"/>
        <v>0</v>
      </c>
      <c r="P2682" s="132" t="s">
        <v>52</v>
      </c>
      <c r="Q2682" s="232"/>
      <c r="R2682" s="411"/>
      <c r="T2682" s="134" t="s">
        <v>473</v>
      </c>
      <c r="U2682" s="267" t="s">
        <v>6176</v>
      </c>
      <c r="W2682" s="153" t="s">
        <v>6177</v>
      </c>
      <c r="AA2682" s="218"/>
    </row>
    <row r="2683" spans="1:27" ht="24" x14ac:dyDescent="0.25">
      <c r="A2683" s="405">
        <v>3002047</v>
      </c>
      <c r="B2683" s="406">
        <v>42495</v>
      </c>
      <c r="C2683" s="405" t="s">
        <v>280</v>
      </c>
      <c r="D2683" s="401" t="s">
        <v>6178</v>
      </c>
      <c r="E2683" s="120">
        <v>300</v>
      </c>
      <c r="F2683" s="133" t="s">
        <v>6179</v>
      </c>
      <c r="G2683" s="404" t="s">
        <v>45</v>
      </c>
      <c r="H2683" s="411">
        <v>259.5</v>
      </c>
      <c r="I2683" s="411">
        <v>0</v>
      </c>
      <c r="J2683" s="391">
        <f>-((H2683*0.022)+0.3)</f>
        <v>-6.0089999999999995</v>
      </c>
      <c r="K2683" s="396">
        <f t="shared" si="492"/>
        <v>253.49100000000001</v>
      </c>
      <c r="L2683" s="187">
        <v>520</v>
      </c>
      <c r="M2683" s="187">
        <v>35.24</v>
      </c>
      <c r="N2683" s="91">
        <f t="shared" si="495"/>
        <v>191.24</v>
      </c>
      <c r="O2683" s="411">
        <f t="shared" si="491"/>
        <v>62.251000000000005</v>
      </c>
      <c r="P2683" s="132" t="s">
        <v>144</v>
      </c>
      <c r="Q2683" s="232"/>
      <c r="R2683" s="411"/>
      <c r="T2683" s="134" t="s">
        <v>145</v>
      </c>
      <c r="U2683" s="267" t="s">
        <v>6180</v>
      </c>
      <c r="W2683" s="153" t="s">
        <v>6181</v>
      </c>
      <c r="AA2683" s="218"/>
    </row>
    <row r="2684" spans="1:27" ht="36" x14ac:dyDescent="0.25">
      <c r="A2684" s="405">
        <v>3002048</v>
      </c>
      <c r="B2684" s="406">
        <v>42495</v>
      </c>
      <c r="C2684" s="405" t="s">
        <v>327</v>
      </c>
      <c r="D2684" s="401" t="s">
        <v>6182</v>
      </c>
      <c r="E2684" s="120">
        <v>3000</v>
      </c>
      <c r="F2684" s="133" t="s">
        <v>6183</v>
      </c>
      <c r="G2684" s="404" t="s">
        <v>45</v>
      </c>
      <c r="H2684" s="411">
        <v>1980</v>
      </c>
      <c r="I2684" s="411">
        <v>0</v>
      </c>
      <c r="J2684" s="391">
        <f>-((H2684*0.022)+0.3)</f>
        <v>-43.859999999999992</v>
      </c>
      <c r="K2684" s="396">
        <f t="shared" si="492"/>
        <v>1936.14</v>
      </c>
      <c r="L2684" s="187">
        <v>410</v>
      </c>
      <c r="M2684" s="187">
        <v>182.8</v>
      </c>
      <c r="N2684" s="91">
        <f t="shared" si="495"/>
        <v>1412.8</v>
      </c>
      <c r="O2684" s="411">
        <f t="shared" si="491"/>
        <v>523.34000000000015</v>
      </c>
      <c r="P2684" s="132" t="s">
        <v>235</v>
      </c>
      <c r="Q2684" s="232"/>
      <c r="R2684" s="411"/>
      <c r="T2684" s="134" t="s">
        <v>60</v>
      </c>
      <c r="U2684" s="267" t="s">
        <v>6184</v>
      </c>
      <c r="W2684" s="153" t="s">
        <v>6185</v>
      </c>
      <c r="AA2684" s="218">
        <v>10</v>
      </c>
    </row>
    <row r="2685" spans="1:27" ht="24" x14ac:dyDescent="0.25">
      <c r="A2685" s="405">
        <v>3002049</v>
      </c>
      <c r="B2685" s="406">
        <v>42495</v>
      </c>
      <c r="C2685" s="405" t="s">
        <v>63</v>
      </c>
      <c r="D2685" s="401" t="s">
        <v>6186</v>
      </c>
      <c r="E2685" s="120">
        <v>375</v>
      </c>
      <c r="F2685" s="133" t="s">
        <v>6187</v>
      </c>
      <c r="G2685" s="404" t="s">
        <v>45</v>
      </c>
      <c r="H2685" s="411">
        <v>365</v>
      </c>
      <c r="I2685" s="411">
        <v>0</v>
      </c>
      <c r="J2685" s="391">
        <f>-((H2685*0.022)+0.3)</f>
        <v>-8.33</v>
      </c>
      <c r="K2685" s="396">
        <f t="shared" si="492"/>
        <v>356.67</v>
      </c>
      <c r="L2685" s="187">
        <v>715</v>
      </c>
      <c r="M2685" s="187">
        <v>42.27</v>
      </c>
      <c r="N2685" s="91">
        <f t="shared" si="495"/>
        <v>310.39499999999998</v>
      </c>
      <c r="O2685" s="411">
        <f t="shared" si="491"/>
        <v>46.275000000000034</v>
      </c>
      <c r="P2685" s="132" t="s">
        <v>235</v>
      </c>
      <c r="Q2685" s="232"/>
      <c r="R2685" s="411"/>
      <c r="T2685" s="134" t="s">
        <v>145</v>
      </c>
      <c r="U2685" s="267" t="s">
        <v>6188</v>
      </c>
      <c r="W2685" s="153" t="s">
        <v>6189</v>
      </c>
      <c r="AA2685" s="218"/>
    </row>
    <row r="2686" spans="1:27" x14ac:dyDescent="0.25">
      <c r="A2686" s="419">
        <v>3002050</v>
      </c>
      <c r="B2686" s="421">
        <v>42495</v>
      </c>
      <c r="C2686" s="419" t="s">
        <v>141</v>
      </c>
      <c r="D2686" s="417" t="s">
        <v>2166</v>
      </c>
      <c r="E2686" s="120">
        <v>1000</v>
      </c>
      <c r="F2686" s="133" t="s">
        <v>4440</v>
      </c>
      <c r="G2686" s="434" t="s">
        <v>45</v>
      </c>
      <c r="H2686" s="427">
        <v>720</v>
      </c>
      <c r="I2686" s="427">
        <v>0</v>
      </c>
      <c r="J2686" s="425">
        <f>-((H2686*0.0325)+0.3)</f>
        <v>-23.700000000000003</v>
      </c>
      <c r="K2686" s="425">
        <f t="shared" si="492"/>
        <v>696.3</v>
      </c>
      <c r="L2686" s="131">
        <v>139</v>
      </c>
      <c r="M2686" s="131">
        <v>0</v>
      </c>
      <c r="N2686" s="91">
        <f t="shared" si="495"/>
        <v>139</v>
      </c>
      <c r="O2686" s="411">
        <f t="shared" si="491"/>
        <v>557.29999999999995</v>
      </c>
      <c r="P2686" s="132" t="s">
        <v>2168</v>
      </c>
      <c r="Q2686" s="232"/>
      <c r="R2686" s="411"/>
      <c r="T2686" s="439" t="s">
        <v>60</v>
      </c>
      <c r="U2686" s="446" t="s">
        <v>6190</v>
      </c>
      <c r="W2686" s="153" t="s">
        <v>2170</v>
      </c>
      <c r="AA2686" s="218"/>
    </row>
    <row r="2687" spans="1:27" x14ac:dyDescent="0.25">
      <c r="A2687" s="420"/>
      <c r="B2687" s="422"/>
      <c r="C2687" s="420"/>
      <c r="D2687" s="418"/>
      <c r="E2687" s="120">
        <v>1000</v>
      </c>
      <c r="F2687" s="133" t="s">
        <v>6191</v>
      </c>
      <c r="G2687" s="436"/>
      <c r="H2687" s="428"/>
      <c r="I2687" s="428"/>
      <c r="J2687" s="426"/>
      <c r="K2687" s="426"/>
      <c r="L2687" s="131">
        <v>139</v>
      </c>
      <c r="M2687" s="131">
        <v>25</v>
      </c>
      <c r="N2687" s="91">
        <f t="shared" si="495"/>
        <v>164</v>
      </c>
      <c r="O2687" s="411">
        <f t="shared" si="491"/>
        <v>-164</v>
      </c>
      <c r="P2687" s="132" t="s">
        <v>2168</v>
      </c>
      <c r="Q2687" s="232"/>
      <c r="R2687" s="411"/>
      <c r="T2687" s="441"/>
      <c r="U2687" s="447"/>
      <c r="V2687" s="133" t="s">
        <v>6192</v>
      </c>
      <c r="AA2687" s="218"/>
    </row>
    <row r="2688" spans="1:27" ht="24" x14ac:dyDescent="0.25">
      <c r="A2688" s="405">
        <v>3002051</v>
      </c>
      <c r="B2688" s="406">
        <v>42495</v>
      </c>
      <c r="C2688" s="405" t="s">
        <v>5682</v>
      </c>
      <c r="D2688" s="401" t="s">
        <v>6193</v>
      </c>
      <c r="E2688" s="120">
        <v>100</v>
      </c>
      <c r="F2688" s="133" t="s">
        <v>5420</v>
      </c>
      <c r="G2688" s="404" t="s">
        <v>45</v>
      </c>
      <c r="H2688" s="411">
        <v>112.96</v>
      </c>
      <c r="I2688" s="397">
        <f t="shared" ref="I2688:I2700" si="497">-(H2688*0.09)</f>
        <v>-10.166399999999999</v>
      </c>
      <c r="J2688" s="391">
        <f t="shared" ref="J2688:J2700" si="498">-((H2688*0.019)+0.3)</f>
        <v>-2.4462399999999995</v>
      </c>
      <c r="K2688" s="396">
        <f t="shared" si="492"/>
        <v>100.34735999999999</v>
      </c>
      <c r="M2688" s="187">
        <v>19.440000000000001</v>
      </c>
      <c r="N2688" s="91">
        <f t="shared" si="495"/>
        <v>19.440000000000001</v>
      </c>
      <c r="O2688" s="411">
        <f t="shared" si="491"/>
        <v>80.907359999999997</v>
      </c>
      <c r="P2688" s="132" t="s">
        <v>52</v>
      </c>
      <c r="Q2688" s="232"/>
      <c r="R2688" s="411"/>
      <c r="T2688" s="134" t="s">
        <v>145</v>
      </c>
      <c r="U2688" s="267" t="s">
        <v>6194</v>
      </c>
      <c r="AA2688" s="218"/>
    </row>
    <row r="2689" spans="1:27" ht="24" x14ac:dyDescent="0.25">
      <c r="A2689" s="405">
        <v>3002052</v>
      </c>
      <c r="B2689" s="406">
        <v>42495</v>
      </c>
      <c r="C2689" s="405" t="s">
        <v>5682</v>
      </c>
      <c r="D2689" s="401" t="s">
        <v>6195</v>
      </c>
      <c r="E2689" s="120">
        <v>500</v>
      </c>
      <c r="F2689" s="133" t="s">
        <v>3121</v>
      </c>
      <c r="G2689" s="404" t="s">
        <v>45</v>
      </c>
      <c r="H2689" s="411">
        <v>228</v>
      </c>
      <c r="I2689" s="397">
        <f t="shared" si="497"/>
        <v>-20.52</v>
      </c>
      <c r="J2689" s="391">
        <f t="shared" si="498"/>
        <v>-4.6319999999999997</v>
      </c>
      <c r="K2689" s="396">
        <f t="shared" si="492"/>
        <v>202.84799999999998</v>
      </c>
      <c r="L2689" s="187">
        <v>260</v>
      </c>
      <c r="M2689" s="187">
        <v>26.28</v>
      </c>
      <c r="N2689" s="91">
        <f t="shared" si="495"/>
        <v>156.28</v>
      </c>
      <c r="O2689" s="411">
        <f t="shared" si="491"/>
        <v>46.567999999999984</v>
      </c>
      <c r="P2689" s="132" t="s">
        <v>183</v>
      </c>
      <c r="Q2689" s="232"/>
      <c r="R2689" s="411"/>
      <c r="T2689" s="134" t="s">
        <v>145</v>
      </c>
      <c r="U2689" s="267" t="s">
        <v>6196</v>
      </c>
      <c r="AA2689" s="218"/>
    </row>
    <row r="2690" spans="1:27" x14ac:dyDescent="0.25">
      <c r="A2690" s="405">
        <v>3002053</v>
      </c>
      <c r="B2690" s="406">
        <v>42495</v>
      </c>
      <c r="C2690" s="405" t="s">
        <v>5682</v>
      </c>
      <c r="D2690" s="401" t="s">
        <v>6197</v>
      </c>
      <c r="E2690" s="120">
        <v>250</v>
      </c>
      <c r="F2690" s="133" t="s">
        <v>6198</v>
      </c>
      <c r="G2690" s="404" t="s">
        <v>45</v>
      </c>
      <c r="H2690" s="411">
        <v>0</v>
      </c>
      <c r="I2690" s="397">
        <f t="shared" si="497"/>
        <v>0</v>
      </c>
      <c r="J2690" s="391">
        <f t="shared" si="498"/>
        <v>-0.3</v>
      </c>
      <c r="K2690" s="396">
        <f t="shared" si="492"/>
        <v>-0.3</v>
      </c>
      <c r="L2690" s="131">
        <v>0</v>
      </c>
      <c r="M2690" s="131">
        <v>0</v>
      </c>
      <c r="N2690" s="91">
        <f t="shared" si="495"/>
        <v>0</v>
      </c>
      <c r="O2690" s="411">
        <f t="shared" si="491"/>
        <v>-0.3</v>
      </c>
      <c r="P2690" s="132" t="s">
        <v>6199</v>
      </c>
      <c r="Q2690" s="232"/>
      <c r="R2690" s="411"/>
      <c r="T2690" s="134"/>
      <c r="U2690" s="266"/>
      <c r="AA2690" s="218"/>
    </row>
    <row r="2691" spans="1:27" ht="24" x14ac:dyDescent="0.25">
      <c r="A2691" s="405">
        <v>3002054</v>
      </c>
      <c r="B2691" s="406">
        <v>42495</v>
      </c>
      <c r="C2691" s="405" t="s">
        <v>5682</v>
      </c>
      <c r="D2691" s="401" t="s">
        <v>6200</v>
      </c>
      <c r="E2691" s="120">
        <v>50</v>
      </c>
      <c r="F2691" s="133" t="s">
        <v>2949</v>
      </c>
      <c r="G2691" s="404" t="s">
        <v>45</v>
      </c>
      <c r="H2691" s="411">
        <v>130</v>
      </c>
      <c r="I2691" s="397">
        <f t="shared" si="497"/>
        <v>-11.7</v>
      </c>
      <c r="J2691" s="391">
        <f t="shared" si="498"/>
        <v>-2.7699999999999996</v>
      </c>
      <c r="K2691" s="396">
        <f t="shared" si="492"/>
        <v>115.53</v>
      </c>
      <c r="M2691" s="187">
        <v>34.15</v>
      </c>
      <c r="N2691" s="91">
        <f t="shared" si="495"/>
        <v>34.15</v>
      </c>
      <c r="O2691" s="411">
        <f t="shared" si="491"/>
        <v>81.38</v>
      </c>
      <c r="P2691" s="132" t="s">
        <v>52</v>
      </c>
      <c r="Q2691" s="232"/>
      <c r="R2691" s="411"/>
      <c r="T2691" s="134" t="s">
        <v>145</v>
      </c>
      <c r="U2691" s="267" t="s">
        <v>6201</v>
      </c>
      <c r="AA2691" s="218"/>
    </row>
    <row r="2692" spans="1:27" ht="24" x14ac:dyDescent="0.25">
      <c r="A2692" s="405">
        <v>3002055</v>
      </c>
      <c r="B2692" s="406">
        <v>42495</v>
      </c>
      <c r="C2692" s="405" t="s">
        <v>5682</v>
      </c>
      <c r="D2692" s="401" t="s">
        <v>6202</v>
      </c>
      <c r="E2692" s="120">
        <v>500</v>
      </c>
      <c r="F2692" s="133" t="s">
        <v>6203</v>
      </c>
      <c r="G2692" s="404" t="s">
        <v>45</v>
      </c>
      <c r="H2692" s="411">
        <v>137.75</v>
      </c>
      <c r="I2692" s="397">
        <f t="shared" si="497"/>
        <v>-12.397499999999999</v>
      </c>
      <c r="J2692" s="391">
        <f t="shared" si="498"/>
        <v>-2.9172499999999997</v>
      </c>
      <c r="K2692" s="396">
        <f t="shared" si="492"/>
        <v>122.43525000000001</v>
      </c>
      <c r="M2692" s="187">
        <v>57.4</v>
      </c>
      <c r="N2692" s="91">
        <f t="shared" si="495"/>
        <v>57.4</v>
      </c>
      <c r="O2692" s="411">
        <f t="shared" si="491"/>
        <v>65.035250000000019</v>
      </c>
      <c r="P2692" s="132" t="s">
        <v>52</v>
      </c>
      <c r="Q2692" s="232"/>
      <c r="R2692" s="411"/>
      <c r="T2692" s="134" t="s">
        <v>145</v>
      </c>
      <c r="U2692" s="267" t="s">
        <v>6204</v>
      </c>
      <c r="AA2692" s="218"/>
    </row>
    <row r="2693" spans="1:27" ht="24" x14ac:dyDescent="0.25">
      <c r="A2693" s="405">
        <v>3002056</v>
      </c>
      <c r="B2693" s="406">
        <v>42495</v>
      </c>
      <c r="C2693" s="405" t="s">
        <v>5682</v>
      </c>
      <c r="D2693" s="401" t="s">
        <v>6205</v>
      </c>
      <c r="E2693" s="120">
        <v>50</v>
      </c>
      <c r="F2693" s="133" t="s">
        <v>161</v>
      </c>
      <c r="G2693" s="404" t="s">
        <v>45</v>
      </c>
      <c r="H2693" s="411">
        <v>123.75</v>
      </c>
      <c r="I2693" s="397">
        <f t="shared" si="497"/>
        <v>-11.137499999999999</v>
      </c>
      <c r="J2693" s="391">
        <f t="shared" si="498"/>
        <v>-2.6512499999999997</v>
      </c>
      <c r="K2693" s="396">
        <f t="shared" si="492"/>
        <v>109.96124999999999</v>
      </c>
      <c r="L2693" s="131">
        <v>1322</v>
      </c>
      <c r="M2693" s="187">
        <v>35.549999999999997</v>
      </c>
      <c r="N2693" s="91">
        <f t="shared" si="495"/>
        <v>101.65</v>
      </c>
      <c r="O2693" s="411">
        <f t="shared" si="491"/>
        <v>8.3112499999999869</v>
      </c>
      <c r="P2693" s="132" t="s">
        <v>86</v>
      </c>
      <c r="Q2693" s="232"/>
      <c r="R2693" s="411"/>
      <c r="T2693" s="134" t="s">
        <v>145</v>
      </c>
      <c r="U2693" s="267" t="s">
        <v>6206</v>
      </c>
      <c r="AA2693" s="218"/>
    </row>
    <row r="2694" spans="1:27" ht="24" x14ac:dyDescent="0.25">
      <c r="A2694" s="405">
        <v>3002057</v>
      </c>
      <c r="B2694" s="406">
        <v>42495</v>
      </c>
      <c r="C2694" s="405" t="s">
        <v>5682</v>
      </c>
      <c r="D2694" s="401" t="s">
        <v>4614</v>
      </c>
      <c r="E2694" s="120">
        <v>100</v>
      </c>
      <c r="F2694" s="133" t="s">
        <v>829</v>
      </c>
      <c r="G2694" s="404" t="s">
        <v>45</v>
      </c>
      <c r="H2694" s="411">
        <v>114</v>
      </c>
      <c r="I2694" s="397">
        <f t="shared" si="497"/>
        <v>-10.26</v>
      </c>
      <c r="J2694" s="391">
        <f t="shared" si="498"/>
        <v>-2.4659999999999997</v>
      </c>
      <c r="K2694" s="396">
        <f t="shared" si="492"/>
        <v>101.274</v>
      </c>
      <c r="L2694" s="131">
        <v>510</v>
      </c>
      <c r="M2694" s="187">
        <v>36.270000000000003</v>
      </c>
      <c r="N2694" s="91">
        <f t="shared" si="495"/>
        <v>87.27000000000001</v>
      </c>
      <c r="O2694" s="411">
        <f t="shared" si="491"/>
        <v>14.003999999999991</v>
      </c>
      <c r="P2694" s="132" t="s">
        <v>86</v>
      </c>
      <c r="Q2694" s="232"/>
      <c r="R2694" s="411"/>
      <c r="T2694" s="134" t="s">
        <v>145</v>
      </c>
      <c r="U2694" s="267" t="s">
        <v>6207</v>
      </c>
      <c r="AA2694" s="218"/>
    </row>
    <row r="2695" spans="1:27" ht="24" x14ac:dyDescent="0.25">
      <c r="A2695" s="405">
        <v>3002058</v>
      </c>
      <c r="B2695" s="406">
        <v>42495</v>
      </c>
      <c r="C2695" s="405" t="s">
        <v>42</v>
      </c>
      <c r="D2695" s="401" t="s">
        <v>6208</v>
      </c>
      <c r="E2695" s="120">
        <v>100</v>
      </c>
      <c r="F2695" s="133" t="s">
        <v>227</v>
      </c>
      <c r="G2695" s="404" t="s">
        <v>45</v>
      </c>
      <c r="H2695" s="411">
        <v>120.14</v>
      </c>
      <c r="I2695" s="397">
        <f t="shared" si="497"/>
        <v>-10.8126</v>
      </c>
      <c r="J2695" s="391">
        <f t="shared" si="498"/>
        <v>-2.5826599999999997</v>
      </c>
      <c r="K2695" s="396">
        <f t="shared" si="492"/>
        <v>106.74473999999999</v>
      </c>
      <c r="L2695" s="131">
        <v>350</v>
      </c>
      <c r="M2695" s="187">
        <v>44.02</v>
      </c>
      <c r="N2695" s="91">
        <f t="shared" si="495"/>
        <v>79.02000000000001</v>
      </c>
      <c r="O2695" s="411">
        <f t="shared" si="491"/>
        <v>27.724739999999983</v>
      </c>
      <c r="P2695" s="132" t="s">
        <v>86</v>
      </c>
      <c r="Q2695" s="232"/>
      <c r="R2695" s="411"/>
      <c r="T2695" s="134" t="s">
        <v>145</v>
      </c>
      <c r="U2695" s="267" t="s">
        <v>6209</v>
      </c>
      <c r="AA2695" s="218"/>
    </row>
    <row r="2696" spans="1:27" ht="24" x14ac:dyDescent="0.25">
      <c r="A2696" s="405">
        <v>3002059</v>
      </c>
      <c r="B2696" s="406">
        <v>42495</v>
      </c>
      <c r="C2696" s="405" t="s">
        <v>5682</v>
      </c>
      <c r="D2696" s="401" t="s">
        <v>6210</v>
      </c>
      <c r="E2696" s="120">
        <v>125</v>
      </c>
      <c r="F2696" s="133" t="s">
        <v>877</v>
      </c>
      <c r="G2696" s="404" t="s">
        <v>45</v>
      </c>
      <c r="H2696" s="411">
        <v>125.08</v>
      </c>
      <c r="I2696" s="397">
        <f t="shared" si="497"/>
        <v>-11.257199999999999</v>
      </c>
      <c r="J2696" s="391">
        <f t="shared" si="498"/>
        <v>-2.6765199999999996</v>
      </c>
      <c r="K2696" s="396">
        <f t="shared" si="492"/>
        <v>111.14628</v>
      </c>
      <c r="L2696" s="131">
        <v>235</v>
      </c>
      <c r="M2696" s="187">
        <v>22.71</v>
      </c>
      <c r="N2696" s="91">
        <f t="shared" si="495"/>
        <v>52.085000000000001</v>
      </c>
      <c r="O2696" s="411">
        <f t="shared" si="491"/>
        <v>59.061280000000004</v>
      </c>
      <c r="P2696" s="132" t="s">
        <v>86</v>
      </c>
      <c r="Q2696" s="232"/>
      <c r="R2696" s="411"/>
      <c r="T2696" s="134" t="s">
        <v>145</v>
      </c>
      <c r="U2696" s="267" t="s">
        <v>6211</v>
      </c>
      <c r="AA2696" s="218"/>
    </row>
    <row r="2697" spans="1:27" ht="24" x14ac:dyDescent="0.25">
      <c r="A2697" s="405">
        <v>3002060</v>
      </c>
      <c r="B2697" s="406">
        <v>42495</v>
      </c>
      <c r="C2697" s="405" t="s">
        <v>5682</v>
      </c>
      <c r="D2697" s="401" t="s">
        <v>1202</v>
      </c>
      <c r="E2697" s="120">
        <v>50</v>
      </c>
      <c r="F2697" s="133" t="s">
        <v>161</v>
      </c>
      <c r="G2697" s="404" t="s">
        <v>45</v>
      </c>
      <c r="H2697" s="411">
        <v>123.75</v>
      </c>
      <c r="I2697" s="397">
        <f t="shared" si="497"/>
        <v>-11.137499999999999</v>
      </c>
      <c r="J2697" s="391">
        <f t="shared" si="498"/>
        <v>-2.6512499999999997</v>
      </c>
      <c r="K2697" s="396">
        <f t="shared" si="492"/>
        <v>109.96124999999999</v>
      </c>
      <c r="L2697" s="131">
        <v>1322</v>
      </c>
      <c r="M2697" s="187">
        <v>42.76</v>
      </c>
      <c r="N2697" s="91">
        <f t="shared" si="495"/>
        <v>108.86000000000001</v>
      </c>
      <c r="O2697" s="411">
        <f t="shared" si="491"/>
        <v>1.101249999999979</v>
      </c>
      <c r="P2697" s="132" t="s">
        <v>86</v>
      </c>
      <c r="Q2697" s="232"/>
      <c r="R2697" s="411"/>
      <c r="T2697" s="134" t="s">
        <v>145</v>
      </c>
      <c r="U2697" s="267" t="s">
        <v>6212</v>
      </c>
      <c r="AA2697" s="218"/>
    </row>
    <row r="2698" spans="1:27" ht="24" x14ac:dyDescent="0.25">
      <c r="A2698" s="419">
        <v>3002061</v>
      </c>
      <c r="B2698" s="421">
        <v>42495</v>
      </c>
      <c r="C2698" s="419" t="s">
        <v>5682</v>
      </c>
      <c r="D2698" s="417" t="s">
        <v>6213</v>
      </c>
      <c r="E2698" s="120">
        <v>250</v>
      </c>
      <c r="F2698" s="133" t="s">
        <v>6214</v>
      </c>
      <c r="G2698" s="434" t="s">
        <v>45</v>
      </c>
      <c r="H2698" s="427">
        <v>1301.8</v>
      </c>
      <c r="I2698" s="452">
        <f t="shared" si="497"/>
        <v>-117.16199999999999</v>
      </c>
      <c r="J2698" s="498">
        <f t="shared" si="498"/>
        <v>-25.034199999999998</v>
      </c>
      <c r="K2698" s="425">
        <f t="shared" si="492"/>
        <v>1159.6037999999999</v>
      </c>
      <c r="L2698" s="187">
        <v>1487</v>
      </c>
      <c r="M2698" s="187">
        <v>35.950000000000003</v>
      </c>
      <c r="N2698" s="91">
        <f t="shared" si="495"/>
        <v>407.7</v>
      </c>
      <c r="O2698" s="411">
        <f t="shared" si="491"/>
        <v>751.90379999999982</v>
      </c>
      <c r="P2698" s="132" t="s">
        <v>183</v>
      </c>
      <c r="Q2698" s="232"/>
      <c r="R2698" s="411"/>
      <c r="T2698" s="134" t="s">
        <v>145</v>
      </c>
      <c r="U2698" s="267" t="s">
        <v>6215</v>
      </c>
      <c r="AA2698" s="218"/>
    </row>
    <row r="2699" spans="1:27" x14ac:dyDescent="0.25">
      <c r="A2699" s="420"/>
      <c r="B2699" s="422"/>
      <c r="C2699" s="420"/>
      <c r="D2699" s="418"/>
      <c r="E2699" s="120">
        <v>250</v>
      </c>
      <c r="F2699" s="133" t="s">
        <v>6216</v>
      </c>
      <c r="G2699" s="436"/>
      <c r="H2699" s="428"/>
      <c r="I2699" s="453"/>
      <c r="J2699" s="499"/>
      <c r="K2699" s="426"/>
      <c r="L2699" s="187">
        <v>1600</v>
      </c>
      <c r="M2699" s="177">
        <v>0</v>
      </c>
      <c r="N2699" s="91">
        <f t="shared" si="495"/>
        <v>400</v>
      </c>
      <c r="O2699" s="411">
        <f t="shared" si="491"/>
        <v>-400</v>
      </c>
      <c r="P2699" s="132" t="s">
        <v>59</v>
      </c>
      <c r="Q2699" s="232"/>
      <c r="R2699" s="411"/>
      <c r="T2699" s="134" t="s">
        <v>639</v>
      </c>
      <c r="U2699" s="267" t="s">
        <v>6217</v>
      </c>
      <c r="V2699" s="133" t="s">
        <v>6218</v>
      </c>
      <c r="AA2699" s="218"/>
    </row>
    <row r="2700" spans="1:27" ht="24" x14ac:dyDescent="0.25">
      <c r="A2700" s="405">
        <v>3002062</v>
      </c>
      <c r="B2700" s="406">
        <v>42495</v>
      </c>
      <c r="C2700" s="405" t="s">
        <v>5682</v>
      </c>
      <c r="D2700" s="401" t="s">
        <v>6219</v>
      </c>
      <c r="E2700" s="120">
        <v>240</v>
      </c>
      <c r="F2700" s="133" t="s">
        <v>605</v>
      </c>
      <c r="G2700" s="404" t="s">
        <v>45</v>
      </c>
      <c r="H2700" s="411">
        <v>283.2</v>
      </c>
      <c r="I2700" s="397">
        <f t="shared" si="497"/>
        <v>-25.488</v>
      </c>
      <c r="J2700" s="391">
        <f t="shared" si="498"/>
        <v>-5.6807999999999996</v>
      </c>
      <c r="K2700" s="396">
        <f t="shared" si="492"/>
        <v>252.03119999999998</v>
      </c>
      <c r="L2700" s="131">
        <v>600</v>
      </c>
      <c r="M2700" s="187">
        <v>61.02</v>
      </c>
      <c r="N2700" s="91">
        <f t="shared" si="495"/>
        <v>205.02</v>
      </c>
      <c r="O2700" s="411">
        <f t="shared" ref="O2700:O2763" si="499">K2700-N2700</f>
        <v>47.011199999999974</v>
      </c>
      <c r="P2700" s="132" t="s">
        <v>86</v>
      </c>
      <c r="Q2700" s="232"/>
      <c r="R2700" s="411"/>
      <c r="T2700" s="134" t="s">
        <v>145</v>
      </c>
      <c r="U2700" s="267" t="s">
        <v>6220</v>
      </c>
      <c r="AA2700" s="218"/>
    </row>
    <row r="2701" spans="1:27" ht="24" x14ac:dyDescent="0.25">
      <c r="A2701" s="405">
        <v>3002063</v>
      </c>
      <c r="B2701" s="406">
        <v>42495</v>
      </c>
      <c r="C2701" s="405" t="s">
        <v>63</v>
      </c>
      <c r="D2701" s="401" t="s">
        <v>6221</v>
      </c>
      <c r="E2701" s="120">
        <v>960</v>
      </c>
      <c r="F2701" s="133" t="s">
        <v>6222</v>
      </c>
      <c r="G2701" s="404" t="s">
        <v>45</v>
      </c>
      <c r="H2701" s="411">
        <v>660</v>
      </c>
      <c r="I2701" s="411">
        <v>0</v>
      </c>
      <c r="J2701" s="391">
        <f>-((H2701*0.022)+0.3)</f>
        <v>-14.82</v>
      </c>
      <c r="K2701" s="396">
        <f t="shared" si="492"/>
        <v>645.17999999999995</v>
      </c>
      <c r="L2701" s="131">
        <v>390</v>
      </c>
      <c r="M2701" s="187">
        <v>56</v>
      </c>
      <c r="N2701" s="91">
        <f t="shared" si="495"/>
        <v>430.4</v>
      </c>
      <c r="O2701" s="411">
        <f t="shared" si="499"/>
        <v>214.77999999999997</v>
      </c>
      <c r="P2701" s="132" t="s">
        <v>52</v>
      </c>
      <c r="Q2701" s="232"/>
      <c r="R2701" s="411"/>
      <c r="T2701" s="134" t="s">
        <v>145</v>
      </c>
      <c r="U2701" s="266" t="s">
        <v>6223</v>
      </c>
      <c r="W2701" s="153" t="s">
        <v>6224</v>
      </c>
      <c r="AA2701" s="218"/>
    </row>
    <row r="2702" spans="1:27" ht="24" x14ac:dyDescent="0.25">
      <c r="A2702" s="405">
        <v>3002064</v>
      </c>
      <c r="B2702" s="406">
        <v>42496</v>
      </c>
      <c r="C2702" s="405" t="s">
        <v>141</v>
      </c>
      <c r="D2702" s="401" t="s">
        <v>3404</v>
      </c>
      <c r="E2702" s="120">
        <v>840</v>
      </c>
      <c r="F2702" s="119" t="s">
        <v>6225</v>
      </c>
      <c r="G2702" s="404" t="s">
        <v>45</v>
      </c>
      <c r="H2702" s="411">
        <v>6720</v>
      </c>
      <c r="I2702" s="411">
        <v>0</v>
      </c>
      <c r="J2702" s="391">
        <f>-((H2702*0.0325)+0.3)</f>
        <v>-218.70000000000002</v>
      </c>
      <c r="K2702" s="396">
        <f t="shared" si="492"/>
        <v>6501.3</v>
      </c>
      <c r="L2702" s="187">
        <v>5250</v>
      </c>
      <c r="M2702" s="187">
        <v>337.14</v>
      </c>
      <c r="N2702" s="91">
        <f t="shared" si="495"/>
        <v>4747.1400000000003</v>
      </c>
      <c r="O2702" s="411">
        <f t="shared" si="499"/>
        <v>1754.1599999999999</v>
      </c>
      <c r="P2702" s="132" t="s">
        <v>2895</v>
      </c>
      <c r="Q2702" s="232"/>
      <c r="R2702" s="411"/>
      <c r="T2702" s="134" t="s">
        <v>1209</v>
      </c>
      <c r="U2702" s="267" t="s">
        <v>6226</v>
      </c>
      <c r="V2702" s="133" t="s">
        <v>55</v>
      </c>
      <c r="W2702" s="153" t="s">
        <v>3407</v>
      </c>
      <c r="AA2702" s="218">
        <v>50</v>
      </c>
    </row>
    <row r="2703" spans="1:27" ht="24" x14ac:dyDescent="0.25">
      <c r="A2703" s="405">
        <v>3002065</v>
      </c>
      <c r="B2703" s="406">
        <v>42496</v>
      </c>
      <c r="C2703" s="405" t="s">
        <v>63</v>
      </c>
      <c r="D2703" s="401" t="s">
        <v>6227</v>
      </c>
      <c r="E2703" s="120">
        <v>250</v>
      </c>
      <c r="F2703" s="133" t="s">
        <v>6228</v>
      </c>
      <c r="G2703" s="404" t="s">
        <v>45</v>
      </c>
      <c r="H2703" s="411">
        <v>144</v>
      </c>
      <c r="I2703" s="411">
        <v>0</v>
      </c>
      <c r="J2703" s="391">
        <f>-((H2703*0.022)+0.3)</f>
        <v>-3.4679999999999995</v>
      </c>
      <c r="K2703" s="396">
        <f t="shared" si="492"/>
        <v>140.53200000000001</v>
      </c>
      <c r="L2703" s="187">
        <v>277.32</v>
      </c>
      <c r="N2703" s="91">
        <f t="shared" si="495"/>
        <v>69.33</v>
      </c>
      <c r="O2703" s="411">
        <f t="shared" si="499"/>
        <v>71.202000000000012</v>
      </c>
      <c r="P2703" s="132" t="s">
        <v>330</v>
      </c>
      <c r="Q2703" s="232"/>
      <c r="R2703" s="411"/>
      <c r="T2703" s="134" t="s">
        <v>145</v>
      </c>
      <c r="U2703" s="267" t="s">
        <v>6229</v>
      </c>
      <c r="W2703" s="153" t="s">
        <v>6230</v>
      </c>
      <c r="AA2703" s="218"/>
    </row>
    <row r="2704" spans="1:27" x14ac:dyDescent="0.25">
      <c r="A2704" s="419">
        <v>3002066</v>
      </c>
      <c r="B2704" s="421">
        <v>42496</v>
      </c>
      <c r="C2704" s="419" t="s">
        <v>56</v>
      </c>
      <c r="D2704" s="417" t="s">
        <v>1303</v>
      </c>
      <c r="E2704" s="120">
        <v>6000</v>
      </c>
      <c r="F2704" s="133" t="s">
        <v>4590</v>
      </c>
      <c r="G2704" s="434" t="s">
        <v>45</v>
      </c>
      <c r="H2704" s="427">
        <v>11131</v>
      </c>
      <c r="I2704" s="427">
        <v>0</v>
      </c>
      <c r="J2704" s="427">
        <v>0</v>
      </c>
      <c r="K2704" s="425">
        <f t="shared" si="492"/>
        <v>11131</v>
      </c>
      <c r="L2704" s="187">
        <v>504.12</v>
      </c>
      <c r="M2704" s="187">
        <v>214.08</v>
      </c>
      <c r="N2704" s="91">
        <f t="shared" si="495"/>
        <v>3238.8</v>
      </c>
      <c r="O2704" s="411">
        <f t="shared" si="499"/>
        <v>7892.2</v>
      </c>
      <c r="P2704" s="132" t="s">
        <v>1793</v>
      </c>
      <c r="Q2704" s="232"/>
      <c r="R2704" s="411"/>
      <c r="T2704" s="134" t="s">
        <v>1411</v>
      </c>
      <c r="U2704" s="267" t="s">
        <v>6231</v>
      </c>
      <c r="V2704" s="133" t="s">
        <v>5179</v>
      </c>
      <c r="W2704" s="153" t="s">
        <v>1796</v>
      </c>
      <c r="AA2704" s="218"/>
    </row>
    <row r="2705" spans="1:27" x14ac:dyDescent="0.25">
      <c r="A2705" s="432"/>
      <c r="B2705" s="433"/>
      <c r="C2705" s="432"/>
      <c r="D2705" s="454"/>
      <c r="E2705" s="120">
        <v>1000</v>
      </c>
      <c r="F2705" s="133" t="s">
        <v>2631</v>
      </c>
      <c r="G2705" s="435"/>
      <c r="H2705" s="438"/>
      <c r="I2705" s="438"/>
      <c r="J2705" s="438"/>
      <c r="K2705" s="437"/>
      <c r="L2705" s="187">
        <v>455.31</v>
      </c>
      <c r="N2705" s="91">
        <f t="shared" si="495"/>
        <v>455.31</v>
      </c>
      <c r="O2705" s="411">
        <f t="shared" si="499"/>
        <v>-455.31</v>
      </c>
      <c r="P2705" s="132" t="s">
        <v>46</v>
      </c>
      <c r="Q2705" s="232"/>
      <c r="R2705" s="411"/>
      <c r="T2705" s="439" t="s">
        <v>47</v>
      </c>
      <c r="U2705" s="446" t="s">
        <v>6232</v>
      </c>
      <c r="V2705" s="133" t="s">
        <v>6233</v>
      </c>
      <c r="AA2705" s="218"/>
    </row>
    <row r="2706" spans="1:27" x14ac:dyDescent="0.25">
      <c r="A2706" s="432"/>
      <c r="B2706" s="433"/>
      <c r="C2706" s="432"/>
      <c r="D2706" s="454"/>
      <c r="E2706" s="120">
        <v>1500</v>
      </c>
      <c r="F2706" s="133" t="s">
        <v>6234</v>
      </c>
      <c r="G2706" s="435"/>
      <c r="H2706" s="438"/>
      <c r="I2706" s="438"/>
      <c r="J2706" s="438"/>
      <c r="K2706" s="437"/>
      <c r="L2706" s="187">
        <v>1491.18</v>
      </c>
      <c r="N2706" s="91">
        <f t="shared" si="495"/>
        <v>2236.77</v>
      </c>
      <c r="O2706" s="411">
        <f t="shared" si="499"/>
        <v>-2236.77</v>
      </c>
      <c r="P2706" s="132" t="s">
        <v>46</v>
      </c>
      <c r="Q2706" s="232"/>
      <c r="R2706" s="411"/>
      <c r="T2706" s="441"/>
      <c r="U2706" s="447"/>
      <c r="V2706" s="133" t="s">
        <v>6235</v>
      </c>
      <c r="AA2706" s="218"/>
    </row>
    <row r="2707" spans="1:27" x14ac:dyDescent="0.25">
      <c r="A2707" s="432"/>
      <c r="B2707" s="433"/>
      <c r="C2707" s="432"/>
      <c r="D2707" s="454"/>
      <c r="E2707" s="120">
        <v>1000</v>
      </c>
      <c r="F2707" s="133" t="s">
        <v>2635</v>
      </c>
      <c r="G2707" s="435"/>
      <c r="H2707" s="438"/>
      <c r="I2707" s="438"/>
      <c r="J2707" s="438"/>
      <c r="K2707" s="437"/>
      <c r="L2707" s="187">
        <v>660</v>
      </c>
      <c r="M2707" s="187">
        <v>66</v>
      </c>
      <c r="N2707" s="91">
        <f t="shared" si="495"/>
        <v>726</v>
      </c>
      <c r="O2707" s="411">
        <f t="shared" si="499"/>
        <v>-726</v>
      </c>
      <c r="P2707" s="132" t="s">
        <v>183</v>
      </c>
      <c r="Q2707" s="232"/>
      <c r="R2707" s="411"/>
      <c r="T2707" s="134" t="s">
        <v>2636</v>
      </c>
      <c r="U2707" s="267" t="s">
        <v>6236</v>
      </c>
      <c r="V2707" s="133" t="s">
        <v>6237</v>
      </c>
      <c r="AA2707" s="218"/>
    </row>
    <row r="2708" spans="1:27" x14ac:dyDescent="0.25">
      <c r="A2708" s="432"/>
      <c r="B2708" s="433"/>
      <c r="C2708" s="432"/>
      <c r="D2708" s="454"/>
      <c r="E2708" s="120">
        <v>500</v>
      </c>
      <c r="F2708" s="133" t="s">
        <v>6238</v>
      </c>
      <c r="G2708" s="435"/>
      <c r="H2708" s="438"/>
      <c r="I2708" s="438"/>
      <c r="J2708" s="438"/>
      <c r="K2708" s="437"/>
      <c r="L2708" s="187">
        <v>120</v>
      </c>
      <c r="M2708" s="468">
        <v>24.76</v>
      </c>
      <c r="N2708" s="91">
        <f t="shared" si="495"/>
        <v>84.76</v>
      </c>
      <c r="O2708" s="411">
        <f t="shared" si="499"/>
        <v>-84.76</v>
      </c>
      <c r="P2708" s="132" t="s">
        <v>235</v>
      </c>
      <c r="Q2708" s="232"/>
      <c r="R2708" s="411"/>
      <c r="T2708" s="439" t="s">
        <v>145</v>
      </c>
      <c r="U2708" s="446" t="s">
        <v>6239</v>
      </c>
      <c r="V2708" s="133" t="s">
        <v>6240</v>
      </c>
      <c r="AA2708" s="218"/>
    </row>
    <row r="2709" spans="1:27" x14ac:dyDescent="0.25">
      <c r="A2709" s="432"/>
      <c r="B2709" s="433"/>
      <c r="C2709" s="432"/>
      <c r="D2709" s="454"/>
      <c r="E2709" s="120">
        <v>500</v>
      </c>
      <c r="F2709" s="133" t="s">
        <v>6241</v>
      </c>
      <c r="G2709" s="435"/>
      <c r="H2709" s="438"/>
      <c r="I2709" s="438"/>
      <c r="J2709" s="438"/>
      <c r="K2709" s="437"/>
      <c r="L2709" s="187">
        <v>80</v>
      </c>
      <c r="M2709" s="491"/>
      <c r="N2709" s="91">
        <f t="shared" si="495"/>
        <v>40</v>
      </c>
      <c r="O2709" s="411">
        <f t="shared" si="499"/>
        <v>-40</v>
      </c>
      <c r="P2709" s="132" t="s">
        <v>235</v>
      </c>
      <c r="Q2709" s="232"/>
      <c r="R2709" s="411"/>
      <c r="T2709" s="440"/>
      <c r="U2709" s="448"/>
      <c r="V2709" s="133" t="s">
        <v>6242</v>
      </c>
      <c r="AA2709" s="218"/>
    </row>
    <row r="2710" spans="1:27" x14ac:dyDescent="0.25">
      <c r="A2710" s="420"/>
      <c r="B2710" s="422"/>
      <c r="C2710" s="420"/>
      <c r="D2710" s="418"/>
      <c r="E2710" s="120">
        <v>500</v>
      </c>
      <c r="F2710" s="133" t="s">
        <v>5634</v>
      </c>
      <c r="G2710" s="436"/>
      <c r="H2710" s="428"/>
      <c r="I2710" s="428"/>
      <c r="J2710" s="428"/>
      <c r="K2710" s="426"/>
      <c r="L2710" s="187">
        <v>55</v>
      </c>
      <c r="M2710" s="469"/>
      <c r="N2710" s="91">
        <f t="shared" si="495"/>
        <v>27.5</v>
      </c>
      <c r="O2710" s="411">
        <f t="shared" si="499"/>
        <v>-27.5</v>
      </c>
      <c r="P2710" s="132" t="s">
        <v>235</v>
      </c>
      <c r="Q2710" s="232"/>
      <c r="R2710" s="411"/>
      <c r="T2710" s="441"/>
      <c r="U2710" s="447"/>
      <c r="V2710" s="133" t="s">
        <v>6242</v>
      </c>
      <c r="AA2710" s="218"/>
    </row>
    <row r="2711" spans="1:27" ht="24" x14ac:dyDescent="0.25">
      <c r="A2711" s="405">
        <v>3002067</v>
      </c>
      <c r="B2711" s="406">
        <v>42496</v>
      </c>
      <c r="C2711" s="405" t="s">
        <v>327</v>
      </c>
      <c r="D2711" s="401" t="s">
        <v>849</v>
      </c>
      <c r="E2711" s="120">
        <v>250</v>
      </c>
      <c r="F2711" s="133" t="s">
        <v>4808</v>
      </c>
      <c r="G2711" s="404" t="s">
        <v>45</v>
      </c>
      <c r="H2711" s="411">
        <v>460</v>
      </c>
      <c r="I2711" s="411">
        <v>0</v>
      </c>
      <c r="J2711" s="391">
        <f>-((H2711*0.022)+0.3)</f>
        <v>-10.42</v>
      </c>
      <c r="K2711" s="396">
        <f t="shared" ref="K2711:K2733" si="500">SUM(H2711:J2711)</f>
        <v>449.58</v>
      </c>
      <c r="L2711" s="187">
        <v>846.95</v>
      </c>
      <c r="M2711" s="187">
        <v>87</v>
      </c>
      <c r="N2711" s="91">
        <f t="shared" si="495"/>
        <v>298.73750000000001</v>
      </c>
      <c r="O2711" s="411">
        <f t="shared" si="499"/>
        <v>150.84249999999997</v>
      </c>
      <c r="P2711" s="132" t="s">
        <v>46</v>
      </c>
      <c r="Q2711" s="232"/>
      <c r="R2711" s="411"/>
      <c r="T2711" s="134" t="s">
        <v>6243</v>
      </c>
      <c r="U2711" s="267" t="s">
        <v>6244</v>
      </c>
      <c r="W2711" s="153" t="s">
        <v>853</v>
      </c>
      <c r="AA2711" s="218"/>
    </row>
    <row r="2712" spans="1:27" x14ac:dyDescent="0.25">
      <c r="A2712" s="419">
        <v>3002068</v>
      </c>
      <c r="B2712" s="421">
        <v>42496</v>
      </c>
      <c r="C2712" s="419" t="s">
        <v>327</v>
      </c>
      <c r="D2712" s="417" t="s">
        <v>687</v>
      </c>
      <c r="E2712" s="120">
        <v>1600</v>
      </c>
      <c r="F2712" s="133" t="s">
        <v>6245</v>
      </c>
      <c r="G2712" s="434" t="s">
        <v>45</v>
      </c>
      <c r="H2712" s="427">
        <v>4595</v>
      </c>
      <c r="I2712" s="427">
        <v>0</v>
      </c>
      <c r="J2712" s="425">
        <f>-((H2712*0.022)+0.3)</f>
        <v>-101.38999999999999</v>
      </c>
      <c r="K2712" s="425">
        <f t="shared" si="500"/>
        <v>4493.6099999999997</v>
      </c>
      <c r="L2712" s="187">
        <v>2050</v>
      </c>
      <c r="M2712" s="177"/>
      <c r="N2712" s="91">
        <f t="shared" si="495"/>
        <v>3280</v>
      </c>
      <c r="O2712" s="411">
        <f t="shared" si="499"/>
        <v>1213.6099999999997</v>
      </c>
      <c r="P2712" s="132" t="s">
        <v>3597</v>
      </c>
      <c r="Q2712" s="232"/>
      <c r="R2712" s="411"/>
      <c r="T2712" s="134" t="s">
        <v>47</v>
      </c>
      <c r="U2712" s="267" t="s">
        <v>6246</v>
      </c>
      <c r="W2712" s="153" t="s">
        <v>6247</v>
      </c>
      <c r="AA2712" s="473">
        <v>50</v>
      </c>
    </row>
    <row r="2713" spans="1:27" ht="24" x14ac:dyDescent="0.25">
      <c r="A2713" s="420"/>
      <c r="B2713" s="422"/>
      <c r="C2713" s="420"/>
      <c r="D2713" s="418"/>
      <c r="E2713" s="120">
        <v>250</v>
      </c>
      <c r="F2713" s="133" t="s">
        <v>605</v>
      </c>
      <c r="G2713" s="436"/>
      <c r="H2713" s="428"/>
      <c r="I2713" s="428"/>
      <c r="J2713" s="426"/>
      <c r="K2713" s="426"/>
      <c r="L2713" s="131">
        <v>600</v>
      </c>
      <c r="M2713" s="187">
        <v>57.27</v>
      </c>
      <c r="N2713" s="91">
        <f t="shared" si="495"/>
        <v>207.27</v>
      </c>
      <c r="O2713" s="411">
        <f t="shared" si="499"/>
        <v>-207.27</v>
      </c>
      <c r="P2713" s="132" t="s">
        <v>86</v>
      </c>
      <c r="Q2713" s="232"/>
      <c r="R2713" s="411"/>
      <c r="T2713" s="134" t="s">
        <v>145</v>
      </c>
      <c r="U2713" s="267" t="s">
        <v>6248</v>
      </c>
      <c r="AA2713" s="474"/>
    </row>
    <row r="2714" spans="1:27" ht="24" x14ac:dyDescent="0.25">
      <c r="A2714" s="405">
        <v>3002069</v>
      </c>
      <c r="B2714" s="406">
        <v>42496</v>
      </c>
      <c r="C2714" s="405" t="s">
        <v>5682</v>
      </c>
      <c r="D2714" s="401" t="s">
        <v>5929</v>
      </c>
      <c r="E2714" s="120">
        <v>70</v>
      </c>
      <c r="F2714" s="133" t="s">
        <v>860</v>
      </c>
      <c r="G2714" s="404" t="s">
        <v>45</v>
      </c>
      <c r="H2714" s="411">
        <v>521.74</v>
      </c>
      <c r="I2714" s="397">
        <f t="shared" ref="I2714:I2724" si="501">-(H2714*0.09)</f>
        <v>-46.956600000000002</v>
      </c>
      <c r="J2714" s="391">
        <f t="shared" ref="J2714:J2724" si="502">-((H2714*0.019)+0.3)</f>
        <v>-10.21306</v>
      </c>
      <c r="K2714" s="396">
        <f t="shared" si="500"/>
        <v>464.57034000000004</v>
      </c>
      <c r="L2714" s="131">
        <v>3300</v>
      </c>
      <c r="M2714" s="187">
        <v>47.42</v>
      </c>
      <c r="N2714" s="91">
        <f t="shared" si="495"/>
        <v>278.42</v>
      </c>
      <c r="O2714" s="411">
        <f t="shared" si="499"/>
        <v>186.15034000000003</v>
      </c>
      <c r="P2714" s="132" t="s">
        <v>52</v>
      </c>
      <c r="Q2714" s="232"/>
      <c r="R2714" s="411">
        <v>38.65</v>
      </c>
      <c r="S2714" s="133" t="s">
        <v>5930</v>
      </c>
      <c r="T2714" s="134" t="s">
        <v>145</v>
      </c>
      <c r="U2714" s="267" t="s">
        <v>6249</v>
      </c>
      <c r="AA2714" s="218"/>
    </row>
    <row r="2715" spans="1:27" ht="36" x14ac:dyDescent="0.25">
      <c r="A2715" s="405">
        <v>3002070</v>
      </c>
      <c r="B2715" s="406">
        <v>42496</v>
      </c>
      <c r="C2715" s="405" t="s">
        <v>5682</v>
      </c>
      <c r="D2715" s="401" t="s">
        <v>6250</v>
      </c>
      <c r="E2715" s="120">
        <v>500</v>
      </c>
      <c r="F2715" s="119" t="s">
        <v>6251</v>
      </c>
      <c r="G2715" s="404" t="s">
        <v>45</v>
      </c>
      <c r="H2715" s="411">
        <v>851.99</v>
      </c>
      <c r="I2715" s="397">
        <f t="shared" si="501"/>
        <v>-76.679099999999991</v>
      </c>
      <c r="J2715" s="391">
        <f t="shared" si="502"/>
        <v>-16.48781</v>
      </c>
      <c r="K2715" s="396">
        <f t="shared" si="500"/>
        <v>758.82309000000009</v>
      </c>
      <c r="L2715" s="187">
        <v>1079</v>
      </c>
      <c r="M2715" s="131">
        <v>0</v>
      </c>
      <c r="N2715" s="91">
        <f t="shared" si="495"/>
        <v>539.5</v>
      </c>
      <c r="O2715" s="411">
        <f t="shared" si="499"/>
        <v>219.32309000000009</v>
      </c>
      <c r="P2715" s="132" t="s">
        <v>59</v>
      </c>
      <c r="Q2715" s="232"/>
      <c r="R2715" s="411"/>
      <c r="T2715" s="134" t="s">
        <v>639</v>
      </c>
      <c r="U2715" s="267" t="s">
        <v>6252</v>
      </c>
      <c r="AA2715" s="218"/>
    </row>
    <row r="2716" spans="1:27" x14ac:dyDescent="0.25">
      <c r="A2716" s="405">
        <v>3002071</v>
      </c>
      <c r="B2716" s="406">
        <v>42496</v>
      </c>
      <c r="C2716" s="405" t="s">
        <v>5682</v>
      </c>
      <c r="D2716" s="401" t="s">
        <v>6253</v>
      </c>
      <c r="E2716" s="120">
        <v>1000</v>
      </c>
      <c r="F2716" s="133" t="s">
        <v>1293</v>
      </c>
      <c r="G2716" s="404" t="s">
        <v>45</v>
      </c>
      <c r="H2716" s="411">
        <v>900</v>
      </c>
      <c r="I2716" s="397">
        <f t="shared" si="501"/>
        <v>-81</v>
      </c>
      <c r="J2716" s="391">
        <f t="shared" si="502"/>
        <v>-17.399999999999999</v>
      </c>
      <c r="K2716" s="396">
        <f t="shared" si="500"/>
        <v>801.6</v>
      </c>
      <c r="L2716" s="131">
        <v>513</v>
      </c>
      <c r="M2716" s="187">
        <v>110.21</v>
      </c>
      <c r="N2716" s="91">
        <f t="shared" si="495"/>
        <v>623.21</v>
      </c>
      <c r="O2716" s="411">
        <f t="shared" si="499"/>
        <v>178.39</v>
      </c>
      <c r="P2716" s="132" t="s">
        <v>52</v>
      </c>
      <c r="Q2716" s="232"/>
      <c r="R2716" s="411"/>
      <c r="T2716" s="134" t="s">
        <v>244</v>
      </c>
      <c r="U2716" s="267" t="s">
        <v>6254</v>
      </c>
      <c r="V2716" s="133" t="s">
        <v>55</v>
      </c>
      <c r="AA2716" s="218"/>
    </row>
    <row r="2717" spans="1:27" ht="24" x14ac:dyDescent="0.25">
      <c r="A2717" s="405">
        <v>3002072</v>
      </c>
      <c r="B2717" s="406">
        <v>42496</v>
      </c>
      <c r="C2717" s="405" t="s">
        <v>5682</v>
      </c>
      <c r="D2717" s="401" t="s">
        <v>4722</v>
      </c>
      <c r="E2717" s="120">
        <v>50</v>
      </c>
      <c r="F2717" s="133" t="s">
        <v>300</v>
      </c>
      <c r="G2717" s="404" t="s">
        <v>45</v>
      </c>
      <c r="H2717" s="411">
        <v>203.08</v>
      </c>
      <c r="I2717" s="397">
        <f t="shared" si="501"/>
        <v>-18.277200000000001</v>
      </c>
      <c r="J2717" s="391">
        <f t="shared" si="502"/>
        <v>-4.1585200000000002</v>
      </c>
      <c r="K2717" s="396">
        <f t="shared" si="500"/>
        <v>180.64428000000001</v>
      </c>
      <c r="L2717" s="131">
        <v>2150</v>
      </c>
      <c r="M2717" s="187">
        <v>15.79</v>
      </c>
      <c r="N2717" s="91">
        <f t="shared" si="495"/>
        <v>123.28999999999999</v>
      </c>
      <c r="O2717" s="411">
        <f t="shared" si="499"/>
        <v>57.354280000000017</v>
      </c>
      <c r="P2717" s="132" t="s">
        <v>52</v>
      </c>
      <c r="Q2717" s="232"/>
      <c r="R2717" s="411"/>
      <c r="T2717" s="134" t="s">
        <v>145</v>
      </c>
      <c r="U2717" s="267" t="s">
        <v>6255</v>
      </c>
      <c r="AA2717" s="218"/>
    </row>
    <row r="2718" spans="1:27" ht="24" x14ac:dyDescent="0.25">
      <c r="A2718" s="405">
        <v>3002073</v>
      </c>
      <c r="B2718" s="406">
        <v>42496</v>
      </c>
      <c r="C2718" s="405" t="s">
        <v>5682</v>
      </c>
      <c r="D2718" s="401" t="s">
        <v>6256</v>
      </c>
      <c r="E2718" s="120">
        <v>500</v>
      </c>
      <c r="F2718" s="133" t="s">
        <v>451</v>
      </c>
      <c r="G2718" s="404" t="s">
        <v>45</v>
      </c>
      <c r="H2718" s="411">
        <v>287.10000000000002</v>
      </c>
      <c r="I2718" s="397">
        <f t="shared" si="501"/>
        <v>-25.839000000000002</v>
      </c>
      <c r="J2718" s="391">
        <f t="shared" si="502"/>
        <v>-5.7549000000000001</v>
      </c>
      <c r="K2718" s="396">
        <f t="shared" si="500"/>
        <v>255.50610000000003</v>
      </c>
      <c r="L2718" s="131">
        <v>300</v>
      </c>
      <c r="M2718" s="187">
        <v>44.87</v>
      </c>
      <c r="N2718" s="91">
        <f t="shared" si="495"/>
        <v>194.87</v>
      </c>
      <c r="O2718" s="411">
        <f t="shared" si="499"/>
        <v>60.636100000000027</v>
      </c>
      <c r="P2718" s="132" t="s">
        <v>52</v>
      </c>
      <c r="Q2718" s="232"/>
      <c r="R2718" s="411"/>
      <c r="T2718" s="134" t="s">
        <v>145</v>
      </c>
      <c r="U2718" s="267" t="s">
        <v>6257</v>
      </c>
      <c r="AA2718" s="218"/>
    </row>
    <row r="2719" spans="1:27" ht="24" x14ac:dyDescent="0.25">
      <c r="A2719" s="405">
        <v>3002074</v>
      </c>
      <c r="B2719" s="406">
        <v>42496</v>
      </c>
      <c r="C2719" s="405" t="s">
        <v>5682</v>
      </c>
      <c r="D2719" s="401" t="s">
        <v>6258</v>
      </c>
      <c r="E2719" s="120">
        <v>200</v>
      </c>
      <c r="F2719" s="133" t="s">
        <v>227</v>
      </c>
      <c r="G2719" s="404" t="s">
        <v>45</v>
      </c>
      <c r="H2719" s="411">
        <v>180.26</v>
      </c>
      <c r="I2719" s="397">
        <f t="shared" si="501"/>
        <v>-16.223399999999998</v>
      </c>
      <c r="J2719" s="391">
        <f t="shared" si="502"/>
        <v>-3.7249399999999997</v>
      </c>
      <c r="K2719" s="396">
        <f t="shared" si="500"/>
        <v>160.31165999999999</v>
      </c>
      <c r="L2719" s="131">
        <v>350</v>
      </c>
      <c r="M2719" s="187">
        <v>44.94</v>
      </c>
      <c r="N2719" s="91">
        <f t="shared" si="495"/>
        <v>114.94</v>
      </c>
      <c r="O2719" s="411">
        <f t="shared" si="499"/>
        <v>45.371659999999991</v>
      </c>
      <c r="P2719" s="132" t="s">
        <v>86</v>
      </c>
      <c r="Q2719" s="232"/>
      <c r="R2719" s="411"/>
      <c r="T2719" s="134" t="s">
        <v>145</v>
      </c>
      <c r="U2719" s="267" t="s">
        <v>6259</v>
      </c>
      <c r="AA2719" s="218"/>
    </row>
    <row r="2720" spans="1:27" ht="24" x14ac:dyDescent="0.25">
      <c r="A2720" s="405">
        <v>3002075</v>
      </c>
      <c r="B2720" s="406">
        <v>42496</v>
      </c>
      <c r="C2720" s="405" t="s">
        <v>5682</v>
      </c>
      <c r="D2720" s="401" t="s">
        <v>6260</v>
      </c>
      <c r="E2720" s="120">
        <v>50</v>
      </c>
      <c r="F2720" s="133" t="s">
        <v>161</v>
      </c>
      <c r="G2720" s="404" t="s">
        <v>45</v>
      </c>
      <c r="H2720" s="411">
        <v>123.75</v>
      </c>
      <c r="I2720" s="397">
        <f t="shared" si="501"/>
        <v>-11.137499999999999</v>
      </c>
      <c r="J2720" s="391">
        <f t="shared" si="502"/>
        <v>-2.6512499999999997</v>
      </c>
      <c r="K2720" s="396">
        <f t="shared" si="500"/>
        <v>109.96124999999999</v>
      </c>
      <c r="L2720" s="131">
        <v>1322</v>
      </c>
      <c r="M2720" s="187">
        <v>26.12</v>
      </c>
      <c r="N2720" s="91">
        <f t="shared" si="495"/>
        <v>92.220000000000013</v>
      </c>
      <c r="O2720" s="411">
        <f t="shared" si="499"/>
        <v>17.74124999999998</v>
      </c>
      <c r="P2720" s="132" t="s">
        <v>86</v>
      </c>
      <c r="Q2720" s="232"/>
      <c r="R2720" s="411"/>
      <c r="T2720" s="134" t="s">
        <v>145</v>
      </c>
      <c r="U2720" s="267" t="s">
        <v>6261</v>
      </c>
      <c r="AA2720" s="218"/>
    </row>
    <row r="2721" spans="1:27" ht="24" x14ac:dyDescent="0.25">
      <c r="A2721" s="405">
        <v>3002076</v>
      </c>
      <c r="B2721" s="406">
        <v>42496</v>
      </c>
      <c r="C2721" s="405" t="s">
        <v>5682</v>
      </c>
      <c r="D2721" s="401" t="s">
        <v>6262</v>
      </c>
      <c r="E2721" s="120">
        <v>38</v>
      </c>
      <c r="F2721" s="133" t="s">
        <v>165</v>
      </c>
      <c r="G2721" s="404" t="s">
        <v>45</v>
      </c>
      <c r="H2721" s="411">
        <v>37.619999999999997</v>
      </c>
      <c r="I2721" s="397">
        <f t="shared" si="501"/>
        <v>-3.3857999999999997</v>
      </c>
      <c r="J2721" s="391">
        <f t="shared" si="502"/>
        <v>-1.01478</v>
      </c>
      <c r="K2721" s="396">
        <f t="shared" si="500"/>
        <v>33.21942</v>
      </c>
      <c r="L2721" s="131">
        <v>440</v>
      </c>
      <c r="M2721" s="187">
        <v>30.48</v>
      </c>
      <c r="N2721" s="91">
        <f t="shared" si="495"/>
        <v>47.2</v>
      </c>
      <c r="O2721" s="411">
        <f t="shared" si="499"/>
        <v>-13.980580000000003</v>
      </c>
      <c r="P2721" s="132" t="s">
        <v>52</v>
      </c>
      <c r="Q2721" s="232"/>
      <c r="R2721" s="411"/>
      <c r="T2721" s="134" t="s">
        <v>145</v>
      </c>
      <c r="U2721" s="267" t="s">
        <v>6263</v>
      </c>
      <c r="AA2721" s="218"/>
    </row>
    <row r="2722" spans="1:27" ht="24" x14ac:dyDescent="0.25">
      <c r="A2722" s="405">
        <v>3002077</v>
      </c>
      <c r="B2722" s="406">
        <v>42496</v>
      </c>
      <c r="C2722" s="405" t="s">
        <v>5682</v>
      </c>
      <c r="D2722" s="401" t="s">
        <v>6264</v>
      </c>
      <c r="E2722" s="120">
        <v>1000</v>
      </c>
      <c r="F2722" s="133" t="s">
        <v>6265</v>
      </c>
      <c r="G2722" s="404" t="s">
        <v>45</v>
      </c>
      <c r="H2722" s="411">
        <v>445.5</v>
      </c>
      <c r="I2722" s="397">
        <f t="shared" si="501"/>
        <v>-40.094999999999999</v>
      </c>
      <c r="J2722" s="391">
        <f t="shared" si="502"/>
        <v>-8.7645</v>
      </c>
      <c r="K2722" s="396">
        <f t="shared" si="500"/>
        <v>396.64049999999997</v>
      </c>
      <c r="L2722" s="187">
        <v>245</v>
      </c>
      <c r="M2722" s="187">
        <v>68.23</v>
      </c>
      <c r="N2722" s="91">
        <f t="shared" si="495"/>
        <v>313.23</v>
      </c>
      <c r="O2722" s="411">
        <f t="shared" si="499"/>
        <v>83.410499999999956</v>
      </c>
      <c r="P2722" s="132" t="s">
        <v>183</v>
      </c>
      <c r="Q2722" s="232"/>
      <c r="R2722" s="411">
        <v>33</v>
      </c>
      <c r="S2722" s="133" t="s">
        <v>6266</v>
      </c>
      <c r="T2722" s="134" t="s">
        <v>145</v>
      </c>
      <c r="U2722" s="267" t="s">
        <v>6267</v>
      </c>
      <c r="AA2722" s="218"/>
    </row>
    <row r="2723" spans="1:27" ht="24" x14ac:dyDescent="0.25">
      <c r="A2723" s="405">
        <v>3002088</v>
      </c>
      <c r="B2723" s="406">
        <v>42496</v>
      </c>
      <c r="C2723" s="405" t="s">
        <v>5682</v>
      </c>
      <c r="D2723" s="401" t="s">
        <v>6268</v>
      </c>
      <c r="E2723" s="120">
        <v>500</v>
      </c>
      <c r="F2723" s="133" t="s">
        <v>2361</v>
      </c>
      <c r="G2723" s="404" t="s">
        <v>45</v>
      </c>
      <c r="H2723" s="411">
        <v>610</v>
      </c>
      <c r="I2723" s="397">
        <f t="shared" si="501"/>
        <v>-54.9</v>
      </c>
      <c r="J2723" s="391">
        <f t="shared" si="502"/>
        <v>-11.89</v>
      </c>
      <c r="K2723" s="396">
        <f t="shared" si="500"/>
        <v>543.21</v>
      </c>
      <c r="L2723" s="187">
        <v>756.31</v>
      </c>
      <c r="M2723" s="187">
        <v>208.81</v>
      </c>
      <c r="N2723" s="91">
        <f t="shared" si="495"/>
        <v>586.96499999999992</v>
      </c>
      <c r="O2723" s="411">
        <f t="shared" si="499"/>
        <v>-43.754999999999882</v>
      </c>
      <c r="P2723" s="132" t="s">
        <v>76</v>
      </c>
      <c r="Q2723" s="232"/>
      <c r="R2723" s="411"/>
      <c r="T2723" s="134" t="s">
        <v>1209</v>
      </c>
      <c r="U2723" s="267" t="s">
        <v>6269</v>
      </c>
      <c r="V2723" s="133" t="s">
        <v>55</v>
      </c>
      <c r="AA2723" s="218"/>
    </row>
    <row r="2724" spans="1:27" ht="24" x14ac:dyDescent="0.25">
      <c r="A2724" s="405">
        <v>3002089</v>
      </c>
      <c r="B2724" s="406">
        <v>42496</v>
      </c>
      <c r="C2724" s="405" t="s">
        <v>5682</v>
      </c>
      <c r="D2724" s="401" t="s">
        <v>6270</v>
      </c>
      <c r="E2724" s="120">
        <v>400</v>
      </c>
      <c r="F2724" s="133" t="s">
        <v>582</v>
      </c>
      <c r="G2724" s="404" t="s">
        <v>45</v>
      </c>
      <c r="H2724" s="411">
        <v>315.22000000000003</v>
      </c>
      <c r="I2724" s="397">
        <f t="shared" si="501"/>
        <v>-28.369800000000001</v>
      </c>
      <c r="J2724" s="391">
        <f t="shared" si="502"/>
        <v>-6.28918</v>
      </c>
      <c r="K2724" s="396">
        <f t="shared" si="500"/>
        <v>280.56102000000004</v>
      </c>
      <c r="M2724" s="187">
        <v>70.69</v>
      </c>
      <c r="N2724" s="91">
        <f t="shared" si="495"/>
        <v>70.69</v>
      </c>
      <c r="O2724" s="411">
        <f t="shared" si="499"/>
        <v>209.87102000000004</v>
      </c>
      <c r="P2724" s="132" t="s">
        <v>52</v>
      </c>
      <c r="Q2724" s="232"/>
      <c r="R2724" s="411"/>
      <c r="T2724" s="134" t="s">
        <v>145</v>
      </c>
      <c r="U2724" s="267" t="s">
        <v>6271</v>
      </c>
      <c r="AA2724" s="218"/>
    </row>
    <row r="2725" spans="1:27" ht="24" x14ac:dyDescent="0.25">
      <c r="A2725" s="405">
        <v>3002090</v>
      </c>
      <c r="B2725" s="406">
        <v>42496</v>
      </c>
      <c r="C2725" s="405" t="s">
        <v>237</v>
      </c>
      <c r="D2725" s="401" t="s">
        <v>6272</v>
      </c>
      <c r="E2725" s="120">
        <v>500</v>
      </c>
      <c r="F2725" s="133" t="s">
        <v>80</v>
      </c>
      <c r="G2725" s="404" t="s">
        <v>45</v>
      </c>
      <c r="H2725" s="411">
        <v>149.5</v>
      </c>
      <c r="I2725" s="397">
        <f t="shared" ref="I2725" si="503">-(H2725*0.15)</f>
        <v>-22.425000000000001</v>
      </c>
      <c r="J2725" s="411">
        <v>0</v>
      </c>
      <c r="K2725" s="396">
        <f t="shared" si="500"/>
        <v>127.075</v>
      </c>
      <c r="L2725" s="187">
        <v>203</v>
      </c>
      <c r="M2725" s="187">
        <v>36.799999999999997</v>
      </c>
      <c r="N2725" s="91">
        <f t="shared" si="495"/>
        <v>138.30000000000001</v>
      </c>
      <c r="O2725" s="411">
        <f t="shared" si="499"/>
        <v>-11.225000000000009</v>
      </c>
      <c r="P2725" s="132" t="s">
        <v>330</v>
      </c>
      <c r="Q2725" s="232"/>
      <c r="R2725" s="411"/>
      <c r="T2725" s="134" t="s">
        <v>145</v>
      </c>
      <c r="U2725" s="267" t="s">
        <v>6273</v>
      </c>
      <c r="AA2725" s="218"/>
    </row>
    <row r="2726" spans="1:27" ht="48" x14ac:dyDescent="0.25">
      <c r="A2726" s="405">
        <v>3002091</v>
      </c>
      <c r="B2726" s="406">
        <v>42496</v>
      </c>
      <c r="C2726" s="405" t="s">
        <v>141</v>
      </c>
      <c r="D2726" s="401" t="s">
        <v>6274</v>
      </c>
      <c r="E2726" s="120">
        <v>1400</v>
      </c>
      <c r="F2726" s="133" t="s">
        <v>6275</v>
      </c>
      <c r="G2726" s="404" t="s">
        <v>45</v>
      </c>
      <c r="H2726" s="411">
        <v>201</v>
      </c>
      <c r="I2726" s="411">
        <v>0</v>
      </c>
      <c r="J2726" s="391">
        <f>-((H2726*0.0325)+0.3)</f>
        <v>-6.8325000000000005</v>
      </c>
      <c r="K2726" s="396">
        <f t="shared" si="500"/>
        <v>194.16749999999999</v>
      </c>
      <c r="M2726" s="187">
        <v>98.81</v>
      </c>
      <c r="N2726" s="91">
        <f t="shared" si="495"/>
        <v>98.81</v>
      </c>
      <c r="O2726" s="411">
        <f t="shared" si="499"/>
        <v>95.357499999999987</v>
      </c>
      <c r="P2726" s="132" t="s">
        <v>52</v>
      </c>
      <c r="Q2726" s="232"/>
      <c r="R2726" s="411"/>
      <c r="T2726" s="134" t="s">
        <v>145</v>
      </c>
      <c r="U2726" s="266" t="s">
        <v>6276</v>
      </c>
      <c r="W2726" s="153" t="s">
        <v>6277</v>
      </c>
      <c r="AA2726" s="218"/>
    </row>
    <row r="2727" spans="1:27" ht="24" x14ac:dyDescent="0.25">
      <c r="A2727" s="405">
        <v>3002092</v>
      </c>
      <c r="B2727" s="406">
        <v>42499</v>
      </c>
      <c r="C2727" s="405" t="s">
        <v>56</v>
      </c>
      <c r="D2727" s="401" t="s">
        <v>1932</v>
      </c>
      <c r="E2727" s="120">
        <v>10</v>
      </c>
      <c r="F2727" s="133" t="s">
        <v>6278</v>
      </c>
      <c r="G2727" s="404" t="s">
        <v>45</v>
      </c>
      <c r="H2727" s="411">
        <v>60</v>
      </c>
      <c r="I2727" s="411">
        <v>0</v>
      </c>
      <c r="J2727" s="411">
        <v>0</v>
      </c>
      <c r="K2727" s="396">
        <f t="shared" si="500"/>
        <v>60</v>
      </c>
      <c r="L2727" s="187">
        <v>5000</v>
      </c>
      <c r="M2727" s="187">
        <v>9.85</v>
      </c>
      <c r="N2727" s="91">
        <f t="shared" si="495"/>
        <v>59.85</v>
      </c>
      <c r="O2727" s="411">
        <f t="shared" si="499"/>
        <v>0.14999999999999858</v>
      </c>
      <c r="P2727" s="132" t="s">
        <v>235</v>
      </c>
      <c r="Q2727" s="232"/>
      <c r="R2727" s="411"/>
      <c r="T2727" s="134" t="s">
        <v>145</v>
      </c>
      <c r="U2727" s="267" t="s">
        <v>6279</v>
      </c>
      <c r="V2727" s="133" t="s">
        <v>6280</v>
      </c>
      <c r="W2727" s="153" t="s">
        <v>1935</v>
      </c>
      <c r="AA2727" s="218"/>
    </row>
    <row r="2728" spans="1:27" ht="24" x14ac:dyDescent="0.25">
      <c r="A2728" s="405">
        <v>3002093</v>
      </c>
      <c r="B2728" s="406">
        <v>42499</v>
      </c>
      <c r="C2728" s="405" t="s">
        <v>56</v>
      </c>
      <c r="D2728" s="401" t="s">
        <v>1932</v>
      </c>
      <c r="E2728" s="120">
        <v>102</v>
      </c>
      <c r="F2728" s="133" t="s">
        <v>6278</v>
      </c>
      <c r="G2728" s="404" t="s">
        <v>45</v>
      </c>
      <c r="H2728" s="411">
        <v>602</v>
      </c>
      <c r="I2728" s="411">
        <v>0</v>
      </c>
      <c r="J2728" s="411">
        <v>0</v>
      </c>
      <c r="K2728" s="396">
        <f t="shared" si="500"/>
        <v>602</v>
      </c>
      <c r="L2728" s="187">
        <v>3398.94</v>
      </c>
      <c r="M2728" s="187">
        <v>116.97</v>
      </c>
      <c r="N2728" s="91">
        <f t="shared" si="495"/>
        <v>463.66188</v>
      </c>
      <c r="O2728" s="411">
        <f t="shared" si="499"/>
        <v>138.33812</v>
      </c>
      <c r="P2728" s="132" t="s">
        <v>46</v>
      </c>
      <c r="Q2728" s="232"/>
      <c r="R2728" s="411"/>
      <c r="T2728" s="134" t="s">
        <v>204</v>
      </c>
      <c r="U2728" s="267" t="s">
        <v>6281</v>
      </c>
      <c r="V2728" s="133" t="s">
        <v>6280</v>
      </c>
      <c r="W2728" s="153" t="s">
        <v>1935</v>
      </c>
      <c r="AA2728" s="218"/>
    </row>
    <row r="2729" spans="1:27" ht="24" x14ac:dyDescent="0.25">
      <c r="A2729" s="405">
        <v>3002094</v>
      </c>
      <c r="B2729" s="406">
        <v>42499</v>
      </c>
      <c r="C2729" s="405" t="s">
        <v>63</v>
      </c>
      <c r="D2729" s="401" t="s">
        <v>1481</v>
      </c>
      <c r="E2729" s="120">
        <v>500</v>
      </c>
      <c r="F2729" s="133" t="s">
        <v>451</v>
      </c>
      <c r="G2729" s="404" t="s">
        <v>45</v>
      </c>
      <c r="H2729" s="411">
        <v>280</v>
      </c>
      <c r="I2729" s="411">
        <v>0</v>
      </c>
      <c r="J2729" s="391">
        <f>-((H2729*0.022)+0.3)</f>
        <v>-6.4599999999999991</v>
      </c>
      <c r="K2729" s="396">
        <f t="shared" si="500"/>
        <v>273.54000000000002</v>
      </c>
      <c r="L2729" s="131">
        <v>300</v>
      </c>
      <c r="M2729" s="187">
        <v>31.68</v>
      </c>
      <c r="N2729" s="91">
        <f t="shared" si="495"/>
        <v>181.68</v>
      </c>
      <c r="O2729" s="411">
        <f t="shared" si="499"/>
        <v>91.860000000000014</v>
      </c>
      <c r="P2729" s="132" t="s">
        <v>52</v>
      </c>
      <c r="Q2729" s="232"/>
      <c r="R2729" s="411"/>
      <c r="T2729" s="134" t="s">
        <v>145</v>
      </c>
      <c r="U2729" s="267" t="s">
        <v>6282</v>
      </c>
      <c r="W2729" s="153" t="s">
        <v>6283</v>
      </c>
      <c r="AA2729" s="218"/>
    </row>
    <row r="2730" spans="1:27" x14ac:dyDescent="0.25">
      <c r="A2730" s="419">
        <v>3002095</v>
      </c>
      <c r="B2730" s="421">
        <v>42499</v>
      </c>
      <c r="C2730" s="419" t="s">
        <v>141</v>
      </c>
      <c r="D2730" s="417" t="s">
        <v>426</v>
      </c>
      <c r="E2730" s="120">
        <v>1000</v>
      </c>
      <c r="F2730" s="133" t="s">
        <v>6284</v>
      </c>
      <c r="G2730" s="434" t="s">
        <v>45</v>
      </c>
      <c r="H2730" s="427">
        <v>560</v>
      </c>
      <c r="I2730" s="427">
        <v>0</v>
      </c>
      <c r="J2730" s="425">
        <f>-((H2730*0.0325)+0.3)</f>
        <v>-18.5</v>
      </c>
      <c r="K2730" s="425">
        <f t="shared" si="500"/>
        <v>541.5</v>
      </c>
      <c r="L2730" s="187">
        <v>200</v>
      </c>
      <c r="M2730" s="131">
        <v>0</v>
      </c>
      <c r="N2730" s="91">
        <f t="shared" si="495"/>
        <v>200</v>
      </c>
      <c r="O2730" s="411">
        <f t="shared" si="499"/>
        <v>341.5</v>
      </c>
      <c r="P2730" s="132" t="s">
        <v>59</v>
      </c>
      <c r="Q2730" s="232"/>
      <c r="R2730" s="411"/>
      <c r="T2730" s="439" t="s">
        <v>1346</v>
      </c>
      <c r="U2730" s="446" t="s">
        <v>6285</v>
      </c>
      <c r="W2730" s="153" t="s">
        <v>429</v>
      </c>
      <c r="AA2730" s="218"/>
    </row>
    <row r="2731" spans="1:27" x14ac:dyDescent="0.25">
      <c r="A2731" s="420"/>
      <c r="B2731" s="422"/>
      <c r="C2731" s="420"/>
      <c r="D2731" s="418"/>
      <c r="E2731" s="120">
        <v>1000</v>
      </c>
      <c r="F2731" s="133" t="s">
        <v>6286</v>
      </c>
      <c r="G2731" s="436"/>
      <c r="H2731" s="428"/>
      <c r="I2731" s="428"/>
      <c r="J2731" s="426"/>
      <c r="K2731" s="426"/>
      <c r="L2731" s="187">
        <v>200</v>
      </c>
      <c r="M2731" s="131">
        <v>0</v>
      </c>
      <c r="N2731" s="91">
        <f t="shared" si="495"/>
        <v>200</v>
      </c>
      <c r="O2731" s="411">
        <f t="shared" si="499"/>
        <v>-200</v>
      </c>
      <c r="P2731" s="132" t="s">
        <v>59</v>
      </c>
      <c r="Q2731" s="232"/>
      <c r="R2731" s="411"/>
      <c r="T2731" s="441"/>
      <c r="U2731" s="447"/>
      <c r="AA2731" s="218"/>
    </row>
    <row r="2732" spans="1:27" x14ac:dyDescent="0.25">
      <c r="A2732" s="405">
        <v>3002096</v>
      </c>
      <c r="B2732" s="406">
        <v>42499</v>
      </c>
      <c r="C2732" s="405" t="s">
        <v>63</v>
      </c>
      <c r="D2732" s="401" t="s">
        <v>6287</v>
      </c>
      <c r="E2732" s="120">
        <v>1000</v>
      </c>
      <c r="F2732" s="133" t="s">
        <v>178</v>
      </c>
      <c r="G2732" s="404" t="s">
        <v>45</v>
      </c>
      <c r="H2732" s="411">
        <v>1836</v>
      </c>
      <c r="I2732" s="411">
        <v>0</v>
      </c>
      <c r="J2732" s="391">
        <f>-((H2732*0.022)+0.3)</f>
        <v>-40.691999999999993</v>
      </c>
      <c r="K2732" s="396">
        <f t="shared" si="500"/>
        <v>1795.308</v>
      </c>
      <c r="L2732" s="131">
        <v>1170</v>
      </c>
      <c r="M2732" s="187">
        <v>191.28</v>
      </c>
      <c r="N2732" s="91">
        <f t="shared" si="495"/>
        <v>1361.28</v>
      </c>
      <c r="O2732" s="411">
        <f t="shared" si="499"/>
        <v>434.02800000000002</v>
      </c>
      <c r="P2732" s="132" t="s">
        <v>52</v>
      </c>
      <c r="Q2732" s="232"/>
      <c r="R2732" s="411">
        <v>136</v>
      </c>
      <c r="S2732" s="133" t="s">
        <v>4953</v>
      </c>
      <c r="T2732" s="134" t="s">
        <v>53</v>
      </c>
      <c r="U2732" s="267" t="s">
        <v>6288</v>
      </c>
      <c r="V2732" s="133" t="s">
        <v>55</v>
      </c>
      <c r="W2732" s="153" t="s">
        <v>6289</v>
      </c>
      <c r="AA2732" s="218">
        <v>10</v>
      </c>
    </row>
    <row r="2733" spans="1:27" x14ac:dyDescent="0.25">
      <c r="A2733" s="419">
        <v>3002097</v>
      </c>
      <c r="B2733" s="421">
        <v>42499</v>
      </c>
      <c r="C2733" s="419" t="s">
        <v>56</v>
      </c>
      <c r="D2733" s="417" t="s">
        <v>1192</v>
      </c>
      <c r="E2733" s="120">
        <v>3000</v>
      </c>
      <c r="F2733" s="133" t="s">
        <v>4893</v>
      </c>
      <c r="G2733" s="434" t="s">
        <v>45</v>
      </c>
      <c r="H2733" s="427">
        <v>5333</v>
      </c>
      <c r="I2733" s="427">
        <v>0</v>
      </c>
      <c r="J2733" s="427">
        <v>0</v>
      </c>
      <c r="K2733" s="425">
        <f t="shared" si="500"/>
        <v>5333</v>
      </c>
      <c r="L2733" s="187">
        <v>502.54</v>
      </c>
      <c r="M2733" s="131">
        <v>0</v>
      </c>
      <c r="N2733" s="91">
        <f t="shared" ref="N2733:N2796" si="504">((L2733)*(E2733*0.001))+M2733</f>
        <v>1507.6200000000001</v>
      </c>
      <c r="O2733" s="411">
        <f t="shared" si="499"/>
        <v>3825.38</v>
      </c>
      <c r="P2733" s="132" t="s">
        <v>46</v>
      </c>
      <c r="Q2733" s="232"/>
      <c r="R2733" s="411"/>
      <c r="T2733" s="439" t="s">
        <v>47</v>
      </c>
      <c r="U2733" s="446" t="s">
        <v>6290</v>
      </c>
      <c r="V2733" s="133" t="s">
        <v>5528</v>
      </c>
      <c r="W2733" s="153" t="s">
        <v>2090</v>
      </c>
      <c r="AA2733" s="473">
        <v>25</v>
      </c>
    </row>
    <row r="2734" spans="1:27" x14ac:dyDescent="0.25">
      <c r="A2734" s="432"/>
      <c r="B2734" s="433"/>
      <c r="C2734" s="432"/>
      <c r="D2734" s="454"/>
      <c r="E2734" s="120">
        <v>1500</v>
      </c>
      <c r="F2734" s="133" t="s">
        <v>5526</v>
      </c>
      <c r="G2734" s="435"/>
      <c r="H2734" s="438"/>
      <c r="I2734" s="438"/>
      <c r="J2734" s="438"/>
      <c r="K2734" s="437"/>
      <c r="L2734" s="187">
        <v>889.76</v>
      </c>
      <c r="M2734" s="131">
        <v>25</v>
      </c>
      <c r="N2734" s="91">
        <f t="shared" si="504"/>
        <v>1359.6399999999999</v>
      </c>
      <c r="O2734" s="411">
        <f t="shared" si="499"/>
        <v>-1359.6399999999999</v>
      </c>
      <c r="P2734" s="132" t="s">
        <v>46</v>
      </c>
      <c r="Q2734" s="232"/>
      <c r="R2734" s="411"/>
      <c r="T2734" s="440"/>
      <c r="U2734" s="447"/>
      <c r="V2734" s="133" t="s">
        <v>6291</v>
      </c>
      <c r="AA2734" s="478"/>
    </row>
    <row r="2735" spans="1:27" x14ac:dyDescent="0.25">
      <c r="A2735" s="420"/>
      <c r="B2735" s="422"/>
      <c r="C2735" s="420"/>
      <c r="D2735" s="418"/>
      <c r="E2735" s="120">
        <v>100</v>
      </c>
      <c r="F2735" s="133" t="s">
        <v>6292</v>
      </c>
      <c r="G2735" s="436"/>
      <c r="H2735" s="428"/>
      <c r="I2735" s="428"/>
      <c r="J2735" s="428"/>
      <c r="K2735" s="426"/>
      <c r="L2735" s="187">
        <v>6704</v>
      </c>
      <c r="N2735" s="91">
        <f t="shared" si="504"/>
        <v>670.40000000000009</v>
      </c>
      <c r="O2735" s="411">
        <f t="shared" si="499"/>
        <v>-670.40000000000009</v>
      </c>
      <c r="P2735" s="132" t="s">
        <v>46</v>
      </c>
      <c r="Q2735" s="232"/>
      <c r="R2735" s="411"/>
      <c r="T2735" s="441"/>
      <c r="U2735" s="267" t="s">
        <v>6293</v>
      </c>
      <c r="V2735" s="133" t="s">
        <v>5358</v>
      </c>
      <c r="AA2735" s="474"/>
    </row>
    <row r="2736" spans="1:27" ht="24" x14ac:dyDescent="0.25">
      <c r="A2736" s="405">
        <v>3002098</v>
      </c>
      <c r="B2736" s="406">
        <v>42499</v>
      </c>
      <c r="C2736" s="405" t="s">
        <v>78</v>
      </c>
      <c r="D2736" s="401" t="s">
        <v>6294</v>
      </c>
      <c r="E2736" s="120">
        <v>50</v>
      </c>
      <c r="F2736" s="133" t="s">
        <v>1991</v>
      </c>
      <c r="G2736" s="404" t="s">
        <v>45</v>
      </c>
      <c r="H2736" s="411">
        <v>292</v>
      </c>
      <c r="I2736" s="411">
        <v>0</v>
      </c>
      <c r="J2736" s="391">
        <f>-((H2736*0.022)+0.3)</f>
        <v>-6.7239999999999993</v>
      </c>
      <c r="K2736" s="396">
        <f t="shared" ref="K2736:K2739" si="505">SUM(H2736:J2736)</f>
        <v>285.27600000000001</v>
      </c>
      <c r="L2736" s="131">
        <v>3000</v>
      </c>
      <c r="M2736" s="187">
        <v>19.86</v>
      </c>
      <c r="N2736" s="91">
        <f t="shared" si="504"/>
        <v>169.86</v>
      </c>
      <c r="O2736" s="411">
        <f t="shared" si="499"/>
        <v>115.416</v>
      </c>
      <c r="P2736" s="132" t="s">
        <v>52</v>
      </c>
      <c r="Q2736" s="232"/>
      <c r="R2736" s="411"/>
      <c r="T2736" s="134" t="s">
        <v>145</v>
      </c>
      <c r="U2736" s="267" t="s">
        <v>6295</v>
      </c>
      <c r="W2736" s="153" t="s">
        <v>6296</v>
      </c>
      <c r="AA2736" s="218"/>
    </row>
    <row r="2737" spans="1:27" ht="24" x14ac:dyDescent="0.25">
      <c r="A2737" s="405">
        <v>3002099</v>
      </c>
      <c r="B2737" s="406">
        <v>42499</v>
      </c>
      <c r="C2737" s="405" t="s">
        <v>63</v>
      </c>
      <c r="D2737" s="401" t="s">
        <v>6297</v>
      </c>
      <c r="E2737" s="120">
        <v>150</v>
      </c>
      <c r="F2737" s="133" t="s">
        <v>341</v>
      </c>
      <c r="G2737" s="404" t="s">
        <v>45</v>
      </c>
      <c r="H2737" s="411">
        <v>240</v>
      </c>
      <c r="I2737" s="411">
        <v>0</v>
      </c>
      <c r="J2737" s="391">
        <f>-((H2737*0.022)+0.3)</f>
        <v>-5.5799999999999992</v>
      </c>
      <c r="K2737" s="396">
        <f t="shared" si="505"/>
        <v>234.42</v>
      </c>
      <c r="L2737" s="131">
        <v>698</v>
      </c>
      <c r="M2737" s="187">
        <v>27.24</v>
      </c>
      <c r="N2737" s="91">
        <f t="shared" si="504"/>
        <v>131.94</v>
      </c>
      <c r="O2737" s="411">
        <f t="shared" si="499"/>
        <v>102.47999999999999</v>
      </c>
      <c r="P2737" s="132" t="s">
        <v>52</v>
      </c>
      <c r="Q2737" s="232"/>
      <c r="R2737" s="411"/>
      <c r="T2737" s="134" t="s">
        <v>145</v>
      </c>
      <c r="U2737" s="267" t="s">
        <v>6298</v>
      </c>
      <c r="W2737" s="153" t="s">
        <v>6299</v>
      </c>
      <c r="AA2737" s="218"/>
    </row>
    <row r="2738" spans="1:27" ht="24" x14ac:dyDescent="0.25">
      <c r="A2738" s="405">
        <v>3002100</v>
      </c>
      <c r="B2738" s="406">
        <v>42499</v>
      </c>
      <c r="C2738" s="405" t="s">
        <v>327</v>
      </c>
      <c r="D2738" s="401" t="s">
        <v>6300</v>
      </c>
      <c r="E2738" s="120">
        <v>3000</v>
      </c>
      <c r="F2738" s="133" t="s">
        <v>6301</v>
      </c>
      <c r="G2738" s="404" t="s">
        <v>45</v>
      </c>
      <c r="H2738" s="411">
        <v>4500</v>
      </c>
      <c r="I2738" s="399">
        <v>0</v>
      </c>
      <c r="J2738" s="383">
        <f>-((H2738*0.022)+0.3)</f>
        <v>-99.3</v>
      </c>
      <c r="K2738" s="396">
        <f t="shared" si="505"/>
        <v>4400.7</v>
      </c>
      <c r="L2738" s="201">
        <v>950</v>
      </c>
      <c r="M2738" s="142">
        <v>0</v>
      </c>
      <c r="N2738" s="414">
        <f t="shared" si="504"/>
        <v>2850</v>
      </c>
      <c r="O2738" s="411">
        <f t="shared" si="499"/>
        <v>1550.6999999999998</v>
      </c>
      <c r="P2738" s="132" t="s">
        <v>66</v>
      </c>
      <c r="Q2738" s="232"/>
      <c r="R2738" s="411"/>
      <c r="T2738" s="134" t="s">
        <v>1254</v>
      </c>
      <c r="U2738" s="267" t="s">
        <v>6302</v>
      </c>
      <c r="W2738" s="153" t="s">
        <v>6303</v>
      </c>
      <c r="AA2738" s="218">
        <v>25</v>
      </c>
    </row>
    <row r="2739" spans="1:27" x14ac:dyDescent="0.25">
      <c r="A2739" s="419">
        <v>3002101</v>
      </c>
      <c r="B2739" s="421">
        <v>42499</v>
      </c>
      <c r="C2739" s="419" t="s">
        <v>327</v>
      </c>
      <c r="D2739" s="417" t="s">
        <v>6304</v>
      </c>
      <c r="E2739" s="120">
        <v>150</v>
      </c>
      <c r="F2739" s="133" t="s">
        <v>6305</v>
      </c>
      <c r="G2739" s="434" t="s">
        <v>45</v>
      </c>
      <c r="H2739" s="466">
        <v>291</v>
      </c>
      <c r="I2739" s="465">
        <v>0</v>
      </c>
      <c r="J2739" s="464">
        <f>-((H2739*0.022)+0.3)</f>
        <v>-6.7019999999999991</v>
      </c>
      <c r="K2739" s="464">
        <f t="shared" si="505"/>
        <v>284.298</v>
      </c>
      <c r="L2739" s="187">
        <v>200</v>
      </c>
      <c r="M2739" s="187">
        <v>16.66</v>
      </c>
      <c r="N2739" s="91">
        <f t="shared" si="504"/>
        <v>46.66</v>
      </c>
      <c r="O2739" s="411">
        <f t="shared" si="499"/>
        <v>237.63800000000001</v>
      </c>
      <c r="P2739" s="222" t="s">
        <v>313</v>
      </c>
      <c r="Q2739" s="232"/>
      <c r="R2739" s="411"/>
      <c r="T2739" s="439" t="s">
        <v>314</v>
      </c>
      <c r="U2739" s="446" t="s">
        <v>6306</v>
      </c>
      <c r="W2739" s="153" t="s">
        <v>6307</v>
      </c>
      <c r="AA2739" s="218"/>
    </row>
    <row r="2740" spans="1:27" x14ac:dyDescent="0.25">
      <c r="A2740" s="432"/>
      <c r="B2740" s="433"/>
      <c r="C2740" s="432"/>
      <c r="D2740" s="454"/>
      <c r="E2740" s="120">
        <v>150</v>
      </c>
      <c r="F2740" s="133" t="s">
        <v>6308</v>
      </c>
      <c r="G2740" s="435"/>
      <c r="H2740" s="591"/>
      <c r="I2740" s="465"/>
      <c r="J2740" s="464"/>
      <c r="K2740" s="464"/>
      <c r="L2740" s="187">
        <v>200</v>
      </c>
      <c r="M2740" s="187"/>
      <c r="N2740" s="91">
        <f t="shared" si="504"/>
        <v>30</v>
      </c>
      <c r="O2740" s="411">
        <f t="shared" si="499"/>
        <v>-30</v>
      </c>
      <c r="P2740" s="222" t="s">
        <v>313</v>
      </c>
      <c r="Q2740" s="232"/>
      <c r="R2740" s="411"/>
      <c r="T2740" s="440"/>
      <c r="U2740" s="448"/>
      <c r="AA2740" s="218"/>
    </row>
    <row r="2741" spans="1:27" x14ac:dyDescent="0.25">
      <c r="A2741" s="432"/>
      <c r="B2741" s="433"/>
      <c r="C2741" s="432"/>
      <c r="D2741" s="454"/>
      <c r="E2741" s="120">
        <v>50</v>
      </c>
      <c r="F2741" s="133" t="s">
        <v>6309</v>
      </c>
      <c r="G2741" s="435"/>
      <c r="H2741" s="591"/>
      <c r="I2741" s="465"/>
      <c r="J2741" s="464"/>
      <c r="K2741" s="464"/>
      <c r="L2741" s="187">
        <v>200</v>
      </c>
      <c r="M2741" s="187"/>
      <c r="N2741" s="91">
        <f t="shared" si="504"/>
        <v>10</v>
      </c>
      <c r="O2741" s="411">
        <f t="shared" si="499"/>
        <v>-10</v>
      </c>
      <c r="P2741" s="222" t="s">
        <v>313</v>
      </c>
      <c r="Q2741" s="232"/>
      <c r="R2741" s="411"/>
      <c r="T2741" s="440"/>
      <c r="U2741" s="448"/>
      <c r="AA2741" s="218"/>
    </row>
    <row r="2742" spans="1:27" x14ac:dyDescent="0.25">
      <c r="A2742" s="420"/>
      <c r="B2742" s="422"/>
      <c r="C2742" s="420"/>
      <c r="D2742" s="418"/>
      <c r="E2742" s="120">
        <v>50</v>
      </c>
      <c r="F2742" s="133" t="s">
        <v>6310</v>
      </c>
      <c r="G2742" s="436"/>
      <c r="H2742" s="467"/>
      <c r="I2742" s="465"/>
      <c r="J2742" s="464"/>
      <c r="K2742" s="464"/>
      <c r="L2742" s="187">
        <v>200</v>
      </c>
      <c r="M2742" s="187"/>
      <c r="N2742" s="91">
        <f t="shared" si="504"/>
        <v>10</v>
      </c>
      <c r="O2742" s="411">
        <f t="shared" si="499"/>
        <v>-10</v>
      </c>
      <c r="P2742" s="222" t="s">
        <v>313</v>
      </c>
      <c r="Q2742" s="232"/>
      <c r="R2742" s="411"/>
      <c r="T2742" s="441"/>
      <c r="U2742" s="447"/>
      <c r="AA2742" s="218"/>
    </row>
    <row r="2743" spans="1:27" x14ac:dyDescent="0.25">
      <c r="A2743" s="405">
        <v>3002102</v>
      </c>
      <c r="B2743" s="406">
        <v>42499</v>
      </c>
      <c r="C2743" s="405" t="s">
        <v>63</v>
      </c>
      <c r="D2743" s="401" t="s">
        <v>6311</v>
      </c>
      <c r="E2743" s="120">
        <v>582</v>
      </c>
      <c r="F2743" s="133" t="s">
        <v>292</v>
      </c>
      <c r="G2743" s="404" t="s">
        <v>45</v>
      </c>
      <c r="H2743" s="206">
        <v>449</v>
      </c>
      <c r="I2743" s="411">
        <v>0</v>
      </c>
      <c r="J2743" s="391">
        <f>-((H2743*0.022)+0.3)</f>
        <v>-10.178000000000001</v>
      </c>
      <c r="K2743" s="396">
        <f t="shared" ref="K2743" si="506">SUM(H2743:J2743)</f>
        <v>438.822</v>
      </c>
      <c r="L2743" s="187">
        <v>506</v>
      </c>
      <c r="M2743" s="187">
        <v>134.19</v>
      </c>
      <c r="N2743" s="91">
        <f t="shared" si="504"/>
        <v>428.68199999999996</v>
      </c>
      <c r="O2743" s="411">
        <f t="shared" si="499"/>
        <v>10.140000000000043</v>
      </c>
      <c r="P2743" s="222" t="s">
        <v>183</v>
      </c>
      <c r="Q2743" s="232"/>
      <c r="R2743" s="411"/>
      <c r="T2743" s="134" t="s">
        <v>67</v>
      </c>
      <c r="U2743" s="267" t="s">
        <v>6312</v>
      </c>
      <c r="W2743" s="153" t="s">
        <v>6313</v>
      </c>
      <c r="AA2743" s="218"/>
    </row>
    <row r="2744" spans="1:27" ht="24" x14ac:dyDescent="0.25">
      <c r="A2744" s="405">
        <v>3002103</v>
      </c>
      <c r="B2744" s="406">
        <v>42499</v>
      </c>
      <c r="C2744" s="405" t="s">
        <v>56</v>
      </c>
      <c r="D2744" s="401" t="s">
        <v>1303</v>
      </c>
      <c r="E2744" s="120">
        <v>250</v>
      </c>
      <c r="F2744" s="133" t="s">
        <v>2631</v>
      </c>
      <c r="G2744" s="404" t="s">
        <v>45</v>
      </c>
      <c r="H2744" s="206">
        <v>175</v>
      </c>
      <c r="I2744" s="411">
        <v>0</v>
      </c>
      <c r="J2744" s="411">
        <v>0</v>
      </c>
      <c r="K2744" s="90">
        <f t="shared" ref="K2744:K2812" si="507">SUM(H2744:J2744)</f>
        <v>175</v>
      </c>
      <c r="L2744" s="187">
        <v>570</v>
      </c>
      <c r="M2744" s="187">
        <v>24.91</v>
      </c>
      <c r="N2744" s="91">
        <f t="shared" si="504"/>
        <v>167.41</v>
      </c>
      <c r="O2744" s="411">
        <f t="shared" si="499"/>
        <v>7.5900000000000034</v>
      </c>
      <c r="P2744" s="222" t="s">
        <v>235</v>
      </c>
      <c r="Q2744" s="232"/>
      <c r="R2744" s="411"/>
      <c r="T2744" s="134" t="s">
        <v>145</v>
      </c>
      <c r="U2744" s="267" t="s">
        <v>6314</v>
      </c>
      <c r="V2744" s="133" t="s">
        <v>5528</v>
      </c>
      <c r="W2744" s="153" t="s">
        <v>1796</v>
      </c>
      <c r="AA2744" s="218"/>
    </row>
    <row r="2745" spans="1:27" ht="24" x14ac:dyDescent="0.25">
      <c r="A2745" s="405">
        <v>3002104</v>
      </c>
      <c r="B2745" s="406">
        <v>42499</v>
      </c>
      <c r="C2745" s="405" t="s">
        <v>5682</v>
      </c>
      <c r="D2745" s="401" t="s">
        <v>6315</v>
      </c>
      <c r="E2745" s="120">
        <v>154</v>
      </c>
      <c r="F2745" s="133" t="s">
        <v>4063</v>
      </c>
      <c r="G2745" s="404" t="s">
        <v>45</v>
      </c>
      <c r="H2745" s="411">
        <v>442.5</v>
      </c>
      <c r="I2745" s="397">
        <f t="shared" ref="I2745:I2790" si="508">-(H2745*0.09)</f>
        <v>-39.824999999999996</v>
      </c>
      <c r="J2745" s="391">
        <f t="shared" ref="J2745:J2786" si="509">-((H2745*0.019)+0.3)</f>
        <v>-8.7075000000000014</v>
      </c>
      <c r="K2745" s="90">
        <f t="shared" si="507"/>
        <v>393.96750000000003</v>
      </c>
      <c r="L2745" s="202">
        <v>1553</v>
      </c>
      <c r="M2745" s="202">
        <v>52.66</v>
      </c>
      <c r="N2745" s="91">
        <f t="shared" si="504"/>
        <v>291.822</v>
      </c>
      <c r="O2745" s="411">
        <f t="shared" si="499"/>
        <v>102.14550000000003</v>
      </c>
      <c r="P2745" s="132" t="s">
        <v>183</v>
      </c>
      <c r="Q2745" s="232"/>
      <c r="R2745" s="411"/>
      <c r="T2745" s="134" t="s">
        <v>145</v>
      </c>
      <c r="U2745" s="267" t="s">
        <v>6316</v>
      </c>
      <c r="AA2745" s="218"/>
    </row>
    <row r="2746" spans="1:27" ht="24" x14ac:dyDescent="0.25">
      <c r="A2746" s="405">
        <v>3002105</v>
      </c>
      <c r="B2746" s="406">
        <v>42499</v>
      </c>
      <c r="C2746" s="405" t="s">
        <v>5682</v>
      </c>
      <c r="D2746" s="401" t="s">
        <v>5318</v>
      </c>
      <c r="E2746" s="120">
        <v>70</v>
      </c>
      <c r="F2746" s="133" t="s">
        <v>860</v>
      </c>
      <c r="G2746" s="404" t="s">
        <v>45</v>
      </c>
      <c r="H2746" s="411">
        <v>483.09</v>
      </c>
      <c r="I2746" s="397">
        <f t="shared" si="508"/>
        <v>-43.478099999999998</v>
      </c>
      <c r="J2746" s="391">
        <f t="shared" si="509"/>
        <v>-9.4787099999999995</v>
      </c>
      <c r="K2746" s="90">
        <f t="shared" si="507"/>
        <v>430.13319000000001</v>
      </c>
      <c r="L2746" s="131">
        <v>3300</v>
      </c>
      <c r="M2746" s="187">
        <v>50.74</v>
      </c>
      <c r="N2746" s="91">
        <f t="shared" si="504"/>
        <v>281.74</v>
      </c>
      <c r="O2746" s="411">
        <f t="shared" si="499"/>
        <v>148.39319</v>
      </c>
      <c r="P2746" s="132" t="s">
        <v>52</v>
      </c>
      <c r="Q2746" s="232"/>
      <c r="R2746" s="411"/>
      <c r="T2746" s="134" t="s">
        <v>145</v>
      </c>
      <c r="U2746" s="267" t="s">
        <v>6317</v>
      </c>
      <c r="AA2746" s="218"/>
    </row>
    <row r="2747" spans="1:27" ht="24" x14ac:dyDescent="0.25">
      <c r="A2747" s="405">
        <v>3002106</v>
      </c>
      <c r="B2747" s="406">
        <v>42499</v>
      </c>
      <c r="C2747" s="405" t="s">
        <v>5682</v>
      </c>
      <c r="D2747" s="401" t="s">
        <v>6318</v>
      </c>
      <c r="E2747" s="120">
        <v>100</v>
      </c>
      <c r="F2747" s="133" t="s">
        <v>593</v>
      </c>
      <c r="G2747" s="404" t="s">
        <v>45</v>
      </c>
      <c r="H2747" s="411">
        <v>138.9</v>
      </c>
      <c r="I2747" s="397">
        <f t="shared" si="508"/>
        <v>-12.500999999999999</v>
      </c>
      <c r="J2747" s="391">
        <f t="shared" si="509"/>
        <v>-2.9390999999999998</v>
      </c>
      <c r="K2747" s="90">
        <f t="shared" si="507"/>
        <v>123.4599</v>
      </c>
      <c r="L2747" s="131">
        <v>648</v>
      </c>
      <c r="M2747" s="187">
        <v>42.4</v>
      </c>
      <c r="N2747" s="91">
        <f t="shared" si="504"/>
        <v>107.19999999999999</v>
      </c>
      <c r="O2747" s="411">
        <f t="shared" si="499"/>
        <v>16.259900000000016</v>
      </c>
      <c r="P2747" s="132" t="s">
        <v>52</v>
      </c>
      <c r="Q2747" s="232"/>
      <c r="R2747" s="411"/>
      <c r="T2747" s="134" t="s">
        <v>145</v>
      </c>
      <c r="U2747" s="267" t="s">
        <v>6319</v>
      </c>
      <c r="AA2747" s="218"/>
    </row>
    <row r="2748" spans="1:27" ht="24" x14ac:dyDescent="0.25">
      <c r="A2748" s="405">
        <v>3002107</v>
      </c>
      <c r="B2748" s="406">
        <v>42499</v>
      </c>
      <c r="C2748" s="405" t="s">
        <v>5682</v>
      </c>
      <c r="D2748" s="401" t="s">
        <v>6320</v>
      </c>
      <c r="E2748" s="120">
        <v>200</v>
      </c>
      <c r="F2748" s="133" t="s">
        <v>161</v>
      </c>
      <c r="G2748" s="404" t="s">
        <v>45</v>
      </c>
      <c r="H2748" s="411">
        <v>427.02</v>
      </c>
      <c r="I2748" s="397">
        <f t="shared" si="508"/>
        <v>-38.431799999999996</v>
      </c>
      <c r="J2748" s="391">
        <f t="shared" si="509"/>
        <v>-8.4133800000000001</v>
      </c>
      <c r="K2748" s="90">
        <f t="shared" si="507"/>
        <v>380.17481999999995</v>
      </c>
      <c r="L2748" s="131">
        <v>1322</v>
      </c>
      <c r="M2748" s="187">
        <v>75.599999999999994</v>
      </c>
      <c r="N2748" s="91">
        <f t="shared" si="504"/>
        <v>340</v>
      </c>
      <c r="O2748" s="411">
        <f t="shared" si="499"/>
        <v>40.174819999999954</v>
      </c>
      <c r="P2748" s="132" t="s">
        <v>52</v>
      </c>
      <c r="Q2748" s="232"/>
      <c r="R2748" s="411"/>
      <c r="T2748" s="134" t="s">
        <v>145</v>
      </c>
      <c r="U2748" s="267" t="s">
        <v>6321</v>
      </c>
      <c r="AA2748" s="218"/>
    </row>
    <row r="2749" spans="1:27" ht="24" x14ac:dyDescent="0.25">
      <c r="A2749" s="405">
        <v>3002108</v>
      </c>
      <c r="B2749" s="406">
        <v>42499</v>
      </c>
      <c r="C2749" s="405" t="s">
        <v>5682</v>
      </c>
      <c r="D2749" s="401" t="s">
        <v>6322</v>
      </c>
      <c r="E2749" s="120">
        <v>100</v>
      </c>
      <c r="F2749" s="133" t="s">
        <v>227</v>
      </c>
      <c r="G2749" s="404" t="s">
        <v>45</v>
      </c>
      <c r="H2749" s="411">
        <v>120.14</v>
      </c>
      <c r="I2749" s="397">
        <f t="shared" si="508"/>
        <v>-10.8126</v>
      </c>
      <c r="J2749" s="391">
        <f t="shared" si="509"/>
        <v>-2.5826599999999997</v>
      </c>
      <c r="K2749" s="90">
        <f t="shared" si="507"/>
        <v>106.74473999999999</v>
      </c>
      <c r="L2749" s="131">
        <v>350</v>
      </c>
      <c r="M2749" s="187">
        <v>29.47</v>
      </c>
      <c r="N2749" s="91">
        <f t="shared" si="504"/>
        <v>64.47</v>
      </c>
      <c r="O2749" s="411">
        <f t="shared" si="499"/>
        <v>42.274739999999994</v>
      </c>
      <c r="P2749" s="132" t="s">
        <v>86</v>
      </c>
      <c r="Q2749" s="232"/>
      <c r="R2749" s="411"/>
      <c r="T2749" s="134" t="s">
        <v>145</v>
      </c>
      <c r="U2749" s="267" t="s">
        <v>6323</v>
      </c>
      <c r="AA2749" s="218"/>
    </row>
    <row r="2750" spans="1:27" ht="24" x14ac:dyDescent="0.25">
      <c r="A2750" s="405">
        <v>3002109</v>
      </c>
      <c r="B2750" s="406">
        <v>42499</v>
      </c>
      <c r="C2750" s="405" t="s">
        <v>42</v>
      </c>
      <c r="D2750" s="401" t="s">
        <v>6324</v>
      </c>
      <c r="E2750" s="120">
        <v>50</v>
      </c>
      <c r="F2750" s="133" t="s">
        <v>288</v>
      </c>
      <c r="G2750" s="404" t="s">
        <v>45</v>
      </c>
      <c r="H2750" s="411">
        <v>110.6</v>
      </c>
      <c r="I2750" s="397">
        <f t="shared" si="508"/>
        <v>-9.9539999999999988</v>
      </c>
      <c r="J2750" s="391">
        <f t="shared" si="509"/>
        <v>-2.4013999999999998</v>
      </c>
      <c r="K2750" s="90">
        <f t="shared" si="507"/>
        <v>98.244600000000005</v>
      </c>
      <c r="L2750" s="131">
        <v>950</v>
      </c>
      <c r="M2750" s="187">
        <v>23.53</v>
      </c>
      <c r="N2750" s="91">
        <f t="shared" si="504"/>
        <v>71.03</v>
      </c>
      <c r="O2750" s="411">
        <f t="shared" si="499"/>
        <v>27.214600000000004</v>
      </c>
      <c r="P2750" s="132" t="s">
        <v>52</v>
      </c>
      <c r="Q2750" s="232"/>
      <c r="R2750" s="411">
        <v>8.19</v>
      </c>
      <c r="S2750" s="133" t="s">
        <v>1169</v>
      </c>
      <c r="T2750" s="134" t="s">
        <v>145</v>
      </c>
      <c r="U2750" s="267" t="s">
        <v>6325</v>
      </c>
      <c r="AA2750" s="218"/>
    </row>
    <row r="2751" spans="1:27" ht="24" x14ac:dyDescent="0.25">
      <c r="A2751" s="405">
        <v>3002110</v>
      </c>
      <c r="B2751" s="406">
        <v>42499</v>
      </c>
      <c r="C2751" s="405" t="s">
        <v>5682</v>
      </c>
      <c r="D2751" s="401" t="s">
        <v>6326</v>
      </c>
      <c r="E2751" s="120">
        <v>180</v>
      </c>
      <c r="F2751" s="133" t="s">
        <v>605</v>
      </c>
      <c r="G2751" s="404" t="s">
        <v>45</v>
      </c>
      <c r="H2751" s="411">
        <v>216</v>
      </c>
      <c r="I2751" s="397">
        <f t="shared" si="508"/>
        <v>-19.439999999999998</v>
      </c>
      <c r="J2751" s="391">
        <f t="shared" si="509"/>
        <v>-4.4039999999999999</v>
      </c>
      <c r="K2751" s="90">
        <f t="shared" si="507"/>
        <v>192.15600000000001</v>
      </c>
      <c r="L2751" s="131">
        <v>600</v>
      </c>
      <c r="M2751" s="187">
        <v>42.88</v>
      </c>
      <c r="N2751" s="91">
        <f t="shared" si="504"/>
        <v>150.88</v>
      </c>
      <c r="O2751" s="411">
        <f t="shared" si="499"/>
        <v>41.27600000000001</v>
      </c>
      <c r="P2751" s="132" t="s">
        <v>86</v>
      </c>
      <c r="Q2751" s="232"/>
      <c r="R2751" s="411"/>
      <c r="T2751" s="134" t="s">
        <v>145</v>
      </c>
      <c r="U2751" s="267" t="s">
        <v>6327</v>
      </c>
      <c r="AA2751" s="218"/>
    </row>
    <row r="2752" spans="1:27" ht="24" x14ac:dyDescent="0.25">
      <c r="A2752" s="405">
        <v>3002111</v>
      </c>
      <c r="B2752" s="406">
        <v>42499</v>
      </c>
      <c r="C2752" s="405" t="s">
        <v>5682</v>
      </c>
      <c r="D2752" s="401" t="s">
        <v>6328</v>
      </c>
      <c r="E2752" s="120">
        <v>180</v>
      </c>
      <c r="F2752" s="133" t="s">
        <v>829</v>
      </c>
      <c r="G2752" s="404" t="s">
        <v>45</v>
      </c>
      <c r="H2752" s="411">
        <v>207</v>
      </c>
      <c r="I2752" s="397">
        <f t="shared" si="508"/>
        <v>-18.63</v>
      </c>
      <c r="J2752" s="391">
        <f t="shared" si="509"/>
        <v>-4.2329999999999997</v>
      </c>
      <c r="K2752" s="90">
        <f t="shared" si="507"/>
        <v>184.137</v>
      </c>
      <c r="L2752" s="131">
        <v>510</v>
      </c>
      <c r="M2752" s="187">
        <v>40.33</v>
      </c>
      <c r="N2752" s="91">
        <f t="shared" si="504"/>
        <v>132.13</v>
      </c>
      <c r="O2752" s="411">
        <f t="shared" si="499"/>
        <v>52.007000000000005</v>
      </c>
      <c r="P2752" s="132" t="s">
        <v>86</v>
      </c>
      <c r="Q2752" s="232"/>
      <c r="R2752" s="411"/>
      <c r="T2752" s="134" t="s">
        <v>145</v>
      </c>
      <c r="U2752" s="267" t="s">
        <v>6329</v>
      </c>
      <c r="AA2752" s="218"/>
    </row>
    <row r="2753" spans="1:27" ht="24" x14ac:dyDescent="0.25">
      <c r="A2753" s="405">
        <v>3002112</v>
      </c>
      <c r="B2753" s="406">
        <v>42499</v>
      </c>
      <c r="C2753" s="405" t="s">
        <v>5682</v>
      </c>
      <c r="D2753" s="401" t="s">
        <v>6330</v>
      </c>
      <c r="E2753" s="120">
        <v>250</v>
      </c>
      <c r="F2753" s="133" t="s">
        <v>227</v>
      </c>
      <c r="G2753" s="404" t="s">
        <v>45</v>
      </c>
      <c r="H2753" s="411">
        <v>225.33</v>
      </c>
      <c r="I2753" s="397">
        <f t="shared" si="508"/>
        <v>-20.279700000000002</v>
      </c>
      <c r="J2753" s="391">
        <f t="shared" si="509"/>
        <v>-4.58127</v>
      </c>
      <c r="K2753" s="90">
        <f t="shared" si="507"/>
        <v>200.46903000000003</v>
      </c>
      <c r="L2753" s="131">
        <v>350</v>
      </c>
      <c r="M2753" s="187">
        <v>36.6</v>
      </c>
      <c r="N2753" s="91">
        <f t="shared" si="504"/>
        <v>124.1</v>
      </c>
      <c r="O2753" s="411">
        <f t="shared" si="499"/>
        <v>76.369030000000038</v>
      </c>
      <c r="P2753" s="132" t="s">
        <v>86</v>
      </c>
      <c r="Q2753" s="232"/>
      <c r="R2753" s="411"/>
      <c r="T2753" s="134" t="s">
        <v>145</v>
      </c>
      <c r="U2753" s="267" t="s">
        <v>6331</v>
      </c>
      <c r="AA2753" s="218"/>
    </row>
    <row r="2754" spans="1:27" ht="24" x14ac:dyDescent="0.25">
      <c r="A2754" s="405">
        <v>3002113</v>
      </c>
      <c r="B2754" s="406">
        <v>42499</v>
      </c>
      <c r="C2754" s="405" t="s">
        <v>5682</v>
      </c>
      <c r="D2754" s="401" t="s">
        <v>6332</v>
      </c>
      <c r="E2754" s="120">
        <v>250</v>
      </c>
      <c r="F2754" s="133" t="s">
        <v>1798</v>
      </c>
      <c r="G2754" s="404" t="s">
        <v>45</v>
      </c>
      <c r="H2754" s="411">
        <v>99.6</v>
      </c>
      <c r="I2754" s="397">
        <f t="shared" si="508"/>
        <v>-8.9639999999999986</v>
      </c>
      <c r="J2754" s="391">
        <f t="shared" si="509"/>
        <v>-2.1923999999999997</v>
      </c>
      <c r="K2754" s="90">
        <f t="shared" si="507"/>
        <v>88.443599999999989</v>
      </c>
      <c r="L2754" s="131">
        <v>197.8</v>
      </c>
      <c r="M2754" s="187">
        <v>13.06</v>
      </c>
      <c r="N2754" s="91">
        <f t="shared" si="504"/>
        <v>62.510000000000005</v>
      </c>
      <c r="O2754" s="411">
        <f t="shared" si="499"/>
        <v>25.933599999999984</v>
      </c>
      <c r="P2754" s="132" t="s">
        <v>86</v>
      </c>
      <c r="Q2754" s="232"/>
      <c r="R2754" s="411"/>
      <c r="T2754" s="134" t="s">
        <v>145</v>
      </c>
      <c r="U2754" s="267" t="s">
        <v>6333</v>
      </c>
      <c r="AA2754" s="218"/>
    </row>
    <row r="2755" spans="1:27" ht="24" x14ac:dyDescent="0.25">
      <c r="A2755" s="405">
        <v>3002114</v>
      </c>
      <c r="B2755" s="406">
        <v>42499</v>
      </c>
      <c r="C2755" s="405" t="s">
        <v>5682</v>
      </c>
      <c r="D2755" s="401" t="s">
        <v>6334</v>
      </c>
      <c r="E2755" s="120">
        <v>250</v>
      </c>
      <c r="F2755" s="133" t="s">
        <v>6335</v>
      </c>
      <c r="G2755" s="404" t="s">
        <v>45</v>
      </c>
      <c r="H2755" s="411">
        <v>137.75</v>
      </c>
      <c r="I2755" s="397">
        <f t="shared" si="508"/>
        <v>-12.397499999999999</v>
      </c>
      <c r="J2755" s="391">
        <f t="shared" si="509"/>
        <v>-2.9172499999999997</v>
      </c>
      <c r="K2755" s="90">
        <f t="shared" si="507"/>
        <v>122.43525000000001</v>
      </c>
      <c r="L2755" s="187">
        <v>235</v>
      </c>
      <c r="M2755" s="187">
        <v>19.68</v>
      </c>
      <c r="N2755" s="91">
        <f t="shared" si="504"/>
        <v>78.430000000000007</v>
      </c>
      <c r="O2755" s="411">
        <f t="shared" si="499"/>
        <v>44.005250000000004</v>
      </c>
      <c r="P2755" s="132" t="s">
        <v>235</v>
      </c>
      <c r="Q2755" s="232"/>
      <c r="R2755" s="411"/>
      <c r="T2755" s="134" t="s">
        <v>145</v>
      </c>
      <c r="U2755" s="267" t="s">
        <v>6336</v>
      </c>
      <c r="AA2755" s="218"/>
    </row>
    <row r="2756" spans="1:27" ht="24" x14ac:dyDescent="0.25">
      <c r="A2756" s="405">
        <v>3002115</v>
      </c>
      <c r="B2756" s="406">
        <v>42499</v>
      </c>
      <c r="C2756" s="405" t="s">
        <v>5682</v>
      </c>
      <c r="D2756" s="401" t="s">
        <v>6337</v>
      </c>
      <c r="E2756" s="120">
        <v>350</v>
      </c>
      <c r="F2756" s="133" t="s">
        <v>6338</v>
      </c>
      <c r="G2756" s="404" t="s">
        <v>45</v>
      </c>
      <c r="H2756" s="411">
        <v>810.81</v>
      </c>
      <c r="I2756" s="397">
        <f t="shared" si="508"/>
        <v>-72.972899999999996</v>
      </c>
      <c r="J2756" s="391">
        <f t="shared" si="509"/>
        <v>-15.70539</v>
      </c>
      <c r="K2756" s="90">
        <f t="shared" si="507"/>
        <v>722.13171</v>
      </c>
      <c r="L2756" s="187">
        <v>1530</v>
      </c>
      <c r="M2756" s="131">
        <v>0</v>
      </c>
      <c r="N2756" s="91">
        <f t="shared" si="504"/>
        <v>535.5</v>
      </c>
      <c r="O2756" s="411">
        <f t="shared" si="499"/>
        <v>186.63171</v>
      </c>
      <c r="P2756" s="132" t="s">
        <v>601</v>
      </c>
      <c r="Q2756" s="232"/>
      <c r="R2756" s="411"/>
      <c r="T2756" s="134" t="s">
        <v>473</v>
      </c>
      <c r="U2756" s="267" t="s">
        <v>6339</v>
      </c>
      <c r="AA2756" s="218"/>
    </row>
    <row r="2757" spans="1:27" ht="24" x14ac:dyDescent="0.25">
      <c r="A2757" s="405">
        <v>3002116</v>
      </c>
      <c r="B2757" s="406">
        <v>42499</v>
      </c>
      <c r="C2757" s="405" t="s">
        <v>5682</v>
      </c>
      <c r="D2757" s="401" t="s">
        <v>6340</v>
      </c>
      <c r="E2757" s="120">
        <v>250</v>
      </c>
      <c r="F2757" s="119" t="s">
        <v>6341</v>
      </c>
      <c r="G2757" s="404" t="s">
        <v>45</v>
      </c>
      <c r="H2757" s="411">
        <v>177.13</v>
      </c>
      <c r="I2757" s="397">
        <f t="shared" si="508"/>
        <v>-15.941699999999999</v>
      </c>
      <c r="J2757" s="391">
        <f t="shared" si="509"/>
        <v>-3.6654699999999996</v>
      </c>
      <c r="K2757" s="90">
        <f t="shared" si="507"/>
        <v>157.52283</v>
      </c>
      <c r="L2757" s="187">
        <v>318</v>
      </c>
      <c r="N2757" s="91">
        <f t="shared" si="504"/>
        <v>79.5</v>
      </c>
      <c r="O2757" s="411">
        <f t="shared" si="499"/>
        <v>78.022829999999999</v>
      </c>
      <c r="P2757" s="132" t="s">
        <v>313</v>
      </c>
      <c r="Q2757" s="232"/>
      <c r="R2757" s="411"/>
      <c r="T2757" s="134" t="s">
        <v>314</v>
      </c>
      <c r="U2757" s="267" t="s">
        <v>6342</v>
      </c>
      <c r="AA2757" s="218"/>
    </row>
    <row r="2758" spans="1:27" ht="24" x14ac:dyDescent="0.25">
      <c r="A2758" s="405">
        <v>3002117</v>
      </c>
      <c r="B2758" s="406">
        <v>42499</v>
      </c>
      <c r="C2758" s="405" t="s">
        <v>42</v>
      </c>
      <c r="D2758" s="401" t="s">
        <v>6343</v>
      </c>
      <c r="E2758" s="120">
        <v>150</v>
      </c>
      <c r="F2758" s="133" t="s">
        <v>431</v>
      </c>
      <c r="G2758" s="404" t="s">
        <v>45</v>
      </c>
      <c r="H2758" s="411">
        <v>324</v>
      </c>
      <c r="I2758" s="397">
        <f t="shared" si="508"/>
        <v>-29.16</v>
      </c>
      <c r="J2758" s="391">
        <f t="shared" si="509"/>
        <v>-6.4559999999999995</v>
      </c>
      <c r="K2758" s="90">
        <f t="shared" si="507"/>
        <v>288.38399999999996</v>
      </c>
      <c r="L2758" s="131">
        <v>990</v>
      </c>
      <c r="M2758" s="187">
        <v>61.89</v>
      </c>
      <c r="N2758" s="91">
        <f t="shared" si="504"/>
        <v>210.39</v>
      </c>
      <c r="O2758" s="411">
        <f t="shared" si="499"/>
        <v>77.993999999999971</v>
      </c>
      <c r="P2758" s="132" t="s">
        <v>52</v>
      </c>
      <c r="Q2758" s="232"/>
      <c r="R2758" s="411"/>
      <c r="T2758" s="134" t="s">
        <v>145</v>
      </c>
      <c r="U2758" s="267" t="s">
        <v>6344</v>
      </c>
      <c r="AA2758" s="218"/>
    </row>
    <row r="2759" spans="1:27" ht="24" x14ac:dyDescent="0.25">
      <c r="A2759" s="405">
        <v>3002118</v>
      </c>
      <c r="B2759" s="406">
        <v>42499</v>
      </c>
      <c r="C2759" s="405" t="s">
        <v>63</v>
      </c>
      <c r="D2759" s="401" t="s">
        <v>4006</v>
      </c>
      <c r="E2759" s="120">
        <v>3000</v>
      </c>
      <c r="F2759" s="119" t="s">
        <v>6345</v>
      </c>
      <c r="G2759" s="404" t="s">
        <v>45</v>
      </c>
      <c r="H2759" s="411">
        <v>16800</v>
      </c>
      <c r="I2759" s="411">
        <v>0</v>
      </c>
      <c r="J2759" s="391">
        <f>-((H2759*0.022)+0.3)</f>
        <v>-369.9</v>
      </c>
      <c r="K2759" s="90">
        <f t="shared" si="507"/>
        <v>16430.099999999999</v>
      </c>
      <c r="L2759" s="187">
        <v>4750</v>
      </c>
      <c r="M2759" s="223"/>
      <c r="N2759" s="91">
        <f t="shared" si="504"/>
        <v>14250</v>
      </c>
      <c r="O2759" s="411">
        <f t="shared" si="499"/>
        <v>2180.0999999999985</v>
      </c>
      <c r="P2759" s="132" t="s">
        <v>638</v>
      </c>
      <c r="Q2759" s="232"/>
      <c r="R2759" s="411"/>
      <c r="T2759" s="135" t="s">
        <v>6346</v>
      </c>
      <c r="W2759" s="153" t="s">
        <v>4009</v>
      </c>
      <c r="AA2759" s="218">
        <v>100</v>
      </c>
    </row>
    <row r="2760" spans="1:27" ht="24" x14ac:dyDescent="0.25">
      <c r="A2760" s="405">
        <v>3002119</v>
      </c>
      <c r="B2760" s="406">
        <v>42499</v>
      </c>
      <c r="C2760" s="405" t="s">
        <v>5682</v>
      </c>
      <c r="D2760" s="401" t="s">
        <v>6347</v>
      </c>
      <c r="E2760" s="120">
        <v>250</v>
      </c>
      <c r="F2760" s="133" t="s">
        <v>6348</v>
      </c>
      <c r="G2760" s="404" t="s">
        <v>45</v>
      </c>
      <c r="H2760" s="411">
        <v>142.56</v>
      </c>
      <c r="I2760" s="397">
        <f t="shared" si="508"/>
        <v>-12.830399999999999</v>
      </c>
      <c r="J2760" s="391">
        <f t="shared" si="509"/>
        <v>-3.0086399999999998</v>
      </c>
      <c r="K2760" s="90">
        <f t="shared" si="507"/>
        <v>126.72096000000001</v>
      </c>
      <c r="L2760" s="187">
        <v>338.6</v>
      </c>
      <c r="M2760" s="187">
        <v>24.48</v>
      </c>
      <c r="N2760" s="91">
        <f t="shared" si="504"/>
        <v>109.13000000000001</v>
      </c>
      <c r="O2760" s="411">
        <f t="shared" si="499"/>
        <v>17.590959999999995</v>
      </c>
      <c r="P2760" s="132" t="s">
        <v>76</v>
      </c>
      <c r="Q2760" s="232"/>
      <c r="R2760" s="411"/>
      <c r="T2760" s="134" t="s">
        <v>145</v>
      </c>
      <c r="U2760" s="267" t="s">
        <v>6349</v>
      </c>
      <c r="AA2760" s="218"/>
    </row>
    <row r="2761" spans="1:27" x14ac:dyDescent="0.25">
      <c r="A2761" s="405">
        <v>3002120</v>
      </c>
      <c r="B2761" s="406">
        <v>42499</v>
      </c>
      <c r="C2761" s="405" t="s">
        <v>5682</v>
      </c>
      <c r="D2761" s="401" t="s">
        <v>6350</v>
      </c>
      <c r="E2761" s="120">
        <v>50</v>
      </c>
      <c r="F2761" s="133" t="s">
        <v>6351</v>
      </c>
      <c r="G2761" s="404" t="s">
        <v>45</v>
      </c>
      <c r="H2761" s="411">
        <v>641.25</v>
      </c>
      <c r="I2761" s="397">
        <f t="shared" si="508"/>
        <v>-57.712499999999999</v>
      </c>
      <c r="J2761" s="391">
        <f t="shared" si="509"/>
        <v>-12.483750000000001</v>
      </c>
      <c r="K2761" s="90">
        <f t="shared" si="507"/>
        <v>571.05375000000004</v>
      </c>
      <c r="L2761" s="187">
        <v>6293.67</v>
      </c>
      <c r="M2761" s="187">
        <v>88.75</v>
      </c>
      <c r="N2761" s="91">
        <f t="shared" si="504"/>
        <v>403.43350000000004</v>
      </c>
      <c r="O2761" s="411">
        <f t="shared" si="499"/>
        <v>167.62025</v>
      </c>
      <c r="P2761" s="132" t="s">
        <v>46</v>
      </c>
      <c r="Q2761" s="232"/>
      <c r="R2761" s="411"/>
      <c r="T2761" s="134" t="s">
        <v>47</v>
      </c>
      <c r="U2761" s="267" t="s">
        <v>6352</v>
      </c>
      <c r="AA2761" s="218"/>
    </row>
    <row r="2762" spans="1:27" ht="24" x14ac:dyDescent="0.25">
      <c r="A2762" s="405">
        <v>3002121</v>
      </c>
      <c r="B2762" s="406">
        <v>42500</v>
      </c>
      <c r="C2762" s="405" t="s">
        <v>5682</v>
      </c>
      <c r="D2762" s="401" t="s">
        <v>6353</v>
      </c>
      <c r="E2762" s="120">
        <v>100</v>
      </c>
      <c r="F2762" s="133" t="s">
        <v>176</v>
      </c>
      <c r="G2762" s="404" t="s">
        <v>45</v>
      </c>
      <c r="H2762" s="411">
        <v>325.85000000000002</v>
      </c>
      <c r="I2762" s="397">
        <f t="shared" si="508"/>
        <v>-29.326499999999999</v>
      </c>
      <c r="J2762" s="391">
        <f t="shared" si="509"/>
        <v>-6.4911500000000002</v>
      </c>
      <c r="K2762" s="90">
        <f t="shared" si="507"/>
        <v>290.03235000000001</v>
      </c>
      <c r="L2762" s="131">
        <v>1693</v>
      </c>
      <c r="M2762" s="187">
        <v>54.85</v>
      </c>
      <c r="N2762" s="91">
        <f t="shared" si="504"/>
        <v>224.15</v>
      </c>
      <c r="O2762" s="411">
        <f t="shared" si="499"/>
        <v>65.882350000000002</v>
      </c>
      <c r="P2762" s="132" t="s">
        <v>52</v>
      </c>
      <c r="Q2762" s="232"/>
      <c r="R2762" s="411"/>
      <c r="T2762" s="134" t="s">
        <v>145</v>
      </c>
      <c r="U2762" s="267" t="s">
        <v>6354</v>
      </c>
      <c r="AA2762" s="218"/>
    </row>
    <row r="2763" spans="1:27" ht="24" x14ac:dyDescent="0.25">
      <c r="A2763" s="405">
        <v>3002122</v>
      </c>
      <c r="B2763" s="406">
        <v>42500</v>
      </c>
      <c r="C2763" s="405" t="s">
        <v>5682</v>
      </c>
      <c r="D2763" s="401" t="s">
        <v>6355</v>
      </c>
      <c r="E2763" s="120">
        <v>150</v>
      </c>
      <c r="F2763" s="133" t="s">
        <v>247</v>
      </c>
      <c r="G2763" s="404" t="s">
        <v>45</v>
      </c>
      <c r="H2763" s="411">
        <v>208.65</v>
      </c>
      <c r="I2763" s="397">
        <f t="shared" si="508"/>
        <v>-18.778500000000001</v>
      </c>
      <c r="J2763" s="391">
        <f t="shared" si="509"/>
        <v>-4.2643500000000003</v>
      </c>
      <c r="K2763" s="90">
        <f t="shared" si="507"/>
        <v>185.60714999999999</v>
      </c>
      <c r="L2763" s="131">
        <v>540</v>
      </c>
      <c r="M2763" s="187">
        <v>32.28</v>
      </c>
      <c r="N2763" s="91">
        <f t="shared" si="504"/>
        <v>113.28</v>
      </c>
      <c r="O2763" s="411">
        <f t="shared" si="499"/>
        <v>72.327149999999989</v>
      </c>
      <c r="P2763" s="132" t="s">
        <v>86</v>
      </c>
      <c r="Q2763" s="232"/>
      <c r="R2763" s="411">
        <v>13.65</v>
      </c>
      <c r="S2763" s="133" t="s">
        <v>6356</v>
      </c>
      <c r="T2763" s="134" t="s">
        <v>145</v>
      </c>
      <c r="U2763" s="267" t="s">
        <v>6357</v>
      </c>
      <c r="AA2763" s="218"/>
    </row>
    <row r="2764" spans="1:27" ht="24" x14ac:dyDescent="0.25">
      <c r="A2764" s="405">
        <v>3002123</v>
      </c>
      <c r="B2764" s="406">
        <v>42500</v>
      </c>
      <c r="C2764" s="405" t="s">
        <v>5682</v>
      </c>
      <c r="D2764" s="401" t="s">
        <v>6358</v>
      </c>
      <c r="E2764" s="120">
        <v>128</v>
      </c>
      <c r="F2764" s="133" t="s">
        <v>165</v>
      </c>
      <c r="G2764" s="404" t="s">
        <v>45</v>
      </c>
      <c r="H2764" s="411">
        <v>126.72</v>
      </c>
      <c r="I2764" s="397">
        <f t="shared" si="508"/>
        <v>-11.4048</v>
      </c>
      <c r="J2764" s="391">
        <f t="shared" si="509"/>
        <v>-2.7076799999999999</v>
      </c>
      <c r="K2764" s="90">
        <f t="shared" si="507"/>
        <v>112.60752000000001</v>
      </c>
      <c r="L2764" s="131">
        <v>440</v>
      </c>
      <c r="M2764" s="187">
        <v>50</v>
      </c>
      <c r="N2764" s="91">
        <f t="shared" si="504"/>
        <v>106.32</v>
      </c>
      <c r="O2764" s="411">
        <f t="shared" ref="O2764:O2827" si="510">K2764-N2764</f>
        <v>6.2875200000000149</v>
      </c>
      <c r="P2764" s="132" t="s">
        <v>86</v>
      </c>
      <c r="Q2764" s="232"/>
      <c r="R2764" s="411"/>
      <c r="T2764" s="134" t="s">
        <v>145</v>
      </c>
      <c r="U2764" s="267" t="s">
        <v>6359</v>
      </c>
      <c r="AA2764" s="218"/>
    </row>
    <row r="2765" spans="1:27" ht="24" x14ac:dyDescent="0.25">
      <c r="A2765" s="405">
        <v>3002124</v>
      </c>
      <c r="B2765" s="406">
        <v>42500</v>
      </c>
      <c r="C2765" s="405" t="s">
        <v>5682</v>
      </c>
      <c r="D2765" s="401" t="s">
        <v>6360</v>
      </c>
      <c r="E2765" s="120">
        <v>100</v>
      </c>
      <c r="F2765" s="133" t="s">
        <v>247</v>
      </c>
      <c r="G2765" s="404" t="s">
        <v>45</v>
      </c>
      <c r="H2765" s="411">
        <v>134</v>
      </c>
      <c r="I2765" s="397">
        <f t="shared" si="508"/>
        <v>-12.059999999999999</v>
      </c>
      <c r="J2765" s="391">
        <f t="shared" si="509"/>
        <v>-2.8459999999999996</v>
      </c>
      <c r="K2765" s="90">
        <f t="shared" si="507"/>
        <v>119.09399999999999</v>
      </c>
      <c r="L2765" s="131">
        <v>540</v>
      </c>
      <c r="M2765" s="187">
        <v>39.07</v>
      </c>
      <c r="N2765" s="91">
        <f t="shared" si="504"/>
        <v>93.07</v>
      </c>
      <c r="O2765" s="411">
        <f t="shared" si="510"/>
        <v>26.024000000000001</v>
      </c>
      <c r="P2765" s="132" t="s">
        <v>86</v>
      </c>
      <c r="Q2765" s="232"/>
      <c r="R2765" s="411"/>
      <c r="T2765" s="134" t="s">
        <v>145</v>
      </c>
      <c r="U2765" s="267" t="s">
        <v>6361</v>
      </c>
      <c r="AA2765" s="218"/>
    </row>
    <row r="2766" spans="1:27" ht="24" x14ac:dyDescent="0.25">
      <c r="A2766" s="405">
        <v>3002125</v>
      </c>
      <c r="B2766" s="406">
        <v>42500</v>
      </c>
      <c r="C2766" s="405" t="s">
        <v>5682</v>
      </c>
      <c r="D2766" s="401" t="s">
        <v>6362</v>
      </c>
      <c r="E2766" s="120">
        <v>50</v>
      </c>
      <c r="F2766" s="133" t="s">
        <v>431</v>
      </c>
      <c r="G2766" s="404" t="s">
        <v>45</v>
      </c>
      <c r="H2766" s="411">
        <v>136.99</v>
      </c>
      <c r="I2766" s="397">
        <f t="shared" si="508"/>
        <v>-12.3291</v>
      </c>
      <c r="J2766" s="391">
        <f t="shared" si="509"/>
        <v>-2.9028100000000001</v>
      </c>
      <c r="K2766" s="90">
        <f t="shared" si="507"/>
        <v>121.75809000000001</v>
      </c>
      <c r="L2766" s="131">
        <v>990</v>
      </c>
      <c r="M2766" s="187">
        <v>27.8</v>
      </c>
      <c r="N2766" s="91">
        <f t="shared" si="504"/>
        <v>77.3</v>
      </c>
      <c r="O2766" s="411">
        <f t="shared" si="510"/>
        <v>44.458090000000013</v>
      </c>
      <c r="P2766" s="132" t="s">
        <v>52</v>
      </c>
      <c r="Q2766" s="232"/>
      <c r="R2766" s="411"/>
      <c r="T2766" s="134" t="s">
        <v>145</v>
      </c>
      <c r="U2766" s="267" t="s">
        <v>6363</v>
      </c>
      <c r="AA2766" s="218"/>
    </row>
    <row r="2767" spans="1:27" x14ac:dyDescent="0.25">
      <c r="A2767" s="405">
        <v>3002126</v>
      </c>
      <c r="B2767" s="406">
        <v>42500</v>
      </c>
      <c r="C2767" s="405" t="s">
        <v>5682</v>
      </c>
      <c r="D2767" s="401" t="s">
        <v>6364</v>
      </c>
      <c r="E2767" s="120">
        <v>175</v>
      </c>
      <c r="F2767" s="133" t="s">
        <v>165</v>
      </c>
      <c r="G2767" s="404" t="s">
        <v>45</v>
      </c>
      <c r="H2767" s="411">
        <v>173.25</v>
      </c>
      <c r="I2767" s="397">
        <f t="shared" si="508"/>
        <v>-15.592499999999999</v>
      </c>
      <c r="J2767" s="391">
        <f t="shared" si="509"/>
        <v>-3.5917499999999998</v>
      </c>
      <c r="K2767" s="90">
        <f t="shared" si="507"/>
        <v>154.06575000000001</v>
      </c>
      <c r="L2767" s="131">
        <v>440</v>
      </c>
      <c r="M2767" s="187">
        <v>26.41</v>
      </c>
      <c r="N2767" s="91">
        <f t="shared" si="504"/>
        <v>103.41000000000001</v>
      </c>
      <c r="O2767" s="411">
        <f t="shared" si="510"/>
        <v>50.655749999999998</v>
      </c>
      <c r="P2767" s="132" t="s">
        <v>86</v>
      </c>
      <c r="Q2767" s="232"/>
      <c r="R2767" s="411"/>
      <c r="T2767" s="134" t="s">
        <v>314</v>
      </c>
      <c r="U2767" s="267" t="s">
        <v>6365</v>
      </c>
      <c r="AA2767" s="218"/>
    </row>
    <row r="2768" spans="1:27" ht="24" x14ac:dyDescent="0.25">
      <c r="A2768" s="405">
        <v>3002127</v>
      </c>
      <c r="B2768" s="406">
        <v>42500</v>
      </c>
      <c r="C2768" s="405" t="s">
        <v>5682</v>
      </c>
      <c r="D2768" s="401" t="s">
        <v>6366</v>
      </c>
      <c r="E2768" s="120">
        <v>100</v>
      </c>
      <c r="F2768" s="133" t="s">
        <v>431</v>
      </c>
      <c r="G2768" s="404" t="s">
        <v>45</v>
      </c>
      <c r="H2768" s="411">
        <v>216.11</v>
      </c>
      <c r="I2768" s="397">
        <f t="shared" si="508"/>
        <v>-19.4499</v>
      </c>
      <c r="J2768" s="391">
        <f t="shared" si="509"/>
        <v>-4.4060899999999998</v>
      </c>
      <c r="K2768" s="90">
        <f t="shared" si="507"/>
        <v>192.25400999999999</v>
      </c>
      <c r="L2768" s="131">
        <v>990</v>
      </c>
      <c r="M2768" s="187">
        <v>40.83</v>
      </c>
      <c r="N2768" s="91">
        <f t="shared" si="504"/>
        <v>139.82999999999998</v>
      </c>
      <c r="O2768" s="411">
        <f t="shared" si="510"/>
        <v>52.42401000000001</v>
      </c>
      <c r="P2768" s="132" t="s">
        <v>52</v>
      </c>
      <c r="Q2768" s="232"/>
      <c r="R2768" s="411"/>
      <c r="T2768" s="134" t="s">
        <v>145</v>
      </c>
      <c r="U2768" s="267" t="s">
        <v>6367</v>
      </c>
      <c r="AA2768" s="218"/>
    </row>
    <row r="2769" spans="1:27" ht="24" x14ac:dyDescent="0.25">
      <c r="A2769" s="405">
        <v>3002128</v>
      </c>
      <c r="B2769" s="406">
        <v>42500</v>
      </c>
      <c r="C2769" s="405" t="s">
        <v>5682</v>
      </c>
      <c r="D2769" s="401" t="s">
        <v>6368</v>
      </c>
      <c r="E2769" s="120">
        <v>100</v>
      </c>
      <c r="F2769" s="133" t="s">
        <v>2200</v>
      </c>
      <c r="G2769" s="404" t="s">
        <v>45</v>
      </c>
      <c r="H2769" s="411">
        <v>102.95</v>
      </c>
      <c r="I2769" s="397">
        <f t="shared" si="508"/>
        <v>-9.2654999999999994</v>
      </c>
      <c r="J2769" s="391">
        <f t="shared" si="509"/>
        <v>-2.2560500000000001</v>
      </c>
      <c r="K2769" s="90">
        <f t="shared" si="507"/>
        <v>91.428449999999998</v>
      </c>
      <c r="L2769" s="131">
        <v>386</v>
      </c>
      <c r="M2769" s="187">
        <v>21.7</v>
      </c>
      <c r="N2769" s="91">
        <f t="shared" si="504"/>
        <v>60.3</v>
      </c>
      <c r="O2769" s="411">
        <f t="shared" si="510"/>
        <v>31.128450000000001</v>
      </c>
      <c r="P2769" s="132" t="s">
        <v>52</v>
      </c>
      <c r="Q2769" s="232"/>
      <c r="R2769" s="411"/>
      <c r="T2769" s="134" t="s">
        <v>145</v>
      </c>
      <c r="U2769" s="267" t="s">
        <v>6369</v>
      </c>
      <c r="AA2769" s="218"/>
    </row>
    <row r="2770" spans="1:27" x14ac:dyDescent="0.25">
      <c r="A2770" s="405">
        <v>3002129</v>
      </c>
      <c r="B2770" s="406">
        <v>42500</v>
      </c>
      <c r="C2770" s="405" t="s">
        <v>5682</v>
      </c>
      <c r="D2770" s="401" t="s">
        <v>6370</v>
      </c>
      <c r="E2770" s="120">
        <v>1000</v>
      </c>
      <c r="F2770" s="133" t="s">
        <v>3946</v>
      </c>
      <c r="G2770" s="404" t="s">
        <v>45</v>
      </c>
      <c r="H2770" s="411">
        <v>1175</v>
      </c>
      <c r="I2770" s="397">
        <f t="shared" si="508"/>
        <v>-105.75</v>
      </c>
      <c r="J2770" s="391">
        <f t="shared" si="509"/>
        <v>-22.625</v>
      </c>
      <c r="K2770" s="90">
        <f t="shared" si="507"/>
        <v>1046.625</v>
      </c>
      <c r="L2770" s="131">
        <v>660</v>
      </c>
      <c r="M2770" s="187">
        <v>186.82</v>
      </c>
      <c r="N2770" s="91">
        <f t="shared" si="504"/>
        <v>846.81999999999994</v>
      </c>
      <c r="O2770" s="411">
        <f t="shared" si="510"/>
        <v>199.80500000000006</v>
      </c>
      <c r="P2770" s="132" t="s">
        <v>52</v>
      </c>
      <c r="Q2770" s="232"/>
      <c r="R2770" s="411"/>
      <c r="T2770" s="134" t="s">
        <v>244</v>
      </c>
      <c r="U2770" s="267" t="s">
        <v>6371</v>
      </c>
      <c r="V2770" s="133" t="s">
        <v>55</v>
      </c>
      <c r="AA2770" s="218"/>
    </row>
    <row r="2771" spans="1:27" ht="24" x14ac:dyDescent="0.25">
      <c r="A2771" s="405">
        <v>3002130</v>
      </c>
      <c r="B2771" s="406">
        <v>42500</v>
      </c>
      <c r="C2771" s="405" t="s">
        <v>5682</v>
      </c>
      <c r="D2771" s="401" t="s">
        <v>6372</v>
      </c>
      <c r="E2771" s="120">
        <v>75</v>
      </c>
      <c r="F2771" s="133" t="s">
        <v>178</v>
      </c>
      <c r="G2771" s="404" t="s">
        <v>45</v>
      </c>
      <c r="H2771" s="411">
        <v>151.47</v>
      </c>
      <c r="I2771" s="397">
        <f t="shared" si="508"/>
        <v>-13.632299999999999</v>
      </c>
      <c r="J2771" s="391">
        <f t="shared" si="509"/>
        <v>-3.1779299999999999</v>
      </c>
      <c r="K2771" s="90">
        <f t="shared" si="507"/>
        <v>134.65977000000001</v>
      </c>
      <c r="L2771" s="131">
        <v>1170</v>
      </c>
      <c r="M2771" s="187">
        <v>33.28</v>
      </c>
      <c r="N2771" s="91">
        <f t="shared" si="504"/>
        <v>121.03</v>
      </c>
      <c r="O2771" s="411">
        <f t="shared" si="510"/>
        <v>13.629770000000008</v>
      </c>
      <c r="P2771" s="132" t="s">
        <v>86</v>
      </c>
      <c r="Q2771" s="232"/>
      <c r="R2771" s="411">
        <v>11.22</v>
      </c>
      <c r="S2771" s="133" t="s">
        <v>6373</v>
      </c>
      <c r="T2771" s="134" t="s">
        <v>145</v>
      </c>
      <c r="U2771" s="267" t="s">
        <v>6374</v>
      </c>
      <c r="AA2771" s="218"/>
    </row>
    <row r="2772" spans="1:27" ht="24" x14ac:dyDescent="0.25">
      <c r="A2772" s="405">
        <v>3002131</v>
      </c>
      <c r="B2772" s="406">
        <v>42500</v>
      </c>
      <c r="C2772" s="405" t="s">
        <v>5682</v>
      </c>
      <c r="D2772" s="401" t="s">
        <v>6375</v>
      </c>
      <c r="E2772" s="120">
        <v>50</v>
      </c>
      <c r="F2772" s="133" t="s">
        <v>1522</v>
      </c>
      <c r="G2772" s="404" t="s">
        <v>45</v>
      </c>
      <c r="H2772" s="411">
        <v>114</v>
      </c>
      <c r="I2772" s="397">
        <f t="shared" si="508"/>
        <v>-10.26</v>
      </c>
      <c r="J2772" s="391">
        <f t="shared" si="509"/>
        <v>-2.4659999999999997</v>
      </c>
      <c r="K2772" s="90">
        <f t="shared" si="507"/>
        <v>101.274</v>
      </c>
      <c r="L2772" s="131">
        <v>4240</v>
      </c>
      <c r="M2772" s="187">
        <v>41.13</v>
      </c>
      <c r="N2772" s="91">
        <f t="shared" si="504"/>
        <v>253.13</v>
      </c>
      <c r="O2772" s="411">
        <f t="shared" si="510"/>
        <v>-151.85599999999999</v>
      </c>
      <c r="P2772" s="132" t="s">
        <v>52</v>
      </c>
      <c r="Q2772" s="232"/>
      <c r="R2772" s="411"/>
      <c r="T2772" s="134" t="s">
        <v>145</v>
      </c>
      <c r="U2772" s="267" t="s">
        <v>6376</v>
      </c>
      <c r="AA2772" s="218"/>
    </row>
    <row r="2773" spans="1:27" ht="24" x14ac:dyDescent="0.25">
      <c r="A2773" s="405">
        <v>3002132</v>
      </c>
      <c r="B2773" s="406">
        <v>42500</v>
      </c>
      <c r="C2773" s="405" t="s">
        <v>5682</v>
      </c>
      <c r="D2773" s="401" t="s">
        <v>6377</v>
      </c>
      <c r="E2773" s="120">
        <v>500</v>
      </c>
      <c r="F2773" s="133" t="s">
        <v>2220</v>
      </c>
      <c r="G2773" s="404" t="s">
        <v>45</v>
      </c>
      <c r="H2773" s="411">
        <v>256.5</v>
      </c>
      <c r="I2773" s="397">
        <f t="shared" si="508"/>
        <v>-23.085000000000001</v>
      </c>
      <c r="J2773" s="391">
        <f t="shared" si="509"/>
        <v>-5.1734999999999998</v>
      </c>
      <c r="K2773" s="90">
        <f t="shared" si="507"/>
        <v>228.2415</v>
      </c>
      <c r="L2773" s="187">
        <v>260</v>
      </c>
      <c r="M2773" s="187">
        <v>20.11</v>
      </c>
      <c r="N2773" s="91">
        <f t="shared" si="504"/>
        <v>150.11000000000001</v>
      </c>
      <c r="O2773" s="411">
        <f t="shared" si="510"/>
        <v>78.131499999999988</v>
      </c>
      <c r="P2773" s="132" t="s">
        <v>235</v>
      </c>
      <c r="Q2773" s="232"/>
      <c r="R2773" s="411"/>
      <c r="T2773" s="134" t="s">
        <v>145</v>
      </c>
      <c r="U2773" s="267" t="s">
        <v>6378</v>
      </c>
      <c r="AA2773" s="218"/>
    </row>
    <row r="2774" spans="1:27" ht="24" x14ac:dyDescent="0.25">
      <c r="A2774" s="405">
        <v>3002133</v>
      </c>
      <c r="B2774" s="406">
        <v>42500</v>
      </c>
      <c r="C2774" s="405" t="s">
        <v>5682</v>
      </c>
      <c r="D2774" s="401" t="s">
        <v>6379</v>
      </c>
      <c r="E2774" s="120">
        <v>10</v>
      </c>
      <c r="F2774" s="133" t="s">
        <v>4341</v>
      </c>
      <c r="G2774" s="404" t="s">
        <v>45</v>
      </c>
      <c r="H2774" s="411">
        <v>132.5</v>
      </c>
      <c r="I2774" s="397">
        <f t="shared" si="508"/>
        <v>-11.924999999999999</v>
      </c>
      <c r="J2774" s="391">
        <f t="shared" si="509"/>
        <v>-2.8174999999999999</v>
      </c>
      <c r="K2774" s="90">
        <f t="shared" si="507"/>
        <v>117.75750000000001</v>
      </c>
      <c r="L2774" s="187">
        <v>7300</v>
      </c>
      <c r="M2774" s="187">
        <v>30.55</v>
      </c>
      <c r="N2774" s="91">
        <f t="shared" si="504"/>
        <v>103.55</v>
      </c>
      <c r="O2774" s="411">
        <f t="shared" si="510"/>
        <v>14.20750000000001</v>
      </c>
      <c r="P2774" s="132" t="s">
        <v>183</v>
      </c>
      <c r="Q2774" s="232"/>
      <c r="R2774" s="411"/>
      <c r="T2774" s="134" t="s">
        <v>145</v>
      </c>
      <c r="U2774" s="267" t="s">
        <v>6380</v>
      </c>
      <c r="V2774" s="133" t="s">
        <v>6381</v>
      </c>
      <c r="AA2774" s="218"/>
    </row>
    <row r="2775" spans="1:27" x14ac:dyDescent="0.25">
      <c r="A2775" s="405">
        <v>3002134</v>
      </c>
      <c r="B2775" s="406">
        <v>42500</v>
      </c>
      <c r="C2775" s="405" t="s">
        <v>5682</v>
      </c>
      <c r="D2775" s="401" t="s">
        <v>6382</v>
      </c>
      <c r="E2775" s="120">
        <v>50</v>
      </c>
      <c r="F2775" s="133" t="s">
        <v>114</v>
      </c>
      <c r="G2775" s="404" t="s">
        <v>45</v>
      </c>
      <c r="H2775" s="411">
        <v>175.75</v>
      </c>
      <c r="I2775" s="397">
        <f t="shared" si="508"/>
        <v>-15.817499999999999</v>
      </c>
      <c r="J2775" s="391">
        <f t="shared" si="509"/>
        <v>-3.6392499999999997</v>
      </c>
      <c r="K2775" s="90">
        <f t="shared" si="507"/>
        <v>156.29325</v>
      </c>
      <c r="L2775" s="131">
        <v>1770</v>
      </c>
      <c r="M2775" s="187">
        <v>49.38</v>
      </c>
      <c r="N2775" s="91">
        <f t="shared" si="504"/>
        <v>137.88</v>
      </c>
      <c r="O2775" s="411">
        <f t="shared" si="510"/>
        <v>18.413250000000005</v>
      </c>
      <c r="P2775" s="132" t="s">
        <v>86</v>
      </c>
      <c r="Q2775" s="232"/>
      <c r="R2775" s="411"/>
      <c r="T2775" s="134" t="s">
        <v>6383</v>
      </c>
      <c r="U2775" s="267" t="s">
        <v>6384</v>
      </c>
      <c r="AA2775" s="218"/>
    </row>
    <row r="2776" spans="1:27" ht="24" x14ac:dyDescent="0.25">
      <c r="A2776" s="405">
        <v>3002135</v>
      </c>
      <c r="B2776" s="406">
        <v>42500</v>
      </c>
      <c r="C2776" s="405" t="s">
        <v>5682</v>
      </c>
      <c r="D2776" s="401" t="s">
        <v>6385</v>
      </c>
      <c r="E2776" s="120">
        <v>500</v>
      </c>
      <c r="F2776" s="133" t="s">
        <v>6386</v>
      </c>
      <c r="G2776" s="404" t="s">
        <v>45</v>
      </c>
      <c r="H2776" s="411">
        <v>209</v>
      </c>
      <c r="I2776" s="397">
        <f t="shared" si="508"/>
        <v>-18.809999999999999</v>
      </c>
      <c r="J2776" s="391">
        <f t="shared" si="509"/>
        <v>-4.2709999999999999</v>
      </c>
      <c r="K2776" s="90">
        <f t="shared" si="507"/>
        <v>185.91900000000001</v>
      </c>
      <c r="L2776" s="131">
        <v>197.8</v>
      </c>
      <c r="M2776" s="187">
        <v>9.9499999999999993</v>
      </c>
      <c r="N2776" s="91">
        <f t="shared" si="504"/>
        <v>108.85000000000001</v>
      </c>
      <c r="O2776" s="411">
        <f t="shared" si="510"/>
        <v>77.069000000000003</v>
      </c>
      <c r="P2776" s="132" t="s">
        <v>86</v>
      </c>
      <c r="Q2776" s="232"/>
      <c r="R2776" s="411"/>
      <c r="T2776" s="134" t="s">
        <v>145</v>
      </c>
      <c r="U2776" s="267" t="s">
        <v>6387</v>
      </c>
      <c r="AA2776" s="218"/>
    </row>
    <row r="2777" spans="1:27" ht="24" x14ac:dyDescent="0.25">
      <c r="A2777" s="405">
        <v>3002136</v>
      </c>
      <c r="B2777" s="406">
        <v>42500</v>
      </c>
      <c r="C2777" s="405" t="s">
        <v>5682</v>
      </c>
      <c r="D2777" s="401" t="s">
        <v>6388</v>
      </c>
      <c r="E2777" s="120">
        <v>50</v>
      </c>
      <c r="F2777" s="133" t="s">
        <v>161</v>
      </c>
      <c r="G2777" s="404" t="s">
        <v>45</v>
      </c>
      <c r="H2777" s="411">
        <v>123.75</v>
      </c>
      <c r="I2777" s="397">
        <f t="shared" si="508"/>
        <v>-11.137499999999999</v>
      </c>
      <c r="J2777" s="391">
        <f t="shared" si="509"/>
        <v>-2.6512499999999997</v>
      </c>
      <c r="K2777" s="90">
        <f t="shared" si="507"/>
        <v>109.96124999999999</v>
      </c>
      <c r="L2777" s="131">
        <v>1322</v>
      </c>
      <c r="M2777" s="187">
        <v>44.4</v>
      </c>
      <c r="N2777" s="91">
        <f t="shared" si="504"/>
        <v>110.5</v>
      </c>
      <c r="O2777" s="411">
        <f t="shared" si="510"/>
        <v>-0.53875000000000739</v>
      </c>
      <c r="P2777" s="132" t="s">
        <v>52</v>
      </c>
      <c r="Q2777" s="232"/>
      <c r="R2777" s="411"/>
      <c r="T2777" s="134" t="s">
        <v>145</v>
      </c>
      <c r="U2777" s="267" t="s">
        <v>6389</v>
      </c>
      <c r="AA2777" s="218"/>
    </row>
    <row r="2778" spans="1:27" ht="24" x14ac:dyDescent="0.25">
      <c r="A2778" s="405">
        <v>3002137</v>
      </c>
      <c r="B2778" s="406">
        <v>42500</v>
      </c>
      <c r="C2778" s="405" t="s">
        <v>5682</v>
      </c>
      <c r="D2778" s="401" t="s">
        <v>6390</v>
      </c>
      <c r="E2778" s="120">
        <v>500</v>
      </c>
      <c r="F2778" s="133" t="s">
        <v>6391</v>
      </c>
      <c r="G2778" s="404" t="s">
        <v>45</v>
      </c>
      <c r="H2778" s="411">
        <v>451.25</v>
      </c>
      <c r="I2778" s="397">
        <f t="shared" si="508"/>
        <v>-40.612499999999997</v>
      </c>
      <c r="J2778" s="391">
        <f t="shared" si="509"/>
        <v>-8.8737500000000011</v>
      </c>
      <c r="K2778" s="90">
        <f t="shared" si="507"/>
        <v>401.76374999999996</v>
      </c>
      <c r="L2778" s="187">
        <v>530</v>
      </c>
      <c r="N2778" s="91">
        <f t="shared" si="504"/>
        <v>265</v>
      </c>
      <c r="O2778" s="411">
        <f t="shared" si="510"/>
        <v>136.76374999999996</v>
      </c>
      <c r="P2778" s="132" t="s">
        <v>313</v>
      </c>
      <c r="Q2778" s="232"/>
      <c r="R2778" s="411"/>
      <c r="T2778" s="134" t="s">
        <v>260</v>
      </c>
      <c r="U2778" s="267" t="s">
        <v>6392</v>
      </c>
      <c r="AA2778" s="218"/>
    </row>
    <row r="2779" spans="1:27" ht="24" x14ac:dyDescent="0.25">
      <c r="A2779" s="419">
        <v>3002138</v>
      </c>
      <c r="B2779" s="421">
        <v>42500</v>
      </c>
      <c r="C2779" s="419" t="s">
        <v>5682</v>
      </c>
      <c r="D2779" s="417" t="s">
        <v>6393</v>
      </c>
      <c r="E2779" s="120">
        <v>250</v>
      </c>
      <c r="F2779" s="133" t="s">
        <v>438</v>
      </c>
      <c r="G2779" s="434" t="s">
        <v>45</v>
      </c>
      <c r="H2779" s="427">
        <v>384.87</v>
      </c>
      <c r="I2779" s="452">
        <f t="shared" si="508"/>
        <v>-34.638300000000001</v>
      </c>
      <c r="J2779" s="425">
        <f t="shared" si="509"/>
        <v>-7.6125299999999996</v>
      </c>
      <c r="K2779" s="425">
        <f t="shared" si="507"/>
        <v>342.61917</v>
      </c>
      <c r="M2779" s="187">
        <v>25</v>
      </c>
      <c r="N2779" s="91">
        <f t="shared" si="504"/>
        <v>25</v>
      </c>
      <c r="O2779" s="411">
        <f t="shared" si="510"/>
        <v>317.61917</v>
      </c>
      <c r="P2779" s="132" t="s">
        <v>52</v>
      </c>
      <c r="Q2779" s="232"/>
      <c r="R2779" s="411"/>
      <c r="T2779" s="134" t="s">
        <v>145</v>
      </c>
      <c r="U2779" s="267" t="s">
        <v>6394</v>
      </c>
      <c r="AA2779" s="218"/>
    </row>
    <row r="2780" spans="1:27" ht="24" x14ac:dyDescent="0.25">
      <c r="A2780" s="420"/>
      <c r="B2780" s="422"/>
      <c r="C2780" s="420"/>
      <c r="D2780" s="418"/>
      <c r="E2780" s="120">
        <v>250</v>
      </c>
      <c r="F2780" s="133" t="s">
        <v>312</v>
      </c>
      <c r="G2780" s="436"/>
      <c r="H2780" s="428"/>
      <c r="I2780" s="453"/>
      <c r="J2780" s="426"/>
      <c r="K2780" s="426"/>
      <c r="L2780" s="187">
        <v>514</v>
      </c>
      <c r="M2780" s="187">
        <v>57.56</v>
      </c>
      <c r="N2780" s="91">
        <f t="shared" si="504"/>
        <v>186.06</v>
      </c>
      <c r="O2780" s="411">
        <f t="shared" si="510"/>
        <v>-186.06</v>
      </c>
      <c r="P2780" s="132" t="s">
        <v>3597</v>
      </c>
      <c r="Q2780" s="232"/>
      <c r="R2780" s="411"/>
      <c r="T2780" s="134" t="s">
        <v>324</v>
      </c>
      <c r="U2780" s="267" t="s">
        <v>6395</v>
      </c>
      <c r="V2780" s="133" t="s">
        <v>6396</v>
      </c>
      <c r="AA2780" s="218"/>
    </row>
    <row r="2781" spans="1:27" ht="24" x14ac:dyDescent="0.25">
      <c r="A2781" s="405">
        <v>3002139</v>
      </c>
      <c r="B2781" s="406">
        <v>42500</v>
      </c>
      <c r="C2781" s="405" t="s">
        <v>5682</v>
      </c>
      <c r="D2781" s="401" t="s">
        <v>6397</v>
      </c>
      <c r="E2781" s="120">
        <v>75</v>
      </c>
      <c r="F2781" s="133" t="s">
        <v>1547</v>
      </c>
      <c r="G2781" s="404" t="s">
        <v>45</v>
      </c>
      <c r="H2781" s="411">
        <v>77.25</v>
      </c>
      <c r="I2781" s="397">
        <f t="shared" si="508"/>
        <v>-6.9524999999999997</v>
      </c>
      <c r="J2781" s="391">
        <f t="shared" si="509"/>
        <v>-1.7677499999999999</v>
      </c>
      <c r="K2781" s="90">
        <f t="shared" si="507"/>
        <v>68.529749999999993</v>
      </c>
      <c r="L2781" s="131">
        <v>385</v>
      </c>
      <c r="M2781" s="187">
        <v>32.65</v>
      </c>
      <c r="N2781" s="91">
        <f t="shared" si="504"/>
        <v>61.524999999999999</v>
      </c>
      <c r="O2781" s="411">
        <f t="shared" si="510"/>
        <v>7.0047499999999943</v>
      </c>
      <c r="P2781" s="132" t="s">
        <v>52</v>
      </c>
      <c r="Q2781" s="232"/>
      <c r="R2781" s="411"/>
      <c r="T2781" s="134" t="s">
        <v>145</v>
      </c>
      <c r="U2781" s="267" t="s">
        <v>6398</v>
      </c>
      <c r="AA2781" s="218"/>
    </row>
    <row r="2782" spans="1:27" x14ac:dyDescent="0.25">
      <c r="A2782" s="405">
        <v>3002140</v>
      </c>
      <c r="B2782" s="406">
        <v>42500</v>
      </c>
      <c r="C2782" s="405" t="s">
        <v>5682</v>
      </c>
      <c r="D2782" s="401" t="s">
        <v>6399</v>
      </c>
      <c r="E2782" s="120">
        <v>900</v>
      </c>
      <c r="F2782" s="133" t="s">
        <v>247</v>
      </c>
      <c r="G2782" s="404" t="s">
        <v>45</v>
      </c>
      <c r="H2782" s="411">
        <v>965.68</v>
      </c>
      <c r="I2782" s="397">
        <f t="shared" si="508"/>
        <v>-86.911199999999994</v>
      </c>
      <c r="J2782" s="391">
        <f t="shared" si="509"/>
        <v>-18.647919999999999</v>
      </c>
      <c r="K2782" s="90">
        <f t="shared" si="507"/>
        <v>860.12087999999994</v>
      </c>
      <c r="L2782" s="131">
        <v>700</v>
      </c>
      <c r="M2782" s="187">
        <v>253.55</v>
      </c>
      <c r="N2782" s="91">
        <f t="shared" si="504"/>
        <v>883.55</v>
      </c>
      <c r="O2782" s="411">
        <f t="shared" si="510"/>
        <v>-23.429120000000012</v>
      </c>
      <c r="P2782" s="132" t="s">
        <v>86</v>
      </c>
      <c r="Q2782" s="232"/>
      <c r="R2782" s="411"/>
      <c r="T2782" s="134" t="s">
        <v>244</v>
      </c>
      <c r="U2782" s="267" t="s">
        <v>6400</v>
      </c>
      <c r="V2782" s="133" t="s">
        <v>55</v>
      </c>
      <c r="AA2782" s="218"/>
    </row>
    <row r="2783" spans="1:27" ht="24" x14ac:dyDescent="0.25">
      <c r="A2783" s="405">
        <v>3002141</v>
      </c>
      <c r="B2783" s="406">
        <v>42500</v>
      </c>
      <c r="C2783" s="405" t="s">
        <v>5682</v>
      </c>
      <c r="D2783" s="401" t="s">
        <v>5513</v>
      </c>
      <c r="E2783" s="120">
        <v>100</v>
      </c>
      <c r="F2783" s="133" t="s">
        <v>300</v>
      </c>
      <c r="G2783" s="404" t="s">
        <v>45</v>
      </c>
      <c r="H2783" s="411">
        <v>427.5</v>
      </c>
      <c r="I2783" s="397">
        <f t="shared" si="508"/>
        <v>-38.475000000000001</v>
      </c>
      <c r="J2783" s="391">
        <f t="shared" si="509"/>
        <v>-8.4225000000000012</v>
      </c>
      <c r="K2783" s="90">
        <f t="shared" si="507"/>
        <v>380.60249999999996</v>
      </c>
      <c r="L2783" s="131">
        <v>2150</v>
      </c>
      <c r="M2783" s="187">
        <v>63.75</v>
      </c>
      <c r="N2783" s="91">
        <f t="shared" si="504"/>
        <v>278.75</v>
      </c>
      <c r="O2783" s="411">
        <f t="shared" si="510"/>
        <v>101.85249999999996</v>
      </c>
      <c r="P2783" s="132" t="s">
        <v>52</v>
      </c>
      <c r="Q2783" s="232"/>
      <c r="R2783" s="411"/>
      <c r="T2783" s="134" t="s">
        <v>145</v>
      </c>
      <c r="U2783" s="267" t="s">
        <v>6401</v>
      </c>
      <c r="AA2783" s="218"/>
    </row>
    <row r="2784" spans="1:27" ht="24" x14ac:dyDescent="0.25">
      <c r="A2784" s="405">
        <v>3002142</v>
      </c>
      <c r="B2784" s="406">
        <v>42500</v>
      </c>
      <c r="C2784" s="405" t="s">
        <v>5682</v>
      </c>
      <c r="D2784" s="401" t="s">
        <v>6402</v>
      </c>
      <c r="E2784" s="120">
        <v>500</v>
      </c>
      <c r="F2784" s="133" t="s">
        <v>3955</v>
      </c>
      <c r="G2784" s="404" t="s">
        <v>45</v>
      </c>
      <c r="H2784" s="411">
        <v>346.5</v>
      </c>
      <c r="I2784" s="397">
        <f t="shared" si="508"/>
        <v>-31.184999999999999</v>
      </c>
      <c r="J2784" s="391">
        <f t="shared" si="509"/>
        <v>-6.8834999999999997</v>
      </c>
      <c r="K2784" s="90">
        <f t="shared" si="507"/>
        <v>308.43149999999997</v>
      </c>
      <c r="L2784" s="187">
        <v>440</v>
      </c>
      <c r="M2784" s="187">
        <v>35.67</v>
      </c>
      <c r="N2784" s="91">
        <f t="shared" si="504"/>
        <v>255.67000000000002</v>
      </c>
      <c r="O2784" s="411">
        <f t="shared" si="510"/>
        <v>52.761499999999955</v>
      </c>
      <c r="P2784" s="132" t="s">
        <v>235</v>
      </c>
      <c r="Q2784" s="232"/>
      <c r="R2784" s="411"/>
      <c r="T2784" s="134" t="s">
        <v>145</v>
      </c>
      <c r="U2784" s="267" t="s">
        <v>6403</v>
      </c>
      <c r="AA2784" s="218"/>
    </row>
    <row r="2785" spans="1:27" ht="24" x14ac:dyDescent="0.25">
      <c r="A2785" s="405">
        <v>3002143</v>
      </c>
      <c r="B2785" s="406">
        <v>42500</v>
      </c>
      <c r="C2785" s="405" t="s">
        <v>5682</v>
      </c>
      <c r="D2785" s="401" t="s">
        <v>6404</v>
      </c>
      <c r="E2785" s="120">
        <v>150</v>
      </c>
      <c r="F2785" s="133" t="s">
        <v>247</v>
      </c>
      <c r="G2785" s="404" t="s">
        <v>45</v>
      </c>
      <c r="H2785" s="411">
        <v>201</v>
      </c>
      <c r="I2785" s="397">
        <f t="shared" si="508"/>
        <v>-18.09</v>
      </c>
      <c r="J2785" s="391">
        <f t="shared" si="509"/>
        <v>-4.1189999999999998</v>
      </c>
      <c r="K2785" s="90">
        <f t="shared" si="507"/>
        <v>178.791</v>
      </c>
      <c r="L2785" s="131">
        <v>662</v>
      </c>
      <c r="M2785" s="187">
        <v>35.64</v>
      </c>
      <c r="N2785" s="91">
        <f t="shared" si="504"/>
        <v>134.94</v>
      </c>
      <c r="O2785" s="411">
        <f t="shared" si="510"/>
        <v>43.850999999999999</v>
      </c>
      <c r="P2785" s="132" t="s">
        <v>86</v>
      </c>
      <c r="Q2785" s="232"/>
      <c r="R2785" s="411"/>
      <c r="T2785" s="134" t="s">
        <v>145</v>
      </c>
      <c r="U2785" s="267" t="s">
        <v>6405</v>
      </c>
      <c r="AA2785" s="218"/>
    </row>
    <row r="2786" spans="1:27" ht="24" x14ac:dyDescent="0.25">
      <c r="A2786" s="405">
        <v>3002144</v>
      </c>
      <c r="B2786" s="406">
        <v>42500</v>
      </c>
      <c r="C2786" s="405" t="s">
        <v>5682</v>
      </c>
      <c r="D2786" s="401" t="s">
        <v>6406</v>
      </c>
      <c r="E2786" s="120">
        <v>500</v>
      </c>
      <c r="F2786" s="133" t="s">
        <v>5503</v>
      </c>
      <c r="G2786" s="404" t="s">
        <v>45</v>
      </c>
      <c r="H2786" s="411">
        <v>228</v>
      </c>
      <c r="I2786" s="397">
        <f t="shared" si="508"/>
        <v>-20.52</v>
      </c>
      <c r="J2786" s="391">
        <f t="shared" si="509"/>
        <v>-4.6319999999999997</v>
      </c>
      <c r="K2786" s="90">
        <f t="shared" si="507"/>
        <v>202.84799999999998</v>
      </c>
      <c r="L2786" s="187">
        <v>245</v>
      </c>
      <c r="M2786" s="187">
        <v>37.67</v>
      </c>
      <c r="N2786" s="91">
        <f t="shared" si="504"/>
        <v>160.17000000000002</v>
      </c>
      <c r="O2786" s="411">
        <f t="shared" si="510"/>
        <v>42.677999999999969</v>
      </c>
      <c r="P2786" s="132" t="s">
        <v>235</v>
      </c>
      <c r="Q2786" s="232"/>
      <c r="R2786" s="411"/>
      <c r="T2786" s="134" t="s">
        <v>145</v>
      </c>
      <c r="U2786" s="267" t="s">
        <v>6407</v>
      </c>
      <c r="AA2786" s="218"/>
    </row>
    <row r="2787" spans="1:27" x14ac:dyDescent="0.25">
      <c r="A2787" s="419">
        <v>3002145</v>
      </c>
      <c r="B2787" s="421">
        <v>42500</v>
      </c>
      <c r="C2787" s="419" t="s">
        <v>42</v>
      </c>
      <c r="D2787" s="417" t="s">
        <v>6408</v>
      </c>
      <c r="E2787" s="120">
        <v>250</v>
      </c>
      <c r="F2787" s="133" t="s">
        <v>1137</v>
      </c>
      <c r="G2787" s="434" t="s">
        <v>45</v>
      </c>
      <c r="H2787" s="427">
        <v>465.5</v>
      </c>
      <c r="I2787" s="452">
        <f t="shared" si="508"/>
        <v>-41.894999999999996</v>
      </c>
      <c r="J2787" s="425">
        <f>-((H2787*0.019)+0.3)</f>
        <v>-9.1445000000000007</v>
      </c>
      <c r="K2787" s="425">
        <f t="shared" si="507"/>
        <v>414.46050000000002</v>
      </c>
      <c r="L2787" s="131">
        <v>220</v>
      </c>
      <c r="M2787" s="187">
        <v>26.96</v>
      </c>
      <c r="N2787" s="91">
        <f t="shared" si="504"/>
        <v>81.960000000000008</v>
      </c>
      <c r="O2787" s="411">
        <f t="shared" si="510"/>
        <v>332.50049999999999</v>
      </c>
      <c r="P2787" s="132" t="s">
        <v>52</v>
      </c>
      <c r="Q2787" s="232"/>
      <c r="R2787" s="411"/>
      <c r="T2787" s="470" t="s">
        <v>145</v>
      </c>
      <c r="U2787" s="267" t="s">
        <v>6409</v>
      </c>
      <c r="AA2787" s="218"/>
    </row>
    <row r="2788" spans="1:27" x14ac:dyDescent="0.25">
      <c r="A2788" s="420"/>
      <c r="B2788" s="422"/>
      <c r="C2788" s="420"/>
      <c r="D2788" s="418"/>
      <c r="E2788" s="120">
        <v>125</v>
      </c>
      <c r="F2788" s="133" t="s">
        <v>161</v>
      </c>
      <c r="G2788" s="436"/>
      <c r="H2788" s="428"/>
      <c r="I2788" s="453"/>
      <c r="J2788" s="426"/>
      <c r="K2788" s="426"/>
      <c r="L2788" s="131">
        <v>1322</v>
      </c>
      <c r="M2788" s="187">
        <v>38.979999999999997</v>
      </c>
      <c r="N2788" s="91">
        <f t="shared" si="504"/>
        <v>204.23</v>
      </c>
      <c r="O2788" s="411">
        <f t="shared" si="510"/>
        <v>-204.23</v>
      </c>
      <c r="P2788" s="132" t="s">
        <v>52</v>
      </c>
      <c r="Q2788" s="232"/>
      <c r="R2788" s="411"/>
      <c r="T2788" s="472"/>
      <c r="U2788" s="267" t="s">
        <v>6410</v>
      </c>
      <c r="AA2788" s="218"/>
    </row>
    <row r="2789" spans="1:27" ht="24" x14ac:dyDescent="0.25">
      <c r="A2789" s="405">
        <v>3002146</v>
      </c>
      <c r="B2789" s="406">
        <v>42500</v>
      </c>
      <c r="C2789" s="405" t="s">
        <v>5682</v>
      </c>
      <c r="D2789" s="401" t="s">
        <v>6411</v>
      </c>
      <c r="E2789" s="120">
        <v>100</v>
      </c>
      <c r="F2789" s="133" t="s">
        <v>2361</v>
      </c>
      <c r="G2789" s="404" t="s">
        <v>45</v>
      </c>
      <c r="H2789" s="411">
        <v>140</v>
      </c>
      <c r="I2789" s="397">
        <f t="shared" si="508"/>
        <v>-12.6</v>
      </c>
      <c r="J2789" s="391">
        <f t="shared" ref="J2789:J2790" si="511">-((H2789*0.019)+0.3)</f>
        <v>-2.96</v>
      </c>
      <c r="K2789" s="90">
        <f t="shared" si="507"/>
        <v>124.44000000000001</v>
      </c>
      <c r="M2789" s="187">
        <v>45.21</v>
      </c>
      <c r="N2789" s="91">
        <f t="shared" si="504"/>
        <v>45.21</v>
      </c>
      <c r="O2789" s="411">
        <f t="shared" si="510"/>
        <v>79.230000000000018</v>
      </c>
      <c r="P2789" s="132" t="s">
        <v>52</v>
      </c>
      <c r="Q2789" s="232"/>
      <c r="R2789" s="411"/>
      <c r="T2789" s="134" t="s">
        <v>145</v>
      </c>
      <c r="U2789" s="267" t="s">
        <v>6412</v>
      </c>
      <c r="AA2789" s="218"/>
    </row>
    <row r="2790" spans="1:27" ht="24" x14ac:dyDescent="0.25">
      <c r="A2790" s="405">
        <v>3002147</v>
      </c>
      <c r="B2790" s="406">
        <v>42500</v>
      </c>
      <c r="C2790" s="405" t="s">
        <v>5682</v>
      </c>
      <c r="D2790" s="401" t="s">
        <v>6413</v>
      </c>
      <c r="E2790" s="120">
        <v>100</v>
      </c>
      <c r="F2790" s="133" t="s">
        <v>593</v>
      </c>
      <c r="G2790" s="404" t="s">
        <v>45</v>
      </c>
      <c r="H2790" s="411">
        <v>138.9</v>
      </c>
      <c r="I2790" s="397">
        <f t="shared" si="508"/>
        <v>-12.500999999999999</v>
      </c>
      <c r="J2790" s="391">
        <f t="shared" si="511"/>
        <v>-2.9390999999999998</v>
      </c>
      <c r="K2790" s="90">
        <f t="shared" si="507"/>
        <v>123.4599</v>
      </c>
      <c r="L2790" s="131">
        <v>660</v>
      </c>
      <c r="M2790" s="187">
        <v>32.94</v>
      </c>
      <c r="N2790" s="91">
        <f t="shared" si="504"/>
        <v>98.94</v>
      </c>
      <c r="O2790" s="411">
        <f t="shared" si="510"/>
        <v>24.519900000000007</v>
      </c>
      <c r="P2790" s="132" t="s">
        <v>52</v>
      </c>
      <c r="Q2790" s="232"/>
      <c r="R2790" s="411"/>
      <c r="T2790" s="134" t="s">
        <v>145</v>
      </c>
      <c r="U2790" s="267" t="s">
        <v>6414</v>
      </c>
      <c r="AA2790" s="218"/>
    </row>
    <row r="2791" spans="1:27" ht="24" x14ac:dyDescent="0.25">
      <c r="A2791" s="405">
        <v>3002148</v>
      </c>
      <c r="B2791" s="406">
        <v>42500</v>
      </c>
      <c r="C2791" s="405" t="s">
        <v>141</v>
      </c>
      <c r="D2791" s="401" t="s">
        <v>6415</v>
      </c>
      <c r="E2791" s="120">
        <v>75</v>
      </c>
      <c r="F2791" s="133" t="s">
        <v>688</v>
      </c>
      <c r="G2791" s="404" t="s">
        <v>45</v>
      </c>
      <c r="H2791" s="411">
        <v>142.5</v>
      </c>
      <c r="I2791" s="411">
        <v>0</v>
      </c>
      <c r="J2791" s="391">
        <f>-((H2791*0.0325)+0.3)</f>
        <v>-4.9312500000000004</v>
      </c>
      <c r="K2791" s="90">
        <f t="shared" si="507"/>
        <v>137.56874999999999</v>
      </c>
      <c r="L2791" s="131">
        <v>856</v>
      </c>
      <c r="M2791" s="187">
        <v>31.37</v>
      </c>
      <c r="N2791" s="91">
        <f t="shared" si="504"/>
        <v>95.570000000000007</v>
      </c>
      <c r="O2791" s="411">
        <f t="shared" si="510"/>
        <v>41.998749999999987</v>
      </c>
      <c r="P2791" s="132" t="s">
        <v>52</v>
      </c>
      <c r="Q2791" s="232"/>
      <c r="R2791" s="411"/>
      <c r="T2791" s="134" t="s">
        <v>145</v>
      </c>
      <c r="U2791" s="267" t="s">
        <v>6416</v>
      </c>
      <c r="W2791" s="153" t="s">
        <v>6417</v>
      </c>
      <c r="AA2791" s="218"/>
    </row>
    <row r="2792" spans="1:27" ht="24" x14ac:dyDescent="0.25">
      <c r="A2792" s="405">
        <v>3002149</v>
      </c>
      <c r="B2792" s="406">
        <v>42500</v>
      </c>
      <c r="C2792" s="405" t="s">
        <v>159</v>
      </c>
      <c r="D2792" s="401" t="s">
        <v>6418</v>
      </c>
      <c r="E2792" s="120">
        <v>60</v>
      </c>
      <c r="F2792" s="133" t="s">
        <v>1085</v>
      </c>
      <c r="G2792" s="404" t="s">
        <v>45</v>
      </c>
      <c r="H2792" s="411">
        <v>510</v>
      </c>
      <c r="I2792" s="411">
        <v>0</v>
      </c>
      <c r="J2792" s="391">
        <f t="shared" ref="J2792:J2793" si="512">-((H2792*0.019)+0.3)</f>
        <v>-9.99</v>
      </c>
      <c r="K2792" s="90">
        <f t="shared" si="507"/>
        <v>500.01</v>
      </c>
      <c r="L2792" s="131">
        <v>4500</v>
      </c>
      <c r="M2792" s="187">
        <v>47.07</v>
      </c>
      <c r="N2792" s="91">
        <f t="shared" si="504"/>
        <v>317.07</v>
      </c>
      <c r="O2792" s="411">
        <f t="shared" si="510"/>
        <v>182.94</v>
      </c>
      <c r="P2792" s="132" t="s">
        <v>52</v>
      </c>
      <c r="Q2792" s="232"/>
      <c r="R2792" s="411"/>
      <c r="T2792" s="134" t="s">
        <v>145</v>
      </c>
      <c r="U2792" s="267" t="s">
        <v>6419</v>
      </c>
      <c r="W2792" s="153" t="s">
        <v>6420</v>
      </c>
      <c r="AA2792" s="218"/>
    </row>
    <row r="2793" spans="1:27" ht="24" x14ac:dyDescent="0.25">
      <c r="A2793" s="405">
        <v>3002150</v>
      </c>
      <c r="B2793" s="406">
        <v>42500</v>
      </c>
      <c r="C2793" s="405" t="s">
        <v>159</v>
      </c>
      <c r="D2793" s="401" t="s">
        <v>6421</v>
      </c>
      <c r="E2793" s="120">
        <v>85</v>
      </c>
      <c r="F2793" s="133" t="s">
        <v>1991</v>
      </c>
      <c r="G2793" s="404" t="s">
        <v>45</v>
      </c>
      <c r="H2793" s="411">
        <v>429.25</v>
      </c>
      <c r="I2793" s="411">
        <v>0</v>
      </c>
      <c r="J2793" s="391">
        <f t="shared" si="512"/>
        <v>-8.4557500000000001</v>
      </c>
      <c r="K2793" s="90">
        <f t="shared" si="507"/>
        <v>420.79424999999998</v>
      </c>
      <c r="L2793" s="131">
        <v>3000</v>
      </c>
      <c r="M2793" s="187">
        <v>37.6</v>
      </c>
      <c r="N2793" s="91">
        <f t="shared" si="504"/>
        <v>292.60000000000002</v>
      </c>
      <c r="O2793" s="411">
        <f t="shared" si="510"/>
        <v>128.19424999999995</v>
      </c>
      <c r="P2793" s="132" t="s">
        <v>52</v>
      </c>
      <c r="Q2793" s="232"/>
      <c r="R2793" s="411"/>
      <c r="T2793" s="134" t="s">
        <v>145</v>
      </c>
      <c r="U2793" s="267" t="s">
        <v>6422</v>
      </c>
      <c r="W2793" s="153" t="s">
        <v>6423</v>
      </c>
      <c r="AA2793" s="218"/>
    </row>
    <row r="2794" spans="1:27" ht="24" x14ac:dyDescent="0.25">
      <c r="A2794" s="405">
        <v>3002151</v>
      </c>
      <c r="B2794" s="406">
        <v>42500</v>
      </c>
      <c r="C2794" s="405" t="s">
        <v>327</v>
      </c>
      <c r="D2794" s="401" t="s">
        <v>6005</v>
      </c>
      <c r="E2794" s="120">
        <v>161</v>
      </c>
      <c r="F2794" s="133" t="s">
        <v>1547</v>
      </c>
      <c r="G2794" s="404" t="s">
        <v>45</v>
      </c>
      <c r="H2794" s="411">
        <v>139.97999999999999</v>
      </c>
      <c r="I2794" s="411">
        <v>0</v>
      </c>
      <c r="J2794" s="391">
        <f>-((H2794*0.022)+0.3)</f>
        <v>-3.3795599999999992</v>
      </c>
      <c r="K2794" s="90">
        <f t="shared" si="507"/>
        <v>136.60043999999999</v>
      </c>
      <c r="L2794" s="131">
        <v>385</v>
      </c>
      <c r="M2794" s="187">
        <v>50.81</v>
      </c>
      <c r="N2794" s="91">
        <f t="shared" si="504"/>
        <v>112.795</v>
      </c>
      <c r="O2794" s="411">
        <f t="shared" si="510"/>
        <v>23.80543999999999</v>
      </c>
      <c r="P2794" s="132" t="s">
        <v>52</v>
      </c>
      <c r="Q2794" s="232"/>
      <c r="R2794" s="411"/>
      <c r="T2794" s="134" t="s">
        <v>145</v>
      </c>
      <c r="U2794" s="267" t="s">
        <v>6424</v>
      </c>
      <c r="W2794" s="153" t="s">
        <v>6425</v>
      </c>
      <c r="AA2794" s="218"/>
    </row>
    <row r="2795" spans="1:27" ht="24" x14ac:dyDescent="0.25">
      <c r="A2795" s="405">
        <v>3002152</v>
      </c>
      <c r="B2795" s="406">
        <v>42500</v>
      </c>
      <c r="C2795" s="405" t="s">
        <v>63</v>
      </c>
      <c r="D2795" s="401" t="s">
        <v>6426</v>
      </c>
      <c r="E2795" s="120">
        <v>500</v>
      </c>
      <c r="F2795" s="133" t="s">
        <v>1422</v>
      </c>
      <c r="G2795" s="404" t="s">
        <v>45</v>
      </c>
      <c r="H2795" s="411">
        <v>2250</v>
      </c>
      <c r="I2795" s="411">
        <v>0</v>
      </c>
      <c r="J2795" s="391">
        <f>-((H2795*0.022)+0.3)</f>
        <v>-49.8</v>
      </c>
      <c r="K2795" s="90">
        <f t="shared" si="507"/>
        <v>2200.1999999999998</v>
      </c>
      <c r="L2795" s="187">
        <v>2600</v>
      </c>
      <c r="M2795" s="187">
        <v>149.16</v>
      </c>
      <c r="N2795" s="91">
        <f t="shared" si="504"/>
        <v>1449.16</v>
      </c>
      <c r="O2795" s="411">
        <f t="shared" si="510"/>
        <v>751.03999999999974</v>
      </c>
      <c r="P2795" s="132" t="s">
        <v>183</v>
      </c>
      <c r="Q2795" s="232"/>
      <c r="R2795" s="411"/>
      <c r="T2795" s="134" t="s">
        <v>3488</v>
      </c>
      <c r="U2795" s="267" t="s">
        <v>6427</v>
      </c>
      <c r="W2795" s="153" t="s">
        <v>603</v>
      </c>
      <c r="AA2795" s="218">
        <v>25</v>
      </c>
    </row>
    <row r="2796" spans="1:27" ht="24" x14ac:dyDescent="0.25">
      <c r="A2796" s="405">
        <v>3002153</v>
      </c>
      <c r="B2796" s="406">
        <v>42500</v>
      </c>
      <c r="C2796" s="405" t="s">
        <v>5682</v>
      </c>
      <c r="D2796" s="401" t="s">
        <v>3421</v>
      </c>
      <c r="E2796" s="120">
        <v>50</v>
      </c>
      <c r="F2796" s="133" t="s">
        <v>431</v>
      </c>
      <c r="G2796" s="404" t="s">
        <v>45</v>
      </c>
      <c r="H2796" s="411">
        <v>136.99</v>
      </c>
      <c r="I2796" s="397">
        <f t="shared" ref="I2796:I2799" si="513">-(H2796*0.09)</f>
        <v>-12.3291</v>
      </c>
      <c r="J2796" s="391">
        <f t="shared" ref="J2796:J2801" si="514">-((H2796*0.019)+0.3)</f>
        <v>-2.9028100000000001</v>
      </c>
      <c r="K2796" s="90">
        <f t="shared" si="507"/>
        <v>121.75809000000001</v>
      </c>
      <c r="L2796" s="131">
        <v>990</v>
      </c>
      <c r="M2796" s="187">
        <v>27.8</v>
      </c>
      <c r="N2796" s="91">
        <f t="shared" si="504"/>
        <v>77.3</v>
      </c>
      <c r="O2796" s="411">
        <f t="shared" si="510"/>
        <v>44.458090000000013</v>
      </c>
      <c r="P2796" s="132" t="s">
        <v>52</v>
      </c>
      <c r="Q2796" s="232"/>
      <c r="R2796" s="411"/>
      <c r="T2796" s="134" t="s">
        <v>145</v>
      </c>
      <c r="U2796" s="267" t="s">
        <v>6428</v>
      </c>
      <c r="AA2796" s="218"/>
    </row>
    <row r="2797" spans="1:27" ht="24" x14ac:dyDescent="0.25">
      <c r="A2797" s="405">
        <v>3002154</v>
      </c>
      <c r="B2797" s="406">
        <v>42500</v>
      </c>
      <c r="C2797" s="405" t="s">
        <v>5682</v>
      </c>
      <c r="D2797" s="401" t="s">
        <v>6429</v>
      </c>
      <c r="E2797" s="120">
        <v>175</v>
      </c>
      <c r="F2797" s="133" t="s">
        <v>247</v>
      </c>
      <c r="G2797" s="404" t="s">
        <v>45</v>
      </c>
      <c r="H2797" s="411">
        <v>249.54</v>
      </c>
      <c r="I2797" s="397">
        <f t="shared" si="513"/>
        <v>-22.458599999999997</v>
      </c>
      <c r="J2797" s="391">
        <f t="shared" si="514"/>
        <v>-5.0412599999999994</v>
      </c>
      <c r="K2797" s="90">
        <f t="shared" si="507"/>
        <v>222.04014000000001</v>
      </c>
      <c r="L2797" s="131">
        <v>662</v>
      </c>
      <c r="M2797" s="187">
        <v>21.01</v>
      </c>
      <c r="N2797" s="91">
        <f t="shared" ref="N2797:N2861" si="515">((L2797)*(E2797*0.001))+M2797</f>
        <v>136.86000000000001</v>
      </c>
      <c r="O2797" s="411">
        <f t="shared" si="510"/>
        <v>85.180139999999994</v>
      </c>
      <c r="P2797" s="132" t="s">
        <v>86</v>
      </c>
      <c r="Q2797" s="232"/>
      <c r="R2797" s="411"/>
      <c r="T2797" s="134" t="s">
        <v>145</v>
      </c>
      <c r="U2797" s="267" t="s">
        <v>6430</v>
      </c>
      <c r="AA2797" s="218"/>
    </row>
    <row r="2798" spans="1:27" ht="24" x14ac:dyDescent="0.25">
      <c r="A2798" s="405">
        <v>3002155</v>
      </c>
      <c r="B2798" s="406">
        <v>42500</v>
      </c>
      <c r="C2798" s="405" t="s">
        <v>5682</v>
      </c>
      <c r="D2798" s="401" t="s">
        <v>6431</v>
      </c>
      <c r="E2798" s="120">
        <v>100</v>
      </c>
      <c r="F2798" s="133" t="s">
        <v>161</v>
      </c>
      <c r="G2798" s="404" t="s">
        <v>45</v>
      </c>
      <c r="H2798" s="411">
        <v>235</v>
      </c>
      <c r="I2798" s="397">
        <f t="shared" si="513"/>
        <v>-21.15</v>
      </c>
      <c r="J2798" s="391">
        <f t="shared" si="514"/>
        <v>-4.7649999999999997</v>
      </c>
      <c r="K2798" s="90">
        <f t="shared" si="507"/>
        <v>209.08500000000001</v>
      </c>
      <c r="L2798" s="131">
        <v>1322</v>
      </c>
      <c r="M2798" s="187">
        <v>59.93</v>
      </c>
      <c r="N2798" s="91">
        <f t="shared" si="515"/>
        <v>192.13000000000002</v>
      </c>
      <c r="O2798" s="411">
        <f t="shared" si="510"/>
        <v>16.954999999999984</v>
      </c>
      <c r="P2798" s="132" t="s">
        <v>86</v>
      </c>
      <c r="Q2798" s="232"/>
      <c r="R2798" s="411"/>
      <c r="T2798" s="134" t="s">
        <v>145</v>
      </c>
      <c r="U2798" s="267" t="s">
        <v>6432</v>
      </c>
      <c r="AA2798" s="218"/>
    </row>
    <row r="2799" spans="1:27" ht="24" x14ac:dyDescent="0.25">
      <c r="A2799" s="405">
        <v>3002156</v>
      </c>
      <c r="B2799" s="406">
        <v>42500</v>
      </c>
      <c r="C2799" s="405" t="s">
        <v>5682</v>
      </c>
      <c r="D2799" s="401" t="s">
        <v>6433</v>
      </c>
      <c r="E2799" s="120">
        <v>100</v>
      </c>
      <c r="F2799" s="133" t="s">
        <v>582</v>
      </c>
      <c r="G2799" s="404" t="s">
        <v>45</v>
      </c>
      <c r="H2799" s="411">
        <v>89.1</v>
      </c>
      <c r="I2799" s="397">
        <f t="shared" si="513"/>
        <v>-8.0189999999999984</v>
      </c>
      <c r="J2799" s="391">
        <f t="shared" si="514"/>
        <v>-1.9928999999999999</v>
      </c>
      <c r="K2799" s="90">
        <f t="shared" si="507"/>
        <v>79.088099999999983</v>
      </c>
      <c r="M2799" s="187">
        <v>18.95</v>
      </c>
      <c r="N2799" s="91">
        <f t="shared" si="515"/>
        <v>18.95</v>
      </c>
      <c r="O2799" s="411">
        <f t="shared" si="510"/>
        <v>60.13809999999998</v>
      </c>
      <c r="P2799" s="132" t="s">
        <v>52</v>
      </c>
      <c r="Q2799" s="232"/>
      <c r="R2799" s="411"/>
      <c r="T2799" s="134" t="s">
        <v>145</v>
      </c>
      <c r="U2799" s="267" t="s">
        <v>6434</v>
      </c>
      <c r="AA2799" s="218"/>
    </row>
    <row r="2800" spans="1:27" ht="24" x14ac:dyDescent="0.25">
      <c r="A2800" s="405">
        <v>3002157</v>
      </c>
      <c r="B2800" s="406">
        <v>42500</v>
      </c>
      <c r="C2800" s="405" t="s">
        <v>63</v>
      </c>
      <c r="D2800" s="401" t="s">
        <v>6435</v>
      </c>
      <c r="E2800" s="120">
        <v>500</v>
      </c>
      <c r="F2800" s="133" t="s">
        <v>6436</v>
      </c>
      <c r="G2800" s="404" t="s">
        <v>45</v>
      </c>
      <c r="H2800" s="411">
        <v>435</v>
      </c>
      <c r="I2800" s="411">
        <v>0</v>
      </c>
      <c r="J2800" s="391">
        <f>-((H2800*0.022)+0.3)</f>
        <v>-9.870000000000001</v>
      </c>
      <c r="K2800" s="90">
        <f t="shared" si="507"/>
        <v>425.13</v>
      </c>
      <c r="L2800" s="131">
        <v>523</v>
      </c>
      <c r="M2800" s="187">
        <v>58.06</v>
      </c>
      <c r="N2800" s="91">
        <f t="shared" si="515"/>
        <v>319.56</v>
      </c>
      <c r="O2800" s="411">
        <f t="shared" si="510"/>
        <v>105.57</v>
      </c>
      <c r="P2800" s="132" t="s">
        <v>52</v>
      </c>
      <c r="Q2800" s="232"/>
      <c r="R2800" s="411"/>
      <c r="T2800" s="134" t="s">
        <v>145</v>
      </c>
      <c r="U2800" s="266" t="s">
        <v>6437</v>
      </c>
      <c r="W2800" s="153" t="s">
        <v>6438</v>
      </c>
      <c r="AA2800" s="218"/>
    </row>
    <row r="2801" spans="1:27" ht="24" x14ac:dyDescent="0.25">
      <c r="A2801" s="405">
        <v>3002158</v>
      </c>
      <c r="B2801" s="406">
        <v>42500</v>
      </c>
      <c r="C2801" s="405" t="s">
        <v>78</v>
      </c>
      <c r="D2801" s="401" t="s">
        <v>3544</v>
      </c>
      <c r="E2801" s="120">
        <v>197</v>
      </c>
      <c r="F2801" s="133" t="s">
        <v>6439</v>
      </c>
      <c r="G2801" s="404" t="s">
        <v>45</v>
      </c>
      <c r="H2801" s="411">
        <v>760</v>
      </c>
      <c r="I2801" s="411">
        <v>0</v>
      </c>
      <c r="J2801" s="391">
        <f t="shared" si="514"/>
        <v>-14.74</v>
      </c>
      <c r="K2801" s="90">
        <f t="shared" si="507"/>
        <v>745.26</v>
      </c>
      <c r="L2801" s="187">
        <v>540</v>
      </c>
      <c r="M2801" s="131">
        <v>250</v>
      </c>
      <c r="N2801" s="91">
        <f t="shared" si="515"/>
        <v>356.38</v>
      </c>
      <c r="O2801" s="411">
        <f t="shared" si="510"/>
        <v>388.88</v>
      </c>
      <c r="P2801" s="132" t="s">
        <v>235</v>
      </c>
      <c r="Q2801" s="232"/>
      <c r="R2801" s="411"/>
      <c r="T2801" s="135" t="s">
        <v>6440</v>
      </c>
      <c r="V2801" s="133" t="s">
        <v>55</v>
      </c>
      <c r="W2801" s="153" t="s">
        <v>3548</v>
      </c>
      <c r="AA2801" s="218"/>
    </row>
    <row r="2802" spans="1:27" ht="24" x14ac:dyDescent="0.25">
      <c r="A2802" s="405">
        <v>3002159</v>
      </c>
      <c r="B2802" s="406">
        <v>42501</v>
      </c>
      <c r="C2802" s="405" t="s">
        <v>56</v>
      </c>
      <c r="D2802" s="401" t="s">
        <v>1932</v>
      </c>
      <c r="E2802" s="120">
        <v>250</v>
      </c>
      <c r="F2802" s="133" t="s">
        <v>1081</v>
      </c>
      <c r="G2802" s="242" t="s">
        <v>45</v>
      </c>
      <c r="H2802" s="411">
        <v>525</v>
      </c>
      <c r="I2802" s="411">
        <v>0</v>
      </c>
      <c r="J2802" s="411">
        <v>0</v>
      </c>
      <c r="K2802" s="90">
        <f t="shared" si="507"/>
        <v>525</v>
      </c>
      <c r="L2802" s="187">
        <v>1450</v>
      </c>
      <c r="M2802" s="131">
        <v>0</v>
      </c>
      <c r="N2802" s="91">
        <f t="shared" si="515"/>
        <v>362.5</v>
      </c>
      <c r="O2802" s="411">
        <f t="shared" si="510"/>
        <v>162.5</v>
      </c>
      <c r="P2802" s="132" t="s">
        <v>66</v>
      </c>
      <c r="Q2802" s="232"/>
      <c r="R2802" s="411"/>
      <c r="T2802" s="134" t="s">
        <v>1254</v>
      </c>
      <c r="U2802" s="266">
        <v>959110000</v>
      </c>
      <c r="V2802" s="133" t="s">
        <v>6441</v>
      </c>
      <c r="W2802" s="153" t="s">
        <v>1935</v>
      </c>
      <c r="AA2802" s="218"/>
    </row>
    <row r="2803" spans="1:27" ht="24" x14ac:dyDescent="0.25">
      <c r="A2803" s="405">
        <v>3002160</v>
      </c>
      <c r="B2803" s="406">
        <v>42501</v>
      </c>
      <c r="C2803" s="405" t="s">
        <v>63</v>
      </c>
      <c r="D2803" s="401" t="s">
        <v>6442</v>
      </c>
      <c r="E2803" s="120">
        <v>500</v>
      </c>
      <c r="F2803" s="133" t="s">
        <v>1236</v>
      </c>
      <c r="G2803" s="404" t="s">
        <v>45</v>
      </c>
      <c r="H2803" s="411">
        <v>186</v>
      </c>
      <c r="I2803" s="411">
        <v>0</v>
      </c>
      <c r="J2803" s="391">
        <f>-((H2803*0.022)+0.3)</f>
        <v>-4.3919999999999995</v>
      </c>
      <c r="K2803" s="90">
        <f t="shared" si="507"/>
        <v>181.608</v>
      </c>
      <c r="L2803" s="187">
        <v>204</v>
      </c>
      <c r="M2803" s="187">
        <v>28.59</v>
      </c>
      <c r="N2803" s="91">
        <f t="shared" si="515"/>
        <v>130.59</v>
      </c>
      <c r="O2803" s="411">
        <f t="shared" si="510"/>
        <v>51.018000000000001</v>
      </c>
      <c r="P2803" s="132" t="s">
        <v>183</v>
      </c>
      <c r="Q2803" s="232"/>
      <c r="R2803" s="411"/>
      <c r="T2803" s="134" t="s">
        <v>145</v>
      </c>
      <c r="U2803" s="267" t="s">
        <v>6443</v>
      </c>
      <c r="W2803" s="153" t="s">
        <v>6444</v>
      </c>
      <c r="AA2803" s="218"/>
    </row>
    <row r="2804" spans="1:27" x14ac:dyDescent="0.25">
      <c r="A2804" s="405">
        <v>3002161</v>
      </c>
      <c r="B2804" s="406">
        <v>42501</v>
      </c>
      <c r="C2804" s="405" t="s">
        <v>63</v>
      </c>
      <c r="D2804" s="401" t="s">
        <v>6445</v>
      </c>
      <c r="E2804" s="120">
        <v>400</v>
      </c>
      <c r="F2804" s="133" t="s">
        <v>605</v>
      </c>
      <c r="G2804" s="404" t="s">
        <v>45</v>
      </c>
      <c r="H2804" s="411">
        <v>585</v>
      </c>
      <c r="I2804" s="411">
        <v>0</v>
      </c>
      <c r="J2804" s="391">
        <f>-((H2804*0.022)+0.3)</f>
        <v>-13.17</v>
      </c>
      <c r="K2804" s="90">
        <f t="shared" si="507"/>
        <v>571.83000000000004</v>
      </c>
      <c r="L2804" s="131">
        <v>600</v>
      </c>
      <c r="M2804" s="187">
        <v>224.84</v>
      </c>
      <c r="N2804" s="91">
        <f t="shared" si="515"/>
        <v>464.84000000000003</v>
      </c>
      <c r="O2804" s="411">
        <f t="shared" si="510"/>
        <v>106.99000000000001</v>
      </c>
      <c r="P2804" s="132" t="s">
        <v>52</v>
      </c>
      <c r="Q2804" s="232"/>
      <c r="R2804" s="411"/>
      <c r="T2804" s="134" t="s">
        <v>97</v>
      </c>
      <c r="U2804" s="267" t="s">
        <v>6446</v>
      </c>
      <c r="V2804" s="133" t="s">
        <v>55</v>
      </c>
      <c r="W2804" s="153" t="s">
        <v>6447</v>
      </c>
      <c r="AA2804" s="218"/>
    </row>
    <row r="2805" spans="1:27" ht="24" x14ac:dyDescent="0.25">
      <c r="A2805" s="405">
        <v>3002162</v>
      </c>
      <c r="B2805" s="406">
        <v>42501</v>
      </c>
      <c r="C2805" s="405" t="s">
        <v>5682</v>
      </c>
      <c r="D2805" s="401" t="s">
        <v>6448</v>
      </c>
      <c r="E2805" s="120">
        <v>250</v>
      </c>
      <c r="F2805" s="133" t="s">
        <v>4245</v>
      </c>
      <c r="G2805" s="404" t="s">
        <v>45</v>
      </c>
      <c r="H2805" s="411">
        <v>94.91</v>
      </c>
      <c r="I2805" s="397">
        <f t="shared" ref="I2805:I2811" si="516">-(H2805*0.09)</f>
        <v>-8.5419</v>
      </c>
      <c r="J2805" s="391">
        <f t="shared" ref="J2805:J2811" si="517">-((H2805*0.019)+0.3)</f>
        <v>-2.1032899999999999</v>
      </c>
      <c r="K2805" s="90">
        <f t="shared" si="507"/>
        <v>84.264809999999997</v>
      </c>
      <c r="M2805" s="187">
        <v>23.67</v>
      </c>
      <c r="N2805" s="91">
        <f t="shared" si="515"/>
        <v>23.67</v>
      </c>
      <c r="O2805" s="411">
        <f t="shared" si="510"/>
        <v>60.594809999999995</v>
      </c>
      <c r="P2805" s="132" t="s">
        <v>52</v>
      </c>
      <c r="Q2805" s="232"/>
      <c r="R2805" s="411"/>
      <c r="T2805" s="134" t="s">
        <v>145</v>
      </c>
      <c r="U2805" s="267" t="s">
        <v>6449</v>
      </c>
      <c r="AA2805" s="218"/>
    </row>
    <row r="2806" spans="1:27" ht="24" x14ac:dyDescent="0.25">
      <c r="A2806" s="405">
        <v>3002163</v>
      </c>
      <c r="B2806" s="406">
        <v>42501</v>
      </c>
      <c r="C2806" s="405" t="s">
        <v>5682</v>
      </c>
      <c r="D2806" s="401" t="s">
        <v>6450</v>
      </c>
      <c r="E2806" s="120">
        <v>250</v>
      </c>
      <c r="F2806" s="133" t="s">
        <v>451</v>
      </c>
      <c r="G2806" s="404" t="s">
        <v>45</v>
      </c>
      <c r="H2806" s="411">
        <v>163.55000000000001</v>
      </c>
      <c r="I2806" s="397">
        <f t="shared" si="516"/>
        <v>-14.7195</v>
      </c>
      <c r="J2806" s="391">
        <f t="shared" si="517"/>
        <v>-3.4074499999999999</v>
      </c>
      <c r="K2806" s="90">
        <f t="shared" si="507"/>
        <v>145.42304999999999</v>
      </c>
      <c r="L2806" s="131">
        <v>300</v>
      </c>
      <c r="M2806" s="187">
        <v>21.25</v>
      </c>
      <c r="N2806" s="91">
        <f t="shared" si="515"/>
        <v>96.25</v>
      </c>
      <c r="O2806" s="411">
        <f t="shared" si="510"/>
        <v>49.173049999999989</v>
      </c>
      <c r="P2806" s="132" t="s">
        <v>52</v>
      </c>
      <c r="Q2806" s="232"/>
      <c r="R2806" s="411"/>
      <c r="T2806" s="134" t="s">
        <v>145</v>
      </c>
      <c r="U2806" s="267" t="s">
        <v>6451</v>
      </c>
      <c r="AA2806" s="218"/>
    </row>
    <row r="2807" spans="1:27" ht="24" x14ac:dyDescent="0.25">
      <c r="A2807" s="405">
        <v>3002164</v>
      </c>
      <c r="B2807" s="406">
        <v>42501</v>
      </c>
      <c r="C2807" s="405" t="s">
        <v>5682</v>
      </c>
      <c r="D2807" s="401" t="s">
        <v>6452</v>
      </c>
      <c r="E2807" s="120">
        <v>100</v>
      </c>
      <c r="F2807" s="133" t="s">
        <v>431</v>
      </c>
      <c r="G2807" s="404" t="s">
        <v>45</v>
      </c>
      <c r="H2807" s="411">
        <v>216.11</v>
      </c>
      <c r="I2807" s="397">
        <f t="shared" si="516"/>
        <v>-19.4499</v>
      </c>
      <c r="J2807" s="391">
        <f t="shared" si="517"/>
        <v>-4.4060899999999998</v>
      </c>
      <c r="K2807" s="90">
        <f t="shared" si="507"/>
        <v>192.25400999999999</v>
      </c>
      <c r="L2807" s="131">
        <v>990</v>
      </c>
      <c r="M2807" s="187">
        <v>56.84</v>
      </c>
      <c r="N2807" s="91">
        <f t="shared" si="515"/>
        <v>155.84</v>
      </c>
      <c r="O2807" s="411">
        <f t="shared" si="510"/>
        <v>36.41400999999999</v>
      </c>
      <c r="P2807" s="132" t="s">
        <v>52</v>
      </c>
      <c r="Q2807" s="232"/>
      <c r="R2807" s="411"/>
      <c r="T2807" s="134" t="s">
        <v>145</v>
      </c>
      <c r="U2807" s="267" t="s">
        <v>6453</v>
      </c>
      <c r="AA2807" s="218"/>
    </row>
    <row r="2808" spans="1:27" x14ac:dyDescent="0.25">
      <c r="A2808" s="405">
        <v>3002165</v>
      </c>
      <c r="B2808" s="406">
        <v>42501</v>
      </c>
      <c r="C2808" s="405" t="s">
        <v>5682</v>
      </c>
      <c r="D2808" s="401" t="s">
        <v>6454</v>
      </c>
      <c r="E2808" s="120">
        <v>100</v>
      </c>
      <c r="F2808" s="133" t="s">
        <v>247</v>
      </c>
      <c r="G2808" s="404" t="s">
        <v>45</v>
      </c>
      <c r="H2808" s="411">
        <v>132.04</v>
      </c>
      <c r="I2808" s="397">
        <f t="shared" si="516"/>
        <v>-11.883599999999999</v>
      </c>
      <c r="J2808" s="391">
        <f t="shared" si="517"/>
        <v>-2.8087599999999995</v>
      </c>
      <c r="K2808" s="90">
        <f t="shared" si="507"/>
        <v>117.34763999999998</v>
      </c>
      <c r="L2808" s="131">
        <v>500</v>
      </c>
      <c r="M2808" s="187">
        <v>41.26</v>
      </c>
      <c r="N2808" s="91">
        <f t="shared" si="515"/>
        <v>91.259999999999991</v>
      </c>
      <c r="O2808" s="411">
        <f t="shared" si="510"/>
        <v>26.087639999999993</v>
      </c>
      <c r="P2808" s="132" t="s">
        <v>86</v>
      </c>
      <c r="Q2808" s="232"/>
      <c r="R2808" s="411"/>
      <c r="T2808" s="134" t="s">
        <v>314</v>
      </c>
      <c r="U2808" s="267" t="s">
        <v>6455</v>
      </c>
      <c r="AA2808" s="218"/>
    </row>
    <row r="2809" spans="1:27" ht="24" x14ac:dyDescent="0.25">
      <c r="A2809" s="405">
        <v>3002166</v>
      </c>
      <c r="B2809" s="406">
        <v>42501</v>
      </c>
      <c r="C2809" s="405" t="s">
        <v>5682</v>
      </c>
      <c r="D2809" s="401" t="s">
        <v>6456</v>
      </c>
      <c r="E2809" s="120">
        <v>225</v>
      </c>
      <c r="F2809" s="133" t="s">
        <v>157</v>
      </c>
      <c r="G2809" s="404" t="s">
        <v>45</v>
      </c>
      <c r="H2809" s="411">
        <v>344.25</v>
      </c>
      <c r="I2809" s="397">
        <f t="shared" si="516"/>
        <v>-30.982499999999998</v>
      </c>
      <c r="J2809" s="391">
        <f t="shared" si="517"/>
        <v>-6.8407499999999999</v>
      </c>
      <c r="K2809" s="90">
        <f t="shared" si="507"/>
        <v>306.42674999999997</v>
      </c>
      <c r="M2809" s="187">
        <v>55.98</v>
      </c>
      <c r="N2809" s="91">
        <f t="shared" si="515"/>
        <v>55.98</v>
      </c>
      <c r="O2809" s="411">
        <f t="shared" si="510"/>
        <v>250.44674999999998</v>
      </c>
      <c r="P2809" s="132" t="s">
        <v>52</v>
      </c>
      <c r="Q2809" s="232"/>
      <c r="R2809" s="411"/>
      <c r="T2809" s="134" t="s">
        <v>145</v>
      </c>
      <c r="U2809" s="267" t="s">
        <v>6457</v>
      </c>
      <c r="AA2809" s="218"/>
    </row>
    <row r="2810" spans="1:27" ht="24" x14ac:dyDescent="0.25">
      <c r="A2810" s="405">
        <v>3002167</v>
      </c>
      <c r="B2810" s="406">
        <v>42501</v>
      </c>
      <c r="C2810" s="405" t="s">
        <v>5682</v>
      </c>
      <c r="D2810" s="401" t="s">
        <v>6458</v>
      </c>
      <c r="E2810" s="120">
        <v>50</v>
      </c>
      <c r="F2810" s="133" t="s">
        <v>431</v>
      </c>
      <c r="G2810" s="404" t="s">
        <v>45</v>
      </c>
      <c r="H2810" s="411">
        <v>136.99</v>
      </c>
      <c r="I2810" s="397">
        <f t="shared" si="516"/>
        <v>-12.3291</v>
      </c>
      <c r="J2810" s="391">
        <f t="shared" si="517"/>
        <v>-2.9028100000000001</v>
      </c>
      <c r="K2810" s="90">
        <f t="shared" si="507"/>
        <v>121.75809000000001</v>
      </c>
      <c r="L2810" s="131">
        <v>990</v>
      </c>
      <c r="M2810" s="187">
        <v>23.15</v>
      </c>
      <c r="N2810" s="91">
        <f t="shared" si="515"/>
        <v>72.650000000000006</v>
      </c>
      <c r="O2810" s="411">
        <f t="shared" si="510"/>
        <v>49.108090000000004</v>
      </c>
      <c r="P2810" s="132" t="s">
        <v>52</v>
      </c>
      <c r="Q2810" s="232"/>
      <c r="R2810" s="411"/>
      <c r="T2810" s="134" t="s">
        <v>145</v>
      </c>
      <c r="U2810" s="267" t="s">
        <v>6459</v>
      </c>
      <c r="AA2810" s="218"/>
    </row>
    <row r="2811" spans="1:27" x14ac:dyDescent="0.25">
      <c r="A2811" s="405">
        <v>3002168</v>
      </c>
      <c r="B2811" s="406">
        <v>42501</v>
      </c>
      <c r="C2811" s="405" t="s">
        <v>5682</v>
      </c>
      <c r="D2811" s="401" t="s">
        <v>6460</v>
      </c>
      <c r="E2811" s="120">
        <v>600</v>
      </c>
      <c r="F2811" s="133" t="s">
        <v>247</v>
      </c>
      <c r="G2811" s="404" t="s">
        <v>45</v>
      </c>
      <c r="H2811" s="411">
        <v>660.73</v>
      </c>
      <c r="I2811" s="397">
        <f t="shared" si="516"/>
        <v>-59.465699999999998</v>
      </c>
      <c r="J2811" s="391">
        <f t="shared" si="517"/>
        <v>-12.853870000000001</v>
      </c>
      <c r="K2811" s="90">
        <f t="shared" si="507"/>
        <v>588.41043000000002</v>
      </c>
      <c r="L2811" s="131">
        <v>690</v>
      </c>
      <c r="M2811" s="187">
        <v>186.82</v>
      </c>
      <c r="N2811" s="91">
        <f t="shared" si="515"/>
        <v>600.81999999999994</v>
      </c>
      <c r="O2811" s="411">
        <f t="shared" si="510"/>
        <v>-12.409569999999917</v>
      </c>
      <c r="P2811" s="132" t="s">
        <v>86</v>
      </c>
      <c r="Q2811" s="232"/>
      <c r="R2811" s="411"/>
      <c r="T2811" s="134" t="s">
        <v>244</v>
      </c>
      <c r="U2811" s="266" t="s">
        <v>6461</v>
      </c>
      <c r="V2811" s="133" t="s">
        <v>55</v>
      </c>
      <c r="AA2811" s="218"/>
    </row>
    <row r="2812" spans="1:27" x14ac:dyDescent="0.25">
      <c r="A2812" s="419">
        <v>3002169</v>
      </c>
      <c r="B2812" s="421">
        <v>42501</v>
      </c>
      <c r="C2812" s="419" t="s">
        <v>56</v>
      </c>
      <c r="D2812" s="417" t="s">
        <v>6462</v>
      </c>
      <c r="E2812" s="120">
        <v>1000</v>
      </c>
      <c r="F2812" s="133" t="s">
        <v>6463</v>
      </c>
      <c r="G2812" s="434" t="s">
        <v>45</v>
      </c>
      <c r="H2812" s="427">
        <v>37700</v>
      </c>
      <c r="I2812" s="427">
        <v>0</v>
      </c>
      <c r="J2812" s="427">
        <v>0</v>
      </c>
      <c r="K2812" s="425">
        <f t="shared" si="507"/>
        <v>37700</v>
      </c>
      <c r="L2812" s="187">
        <v>7790</v>
      </c>
      <c r="N2812" s="91">
        <f t="shared" si="515"/>
        <v>7790</v>
      </c>
      <c r="O2812" s="411">
        <f t="shared" si="510"/>
        <v>29910</v>
      </c>
      <c r="P2812" s="132" t="s">
        <v>1793</v>
      </c>
      <c r="Q2812" s="232"/>
      <c r="R2812" s="411"/>
      <c r="T2812" s="134"/>
      <c r="U2812" s="266"/>
      <c r="V2812" s="133" t="s">
        <v>6464</v>
      </c>
      <c r="AA2812" s="218"/>
    </row>
    <row r="2813" spans="1:27" x14ac:dyDescent="0.25">
      <c r="A2813" s="432"/>
      <c r="B2813" s="433"/>
      <c r="C2813" s="432"/>
      <c r="D2813" s="454"/>
      <c r="E2813" s="120">
        <v>1000</v>
      </c>
      <c r="F2813" s="133" t="s">
        <v>6465</v>
      </c>
      <c r="G2813" s="435"/>
      <c r="H2813" s="438"/>
      <c r="I2813" s="438"/>
      <c r="J2813" s="438"/>
      <c r="K2813" s="437"/>
      <c r="L2813" s="187">
        <v>10100</v>
      </c>
      <c r="M2813" s="187">
        <v>495</v>
      </c>
      <c r="N2813" s="91">
        <f t="shared" si="515"/>
        <v>10595</v>
      </c>
      <c r="O2813" s="411">
        <f t="shared" si="510"/>
        <v>-10595</v>
      </c>
      <c r="P2813" s="132" t="s">
        <v>235</v>
      </c>
      <c r="Q2813" s="232"/>
      <c r="R2813" s="411"/>
      <c r="T2813" s="134" t="s">
        <v>1987</v>
      </c>
      <c r="U2813" s="267" t="s">
        <v>6466</v>
      </c>
      <c r="AA2813" s="218"/>
    </row>
    <row r="2814" spans="1:27" x14ac:dyDescent="0.25">
      <c r="A2814" s="432"/>
      <c r="B2814" s="433"/>
      <c r="C2814" s="432"/>
      <c r="D2814" s="454"/>
      <c r="E2814" s="120">
        <v>1000</v>
      </c>
      <c r="F2814" s="133" t="s">
        <v>6467</v>
      </c>
      <c r="G2814" s="435"/>
      <c r="H2814" s="438"/>
      <c r="I2814" s="438"/>
      <c r="J2814" s="438"/>
      <c r="K2814" s="437"/>
      <c r="L2814" s="187">
        <v>6150</v>
      </c>
      <c r="N2814" s="91">
        <f t="shared" si="515"/>
        <v>6150</v>
      </c>
      <c r="O2814" s="411">
        <f t="shared" si="510"/>
        <v>-6150</v>
      </c>
      <c r="P2814" s="132" t="s">
        <v>1793</v>
      </c>
      <c r="Q2814" s="232"/>
      <c r="R2814" s="411"/>
      <c r="T2814" s="134"/>
      <c r="U2814" s="266"/>
      <c r="AA2814" s="218"/>
    </row>
    <row r="2815" spans="1:27" x14ac:dyDescent="0.25">
      <c r="A2815" s="432"/>
      <c r="B2815" s="433"/>
      <c r="C2815" s="432"/>
      <c r="D2815" s="454"/>
      <c r="E2815" s="120">
        <v>1000</v>
      </c>
      <c r="F2815" s="133" t="s">
        <v>6468</v>
      </c>
      <c r="G2815" s="435"/>
      <c r="H2815" s="438"/>
      <c r="I2815" s="438"/>
      <c r="J2815" s="438"/>
      <c r="K2815" s="437"/>
      <c r="L2815" s="187">
        <v>4200</v>
      </c>
      <c r="N2815" s="91">
        <f t="shared" si="515"/>
        <v>4200</v>
      </c>
      <c r="O2815" s="411">
        <f t="shared" si="510"/>
        <v>-4200</v>
      </c>
      <c r="P2815" s="132" t="s">
        <v>1793</v>
      </c>
      <c r="Q2815" s="232"/>
      <c r="R2815" s="411"/>
      <c r="T2815" s="134"/>
      <c r="U2815" s="266"/>
      <c r="AA2815" s="218"/>
    </row>
    <row r="2816" spans="1:27" ht="24" x14ac:dyDescent="0.25">
      <c r="A2816" s="420"/>
      <c r="B2816" s="422"/>
      <c r="C2816" s="420"/>
      <c r="D2816" s="418"/>
      <c r="E2816" s="120">
        <v>4</v>
      </c>
      <c r="F2816" s="119" t="s">
        <v>6469</v>
      </c>
      <c r="G2816" s="436"/>
      <c r="H2816" s="428"/>
      <c r="I2816" s="428"/>
      <c r="J2816" s="428"/>
      <c r="K2816" s="426"/>
      <c r="L2816" s="131">
        <v>150000</v>
      </c>
      <c r="M2816" s="131">
        <v>0</v>
      </c>
      <c r="N2816" s="91">
        <f t="shared" si="515"/>
        <v>600</v>
      </c>
      <c r="O2816" s="411">
        <f t="shared" si="510"/>
        <v>-600</v>
      </c>
      <c r="P2816" s="132" t="s">
        <v>235</v>
      </c>
      <c r="Q2816" s="232"/>
      <c r="R2816" s="411"/>
      <c r="T2816" s="134" t="s">
        <v>1987</v>
      </c>
      <c r="U2816" s="267" t="s">
        <v>6466</v>
      </c>
      <c r="AA2816" s="218"/>
    </row>
    <row r="2817" spans="1:27" x14ac:dyDescent="0.25">
      <c r="A2817" s="419">
        <v>3002170</v>
      </c>
      <c r="B2817" s="421">
        <v>42501</v>
      </c>
      <c r="C2817" s="419" t="s">
        <v>56</v>
      </c>
      <c r="D2817" s="417" t="s">
        <v>6470</v>
      </c>
      <c r="E2817" s="120">
        <v>1000</v>
      </c>
      <c r="F2817" s="133" t="s">
        <v>51</v>
      </c>
      <c r="G2817" s="434" t="s">
        <v>45</v>
      </c>
      <c r="H2817" s="427">
        <v>2130.4899999999998</v>
      </c>
      <c r="I2817" s="427">
        <v>0</v>
      </c>
      <c r="J2817" s="427">
        <v>0</v>
      </c>
      <c r="K2817" s="425">
        <f t="shared" ref="K2817" si="518">SUM(H2817:J2817)</f>
        <v>2130.4899999999998</v>
      </c>
      <c r="L2817" s="131">
        <v>1015</v>
      </c>
      <c r="M2817" s="510">
        <v>142.32</v>
      </c>
      <c r="N2817" s="91">
        <f t="shared" si="515"/>
        <v>1157.32</v>
      </c>
      <c r="O2817" s="411">
        <f t="shared" si="510"/>
        <v>973.16999999999985</v>
      </c>
      <c r="P2817" s="132" t="s">
        <v>52</v>
      </c>
      <c r="Q2817" s="232"/>
      <c r="R2817" s="411"/>
      <c r="T2817" s="439" t="s">
        <v>503</v>
      </c>
      <c r="U2817" s="446" t="s">
        <v>6471</v>
      </c>
      <c r="V2817" s="133" t="s">
        <v>6472</v>
      </c>
      <c r="AA2817" s="218"/>
    </row>
    <row r="2818" spans="1:27" x14ac:dyDescent="0.25">
      <c r="A2818" s="420"/>
      <c r="B2818" s="422"/>
      <c r="C2818" s="420"/>
      <c r="D2818" s="418"/>
      <c r="E2818" s="120">
        <v>1000</v>
      </c>
      <c r="F2818" s="133" t="s">
        <v>247</v>
      </c>
      <c r="G2818" s="436"/>
      <c r="H2818" s="428"/>
      <c r="I2818" s="428"/>
      <c r="J2818" s="428"/>
      <c r="K2818" s="426"/>
      <c r="L2818" s="131">
        <v>590</v>
      </c>
      <c r="M2818" s="512"/>
      <c r="N2818" s="91">
        <f t="shared" si="515"/>
        <v>590</v>
      </c>
      <c r="O2818" s="411">
        <f t="shared" si="510"/>
        <v>-590</v>
      </c>
      <c r="P2818" s="132" t="s">
        <v>52</v>
      </c>
      <c r="Q2818" s="232"/>
      <c r="R2818" s="411"/>
      <c r="T2818" s="441"/>
      <c r="U2818" s="447"/>
      <c r="V2818" s="133" t="s">
        <v>55</v>
      </c>
      <c r="AA2818" s="218"/>
    </row>
    <row r="2819" spans="1:27" ht="24" x14ac:dyDescent="0.25">
      <c r="A2819" s="405">
        <v>3002172</v>
      </c>
      <c r="B2819" s="406">
        <v>42501</v>
      </c>
      <c r="C2819" s="405" t="s">
        <v>5682</v>
      </c>
      <c r="D2819" s="401" t="s">
        <v>6473</v>
      </c>
      <c r="E2819" s="120">
        <v>100</v>
      </c>
      <c r="F2819" s="133" t="s">
        <v>6474</v>
      </c>
      <c r="G2819" s="404" t="s">
        <v>45</v>
      </c>
      <c r="H2819" s="411">
        <v>131.87</v>
      </c>
      <c r="I2819" s="397">
        <f t="shared" ref="I2819" si="519">-(H2819*0.09)</f>
        <v>-11.8683</v>
      </c>
      <c r="J2819" s="391">
        <f t="shared" ref="J2819" si="520">-((H2819*0.019)+0.3)</f>
        <v>-2.8055299999999996</v>
      </c>
      <c r="K2819" s="90">
        <f t="shared" ref="K2819:K2821" si="521">SUM(H2819:J2819)</f>
        <v>117.19617</v>
      </c>
      <c r="L2819" s="187">
        <v>800</v>
      </c>
      <c r="M2819" s="187">
        <v>31.87</v>
      </c>
      <c r="N2819" s="91">
        <f t="shared" si="515"/>
        <v>111.87</v>
      </c>
      <c r="O2819" s="411">
        <f t="shared" si="510"/>
        <v>5.3261699999999905</v>
      </c>
      <c r="P2819" s="132" t="s">
        <v>235</v>
      </c>
      <c r="Q2819" s="232"/>
      <c r="R2819" s="411"/>
      <c r="T2819" s="134" t="s">
        <v>145</v>
      </c>
      <c r="U2819" s="267" t="s">
        <v>6475</v>
      </c>
      <c r="AA2819" s="218"/>
    </row>
    <row r="2820" spans="1:27" x14ac:dyDescent="0.25">
      <c r="A2820" s="405">
        <v>3002173</v>
      </c>
      <c r="B2820" s="406">
        <v>42501</v>
      </c>
      <c r="C2820" s="405" t="s">
        <v>237</v>
      </c>
      <c r="D2820" s="401" t="s">
        <v>6476</v>
      </c>
      <c r="E2820" s="120">
        <v>400</v>
      </c>
      <c r="F2820" s="133" t="s">
        <v>247</v>
      </c>
      <c r="G2820" s="404" t="s">
        <v>45</v>
      </c>
      <c r="H2820" s="411">
        <v>419.38</v>
      </c>
      <c r="I2820" s="397">
        <f t="shared" ref="I2820" si="522">-(H2820*0.15)</f>
        <v>-62.906999999999996</v>
      </c>
      <c r="J2820" s="411">
        <v>0</v>
      </c>
      <c r="K2820" s="90">
        <f t="shared" si="521"/>
        <v>356.47300000000001</v>
      </c>
      <c r="L2820" s="131">
        <v>500</v>
      </c>
      <c r="M2820" s="187">
        <v>79.040000000000006</v>
      </c>
      <c r="N2820" s="91">
        <f t="shared" si="515"/>
        <v>279.04000000000002</v>
      </c>
      <c r="O2820" s="411">
        <f t="shared" si="510"/>
        <v>77.432999999999993</v>
      </c>
      <c r="P2820" s="132" t="s">
        <v>86</v>
      </c>
      <c r="Q2820" s="232"/>
      <c r="R2820" s="411"/>
      <c r="T2820" s="134" t="s">
        <v>314</v>
      </c>
      <c r="U2820" s="267" t="s">
        <v>6477</v>
      </c>
      <c r="AA2820" s="218"/>
    </row>
    <row r="2821" spans="1:27" ht="24" x14ac:dyDescent="0.25">
      <c r="A2821" s="405">
        <v>3002174</v>
      </c>
      <c r="B2821" s="406">
        <v>42501</v>
      </c>
      <c r="C2821" s="405" t="s">
        <v>327</v>
      </c>
      <c r="D2821" s="401" t="s">
        <v>6478</v>
      </c>
      <c r="E2821" s="120">
        <v>175</v>
      </c>
      <c r="F2821" s="133" t="s">
        <v>161</v>
      </c>
      <c r="G2821" s="404" t="s">
        <v>45</v>
      </c>
      <c r="H2821" s="411">
        <v>395</v>
      </c>
      <c r="I2821" s="411">
        <v>0</v>
      </c>
      <c r="J2821" s="391">
        <f>-((H2821*0.022)+0.3)</f>
        <v>-8.99</v>
      </c>
      <c r="K2821" s="90">
        <f t="shared" si="521"/>
        <v>386.01</v>
      </c>
      <c r="L2821" s="131">
        <v>1322</v>
      </c>
      <c r="M2821" s="187">
        <v>65.41</v>
      </c>
      <c r="N2821" s="91">
        <f t="shared" si="515"/>
        <v>296.76</v>
      </c>
      <c r="O2821" s="411">
        <f t="shared" si="510"/>
        <v>89.25</v>
      </c>
      <c r="P2821" s="132" t="s">
        <v>52</v>
      </c>
      <c r="Q2821" s="232"/>
      <c r="R2821" s="411"/>
      <c r="T2821" s="134" t="s">
        <v>145</v>
      </c>
      <c r="U2821" s="267" t="s">
        <v>6479</v>
      </c>
      <c r="W2821" s="153" t="s">
        <v>6480</v>
      </c>
      <c r="AA2821" s="218"/>
    </row>
    <row r="2822" spans="1:27" x14ac:dyDescent="0.25">
      <c r="A2822" s="419">
        <v>3002175</v>
      </c>
      <c r="B2822" s="421">
        <v>42502</v>
      </c>
      <c r="C2822" s="419" t="s">
        <v>56</v>
      </c>
      <c r="D2822" s="417" t="s">
        <v>57</v>
      </c>
      <c r="E2822" s="120">
        <v>2000</v>
      </c>
      <c r="F2822" s="133" t="s">
        <v>6481</v>
      </c>
      <c r="G2822" s="434" t="s">
        <v>45</v>
      </c>
      <c r="H2822" s="427">
        <v>4869</v>
      </c>
      <c r="I2822" s="427">
        <v>0</v>
      </c>
      <c r="J2822" s="427">
        <v>0</v>
      </c>
      <c r="K2822" s="425">
        <f>SUM(H2823:J2823)</f>
        <v>0</v>
      </c>
      <c r="L2822" s="187">
        <v>300</v>
      </c>
      <c r="M2822" s="131">
        <v>0</v>
      </c>
      <c r="N2822" s="91">
        <f t="shared" si="515"/>
        <v>600</v>
      </c>
      <c r="O2822" s="411">
        <f t="shared" si="510"/>
        <v>-600</v>
      </c>
      <c r="P2822" s="132" t="s">
        <v>66</v>
      </c>
      <c r="Q2822" s="232"/>
      <c r="R2822" s="411"/>
      <c r="T2822" s="439" t="s">
        <v>6482</v>
      </c>
      <c r="U2822" s="505">
        <v>4016448516</v>
      </c>
      <c r="W2822" s="153"/>
      <c r="AA2822" s="218"/>
    </row>
    <row r="2823" spans="1:27" x14ac:dyDescent="0.25">
      <c r="A2823" s="432"/>
      <c r="B2823" s="433"/>
      <c r="C2823" s="432"/>
      <c r="D2823" s="454"/>
      <c r="E2823" s="120">
        <v>1000</v>
      </c>
      <c r="F2823" s="133" t="s">
        <v>6483</v>
      </c>
      <c r="G2823" s="435"/>
      <c r="H2823" s="438"/>
      <c r="I2823" s="438"/>
      <c r="J2823" s="438"/>
      <c r="K2823" s="437"/>
      <c r="L2823" s="187">
        <v>710</v>
      </c>
      <c r="M2823" s="223"/>
      <c r="N2823" s="91">
        <f t="shared" si="515"/>
        <v>710</v>
      </c>
      <c r="O2823" s="411">
        <f t="shared" si="510"/>
        <v>-710</v>
      </c>
      <c r="P2823" s="132" t="s">
        <v>66</v>
      </c>
      <c r="Q2823" s="232"/>
      <c r="R2823" s="411"/>
      <c r="T2823" s="440"/>
      <c r="U2823" s="506"/>
      <c r="V2823" s="133" t="s">
        <v>4290</v>
      </c>
      <c r="AA2823" s="218"/>
    </row>
    <row r="2824" spans="1:27" x14ac:dyDescent="0.25">
      <c r="A2824" s="432"/>
      <c r="B2824" s="433"/>
      <c r="C2824" s="432"/>
      <c r="D2824" s="454"/>
      <c r="E2824" s="120">
        <v>2000</v>
      </c>
      <c r="F2824" s="133" t="s">
        <v>6484</v>
      </c>
      <c r="G2824" s="435"/>
      <c r="H2824" s="438"/>
      <c r="I2824" s="438"/>
      <c r="J2824" s="438"/>
      <c r="K2824" s="437"/>
      <c r="L2824" s="187">
        <v>330</v>
      </c>
      <c r="M2824" s="223"/>
      <c r="N2824" s="91">
        <f t="shared" si="515"/>
        <v>660</v>
      </c>
      <c r="O2824" s="411">
        <f t="shared" si="510"/>
        <v>-660</v>
      </c>
      <c r="P2824" s="132" t="s">
        <v>66</v>
      </c>
      <c r="Q2824" s="232"/>
      <c r="R2824" s="411"/>
      <c r="T2824" s="441"/>
      <c r="U2824" s="490"/>
      <c r="AA2824" s="218"/>
    </row>
    <row r="2825" spans="1:27" x14ac:dyDescent="0.25">
      <c r="A2825" s="432"/>
      <c r="B2825" s="433"/>
      <c r="C2825" s="432"/>
      <c r="D2825" s="454"/>
      <c r="E2825" s="120">
        <v>1000</v>
      </c>
      <c r="F2825" s="133" t="s">
        <v>6485</v>
      </c>
      <c r="G2825" s="435"/>
      <c r="H2825" s="438"/>
      <c r="I2825" s="438"/>
      <c r="J2825" s="438"/>
      <c r="K2825" s="437"/>
      <c r="L2825" s="187">
        <v>244</v>
      </c>
      <c r="M2825" s="131">
        <v>0</v>
      </c>
      <c r="N2825" s="91">
        <f t="shared" si="515"/>
        <v>244</v>
      </c>
      <c r="O2825" s="411">
        <f t="shared" si="510"/>
        <v>-244</v>
      </c>
      <c r="P2825" s="132" t="s">
        <v>59</v>
      </c>
      <c r="Q2825" s="232"/>
      <c r="R2825" s="411"/>
      <c r="T2825" s="470" t="s">
        <v>1346</v>
      </c>
      <c r="U2825" s="481" t="s">
        <v>6486</v>
      </c>
      <c r="AA2825" s="218"/>
    </row>
    <row r="2826" spans="1:27" x14ac:dyDescent="0.25">
      <c r="A2826" s="420"/>
      <c r="B2826" s="422"/>
      <c r="C2826" s="420"/>
      <c r="D2826" s="418"/>
      <c r="E2826" s="120">
        <v>2000</v>
      </c>
      <c r="F2826" s="133" t="s">
        <v>6487</v>
      </c>
      <c r="G2826" s="436"/>
      <c r="H2826" s="428"/>
      <c r="I2826" s="428"/>
      <c r="J2826" s="428"/>
      <c r="K2826" s="426"/>
      <c r="L2826" s="187">
        <v>900</v>
      </c>
      <c r="M2826" s="131">
        <v>0</v>
      </c>
      <c r="N2826" s="91">
        <f t="shared" si="515"/>
        <v>1800</v>
      </c>
      <c r="O2826" s="411">
        <f t="shared" si="510"/>
        <v>-1800</v>
      </c>
      <c r="P2826" s="132" t="s">
        <v>59</v>
      </c>
      <c r="Q2826" s="232"/>
      <c r="R2826" s="411"/>
      <c r="T2826" s="472"/>
      <c r="U2826" s="490"/>
      <c r="AA2826" s="218"/>
    </row>
    <row r="2827" spans="1:27" ht="24" x14ac:dyDescent="0.25">
      <c r="A2827" s="405">
        <v>3002176</v>
      </c>
      <c r="B2827" s="406">
        <v>42502</v>
      </c>
      <c r="C2827" s="405" t="s">
        <v>5682</v>
      </c>
      <c r="D2827" s="401" t="s">
        <v>6488</v>
      </c>
      <c r="E2827" s="120">
        <v>250</v>
      </c>
      <c r="F2827" s="133" t="s">
        <v>247</v>
      </c>
      <c r="G2827" s="404" t="s">
        <v>45</v>
      </c>
      <c r="H2827" s="206">
        <v>334.38</v>
      </c>
      <c r="I2827" s="94">
        <f t="shared" ref="I2827:I2839" si="523">-(H2827*0.09)</f>
        <v>-30.094199999999997</v>
      </c>
      <c r="J2827" s="391">
        <f t="shared" ref="J2827:J2839" si="524">-((H2827*0.019)+0.3)</f>
        <v>-6.6532199999999992</v>
      </c>
      <c r="K2827" s="90">
        <f t="shared" ref="K2827:K2841" si="525">SUM(H2827:J2827)</f>
        <v>297.63258000000002</v>
      </c>
      <c r="L2827" s="190">
        <v>840</v>
      </c>
      <c r="M2827" s="187">
        <v>46.41</v>
      </c>
      <c r="N2827" s="91">
        <f t="shared" si="515"/>
        <v>256.40999999999997</v>
      </c>
      <c r="O2827" s="411">
        <f t="shared" si="510"/>
        <v>41.22258000000005</v>
      </c>
      <c r="P2827" s="132" t="s">
        <v>183</v>
      </c>
      <c r="Q2827" s="232"/>
      <c r="R2827" s="411"/>
      <c r="T2827" s="134" t="s">
        <v>145</v>
      </c>
      <c r="U2827" s="267" t="s">
        <v>6489</v>
      </c>
      <c r="AA2827" s="218"/>
    </row>
    <row r="2828" spans="1:27" x14ac:dyDescent="0.25">
      <c r="A2828" s="405">
        <v>3002177</v>
      </c>
      <c r="B2828" s="406">
        <v>42502</v>
      </c>
      <c r="C2828" s="405" t="s">
        <v>56</v>
      </c>
      <c r="D2828" s="401" t="s">
        <v>6490</v>
      </c>
      <c r="E2828" s="120">
        <v>300</v>
      </c>
      <c r="F2828" s="133" t="s">
        <v>2335</v>
      </c>
      <c r="G2828" s="404" t="s">
        <v>45</v>
      </c>
      <c r="H2828" s="206">
        <v>1948.5</v>
      </c>
      <c r="I2828" s="411">
        <v>0</v>
      </c>
      <c r="J2828" s="411">
        <v>0</v>
      </c>
      <c r="K2828" s="90">
        <f t="shared" si="525"/>
        <v>1948.5</v>
      </c>
      <c r="L2828" s="190">
        <v>2840</v>
      </c>
      <c r="M2828" s="187">
        <v>105</v>
      </c>
      <c r="N2828" s="91">
        <f t="shared" si="515"/>
        <v>957</v>
      </c>
      <c r="O2828" s="411">
        <f t="shared" ref="O2828:O2891" si="526">K2828-N2828</f>
        <v>991.5</v>
      </c>
      <c r="P2828" s="132" t="s">
        <v>183</v>
      </c>
      <c r="Q2828" s="232"/>
      <c r="R2828" s="411"/>
      <c r="T2828" s="134" t="s">
        <v>67</v>
      </c>
      <c r="U2828" s="267" t="s">
        <v>6491</v>
      </c>
      <c r="V2828" s="133" t="s">
        <v>6492</v>
      </c>
      <c r="AA2828" s="218"/>
    </row>
    <row r="2829" spans="1:27" ht="24" x14ac:dyDescent="0.25">
      <c r="A2829" s="405">
        <v>3002178</v>
      </c>
      <c r="B2829" s="406">
        <v>42502</v>
      </c>
      <c r="C2829" s="405" t="s">
        <v>5682</v>
      </c>
      <c r="D2829" s="401" t="s">
        <v>6493</v>
      </c>
      <c r="E2829" s="120">
        <v>500</v>
      </c>
      <c r="F2829" s="133" t="s">
        <v>451</v>
      </c>
      <c r="G2829" s="404" t="s">
        <v>45</v>
      </c>
      <c r="H2829" s="206">
        <v>287.10000000000002</v>
      </c>
      <c r="I2829" s="94">
        <f t="shared" si="523"/>
        <v>-25.839000000000002</v>
      </c>
      <c r="J2829" s="391">
        <f t="shared" si="524"/>
        <v>-5.7549000000000001</v>
      </c>
      <c r="K2829" s="90">
        <f t="shared" si="525"/>
        <v>255.50610000000003</v>
      </c>
      <c r="L2829" s="147">
        <v>300</v>
      </c>
      <c r="M2829" s="187">
        <v>42.94</v>
      </c>
      <c r="N2829" s="91">
        <f t="shared" si="515"/>
        <v>192.94</v>
      </c>
      <c r="O2829" s="411">
        <f t="shared" si="526"/>
        <v>62.566100000000034</v>
      </c>
      <c r="P2829" s="132" t="s">
        <v>52</v>
      </c>
      <c r="Q2829" s="232"/>
      <c r="R2829" s="411"/>
      <c r="T2829" s="134" t="s">
        <v>145</v>
      </c>
      <c r="U2829" s="267" t="s">
        <v>6494</v>
      </c>
      <c r="AA2829" s="218"/>
    </row>
    <row r="2830" spans="1:27" ht="24" x14ac:dyDescent="0.25">
      <c r="A2830" s="405">
        <v>3002179</v>
      </c>
      <c r="B2830" s="406">
        <v>42502</v>
      </c>
      <c r="C2830" s="405" t="s">
        <v>5682</v>
      </c>
      <c r="D2830" s="401" t="s">
        <v>6495</v>
      </c>
      <c r="E2830" s="120">
        <v>100</v>
      </c>
      <c r="F2830" s="133" t="s">
        <v>161</v>
      </c>
      <c r="G2830" s="404" t="s">
        <v>45</v>
      </c>
      <c r="H2830" s="411">
        <v>235</v>
      </c>
      <c r="I2830" s="94">
        <f t="shared" si="523"/>
        <v>-21.15</v>
      </c>
      <c r="J2830" s="391">
        <f t="shared" si="524"/>
        <v>-4.7649999999999997</v>
      </c>
      <c r="K2830" s="90">
        <f t="shared" si="525"/>
        <v>209.08500000000001</v>
      </c>
      <c r="L2830" s="131">
        <v>1322</v>
      </c>
      <c r="M2830" s="187">
        <v>60.69</v>
      </c>
      <c r="N2830" s="91">
        <f t="shared" si="515"/>
        <v>192.89000000000001</v>
      </c>
      <c r="O2830" s="411">
        <f t="shared" si="526"/>
        <v>16.194999999999993</v>
      </c>
      <c r="P2830" s="132" t="s">
        <v>52</v>
      </c>
      <c r="Q2830" s="232"/>
      <c r="R2830" s="411"/>
      <c r="T2830" s="134" t="s">
        <v>145</v>
      </c>
      <c r="U2830" s="267" t="s">
        <v>6496</v>
      </c>
      <c r="AA2830" s="218"/>
    </row>
    <row r="2831" spans="1:27" ht="24" x14ac:dyDescent="0.25">
      <c r="A2831" s="405">
        <v>3002180</v>
      </c>
      <c r="B2831" s="406">
        <v>42502</v>
      </c>
      <c r="C2831" s="405" t="s">
        <v>5682</v>
      </c>
      <c r="D2831" s="401" t="s">
        <v>6497</v>
      </c>
      <c r="E2831" s="120">
        <v>100</v>
      </c>
      <c r="F2831" s="133" t="s">
        <v>300</v>
      </c>
      <c r="G2831" s="404" t="s">
        <v>45</v>
      </c>
      <c r="H2831" s="411">
        <v>427.5</v>
      </c>
      <c r="I2831" s="94">
        <f t="shared" si="523"/>
        <v>-38.475000000000001</v>
      </c>
      <c r="J2831" s="391">
        <f t="shared" si="524"/>
        <v>-8.4225000000000012</v>
      </c>
      <c r="K2831" s="90">
        <f t="shared" si="525"/>
        <v>380.60249999999996</v>
      </c>
      <c r="L2831" s="131">
        <v>2150</v>
      </c>
      <c r="M2831" s="187">
        <v>44.03</v>
      </c>
      <c r="N2831" s="91">
        <f t="shared" si="515"/>
        <v>259.02999999999997</v>
      </c>
      <c r="O2831" s="411">
        <f t="shared" si="526"/>
        <v>121.57249999999999</v>
      </c>
      <c r="P2831" s="132" t="s">
        <v>52</v>
      </c>
      <c r="Q2831" s="232"/>
      <c r="R2831" s="411"/>
      <c r="T2831" s="134" t="s">
        <v>145</v>
      </c>
      <c r="U2831" s="267" t="s">
        <v>6498</v>
      </c>
      <c r="AA2831" s="218"/>
    </row>
    <row r="2832" spans="1:27" ht="24" x14ac:dyDescent="0.25">
      <c r="A2832" s="405">
        <v>3002181</v>
      </c>
      <c r="B2832" s="406">
        <v>42502</v>
      </c>
      <c r="C2832" s="405" t="s">
        <v>5682</v>
      </c>
      <c r="D2832" s="401" t="s">
        <v>6499</v>
      </c>
      <c r="E2832" s="120">
        <v>200</v>
      </c>
      <c r="F2832" s="133" t="s">
        <v>6500</v>
      </c>
      <c r="G2832" s="404" t="s">
        <v>45</v>
      </c>
      <c r="H2832" s="411">
        <v>144.84</v>
      </c>
      <c r="I2832" s="94">
        <f t="shared" si="523"/>
        <v>-13.035600000000001</v>
      </c>
      <c r="J2832" s="391">
        <f t="shared" si="524"/>
        <v>-3.0519599999999998</v>
      </c>
      <c r="K2832" s="90">
        <f t="shared" si="525"/>
        <v>128.75244000000001</v>
      </c>
      <c r="L2832" s="131">
        <v>300</v>
      </c>
      <c r="M2832" s="187">
        <v>26.9</v>
      </c>
      <c r="N2832" s="91">
        <f t="shared" si="515"/>
        <v>86.9</v>
      </c>
      <c r="O2832" s="411">
        <f t="shared" si="526"/>
        <v>41.852440000000001</v>
      </c>
      <c r="P2832" s="132" t="s">
        <v>52</v>
      </c>
      <c r="Q2832" s="232"/>
      <c r="R2832" s="411"/>
      <c r="T2832" s="134" t="s">
        <v>145</v>
      </c>
      <c r="U2832" s="267" t="s">
        <v>6501</v>
      </c>
      <c r="AA2832" s="218"/>
    </row>
    <row r="2833" spans="1:27" x14ac:dyDescent="0.25">
      <c r="A2833" s="405">
        <v>3002182</v>
      </c>
      <c r="B2833" s="406">
        <v>42502</v>
      </c>
      <c r="C2833" s="405" t="s">
        <v>5682</v>
      </c>
      <c r="D2833" s="401" t="s">
        <v>6502</v>
      </c>
      <c r="E2833" s="120">
        <v>200</v>
      </c>
      <c r="F2833" s="133" t="s">
        <v>114</v>
      </c>
      <c r="G2833" s="404" t="s">
        <v>45</v>
      </c>
      <c r="H2833" s="411">
        <v>617.5</v>
      </c>
      <c r="I2833" s="94">
        <f t="shared" si="523"/>
        <v>-55.574999999999996</v>
      </c>
      <c r="J2833" s="391">
        <f t="shared" si="524"/>
        <v>-12.032500000000001</v>
      </c>
      <c r="K2833" s="90">
        <f t="shared" si="525"/>
        <v>549.89249999999993</v>
      </c>
      <c r="L2833" s="131">
        <v>1770</v>
      </c>
      <c r="M2833" s="187">
        <v>218.53</v>
      </c>
      <c r="N2833" s="91">
        <f t="shared" si="515"/>
        <v>572.53</v>
      </c>
      <c r="O2833" s="411">
        <f t="shared" si="526"/>
        <v>-22.637500000000045</v>
      </c>
      <c r="P2833" s="132" t="s">
        <v>52</v>
      </c>
      <c r="Q2833" s="232"/>
      <c r="R2833" s="411"/>
      <c r="T2833" s="134" t="s">
        <v>244</v>
      </c>
      <c r="U2833" s="267" t="s">
        <v>6503</v>
      </c>
      <c r="V2833" s="133" t="s">
        <v>55</v>
      </c>
      <c r="AA2833" s="218"/>
    </row>
    <row r="2834" spans="1:27" ht="24" x14ac:dyDescent="0.25">
      <c r="A2834" s="405">
        <v>3002183</v>
      </c>
      <c r="B2834" s="406">
        <v>42502</v>
      </c>
      <c r="C2834" s="405" t="s">
        <v>5682</v>
      </c>
      <c r="D2834" s="401" t="s">
        <v>6504</v>
      </c>
      <c r="E2834" s="120">
        <v>300</v>
      </c>
      <c r="F2834" s="133" t="s">
        <v>165</v>
      </c>
      <c r="G2834" s="404" t="s">
        <v>45</v>
      </c>
      <c r="H2834" s="411">
        <v>288.73</v>
      </c>
      <c r="I2834" s="94">
        <f t="shared" si="523"/>
        <v>-25.985700000000001</v>
      </c>
      <c r="J2834" s="391">
        <f t="shared" si="524"/>
        <v>-5.7858700000000001</v>
      </c>
      <c r="K2834" s="90">
        <f t="shared" si="525"/>
        <v>256.95843000000002</v>
      </c>
      <c r="L2834" s="187">
        <v>440</v>
      </c>
      <c r="M2834" s="187">
        <v>55.77</v>
      </c>
      <c r="N2834" s="91">
        <f t="shared" si="515"/>
        <v>187.77</v>
      </c>
      <c r="O2834" s="411">
        <f t="shared" si="526"/>
        <v>69.188430000000011</v>
      </c>
      <c r="P2834" s="132" t="s">
        <v>3597</v>
      </c>
      <c r="Q2834" s="232"/>
      <c r="R2834" s="411"/>
      <c r="T2834" s="134" t="s">
        <v>324</v>
      </c>
      <c r="U2834" s="267" t="s">
        <v>6505</v>
      </c>
      <c r="AA2834" s="218"/>
    </row>
    <row r="2835" spans="1:27" ht="24" x14ac:dyDescent="0.25">
      <c r="A2835" s="405">
        <v>3002184</v>
      </c>
      <c r="B2835" s="406">
        <v>42502</v>
      </c>
      <c r="C2835" s="405" t="s">
        <v>5682</v>
      </c>
      <c r="D2835" s="401" t="s">
        <v>6506</v>
      </c>
      <c r="E2835" s="120">
        <v>140</v>
      </c>
      <c r="F2835" s="133" t="s">
        <v>70</v>
      </c>
      <c r="G2835" s="404" t="s">
        <v>45</v>
      </c>
      <c r="H2835" s="411">
        <v>369.6</v>
      </c>
      <c r="I2835" s="94">
        <f t="shared" si="523"/>
        <v>-33.264000000000003</v>
      </c>
      <c r="J2835" s="391">
        <f t="shared" si="524"/>
        <v>-7.3224</v>
      </c>
      <c r="K2835" s="90">
        <f t="shared" si="525"/>
        <v>329.0136</v>
      </c>
      <c r="L2835" s="131">
        <v>1540</v>
      </c>
      <c r="M2835" s="187">
        <v>91.74</v>
      </c>
      <c r="N2835" s="91">
        <f t="shared" si="515"/>
        <v>307.34000000000003</v>
      </c>
      <c r="O2835" s="411">
        <f t="shared" si="526"/>
        <v>21.673599999999965</v>
      </c>
      <c r="P2835" s="132" t="s">
        <v>52</v>
      </c>
      <c r="Q2835" s="232"/>
      <c r="R2835" s="411"/>
      <c r="T2835" s="134" t="s">
        <v>145</v>
      </c>
      <c r="U2835" s="267" t="s">
        <v>6507</v>
      </c>
      <c r="AA2835" s="218"/>
    </row>
    <row r="2836" spans="1:27" ht="24" x14ac:dyDescent="0.25">
      <c r="A2836" s="405">
        <v>3002185</v>
      </c>
      <c r="B2836" s="406">
        <v>42502</v>
      </c>
      <c r="C2836" s="405" t="s">
        <v>5682</v>
      </c>
      <c r="D2836" s="401" t="s">
        <v>6508</v>
      </c>
      <c r="E2836" s="120">
        <v>90</v>
      </c>
      <c r="F2836" s="133" t="s">
        <v>247</v>
      </c>
      <c r="G2836" s="404" t="s">
        <v>45</v>
      </c>
      <c r="H2836" s="411">
        <v>120.6</v>
      </c>
      <c r="I2836" s="94">
        <f t="shared" si="523"/>
        <v>-10.853999999999999</v>
      </c>
      <c r="J2836" s="391">
        <f t="shared" si="524"/>
        <v>-2.5913999999999997</v>
      </c>
      <c r="K2836" s="90">
        <f t="shared" si="525"/>
        <v>107.1546</v>
      </c>
      <c r="L2836" s="187">
        <v>860</v>
      </c>
      <c r="M2836" s="187">
        <v>25.48</v>
      </c>
      <c r="N2836" s="91">
        <f t="shared" si="515"/>
        <v>102.88</v>
      </c>
      <c r="O2836" s="411">
        <f t="shared" si="526"/>
        <v>4.2746000000000066</v>
      </c>
      <c r="P2836" s="132" t="s">
        <v>235</v>
      </c>
      <c r="Q2836" s="232"/>
      <c r="R2836" s="411"/>
      <c r="T2836" s="134" t="s">
        <v>145</v>
      </c>
      <c r="U2836" s="267" t="s">
        <v>6509</v>
      </c>
      <c r="AA2836" s="218"/>
    </row>
    <row r="2837" spans="1:27" ht="24" x14ac:dyDescent="0.25">
      <c r="A2837" s="405">
        <v>3002186</v>
      </c>
      <c r="B2837" s="406">
        <v>42502</v>
      </c>
      <c r="C2837" s="405" t="s">
        <v>5682</v>
      </c>
      <c r="D2837" s="401" t="s">
        <v>6510</v>
      </c>
      <c r="E2837" s="120">
        <v>200</v>
      </c>
      <c r="F2837" s="133" t="s">
        <v>451</v>
      </c>
      <c r="G2837" s="404" t="s">
        <v>45</v>
      </c>
      <c r="H2837" s="411">
        <v>144.84</v>
      </c>
      <c r="I2837" s="94">
        <f t="shared" si="523"/>
        <v>-13.035600000000001</v>
      </c>
      <c r="J2837" s="391">
        <f t="shared" si="524"/>
        <v>-3.0519599999999998</v>
      </c>
      <c r="K2837" s="90">
        <f t="shared" si="525"/>
        <v>128.75244000000001</v>
      </c>
      <c r="L2837" s="131">
        <v>300</v>
      </c>
      <c r="M2837" s="187">
        <v>28.9</v>
      </c>
      <c r="N2837" s="91">
        <f t="shared" si="515"/>
        <v>88.9</v>
      </c>
      <c r="O2837" s="411">
        <f t="shared" si="526"/>
        <v>39.852440000000001</v>
      </c>
      <c r="P2837" s="132" t="s">
        <v>52</v>
      </c>
      <c r="Q2837" s="232"/>
      <c r="R2837" s="411"/>
      <c r="T2837" s="134" t="s">
        <v>145</v>
      </c>
      <c r="U2837" s="267" t="s">
        <v>6511</v>
      </c>
      <c r="AA2837" s="218"/>
    </row>
    <row r="2838" spans="1:27" ht="24" x14ac:dyDescent="0.25">
      <c r="A2838" s="405">
        <v>3002187</v>
      </c>
      <c r="B2838" s="406">
        <v>42502</v>
      </c>
      <c r="C2838" s="405" t="s">
        <v>5682</v>
      </c>
      <c r="D2838" s="401" t="s">
        <v>6512</v>
      </c>
      <c r="E2838" s="120">
        <v>1000</v>
      </c>
      <c r="F2838" s="133" t="s">
        <v>451</v>
      </c>
      <c r="G2838" s="404" t="s">
        <v>45</v>
      </c>
      <c r="H2838" s="411">
        <v>600</v>
      </c>
      <c r="I2838" s="94">
        <f t="shared" si="523"/>
        <v>-54</v>
      </c>
      <c r="J2838" s="391">
        <f t="shared" si="524"/>
        <v>-11.700000000000001</v>
      </c>
      <c r="K2838" s="90">
        <f t="shared" si="525"/>
        <v>534.29999999999995</v>
      </c>
      <c r="L2838" s="131">
        <v>300</v>
      </c>
      <c r="M2838" s="187">
        <v>71.510000000000005</v>
      </c>
      <c r="N2838" s="91">
        <f t="shared" si="515"/>
        <v>371.51</v>
      </c>
      <c r="O2838" s="411">
        <f t="shared" si="526"/>
        <v>162.78999999999996</v>
      </c>
      <c r="P2838" s="132" t="s">
        <v>52</v>
      </c>
      <c r="Q2838" s="232"/>
      <c r="R2838" s="411"/>
      <c r="T2838" s="134" t="s">
        <v>145</v>
      </c>
      <c r="U2838" s="267" t="s">
        <v>6513</v>
      </c>
      <c r="AA2838" s="218"/>
    </row>
    <row r="2839" spans="1:27" ht="24" x14ac:dyDescent="0.25">
      <c r="A2839" s="405">
        <v>3002188</v>
      </c>
      <c r="B2839" s="406">
        <v>42502</v>
      </c>
      <c r="C2839" s="405" t="s">
        <v>5682</v>
      </c>
      <c r="D2839" s="401" t="s">
        <v>6514</v>
      </c>
      <c r="E2839" s="120">
        <v>100</v>
      </c>
      <c r="F2839" s="133" t="s">
        <v>247</v>
      </c>
      <c r="G2839" s="404" t="s">
        <v>45</v>
      </c>
      <c r="H2839" s="411">
        <v>132.04</v>
      </c>
      <c r="I2839" s="94">
        <f t="shared" si="523"/>
        <v>-11.883599999999999</v>
      </c>
      <c r="J2839" s="391">
        <f t="shared" si="524"/>
        <v>-2.8087599999999995</v>
      </c>
      <c r="K2839" s="90">
        <f t="shared" si="525"/>
        <v>117.34763999999998</v>
      </c>
      <c r="L2839" s="187">
        <v>860</v>
      </c>
      <c r="M2839" s="187">
        <v>37.83</v>
      </c>
      <c r="N2839" s="91">
        <f t="shared" si="515"/>
        <v>123.83</v>
      </c>
      <c r="O2839" s="411">
        <f t="shared" si="526"/>
        <v>-6.4823600000000141</v>
      </c>
      <c r="P2839" s="132" t="s">
        <v>235</v>
      </c>
      <c r="Q2839" s="232"/>
      <c r="R2839" s="411"/>
      <c r="T2839" s="134" t="s">
        <v>145</v>
      </c>
      <c r="U2839" s="267" t="s">
        <v>6515</v>
      </c>
      <c r="AA2839" s="218"/>
    </row>
    <row r="2840" spans="1:27" x14ac:dyDescent="0.25">
      <c r="A2840" s="405">
        <v>3002189</v>
      </c>
      <c r="B2840" s="406">
        <v>42502</v>
      </c>
      <c r="C2840" s="405" t="s">
        <v>63</v>
      </c>
      <c r="D2840" s="401" t="s">
        <v>6516</v>
      </c>
      <c r="E2840" s="120">
        <v>2000</v>
      </c>
      <c r="F2840" s="133" t="s">
        <v>6517</v>
      </c>
      <c r="G2840" s="404" t="s">
        <v>45</v>
      </c>
      <c r="H2840" s="411">
        <v>1520</v>
      </c>
      <c r="I2840" s="411">
        <v>0</v>
      </c>
      <c r="J2840" s="391">
        <f>-((H2840*0.022)+0.3)</f>
        <v>-33.739999999999995</v>
      </c>
      <c r="K2840" s="90">
        <f t="shared" si="525"/>
        <v>1486.26</v>
      </c>
      <c r="L2840" s="187">
        <v>534</v>
      </c>
      <c r="M2840" s="187">
        <v>168</v>
      </c>
      <c r="N2840" s="91">
        <f t="shared" si="515"/>
        <v>1236</v>
      </c>
      <c r="O2840" s="411">
        <f t="shared" si="526"/>
        <v>250.26</v>
      </c>
      <c r="P2840" s="132" t="s">
        <v>183</v>
      </c>
      <c r="Q2840" s="232"/>
      <c r="R2840" s="411"/>
      <c r="T2840" s="134" t="s">
        <v>67</v>
      </c>
      <c r="U2840" s="267" t="s">
        <v>6518</v>
      </c>
      <c r="W2840" s="153" t="s">
        <v>6519</v>
      </c>
      <c r="AA2840" s="218">
        <v>10</v>
      </c>
    </row>
    <row r="2841" spans="1:27" ht="24" x14ac:dyDescent="0.25">
      <c r="A2841" s="419">
        <v>3002190</v>
      </c>
      <c r="B2841" s="421">
        <v>42502</v>
      </c>
      <c r="C2841" s="419" t="s">
        <v>327</v>
      </c>
      <c r="D2841" s="417" t="s">
        <v>3278</v>
      </c>
      <c r="E2841" s="120">
        <v>48</v>
      </c>
      <c r="F2841" s="133" t="s">
        <v>6520</v>
      </c>
      <c r="G2841" s="434" t="s">
        <v>45</v>
      </c>
      <c r="H2841" s="427">
        <v>2150.4</v>
      </c>
      <c r="I2841" s="427">
        <v>0</v>
      </c>
      <c r="J2841" s="425">
        <f>-((H2841*0.022)+0.3)</f>
        <v>-47.608799999999995</v>
      </c>
      <c r="K2841" s="425">
        <f t="shared" si="525"/>
        <v>2102.7912000000001</v>
      </c>
      <c r="L2841" s="131">
        <v>700</v>
      </c>
      <c r="M2841" s="187">
        <v>31.94</v>
      </c>
      <c r="N2841" s="91">
        <f t="shared" si="515"/>
        <v>65.540000000000006</v>
      </c>
      <c r="O2841" s="411">
        <f t="shared" si="526"/>
        <v>2037.2512000000002</v>
      </c>
      <c r="P2841" s="132" t="s">
        <v>52</v>
      </c>
      <c r="Q2841" s="232"/>
      <c r="R2841" s="411"/>
      <c r="T2841" s="134" t="s">
        <v>145</v>
      </c>
      <c r="U2841" s="267" t="s">
        <v>6521</v>
      </c>
      <c r="W2841" s="153" t="s">
        <v>3472</v>
      </c>
      <c r="AA2841" s="473">
        <v>25</v>
      </c>
    </row>
    <row r="2842" spans="1:27" x14ac:dyDescent="0.25">
      <c r="A2842" s="432"/>
      <c r="B2842" s="433"/>
      <c r="C2842" s="432"/>
      <c r="D2842" s="454"/>
      <c r="E2842" s="120">
        <v>48</v>
      </c>
      <c r="F2842" s="133" t="s">
        <v>6522</v>
      </c>
      <c r="G2842" s="435"/>
      <c r="H2842" s="438"/>
      <c r="I2842" s="438"/>
      <c r="J2842" s="437"/>
      <c r="K2842" s="437"/>
      <c r="L2842" s="187">
        <v>3000</v>
      </c>
      <c r="M2842" s="187">
        <v>105</v>
      </c>
      <c r="N2842" s="91">
        <f t="shared" si="515"/>
        <v>249</v>
      </c>
      <c r="O2842" s="411">
        <f t="shared" si="526"/>
        <v>-249</v>
      </c>
      <c r="P2842" s="132" t="s">
        <v>183</v>
      </c>
      <c r="Q2842" s="232"/>
      <c r="R2842" s="411"/>
      <c r="T2842" s="134" t="s">
        <v>576</v>
      </c>
      <c r="U2842" s="267" t="s">
        <v>6523</v>
      </c>
      <c r="V2842" s="133" t="s">
        <v>6524</v>
      </c>
      <c r="AA2842" s="478"/>
    </row>
    <row r="2843" spans="1:27" ht="24" x14ac:dyDescent="0.25">
      <c r="A2843" s="432"/>
      <c r="B2843" s="433"/>
      <c r="C2843" s="432"/>
      <c r="D2843" s="454"/>
      <c r="E2843" s="120">
        <v>24</v>
      </c>
      <c r="F2843" s="133" t="s">
        <v>6525</v>
      </c>
      <c r="G2843" s="435"/>
      <c r="H2843" s="438"/>
      <c r="I2843" s="438"/>
      <c r="J2843" s="437"/>
      <c r="K2843" s="437"/>
      <c r="L2843" s="131">
        <v>6000</v>
      </c>
      <c r="M2843" s="187">
        <v>36.54</v>
      </c>
      <c r="N2843" s="91">
        <f t="shared" si="515"/>
        <v>180.54</v>
      </c>
      <c r="O2843" s="411">
        <f t="shared" si="526"/>
        <v>-180.54</v>
      </c>
      <c r="P2843" s="132" t="s">
        <v>52</v>
      </c>
      <c r="Q2843" s="232"/>
      <c r="R2843" s="411"/>
      <c r="T2843" s="134" t="s">
        <v>145</v>
      </c>
      <c r="U2843" s="267" t="s">
        <v>6526</v>
      </c>
      <c r="AA2843" s="478"/>
    </row>
    <row r="2844" spans="1:27" x14ac:dyDescent="0.25">
      <c r="A2844" s="420"/>
      <c r="B2844" s="422"/>
      <c r="C2844" s="420"/>
      <c r="D2844" s="418"/>
      <c r="E2844" s="120">
        <v>24</v>
      </c>
      <c r="F2844" s="133" t="s">
        <v>6527</v>
      </c>
      <c r="G2844" s="436"/>
      <c r="H2844" s="428"/>
      <c r="I2844" s="428"/>
      <c r="J2844" s="426"/>
      <c r="K2844" s="426"/>
      <c r="L2844" s="187">
        <v>5000</v>
      </c>
      <c r="N2844" s="91">
        <f t="shared" si="515"/>
        <v>120</v>
      </c>
      <c r="O2844" s="411">
        <f t="shared" si="526"/>
        <v>-120</v>
      </c>
      <c r="P2844" s="132" t="s">
        <v>183</v>
      </c>
      <c r="Q2844" s="232"/>
      <c r="R2844" s="411"/>
      <c r="T2844" s="134" t="s">
        <v>576</v>
      </c>
      <c r="U2844" s="267" t="s">
        <v>6523</v>
      </c>
      <c r="V2844" s="133" t="s">
        <v>6524</v>
      </c>
      <c r="AA2844" s="474"/>
    </row>
    <row r="2845" spans="1:27" ht="24" x14ac:dyDescent="0.25">
      <c r="A2845" s="419">
        <v>3002191</v>
      </c>
      <c r="B2845" s="421">
        <v>42502</v>
      </c>
      <c r="C2845" s="419" t="s">
        <v>63</v>
      </c>
      <c r="D2845" s="417" t="s">
        <v>6528</v>
      </c>
      <c r="E2845" s="120">
        <v>225</v>
      </c>
      <c r="F2845" s="133" t="s">
        <v>6529</v>
      </c>
      <c r="G2845" s="434" t="s">
        <v>45</v>
      </c>
      <c r="H2845" s="427">
        <v>660</v>
      </c>
      <c r="I2845" s="427">
        <v>0</v>
      </c>
      <c r="J2845" s="425">
        <f>-((H2845*0.022)+0.3)</f>
        <v>-14.82</v>
      </c>
      <c r="K2845" s="425">
        <f t="shared" ref="K2845:K2849" si="527">SUM(H2845:J2845)</f>
        <v>645.17999999999995</v>
      </c>
      <c r="L2845" s="187">
        <v>1592.63</v>
      </c>
      <c r="M2845" s="187">
        <v>42.17</v>
      </c>
      <c r="N2845" s="91">
        <f t="shared" si="515"/>
        <v>400.51175000000006</v>
      </c>
      <c r="O2845" s="411">
        <f t="shared" si="526"/>
        <v>244.66824999999989</v>
      </c>
      <c r="P2845" s="132" t="s">
        <v>76</v>
      </c>
      <c r="Q2845" s="183"/>
      <c r="R2845" s="411"/>
      <c r="T2845" s="134" t="s">
        <v>145</v>
      </c>
      <c r="U2845" s="267" t="s">
        <v>6530</v>
      </c>
      <c r="V2845" s="133" t="s">
        <v>6531</v>
      </c>
      <c r="W2845" s="153" t="s">
        <v>6532</v>
      </c>
      <c r="AA2845" s="218"/>
    </row>
    <row r="2846" spans="1:27" ht="24" x14ac:dyDescent="0.25">
      <c r="A2846" s="420"/>
      <c r="B2846" s="422"/>
      <c r="C2846" s="420"/>
      <c r="D2846" s="418"/>
      <c r="E2846" s="120">
        <v>75</v>
      </c>
      <c r="F2846" s="133" t="s">
        <v>3955</v>
      </c>
      <c r="G2846" s="436"/>
      <c r="H2846" s="428"/>
      <c r="I2846" s="428"/>
      <c r="J2846" s="426"/>
      <c r="K2846" s="426"/>
      <c r="L2846" s="187">
        <v>475</v>
      </c>
      <c r="M2846" s="187">
        <v>27.17</v>
      </c>
      <c r="N2846" s="91">
        <f t="shared" si="515"/>
        <v>62.795000000000002</v>
      </c>
      <c r="O2846" s="411">
        <f t="shared" si="526"/>
        <v>-62.795000000000002</v>
      </c>
      <c r="P2846" s="132" t="s">
        <v>235</v>
      </c>
      <c r="Q2846" s="183"/>
      <c r="R2846" s="411"/>
      <c r="T2846" s="134" t="s">
        <v>145</v>
      </c>
      <c r="U2846" s="267" t="s">
        <v>6533</v>
      </c>
      <c r="W2846" s="153"/>
      <c r="AA2846" s="218"/>
    </row>
    <row r="2847" spans="1:27" ht="24" x14ac:dyDescent="0.25">
      <c r="A2847" s="405">
        <v>3002192</v>
      </c>
      <c r="B2847" s="406">
        <v>42502</v>
      </c>
      <c r="C2847" s="405" t="s">
        <v>5682</v>
      </c>
      <c r="D2847" s="401" t="s">
        <v>6534</v>
      </c>
      <c r="E2847" s="120">
        <v>500</v>
      </c>
      <c r="F2847" s="119" t="s">
        <v>6535</v>
      </c>
      <c r="G2847" s="404" t="s">
        <v>45</v>
      </c>
      <c r="H2847" s="411">
        <v>115.5</v>
      </c>
      <c r="I2847" s="94">
        <f t="shared" ref="I2847:I2849" si="528">-(H2847*0.09)</f>
        <v>-10.395</v>
      </c>
      <c r="J2847" s="391">
        <f t="shared" ref="J2847:J2849" si="529">-((H2847*0.019)+0.3)</f>
        <v>-2.4944999999999999</v>
      </c>
      <c r="K2847" s="90">
        <f t="shared" si="527"/>
        <v>102.6105</v>
      </c>
      <c r="L2847" s="187">
        <v>115</v>
      </c>
      <c r="M2847" s="187">
        <v>11.65</v>
      </c>
      <c r="N2847" s="91">
        <f t="shared" si="515"/>
        <v>69.150000000000006</v>
      </c>
      <c r="O2847" s="411">
        <f t="shared" si="526"/>
        <v>33.460499999999996</v>
      </c>
      <c r="P2847" s="132" t="s">
        <v>643</v>
      </c>
      <c r="Q2847" s="232"/>
      <c r="R2847" s="411"/>
      <c r="T2847" s="134" t="s">
        <v>145</v>
      </c>
      <c r="U2847" s="267" t="s">
        <v>6536</v>
      </c>
      <c r="AA2847" s="218"/>
    </row>
    <row r="2848" spans="1:27" ht="24" x14ac:dyDescent="0.25">
      <c r="A2848" s="405">
        <v>3002193</v>
      </c>
      <c r="B2848" s="406">
        <v>42502</v>
      </c>
      <c r="C2848" s="405" t="s">
        <v>5682</v>
      </c>
      <c r="D2848" s="401" t="s">
        <v>6537</v>
      </c>
      <c r="E2848" s="120">
        <v>125</v>
      </c>
      <c r="F2848" s="133" t="s">
        <v>161</v>
      </c>
      <c r="G2848" s="404" t="s">
        <v>45</v>
      </c>
      <c r="H2848" s="411">
        <v>332.5</v>
      </c>
      <c r="I2848" s="94">
        <f t="shared" si="528"/>
        <v>-29.924999999999997</v>
      </c>
      <c r="J2848" s="391">
        <f t="shared" si="529"/>
        <v>-6.6174999999999997</v>
      </c>
      <c r="K2848" s="90">
        <f t="shared" si="527"/>
        <v>295.95749999999998</v>
      </c>
      <c r="L2848" s="131">
        <v>1322</v>
      </c>
      <c r="M2848" s="187">
        <v>40.03</v>
      </c>
      <c r="N2848" s="91">
        <f t="shared" si="515"/>
        <v>205.28</v>
      </c>
      <c r="O2848" s="411">
        <f t="shared" si="526"/>
        <v>90.677499999999981</v>
      </c>
      <c r="P2848" s="132" t="s">
        <v>52</v>
      </c>
      <c r="Q2848" s="232"/>
      <c r="R2848" s="411"/>
      <c r="T2848" s="134" t="s">
        <v>145</v>
      </c>
      <c r="U2848" s="267" t="s">
        <v>6538</v>
      </c>
      <c r="AA2848" s="218"/>
    </row>
    <row r="2849" spans="1:27" x14ac:dyDescent="0.25">
      <c r="A2849" s="405">
        <v>3002194</v>
      </c>
      <c r="B2849" s="406">
        <v>42502</v>
      </c>
      <c r="C2849" s="405" t="s">
        <v>5682</v>
      </c>
      <c r="D2849" s="401" t="s">
        <v>6539</v>
      </c>
      <c r="E2849" s="120">
        <v>250</v>
      </c>
      <c r="F2849" s="133" t="s">
        <v>6391</v>
      </c>
      <c r="G2849" s="404" t="s">
        <v>45</v>
      </c>
      <c r="H2849" s="411">
        <v>249.38</v>
      </c>
      <c r="I2849" s="94">
        <f t="shared" si="528"/>
        <v>-22.444199999999999</v>
      </c>
      <c r="J2849" s="391">
        <f t="shared" si="529"/>
        <v>-5.0382199999999999</v>
      </c>
      <c r="K2849" s="90">
        <f t="shared" si="527"/>
        <v>221.89758</v>
      </c>
      <c r="L2849" s="187">
        <v>560</v>
      </c>
      <c r="M2849" s="187">
        <v>44.87</v>
      </c>
      <c r="N2849" s="91">
        <f t="shared" si="515"/>
        <v>184.87</v>
      </c>
      <c r="O2849" s="411">
        <f t="shared" si="526"/>
        <v>37.02758</v>
      </c>
      <c r="P2849" s="132" t="s">
        <v>313</v>
      </c>
      <c r="Q2849" s="232"/>
      <c r="R2849" s="411"/>
      <c r="T2849" s="134" t="s">
        <v>314</v>
      </c>
      <c r="U2849" s="267" t="s">
        <v>6540</v>
      </c>
      <c r="AA2849" s="218"/>
    </row>
    <row r="2850" spans="1:27" x14ac:dyDescent="0.25">
      <c r="A2850" s="419">
        <v>3002195</v>
      </c>
      <c r="B2850" s="421">
        <v>42502</v>
      </c>
      <c r="C2850" s="419" t="s">
        <v>56</v>
      </c>
      <c r="D2850" s="417" t="s">
        <v>6541</v>
      </c>
      <c r="E2850" s="120">
        <v>1000</v>
      </c>
      <c r="F2850" s="133" t="s">
        <v>6542</v>
      </c>
      <c r="G2850" s="434" t="s">
        <v>45</v>
      </c>
      <c r="H2850" s="427">
        <v>975</v>
      </c>
      <c r="I2850" s="94">
        <v>0</v>
      </c>
      <c r="J2850" s="391">
        <f t="shared" ref="J2850:J2878" si="530">-((H2850*0.019)+0.3)</f>
        <v>-18.824999999999999</v>
      </c>
      <c r="K2850" s="90">
        <f t="shared" ref="K2850:K2914" si="531">SUM(H2850:J2850)</f>
        <v>956.17499999999995</v>
      </c>
      <c r="L2850" s="131">
        <v>220</v>
      </c>
      <c r="M2850" s="468">
        <v>97.22</v>
      </c>
      <c r="N2850" s="91">
        <f t="shared" si="515"/>
        <v>317.22000000000003</v>
      </c>
      <c r="O2850" s="411">
        <f t="shared" si="526"/>
        <v>638.95499999999993</v>
      </c>
      <c r="P2850" s="132" t="s">
        <v>52</v>
      </c>
      <c r="Q2850" s="232"/>
      <c r="R2850" s="411"/>
      <c r="T2850" s="439" t="s">
        <v>244</v>
      </c>
      <c r="U2850" s="446" t="s">
        <v>6543</v>
      </c>
      <c r="V2850" s="133" t="s">
        <v>55</v>
      </c>
      <c r="AA2850" s="218"/>
    </row>
    <row r="2851" spans="1:27" x14ac:dyDescent="0.25">
      <c r="A2851" s="432"/>
      <c r="B2851" s="433"/>
      <c r="C2851" s="432"/>
      <c r="D2851" s="454"/>
      <c r="E2851" s="120">
        <v>750</v>
      </c>
      <c r="F2851" s="133" t="s">
        <v>6544</v>
      </c>
      <c r="G2851" s="435"/>
      <c r="H2851" s="438"/>
      <c r="I2851" s="94">
        <f t="shared" ref="I2851:I2878" si="532">-(H2851*0.09)</f>
        <v>0</v>
      </c>
      <c r="J2851" s="391">
        <f t="shared" si="530"/>
        <v>-0.3</v>
      </c>
      <c r="K2851" s="90">
        <f t="shared" si="531"/>
        <v>-0.3</v>
      </c>
      <c r="L2851" s="131">
        <v>407</v>
      </c>
      <c r="M2851" s="491"/>
      <c r="N2851" s="91">
        <f t="shared" si="515"/>
        <v>305.25</v>
      </c>
      <c r="O2851" s="411">
        <f t="shared" si="526"/>
        <v>-305.55</v>
      </c>
      <c r="P2851" s="132" t="s">
        <v>52</v>
      </c>
      <c r="Q2851" s="232"/>
      <c r="R2851" s="411"/>
      <c r="T2851" s="440"/>
      <c r="U2851" s="448"/>
      <c r="V2851" s="133" t="s">
        <v>5916</v>
      </c>
      <c r="AA2851" s="218"/>
    </row>
    <row r="2852" spans="1:27" x14ac:dyDescent="0.25">
      <c r="A2852" s="420"/>
      <c r="B2852" s="422"/>
      <c r="C2852" s="420"/>
      <c r="D2852" s="418"/>
      <c r="E2852" s="120">
        <v>250</v>
      </c>
      <c r="F2852" s="133" t="s">
        <v>6545</v>
      </c>
      <c r="G2852" s="436"/>
      <c r="H2852" s="428"/>
      <c r="I2852" s="94">
        <f t="shared" si="532"/>
        <v>0</v>
      </c>
      <c r="J2852" s="391">
        <f t="shared" si="530"/>
        <v>-0.3</v>
      </c>
      <c r="K2852" s="90">
        <f t="shared" si="531"/>
        <v>-0.3</v>
      </c>
      <c r="L2852" s="131">
        <v>690</v>
      </c>
      <c r="M2852" s="469"/>
      <c r="N2852" s="91">
        <f t="shared" si="515"/>
        <v>172.5</v>
      </c>
      <c r="O2852" s="411">
        <f t="shared" si="526"/>
        <v>-172.8</v>
      </c>
      <c r="P2852" s="132" t="s">
        <v>52</v>
      </c>
      <c r="Q2852" s="232"/>
      <c r="R2852" s="411"/>
      <c r="T2852" s="441"/>
      <c r="U2852" s="447"/>
      <c r="AA2852" s="218"/>
    </row>
    <row r="2853" spans="1:27" x14ac:dyDescent="0.25">
      <c r="A2853" s="419">
        <v>3002196</v>
      </c>
      <c r="B2853" s="421">
        <v>42502</v>
      </c>
      <c r="C2853" s="419" t="s">
        <v>141</v>
      </c>
      <c r="D2853" s="417" t="s">
        <v>3069</v>
      </c>
      <c r="E2853" s="120">
        <v>250</v>
      </c>
      <c r="F2853" s="133" t="s">
        <v>4328</v>
      </c>
      <c r="G2853" s="434" t="s">
        <v>45</v>
      </c>
      <c r="H2853" s="427">
        <v>1397.5</v>
      </c>
      <c r="I2853" s="94"/>
      <c r="J2853" s="391">
        <f t="shared" si="530"/>
        <v>-26.852499999999999</v>
      </c>
      <c r="K2853" s="90">
        <f t="shared" si="531"/>
        <v>1370.6475</v>
      </c>
      <c r="L2853" s="187">
        <v>3450</v>
      </c>
      <c r="M2853" s="187">
        <v>107.18</v>
      </c>
      <c r="N2853" s="91">
        <f t="shared" si="515"/>
        <v>969.68000000000006</v>
      </c>
      <c r="O2853" s="411">
        <f t="shared" si="526"/>
        <v>400.96749999999997</v>
      </c>
      <c r="P2853" s="132" t="s">
        <v>235</v>
      </c>
      <c r="Q2853" s="232"/>
      <c r="R2853" s="411"/>
      <c r="T2853" s="134" t="s">
        <v>3598</v>
      </c>
      <c r="U2853" s="267" t="s">
        <v>6546</v>
      </c>
      <c r="W2853" s="153" t="s">
        <v>5510</v>
      </c>
      <c r="AA2853" s="473">
        <v>25</v>
      </c>
    </row>
    <row r="2854" spans="1:27" ht="24" x14ac:dyDescent="0.25">
      <c r="A2854" s="432"/>
      <c r="B2854" s="433"/>
      <c r="C2854" s="432"/>
      <c r="D2854" s="454"/>
      <c r="E2854" s="120">
        <v>250</v>
      </c>
      <c r="F2854" s="119" t="s">
        <v>6547</v>
      </c>
      <c r="G2854" s="435"/>
      <c r="H2854" s="438"/>
      <c r="I2854" s="94">
        <f t="shared" si="532"/>
        <v>0</v>
      </c>
      <c r="J2854" s="391">
        <f t="shared" si="530"/>
        <v>-0.3</v>
      </c>
      <c r="K2854" s="90">
        <f t="shared" si="531"/>
        <v>-0.3</v>
      </c>
      <c r="L2854" s="187">
        <v>150</v>
      </c>
      <c r="M2854" s="187">
        <v>15.76</v>
      </c>
      <c r="N2854" s="91">
        <f t="shared" si="515"/>
        <v>53.26</v>
      </c>
      <c r="O2854" s="411">
        <f t="shared" si="526"/>
        <v>-53.559999999999995</v>
      </c>
      <c r="P2854" s="132" t="s">
        <v>183</v>
      </c>
      <c r="Q2854" s="232"/>
      <c r="R2854" s="411"/>
      <c r="T2854" s="134" t="s">
        <v>145</v>
      </c>
      <c r="U2854" s="267" t="s">
        <v>6548</v>
      </c>
      <c r="V2854" s="133" t="s">
        <v>6549</v>
      </c>
      <c r="AA2854" s="478"/>
    </row>
    <row r="2855" spans="1:27" x14ac:dyDescent="0.25">
      <c r="A2855" s="420"/>
      <c r="B2855" s="422"/>
      <c r="C2855" s="420"/>
      <c r="D2855" s="418"/>
      <c r="E2855" s="120">
        <v>250</v>
      </c>
      <c r="F2855" s="133" t="s">
        <v>6550</v>
      </c>
      <c r="G2855" s="436"/>
      <c r="H2855" s="428"/>
      <c r="I2855" s="94">
        <f t="shared" si="532"/>
        <v>0</v>
      </c>
      <c r="J2855" s="391">
        <f t="shared" si="530"/>
        <v>-0.3</v>
      </c>
      <c r="K2855" s="90">
        <f t="shared" si="531"/>
        <v>-0.3</v>
      </c>
      <c r="L2855" s="187">
        <v>430</v>
      </c>
      <c r="N2855" s="91">
        <f t="shared" si="515"/>
        <v>107.5</v>
      </c>
      <c r="O2855" s="411">
        <f t="shared" si="526"/>
        <v>-107.8</v>
      </c>
      <c r="P2855" s="132" t="s">
        <v>235</v>
      </c>
      <c r="Q2855" s="232"/>
      <c r="R2855" s="411"/>
      <c r="T2855" s="134" t="s">
        <v>3598</v>
      </c>
      <c r="U2855" s="267" t="s">
        <v>6546</v>
      </c>
      <c r="AA2855" s="474"/>
    </row>
    <row r="2856" spans="1:27" x14ac:dyDescent="0.25">
      <c r="A2856" s="405">
        <v>3002197</v>
      </c>
      <c r="B2856" s="406">
        <v>42502</v>
      </c>
      <c r="C2856" s="405" t="s">
        <v>63</v>
      </c>
      <c r="D2856" s="401" t="s">
        <v>6551</v>
      </c>
      <c r="E2856" s="120">
        <v>560</v>
      </c>
      <c r="F2856" s="133" t="s">
        <v>51</v>
      </c>
      <c r="G2856" s="404" t="s">
        <v>45</v>
      </c>
      <c r="H2856" s="411">
        <v>1203</v>
      </c>
      <c r="I2856" s="94">
        <v>0</v>
      </c>
      <c r="J2856" s="391">
        <f t="shared" si="530"/>
        <v>-23.157</v>
      </c>
      <c r="K2856" s="90">
        <f t="shared" si="531"/>
        <v>1179.8430000000001</v>
      </c>
      <c r="L2856" s="131">
        <v>1015</v>
      </c>
      <c r="M2856" s="187">
        <v>256.75</v>
      </c>
      <c r="N2856" s="91">
        <f t="shared" si="515"/>
        <v>825.15000000000009</v>
      </c>
      <c r="O2856" s="411">
        <f t="shared" si="526"/>
        <v>354.69299999999998</v>
      </c>
      <c r="P2856" s="132" t="s">
        <v>52</v>
      </c>
      <c r="Q2856" s="232"/>
      <c r="R2856" s="411"/>
      <c r="T2856" s="134" t="s">
        <v>1467</v>
      </c>
      <c r="U2856" s="267" t="s">
        <v>6552</v>
      </c>
      <c r="V2856" s="133" t="s">
        <v>55</v>
      </c>
      <c r="W2856" s="153" t="s">
        <v>6553</v>
      </c>
      <c r="AA2856" s="218">
        <v>10</v>
      </c>
    </row>
    <row r="2857" spans="1:27" ht="24" x14ac:dyDescent="0.25">
      <c r="A2857" s="405">
        <v>3002198</v>
      </c>
      <c r="B2857" s="406">
        <v>42503</v>
      </c>
      <c r="C2857" s="405" t="s">
        <v>5682</v>
      </c>
      <c r="D2857" s="401" t="s">
        <v>6554</v>
      </c>
      <c r="E2857" s="120">
        <v>170</v>
      </c>
      <c r="F2857" s="133" t="s">
        <v>222</v>
      </c>
      <c r="G2857" s="404" t="s">
        <v>45</v>
      </c>
      <c r="H2857" s="411">
        <v>321.3</v>
      </c>
      <c r="I2857" s="94">
        <f t="shared" si="532"/>
        <v>-28.917000000000002</v>
      </c>
      <c r="J2857" s="391">
        <f t="shared" si="530"/>
        <v>-6.4047000000000001</v>
      </c>
      <c r="K2857" s="90">
        <f t="shared" si="531"/>
        <v>285.97830000000005</v>
      </c>
      <c r="M2857" s="187">
        <v>54.05</v>
      </c>
      <c r="N2857" s="91">
        <f t="shared" si="515"/>
        <v>54.05</v>
      </c>
      <c r="O2857" s="411">
        <f t="shared" si="526"/>
        <v>231.92830000000004</v>
      </c>
      <c r="P2857" s="132" t="s">
        <v>52</v>
      </c>
      <c r="Q2857" s="232"/>
      <c r="R2857" s="411"/>
      <c r="T2857" s="134" t="s">
        <v>145</v>
      </c>
      <c r="U2857" s="267" t="s">
        <v>6555</v>
      </c>
      <c r="AA2857" s="218"/>
    </row>
    <row r="2858" spans="1:27" x14ac:dyDescent="0.25">
      <c r="A2858" s="405">
        <v>3002199</v>
      </c>
      <c r="B2858" s="406">
        <v>42503</v>
      </c>
      <c r="C2858" s="405" t="s">
        <v>5682</v>
      </c>
      <c r="D2858" s="401" t="s">
        <v>6556</v>
      </c>
      <c r="E2858" s="120">
        <v>500</v>
      </c>
      <c r="F2858" s="133" t="s">
        <v>6557</v>
      </c>
      <c r="G2858" s="404" t="s">
        <v>45</v>
      </c>
      <c r="H2858" s="411">
        <v>950</v>
      </c>
      <c r="I2858" s="94">
        <f t="shared" si="532"/>
        <v>-85.5</v>
      </c>
      <c r="J2858" s="391">
        <f t="shared" si="530"/>
        <v>-18.350000000000001</v>
      </c>
      <c r="K2858" s="90">
        <f t="shared" si="531"/>
        <v>846.15</v>
      </c>
      <c r="M2858" s="187">
        <v>186.81</v>
      </c>
      <c r="N2858" s="91">
        <f t="shared" si="515"/>
        <v>186.81</v>
      </c>
      <c r="O2858" s="411">
        <f t="shared" si="526"/>
        <v>659.33999999999992</v>
      </c>
      <c r="P2858" s="132" t="s">
        <v>52</v>
      </c>
      <c r="Q2858" s="232"/>
      <c r="R2858" s="411"/>
      <c r="T2858" s="134" t="s">
        <v>244</v>
      </c>
      <c r="U2858" s="267" t="s">
        <v>6558</v>
      </c>
      <c r="V2858" s="133" t="s">
        <v>55</v>
      </c>
      <c r="AA2858" s="218"/>
    </row>
    <row r="2859" spans="1:27" ht="24" x14ac:dyDescent="0.25">
      <c r="A2859" s="405">
        <v>3002200</v>
      </c>
      <c r="B2859" s="406">
        <v>42503</v>
      </c>
      <c r="C2859" s="405" t="s">
        <v>5682</v>
      </c>
      <c r="D2859" s="401" t="s">
        <v>6559</v>
      </c>
      <c r="E2859" s="120">
        <v>200</v>
      </c>
      <c r="F2859" s="133" t="s">
        <v>829</v>
      </c>
      <c r="G2859" s="404" t="s">
        <v>45</v>
      </c>
      <c r="H2859" s="411">
        <v>210.84</v>
      </c>
      <c r="I2859" s="94">
        <f t="shared" si="532"/>
        <v>-18.9756</v>
      </c>
      <c r="J2859" s="391">
        <f t="shared" si="530"/>
        <v>-4.3059599999999998</v>
      </c>
      <c r="K2859" s="90">
        <f t="shared" si="531"/>
        <v>187.55843999999999</v>
      </c>
      <c r="M2859" s="187">
        <v>55.67</v>
      </c>
      <c r="N2859" s="91">
        <f t="shared" si="515"/>
        <v>55.67</v>
      </c>
      <c r="O2859" s="411">
        <f t="shared" si="526"/>
        <v>131.88844</v>
      </c>
      <c r="P2859" s="132" t="s">
        <v>52</v>
      </c>
      <c r="Q2859" s="232"/>
      <c r="R2859" s="411"/>
      <c r="T2859" s="134" t="s">
        <v>145</v>
      </c>
      <c r="U2859" s="267" t="s">
        <v>6560</v>
      </c>
      <c r="AA2859" s="218"/>
    </row>
    <row r="2860" spans="1:27" ht="24" x14ac:dyDescent="0.25">
      <c r="A2860" s="405">
        <v>3002201</v>
      </c>
      <c r="B2860" s="406">
        <v>42503</v>
      </c>
      <c r="C2860" s="405" t="s">
        <v>5682</v>
      </c>
      <c r="D2860" s="401" t="s">
        <v>6561</v>
      </c>
      <c r="E2860" s="120">
        <v>500</v>
      </c>
      <c r="F2860" s="133" t="s">
        <v>6562</v>
      </c>
      <c r="G2860" s="404" t="s">
        <v>45</v>
      </c>
      <c r="H2860" s="411">
        <v>152</v>
      </c>
      <c r="I2860" s="94">
        <f t="shared" si="532"/>
        <v>-13.68</v>
      </c>
      <c r="J2860" s="391">
        <f t="shared" si="530"/>
        <v>-3.1879999999999997</v>
      </c>
      <c r="K2860" s="90">
        <f t="shared" si="531"/>
        <v>135.13200000000001</v>
      </c>
      <c r="L2860" s="187">
        <v>150</v>
      </c>
      <c r="M2860" s="187">
        <v>26.37</v>
      </c>
      <c r="N2860" s="91">
        <f t="shared" si="515"/>
        <v>101.37</v>
      </c>
      <c r="O2860" s="411">
        <f t="shared" si="526"/>
        <v>33.762</v>
      </c>
      <c r="P2860" s="132" t="s">
        <v>235</v>
      </c>
      <c r="Q2860" s="232"/>
      <c r="R2860" s="411"/>
      <c r="T2860" s="134" t="s">
        <v>145</v>
      </c>
      <c r="U2860" s="267" t="s">
        <v>6563</v>
      </c>
      <c r="AA2860" s="218"/>
    </row>
    <row r="2861" spans="1:27" ht="24" x14ac:dyDescent="0.25">
      <c r="A2861" s="405">
        <v>3002202</v>
      </c>
      <c r="B2861" s="406">
        <v>42503</v>
      </c>
      <c r="C2861" s="405" t="s">
        <v>5682</v>
      </c>
      <c r="D2861" s="401" t="s">
        <v>6564</v>
      </c>
      <c r="E2861" s="120">
        <v>60</v>
      </c>
      <c r="F2861" s="133" t="s">
        <v>6565</v>
      </c>
      <c r="G2861" s="404" t="s">
        <v>45</v>
      </c>
      <c r="H2861" s="411">
        <v>369</v>
      </c>
      <c r="I2861" s="94">
        <f t="shared" si="532"/>
        <v>-33.21</v>
      </c>
      <c r="J2861" s="391">
        <f t="shared" si="530"/>
        <v>-7.3109999999999999</v>
      </c>
      <c r="K2861" s="90">
        <f t="shared" si="531"/>
        <v>328.47900000000004</v>
      </c>
      <c r="L2861" s="187">
        <v>3350</v>
      </c>
      <c r="M2861" s="187">
        <v>35.58</v>
      </c>
      <c r="N2861" s="91">
        <f t="shared" si="515"/>
        <v>236.57999999999998</v>
      </c>
      <c r="O2861" s="411">
        <f t="shared" si="526"/>
        <v>91.899000000000058</v>
      </c>
      <c r="P2861" s="132" t="s">
        <v>183</v>
      </c>
      <c r="Q2861" s="232"/>
      <c r="R2861" s="411"/>
      <c r="T2861" s="134" t="s">
        <v>145</v>
      </c>
      <c r="U2861" s="267" t="s">
        <v>6566</v>
      </c>
      <c r="W2861" s="154" t="s">
        <v>6567</v>
      </c>
      <c r="AA2861" s="218"/>
    </row>
    <row r="2862" spans="1:27" ht="24" x14ac:dyDescent="0.25">
      <c r="A2862" s="405">
        <v>3002203</v>
      </c>
      <c r="B2862" s="406">
        <v>42503</v>
      </c>
      <c r="C2862" s="405" t="s">
        <v>5682</v>
      </c>
      <c r="D2862" s="401" t="s">
        <v>6568</v>
      </c>
      <c r="E2862" s="120">
        <v>100</v>
      </c>
      <c r="F2862" s="133" t="s">
        <v>161</v>
      </c>
      <c r="G2862" s="404" t="s">
        <v>45</v>
      </c>
      <c r="H2862" s="411">
        <v>235</v>
      </c>
      <c r="I2862" s="94">
        <f t="shared" si="532"/>
        <v>-21.15</v>
      </c>
      <c r="J2862" s="391">
        <f t="shared" si="530"/>
        <v>-4.7649999999999997</v>
      </c>
      <c r="K2862" s="90">
        <f t="shared" si="531"/>
        <v>209.08500000000001</v>
      </c>
      <c r="M2862" s="187">
        <v>50.53</v>
      </c>
      <c r="N2862" s="91">
        <f t="shared" ref="N2862:N2925" si="533">((L2862)*(E2862*0.001))+M2862</f>
        <v>50.53</v>
      </c>
      <c r="O2862" s="411">
        <f t="shared" si="526"/>
        <v>158.55500000000001</v>
      </c>
      <c r="P2862" s="132" t="s">
        <v>52</v>
      </c>
      <c r="Q2862" s="232"/>
      <c r="R2862" s="411"/>
      <c r="T2862" s="134" t="s">
        <v>145</v>
      </c>
      <c r="U2862" s="267" t="s">
        <v>6569</v>
      </c>
      <c r="AA2862" s="218"/>
    </row>
    <row r="2863" spans="1:27" ht="24" x14ac:dyDescent="0.25">
      <c r="A2863" s="405">
        <v>3002204</v>
      </c>
      <c r="B2863" s="406">
        <v>42503</v>
      </c>
      <c r="C2863" s="405" t="s">
        <v>5682</v>
      </c>
      <c r="D2863" s="401" t="s">
        <v>6570</v>
      </c>
      <c r="E2863" s="120">
        <v>75</v>
      </c>
      <c r="F2863" s="133" t="s">
        <v>431</v>
      </c>
      <c r="G2863" s="404" t="s">
        <v>45</v>
      </c>
      <c r="H2863" s="411">
        <v>193</v>
      </c>
      <c r="I2863" s="94">
        <f t="shared" si="532"/>
        <v>-17.37</v>
      </c>
      <c r="J2863" s="391">
        <f t="shared" si="530"/>
        <v>-3.9669999999999996</v>
      </c>
      <c r="K2863" s="90">
        <f t="shared" si="531"/>
        <v>171.66299999999998</v>
      </c>
      <c r="M2863" s="187">
        <v>39.630000000000003</v>
      </c>
      <c r="N2863" s="91">
        <f t="shared" si="533"/>
        <v>39.630000000000003</v>
      </c>
      <c r="O2863" s="411">
        <f t="shared" si="526"/>
        <v>132.03299999999999</v>
      </c>
      <c r="P2863" s="132" t="s">
        <v>52</v>
      </c>
      <c r="Q2863" s="232"/>
      <c r="R2863" s="411"/>
      <c r="T2863" s="134" t="s">
        <v>145</v>
      </c>
      <c r="U2863" s="267" t="s">
        <v>6571</v>
      </c>
      <c r="AA2863" s="218"/>
    </row>
    <row r="2864" spans="1:27" ht="24" x14ac:dyDescent="0.25">
      <c r="A2864" s="405">
        <v>3002205</v>
      </c>
      <c r="B2864" s="406">
        <v>42503</v>
      </c>
      <c r="C2864" s="405" t="s">
        <v>5682</v>
      </c>
      <c r="D2864" s="401" t="s">
        <v>6572</v>
      </c>
      <c r="E2864" s="120">
        <v>100</v>
      </c>
      <c r="F2864" s="133" t="s">
        <v>431</v>
      </c>
      <c r="G2864" s="404" t="s">
        <v>45</v>
      </c>
      <c r="H2864" s="411">
        <v>216.11</v>
      </c>
      <c r="I2864" s="94">
        <f t="shared" si="532"/>
        <v>-19.4499</v>
      </c>
      <c r="J2864" s="391">
        <f t="shared" si="530"/>
        <v>-4.4060899999999998</v>
      </c>
      <c r="K2864" s="90">
        <f t="shared" si="531"/>
        <v>192.25400999999999</v>
      </c>
      <c r="M2864" s="187">
        <v>23.02</v>
      </c>
      <c r="N2864" s="91">
        <f t="shared" si="533"/>
        <v>23.02</v>
      </c>
      <c r="O2864" s="411">
        <f t="shared" si="526"/>
        <v>169.23400999999998</v>
      </c>
      <c r="P2864" s="132" t="s">
        <v>52</v>
      </c>
      <c r="Q2864" s="232"/>
      <c r="R2864" s="411"/>
      <c r="T2864" s="134" t="s">
        <v>145</v>
      </c>
      <c r="U2864" s="267" t="s">
        <v>6573</v>
      </c>
      <c r="AA2864" s="218"/>
    </row>
    <row r="2865" spans="1:27" ht="24" x14ac:dyDescent="0.25">
      <c r="A2865" s="405">
        <v>3002206</v>
      </c>
      <c r="B2865" s="406">
        <v>42503</v>
      </c>
      <c r="C2865" s="405" t="s">
        <v>5682</v>
      </c>
      <c r="D2865" s="401" t="s">
        <v>6574</v>
      </c>
      <c r="E2865" s="120">
        <v>75</v>
      </c>
      <c r="F2865" s="133" t="s">
        <v>161</v>
      </c>
      <c r="G2865" s="404" t="s">
        <v>45</v>
      </c>
      <c r="H2865" s="411">
        <v>218.5</v>
      </c>
      <c r="I2865" s="94">
        <f t="shared" si="532"/>
        <v>-19.664999999999999</v>
      </c>
      <c r="J2865" s="391">
        <f t="shared" si="530"/>
        <v>-4.4514999999999993</v>
      </c>
      <c r="K2865" s="90">
        <f t="shared" si="531"/>
        <v>194.3835</v>
      </c>
      <c r="M2865" s="187">
        <v>35.28</v>
      </c>
      <c r="N2865" s="91">
        <f t="shared" si="533"/>
        <v>35.28</v>
      </c>
      <c r="O2865" s="411">
        <f t="shared" si="526"/>
        <v>159.1035</v>
      </c>
      <c r="P2865" s="132" t="s">
        <v>52</v>
      </c>
      <c r="Q2865" s="232"/>
      <c r="R2865" s="411"/>
      <c r="T2865" s="134" t="s">
        <v>145</v>
      </c>
      <c r="U2865" s="267" t="s">
        <v>6575</v>
      </c>
      <c r="AA2865" s="218"/>
    </row>
    <row r="2866" spans="1:27" ht="24" x14ac:dyDescent="0.25">
      <c r="A2866" s="405">
        <v>3002207</v>
      </c>
      <c r="B2866" s="406">
        <v>42503</v>
      </c>
      <c r="C2866" s="405" t="s">
        <v>5682</v>
      </c>
      <c r="D2866" s="401" t="s">
        <v>6576</v>
      </c>
      <c r="E2866" s="120">
        <v>50</v>
      </c>
      <c r="F2866" s="133" t="s">
        <v>288</v>
      </c>
      <c r="G2866" s="404" t="s">
        <v>45</v>
      </c>
      <c r="H2866" s="411">
        <v>102.41</v>
      </c>
      <c r="I2866" s="94">
        <f t="shared" si="532"/>
        <v>-9.216899999999999</v>
      </c>
      <c r="J2866" s="391">
        <f t="shared" si="530"/>
        <v>-2.24579</v>
      </c>
      <c r="K2866" s="90">
        <f t="shared" si="531"/>
        <v>90.947310000000002</v>
      </c>
      <c r="M2866" s="187">
        <v>34.17</v>
      </c>
      <c r="N2866" s="91">
        <f t="shared" si="533"/>
        <v>34.17</v>
      </c>
      <c r="O2866" s="411">
        <f t="shared" si="526"/>
        <v>56.77731</v>
      </c>
      <c r="P2866" s="132" t="s">
        <v>52</v>
      </c>
      <c r="Q2866" s="232"/>
      <c r="R2866" s="411"/>
      <c r="T2866" s="134" t="s">
        <v>145</v>
      </c>
      <c r="U2866" s="267" t="s">
        <v>6577</v>
      </c>
      <c r="AA2866" s="218"/>
    </row>
    <row r="2867" spans="1:27" ht="24" x14ac:dyDescent="0.25">
      <c r="A2867" s="405">
        <v>3002208</v>
      </c>
      <c r="B2867" s="406">
        <v>42503</v>
      </c>
      <c r="C2867" s="405" t="s">
        <v>5682</v>
      </c>
      <c r="D2867" s="401" t="s">
        <v>6578</v>
      </c>
      <c r="E2867" s="120">
        <v>350</v>
      </c>
      <c r="F2867" s="133" t="s">
        <v>165</v>
      </c>
      <c r="G2867" s="404" t="s">
        <v>45</v>
      </c>
      <c r="H2867" s="411">
        <v>318.68</v>
      </c>
      <c r="I2867" s="94">
        <f t="shared" si="532"/>
        <v>-28.6812</v>
      </c>
      <c r="J2867" s="391">
        <f t="shared" si="530"/>
        <v>-6.3549199999999999</v>
      </c>
      <c r="K2867" s="90">
        <f t="shared" si="531"/>
        <v>283.64388000000002</v>
      </c>
      <c r="L2867" s="187">
        <v>440</v>
      </c>
      <c r="M2867" s="187">
        <v>53.26</v>
      </c>
      <c r="N2867" s="91">
        <f t="shared" si="533"/>
        <v>207.26000000000002</v>
      </c>
      <c r="O2867" s="411">
        <f t="shared" si="526"/>
        <v>76.383880000000005</v>
      </c>
      <c r="P2867" s="132" t="s">
        <v>3597</v>
      </c>
      <c r="Q2867" s="232"/>
      <c r="R2867" s="411"/>
      <c r="T2867" s="134" t="s">
        <v>145</v>
      </c>
      <c r="U2867" s="267" t="s">
        <v>6579</v>
      </c>
      <c r="AA2867" s="218"/>
    </row>
    <row r="2868" spans="1:27" ht="24" x14ac:dyDescent="0.25">
      <c r="A2868" s="405">
        <v>3002209</v>
      </c>
      <c r="B2868" s="406">
        <v>42503</v>
      </c>
      <c r="C2868" s="405" t="s">
        <v>5682</v>
      </c>
      <c r="D2868" s="401" t="s">
        <v>6580</v>
      </c>
      <c r="E2868" s="120">
        <v>1000</v>
      </c>
      <c r="F2868" s="133" t="s">
        <v>438</v>
      </c>
      <c r="G2868" s="404" t="s">
        <v>45</v>
      </c>
      <c r="H2868" s="411">
        <v>551</v>
      </c>
      <c r="I2868" s="94">
        <f t="shared" si="532"/>
        <v>-49.589999999999996</v>
      </c>
      <c r="J2868" s="391">
        <f t="shared" si="530"/>
        <v>-10.769</v>
      </c>
      <c r="K2868" s="90">
        <f t="shared" si="531"/>
        <v>490.64100000000002</v>
      </c>
      <c r="L2868" s="187">
        <v>220</v>
      </c>
      <c r="M2868" s="187">
        <v>83.86</v>
      </c>
      <c r="N2868" s="91">
        <f t="shared" si="533"/>
        <v>303.86</v>
      </c>
      <c r="O2868" s="411">
        <f t="shared" si="526"/>
        <v>186.78100000000001</v>
      </c>
      <c r="P2868" s="132" t="s">
        <v>3597</v>
      </c>
      <c r="Q2868" s="232"/>
      <c r="R2868" s="411"/>
      <c r="T2868" s="134" t="s">
        <v>2389</v>
      </c>
      <c r="U2868" s="267" t="s">
        <v>6581</v>
      </c>
      <c r="AA2868" s="218"/>
    </row>
    <row r="2869" spans="1:27" ht="24" x14ac:dyDescent="0.25">
      <c r="A2869" s="405">
        <v>3002210</v>
      </c>
      <c r="B2869" s="406">
        <v>42503</v>
      </c>
      <c r="C2869" s="405" t="s">
        <v>141</v>
      </c>
      <c r="D2869" s="401" t="s">
        <v>5074</v>
      </c>
      <c r="E2869" s="120">
        <v>500</v>
      </c>
      <c r="F2869" s="133" t="s">
        <v>983</v>
      </c>
      <c r="G2869" s="404" t="s">
        <v>45</v>
      </c>
      <c r="H2869" s="411">
        <v>238.12</v>
      </c>
      <c r="I2869" s="94">
        <v>0</v>
      </c>
      <c r="J2869" s="391">
        <f>-((H2869*0.0325)+0.3)</f>
        <v>-8.0388999999999999</v>
      </c>
      <c r="K2869" s="90">
        <f t="shared" si="531"/>
        <v>230.08109999999999</v>
      </c>
      <c r="M2869" s="187">
        <v>37.4</v>
      </c>
      <c r="N2869" s="91">
        <f t="shared" si="533"/>
        <v>37.4</v>
      </c>
      <c r="O2869" s="411">
        <f t="shared" si="526"/>
        <v>192.68109999999999</v>
      </c>
      <c r="P2869" s="132" t="s">
        <v>52</v>
      </c>
      <c r="Q2869" s="232"/>
      <c r="R2869" s="411"/>
      <c r="T2869" s="134" t="s">
        <v>145</v>
      </c>
      <c r="U2869" s="267" t="s">
        <v>6582</v>
      </c>
      <c r="W2869" s="153" t="s">
        <v>6583</v>
      </c>
      <c r="AA2869" s="218"/>
    </row>
    <row r="2870" spans="1:27" ht="24" x14ac:dyDescent="0.25">
      <c r="A2870" s="405">
        <v>3002211</v>
      </c>
      <c r="B2870" s="406">
        <v>42503</v>
      </c>
      <c r="C2870" s="405" t="s">
        <v>237</v>
      </c>
      <c r="D2870" s="401" t="s">
        <v>6584</v>
      </c>
      <c r="E2870" s="120">
        <v>300</v>
      </c>
      <c r="F2870" s="133" t="s">
        <v>6585</v>
      </c>
      <c r="G2870" s="404" t="s">
        <v>45</v>
      </c>
      <c r="H2870" s="411">
        <v>453.76</v>
      </c>
      <c r="I2870" s="397">
        <f t="shared" ref="I2870" si="534">-(H2870*0.15)</f>
        <v>-68.063999999999993</v>
      </c>
      <c r="J2870" s="391">
        <v>0</v>
      </c>
      <c r="K2870" s="90">
        <f t="shared" si="531"/>
        <v>385.69600000000003</v>
      </c>
      <c r="L2870" s="187">
        <v>760</v>
      </c>
      <c r="M2870" s="187">
        <v>30.11</v>
      </c>
      <c r="N2870" s="91">
        <f t="shared" si="533"/>
        <v>258.11</v>
      </c>
      <c r="O2870" s="411">
        <f t="shared" si="526"/>
        <v>127.58600000000001</v>
      </c>
      <c r="P2870" s="132" t="s">
        <v>601</v>
      </c>
      <c r="Q2870" s="232"/>
      <c r="R2870" s="411"/>
      <c r="T2870" s="134" t="s">
        <v>145</v>
      </c>
      <c r="U2870" s="267" t="s">
        <v>6586</v>
      </c>
      <c r="AA2870" s="218"/>
    </row>
    <row r="2871" spans="1:27" x14ac:dyDescent="0.25">
      <c r="A2871" s="419">
        <v>3002212</v>
      </c>
      <c r="B2871" s="421">
        <v>42503</v>
      </c>
      <c r="C2871" s="419" t="s">
        <v>56</v>
      </c>
      <c r="D2871" s="417" t="s">
        <v>6587</v>
      </c>
      <c r="E2871" s="120">
        <v>4000</v>
      </c>
      <c r="F2871" s="133" t="s">
        <v>6588</v>
      </c>
      <c r="G2871" s="434" t="s">
        <v>45</v>
      </c>
      <c r="H2871" s="427">
        <v>13125.5</v>
      </c>
      <c r="I2871" s="452">
        <v>0</v>
      </c>
      <c r="J2871" s="425">
        <v>0</v>
      </c>
      <c r="K2871" s="425">
        <f t="shared" si="531"/>
        <v>13125.5</v>
      </c>
      <c r="L2871" s="167"/>
      <c r="M2871" s="510">
        <v>479</v>
      </c>
      <c r="N2871" s="91">
        <f t="shared" si="533"/>
        <v>479</v>
      </c>
      <c r="O2871" s="411">
        <f t="shared" si="526"/>
        <v>12646.5</v>
      </c>
      <c r="P2871" s="132" t="s">
        <v>6589</v>
      </c>
      <c r="Q2871" s="232"/>
      <c r="R2871" s="411"/>
      <c r="T2871" s="439" t="s">
        <v>97</v>
      </c>
      <c r="U2871" s="446" t="s">
        <v>6590</v>
      </c>
      <c r="V2871" s="133" t="s">
        <v>55</v>
      </c>
      <c r="AA2871" s="218"/>
    </row>
    <row r="2872" spans="1:27" x14ac:dyDescent="0.25">
      <c r="A2872" s="432"/>
      <c r="B2872" s="433"/>
      <c r="C2872" s="432"/>
      <c r="D2872" s="454"/>
      <c r="E2872" s="120">
        <v>5000</v>
      </c>
      <c r="F2872" s="133" t="s">
        <v>6591</v>
      </c>
      <c r="G2872" s="435"/>
      <c r="H2872" s="438"/>
      <c r="I2872" s="484"/>
      <c r="J2872" s="437"/>
      <c r="K2872" s="437"/>
      <c r="L2872" s="167"/>
      <c r="M2872" s="511"/>
      <c r="N2872" s="91">
        <f t="shared" si="533"/>
        <v>0</v>
      </c>
      <c r="O2872" s="411">
        <f t="shared" si="526"/>
        <v>0</v>
      </c>
      <c r="P2872" s="132" t="s">
        <v>6589</v>
      </c>
      <c r="Q2872" s="232"/>
      <c r="R2872" s="411"/>
      <c r="T2872" s="440"/>
      <c r="U2872" s="448"/>
      <c r="V2872" s="133" t="s">
        <v>6592</v>
      </c>
      <c r="AA2872" s="218"/>
    </row>
    <row r="2873" spans="1:27" x14ac:dyDescent="0.25">
      <c r="A2873" s="420"/>
      <c r="B2873" s="422"/>
      <c r="C2873" s="420"/>
      <c r="D2873" s="418"/>
      <c r="E2873" s="120">
        <v>1500</v>
      </c>
      <c r="F2873" s="133" t="s">
        <v>6593</v>
      </c>
      <c r="G2873" s="436"/>
      <c r="H2873" s="428"/>
      <c r="I2873" s="453"/>
      <c r="J2873" s="426"/>
      <c r="K2873" s="426"/>
      <c r="L2873" s="167"/>
      <c r="M2873" s="512"/>
      <c r="N2873" s="91">
        <f t="shared" si="533"/>
        <v>0</v>
      </c>
      <c r="O2873" s="411">
        <f t="shared" si="526"/>
        <v>0</v>
      </c>
      <c r="P2873" s="132" t="s">
        <v>6589</v>
      </c>
      <c r="Q2873" s="232"/>
      <c r="R2873" s="411"/>
      <c r="T2873" s="441"/>
      <c r="U2873" s="447"/>
      <c r="AA2873" s="218"/>
    </row>
    <row r="2874" spans="1:27" ht="24" x14ac:dyDescent="0.25">
      <c r="A2874" s="405">
        <v>3002213</v>
      </c>
      <c r="B2874" s="406">
        <v>42503</v>
      </c>
      <c r="C2874" s="405" t="s">
        <v>63</v>
      </c>
      <c r="D2874" s="401" t="s">
        <v>4674</v>
      </c>
      <c r="E2874" s="120">
        <v>100</v>
      </c>
      <c r="F2874" s="133" t="s">
        <v>6594</v>
      </c>
      <c r="G2874" s="404" t="s">
        <v>45</v>
      </c>
      <c r="H2874" s="411">
        <v>590</v>
      </c>
      <c r="I2874" s="94">
        <v>0</v>
      </c>
      <c r="J2874" s="391">
        <f>-((H2874*0.022)+0.3)</f>
        <v>-13.28</v>
      </c>
      <c r="K2874" s="90">
        <f t="shared" si="531"/>
        <v>576.72</v>
      </c>
      <c r="M2874" s="187">
        <v>65.98</v>
      </c>
      <c r="N2874" s="91">
        <f t="shared" si="533"/>
        <v>65.98</v>
      </c>
      <c r="O2874" s="411">
        <f t="shared" si="526"/>
        <v>510.74</v>
      </c>
      <c r="P2874" s="132" t="s">
        <v>52</v>
      </c>
      <c r="Q2874" s="232"/>
      <c r="R2874" s="411"/>
      <c r="T2874" s="134" t="s">
        <v>145</v>
      </c>
      <c r="U2874" s="266" t="s">
        <v>6595</v>
      </c>
      <c r="W2874" s="153" t="s">
        <v>4676</v>
      </c>
      <c r="AA2874" s="218"/>
    </row>
    <row r="2875" spans="1:27" ht="24" x14ac:dyDescent="0.25">
      <c r="A2875" s="405">
        <v>3002214</v>
      </c>
      <c r="B2875" s="406">
        <v>42506</v>
      </c>
      <c r="C2875" s="405" t="s">
        <v>327</v>
      </c>
      <c r="D2875" s="401" t="s">
        <v>6596</v>
      </c>
      <c r="E2875" s="120">
        <v>1000</v>
      </c>
      <c r="F2875" s="133" t="s">
        <v>6597</v>
      </c>
      <c r="G2875" s="404" t="s">
        <v>45</v>
      </c>
      <c r="H2875" s="411">
        <v>3400</v>
      </c>
      <c r="I2875" s="94">
        <v>0</v>
      </c>
      <c r="J2875" s="391">
        <f>-((H2875*0.022)+0.3)</f>
        <v>-75.099999999999994</v>
      </c>
      <c r="K2875" s="90">
        <f t="shared" si="531"/>
        <v>3324.9</v>
      </c>
      <c r="L2875" s="187">
        <v>1840</v>
      </c>
      <c r="N2875" s="91">
        <f t="shared" si="533"/>
        <v>1840</v>
      </c>
      <c r="O2875" s="411">
        <f t="shared" si="526"/>
        <v>1484.9</v>
      </c>
      <c r="P2875" s="132" t="s">
        <v>601</v>
      </c>
      <c r="Q2875" s="232"/>
      <c r="R2875" s="411"/>
      <c r="T2875" s="134" t="s">
        <v>473</v>
      </c>
      <c r="U2875" s="267" t="s">
        <v>6598</v>
      </c>
      <c r="W2875" s="153" t="s">
        <v>6599</v>
      </c>
      <c r="AA2875" s="218">
        <v>10</v>
      </c>
    </row>
    <row r="2876" spans="1:27" ht="24" x14ac:dyDescent="0.25">
      <c r="A2876" s="405">
        <v>3002215</v>
      </c>
      <c r="B2876" s="406">
        <v>42506</v>
      </c>
      <c r="C2876" s="405" t="s">
        <v>5682</v>
      </c>
      <c r="D2876" s="401" t="s">
        <v>6600</v>
      </c>
      <c r="E2876" s="120">
        <v>500</v>
      </c>
      <c r="F2876" s="133" t="s">
        <v>6601</v>
      </c>
      <c r="G2876" s="404" t="s">
        <v>45</v>
      </c>
      <c r="H2876" s="411">
        <v>187</v>
      </c>
      <c r="I2876" s="94">
        <f t="shared" si="532"/>
        <v>-16.829999999999998</v>
      </c>
      <c r="J2876" s="391">
        <f t="shared" si="530"/>
        <v>-3.8529999999999998</v>
      </c>
      <c r="K2876" s="90">
        <f t="shared" si="531"/>
        <v>166.31700000000001</v>
      </c>
      <c r="L2876" s="187">
        <v>199</v>
      </c>
      <c r="M2876" s="187">
        <v>8.18</v>
      </c>
      <c r="N2876" s="91">
        <f t="shared" si="533"/>
        <v>107.68</v>
      </c>
      <c r="O2876" s="411">
        <f t="shared" si="526"/>
        <v>58.637</v>
      </c>
      <c r="P2876" s="132" t="s">
        <v>643</v>
      </c>
      <c r="Q2876" s="232"/>
      <c r="R2876" s="411"/>
      <c r="T2876" s="134" t="s">
        <v>145</v>
      </c>
      <c r="U2876" s="267" t="s">
        <v>6602</v>
      </c>
      <c r="AA2876" s="218"/>
    </row>
    <row r="2877" spans="1:27" ht="24" x14ac:dyDescent="0.25">
      <c r="A2877" s="405">
        <v>3002216</v>
      </c>
      <c r="B2877" s="406">
        <v>42506</v>
      </c>
      <c r="C2877" s="405" t="s">
        <v>5682</v>
      </c>
      <c r="D2877" s="401" t="s">
        <v>6576</v>
      </c>
      <c r="E2877" s="120">
        <v>500</v>
      </c>
      <c r="F2877" s="133" t="s">
        <v>6603</v>
      </c>
      <c r="G2877" s="404" t="s">
        <v>45</v>
      </c>
      <c r="H2877" s="411">
        <v>346.5</v>
      </c>
      <c r="I2877" s="94">
        <f t="shared" si="532"/>
        <v>-31.184999999999999</v>
      </c>
      <c r="J2877" s="391">
        <f t="shared" si="530"/>
        <v>-6.8834999999999997</v>
      </c>
      <c r="K2877" s="90">
        <f t="shared" si="531"/>
        <v>308.43149999999997</v>
      </c>
      <c r="L2877" s="187">
        <v>410.13</v>
      </c>
      <c r="M2877" s="187">
        <v>47.3</v>
      </c>
      <c r="N2877" s="91">
        <f t="shared" si="533"/>
        <v>252.36500000000001</v>
      </c>
      <c r="O2877" s="411">
        <f t="shared" si="526"/>
        <v>56.066499999999962</v>
      </c>
      <c r="P2877" s="132" t="s">
        <v>76</v>
      </c>
      <c r="Q2877" s="232"/>
      <c r="R2877" s="411"/>
      <c r="T2877" s="134" t="s">
        <v>145</v>
      </c>
      <c r="U2877" s="267" t="s">
        <v>6604</v>
      </c>
      <c r="AA2877" s="218"/>
    </row>
    <row r="2878" spans="1:27" ht="24" x14ac:dyDescent="0.25">
      <c r="A2878" s="405">
        <v>3002217</v>
      </c>
      <c r="B2878" s="406">
        <v>42506</v>
      </c>
      <c r="C2878" s="405" t="s">
        <v>5682</v>
      </c>
      <c r="D2878" s="401" t="s">
        <v>6605</v>
      </c>
      <c r="E2878" s="120">
        <v>250</v>
      </c>
      <c r="F2878" s="133" t="s">
        <v>3408</v>
      </c>
      <c r="G2878" s="404" t="s">
        <v>45</v>
      </c>
      <c r="H2878" s="411">
        <v>760.73</v>
      </c>
      <c r="I2878" s="94">
        <f t="shared" si="532"/>
        <v>-68.465699999999998</v>
      </c>
      <c r="J2878" s="391">
        <f t="shared" si="530"/>
        <v>-14.753870000000001</v>
      </c>
      <c r="K2878" s="90">
        <f t="shared" si="531"/>
        <v>677.51043000000004</v>
      </c>
      <c r="L2878" s="187">
        <v>1584.63</v>
      </c>
      <c r="M2878" s="187">
        <v>94.32</v>
      </c>
      <c r="N2878" s="91">
        <f t="shared" si="533"/>
        <v>490.47750000000002</v>
      </c>
      <c r="O2878" s="411">
        <f t="shared" si="526"/>
        <v>187.03293000000002</v>
      </c>
      <c r="P2878" s="132" t="s">
        <v>76</v>
      </c>
      <c r="Q2878" s="232"/>
      <c r="R2878" s="411"/>
      <c r="T2878" s="134" t="s">
        <v>145</v>
      </c>
      <c r="U2878" s="267" t="s">
        <v>6606</v>
      </c>
      <c r="V2878" s="133" t="s">
        <v>6192</v>
      </c>
      <c r="AA2878" s="218"/>
    </row>
    <row r="2879" spans="1:27" x14ac:dyDescent="0.25">
      <c r="A2879" s="405">
        <v>3002218</v>
      </c>
      <c r="B2879" s="406">
        <v>42506</v>
      </c>
      <c r="C2879" s="405" t="s">
        <v>63</v>
      </c>
      <c r="D2879" s="401" t="s">
        <v>6607</v>
      </c>
      <c r="E2879" s="120">
        <v>1900</v>
      </c>
      <c r="F2879" s="133" t="s">
        <v>70</v>
      </c>
      <c r="G2879" s="404" t="s">
        <v>45</v>
      </c>
      <c r="H2879" s="411">
        <v>3990</v>
      </c>
      <c r="I2879" s="94">
        <v>0</v>
      </c>
      <c r="J2879" s="391">
        <f>-((H2879*0.022)+0.3)</f>
        <v>-88.08</v>
      </c>
      <c r="K2879" s="90">
        <f t="shared" si="531"/>
        <v>3901.92</v>
      </c>
      <c r="L2879" s="187">
        <v>1610</v>
      </c>
      <c r="M2879" s="187">
        <v>232.18</v>
      </c>
      <c r="N2879" s="91">
        <f t="shared" si="533"/>
        <v>3291.18</v>
      </c>
      <c r="O2879" s="411">
        <f t="shared" si="526"/>
        <v>610.74000000000024</v>
      </c>
      <c r="P2879" s="132" t="s">
        <v>3597</v>
      </c>
      <c r="Q2879" s="232"/>
      <c r="R2879" s="411"/>
      <c r="T2879" s="134" t="s">
        <v>6608</v>
      </c>
      <c r="U2879" s="267" t="s">
        <v>6609</v>
      </c>
      <c r="W2879" s="153" t="s">
        <v>6610</v>
      </c>
      <c r="AA2879" s="218">
        <v>10</v>
      </c>
    </row>
    <row r="2880" spans="1:27" x14ac:dyDescent="0.25">
      <c r="A2880" s="405">
        <v>3002219</v>
      </c>
      <c r="B2880" s="406">
        <v>42506</v>
      </c>
      <c r="C2880" s="405" t="s">
        <v>63</v>
      </c>
      <c r="D2880" s="401" t="s">
        <v>6611</v>
      </c>
      <c r="E2880" s="120">
        <v>1000</v>
      </c>
      <c r="F2880" s="133" t="s">
        <v>222</v>
      </c>
      <c r="G2880" s="404" t="s">
        <v>45</v>
      </c>
      <c r="H2880" s="411">
        <v>1440</v>
      </c>
      <c r="I2880" s="411">
        <v>0</v>
      </c>
      <c r="J2880" s="391">
        <f>-((H2880*0.022)+0.3)</f>
        <v>-31.98</v>
      </c>
      <c r="K2880" s="90">
        <f t="shared" si="531"/>
        <v>1408.02</v>
      </c>
      <c r="L2880" s="187">
        <v>930</v>
      </c>
      <c r="M2880" s="187">
        <v>139.84</v>
      </c>
      <c r="N2880" s="91">
        <f t="shared" si="533"/>
        <v>1069.8399999999999</v>
      </c>
      <c r="O2880" s="411">
        <f t="shared" si="526"/>
        <v>338.18000000000006</v>
      </c>
      <c r="P2880" s="132" t="s">
        <v>3597</v>
      </c>
      <c r="Q2880" s="232"/>
      <c r="R2880" s="411"/>
      <c r="T2880" s="134" t="s">
        <v>47</v>
      </c>
      <c r="U2880" s="267" t="s">
        <v>6612</v>
      </c>
      <c r="W2880" s="153" t="s">
        <v>6613</v>
      </c>
      <c r="AA2880" s="218">
        <v>10</v>
      </c>
    </row>
    <row r="2881" spans="1:27" ht="24" x14ac:dyDescent="0.25">
      <c r="A2881" s="405">
        <v>3002220</v>
      </c>
      <c r="B2881" s="406">
        <v>42506</v>
      </c>
      <c r="C2881" s="405" t="s">
        <v>63</v>
      </c>
      <c r="D2881" s="401" t="s">
        <v>6614</v>
      </c>
      <c r="E2881" s="120">
        <v>120</v>
      </c>
      <c r="F2881" s="133" t="s">
        <v>4063</v>
      </c>
      <c r="G2881" s="404" t="s">
        <v>45</v>
      </c>
      <c r="H2881" s="411">
        <v>295</v>
      </c>
      <c r="I2881" s="411">
        <v>0</v>
      </c>
      <c r="J2881" s="391">
        <f>-((H2881*0.022)+0.3)</f>
        <v>-6.7899999999999991</v>
      </c>
      <c r="K2881" s="90">
        <f t="shared" si="531"/>
        <v>288.20999999999998</v>
      </c>
      <c r="L2881" s="187">
        <v>1553</v>
      </c>
      <c r="M2881" s="187">
        <v>50.28</v>
      </c>
      <c r="N2881" s="91">
        <f t="shared" si="533"/>
        <v>236.64</v>
      </c>
      <c r="O2881" s="411">
        <f t="shared" si="526"/>
        <v>51.569999999999993</v>
      </c>
      <c r="P2881" s="132" t="s">
        <v>183</v>
      </c>
      <c r="Q2881" s="232"/>
      <c r="R2881" s="411"/>
      <c r="T2881" s="134" t="s">
        <v>145</v>
      </c>
      <c r="U2881" s="267" t="s">
        <v>6615</v>
      </c>
      <c r="W2881" s="153" t="s">
        <v>6616</v>
      </c>
      <c r="AA2881" s="218"/>
    </row>
    <row r="2882" spans="1:27" x14ac:dyDescent="0.25">
      <c r="A2882" s="419">
        <v>3002221</v>
      </c>
      <c r="B2882" s="421">
        <v>42506</v>
      </c>
      <c r="C2882" s="419" t="s">
        <v>78</v>
      </c>
      <c r="D2882" s="417" t="s">
        <v>269</v>
      </c>
      <c r="E2882" s="120">
        <v>1000</v>
      </c>
      <c r="F2882" s="133" t="s">
        <v>207</v>
      </c>
      <c r="G2882" s="434" t="s">
        <v>45</v>
      </c>
      <c r="H2882" s="427">
        <v>1170</v>
      </c>
      <c r="I2882" s="427">
        <v>0</v>
      </c>
      <c r="J2882" s="425">
        <f t="shared" ref="J2882" si="535">-((H2882*0.019)+0.3)</f>
        <v>-22.53</v>
      </c>
      <c r="K2882" s="425">
        <f t="shared" si="531"/>
        <v>1147.47</v>
      </c>
      <c r="L2882" s="131">
        <v>570</v>
      </c>
      <c r="M2882" s="187">
        <v>150</v>
      </c>
      <c r="N2882" s="91">
        <f t="shared" si="533"/>
        <v>720</v>
      </c>
      <c r="O2882" s="411">
        <f t="shared" si="526"/>
        <v>427.47</v>
      </c>
      <c r="P2882" s="132" t="s">
        <v>52</v>
      </c>
      <c r="Q2882" s="232"/>
      <c r="R2882" s="411"/>
      <c r="T2882" s="439" t="s">
        <v>463</v>
      </c>
      <c r="U2882" s="446" t="s">
        <v>6617</v>
      </c>
      <c r="W2882" s="153" t="s">
        <v>271</v>
      </c>
      <c r="AA2882" s="473">
        <v>25</v>
      </c>
    </row>
    <row r="2883" spans="1:27" x14ac:dyDescent="0.25">
      <c r="A2883" s="420"/>
      <c r="B2883" s="422"/>
      <c r="C2883" s="420"/>
      <c r="D2883" s="418"/>
      <c r="E2883" s="120">
        <v>1000</v>
      </c>
      <c r="F2883" s="133" t="s">
        <v>1622</v>
      </c>
      <c r="G2883" s="436"/>
      <c r="H2883" s="428"/>
      <c r="I2883" s="428"/>
      <c r="J2883" s="426"/>
      <c r="K2883" s="426"/>
      <c r="N2883" s="91">
        <f t="shared" si="533"/>
        <v>0</v>
      </c>
      <c r="O2883" s="411">
        <f t="shared" si="526"/>
        <v>0</v>
      </c>
      <c r="P2883" s="132" t="s">
        <v>52</v>
      </c>
      <c r="Q2883" s="232"/>
      <c r="R2883" s="411"/>
      <c r="T2883" s="441"/>
      <c r="U2883" s="447"/>
      <c r="AA2883" s="474"/>
    </row>
    <row r="2884" spans="1:27" ht="24" x14ac:dyDescent="0.25">
      <c r="A2884" s="405">
        <v>3002222</v>
      </c>
      <c r="B2884" s="406">
        <v>42506</v>
      </c>
      <c r="C2884" s="405" t="s">
        <v>5682</v>
      </c>
      <c r="D2884" s="401" t="s">
        <v>6618</v>
      </c>
      <c r="E2884" s="120">
        <v>200</v>
      </c>
      <c r="F2884" s="133" t="s">
        <v>983</v>
      </c>
      <c r="G2884" s="404" t="s">
        <v>45</v>
      </c>
      <c r="H2884" s="411">
        <v>144.84</v>
      </c>
      <c r="I2884" s="94">
        <f t="shared" ref="I2884:I2906" si="536">-(H2884*0.09)</f>
        <v>-13.035600000000001</v>
      </c>
      <c r="J2884" s="391">
        <f t="shared" ref="J2884:J2906" si="537">-((H2884*0.019)+0.3)</f>
        <v>-3.0519599999999998</v>
      </c>
      <c r="K2884" s="90">
        <f t="shared" si="531"/>
        <v>128.75244000000001</v>
      </c>
      <c r="L2884" s="131">
        <v>300</v>
      </c>
      <c r="M2884" s="131">
        <v>25.35</v>
      </c>
      <c r="N2884" s="91">
        <f t="shared" si="533"/>
        <v>85.35</v>
      </c>
      <c r="O2884" s="411">
        <f t="shared" si="526"/>
        <v>43.402440000000013</v>
      </c>
      <c r="P2884" s="132" t="s">
        <v>52</v>
      </c>
      <c r="Q2884" s="232"/>
      <c r="R2884" s="411"/>
      <c r="T2884" s="134" t="s">
        <v>145</v>
      </c>
      <c r="U2884" s="267" t="s">
        <v>6619</v>
      </c>
      <c r="AA2884" s="218"/>
    </row>
    <row r="2885" spans="1:27" ht="24" x14ac:dyDescent="0.25">
      <c r="A2885" s="405">
        <v>3002223</v>
      </c>
      <c r="B2885" s="406">
        <v>42506</v>
      </c>
      <c r="C2885" s="405" t="s">
        <v>5682</v>
      </c>
      <c r="D2885" s="401" t="s">
        <v>6620</v>
      </c>
      <c r="E2885" s="120">
        <v>100</v>
      </c>
      <c r="F2885" s="133" t="s">
        <v>593</v>
      </c>
      <c r="G2885" s="404" t="s">
        <v>45</v>
      </c>
      <c r="H2885" s="411">
        <v>138.9</v>
      </c>
      <c r="I2885" s="94">
        <f t="shared" si="536"/>
        <v>-12.500999999999999</v>
      </c>
      <c r="J2885" s="391">
        <f t="shared" si="537"/>
        <v>-2.9390999999999998</v>
      </c>
      <c r="K2885" s="90">
        <f t="shared" si="531"/>
        <v>123.4599</v>
      </c>
      <c r="L2885" s="131">
        <v>660</v>
      </c>
      <c r="M2885" s="187">
        <v>41.01</v>
      </c>
      <c r="N2885" s="91">
        <f t="shared" si="533"/>
        <v>107.00999999999999</v>
      </c>
      <c r="O2885" s="411">
        <f t="shared" si="526"/>
        <v>16.449900000000014</v>
      </c>
      <c r="P2885" s="132" t="s">
        <v>52</v>
      </c>
      <c r="Q2885" s="232"/>
      <c r="R2885" s="411"/>
      <c r="T2885" s="134" t="s">
        <v>145</v>
      </c>
      <c r="U2885" s="267" t="s">
        <v>6621</v>
      </c>
      <c r="AA2885" s="218"/>
    </row>
    <row r="2886" spans="1:27" ht="24" x14ac:dyDescent="0.25">
      <c r="A2886" s="405">
        <v>3002224</v>
      </c>
      <c r="B2886" s="406">
        <v>42506</v>
      </c>
      <c r="C2886" s="405" t="s">
        <v>5682</v>
      </c>
      <c r="D2886" s="401" t="s">
        <v>6622</v>
      </c>
      <c r="E2886" s="120">
        <v>50</v>
      </c>
      <c r="F2886" s="133" t="s">
        <v>288</v>
      </c>
      <c r="G2886" s="404" t="s">
        <v>45</v>
      </c>
      <c r="H2886" s="411">
        <v>110.6</v>
      </c>
      <c r="I2886" s="94">
        <f t="shared" si="536"/>
        <v>-9.9539999999999988</v>
      </c>
      <c r="J2886" s="391">
        <f t="shared" si="537"/>
        <v>-2.4013999999999998</v>
      </c>
      <c r="K2886" s="90">
        <f t="shared" si="531"/>
        <v>98.244600000000005</v>
      </c>
      <c r="L2886" s="131">
        <v>1069</v>
      </c>
      <c r="M2886" s="187">
        <v>14.41</v>
      </c>
      <c r="N2886" s="91">
        <f t="shared" si="533"/>
        <v>67.86</v>
      </c>
      <c r="O2886" s="411">
        <f t="shared" si="526"/>
        <v>30.384600000000006</v>
      </c>
      <c r="P2886" s="132" t="s">
        <v>52</v>
      </c>
      <c r="Q2886" s="232"/>
      <c r="R2886" s="411">
        <v>8.19</v>
      </c>
      <c r="S2886" s="133" t="s">
        <v>6623</v>
      </c>
      <c r="T2886" s="134" t="s">
        <v>145</v>
      </c>
      <c r="U2886" s="267" t="s">
        <v>6624</v>
      </c>
      <c r="AA2886" s="218"/>
    </row>
    <row r="2887" spans="1:27" x14ac:dyDescent="0.25">
      <c r="A2887" s="405">
        <v>3002225</v>
      </c>
      <c r="B2887" s="406">
        <v>42506</v>
      </c>
      <c r="C2887" s="405" t="s">
        <v>5682</v>
      </c>
      <c r="D2887" s="401" t="s">
        <v>2666</v>
      </c>
      <c r="E2887" s="120">
        <v>250</v>
      </c>
      <c r="F2887" s="133" t="s">
        <v>2667</v>
      </c>
      <c r="G2887" s="404" t="s">
        <v>45</v>
      </c>
      <c r="H2887" s="411">
        <v>80.75</v>
      </c>
      <c r="I2887" s="94">
        <f t="shared" si="536"/>
        <v>-7.2675000000000001</v>
      </c>
      <c r="J2887" s="391">
        <f t="shared" si="537"/>
        <v>-1.8342499999999999</v>
      </c>
      <c r="K2887" s="90">
        <f t="shared" si="531"/>
        <v>71.648250000000004</v>
      </c>
      <c r="L2887" s="187">
        <v>176</v>
      </c>
      <c r="M2887" s="187">
        <v>19.54</v>
      </c>
      <c r="N2887" s="91">
        <f t="shared" si="533"/>
        <v>63.54</v>
      </c>
      <c r="O2887" s="411">
        <f t="shared" si="526"/>
        <v>8.1082500000000053</v>
      </c>
      <c r="P2887" s="132" t="s">
        <v>183</v>
      </c>
      <c r="Q2887" s="232"/>
      <c r="R2887" s="411"/>
      <c r="T2887" s="134" t="s">
        <v>314</v>
      </c>
      <c r="U2887" s="267" t="s">
        <v>6625</v>
      </c>
      <c r="AA2887" s="218"/>
    </row>
    <row r="2888" spans="1:27" ht="24" x14ac:dyDescent="0.25">
      <c r="A2888" s="405">
        <v>3002226</v>
      </c>
      <c r="B2888" s="406">
        <v>42506</v>
      </c>
      <c r="C2888" s="405" t="s">
        <v>5682</v>
      </c>
      <c r="D2888" s="401" t="s">
        <v>6626</v>
      </c>
      <c r="E2888" s="120">
        <v>100</v>
      </c>
      <c r="F2888" s="133" t="s">
        <v>605</v>
      </c>
      <c r="G2888" s="404" t="s">
        <v>45</v>
      </c>
      <c r="H2888" s="411">
        <v>129</v>
      </c>
      <c r="I2888" s="94">
        <f t="shared" si="536"/>
        <v>-11.61</v>
      </c>
      <c r="J2888" s="391">
        <f t="shared" si="537"/>
        <v>-2.7509999999999999</v>
      </c>
      <c r="K2888" s="90">
        <f t="shared" si="531"/>
        <v>114.639</v>
      </c>
      <c r="L2888" s="131">
        <v>600</v>
      </c>
      <c r="M2888" s="187">
        <v>27.77</v>
      </c>
      <c r="N2888" s="91">
        <f t="shared" si="533"/>
        <v>87.77</v>
      </c>
      <c r="O2888" s="411">
        <f t="shared" si="526"/>
        <v>26.869</v>
      </c>
      <c r="P2888" s="132" t="s">
        <v>52</v>
      </c>
      <c r="Q2888" s="232"/>
      <c r="R2888" s="411"/>
      <c r="T2888" s="134" t="s">
        <v>145</v>
      </c>
      <c r="U2888" s="267" t="s">
        <v>6627</v>
      </c>
      <c r="AA2888" s="218"/>
    </row>
    <row r="2889" spans="1:27" ht="24" x14ac:dyDescent="0.25">
      <c r="A2889" s="405">
        <v>3002227</v>
      </c>
      <c r="B2889" s="406">
        <v>42506</v>
      </c>
      <c r="C2889" s="405" t="s">
        <v>5682</v>
      </c>
      <c r="D2889" s="401" t="s">
        <v>6628</v>
      </c>
      <c r="E2889" s="120">
        <v>75</v>
      </c>
      <c r="F2889" s="133" t="s">
        <v>247</v>
      </c>
      <c r="G2889" s="404" t="s">
        <v>45</v>
      </c>
      <c r="H2889" s="411">
        <v>100.5</v>
      </c>
      <c r="I2889" s="94">
        <f t="shared" si="536"/>
        <v>-9.0449999999999999</v>
      </c>
      <c r="J2889" s="391">
        <f t="shared" si="537"/>
        <v>-2.2094999999999998</v>
      </c>
      <c r="K2889" s="90">
        <f t="shared" si="531"/>
        <v>89.245499999999993</v>
      </c>
      <c r="L2889" s="131">
        <v>662</v>
      </c>
      <c r="M2889" s="187">
        <v>36.44</v>
      </c>
      <c r="N2889" s="91">
        <f t="shared" si="533"/>
        <v>86.09</v>
      </c>
      <c r="O2889" s="411">
        <f t="shared" si="526"/>
        <v>3.1554999999999893</v>
      </c>
      <c r="P2889" s="132" t="s">
        <v>52</v>
      </c>
      <c r="Q2889" s="232"/>
      <c r="R2889" s="411"/>
      <c r="T2889" s="134" t="s">
        <v>145</v>
      </c>
      <c r="U2889" s="267" t="s">
        <v>6629</v>
      </c>
      <c r="AA2889" s="218"/>
    </row>
    <row r="2890" spans="1:27" ht="24" x14ac:dyDescent="0.25">
      <c r="A2890" s="405">
        <v>3002228</v>
      </c>
      <c r="B2890" s="406">
        <v>42506</v>
      </c>
      <c r="C2890" s="405" t="s">
        <v>5682</v>
      </c>
      <c r="D2890" s="401" t="s">
        <v>6630</v>
      </c>
      <c r="E2890" s="120">
        <v>50</v>
      </c>
      <c r="F2890" s="133" t="s">
        <v>114</v>
      </c>
      <c r="G2890" s="404" t="s">
        <v>45</v>
      </c>
      <c r="H2890" s="411">
        <v>254.61</v>
      </c>
      <c r="I2890" s="94">
        <f t="shared" si="536"/>
        <v>-22.914899999999999</v>
      </c>
      <c r="J2890" s="391">
        <f t="shared" si="537"/>
        <v>-5.1375900000000003</v>
      </c>
      <c r="K2890" s="90">
        <f t="shared" si="531"/>
        <v>226.55751000000004</v>
      </c>
      <c r="L2890" s="131">
        <v>1770</v>
      </c>
      <c r="M2890" s="187">
        <v>23.02</v>
      </c>
      <c r="N2890" s="91">
        <f t="shared" si="533"/>
        <v>111.52</v>
      </c>
      <c r="O2890" s="411">
        <f t="shared" si="526"/>
        <v>115.03751000000004</v>
      </c>
      <c r="P2890" s="132" t="s">
        <v>52</v>
      </c>
      <c r="Q2890" s="232"/>
      <c r="R2890" s="411">
        <v>18.86</v>
      </c>
      <c r="S2890" s="133" t="s">
        <v>1396</v>
      </c>
      <c r="T2890" s="134" t="s">
        <v>145</v>
      </c>
      <c r="U2890" s="267" t="s">
        <v>6631</v>
      </c>
      <c r="AA2890" s="218"/>
    </row>
    <row r="2891" spans="1:27" ht="24" x14ac:dyDescent="0.25">
      <c r="A2891" s="405">
        <v>3002229</v>
      </c>
      <c r="B2891" s="406">
        <v>42506</v>
      </c>
      <c r="C2891" s="405" t="s">
        <v>5682</v>
      </c>
      <c r="D2891" s="401" t="s">
        <v>6632</v>
      </c>
      <c r="E2891" s="120">
        <v>125</v>
      </c>
      <c r="F2891" s="133" t="s">
        <v>877</v>
      </c>
      <c r="G2891" s="404" t="s">
        <v>45</v>
      </c>
      <c r="H2891" s="411">
        <v>125.08</v>
      </c>
      <c r="I2891" s="94">
        <f t="shared" si="536"/>
        <v>-11.257199999999999</v>
      </c>
      <c r="J2891" s="391">
        <f t="shared" si="537"/>
        <v>-2.6765199999999996</v>
      </c>
      <c r="K2891" s="90">
        <f t="shared" si="531"/>
        <v>111.14628</v>
      </c>
      <c r="L2891" s="131">
        <v>235</v>
      </c>
      <c r="M2891" s="187">
        <v>89.6</v>
      </c>
      <c r="N2891" s="91">
        <f t="shared" si="533"/>
        <v>118.97499999999999</v>
      </c>
      <c r="O2891" s="411">
        <f t="shared" si="526"/>
        <v>-7.8287199999999899</v>
      </c>
      <c r="P2891" s="132" t="s">
        <v>52</v>
      </c>
      <c r="Q2891" s="232"/>
      <c r="R2891" s="411"/>
      <c r="T2891" s="134" t="s">
        <v>145</v>
      </c>
      <c r="U2891" s="267" t="s">
        <v>6633</v>
      </c>
      <c r="AA2891" s="218"/>
    </row>
    <row r="2892" spans="1:27" ht="24" x14ac:dyDescent="0.25">
      <c r="A2892" s="405">
        <v>3002230</v>
      </c>
      <c r="B2892" s="406">
        <v>42506</v>
      </c>
      <c r="C2892" s="405" t="s">
        <v>5682</v>
      </c>
      <c r="D2892" s="401" t="s">
        <v>6634</v>
      </c>
      <c r="E2892" s="120">
        <v>100</v>
      </c>
      <c r="F2892" s="133" t="s">
        <v>6635</v>
      </c>
      <c r="G2892" s="404" t="s">
        <v>45</v>
      </c>
      <c r="H2892" s="411">
        <v>235.2</v>
      </c>
      <c r="I2892" s="94">
        <f t="shared" si="536"/>
        <v>-21.167999999999999</v>
      </c>
      <c r="J2892" s="391">
        <f t="shared" si="537"/>
        <v>-4.7687999999999997</v>
      </c>
      <c r="K2892" s="90">
        <f t="shared" si="531"/>
        <v>209.26319999999998</v>
      </c>
      <c r="L2892" s="131">
        <v>1550</v>
      </c>
      <c r="M2892" s="187">
        <v>39.549999999999997</v>
      </c>
      <c r="N2892" s="91">
        <f t="shared" si="533"/>
        <v>194.55</v>
      </c>
      <c r="O2892" s="411">
        <f t="shared" ref="O2892:O2955" si="538">K2892-N2892</f>
        <v>14.713199999999972</v>
      </c>
      <c r="P2892" s="132" t="s">
        <v>52</v>
      </c>
      <c r="Q2892" s="232"/>
      <c r="R2892" s="411"/>
      <c r="T2892" s="134" t="s">
        <v>145</v>
      </c>
      <c r="U2892" s="266" t="s">
        <v>6636</v>
      </c>
      <c r="AA2892" s="218"/>
    </row>
    <row r="2893" spans="1:27" x14ac:dyDescent="0.25">
      <c r="A2893" s="405">
        <v>3002231</v>
      </c>
      <c r="B2893" s="406">
        <v>42506</v>
      </c>
      <c r="C2893" s="405" t="s">
        <v>5682</v>
      </c>
      <c r="D2893" s="401" t="s">
        <v>1602</v>
      </c>
      <c r="E2893" s="120">
        <v>500</v>
      </c>
      <c r="F2893" s="133" t="s">
        <v>161</v>
      </c>
      <c r="G2893" s="404" t="s">
        <v>45</v>
      </c>
      <c r="H2893" s="411">
        <v>1113.75</v>
      </c>
      <c r="I2893" s="94">
        <f t="shared" si="536"/>
        <v>-100.2375</v>
      </c>
      <c r="J2893" s="391">
        <f t="shared" si="537"/>
        <v>-21.46125</v>
      </c>
      <c r="K2893" s="90">
        <f t="shared" si="531"/>
        <v>992.0512500000001</v>
      </c>
      <c r="L2893" s="131">
        <v>1322</v>
      </c>
      <c r="M2893" s="187">
        <v>134</v>
      </c>
      <c r="N2893" s="91">
        <f t="shared" si="533"/>
        <v>795</v>
      </c>
      <c r="O2893" s="411">
        <f t="shared" si="538"/>
        <v>197.0512500000001</v>
      </c>
      <c r="P2893" s="132" t="s">
        <v>52</v>
      </c>
      <c r="Q2893" s="232"/>
      <c r="R2893" s="411"/>
      <c r="T2893" s="134" t="s">
        <v>97</v>
      </c>
      <c r="U2893" s="267" t="s">
        <v>6637</v>
      </c>
      <c r="V2893" s="133" t="s">
        <v>55</v>
      </c>
      <c r="AA2893" s="218"/>
    </row>
    <row r="2894" spans="1:27" ht="24" x14ac:dyDescent="0.25">
      <c r="A2894" s="405">
        <v>3002232</v>
      </c>
      <c r="B2894" s="406">
        <v>42506</v>
      </c>
      <c r="C2894" s="405" t="s">
        <v>5682</v>
      </c>
      <c r="D2894" s="401" t="s">
        <v>6638</v>
      </c>
      <c r="E2894" s="120">
        <v>100</v>
      </c>
      <c r="F2894" s="133" t="s">
        <v>431</v>
      </c>
      <c r="G2894" s="404" t="s">
        <v>45</v>
      </c>
      <c r="H2894" s="411">
        <v>216.11</v>
      </c>
      <c r="I2894" s="94">
        <f t="shared" si="536"/>
        <v>-19.4499</v>
      </c>
      <c r="J2894" s="391">
        <f t="shared" si="537"/>
        <v>-4.4060899999999998</v>
      </c>
      <c r="K2894" s="90">
        <f t="shared" si="531"/>
        <v>192.25400999999999</v>
      </c>
      <c r="L2894" s="131">
        <v>1050</v>
      </c>
      <c r="M2894" s="187">
        <v>35.44</v>
      </c>
      <c r="N2894" s="91">
        <f t="shared" si="533"/>
        <v>140.44</v>
      </c>
      <c r="O2894" s="411">
        <f t="shared" si="538"/>
        <v>51.814009999999996</v>
      </c>
      <c r="P2894" s="132" t="s">
        <v>52</v>
      </c>
      <c r="Q2894" s="232"/>
      <c r="R2894" s="411"/>
      <c r="T2894" s="134" t="s">
        <v>145</v>
      </c>
      <c r="U2894" s="267" t="s">
        <v>6639</v>
      </c>
      <c r="AA2894" s="218"/>
    </row>
    <row r="2895" spans="1:27" ht="24" x14ac:dyDescent="0.25">
      <c r="A2895" s="405">
        <v>3002233</v>
      </c>
      <c r="B2895" s="406">
        <v>42506</v>
      </c>
      <c r="C2895" s="405" t="s">
        <v>5682</v>
      </c>
      <c r="D2895" s="401" t="s">
        <v>6640</v>
      </c>
      <c r="E2895" s="120">
        <v>58</v>
      </c>
      <c r="F2895" s="133" t="s">
        <v>1547</v>
      </c>
      <c r="G2895" s="404" t="s">
        <v>45</v>
      </c>
      <c r="H2895" s="411">
        <v>59.74</v>
      </c>
      <c r="I2895" s="94">
        <f t="shared" si="536"/>
        <v>-5.3765999999999998</v>
      </c>
      <c r="J2895" s="391">
        <f t="shared" si="537"/>
        <v>-1.43506</v>
      </c>
      <c r="K2895" s="90">
        <f t="shared" si="531"/>
        <v>52.928339999999999</v>
      </c>
      <c r="L2895" s="131">
        <v>385</v>
      </c>
      <c r="M2895" s="187">
        <v>29.55</v>
      </c>
      <c r="N2895" s="91">
        <f t="shared" si="533"/>
        <v>51.88</v>
      </c>
      <c r="O2895" s="411">
        <f t="shared" si="538"/>
        <v>1.0483399999999961</v>
      </c>
      <c r="P2895" s="132" t="s">
        <v>52</v>
      </c>
      <c r="Q2895" s="232"/>
      <c r="R2895" s="411"/>
      <c r="T2895" s="134" t="s">
        <v>145</v>
      </c>
      <c r="U2895" s="267" t="s">
        <v>6641</v>
      </c>
      <c r="AA2895" s="218"/>
    </row>
    <row r="2896" spans="1:27" x14ac:dyDescent="0.25">
      <c r="A2896" s="405">
        <v>3002234</v>
      </c>
      <c r="B2896" s="406">
        <v>42506</v>
      </c>
      <c r="C2896" s="405" t="s">
        <v>5682</v>
      </c>
      <c r="D2896" s="401" t="s">
        <v>6642</v>
      </c>
      <c r="E2896" s="120">
        <v>250</v>
      </c>
      <c r="F2896" s="133" t="s">
        <v>6643</v>
      </c>
      <c r="G2896" s="404" t="s">
        <v>45</v>
      </c>
      <c r="H2896" s="411">
        <v>677.16</v>
      </c>
      <c r="I2896" s="94">
        <f t="shared" si="536"/>
        <v>-60.944399999999995</v>
      </c>
      <c r="J2896" s="391">
        <f t="shared" si="537"/>
        <v>-13.166040000000001</v>
      </c>
      <c r="K2896" s="90">
        <f t="shared" si="531"/>
        <v>603.04956000000004</v>
      </c>
      <c r="L2896" s="187">
        <v>1760</v>
      </c>
      <c r="M2896" s="158">
        <v>0</v>
      </c>
      <c r="N2896" s="91">
        <f t="shared" si="533"/>
        <v>440</v>
      </c>
      <c r="O2896" s="411">
        <f t="shared" si="538"/>
        <v>163.04956000000004</v>
      </c>
      <c r="P2896" s="132" t="s">
        <v>59</v>
      </c>
      <c r="Q2896" s="232"/>
      <c r="R2896" s="411">
        <v>50.16</v>
      </c>
      <c r="S2896" s="133" t="s">
        <v>1396</v>
      </c>
      <c r="T2896" s="134" t="s">
        <v>639</v>
      </c>
      <c r="U2896" s="267" t="s">
        <v>6644</v>
      </c>
      <c r="AA2896" s="218"/>
    </row>
    <row r="2897" spans="1:27" ht="24" x14ac:dyDescent="0.25">
      <c r="A2897" s="405">
        <v>3002235</v>
      </c>
      <c r="B2897" s="406">
        <v>42506</v>
      </c>
      <c r="C2897" s="405" t="s">
        <v>5682</v>
      </c>
      <c r="D2897" s="401" t="s">
        <v>6645</v>
      </c>
      <c r="E2897" s="120">
        <v>1000</v>
      </c>
      <c r="F2897" s="133" t="s">
        <v>4063</v>
      </c>
      <c r="G2897" s="404" t="s">
        <v>45</v>
      </c>
      <c r="H2897" s="411">
        <v>1692.9</v>
      </c>
      <c r="I2897" s="94">
        <f t="shared" si="536"/>
        <v>-152.36099999999999</v>
      </c>
      <c r="J2897" s="391">
        <f t="shared" si="537"/>
        <v>-32.4651</v>
      </c>
      <c r="K2897" s="90">
        <f t="shared" si="531"/>
        <v>1508.0739000000003</v>
      </c>
      <c r="L2897" s="131">
        <v>1237</v>
      </c>
      <c r="M2897" s="187">
        <v>218.46</v>
      </c>
      <c r="N2897" s="91">
        <f t="shared" si="533"/>
        <v>1455.46</v>
      </c>
      <c r="O2897" s="411">
        <f t="shared" si="538"/>
        <v>52.613900000000285</v>
      </c>
      <c r="P2897" s="132" t="s">
        <v>52</v>
      </c>
      <c r="Q2897" s="232"/>
      <c r="R2897" s="411"/>
      <c r="T2897" s="134" t="s">
        <v>1209</v>
      </c>
      <c r="U2897" s="267" t="s">
        <v>6646</v>
      </c>
      <c r="V2897" s="133" t="s">
        <v>55</v>
      </c>
      <c r="AA2897" s="218"/>
    </row>
    <row r="2898" spans="1:27" ht="24" x14ac:dyDescent="0.25">
      <c r="A2898" s="405">
        <v>3002236</v>
      </c>
      <c r="B2898" s="406">
        <v>42506</v>
      </c>
      <c r="C2898" s="405" t="s">
        <v>5682</v>
      </c>
      <c r="D2898" s="401" t="s">
        <v>6647</v>
      </c>
      <c r="E2898" s="120">
        <v>250</v>
      </c>
      <c r="F2898" s="133" t="s">
        <v>972</v>
      </c>
      <c r="G2898" s="404" t="s">
        <v>45</v>
      </c>
      <c r="H2898" s="411">
        <v>108.9</v>
      </c>
      <c r="I2898" s="94">
        <f t="shared" si="536"/>
        <v>-9.8010000000000002</v>
      </c>
      <c r="J2898" s="391">
        <f t="shared" si="537"/>
        <v>-2.3691</v>
      </c>
      <c r="K2898" s="90">
        <f t="shared" si="531"/>
        <v>96.729900000000001</v>
      </c>
      <c r="L2898" s="131">
        <v>205</v>
      </c>
      <c r="M2898" s="187">
        <v>26.41</v>
      </c>
      <c r="N2898" s="91">
        <f t="shared" si="533"/>
        <v>77.66</v>
      </c>
      <c r="O2898" s="411">
        <f t="shared" si="538"/>
        <v>19.069900000000004</v>
      </c>
      <c r="P2898" s="132" t="s">
        <v>52</v>
      </c>
      <c r="Q2898" s="232"/>
      <c r="R2898" s="411"/>
      <c r="T2898" s="134" t="s">
        <v>145</v>
      </c>
      <c r="U2898" s="267" t="s">
        <v>6648</v>
      </c>
      <c r="AA2898" s="218"/>
    </row>
    <row r="2899" spans="1:27" ht="24" x14ac:dyDescent="0.25">
      <c r="A2899" s="405">
        <v>3002237</v>
      </c>
      <c r="B2899" s="406">
        <v>42506</v>
      </c>
      <c r="C2899" s="405" t="s">
        <v>5682</v>
      </c>
      <c r="D2899" s="401" t="s">
        <v>6649</v>
      </c>
      <c r="E2899" s="120">
        <v>200</v>
      </c>
      <c r="F2899" s="133" t="s">
        <v>983</v>
      </c>
      <c r="G2899" s="404" t="s">
        <v>45</v>
      </c>
      <c r="H2899" s="411">
        <v>144.84</v>
      </c>
      <c r="I2899" s="94">
        <f t="shared" si="536"/>
        <v>-13.035600000000001</v>
      </c>
      <c r="J2899" s="391">
        <f t="shared" si="537"/>
        <v>-3.0519599999999998</v>
      </c>
      <c r="K2899" s="90">
        <f t="shared" si="531"/>
        <v>128.75244000000001</v>
      </c>
      <c r="L2899" s="131">
        <v>300</v>
      </c>
      <c r="M2899" s="187">
        <v>31.73</v>
      </c>
      <c r="N2899" s="91">
        <f t="shared" si="533"/>
        <v>91.73</v>
      </c>
      <c r="O2899" s="411">
        <f t="shared" si="538"/>
        <v>37.022440000000003</v>
      </c>
      <c r="P2899" s="132" t="s">
        <v>52</v>
      </c>
      <c r="Q2899" s="232"/>
      <c r="R2899" s="411"/>
      <c r="T2899" s="134" t="s">
        <v>145</v>
      </c>
      <c r="U2899" s="267" t="s">
        <v>6650</v>
      </c>
      <c r="AA2899" s="218"/>
    </row>
    <row r="2900" spans="1:27" ht="24" x14ac:dyDescent="0.25">
      <c r="A2900" s="405">
        <v>3002238</v>
      </c>
      <c r="B2900" s="406">
        <v>42506</v>
      </c>
      <c r="C2900" s="405" t="s">
        <v>5682</v>
      </c>
      <c r="D2900" s="401" t="s">
        <v>6651</v>
      </c>
      <c r="E2900" s="120">
        <v>150</v>
      </c>
      <c r="F2900" s="133" t="s">
        <v>227</v>
      </c>
      <c r="G2900" s="404" t="s">
        <v>45</v>
      </c>
      <c r="H2900" s="411">
        <v>135.19999999999999</v>
      </c>
      <c r="I2900" s="94">
        <f t="shared" si="536"/>
        <v>-12.167999999999999</v>
      </c>
      <c r="J2900" s="391">
        <f t="shared" si="537"/>
        <v>-2.8687999999999994</v>
      </c>
      <c r="K2900" s="90">
        <f t="shared" si="531"/>
        <v>120.16319999999999</v>
      </c>
      <c r="L2900" s="131">
        <v>350</v>
      </c>
      <c r="M2900" s="187">
        <v>20.420000000000002</v>
      </c>
      <c r="N2900" s="91">
        <f t="shared" si="533"/>
        <v>72.92</v>
      </c>
      <c r="O2900" s="411">
        <f t="shared" si="538"/>
        <v>47.243199999999987</v>
      </c>
      <c r="P2900" s="132" t="s">
        <v>52</v>
      </c>
      <c r="Q2900" s="232"/>
      <c r="R2900" s="411"/>
      <c r="T2900" s="134" t="s">
        <v>145</v>
      </c>
      <c r="U2900" s="267" t="s">
        <v>6652</v>
      </c>
      <c r="AA2900" s="218"/>
    </row>
    <row r="2901" spans="1:27" ht="24" x14ac:dyDescent="0.25">
      <c r="A2901" s="405">
        <v>3002239</v>
      </c>
      <c r="B2901" s="406">
        <v>42506</v>
      </c>
      <c r="C2901" s="405" t="s">
        <v>5682</v>
      </c>
      <c r="D2901" s="401" t="s">
        <v>6653</v>
      </c>
      <c r="E2901" s="120">
        <v>50</v>
      </c>
      <c r="F2901" s="133" t="s">
        <v>2949</v>
      </c>
      <c r="G2901" s="404" t="s">
        <v>45</v>
      </c>
      <c r="H2901" s="411">
        <v>130</v>
      </c>
      <c r="I2901" s="94">
        <f t="shared" si="536"/>
        <v>-11.7</v>
      </c>
      <c r="J2901" s="391">
        <f t="shared" si="537"/>
        <v>-2.7699999999999996</v>
      </c>
      <c r="K2901" s="90">
        <f t="shared" si="531"/>
        <v>115.53</v>
      </c>
      <c r="N2901" s="91">
        <f t="shared" si="533"/>
        <v>0</v>
      </c>
      <c r="O2901" s="411">
        <f t="shared" si="538"/>
        <v>115.53</v>
      </c>
      <c r="P2901" s="132" t="s">
        <v>52</v>
      </c>
      <c r="Q2901" s="232"/>
      <c r="R2901" s="411"/>
      <c r="T2901" s="134" t="s">
        <v>145</v>
      </c>
      <c r="U2901" s="267" t="s">
        <v>6654</v>
      </c>
      <c r="AA2901" s="218"/>
    </row>
    <row r="2902" spans="1:27" ht="24" x14ac:dyDescent="0.25">
      <c r="A2902" s="405">
        <v>3002240</v>
      </c>
      <c r="B2902" s="406">
        <v>42506</v>
      </c>
      <c r="C2902" s="405" t="s">
        <v>5682</v>
      </c>
      <c r="D2902" s="401" t="s">
        <v>6655</v>
      </c>
      <c r="E2902" s="120">
        <v>100</v>
      </c>
      <c r="F2902" s="133" t="s">
        <v>165</v>
      </c>
      <c r="G2902" s="404" t="s">
        <v>45</v>
      </c>
      <c r="H2902" s="411">
        <v>102</v>
      </c>
      <c r="I2902" s="94">
        <f t="shared" si="536"/>
        <v>-9.18</v>
      </c>
      <c r="J2902" s="391">
        <f t="shared" si="537"/>
        <v>-2.238</v>
      </c>
      <c r="K2902" s="90">
        <f t="shared" si="531"/>
        <v>90.581999999999994</v>
      </c>
      <c r="L2902" s="131">
        <v>440</v>
      </c>
      <c r="M2902" s="187">
        <v>30.74</v>
      </c>
      <c r="N2902" s="91">
        <f t="shared" si="533"/>
        <v>74.739999999999995</v>
      </c>
      <c r="O2902" s="411">
        <f t="shared" si="538"/>
        <v>15.841999999999999</v>
      </c>
      <c r="P2902" s="132" t="s">
        <v>52</v>
      </c>
      <c r="Q2902" s="232"/>
      <c r="R2902" s="411"/>
      <c r="T2902" s="134" t="s">
        <v>145</v>
      </c>
      <c r="U2902" s="267" t="s">
        <v>6656</v>
      </c>
      <c r="AA2902" s="218"/>
    </row>
    <row r="2903" spans="1:27" ht="24" x14ac:dyDescent="0.25">
      <c r="A2903" s="405">
        <v>3002241</v>
      </c>
      <c r="B2903" s="406">
        <v>42506</v>
      </c>
      <c r="C2903" s="405" t="s">
        <v>5682</v>
      </c>
      <c r="D2903" s="401" t="s">
        <v>6657</v>
      </c>
      <c r="E2903" s="120">
        <v>50</v>
      </c>
      <c r="F2903" s="133" t="s">
        <v>161</v>
      </c>
      <c r="G2903" s="404" t="s">
        <v>45</v>
      </c>
      <c r="H2903" s="411">
        <v>123.75</v>
      </c>
      <c r="I2903" s="94">
        <f t="shared" si="536"/>
        <v>-11.137499999999999</v>
      </c>
      <c r="J2903" s="391">
        <f t="shared" si="537"/>
        <v>-2.6512499999999997</v>
      </c>
      <c r="K2903" s="90">
        <f t="shared" si="531"/>
        <v>109.96124999999999</v>
      </c>
      <c r="L2903" s="131">
        <v>1322</v>
      </c>
      <c r="M2903" s="187">
        <v>30.54</v>
      </c>
      <c r="N2903" s="91">
        <f t="shared" si="533"/>
        <v>96.640000000000015</v>
      </c>
      <c r="O2903" s="411">
        <f t="shared" si="538"/>
        <v>13.321249999999978</v>
      </c>
      <c r="P2903" s="132" t="s">
        <v>52</v>
      </c>
      <c r="Q2903" s="232"/>
      <c r="R2903" s="411"/>
      <c r="T2903" s="134" t="s">
        <v>145</v>
      </c>
      <c r="U2903" s="267" t="s">
        <v>6658</v>
      </c>
      <c r="AA2903" s="218"/>
    </row>
    <row r="2904" spans="1:27" ht="24" x14ac:dyDescent="0.25">
      <c r="A2904" s="405">
        <v>3002242</v>
      </c>
      <c r="B2904" s="406">
        <v>42506</v>
      </c>
      <c r="C2904" s="405" t="s">
        <v>5682</v>
      </c>
      <c r="D2904" s="401" t="s">
        <v>6659</v>
      </c>
      <c r="E2904" s="120">
        <v>350</v>
      </c>
      <c r="F2904" s="133" t="s">
        <v>247</v>
      </c>
      <c r="G2904" s="404" t="s">
        <v>45</v>
      </c>
      <c r="H2904" s="411">
        <v>438.99</v>
      </c>
      <c r="I2904" s="94">
        <f t="shared" si="536"/>
        <v>-39.509099999999997</v>
      </c>
      <c r="J2904" s="391">
        <f t="shared" si="537"/>
        <v>-8.6408100000000001</v>
      </c>
      <c r="K2904" s="90">
        <f t="shared" si="531"/>
        <v>390.84009000000003</v>
      </c>
      <c r="L2904" s="131">
        <v>662</v>
      </c>
      <c r="M2904" s="187">
        <v>73.12</v>
      </c>
      <c r="N2904" s="91">
        <f t="shared" si="533"/>
        <v>304.82000000000005</v>
      </c>
      <c r="O2904" s="411">
        <f t="shared" si="538"/>
        <v>86.020089999999982</v>
      </c>
      <c r="P2904" s="132" t="s">
        <v>52</v>
      </c>
      <c r="Q2904" s="232"/>
      <c r="R2904" s="411"/>
      <c r="T2904" s="134" t="s">
        <v>145</v>
      </c>
      <c r="U2904" s="267" t="s">
        <v>6660</v>
      </c>
      <c r="AA2904" s="218"/>
    </row>
    <row r="2905" spans="1:27" ht="24" x14ac:dyDescent="0.25">
      <c r="A2905" s="405">
        <v>3002243</v>
      </c>
      <c r="B2905" s="406">
        <v>42506</v>
      </c>
      <c r="C2905" s="405" t="s">
        <v>5682</v>
      </c>
      <c r="D2905" s="401" t="s">
        <v>6661</v>
      </c>
      <c r="E2905" s="120">
        <v>200</v>
      </c>
      <c r="F2905" s="133" t="s">
        <v>175</v>
      </c>
      <c r="G2905" s="404" t="s">
        <v>45</v>
      </c>
      <c r="H2905" s="411">
        <v>123.5</v>
      </c>
      <c r="I2905" s="94">
        <f t="shared" si="536"/>
        <v>-11.115</v>
      </c>
      <c r="J2905" s="391">
        <f t="shared" si="537"/>
        <v>-2.6464999999999996</v>
      </c>
      <c r="K2905" s="90">
        <f t="shared" si="531"/>
        <v>109.7385</v>
      </c>
      <c r="L2905" s="131">
        <v>250</v>
      </c>
      <c r="M2905" s="187">
        <v>36.08</v>
      </c>
      <c r="N2905" s="91">
        <f t="shared" si="533"/>
        <v>86.08</v>
      </c>
      <c r="O2905" s="411">
        <f t="shared" si="538"/>
        <v>23.658500000000004</v>
      </c>
      <c r="P2905" s="132" t="s">
        <v>52</v>
      </c>
      <c r="Q2905" s="232"/>
      <c r="R2905" s="411"/>
      <c r="T2905" s="134" t="s">
        <v>145</v>
      </c>
      <c r="U2905" s="267" t="s">
        <v>6662</v>
      </c>
      <c r="AA2905" s="218"/>
    </row>
    <row r="2906" spans="1:27" ht="24" x14ac:dyDescent="0.25">
      <c r="A2906" s="405">
        <v>3002244</v>
      </c>
      <c r="B2906" s="406">
        <v>42506</v>
      </c>
      <c r="C2906" s="405" t="s">
        <v>5682</v>
      </c>
      <c r="D2906" s="401" t="s">
        <v>6663</v>
      </c>
      <c r="E2906" s="120">
        <v>125</v>
      </c>
      <c r="F2906" s="133" t="s">
        <v>161</v>
      </c>
      <c r="G2906" s="404" t="s">
        <v>45</v>
      </c>
      <c r="H2906" s="411">
        <v>332.5</v>
      </c>
      <c r="I2906" s="94">
        <f t="shared" si="536"/>
        <v>-29.924999999999997</v>
      </c>
      <c r="J2906" s="391">
        <f t="shared" si="537"/>
        <v>-6.6174999999999997</v>
      </c>
      <c r="K2906" s="90">
        <f t="shared" si="531"/>
        <v>295.95749999999998</v>
      </c>
      <c r="L2906" s="131">
        <v>1322</v>
      </c>
      <c r="M2906" s="187">
        <v>44.74</v>
      </c>
      <c r="N2906" s="91">
        <f t="shared" si="533"/>
        <v>209.99</v>
      </c>
      <c r="O2906" s="411">
        <f t="shared" si="538"/>
        <v>85.967499999999973</v>
      </c>
      <c r="P2906" s="132" t="s">
        <v>52</v>
      </c>
      <c r="Q2906" s="232"/>
      <c r="R2906" s="411"/>
      <c r="T2906" s="134" t="s">
        <v>145</v>
      </c>
      <c r="U2906" s="267" t="s">
        <v>6664</v>
      </c>
      <c r="AA2906" s="218"/>
    </row>
    <row r="2907" spans="1:27" ht="24" x14ac:dyDescent="0.25">
      <c r="A2907" s="405">
        <v>3002245</v>
      </c>
      <c r="B2907" s="406">
        <v>42506</v>
      </c>
      <c r="C2907" s="405" t="s">
        <v>237</v>
      </c>
      <c r="D2907" s="401" t="s">
        <v>6665</v>
      </c>
      <c r="E2907" s="120">
        <v>250</v>
      </c>
      <c r="F2907" s="133" t="s">
        <v>1550</v>
      </c>
      <c r="G2907" s="404" t="s">
        <v>45</v>
      </c>
      <c r="H2907" s="411">
        <v>436.08</v>
      </c>
      <c r="I2907" s="397">
        <f t="shared" ref="I2907:I2911" si="539">-(H2907*0.15)</f>
        <v>-65.411999999999992</v>
      </c>
      <c r="J2907" s="411">
        <v>0</v>
      </c>
      <c r="K2907" s="90">
        <f t="shared" si="531"/>
        <v>370.66800000000001</v>
      </c>
      <c r="M2907" s="187">
        <v>51.67</v>
      </c>
      <c r="N2907" s="91">
        <f t="shared" si="533"/>
        <v>51.67</v>
      </c>
      <c r="O2907" s="411">
        <f t="shared" si="538"/>
        <v>318.99799999999999</v>
      </c>
      <c r="P2907" s="132" t="s">
        <v>52</v>
      </c>
      <c r="Q2907" s="232"/>
      <c r="R2907" s="411"/>
      <c r="T2907" s="134" t="s">
        <v>145</v>
      </c>
      <c r="U2907" s="267" t="s">
        <v>6666</v>
      </c>
      <c r="AA2907" s="218"/>
    </row>
    <row r="2908" spans="1:27" x14ac:dyDescent="0.25">
      <c r="A2908" s="405">
        <v>3002246</v>
      </c>
      <c r="B2908" s="406">
        <v>42506</v>
      </c>
      <c r="C2908" s="405" t="s">
        <v>237</v>
      </c>
      <c r="D2908" s="401" t="s">
        <v>6667</v>
      </c>
      <c r="E2908" s="120">
        <v>500</v>
      </c>
      <c r="F2908" s="133" t="s">
        <v>2949</v>
      </c>
      <c r="G2908" s="404" t="s">
        <v>45</v>
      </c>
      <c r="H2908" s="411">
        <v>910.42</v>
      </c>
      <c r="I2908" s="397">
        <f t="shared" si="539"/>
        <v>-136.56299999999999</v>
      </c>
      <c r="J2908" s="411">
        <v>0</v>
      </c>
      <c r="K2908" s="90">
        <f t="shared" si="531"/>
        <v>773.85699999999997</v>
      </c>
      <c r="M2908" s="187">
        <v>199.8</v>
      </c>
      <c r="N2908" s="91">
        <f t="shared" si="533"/>
        <v>199.8</v>
      </c>
      <c r="O2908" s="411">
        <f t="shared" si="538"/>
        <v>574.05700000000002</v>
      </c>
      <c r="P2908" s="132" t="s">
        <v>52</v>
      </c>
      <c r="Q2908" s="232"/>
      <c r="R2908" s="411"/>
      <c r="T2908" s="134" t="s">
        <v>244</v>
      </c>
      <c r="U2908" s="267" t="s">
        <v>6668</v>
      </c>
      <c r="V2908" s="133" t="s">
        <v>55</v>
      </c>
      <c r="AA2908" s="218"/>
    </row>
    <row r="2909" spans="1:27" x14ac:dyDescent="0.25">
      <c r="A2909" s="405">
        <v>3002247</v>
      </c>
      <c r="B2909" s="406">
        <v>42506</v>
      </c>
      <c r="C2909" s="405" t="s">
        <v>237</v>
      </c>
      <c r="D2909" s="401" t="s">
        <v>6669</v>
      </c>
      <c r="E2909" s="120">
        <v>2250</v>
      </c>
      <c r="F2909" s="133" t="s">
        <v>6670</v>
      </c>
      <c r="G2909" s="404" t="s">
        <v>45</v>
      </c>
      <c r="H2909" s="411">
        <v>1711.02</v>
      </c>
      <c r="I2909" s="397">
        <f t="shared" si="539"/>
        <v>-256.65299999999996</v>
      </c>
      <c r="J2909" s="411">
        <v>0</v>
      </c>
      <c r="K2909" s="90">
        <f t="shared" si="531"/>
        <v>1454.367</v>
      </c>
      <c r="L2909" s="187">
        <v>440</v>
      </c>
      <c r="M2909" s="187">
        <v>261.52999999999997</v>
      </c>
      <c r="N2909" s="91">
        <f t="shared" si="533"/>
        <v>1251.53</v>
      </c>
      <c r="O2909" s="411">
        <f t="shared" si="538"/>
        <v>202.83699999999999</v>
      </c>
      <c r="P2909" s="132" t="s">
        <v>3597</v>
      </c>
      <c r="Q2909" s="232"/>
      <c r="R2909" s="411"/>
      <c r="T2909" s="134" t="s">
        <v>47</v>
      </c>
      <c r="U2909" s="267" t="s">
        <v>6671</v>
      </c>
      <c r="AA2909" s="218"/>
    </row>
    <row r="2910" spans="1:27" ht="24" x14ac:dyDescent="0.25">
      <c r="A2910" s="405">
        <v>3002248</v>
      </c>
      <c r="B2910" s="406">
        <v>42506</v>
      </c>
      <c r="C2910" s="405" t="s">
        <v>237</v>
      </c>
      <c r="D2910" s="401" t="s">
        <v>6672</v>
      </c>
      <c r="E2910" s="120">
        <v>50</v>
      </c>
      <c r="F2910" s="133" t="s">
        <v>161</v>
      </c>
      <c r="G2910" s="404" t="s">
        <v>45</v>
      </c>
      <c r="H2910" s="411">
        <v>140</v>
      </c>
      <c r="I2910" s="397">
        <f t="shared" si="539"/>
        <v>-21</v>
      </c>
      <c r="J2910" s="411">
        <v>0</v>
      </c>
      <c r="K2910" s="90">
        <f t="shared" si="531"/>
        <v>119</v>
      </c>
      <c r="L2910" s="131">
        <v>1322</v>
      </c>
      <c r="M2910" s="187">
        <v>33.79</v>
      </c>
      <c r="N2910" s="91">
        <f t="shared" si="533"/>
        <v>99.890000000000015</v>
      </c>
      <c r="O2910" s="411">
        <f t="shared" si="538"/>
        <v>19.109999999999985</v>
      </c>
      <c r="P2910" s="132" t="s">
        <v>52</v>
      </c>
      <c r="Q2910" s="232"/>
      <c r="R2910" s="411"/>
      <c r="T2910" s="134" t="s">
        <v>145</v>
      </c>
      <c r="U2910" s="267" t="s">
        <v>6673</v>
      </c>
      <c r="AA2910" s="218"/>
    </row>
    <row r="2911" spans="1:27" ht="24" x14ac:dyDescent="0.25">
      <c r="A2911" s="405">
        <v>3002249</v>
      </c>
      <c r="B2911" s="406">
        <v>42506</v>
      </c>
      <c r="C2911" s="405" t="s">
        <v>237</v>
      </c>
      <c r="D2911" s="401" t="s">
        <v>6674</v>
      </c>
      <c r="E2911" s="120">
        <v>100</v>
      </c>
      <c r="F2911" s="133" t="s">
        <v>431</v>
      </c>
      <c r="G2911" s="404" t="s">
        <v>45</v>
      </c>
      <c r="H2911" s="411">
        <v>235.33</v>
      </c>
      <c r="I2911" s="397">
        <f t="shared" si="539"/>
        <v>-35.299500000000002</v>
      </c>
      <c r="J2911" s="411">
        <v>0</v>
      </c>
      <c r="K2911" s="90">
        <f t="shared" si="531"/>
        <v>200.03050000000002</v>
      </c>
      <c r="L2911" s="131">
        <v>1050</v>
      </c>
      <c r="M2911" s="187">
        <v>48.88</v>
      </c>
      <c r="N2911" s="91">
        <f t="shared" si="533"/>
        <v>153.88</v>
      </c>
      <c r="O2911" s="411">
        <f t="shared" si="538"/>
        <v>46.150500000000022</v>
      </c>
      <c r="P2911" s="132" t="s">
        <v>52</v>
      </c>
      <c r="Q2911" s="232"/>
      <c r="R2911" s="411"/>
      <c r="T2911" s="134" t="s">
        <v>145</v>
      </c>
      <c r="U2911" s="267" t="s">
        <v>6675</v>
      </c>
      <c r="AA2911" s="218"/>
    </row>
    <row r="2912" spans="1:27" ht="24" x14ac:dyDescent="0.25">
      <c r="A2912" s="405">
        <v>3002250</v>
      </c>
      <c r="B2912" s="406">
        <v>42506</v>
      </c>
      <c r="C2912" s="405" t="s">
        <v>63</v>
      </c>
      <c r="D2912" s="401" t="s">
        <v>6676</v>
      </c>
      <c r="E2912" s="120">
        <v>55</v>
      </c>
      <c r="F2912" s="133" t="s">
        <v>161</v>
      </c>
      <c r="G2912" s="404" t="s">
        <v>45</v>
      </c>
      <c r="H2912" s="411">
        <v>129</v>
      </c>
      <c r="I2912" s="411">
        <v>0</v>
      </c>
      <c r="J2912" s="391">
        <f>-((H2912*0.022)+0.3)</f>
        <v>-3.1379999999999995</v>
      </c>
      <c r="K2912" s="90">
        <f t="shared" si="531"/>
        <v>125.86199999999999</v>
      </c>
      <c r="L2912" s="131">
        <v>1322</v>
      </c>
      <c r="M2912" s="187">
        <v>25.16</v>
      </c>
      <c r="N2912" s="91">
        <f t="shared" si="533"/>
        <v>97.86999999999999</v>
      </c>
      <c r="O2912" s="411">
        <f t="shared" si="538"/>
        <v>27.992000000000004</v>
      </c>
      <c r="P2912" s="132" t="s">
        <v>52</v>
      </c>
      <c r="Q2912" s="232"/>
      <c r="R2912" s="411"/>
      <c r="T2912" s="134" t="s">
        <v>145</v>
      </c>
      <c r="U2912" s="267" t="s">
        <v>6677</v>
      </c>
      <c r="W2912" s="153" t="s">
        <v>6678</v>
      </c>
      <c r="AA2912" s="218"/>
    </row>
    <row r="2913" spans="1:27" x14ac:dyDescent="0.25">
      <c r="A2913" s="405">
        <v>3002251</v>
      </c>
      <c r="B2913" s="406">
        <v>42506</v>
      </c>
      <c r="C2913" s="405" t="s">
        <v>327</v>
      </c>
      <c r="D2913" s="401" t="s">
        <v>6679</v>
      </c>
      <c r="E2913" s="120">
        <v>500</v>
      </c>
      <c r="F2913" s="133" t="s">
        <v>178</v>
      </c>
      <c r="G2913" s="404" t="s">
        <v>45</v>
      </c>
      <c r="H2913" s="411">
        <v>925</v>
      </c>
      <c r="I2913" s="411">
        <v>0</v>
      </c>
      <c r="J2913" s="391">
        <f>-((H2913*0.022)+0.3)</f>
        <v>-20.65</v>
      </c>
      <c r="K2913" s="90">
        <f t="shared" si="531"/>
        <v>904.35</v>
      </c>
      <c r="L2913" s="131">
        <v>1170</v>
      </c>
      <c r="M2913" s="187">
        <v>158.84</v>
      </c>
      <c r="N2913" s="91">
        <f t="shared" si="533"/>
        <v>743.84</v>
      </c>
      <c r="O2913" s="411">
        <f t="shared" si="538"/>
        <v>160.51</v>
      </c>
      <c r="P2913" s="132" t="s">
        <v>52</v>
      </c>
      <c r="Q2913" s="232"/>
      <c r="R2913" s="411"/>
      <c r="T2913" s="134" t="s">
        <v>97</v>
      </c>
      <c r="U2913" s="267" t="s">
        <v>6680</v>
      </c>
      <c r="V2913" s="133" t="s">
        <v>55</v>
      </c>
      <c r="W2913" s="153" t="s">
        <v>6681</v>
      </c>
      <c r="AA2913" s="218"/>
    </row>
    <row r="2914" spans="1:27" ht="24" customHeight="1" x14ac:dyDescent="0.25">
      <c r="A2914" s="419">
        <v>3002252</v>
      </c>
      <c r="B2914" s="421">
        <v>42506</v>
      </c>
      <c r="C2914" s="419" t="s">
        <v>280</v>
      </c>
      <c r="D2914" s="417" t="s">
        <v>6682</v>
      </c>
      <c r="E2914" s="120">
        <v>180</v>
      </c>
      <c r="F2914" s="133" t="s">
        <v>227</v>
      </c>
      <c r="G2914" s="434" t="s">
        <v>45</v>
      </c>
      <c r="H2914" s="427">
        <v>782.5</v>
      </c>
      <c r="I2914" s="427">
        <v>0</v>
      </c>
      <c r="J2914" s="425">
        <f>-((H2914*0.022)+0.3)</f>
        <v>-17.515000000000001</v>
      </c>
      <c r="K2914" s="425">
        <f t="shared" si="531"/>
        <v>764.98500000000001</v>
      </c>
      <c r="L2914" s="131">
        <v>350</v>
      </c>
      <c r="M2914" s="187">
        <v>43.3</v>
      </c>
      <c r="N2914" s="91">
        <f t="shared" si="533"/>
        <v>106.3</v>
      </c>
      <c r="O2914" s="411">
        <f t="shared" si="538"/>
        <v>658.68500000000006</v>
      </c>
      <c r="P2914" s="132" t="s">
        <v>52</v>
      </c>
      <c r="Q2914" s="232"/>
      <c r="R2914" s="411"/>
      <c r="T2914" s="470" t="s">
        <v>145</v>
      </c>
      <c r="U2914" s="267" t="s">
        <v>6683</v>
      </c>
      <c r="AA2914" s="218"/>
    </row>
    <row r="2915" spans="1:27" x14ac:dyDescent="0.25">
      <c r="A2915" s="432"/>
      <c r="B2915" s="433"/>
      <c r="C2915" s="432"/>
      <c r="D2915" s="454"/>
      <c r="E2915" s="120">
        <v>200</v>
      </c>
      <c r="F2915" s="133" t="s">
        <v>6684</v>
      </c>
      <c r="G2915" s="435"/>
      <c r="H2915" s="438"/>
      <c r="I2915" s="438"/>
      <c r="J2915" s="437"/>
      <c r="K2915" s="437"/>
      <c r="L2915" s="131">
        <v>440</v>
      </c>
      <c r="M2915" s="187">
        <v>51.82</v>
      </c>
      <c r="N2915" s="91">
        <f t="shared" si="533"/>
        <v>139.82</v>
      </c>
      <c r="O2915" s="411">
        <f t="shared" si="538"/>
        <v>-139.82</v>
      </c>
      <c r="P2915" s="132" t="s">
        <v>52</v>
      </c>
      <c r="Q2915" s="232"/>
      <c r="R2915" s="411"/>
      <c r="T2915" s="471"/>
      <c r="U2915" s="267" t="s">
        <v>6685</v>
      </c>
      <c r="AA2915" s="218"/>
    </row>
    <row r="2916" spans="1:27" x14ac:dyDescent="0.25">
      <c r="A2916" s="432"/>
      <c r="B2916" s="433"/>
      <c r="C2916" s="432"/>
      <c r="D2916" s="454"/>
      <c r="E2916" s="120">
        <v>100</v>
      </c>
      <c r="F2916" s="133" t="s">
        <v>877</v>
      </c>
      <c r="G2916" s="435"/>
      <c r="H2916" s="438"/>
      <c r="I2916" s="438"/>
      <c r="J2916" s="437"/>
      <c r="K2916" s="437"/>
      <c r="L2916" s="131">
        <v>235</v>
      </c>
      <c r="M2916" s="187">
        <v>34.65</v>
      </c>
      <c r="N2916" s="91">
        <f t="shared" si="533"/>
        <v>58.15</v>
      </c>
      <c r="O2916" s="411">
        <f t="shared" si="538"/>
        <v>-58.15</v>
      </c>
      <c r="P2916" s="132" t="s">
        <v>52</v>
      </c>
      <c r="Q2916" s="232"/>
      <c r="R2916" s="411"/>
      <c r="T2916" s="472"/>
      <c r="U2916" s="267" t="s">
        <v>6686</v>
      </c>
      <c r="AA2916" s="218"/>
    </row>
    <row r="2917" spans="1:27" ht="24" x14ac:dyDescent="0.25">
      <c r="A2917" s="432"/>
      <c r="B2917" s="433"/>
      <c r="C2917" s="432"/>
      <c r="D2917" s="454"/>
      <c r="E2917" s="120">
        <v>250</v>
      </c>
      <c r="F2917" s="133" t="s">
        <v>6687</v>
      </c>
      <c r="G2917" s="435"/>
      <c r="H2917" s="438"/>
      <c r="I2917" s="438"/>
      <c r="J2917" s="437"/>
      <c r="K2917" s="437"/>
      <c r="L2917" s="187">
        <v>645.52</v>
      </c>
      <c r="M2917" s="187">
        <v>63.22</v>
      </c>
      <c r="N2917" s="91">
        <f t="shared" si="533"/>
        <v>224.6</v>
      </c>
      <c r="O2917" s="411">
        <f t="shared" si="538"/>
        <v>-224.6</v>
      </c>
      <c r="P2917" s="132" t="s">
        <v>76</v>
      </c>
      <c r="Q2917" s="232"/>
      <c r="R2917" s="411"/>
      <c r="T2917" s="134" t="s">
        <v>145</v>
      </c>
      <c r="U2917" s="267" t="s">
        <v>6688</v>
      </c>
      <c r="V2917" s="133" t="s">
        <v>6689</v>
      </c>
      <c r="AA2917" s="218"/>
    </row>
    <row r="2918" spans="1:27" ht="24" x14ac:dyDescent="0.25">
      <c r="A2918" s="420"/>
      <c r="B2918" s="422"/>
      <c r="C2918" s="420"/>
      <c r="D2918" s="418"/>
      <c r="E2918" s="120">
        <v>50</v>
      </c>
      <c r="F2918" s="133" t="s">
        <v>6690</v>
      </c>
      <c r="G2918" s="436"/>
      <c r="H2918" s="428"/>
      <c r="I2918" s="428"/>
      <c r="J2918" s="426"/>
      <c r="K2918" s="426"/>
      <c r="L2918" s="131">
        <v>280</v>
      </c>
      <c r="M2918" s="187">
        <v>29.36</v>
      </c>
      <c r="N2918" s="91">
        <f t="shared" si="533"/>
        <v>43.36</v>
      </c>
      <c r="O2918" s="411">
        <f t="shared" si="538"/>
        <v>-43.36</v>
      </c>
      <c r="P2918" s="132" t="s">
        <v>52</v>
      </c>
      <c r="Q2918" s="232"/>
      <c r="R2918" s="411"/>
      <c r="T2918" s="134" t="s">
        <v>145</v>
      </c>
      <c r="U2918" s="267" t="s">
        <v>6691</v>
      </c>
      <c r="AA2918" s="218"/>
    </row>
    <row r="2919" spans="1:27" x14ac:dyDescent="0.25">
      <c r="A2919" s="419">
        <v>3002253</v>
      </c>
      <c r="B2919" s="421">
        <v>42506</v>
      </c>
      <c r="C2919" s="419" t="s">
        <v>327</v>
      </c>
      <c r="D2919" s="417" t="s">
        <v>6692</v>
      </c>
      <c r="E2919" s="120">
        <v>400</v>
      </c>
      <c r="F2919" s="133" t="s">
        <v>605</v>
      </c>
      <c r="G2919" s="434" t="s">
        <v>45</v>
      </c>
      <c r="H2919" s="427">
        <v>736.5</v>
      </c>
      <c r="I2919" s="427">
        <v>0</v>
      </c>
      <c r="J2919" s="425">
        <f>-((H2919*0.022)+0.3)</f>
        <v>-16.503</v>
      </c>
      <c r="K2919" s="425">
        <f t="shared" ref="K2919" si="540">SUM(H2919:J2919)</f>
        <v>719.99699999999996</v>
      </c>
      <c r="L2919" s="131">
        <v>600</v>
      </c>
      <c r="M2919" s="187">
        <v>181.32</v>
      </c>
      <c r="N2919" s="91">
        <f t="shared" si="533"/>
        <v>421.32</v>
      </c>
      <c r="O2919" s="411">
        <f t="shared" si="538"/>
        <v>298.67699999999996</v>
      </c>
      <c r="P2919" s="132" t="s">
        <v>52</v>
      </c>
      <c r="Q2919" s="232"/>
      <c r="R2919" s="411"/>
      <c r="T2919" s="134" t="s">
        <v>97</v>
      </c>
      <c r="U2919" s="267" t="s">
        <v>6693</v>
      </c>
      <c r="V2919" s="133" t="s">
        <v>55</v>
      </c>
      <c r="W2919" s="153" t="s">
        <v>6694</v>
      </c>
      <c r="X2919" s="225"/>
      <c r="AA2919" s="473">
        <v>25</v>
      </c>
    </row>
    <row r="2920" spans="1:27" x14ac:dyDescent="0.25">
      <c r="A2920" s="432"/>
      <c r="B2920" s="433"/>
      <c r="C2920" s="432"/>
      <c r="D2920" s="454"/>
      <c r="E2920" s="120">
        <v>250</v>
      </c>
      <c r="F2920" s="133" t="s">
        <v>6695</v>
      </c>
      <c r="G2920" s="435"/>
      <c r="H2920" s="438"/>
      <c r="I2920" s="438"/>
      <c r="J2920" s="437"/>
      <c r="K2920" s="437"/>
      <c r="L2920" s="187">
        <v>310</v>
      </c>
      <c r="M2920" s="187">
        <v>29.17</v>
      </c>
      <c r="N2920" s="91">
        <f t="shared" si="533"/>
        <v>106.67</v>
      </c>
      <c r="O2920" s="411">
        <f t="shared" si="538"/>
        <v>-106.67</v>
      </c>
      <c r="P2920" s="132" t="s">
        <v>235</v>
      </c>
      <c r="Q2920" s="232"/>
      <c r="R2920" s="411"/>
      <c r="T2920" s="439" t="s">
        <v>145</v>
      </c>
      <c r="U2920" s="267" t="s">
        <v>6696</v>
      </c>
      <c r="V2920" s="133" t="s">
        <v>6697</v>
      </c>
      <c r="AA2920" s="478"/>
    </row>
    <row r="2921" spans="1:27" x14ac:dyDescent="0.25">
      <c r="A2921" s="420"/>
      <c r="B2921" s="422"/>
      <c r="C2921" s="420"/>
      <c r="D2921" s="418"/>
      <c r="E2921" s="120">
        <v>250</v>
      </c>
      <c r="F2921" s="133" t="s">
        <v>6698</v>
      </c>
      <c r="G2921" s="436"/>
      <c r="H2921" s="428"/>
      <c r="I2921" s="428"/>
      <c r="J2921" s="426"/>
      <c r="K2921" s="426"/>
      <c r="L2921" s="187">
        <v>210</v>
      </c>
      <c r="M2921" s="187">
        <v>31.84</v>
      </c>
      <c r="N2921" s="91">
        <f t="shared" si="533"/>
        <v>84.34</v>
      </c>
      <c r="O2921" s="411">
        <f t="shared" si="538"/>
        <v>-84.34</v>
      </c>
      <c r="P2921" s="132" t="s">
        <v>235</v>
      </c>
      <c r="Q2921" s="232"/>
      <c r="R2921" s="411"/>
      <c r="T2921" s="441"/>
      <c r="U2921" s="267" t="s">
        <v>6699</v>
      </c>
      <c r="V2921" s="133" t="s">
        <v>6697</v>
      </c>
      <c r="AA2921" s="474"/>
    </row>
    <row r="2922" spans="1:27" x14ac:dyDescent="0.25">
      <c r="A2922" s="419">
        <v>3002254</v>
      </c>
      <c r="B2922" s="421">
        <v>42506</v>
      </c>
      <c r="C2922" s="419" t="s">
        <v>56</v>
      </c>
      <c r="D2922" s="417" t="s">
        <v>1303</v>
      </c>
      <c r="E2922" s="120">
        <v>500</v>
      </c>
      <c r="F2922" s="133" t="s">
        <v>6700</v>
      </c>
      <c r="G2922" s="434" t="s">
        <v>45</v>
      </c>
      <c r="H2922" s="427">
        <v>3175.58</v>
      </c>
      <c r="I2922" s="427">
        <v>0</v>
      </c>
      <c r="J2922" s="427">
        <v>0</v>
      </c>
      <c r="K2922" s="425">
        <f t="shared" ref="K2922" si="541">SUM(H2922:J2922)</f>
        <v>3175.58</v>
      </c>
      <c r="L2922" s="187">
        <v>2391.15</v>
      </c>
      <c r="M2922" s="187">
        <v>88.75</v>
      </c>
      <c r="N2922" s="91">
        <f t="shared" si="533"/>
        <v>1284.325</v>
      </c>
      <c r="O2922" s="411">
        <f t="shared" si="538"/>
        <v>1891.2549999999999</v>
      </c>
      <c r="P2922" s="132" t="s">
        <v>46</v>
      </c>
      <c r="Q2922" s="232"/>
      <c r="R2922" s="411"/>
      <c r="T2922" s="134" t="s">
        <v>47</v>
      </c>
      <c r="U2922" s="267" t="s">
        <v>6701</v>
      </c>
      <c r="V2922" s="133" t="s">
        <v>6702</v>
      </c>
      <c r="W2922" s="153" t="s">
        <v>1796</v>
      </c>
      <c r="AA2922" s="218"/>
    </row>
    <row r="2923" spans="1:27" x14ac:dyDescent="0.25">
      <c r="A2923" s="432"/>
      <c r="B2923" s="433"/>
      <c r="C2923" s="432"/>
      <c r="D2923" s="454"/>
      <c r="E2923" s="120">
        <v>1000</v>
      </c>
      <c r="F2923" s="133" t="s">
        <v>2635</v>
      </c>
      <c r="G2923" s="435"/>
      <c r="H2923" s="438"/>
      <c r="I2923" s="438"/>
      <c r="J2923" s="438"/>
      <c r="K2923" s="437"/>
      <c r="L2923" s="187">
        <v>660</v>
      </c>
      <c r="M2923" s="187">
        <v>66</v>
      </c>
      <c r="N2923" s="91">
        <f t="shared" si="533"/>
        <v>726</v>
      </c>
      <c r="O2923" s="411">
        <f t="shared" si="538"/>
        <v>-726</v>
      </c>
      <c r="P2923" s="132" t="s">
        <v>183</v>
      </c>
      <c r="Q2923" s="232"/>
      <c r="R2923" s="411"/>
      <c r="T2923" s="134" t="s">
        <v>2636</v>
      </c>
      <c r="U2923" s="267" t="s">
        <v>6703</v>
      </c>
      <c r="V2923" s="133" t="s">
        <v>6704</v>
      </c>
      <c r="AA2923" s="218"/>
    </row>
    <row r="2924" spans="1:27" ht="24" x14ac:dyDescent="0.25">
      <c r="A2924" s="432"/>
      <c r="B2924" s="433"/>
      <c r="C2924" s="432"/>
      <c r="D2924" s="454"/>
      <c r="E2924" s="120">
        <v>500</v>
      </c>
      <c r="F2924" s="119" t="s">
        <v>6705</v>
      </c>
      <c r="G2924" s="435"/>
      <c r="H2924" s="438"/>
      <c r="I2924" s="438"/>
      <c r="J2924" s="438"/>
      <c r="K2924" s="437"/>
      <c r="L2924" s="187">
        <v>200</v>
      </c>
      <c r="M2924" s="468">
        <v>20.94</v>
      </c>
      <c r="N2924" s="91">
        <f t="shared" si="533"/>
        <v>120.94</v>
      </c>
      <c r="O2924" s="411">
        <f t="shared" si="538"/>
        <v>-120.94</v>
      </c>
      <c r="P2924" s="132" t="s">
        <v>235</v>
      </c>
      <c r="Q2924" s="232"/>
      <c r="R2924" s="411"/>
      <c r="T2924" s="439" t="s">
        <v>145</v>
      </c>
      <c r="U2924" s="446" t="s">
        <v>6706</v>
      </c>
      <c r="V2924" s="133" t="s">
        <v>6707</v>
      </c>
      <c r="W2924" s="154" t="s">
        <v>6708</v>
      </c>
      <c r="AA2924" s="218"/>
    </row>
    <row r="2925" spans="1:27" ht="24" x14ac:dyDescent="0.25">
      <c r="A2925" s="432"/>
      <c r="B2925" s="433"/>
      <c r="C2925" s="432"/>
      <c r="D2925" s="454"/>
      <c r="E2925" s="120">
        <v>500</v>
      </c>
      <c r="F2925" s="119" t="s">
        <v>6709</v>
      </c>
      <c r="G2925" s="435"/>
      <c r="H2925" s="438"/>
      <c r="I2925" s="438"/>
      <c r="J2925" s="438"/>
      <c r="K2925" s="437"/>
      <c r="L2925" s="187">
        <v>80</v>
      </c>
      <c r="M2925" s="491"/>
      <c r="N2925" s="91">
        <f t="shared" si="533"/>
        <v>40</v>
      </c>
      <c r="O2925" s="411">
        <f t="shared" si="538"/>
        <v>-40</v>
      </c>
      <c r="P2925" s="132" t="s">
        <v>235</v>
      </c>
      <c r="Q2925" s="232"/>
      <c r="R2925" s="411"/>
      <c r="T2925" s="440"/>
      <c r="U2925" s="448"/>
      <c r="V2925" s="133" t="s">
        <v>6707</v>
      </c>
      <c r="AA2925" s="218"/>
    </row>
    <row r="2926" spans="1:27" ht="24" x14ac:dyDescent="0.25">
      <c r="A2926" s="432"/>
      <c r="B2926" s="433"/>
      <c r="C2926" s="432"/>
      <c r="D2926" s="454"/>
      <c r="E2926" s="120">
        <v>500</v>
      </c>
      <c r="F2926" s="119" t="s">
        <v>6710</v>
      </c>
      <c r="G2926" s="435"/>
      <c r="H2926" s="438"/>
      <c r="I2926" s="438"/>
      <c r="J2926" s="438"/>
      <c r="K2926" s="437"/>
      <c r="L2926" s="187">
        <v>55</v>
      </c>
      <c r="M2926" s="469"/>
      <c r="N2926" s="91">
        <f t="shared" ref="N2926:N2990" si="542">((L2926)*(E2926*0.001))+M2926</f>
        <v>27.5</v>
      </c>
      <c r="O2926" s="411">
        <f t="shared" si="538"/>
        <v>-27.5</v>
      </c>
      <c r="P2926" s="132" t="s">
        <v>235</v>
      </c>
      <c r="Q2926" s="232"/>
      <c r="R2926" s="411"/>
      <c r="T2926" s="440"/>
      <c r="U2926" s="447"/>
      <c r="V2926" s="133" t="s">
        <v>6707</v>
      </c>
      <c r="AA2926" s="218"/>
    </row>
    <row r="2927" spans="1:27" ht="24" x14ac:dyDescent="0.25">
      <c r="A2927" s="432"/>
      <c r="B2927" s="433"/>
      <c r="C2927" s="432"/>
      <c r="D2927" s="454"/>
      <c r="E2927" s="120">
        <v>500</v>
      </c>
      <c r="F2927" s="119" t="s">
        <v>6711</v>
      </c>
      <c r="G2927" s="435"/>
      <c r="H2927" s="438"/>
      <c r="I2927" s="438"/>
      <c r="J2927" s="438"/>
      <c r="K2927" s="437"/>
      <c r="L2927" s="187">
        <v>55</v>
      </c>
      <c r="M2927" s="468">
        <v>23.39</v>
      </c>
      <c r="N2927" s="91">
        <f t="shared" si="542"/>
        <v>50.89</v>
      </c>
      <c r="O2927" s="411">
        <f t="shared" si="538"/>
        <v>-50.89</v>
      </c>
      <c r="P2927" s="132" t="s">
        <v>235</v>
      </c>
      <c r="Q2927" s="232"/>
      <c r="R2927" s="411"/>
      <c r="T2927" s="440"/>
      <c r="U2927" s="446" t="s">
        <v>6712</v>
      </c>
      <c r="V2927" s="133" t="s">
        <v>6707</v>
      </c>
      <c r="AA2927" s="218"/>
    </row>
    <row r="2928" spans="1:27" ht="24" x14ac:dyDescent="0.25">
      <c r="A2928" s="420"/>
      <c r="B2928" s="422"/>
      <c r="C2928" s="420"/>
      <c r="D2928" s="418"/>
      <c r="E2928" s="120">
        <v>500</v>
      </c>
      <c r="F2928" s="119" t="s">
        <v>6713</v>
      </c>
      <c r="G2928" s="436"/>
      <c r="H2928" s="428"/>
      <c r="I2928" s="428"/>
      <c r="J2928" s="428"/>
      <c r="K2928" s="426"/>
      <c r="L2928" s="187">
        <v>55</v>
      </c>
      <c r="M2928" s="469"/>
      <c r="N2928" s="91">
        <f t="shared" si="542"/>
        <v>27.5</v>
      </c>
      <c r="O2928" s="411">
        <f t="shared" si="538"/>
        <v>-27.5</v>
      </c>
      <c r="P2928" s="132" t="s">
        <v>235</v>
      </c>
      <c r="Q2928" s="232"/>
      <c r="R2928" s="411"/>
      <c r="T2928" s="441"/>
      <c r="U2928" s="447"/>
      <c r="V2928" s="133" t="s">
        <v>6707</v>
      </c>
      <c r="AA2928" s="218"/>
    </row>
    <row r="2929" spans="1:27" ht="24" x14ac:dyDescent="0.25">
      <c r="A2929" s="405">
        <v>3002255</v>
      </c>
      <c r="B2929" s="406">
        <v>42506</v>
      </c>
      <c r="C2929" s="405" t="s">
        <v>78</v>
      </c>
      <c r="D2929" s="401" t="s">
        <v>6714</v>
      </c>
      <c r="E2929" s="120">
        <v>100</v>
      </c>
      <c r="F2929" s="133" t="s">
        <v>161</v>
      </c>
      <c r="G2929" s="404" t="s">
        <v>45</v>
      </c>
      <c r="H2929" s="411">
        <v>220</v>
      </c>
      <c r="I2929" s="411">
        <v>0</v>
      </c>
      <c r="J2929" s="391">
        <f t="shared" ref="J2929:J2937" si="543">-((H2929*0.019)+0.3)</f>
        <v>-4.4799999999999995</v>
      </c>
      <c r="K2929" s="90">
        <f t="shared" ref="K2929:K2938" si="544">SUM(H2929:J2929)</f>
        <v>215.52</v>
      </c>
      <c r="L2929" s="131">
        <v>1322</v>
      </c>
      <c r="M2929" s="187">
        <v>46.38</v>
      </c>
      <c r="N2929" s="91">
        <f t="shared" si="542"/>
        <v>178.58</v>
      </c>
      <c r="O2929" s="411">
        <f t="shared" si="538"/>
        <v>36.94</v>
      </c>
      <c r="P2929" s="132" t="s">
        <v>52</v>
      </c>
      <c r="Q2929" s="232"/>
      <c r="R2929" s="411"/>
      <c r="T2929" s="134" t="s">
        <v>145</v>
      </c>
      <c r="U2929" s="267" t="s">
        <v>6715</v>
      </c>
      <c r="W2929" s="153" t="s">
        <v>6716</v>
      </c>
      <c r="AA2929" s="218"/>
    </row>
    <row r="2930" spans="1:27" x14ac:dyDescent="0.25">
      <c r="A2930" s="405">
        <v>3002256</v>
      </c>
      <c r="B2930" s="406">
        <v>42507</v>
      </c>
      <c r="C2930" s="405" t="s">
        <v>327</v>
      </c>
      <c r="D2930" s="401" t="s">
        <v>6717</v>
      </c>
      <c r="E2930" s="120">
        <v>3000</v>
      </c>
      <c r="F2930" s="133" t="s">
        <v>6718</v>
      </c>
      <c r="G2930" s="404" t="s">
        <v>45</v>
      </c>
      <c r="H2930" s="411">
        <v>2590</v>
      </c>
      <c r="I2930" s="411">
        <v>0</v>
      </c>
      <c r="J2930" s="391">
        <f>-((H2930*0.022)+0.3)</f>
        <v>-57.279999999999994</v>
      </c>
      <c r="K2930" s="90">
        <f t="shared" si="544"/>
        <v>2532.7199999999998</v>
      </c>
      <c r="L2930" s="187">
        <v>629.67999999999995</v>
      </c>
      <c r="M2930" s="187">
        <v>122.01</v>
      </c>
      <c r="N2930" s="91">
        <f t="shared" si="542"/>
        <v>2011.05</v>
      </c>
      <c r="O2930" s="411">
        <f t="shared" si="538"/>
        <v>521.66999999999985</v>
      </c>
      <c r="P2930" s="132" t="s">
        <v>4651</v>
      </c>
      <c r="Q2930" s="232"/>
      <c r="R2930" s="411"/>
      <c r="T2930" s="134" t="s">
        <v>6719</v>
      </c>
      <c r="U2930" s="266">
        <v>2104950650</v>
      </c>
      <c r="W2930" s="153" t="s">
        <v>6720</v>
      </c>
      <c r="AA2930" s="218">
        <v>10</v>
      </c>
    </row>
    <row r="2931" spans="1:27" ht="24" x14ac:dyDescent="0.25">
      <c r="A2931" s="405">
        <v>3002257</v>
      </c>
      <c r="B2931" s="406">
        <v>42507</v>
      </c>
      <c r="C2931" s="405" t="s">
        <v>42</v>
      </c>
      <c r="D2931" s="401" t="s">
        <v>6721</v>
      </c>
      <c r="E2931" s="120">
        <v>200</v>
      </c>
      <c r="F2931" s="133" t="s">
        <v>451</v>
      </c>
      <c r="G2931" s="404" t="s">
        <v>45</v>
      </c>
      <c r="H2931" s="411">
        <v>144.84</v>
      </c>
      <c r="I2931" s="94">
        <f t="shared" ref="I2931:I2937" si="545">-(H2931*0.09)</f>
        <v>-13.035600000000001</v>
      </c>
      <c r="J2931" s="391">
        <f t="shared" si="543"/>
        <v>-3.0519599999999998</v>
      </c>
      <c r="K2931" s="90">
        <f t="shared" si="544"/>
        <v>128.75244000000001</v>
      </c>
      <c r="L2931" s="131">
        <v>300</v>
      </c>
      <c r="M2931" s="187">
        <v>26.98</v>
      </c>
      <c r="N2931" s="91">
        <f t="shared" si="542"/>
        <v>86.98</v>
      </c>
      <c r="O2931" s="411">
        <f t="shared" si="538"/>
        <v>41.772440000000003</v>
      </c>
      <c r="P2931" s="132" t="s">
        <v>52</v>
      </c>
      <c r="Q2931" s="232"/>
      <c r="R2931" s="411"/>
      <c r="T2931" s="134" t="s">
        <v>145</v>
      </c>
      <c r="U2931" s="267" t="s">
        <v>6722</v>
      </c>
      <c r="AA2931" s="218"/>
    </row>
    <row r="2932" spans="1:27" ht="24" x14ac:dyDescent="0.25">
      <c r="A2932" s="405">
        <v>3002258</v>
      </c>
      <c r="B2932" s="406">
        <v>42507</v>
      </c>
      <c r="C2932" s="405" t="s">
        <v>5682</v>
      </c>
      <c r="D2932" s="401" t="s">
        <v>6723</v>
      </c>
      <c r="E2932" s="120">
        <v>4</v>
      </c>
      <c r="F2932" s="133" t="s">
        <v>4957</v>
      </c>
      <c r="G2932" s="404" t="s">
        <v>45</v>
      </c>
      <c r="H2932" s="411">
        <v>66.48</v>
      </c>
      <c r="I2932" s="94">
        <f t="shared" si="545"/>
        <v>-5.9832000000000001</v>
      </c>
      <c r="J2932" s="391">
        <f t="shared" si="543"/>
        <v>-1.5631200000000001</v>
      </c>
      <c r="K2932" s="90">
        <f t="shared" si="544"/>
        <v>58.93368000000001</v>
      </c>
      <c r="L2932" s="187">
        <v>10000</v>
      </c>
      <c r="M2932" s="187">
        <v>31.98</v>
      </c>
      <c r="N2932" s="91">
        <f t="shared" si="542"/>
        <v>71.98</v>
      </c>
      <c r="O2932" s="411">
        <f t="shared" si="538"/>
        <v>-13.046319999999994</v>
      </c>
      <c r="P2932" s="132" t="s">
        <v>183</v>
      </c>
      <c r="Q2932" s="232"/>
      <c r="R2932" s="411"/>
      <c r="T2932" s="134" t="s">
        <v>145</v>
      </c>
      <c r="U2932" s="267" t="s">
        <v>6724</v>
      </c>
      <c r="AA2932" s="218"/>
    </row>
    <row r="2933" spans="1:27" ht="24" x14ac:dyDescent="0.25">
      <c r="A2933" s="405">
        <v>3002259</v>
      </c>
      <c r="B2933" s="406">
        <v>42507</v>
      </c>
      <c r="C2933" s="405" t="s">
        <v>5682</v>
      </c>
      <c r="D2933" s="401" t="s">
        <v>6725</v>
      </c>
      <c r="E2933" s="120">
        <v>325</v>
      </c>
      <c r="F2933" s="133" t="s">
        <v>829</v>
      </c>
      <c r="G2933" s="404" t="s">
        <v>45</v>
      </c>
      <c r="H2933" s="411">
        <v>312.55</v>
      </c>
      <c r="I2933" s="94">
        <f t="shared" si="545"/>
        <v>-28.1295</v>
      </c>
      <c r="J2933" s="391">
        <f t="shared" si="543"/>
        <v>-6.2384500000000003</v>
      </c>
      <c r="K2933" s="90">
        <f t="shared" si="544"/>
        <v>278.18205</v>
      </c>
      <c r="L2933" s="131">
        <v>510</v>
      </c>
      <c r="M2933" s="187">
        <v>68.13</v>
      </c>
      <c r="N2933" s="91">
        <f t="shared" si="542"/>
        <v>233.88</v>
      </c>
      <c r="O2933" s="411">
        <f t="shared" si="538"/>
        <v>44.302050000000008</v>
      </c>
      <c r="P2933" s="132" t="s">
        <v>52</v>
      </c>
      <c r="Q2933" s="232"/>
      <c r="R2933" s="411"/>
      <c r="T2933" s="134" t="s">
        <v>145</v>
      </c>
      <c r="U2933" s="267" t="s">
        <v>6726</v>
      </c>
      <c r="AA2933" s="218"/>
    </row>
    <row r="2934" spans="1:27" ht="24" x14ac:dyDescent="0.25">
      <c r="A2934" s="405">
        <v>3002260</v>
      </c>
      <c r="B2934" s="406">
        <v>42507</v>
      </c>
      <c r="C2934" s="405" t="s">
        <v>5682</v>
      </c>
      <c r="D2934" s="401" t="s">
        <v>6727</v>
      </c>
      <c r="E2934" s="120">
        <v>100</v>
      </c>
      <c r="F2934" s="133" t="s">
        <v>161</v>
      </c>
      <c r="G2934" s="404" t="s">
        <v>45</v>
      </c>
      <c r="H2934" s="411">
        <v>235</v>
      </c>
      <c r="I2934" s="94">
        <f t="shared" si="545"/>
        <v>-21.15</v>
      </c>
      <c r="J2934" s="391">
        <f t="shared" si="543"/>
        <v>-4.7649999999999997</v>
      </c>
      <c r="K2934" s="90">
        <f t="shared" si="544"/>
        <v>209.08500000000001</v>
      </c>
      <c r="L2934" s="131">
        <v>1322</v>
      </c>
      <c r="M2934" s="187">
        <v>27.41</v>
      </c>
      <c r="N2934" s="91">
        <f t="shared" si="542"/>
        <v>159.61000000000001</v>
      </c>
      <c r="O2934" s="411">
        <f t="shared" si="538"/>
        <v>49.474999999999994</v>
      </c>
      <c r="P2934" s="132" t="s">
        <v>52</v>
      </c>
      <c r="Q2934" s="232"/>
      <c r="R2934" s="411"/>
      <c r="T2934" s="134" t="s">
        <v>145</v>
      </c>
      <c r="U2934" s="267" t="s">
        <v>6728</v>
      </c>
      <c r="AA2934" s="218"/>
    </row>
    <row r="2935" spans="1:27" ht="24" x14ac:dyDescent="0.25">
      <c r="A2935" s="405">
        <v>3002261</v>
      </c>
      <c r="B2935" s="406">
        <v>42507</v>
      </c>
      <c r="C2935" s="405" t="s">
        <v>5682</v>
      </c>
      <c r="D2935" s="401" t="s">
        <v>6729</v>
      </c>
      <c r="E2935" s="120">
        <v>100</v>
      </c>
      <c r="F2935" s="133" t="s">
        <v>247</v>
      </c>
      <c r="G2935" s="404" t="s">
        <v>45</v>
      </c>
      <c r="H2935" s="411">
        <v>132.04</v>
      </c>
      <c r="I2935" s="94">
        <f t="shared" si="545"/>
        <v>-11.883599999999999</v>
      </c>
      <c r="J2935" s="391">
        <f t="shared" si="543"/>
        <v>-2.8087599999999995</v>
      </c>
      <c r="K2935" s="90">
        <f t="shared" si="544"/>
        <v>117.34763999999998</v>
      </c>
      <c r="L2935" s="131">
        <v>662</v>
      </c>
      <c r="M2935" s="187">
        <v>36.5</v>
      </c>
      <c r="N2935" s="91">
        <f t="shared" si="542"/>
        <v>102.7</v>
      </c>
      <c r="O2935" s="411">
        <f t="shared" si="538"/>
        <v>14.647639999999981</v>
      </c>
      <c r="P2935" s="132" t="s">
        <v>52</v>
      </c>
      <c r="Q2935" s="232"/>
      <c r="R2935" s="411"/>
      <c r="T2935" s="134" t="s">
        <v>145</v>
      </c>
      <c r="U2935" s="267" t="s">
        <v>6730</v>
      </c>
      <c r="AA2935" s="218"/>
    </row>
    <row r="2936" spans="1:27" ht="24" x14ac:dyDescent="0.25">
      <c r="A2936" s="405">
        <v>3002262</v>
      </c>
      <c r="B2936" s="406">
        <v>42507</v>
      </c>
      <c r="C2936" s="405" t="s">
        <v>5682</v>
      </c>
      <c r="D2936" s="401" t="s">
        <v>6731</v>
      </c>
      <c r="E2936" s="120">
        <v>250</v>
      </c>
      <c r="F2936" s="133" t="s">
        <v>983</v>
      </c>
      <c r="G2936" s="404" t="s">
        <v>45</v>
      </c>
      <c r="H2936" s="411">
        <v>163.55000000000001</v>
      </c>
      <c r="I2936" s="94">
        <f t="shared" si="545"/>
        <v>-14.7195</v>
      </c>
      <c r="J2936" s="391">
        <f t="shared" si="543"/>
        <v>-3.4074499999999999</v>
      </c>
      <c r="K2936" s="90">
        <f t="shared" si="544"/>
        <v>145.42304999999999</v>
      </c>
      <c r="L2936" s="131">
        <v>300</v>
      </c>
      <c r="M2936" s="187">
        <v>32.67</v>
      </c>
      <c r="N2936" s="91">
        <f t="shared" si="542"/>
        <v>107.67</v>
      </c>
      <c r="O2936" s="411">
        <f t="shared" si="538"/>
        <v>37.753049999999988</v>
      </c>
      <c r="P2936" s="132" t="s">
        <v>52</v>
      </c>
      <c r="Q2936" s="232"/>
      <c r="R2936" s="411"/>
      <c r="T2936" s="134" t="s">
        <v>145</v>
      </c>
      <c r="U2936" s="267" t="s">
        <v>6732</v>
      </c>
      <c r="AA2936" s="218"/>
    </row>
    <row r="2937" spans="1:27" ht="24" x14ac:dyDescent="0.25">
      <c r="A2937" s="405">
        <v>3002263</v>
      </c>
      <c r="B2937" s="406">
        <v>42507</v>
      </c>
      <c r="C2937" s="405" t="s">
        <v>5682</v>
      </c>
      <c r="D2937" s="401" t="s">
        <v>6733</v>
      </c>
      <c r="E2937" s="120">
        <v>200</v>
      </c>
      <c r="F2937" s="133" t="s">
        <v>165</v>
      </c>
      <c r="G2937" s="404" t="s">
        <v>45</v>
      </c>
      <c r="H2937" s="411">
        <v>204.02</v>
      </c>
      <c r="I2937" s="94">
        <f t="shared" si="545"/>
        <v>-18.361799999999999</v>
      </c>
      <c r="J2937" s="391">
        <f t="shared" si="543"/>
        <v>-4.17638</v>
      </c>
      <c r="K2937" s="90">
        <f t="shared" si="544"/>
        <v>181.48182000000003</v>
      </c>
      <c r="L2937" s="187">
        <v>440</v>
      </c>
      <c r="M2937" s="187">
        <v>34.03</v>
      </c>
      <c r="N2937" s="91">
        <f t="shared" si="542"/>
        <v>122.03</v>
      </c>
      <c r="O2937" s="411">
        <f t="shared" si="538"/>
        <v>59.451820000000026</v>
      </c>
      <c r="P2937" s="132" t="s">
        <v>3597</v>
      </c>
      <c r="Q2937" s="232"/>
      <c r="R2937" s="411"/>
      <c r="T2937" s="134" t="s">
        <v>204</v>
      </c>
      <c r="U2937" s="266" t="s">
        <v>6734</v>
      </c>
      <c r="AA2937" s="218"/>
    </row>
    <row r="2938" spans="1:27" x14ac:dyDescent="0.25">
      <c r="A2938" s="419">
        <v>3002264</v>
      </c>
      <c r="B2938" s="421">
        <v>42507</v>
      </c>
      <c r="C2938" s="419" t="s">
        <v>555</v>
      </c>
      <c r="D2938" s="417" t="s">
        <v>6735</v>
      </c>
      <c r="E2938" s="120">
        <v>3280</v>
      </c>
      <c r="F2938" s="133" t="s">
        <v>6736</v>
      </c>
      <c r="G2938" s="434" t="s">
        <v>45</v>
      </c>
      <c r="H2938" s="427">
        <v>67000</v>
      </c>
      <c r="I2938" s="427">
        <v>0</v>
      </c>
      <c r="J2938" s="427">
        <v>0</v>
      </c>
      <c r="K2938" s="425">
        <f t="shared" si="544"/>
        <v>67000</v>
      </c>
      <c r="L2938" s="187">
        <v>5510</v>
      </c>
      <c r="M2938" s="131">
        <v>0</v>
      </c>
      <c r="N2938" s="91">
        <f t="shared" si="542"/>
        <v>18072.800000000003</v>
      </c>
      <c r="O2938" s="411">
        <f t="shared" si="538"/>
        <v>48927.199999999997</v>
      </c>
      <c r="P2938" s="132" t="s">
        <v>66</v>
      </c>
      <c r="Q2938" s="232"/>
      <c r="R2938" s="411"/>
      <c r="T2938" s="439" t="s">
        <v>314</v>
      </c>
      <c r="U2938" s="444">
        <v>4016451390</v>
      </c>
      <c r="W2938" s="153" t="s">
        <v>6737</v>
      </c>
      <c r="AA2938" s="479"/>
    </row>
    <row r="2939" spans="1:27" x14ac:dyDescent="0.25">
      <c r="A2939" s="432"/>
      <c r="B2939" s="433"/>
      <c r="C2939" s="432"/>
      <c r="D2939" s="454"/>
      <c r="E2939" s="120">
        <v>3000</v>
      </c>
      <c r="F2939" s="133" t="s">
        <v>6738</v>
      </c>
      <c r="G2939" s="435"/>
      <c r="H2939" s="438"/>
      <c r="I2939" s="438"/>
      <c r="J2939" s="438"/>
      <c r="K2939" s="437"/>
      <c r="L2939" s="187">
        <v>6540</v>
      </c>
      <c r="M2939" s="131">
        <v>0</v>
      </c>
      <c r="N2939" s="91">
        <f t="shared" si="542"/>
        <v>19620</v>
      </c>
      <c r="O2939" s="411">
        <f t="shared" si="538"/>
        <v>-19620</v>
      </c>
      <c r="P2939" s="132" t="s">
        <v>66</v>
      </c>
      <c r="Q2939" s="232"/>
      <c r="R2939" s="411"/>
      <c r="T2939" s="441"/>
      <c r="U2939" s="445"/>
      <c r="AA2939" s="552"/>
    </row>
    <row r="2940" spans="1:27" x14ac:dyDescent="0.25">
      <c r="A2940" s="432"/>
      <c r="B2940" s="433"/>
      <c r="C2940" s="432"/>
      <c r="D2940" s="454"/>
      <c r="E2940" s="120">
        <v>15</v>
      </c>
      <c r="F2940" s="133" t="s">
        <v>6739</v>
      </c>
      <c r="G2940" s="435"/>
      <c r="H2940" s="438"/>
      <c r="I2940" s="438"/>
      <c r="J2940" s="438"/>
      <c r="K2940" s="437"/>
      <c r="L2940" s="187">
        <v>84888</v>
      </c>
      <c r="M2940" s="187"/>
      <c r="N2940" s="91">
        <f t="shared" si="542"/>
        <v>1273.32</v>
      </c>
      <c r="O2940" s="411">
        <f t="shared" si="538"/>
        <v>-1273.32</v>
      </c>
      <c r="P2940" s="132" t="s">
        <v>6740</v>
      </c>
      <c r="Q2940" s="232"/>
      <c r="R2940" s="411"/>
      <c r="T2940" s="439" t="s">
        <v>755</v>
      </c>
      <c r="U2940" s="266"/>
      <c r="V2940" s="133" t="s">
        <v>6741</v>
      </c>
      <c r="AA2940" s="552"/>
    </row>
    <row r="2941" spans="1:27" x14ac:dyDescent="0.25">
      <c r="A2941" s="432"/>
      <c r="B2941" s="433"/>
      <c r="C2941" s="432"/>
      <c r="D2941" s="454"/>
      <c r="E2941" s="120">
        <v>15</v>
      </c>
      <c r="F2941" s="133" t="s">
        <v>6742</v>
      </c>
      <c r="G2941" s="435"/>
      <c r="H2941" s="438"/>
      <c r="I2941" s="438"/>
      <c r="J2941" s="438"/>
      <c r="K2941" s="437"/>
      <c r="L2941" s="187">
        <v>134000</v>
      </c>
      <c r="M2941" s="187">
        <v>25.21</v>
      </c>
      <c r="N2941" s="91">
        <f t="shared" si="542"/>
        <v>2035.21</v>
      </c>
      <c r="O2941" s="411">
        <f t="shared" si="538"/>
        <v>-2035.21</v>
      </c>
      <c r="P2941" s="132" t="s">
        <v>6740</v>
      </c>
      <c r="Q2941" s="232"/>
      <c r="R2941" s="411"/>
      <c r="T2941" s="440"/>
      <c r="U2941" s="266"/>
      <c r="V2941" s="133" t="s">
        <v>6741</v>
      </c>
      <c r="AA2941" s="552"/>
    </row>
    <row r="2942" spans="1:27" x14ac:dyDescent="0.25">
      <c r="A2942" s="432"/>
      <c r="B2942" s="433"/>
      <c r="C2942" s="432"/>
      <c r="D2942" s="454"/>
      <c r="E2942" s="120">
        <v>24</v>
      </c>
      <c r="F2942" s="133" t="s">
        <v>6743</v>
      </c>
      <c r="G2942" s="435"/>
      <c r="H2942" s="438"/>
      <c r="I2942" s="438"/>
      <c r="J2942" s="438"/>
      <c r="K2942" s="437"/>
      <c r="L2942" s="187">
        <v>13125</v>
      </c>
      <c r="M2942" s="187">
        <v>18.190000000000001</v>
      </c>
      <c r="N2942" s="91">
        <f t="shared" si="542"/>
        <v>333.19</v>
      </c>
      <c r="O2942" s="411">
        <f t="shared" si="538"/>
        <v>-333.19</v>
      </c>
      <c r="P2942" s="132" t="s">
        <v>6740</v>
      </c>
      <c r="Q2942" s="232"/>
      <c r="R2942" s="411"/>
      <c r="T2942" s="440"/>
      <c r="U2942" s="266"/>
      <c r="V2942" s="133" t="s">
        <v>6741</v>
      </c>
      <c r="AA2942" s="552"/>
    </row>
    <row r="2943" spans="1:27" x14ac:dyDescent="0.25">
      <c r="A2943" s="420"/>
      <c r="B2943" s="422"/>
      <c r="C2943" s="420"/>
      <c r="D2943" s="418"/>
      <c r="E2943" s="120">
        <v>250</v>
      </c>
      <c r="F2943" s="133" t="s">
        <v>6744</v>
      </c>
      <c r="G2943" s="436"/>
      <c r="H2943" s="428"/>
      <c r="I2943" s="428"/>
      <c r="J2943" s="428"/>
      <c r="K2943" s="426"/>
      <c r="L2943" s="187">
        <v>2643</v>
      </c>
      <c r="M2943" s="187">
        <v>25.68</v>
      </c>
      <c r="N2943" s="91">
        <f t="shared" si="542"/>
        <v>686.43</v>
      </c>
      <c r="O2943" s="411">
        <f t="shared" si="538"/>
        <v>-686.43</v>
      </c>
      <c r="P2943" s="132" t="s">
        <v>6740</v>
      </c>
      <c r="Q2943" s="232"/>
      <c r="R2943" s="411"/>
      <c r="T2943" s="441"/>
      <c r="U2943" s="266"/>
      <c r="V2943" s="133" t="s">
        <v>6741</v>
      </c>
      <c r="AA2943" s="480"/>
    </row>
    <row r="2944" spans="1:27" x14ac:dyDescent="0.25">
      <c r="A2944" s="419">
        <v>3002265</v>
      </c>
      <c r="B2944" s="421">
        <v>42507</v>
      </c>
      <c r="C2944" s="419" t="s">
        <v>141</v>
      </c>
      <c r="D2944" s="417" t="s">
        <v>6745</v>
      </c>
      <c r="E2944" s="120">
        <v>250</v>
      </c>
      <c r="F2944" s="133" t="s">
        <v>51</v>
      </c>
      <c r="G2944" s="434" t="s">
        <v>45</v>
      </c>
      <c r="H2944" s="427">
        <v>1232.02</v>
      </c>
      <c r="I2944" s="427">
        <v>0</v>
      </c>
      <c r="J2944" s="425">
        <f>-((H2944*0.0325)+0.3)</f>
        <v>-40.340649999999997</v>
      </c>
      <c r="K2944" s="425">
        <f t="shared" ref="K2944" si="546">SUM(H2944:J2944)</f>
        <v>1191.6793499999999</v>
      </c>
      <c r="L2944" s="131">
        <v>1015</v>
      </c>
      <c r="M2944" s="187">
        <v>151.59</v>
      </c>
      <c r="N2944" s="91">
        <f t="shared" si="542"/>
        <v>405.34000000000003</v>
      </c>
      <c r="O2944" s="411">
        <f t="shared" si="538"/>
        <v>786.33934999999985</v>
      </c>
      <c r="P2944" s="132" t="s">
        <v>52</v>
      </c>
      <c r="Q2944" s="232"/>
      <c r="R2944" s="411"/>
      <c r="T2944" s="134" t="s">
        <v>1743</v>
      </c>
      <c r="U2944" s="267" t="s">
        <v>6746</v>
      </c>
      <c r="V2944" s="133" t="s">
        <v>55</v>
      </c>
      <c r="W2944" s="153" t="s">
        <v>6747</v>
      </c>
      <c r="AA2944" s="473">
        <v>25</v>
      </c>
    </row>
    <row r="2945" spans="1:27" x14ac:dyDescent="0.25">
      <c r="A2945" s="432"/>
      <c r="B2945" s="433"/>
      <c r="C2945" s="432"/>
      <c r="D2945" s="454"/>
      <c r="E2945" s="120">
        <v>450</v>
      </c>
      <c r="F2945" s="133" t="s">
        <v>6748</v>
      </c>
      <c r="G2945" s="435"/>
      <c r="H2945" s="438"/>
      <c r="I2945" s="438"/>
      <c r="J2945" s="437"/>
      <c r="K2945" s="437"/>
      <c r="L2945" s="187">
        <v>650</v>
      </c>
      <c r="M2945" s="187">
        <v>105</v>
      </c>
      <c r="N2945" s="91">
        <f t="shared" si="542"/>
        <v>397.5</v>
      </c>
      <c r="O2945" s="411">
        <f t="shared" si="538"/>
        <v>-397.5</v>
      </c>
      <c r="P2945" s="132" t="s">
        <v>183</v>
      </c>
      <c r="Q2945" s="232"/>
      <c r="R2945" s="411"/>
      <c r="T2945" s="134" t="s">
        <v>565</v>
      </c>
      <c r="U2945" s="267" t="s">
        <v>6749</v>
      </c>
      <c r="V2945" s="133" t="s">
        <v>6750</v>
      </c>
      <c r="AA2945" s="478"/>
    </row>
    <row r="2946" spans="1:27" x14ac:dyDescent="0.25">
      <c r="A2946" s="420"/>
      <c r="B2946" s="422"/>
      <c r="C2946" s="420"/>
      <c r="D2946" s="418"/>
      <c r="E2946" s="120">
        <v>310</v>
      </c>
      <c r="F2946" s="133" t="s">
        <v>877</v>
      </c>
      <c r="G2946" s="436"/>
      <c r="H2946" s="428"/>
      <c r="I2946" s="428"/>
      <c r="J2946" s="426"/>
      <c r="K2946" s="426"/>
      <c r="L2946" s="131">
        <v>235</v>
      </c>
      <c r="N2946" s="91">
        <f t="shared" si="542"/>
        <v>72.849999999999994</v>
      </c>
      <c r="O2946" s="411">
        <f t="shared" si="538"/>
        <v>-72.849999999999994</v>
      </c>
      <c r="P2946" s="132" t="s">
        <v>52</v>
      </c>
      <c r="Q2946" s="232"/>
      <c r="R2946" s="411"/>
      <c r="T2946" s="134" t="s">
        <v>1743</v>
      </c>
      <c r="U2946" s="267" t="s">
        <v>6746</v>
      </c>
      <c r="AA2946" s="474"/>
    </row>
    <row r="2947" spans="1:27" x14ac:dyDescent="0.25">
      <c r="A2947" s="405">
        <v>3002266</v>
      </c>
      <c r="B2947" s="406">
        <v>42507</v>
      </c>
      <c r="C2947" s="405" t="s">
        <v>280</v>
      </c>
      <c r="D2947" s="401" t="s">
        <v>6751</v>
      </c>
      <c r="E2947" s="120">
        <v>265</v>
      </c>
      <c r="F2947" s="133" t="s">
        <v>51</v>
      </c>
      <c r="G2947" s="404" t="s">
        <v>45</v>
      </c>
      <c r="H2947" s="411">
        <v>551.20000000000005</v>
      </c>
      <c r="I2947" s="411">
        <v>0</v>
      </c>
      <c r="J2947" s="391">
        <f>-((H2947*0.022)+0.3)</f>
        <v>-12.426400000000001</v>
      </c>
      <c r="K2947" s="90">
        <f t="shared" ref="K2947:K2948" si="547">SUM(H2947:J2947)</f>
        <v>538.77359999999999</v>
      </c>
      <c r="L2947" s="131">
        <v>1015</v>
      </c>
      <c r="M2947" s="187">
        <v>158.85</v>
      </c>
      <c r="N2947" s="91">
        <f t="shared" si="542"/>
        <v>427.82500000000005</v>
      </c>
      <c r="O2947" s="411">
        <f t="shared" si="538"/>
        <v>110.94859999999994</v>
      </c>
      <c r="P2947" s="132" t="s">
        <v>52</v>
      </c>
      <c r="Q2947" s="232"/>
      <c r="R2947" s="411"/>
      <c r="T2947" s="134" t="s">
        <v>97</v>
      </c>
      <c r="U2947" s="267" t="s">
        <v>6752</v>
      </c>
      <c r="V2947" s="133" t="s">
        <v>55</v>
      </c>
      <c r="W2947" s="153" t="s">
        <v>6753</v>
      </c>
      <c r="AA2947" s="218">
        <v>10</v>
      </c>
    </row>
    <row r="2948" spans="1:27" x14ac:dyDescent="0.25">
      <c r="A2948" s="419">
        <v>3002267</v>
      </c>
      <c r="B2948" s="421">
        <v>42507</v>
      </c>
      <c r="C2948" s="419" t="s">
        <v>63</v>
      </c>
      <c r="D2948" s="417" t="s">
        <v>4542</v>
      </c>
      <c r="E2948" s="120">
        <v>500</v>
      </c>
      <c r="F2948" s="133" t="s">
        <v>6335</v>
      </c>
      <c r="G2948" s="434" t="s">
        <v>45</v>
      </c>
      <c r="H2948" s="427">
        <v>394</v>
      </c>
      <c r="I2948" s="427">
        <v>0</v>
      </c>
      <c r="J2948" s="425">
        <f>-((H2948*0.022)+0.3)</f>
        <v>-8.968</v>
      </c>
      <c r="K2948" s="425">
        <f t="shared" si="547"/>
        <v>385.03199999999998</v>
      </c>
      <c r="L2948" s="187">
        <v>235</v>
      </c>
      <c r="M2948" s="187">
        <v>9.11</v>
      </c>
      <c r="N2948" s="91">
        <f t="shared" si="542"/>
        <v>126.61</v>
      </c>
      <c r="O2948" s="411">
        <f t="shared" si="538"/>
        <v>258.42199999999997</v>
      </c>
      <c r="P2948" s="132" t="s">
        <v>235</v>
      </c>
      <c r="Q2948" s="232"/>
      <c r="R2948" s="411"/>
      <c r="T2948" s="439" t="s">
        <v>145</v>
      </c>
      <c r="U2948" s="267" t="s">
        <v>6754</v>
      </c>
      <c r="W2948" s="153" t="s">
        <v>6755</v>
      </c>
      <c r="AA2948" s="218"/>
    </row>
    <row r="2949" spans="1:27" x14ac:dyDescent="0.25">
      <c r="A2949" s="420"/>
      <c r="B2949" s="422"/>
      <c r="C2949" s="420"/>
      <c r="D2949" s="418"/>
      <c r="E2949" s="120">
        <v>150</v>
      </c>
      <c r="F2949" s="133" t="s">
        <v>6756</v>
      </c>
      <c r="G2949" s="436"/>
      <c r="H2949" s="428"/>
      <c r="I2949" s="428"/>
      <c r="J2949" s="426"/>
      <c r="K2949" s="426"/>
      <c r="L2949" s="187">
        <v>200</v>
      </c>
      <c r="M2949" s="187">
        <v>18</v>
      </c>
      <c r="N2949" s="91">
        <f t="shared" si="542"/>
        <v>48</v>
      </c>
      <c r="O2949" s="411">
        <f t="shared" si="538"/>
        <v>-48</v>
      </c>
      <c r="P2949" s="132" t="s">
        <v>235</v>
      </c>
      <c r="Q2949" s="232"/>
      <c r="R2949" s="411"/>
      <c r="T2949" s="441"/>
      <c r="U2949" s="267" t="s">
        <v>6757</v>
      </c>
      <c r="AA2949" s="218"/>
    </row>
    <row r="2950" spans="1:27" ht="24" x14ac:dyDescent="0.25">
      <c r="A2950" s="405">
        <v>3002268</v>
      </c>
      <c r="B2950" s="406">
        <v>42507</v>
      </c>
      <c r="C2950" s="405" t="s">
        <v>5682</v>
      </c>
      <c r="D2950" s="401" t="s">
        <v>6758</v>
      </c>
      <c r="E2950" s="120">
        <v>150</v>
      </c>
      <c r="F2950" s="133" t="s">
        <v>4063</v>
      </c>
      <c r="G2950" s="404" t="s">
        <v>45</v>
      </c>
      <c r="H2950" s="411">
        <v>370.5</v>
      </c>
      <c r="I2950" s="94">
        <f t="shared" ref="I2950:I2955" si="548">-(H2950*0.09)</f>
        <v>-33.344999999999999</v>
      </c>
      <c r="J2950" s="391">
        <f t="shared" ref="J2950:J2955" si="549">-((H2950*0.019)+0.3)</f>
        <v>-7.3394999999999992</v>
      </c>
      <c r="K2950" s="90">
        <f t="shared" ref="K2950:K2973" si="550">SUM(H2950:J2950)</f>
        <v>329.81549999999999</v>
      </c>
      <c r="L2950" s="131">
        <v>1237</v>
      </c>
      <c r="M2950" s="187">
        <v>57.02</v>
      </c>
      <c r="N2950" s="91">
        <f t="shared" si="542"/>
        <v>242.57</v>
      </c>
      <c r="O2950" s="411">
        <f t="shared" si="538"/>
        <v>87.245499999999993</v>
      </c>
      <c r="P2950" s="132" t="s">
        <v>52</v>
      </c>
      <c r="Q2950" s="232"/>
      <c r="R2950" s="411"/>
      <c r="T2950" s="134" t="s">
        <v>145</v>
      </c>
      <c r="U2950" s="267" t="s">
        <v>6759</v>
      </c>
      <c r="AA2950" s="218"/>
    </row>
    <row r="2951" spans="1:27" ht="24" x14ac:dyDescent="0.25">
      <c r="A2951" s="405">
        <v>3002269</v>
      </c>
      <c r="B2951" s="406">
        <v>42507</v>
      </c>
      <c r="C2951" s="405" t="s">
        <v>5682</v>
      </c>
      <c r="D2951" s="401" t="s">
        <v>6760</v>
      </c>
      <c r="E2951" s="120">
        <v>500</v>
      </c>
      <c r="F2951" s="133" t="s">
        <v>175</v>
      </c>
      <c r="G2951" s="404" t="s">
        <v>45</v>
      </c>
      <c r="H2951" s="411">
        <v>266.39</v>
      </c>
      <c r="I2951" s="94">
        <f t="shared" si="548"/>
        <v>-23.975099999999998</v>
      </c>
      <c r="J2951" s="391">
        <f t="shared" si="549"/>
        <v>-5.3614099999999993</v>
      </c>
      <c r="K2951" s="90">
        <f t="shared" si="550"/>
        <v>237.05348999999998</v>
      </c>
      <c r="L2951" s="131">
        <v>250</v>
      </c>
      <c r="M2951" s="187">
        <v>48.49</v>
      </c>
      <c r="N2951" s="91">
        <f t="shared" si="542"/>
        <v>173.49</v>
      </c>
      <c r="O2951" s="411">
        <f t="shared" si="538"/>
        <v>63.563489999999973</v>
      </c>
      <c r="P2951" s="132" t="s">
        <v>52</v>
      </c>
      <c r="Q2951" s="232"/>
      <c r="R2951" s="411"/>
      <c r="T2951" s="134" t="s">
        <v>145</v>
      </c>
      <c r="U2951" s="267" t="s">
        <v>6761</v>
      </c>
      <c r="AA2951" s="218"/>
    </row>
    <row r="2952" spans="1:27" ht="24" x14ac:dyDescent="0.25">
      <c r="A2952" s="405">
        <v>3002270</v>
      </c>
      <c r="B2952" s="406">
        <v>42507</v>
      </c>
      <c r="C2952" s="405" t="s">
        <v>5682</v>
      </c>
      <c r="D2952" s="401" t="s">
        <v>6762</v>
      </c>
      <c r="E2952" s="120">
        <v>250</v>
      </c>
      <c r="F2952" s="133" t="s">
        <v>983</v>
      </c>
      <c r="G2952" s="404" t="s">
        <v>45</v>
      </c>
      <c r="H2952" s="411">
        <v>163.55000000000001</v>
      </c>
      <c r="I2952" s="94">
        <f t="shared" si="548"/>
        <v>-14.7195</v>
      </c>
      <c r="J2952" s="391">
        <f t="shared" si="549"/>
        <v>-3.4074499999999999</v>
      </c>
      <c r="K2952" s="90">
        <f t="shared" si="550"/>
        <v>145.42304999999999</v>
      </c>
      <c r="L2952" s="131">
        <v>300</v>
      </c>
      <c r="M2952" s="187">
        <v>17.670000000000002</v>
      </c>
      <c r="N2952" s="91">
        <f t="shared" si="542"/>
        <v>92.67</v>
      </c>
      <c r="O2952" s="411">
        <f t="shared" si="538"/>
        <v>52.753049999999988</v>
      </c>
      <c r="P2952" s="132" t="s">
        <v>52</v>
      </c>
      <c r="Q2952" s="232"/>
      <c r="R2952" s="411"/>
      <c r="T2952" s="134" t="s">
        <v>145</v>
      </c>
      <c r="U2952" s="267" t="s">
        <v>6763</v>
      </c>
      <c r="AA2952" s="218"/>
    </row>
    <row r="2953" spans="1:27" ht="24" x14ac:dyDescent="0.25">
      <c r="A2953" s="405">
        <v>3002271</v>
      </c>
      <c r="B2953" s="406">
        <v>42507</v>
      </c>
      <c r="C2953" s="405" t="s">
        <v>5682</v>
      </c>
      <c r="D2953" s="401" t="s">
        <v>6764</v>
      </c>
      <c r="E2953" s="120">
        <v>50</v>
      </c>
      <c r="F2953" s="133" t="s">
        <v>288</v>
      </c>
      <c r="G2953" s="404" t="s">
        <v>45</v>
      </c>
      <c r="H2953" s="411">
        <v>102.41</v>
      </c>
      <c r="I2953" s="94">
        <f t="shared" si="548"/>
        <v>-9.216899999999999</v>
      </c>
      <c r="J2953" s="391">
        <f t="shared" si="549"/>
        <v>-2.24579</v>
      </c>
      <c r="K2953" s="90">
        <f t="shared" si="550"/>
        <v>90.947310000000002</v>
      </c>
      <c r="L2953" s="131">
        <v>950</v>
      </c>
      <c r="M2953" s="187">
        <v>37.9</v>
      </c>
      <c r="N2953" s="91">
        <f t="shared" si="542"/>
        <v>85.4</v>
      </c>
      <c r="O2953" s="411">
        <f t="shared" si="538"/>
        <v>5.547309999999996</v>
      </c>
      <c r="P2953" s="132" t="s">
        <v>52</v>
      </c>
      <c r="Q2953" s="232"/>
      <c r="R2953" s="411"/>
      <c r="T2953" s="134" t="s">
        <v>145</v>
      </c>
      <c r="U2953" s="267" t="s">
        <v>6765</v>
      </c>
      <c r="AA2953" s="218"/>
    </row>
    <row r="2954" spans="1:27" ht="24" x14ac:dyDescent="0.25">
      <c r="A2954" s="405">
        <v>3002272</v>
      </c>
      <c r="B2954" s="406">
        <v>42507</v>
      </c>
      <c r="C2954" s="405" t="s">
        <v>5682</v>
      </c>
      <c r="D2954" s="401" t="s">
        <v>6766</v>
      </c>
      <c r="E2954" s="120">
        <v>200</v>
      </c>
      <c r="F2954" s="133" t="s">
        <v>422</v>
      </c>
      <c r="G2954" s="404" t="s">
        <v>45</v>
      </c>
      <c r="H2954" s="411">
        <v>383.1</v>
      </c>
      <c r="I2954" s="94">
        <f t="shared" si="548"/>
        <v>-34.478999999999999</v>
      </c>
      <c r="J2954" s="391">
        <f t="shared" si="549"/>
        <v>-7.5789</v>
      </c>
      <c r="K2954" s="90">
        <f t="shared" si="550"/>
        <v>341.04210000000006</v>
      </c>
      <c r="L2954" s="131">
        <v>690</v>
      </c>
      <c r="M2954" s="187">
        <v>50.74</v>
      </c>
      <c r="N2954" s="91">
        <f t="shared" si="542"/>
        <v>188.74</v>
      </c>
      <c r="O2954" s="411">
        <f t="shared" si="538"/>
        <v>152.30210000000005</v>
      </c>
      <c r="P2954" s="132" t="s">
        <v>52</v>
      </c>
      <c r="Q2954" s="232"/>
      <c r="R2954" s="411"/>
      <c r="T2954" s="134" t="s">
        <v>145</v>
      </c>
      <c r="U2954" s="267" t="s">
        <v>6767</v>
      </c>
      <c r="AA2954" s="218"/>
    </row>
    <row r="2955" spans="1:27" ht="24" x14ac:dyDescent="0.25">
      <c r="A2955" s="405">
        <v>3002273</v>
      </c>
      <c r="B2955" s="406">
        <v>42507</v>
      </c>
      <c r="C2955" s="405" t="s">
        <v>5682</v>
      </c>
      <c r="D2955" s="401" t="s">
        <v>6768</v>
      </c>
      <c r="E2955" s="120">
        <v>600</v>
      </c>
      <c r="F2955" s="133" t="s">
        <v>6769</v>
      </c>
      <c r="G2955" s="404" t="s">
        <v>45</v>
      </c>
      <c r="H2955" s="411">
        <v>487.08</v>
      </c>
      <c r="I2955" s="94">
        <f t="shared" si="548"/>
        <v>-43.837199999999996</v>
      </c>
      <c r="J2955" s="391">
        <f t="shared" si="549"/>
        <v>-9.5545200000000001</v>
      </c>
      <c r="K2955" s="90">
        <f t="shared" si="550"/>
        <v>433.68827999999996</v>
      </c>
      <c r="L2955" s="131">
        <v>445</v>
      </c>
      <c r="M2955" s="187">
        <f>103.44</f>
        <v>103.44</v>
      </c>
      <c r="N2955" s="91">
        <f t="shared" si="542"/>
        <v>370.44</v>
      </c>
      <c r="O2955" s="411">
        <f t="shared" si="538"/>
        <v>63.248279999999966</v>
      </c>
      <c r="P2955" s="132" t="s">
        <v>52</v>
      </c>
      <c r="Q2955" s="232"/>
      <c r="R2955" s="411"/>
      <c r="T2955" s="134" t="s">
        <v>145</v>
      </c>
      <c r="U2955" s="266" t="s">
        <v>6770</v>
      </c>
      <c r="AA2955" s="218"/>
    </row>
    <row r="2956" spans="1:27" x14ac:dyDescent="0.25">
      <c r="A2956" s="405">
        <v>3002274</v>
      </c>
      <c r="B2956" s="406">
        <v>42507</v>
      </c>
      <c r="C2956" s="405" t="s">
        <v>56</v>
      </c>
      <c r="D2956" s="401" t="s">
        <v>4020</v>
      </c>
      <c r="E2956" s="120">
        <v>6000</v>
      </c>
      <c r="F2956" s="133" t="s">
        <v>6771</v>
      </c>
      <c r="G2956" s="404" t="s">
        <v>45</v>
      </c>
      <c r="H2956" s="411">
        <v>33000</v>
      </c>
      <c r="I2956" s="411">
        <v>0</v>
      </c>
      <c r="J2956" s="411">
        <v>0</v>
      </c>
      <c r="K2956" s="90">
        <f t="shared" si="550"/>
        <v>33000</v>
      </c>
      <c r="L2956" s="187">
        <v>4357</v>
      </c>
      <c r="M2956" s="158">
        <v>0</v>
      </c>
      <c r="N2956" s="91">
        <f t="shared" si="542"/>
        <v>26142</v>
      </c>
      <c r="O2956" s="411">
        <f t="shared" ref="O2956:O3019" si="551">K2956-N2956</f>
        <v>6858</v>
      </c>
      <c r="P2956" s="132" t="s">
        <v>59</v>
      </c>
      <c r="Q2956" s="232"/>
      <c r="R2956" s="411"/>
      <c r="T2956" s="134" t="s">
        <v>1743</v>
      </c>
      <c r="U2956" s="266">
        <v>738957774</v>
      </c>
      <c r="V2956" s="133" t="s">
        <v>6772</v>
      </c>
      <c r="W2956" s="153" t="s">
        <v>6177</v>
      </c>
      <c r="AA2956" s="218"/>
    </row>
    <row r="2957" spans="1:27" x14ac:dyDescent="0.25">
      <c r="A2957" s="405">
        <v>3002275</v>
      </c>
      <c r="B2957" s="406">
        <v>42507</v>
      </c>
      <c r="C2957" s="405" t="s">
        <v>56</v>
      </c>
      <c r="D2957" s="401" t="s">
        <v>6773</v>
      </c>
      <c r="E2957" s="120">
        <v>1200</v>
      </c>
      <c r="F2957" s="133" t="s">
        <v>6774</v>
      </c>
      <c r="G2957" s="404" t="s">
        <v>45</v>
      </c>
      <c r="H2957" s="411">
        <v>5260</v>
      </c>
      <c r="I2957" s="411">
        <v>0</v>
      </c>
      <c r="J2957" s="411">
        <v>0</v>
      </c>
      <c r="K2957" s="90">
        <f t="shared" si="550"/>
        <v>5260</v>
      </c>
      <c r="L2957" s="187">
        <v>3000</v>
      </c>
      <c r="M2957" s="224">
        <v>276.89</v>
      </c>
      <c r="N2957" s="91">
        <f t="shared" si="542"/>
        <v>3876.89</v>
      </c>
      <c r="O2957" s="411">
        <f t="shared" si="551"/>
        <v>1383.1100000000001</v>
      </c>
      <c r="P2957" s="132" t="s">
        <v>2895</v>
      </c>
      <c r="Q2957" s="232"/>
      <c r="R2957" s="411"/>
      <c r="T2957" s="134" t="s">
        <v>97</v>
      </c>
      <c r="U2957" s="267" t="s">
        <v>6775</v>
      </c>
      <c r="V2957" s="133" t="s">
        <v>5179</v>
      </c>
      <c r="W2957" s="153" t="s">
        <v>6776</v>
      </c>
      <c r="AA2957" s="218"/>
    </row>
    <row r="2958" spans="1:27" ht="24" x14ac:dyDescent="0.25">
      <c r="A2958" s="405">
        <v>3002276</v>
      </c>
      <c r="B2958" s="406">
        <v>42508</v>
      </c>
      <c r="C2958" s="405" t="s">
        <v>5682</v>
      </c>
      <c r="D2958" s="401" t="s">
        <v>6777</v>
      </c>
      <c r="E2958" s="120">
        <v>500</v>
      </c>
      <c r="F2958" s="133" t="s">
        <v>6778</v>
      </c>
      <c r="G2958" s="404" t="s">
        <v>45</v>
      </c>
      <c r="H2958" s="411">
        <v>180.57</v>
      </c>
      <c r="I2958" s="94">
        <f t="shared" ref="I2958:I2968" si="552">-(H2958*0.09)</f>
        <v>-16.251300000000001</v>
      </c>
      <c r="J2958" s="391">
        <f t="shared" ref="J2958:J2968" si="553">-((H2958*0.019)+0.3)</f>
        <v>-3.7308299999999996</v>
      </c>
      <c r="K2958" s="90">
        <f t="shared" si="550"/>
        <v>160.58786999999998</v>
      </c>
      <c r="L2958" s="187">
        <v>225</v>
      </c>
      <c r="M2958" s="187">
        <v>29.48</v>
      </c>
      <c r="N2958" s="91">
        <f t="shared" si="542"/>
        <v>141.97999999999999</v>
      </c>
      <c r="O2958" s="411">
        <f t="shared" si="551"/>
        <v>18.607869999999991</v>
      </c>
      <c r="P2958" s="132" t="s">
        <v>183</v>
      </c>
      <c r="Q2958" s="232"/>
      <c r="R2958" s="411"/>
      <c r="T2958" s="134" t="s">
        <v>145</v>
      </c>
      <c r="U2958" s="267" t="s">
        <v>6779</v>
      </c>
      <c r="AA2958" s="218"/>
    </row>
    <row r="2959" spans="1:27" ht="24" x14ac:dyDescent="0.25">
      <c r="A2959" s="405">
        <v>3002277</v>
      </c>
      <c r="B2959" s="406">
        <v>42508</v>
      </c>
      <c r="C2959" s="405" t="s">
        <v>5682</v>
      </c>
      <c r="D2959" s="401" t="s">
        <v>6780</v>
      </c>
      <c r="E2959" s="120">
        <v>1000</v>
      </c>
      <c r="F2959" s="119" t="s">
        <v>6781</v>
      </c>
      <c r="G2959" s="404" t="s">
        <v>45</v>
      </c>
      <c r="H2959" s="411">
        <v>351.83</v>
      </c>
      <c r="I2959" s="94">
        <f t="shared" si="552"/>
        <v>-31.664699999999996</v>
      </c>
      <c r="J2959" s="391">
        <f t="shared" si="553"/>
        <v>-6.9847699999999993</v>
      </c>
      <c r="K2959" s="90">
        <f t="shared" si="550"/>
        <v>313.18052999999998</v>
      </c>
      <c r="L2959" s="187">
        <v>217</v>
      </c>
      <c r="M2959" s="187">
        <v>20.46</v>
      </c>
      <c r="N2959" s="91">
        <f t="shared" si="542"/>
        <v>237.46</v>
      </c>
      <c r="O2959" s="411">
        <f t="shared" si="551"/>
        <v>75.720529999999968</v>
      </c>
      <c r="P2959" s="132" t="s">
        <v>183</v>
      </c>
      <c r="Q2959" s="232"/>
      <c r="R2959" s="411"/>
      <c r="T2959" s="134" t="s">
        <v>145</v>
      </c>
      <c r="U2959" s="267" t="s">
        <v>6782</v>
      </c>
      <c r="AA2959" s="218"/>
    </row>
    <row r="2960" spans="1:27" ht="24" x14ac:dyDescent="0.25">
      <c r="A2960" s="405">
        <v>3002278</v>
      </c>
      <c r="B2960" s="406">
        <v>42508</v>
      </c>
      <c r="C2960" s="405" t="s">
        <v>5682</v>
      </c>
      <c r="D2960" s="401" t="s">
        <v>6783</v>
      </c>
      <c r="E2960" s="120">
        <v>50</v>
      </c>
      <c r="F2960" s="133" t="s">
        <v>6784</v>
      </c>
      <c r="G2960" s="404" t="s">
        <v>45</v>
      </c>
      <c r="H2960" s="411">
        <v>190</v>
      </c>
      <c r="I2960" s="94">
        <f t="shared" si="552"/>
        <v>-17.099999999999998</v>
      </c>
      <c r="J2960" s="391">
        <f t="shared" si="553"/>
        <v>-3.9099999999999997</v>
      </c>
      <c r="K2960" s="90">
        <f t="shared" si="550"/>
        <v>168.99</v>
      </c>
      <c r="M2960" s="187">
        <v>19.55</v>
      </c>
      <c r="N2960" s="91">
        <f t="shared" si="542"/>
        <v>19.55</v>
      </c>
      <c r="O2960" s="411">
        <f t="shared" si="551"/>
        <v>149.44</v>
      </c>
      <c r="P2960" s="132" t="s">
        <v>52</v>
      </c>
      <c r="Q2960" s="232"/>
      <c r="R2960" s="411"/>
      <c r="T2960" s="134" t="s">
        <v>145</v>
      </c>
      <c r="U2960" s="267" t="s">
        <v>6785</v>
      </c>
      <c r="AA2960" s="218"/>
    </row>
    <row r="2961" spans="1:27" ht="24" x14ac:dyDescent="0.25">
      <c r="A2961" s="405">
        <v>3002279</v>
      </c>
      <c r="B2961" s="406">
        <v>42508</v>
      </c>
      <c r="C2961" s="405" t="s">
        <v>5682</v>
      </c>
      <c r="D2961" s="401" t="s">
        <v>6786</v>
      </c>
      <c r="E2961" s="120">
        <v>175</v>
      </c>
      <c r="F2961" s="133" t="s">
        <v>1547</v>
      </c>
      <c r="G2961" s="404" t="s">
        <v>45</v>
      </c>
      <c r="H2961" s="411">
        <v>166.25</v>
      </c>
      <c r="I2961" s="94">
        <f t="shared" si="552"/>
        <v>-14.962499999999999</v>
      </c>
      <c r="J2961" s="391">
        <f t="shared" si="553"/>
        <v>-3.4587499999999998</v>
      </c>
      <c r="K2961" s="90">
        <f t="shared" si="550"/>
        <v>147.82874999999999</v>
      </c>
      <c r="L2961" s="131">
        <v>385</v>
      </c>
      <c r="M2961" s="187">
        <v>38.270000000000003</v>
      </c>
      <c r="N2961" s="91">
        <f t="shared" si="542"/>
        <v>105.64500000000001</v>
      </c>
      <c r="O2961" s="411">
        <f t="shared" si="551"/>
        <v>42.183749999999975</v>
      </c>
      <c r="P2961" s="132" t="s">
        <v>52</v>
      </c>
      <c r="Q2961" s="232"/>
      <c r="R2961" s="411"/>
      <c r="T2961" s="134" t="s">
        <v>145</v>
      </c>
      <c r="U2961" s="267" t="s">
        <v>6787</v>
      </c>
      <c r="AA2961" s="218"/>
    </row>
    <row r="2962" spans="1:27" ht="24" x14ac:dyDescent="0.25">
      <c r="A2962" s="405">
        <v>3002280</v>
      </c>
      <c r="B2962" s="406">
        <v>42508</v>
      </c>
      <c r="C2962" s="405" t="s">
        <v>5682</v>
      </c>
      <c r="D2962" s="401" t="s">
        <v>6788</v>
      </c>
      <c r="E2962" s="120">
        <v>100</v>
      </c>
      <c r="F2962" s="133" t="s">
        <v>829</v>
      </c>
      <c r="G2962" s="404" t="s">
        <v>45</v>
      </c>
      <c r="H2962" s="411">
        <v>114</v>
      </c>
      <c r="I2962" s="94">
        <f t="shared" si="552"/>
        <v>-10.26</v>
      </c>
      <c r="J2962" s="391">
        <f t="shared" si="553"/>
        <v>-2.4659999999999997</v>
      </c>
      <c r="K2962" s="90">
        <f t="shared" si="550"/>
        <v>101.274</v>
      </c>
      <c r="L2962" s="131">
        <v>510</v>
      </c>
      <c r="M2962" s="187">
        <v>37.82</v>
      </c>
      <c r="N2962" s="91">
        <f t="shared" si="542"/>
        <v>88.82</v>
      </c>
      <c r="O2962" s="411">
        <f t="shared" si="551"/>
        <v>12.454000000000008</v>
      </c>
      <c r="P2962" s="132" t="s">
        <v>52</v>
      </c>
      <c r="Q2962" s="232"/>
      <c r="R2962" s="411"/>
      <c r="T2962" s="134" t="s">
        <v>145</v>
      </c>
      <c r="U2962" s="267" t="s">
        <v>6789</v>
      </c>
      <c r="AA2962" s="218"/>
    </row>
    <row r="2963" spans="1:27" ht="24" x14ac:dyDescent="0.25">
      <c r="A2963" s="405">
        <v>3002281</v>
      </c>
      <c r="B2963" s="406">
        <v>42508</v>
      </c>
      <c r="C2963" s="405" t="s">
        <v>5682</v>
      </c>
      <c r="D2963" s="401" t="s">
        <v>6790</v>
      </c>
      <c r="E2963" s="120">
        <v>200</v>
      </c>
      <c r="F2963" s="133" t="s">
        <v>161</v>
      </c>
      <c r="G2963" s="404" t="s">
        <v>45</v>
      </c>
      <c r="H2963" s="411">
        <v>427.02</v>
      </c>
      <c r="I2963" s="94">
        <f t="shared" si="552"/>
        <v>-38.431799999999996</v>
      </c>
      <c r="J2963" s="391">
        <f t="shared" si="553"/>
        <v>-8.4133800000000001</v>
      </c>
      <c r="K2963" s="90">
        <f t="shared" si="550"/>
        <v>380.17481999999995</v>
      </c>
      <c r="L2963" s="131">
        <v>1322</v>
      </c>
      <c r="M2963" s="187">
        <v>64.47</v>
      </c>
      <c r="N2963" s="91">
        <f t="shared" si="542"/>
        <v>328.87</v>
      </c>
      <c r="O2963" s="411">
        <f t="shared" si="551"/>
        <v>51.30481999999995</v>
      </c>
      <c r="P2963" s="132" t="s">
        <v>52</v>
      </c>
      <c r="Q2963" s="232"/>
      <c r="R2963" s="411"/>
      <c r="T2963" s="134" t="s">
        <v>145</v>
      </c>
      <c r="U2963" s="267" t="s">
        <v>6791</v>
      </c>
      <c r="AA2963" s="218"/>
    </row>
    <row r="2964" spans="1:27" ht="24" x14ac:dyDescent="0.25">
      <c r="A2964" s="405">
        <v>3002282</v>
      </c>
      <c r="B2964" s="406">
        <v>42508</v>
      </c>
      <c r="C2964" s="405" t="s">
        <v>5682</v>
      </c>
      <c r="D2964" s="401" t="s">
        <v>6792</v>
      </c>
      <c r="E2964" s="120">
        <v>125</v>
      </c>
      <c r="F2964" s="133" t="s">
        <v>6793</v>
      </c>
      <c r="G2964" s="404" t="s">
        <v>45</v>
      </c>
      <c r="H2964" s="411">
        <v>190</v>
      </c>
      <c r="I2964" s="94">
        <f t="shared" si="552"/>
        <v>-17.099999999999998</v>
      </c>
      <c r="J2964" s="391">
        <f t="shared" si="553"/>
        <v>-3.9099999999999997</v>
      </c>
      <c r="K2964" s="90">
        <f t="shared" si="550"/>
        <v>168.99</v>
      </c>
      <c r="M2964" s="187">
        <v>19.53</v>
      </c>
      <c r="N2964" s="91">
        <f t="shared" si="542"/>
        <v>19.53</v>
      </c>
      <c r="O2964" s="411">
        <f t="shared" si="551"/>
        <v>149.46</v>
      </c>
      <c r="P2964" s="132" t="s">
        <v>86</v>
      </c>
      <c r="Q2964" s="232"/>
      <c r="R2964" s="411"/>
      <c r="T2964" s="134" t="s">
        <v>145</v>
      </c>
      <c r="U2964" s="267" t="s">
        <v>6794</v>
      </c>
      <c r="AA2964" s="218"/>
    </row>
    <row r="2965" spans="1:27" ht="24" x14ac:dyDescent="0.25">
      <c r="A2965" s="405">
        <v>3002283</v>
      </c>
      <c r="B2965" s="406">
        <v>42508</v>
      </c>
      <c r="C2965" s="405" t="s">
        <v>5682</v>
      </c>
      <c r="D2965" s="401" t="s">
        <v>221</v>
      </c>
      <c r="E2965" s="120">
        <v>75</v>
      </c>
      <c r="F2965" s="133" t="s">
        <v>1273</v>
      </c>
      <c r="G2965" s="404" t="s">
        <v>45</v>
      </c>
      <c r="H2965" s="411">
        <v>152</v>
      </c>
      <c r="I2965" s="94">
        <f t="shared" si="552"/>
        <v>-13.68</v>
      </c>
      <c r="J2965" s="391">
        <f t="shared" si="553"/>
        <v>-3.1879999999999997</v>
      </c>
      <c r="K2965" s="90">
        <f t="shared" si="550"/>
        <v>135.13200000000001</v>
      </c>
      <c r="L2965" s="187">
        <v>871</v>
      </c>
      <c r="M2965" s="187">
        <v>18.38</v>
      </c>
      <c r="N2965" s="91">
        <f t="shared" si="542"/>
        <v>83.704999999999998</v>
      </c>
      <c r="O2965" s="411">
        <f t="shared" si="551"/>
        <v>51.427000000000007</v>
      </c>
      <c r="P2965" s="132" t="s">
        <v>183</v>
      </c>
      <c r="Q2965" s="232"/>
      <c r="R2965" s="411"/>
      <c r="T2965" s="134" t="s">
        <v>145</v>
      </c>
      <c r="U2965" s="267" t="s">
        <v>6795</v>
      </c>
      <c r="AA2965" s="218"/>
    </row>
    <row r="2966" spans="1:27" ht="24" x14ac:dyDescent="0.25">
      <c r="A2966" s="405">
        <v>3002284</v>
      </c>
      <c r="B2966" s="406">
        <v>42508</v>
      </c>
      <c r="C2966" s="405" t="s">
        <v>5682</v>
      </c>
      <c r="D2966" s="401" t="s">
        <v>6796</v>
      </c>
      <c r="E2966" s="120">
        <v>100</v>
      </c>
      <c r="F2966" s="133" t="s">
        <v>939</v>
      </c>
      <c r="G2966" s="404" t="s">
        <v>45</v>
      </c>
      <c r="H2966" s="411">
        <v>128.57</v>
      </c>
      <c r="I2966" s="94">
        <f t="shared" si="552"/>
        <v>-11.571299999999999</v>
      </c>
      <c r="J2966" s="391">
        <f t="shared" si="553"/>
        <v>-2.7428299999999997</v>
      </c>
      <c r="K2966" s="90">
        <f t="shared" si="550"/>
        <v>114.25587</v>
      </c>
      <c r="L2966" s="131">
        <v>445</v>
      </c>
      <c r="M2966" s="187">
        <v>29.69</v>
      </c>
      <c r="N2966" s="91">
        <f t="shared" si="542"/>
        <v>74.19</v>
      </c>
      <c r="O2966" s="411">
        <f t="shared" si="551"/>
        <v>40.065870000000004</v>
      </c>
      <c r="P2966" s="132" t="s">
        <v>52</v>
      </c>
      <c r="Q2966" s="232"/>
      <c r="R2966" s="411"/>
      <c r="T2966" s="134" t="s">
        <v>145</v>
      </c>
      <c r="U2966" s="267" t="s">
        <v>6797</v>
      </c>
      <c r="AA2966" s="218"/>
    </row>
    <row r="2967" spans="1:27" ht="36" x14ac:dyDescent="0.25">
      <c r="A2967" s="405">
        <v>3002285</v>
      </c>
      <c r="B2967" s="406">
        <v>42508</v>
      </c>
      <c r="C2967" s="405" t="s">
        <v>5682</v>
      </c>
      <c r="D2967" s="401" t="s">
        <v>837</v>
      </c>
      <c r="E2967" s="120">
        <v>3000</v>
      </c>
      <c r="F2967" s="133" t="s">
        <v>6798</v>
      </c>
      <c r="G2967" s="404" t="s">
        <v>45</v>
      </c>
      <c r="H2967" s="411">
        <v>1620</v>
      </c>
      <c r="I2967" s="94">
        <f t="shared" si="552"/>
        <v>-145.79999999999998</v>
      </c>
      <c r="J2967" s="391">
        <f t="shared" si="553"/>
        <v>-31.08</v>
      </c>
      <c r="K2967" s="90">
        <f t="shared" si="550"/>
        <v>1443.1200000000001</v>
      </c>
      <c r="L2967" s="187">
        <v>250</v>
      </c>
      <c r="N2967" s="91">
        <f t="shared" si="542"/>
        <v>750</v>
      </c>
      <c r="O2967" s="411">
        <f t="shared" si="551"/>
        <v>693.12000000000012</v>
      </c>
      <c r="P2967" s="132" t="s">
        <v>66</v>
      </c>
      <c r="Q2967" s="232"/>
      <c r="R2967" s="411"/>
      <c r="T2967" s="134" t="s">
        <v>60</v>
      </c>
      <c r="U2967" s="267">
        <v>4016452871</v>
      </c>
      <c r="AA2967" s="218"/>
    </row>
    <row r="2968" spans="1:27" ht="24" x14ac:dyDescent="0.25">
      <c r="A2968" s="405">
        <v>3002286</v>
      </c>
      <c r="B2968" s="406">
        <v>42508</v>
      </c>
      <c r="C2968" s="405" t="s">
        <v>5682</v>
      </c>
      <c r="D2968" s="401" t="s">
        <v>6799</v>
      </c>
      <c r="E2968" s="120">
        <v>100</v>
      </c>
      <c r="F2968" s="133" t="s">
        <v>6793</v>
      </c>
      <c r="G2968" s="404" t="s">
        <v>45</v>
      </c>
      <c r="H2968" s="411">
        <v>170</v>
      </c>
      <c r="I2968" s="94">
        <f t="shared" si="552"/>
        <v>-15.299999999999999</v>
      </c>
      <c r="J2968" s="391">
        <f t="shared" si="553"/>
        <v>-3.53</v>
      </c>
      <c r="K2968" s="90">
        <f t="shared" si="550"/>
        <v>151.16999999999999</v>
      </c>
      <c r="M2968" s="187">
        <v>24.26</v>
      </c>
      <c r="N2968" s="91">
        <f t="shared" si="542"/>
        <v>24.26</v>
      </c>
      <c r="O2968" s="411">
        <f t="shared" si="551"/>
        <v>126.90999999999998</v>
      </c>
      <c r="P2968" s="132" t="s">
        <v>86</v>
      </c>
      <c r="Q2968" s="232"/>
      <c r="R2968" s="411"/>
      <c r="T2968" s="134" t="s">
        <v>145</v>
      </c>
      <c r="U2968" s="267" t="s">
        <v>6800</v>
      </c>
      <c r="AA2968" s="218"/>
    </row>
    <row r="2969" spans="1:27" x14ac:dyDescent="0.25">
      <c r="A2969" s="419">
        <v>3002287</v>
      </c>
      <c r="B2969" s="421">
        <v>42508</v>
      </c>
      <c r="C2969" s="419" t="s">
        <v>63</v>
      </c>
      <c r="D2969" s="429" t="s">
        <v>6801</v>
      </c>
      <c r="E2969" s="120">
        <v>1000</v>
      </c>
      <c r="F2969" s="133" t="s">
        <v>6802</v>
      </c>
      <c r="G2969" s="434" t="s">
        <v>45</v>
      </c>
      <c r="H2969" s="427">
        <v>517</v>
      </c>
      <c r="I2969" s="427">
        <v>0</v>
      </c>
      <c r="J2969" s="425">
        <f>-((H2969*0.022)+0.3)</f>
        <v>-11.673999999999999</v>
      </c>
      <c r="K2969" s="425">
        <f t="shared" si="550"/>
        <v>505.32600000000002</v>
      </c>
      <c r="L2969" s="187">
        <v>177</v>
      </c>
      <c r="M2969" s="187">
        <v>45.55</v>
      </c>
      <c r="N2969" s="91">
        <f t="shared" si="542"/>
        <v>222.55</v>
      </c>
      <c r="O2969" s="411">
        <f t="shared" si="551"/>
        <v>282.77600000000001</v>
      </c>
      <c r="P2969" s="132" t="s">
        <v>313</v>
      </c>
      <c r="Q2969" s="232"/>
      <c r="R2969" s="411"/>
      <c r="T2969" s="439" t="s">
        <v>314</v>
      </c>
      <c r="U2969" s="308" t="s">
        <v>6803</v>
      </c>
      <c r="W2969" s="153" t="s">
        <v>6804</v>
      </c>
      <c r="AA2969" s="218"/>
    </row>
    <row r="2970" spans="1:27" x14ac:dyDescent="0.25">
      <c r="A2970" s="420"/>
      <c r="B2970" s="422"/>
      <c r="C2970" s="420"/>
      <c r="D2970" s="431"/>
      <c r="E2970" s="120">
        <v>250</v>
      </c>
      <c r="F2970" s="133" t="s">
        <v>312</v>
      </c>
      <c r="G2970" s="436"/>
      <c r="H2970" s="428"/>
      <c r="I2970" s="428"/>
      <c r="J2970" s="426"/>
      <c r="K2970" s="426"/>
      <c r="L2970" s="187">
        <v>560</v>
      </c>
      <c r="M2970" s="187">
        <v>65.86</v>
      </c>
      <c r="N2970" s="91">
        <f t="shared" si="542"/>
        <v>205.86</v>
      </c>
      <c r="O2970" s="411">
        <f t="shared" si="551"/>
        <v>-205.86</v>
      </c>
      <c r="P2970" s="132" t="s">
        <v>313</v>
      </c>
      <c r="Q2970" s="232"/>
      <c r="R2970" s="411"/>
      <c r="T2970" s="441"/>
      <c r="U2970" s="308" t="s">
        <v>6805</v>
      </c>
      <c r="AA2970" s="218"/>
    </row>
    <row r="2971" spans="1:27" ht="24" x14ac:dyDescent="0.25">
      <c r="A2971" s="405">
        <v>3002288</v>
      </c>
      <c r="B2971" s="406">
        <v>42508</v>
      </c>
      <c r="C2971" s="405" t="s">
        <v>63</v>
      </c>
      <c r="D2971" s="401" t="s">
        <v>6806</v>
      </c>
      <c r="E2971" s="120">
        <v>70</v>
      </c>
      <c r="F2971" s="133" t="s">
        <v>860</v>
      </c>
      <c r="G2971" s="404" t="s">
        <v>45</v>
      </c>
      <c r="H2971" s="411">
        <v>469</v>
      </c>
      <c r="I2971" s="411">
        <v>0</v>
      </c>
      <c r="J2971" s="391">
        <f>-((H2971*0.022)+0.3)</f>
        <v>-10.618</v>
      </c>
      <c r="K2971" s="90">
        <f t="shared" si="550"/>
        <v>458.38200000000001</v>
      </c>
      <c r="L2971" s="131">
        <v>3300</v>
      </c>
      <c r="M2971" s="187">
        <v>53.66</v>
      </c>
      <c r="N2971" s="91">
        <f t="shared" si="542"/>
        <v>284.66000000000003</v>
      </c>
      <c r="O2971" s="411">
        <f t="shared" si="551"/>
        <v>173.72199999999998</v>
      </c>
      <c r="P2971" s="132" t="s">
        <v>52</v>
      </c>
      <c r="Q2971" s="232"/>
      <c r="R2971" s="411"/>
      <c r="T2971" s="134" t="s">
        <v>145</v>
      </c>
      <c r="U2971" s="267" t="s">
        <v>6807</v>
      </c>
      <c r="AA2971" s="218"/>
    </row>
    <row r="2972" spans="1:27" ht="24" x14ac:dyDescent="0.25">
      <c r="A2972" s="405">
        <v>3002289</v>
      </c>
      <c r="B2972" s="406">
        <v>42508</v>
      </c>
      <c r="C2972" s="405" t="s">
        <v>5682</v>
      </c>
      <c r="D2972" s="401" t="s">
        <v>6808</v>
      </c>
      <c r="E2972" s="120">
        <v>250</v>
      </c>
      <c r="F2972" s="133" t="s">
        <v>6809</v>
      </c>
      <c r="G2972" s="404" t="s">
        <v>45</v>
      </c>
      <c r="H2972" s="411">
        <v>115</v>
      </c>
      <c r="I2972" s="94">
        <f t="shared" ref="I2972" si="554">-(H2972*0.09)</f>
        <v>-10.35</v>
      </c>
      <c r="J2972" s="391">
        <f t="shared" ref="J2972" si="555">-((H2972*0.019)+0.3)</f>
        <v>-2.4849999999999999</v>
      </c>
      <c r="K2972" s="90">
        <f t="shared" si="550"/>
        <v>102.16500000000001</v>
      </c>
      <c r="L2972" s="187">
        <v>260</v>
      </c>
      <c r="M2972" s="187">
        <v>20.69</v>
      </c>
      <c r="N2972" s="91">
        <f t="shared" si="542"/>
        <v>85.69</v>
      </c>
      <c r="O2972" s="411">
        <f t="shared" si="551"/>
        <v>16.475000000000009</v>
      </c>
      <c r="P2972" s="132" t="s">
        <v>235</v>
      </c>
      <c r="Q2972" s="232"/>
      <c r="R2972" s="411"/>
      <c r="T2972" s="134" t="s">
        <v>145</v>
      </c>
      <c r="U2972" s="267" t="s">
        <v>6810</v>
      </c>
      <c r="AA2972" s="218"/>
    </row>
    <row r="2973" spans="1:27" x14ac:dyDescent="0.25">
      <c r="A2973" s="419">
        <v>3002290</v>
      </c>
      <c r="B2973" s="421">
        <v>42508</v>
      </c>
      <c r="C2973" s="419" t="s">
        <v>555</v>
      </c>
      <c r="D2973" s="417" t="s">
        <v>6811</v>
      </c>
      <c r="E2973" s="120">
        <v>3177</v>
      </c>
      <c r="F2973" s="133" t="s">
        <v>6812</v>
      </c>
      <c r="G2973" s="434" t="s">
        <v>45</v>
      </c>
      <c r="H2973" s="427">
        <v>62199</v>
      </c>
      <c r="I2973" s="427">
        <v>0</v>
      </c>
      <c r="J2973" s="427">
        <v>0</v>
      </c>
      <c r="K2973" s="425">
        <f t="shared" si="550"/>
        <v>62199</v>
      </c>
      <c r="L2973" s="187">
        <v>1684</v>
      </c>
      <c r="M2973" s="131">
        <v>284.24</v>
      </c>
      <c r="N2973" s="91">
        <f t="shared" si="542"/>
        <v>5634.308</v>
      </c>
      <c r="O2973" s="411">
        <f t="shared" si="551"/>
        <v>56564.692000000003</v>
      </c>
      <c r="P2973" s="132" t="s">
        <v>313</v>
      </c>
      <c r="Q2973" s="232"/>
      <c r="R2973" s="411"/>
      <c r="T2973" s="134" t="s">
        <v>6813</v>
      </c>
      <c r="U2973" s="267" t="s">
        <v>6814</v>
      </c>
      <c r="V2973" s="133" t="s">
        <v>55</v>
      </c>
      <c r="AA2973" s="228"/>
    </row>
    <row r="2974" spans="1:27" x14ac:dyDescent="0.25">
      <c r="A2974" s="432"/>
      <c r="B2974" s="433"/>
      <c r="C2974" s="432"/>
      <c r="D2974" s="454"/>
      <c r="E2974" s="120">
        <v>1859</v>
      </c>
      <c r="F2974" s="133" t="s">
        <v>3995</v>
      </c>
      <c r="G2974" s="435"/>
      <c r="H2974" s="438"/>
      <c r="I2974" s="438"/>
      <c r="J2974" s="438"/>
      <c r="K2974" s="437"/>
      <c r="L2974" s="224">
        <v>1811</v>
      </c>
      <c r="M2974" s="131">
        <v>514.75</v>
      </c>
      <c r="N2974" s="91">
        <f t="shared" si="542"/>
        <v>3881.3989999999999</v>
      </c>
      <c r="O2974" s="411">
        <f t="shared" si="551"/>
        <v>-3881.3989999999999</v>
      </c>
      <c r="P2974" s="132" t="s">
        <v>3359</v>
      </c>
      <c r="Q2974" s="232"/>
      <c r="R2974" s="411"/>
      <c r="T2974" s="134" t="s">
        <v>97</v>
      </c>
      <c r="U2974" s="267" t="s">
        <v>6815</v>
      </c>
      <c r="V2974" s="133" t="s">
        <v>6816</v>
      </c>
      <c r="W2974" s="153" t="s">
        <v>6817</v>
      </c>
      <c r="AA2974" s="479"/>
    </row>
    <row r="2975" spans="1:27" x14ac:dyDescent="0.25">
      <c r="A2975" s="432"/>
      <c r="B2975" s="433"/>
      <c r="C2975" s="432"/>
      <c r="D2975" s="454"/>
      <c r="E2975" s="120">
        <v>509</v>
      </c>
      <c r="F2975" s="133" t="s">
        <v>6818</v>
      </c>
      <c r="G2975" s="435"/>
      <c r="H2975" s="438"/>
      <c r="I2975" s="438"/>
      <c r="J2975" s="438"/>
      <c r="K2975" s="437"/>
      <c r="L2975" s="187">
        <v>3429</v>
      </c>
      <c r="M2975" s="187">
        <v>1000</v>
      </c>
      <c r="N2975" s="91">
        <f t="shared" si="542"/>
        <v>2745.3609999999999</v>
      </c>
      <c r="O2975" s="411">
        <f t="shared" si="551"/>
        <v>-2745.3609999999999</v>
      </c>
      <c r="P2975" s="132" t="s">
        <v>313</v>
      </c>
      <c r="Q2975" s="232"/>
      <c r="R2975" s="411"/>
      <c r="T2975" s="134" t="s">
        <v>47</v>
      </c>
      <c r="U2975" s="267" t="s">
        <v>6814</v>
      </c>
      <c r="AA2975" s="552"/>
    </row>
    <row r="2976" spans="1:27" x14ac:dyDescent="0.25">
      <c r="A2976" s="432"/>
      <c r="B2976" s="433"/>
      <c r="C2976" s="432"/>
      <c r="D2976" s="454"/>
      <c r="E2976" s="120">
        <v>328</v>
      </c>
      <c r="F2976" s="133" t="s">
        <v>6819</v>
      </c>
      <c r="G2976" s="435"/>
      <c r="H2976" s="438"/>
      <c r="I2976" s="438"/>
      <c r="J2976" s="438"/>
      <c r="K2976" s="437"/>
      <c r="L2976" s="187">
        <v>550</v>
      </c>
      <c r="M2976" s="187">
        <v>184.13</v>
      </c>
      <c r="N2976" s="91">
        <f t="shared" si="542"/>
        <v>364.53</v>
      </c>
      <c r="O2976" s="411">
        <f t="shared" si="551"/>
        <v>-364.53</v>
      </c>
      <c r="P2976" s="132" t="s">
        <v>183</v>
      </c>
      <c r="Q2976" s="232"/>
      <c r="R2976" s="411"/>
      <c r="T2976" s="439" t="s">
        <v>576</v>
      </c>
      <c r="U2976" s="475" t="s">
        <v>6820</v>
      </c>
      <c r="V2976" s="133" t="s">
        <v>6821</v>
      </c>
      <c r="AA2976" s="552"/>
    </row>
    <row r="2977" spans="1:27" x14ac:dyDescent="0.25">
      <c r="A2977" s="432"/>
      <c r="B2977" s="433"/>
      <c r="C2977" s="432"/>
      <c r="D2977" s="454"/>
      <c r="E2977" s="120">
        <v>1148</v>
      </c>
      <c r="F2977" s="133" t="s">
        <v>6822</v>
      </c>
      <c r="G2977" s="435"/>
      <c r="H2977" s="438"/>
      <c r="I2977" s="438"/>
      <c r="J2977" s="438"/>
      <c r="K2977" s="437"/>
      <c r="L2977" s="187">
        <v>4850</v>
      </c>
      <c r="M2977" s="187"/>
      <c r="N2977" s="91">
        <f t="shared" si="542"/>
        <v>5567.8000000000011</v>
      </c>
      <c r="O2977" s="411">
        <f t="shared" si="551"/>
        <v>-5567.8000000000011</v>
      </c>
      <c r="P2977" s="132" t="s">
        <v>183</v>
      </c>
      <c r="Q2977" s="232"/>
      <c r="R2977" s="411"/>
      <c r="T2977" s="441"/>
      <c r="U2977" s="477"/>
      <c r="V2977" s="133" t="s">
        <v>6823</v>
      </c>
      <c r="AA2977" s="552"/>
    </row>
    <row r="2978" spans="1:27" x14ac:dyDescent="0.25">
      <c r="A2978" s="432"/>
      <c r="B2978" s="433"/>
      <c r="C2978" s="432"/>
      <c r="D2978" s="454"/>
      <c r="E2978" s="120">
        <v>4921</v>
      </c>
      <c r="F2978" s="133" t="s">
        <v>6824</v>
      </c>
      <c r="G2978" s="435"/>
      <c r="H2978" s="438"/>
      <c r="I2978" s="438"/>
      <c r="J2978" s="438"/>
      <c r="K2978" s="437"/>
      <c r="L2978" s="187">
        <v>3067</v>
      </c>
      <c r="M2978" s="131">
        <v>0</v>
      </c>
      <c r="N2978" s="91">
        <f t="shared" si="542"/>
        <v>15092.707</v>
      </c>
      <c r="O2978" s="411">
        <f t="shared" si="551"/>
        <v>-15092.707</v>
      </c>
      <c r="P2978" s="132" t="s">
        <v>4222</v>
      </c>
      <c r="Q2978" s="232"/>
      <c r="R2978" s="411"/>
      <c r="T2978" s="134" t="s">
        <v>6825</v>
      </c>
      <c r="U2978" s="311" t="s">
        <v>6826</v>
      </c>
      <c r="V2978" s="133" t="s">
        <v>6827</v>
      </c>
      <c r="AA2978" s="552"/>
    </row>
    <row r="2979" spans="1:27" x14ac:dyDescent="0.25">
      <c r="A2979" s="432"/>
      <c r="B2979" s="433"/>
      <c r="C2979" s="432"/>
      <c r="D2979" s="454"/>
      <c r="E2979" s="120">
        <v>820</v>
      </c>
      <c r="F2979" s="133" t="s">
        <v>6828</v>
      </c>
      <c r="G2979" s="435"/>
      <c r="H2979" s="438"/>
      <c r="I2979" s="438"/>
      <c r="J2979" s="438"/>
      <c r="K2979" s="437"/>
      <c r="L2979" s="187">
        <v>1890</v>
      </c>
      <c r="M2979" s="131">
        <v>0</v>
      </c>
      <c r="N2979" s="91">
        <f t="shared" si="542"/>
        <v>1549.8000000000002</v>
      </c>
      <c r="O2979" s="411">
        <f t="shared" si="551"/>
        <v>-1549.8000000000002</v>
      </c>
      <c r="P2979" s="132" t="s">
        <v>59</v>
      </c>
      <c r="Q2979" s="232"/>
      <c r="R2979" s="411"/>
      <c r="T2979" s="134" t="s">
        <v>314</v>
      </c>
      <c r="U2979" s="311">
        <v>3499342136</v>
      </c>
      <c r="V2979" s="133" t="s">
        <v>6829</v>
      </c>
      <c r="AA2979" s="552"/>
    </row>
    <row r="2980" spans="1:27" x14ac:dyDescent="0.25">
      <c r="A2980" s="420"/>
      <c r="B2980" s="422"/>
      <c r="C2980" s="420"/>
      <c r="D2980" s="418"/>
      <c r="E2980" s="120">
        <v>1280</v>
      </c>
      <c r="F2980" s="133" t="s">
        <v>6830</v>
      </c>
      <c r="G2980" s="436"/>
      <c r="H2980" s="428"/>
      <c r="I2980" s="428"/>
      <c r="J2980" s="428"/>
      <c r="K2980" s="426"/>
      <c r="L2980" s="187">
        <v>6300</v>
      </c>
      <c r="M2980" s="187">
        <v>250.9</v>
      </c>
      <c r="N2980" s="91">
        <f t="shared" si="542"/>
        <v>8314.9</v>
      </c>
      <c r="O2980" s="411">
        <f t="shared" si="551"/>
        <v>-8314.9</v>
      </c>
      <c r="P2980" s="132" t="s">
        <v>2895</v>
      </c>
      <c r="Q2980" s="232"/>
      <c r="R2980" s="411"/>
      <c r="T2980" s="134" t="s">
        <v>364</v>
      </c>
      <c r="U2980" s="302" t="s">
        <v>6831</v>
      </c>
      <c r="V2980" s="133" t="s">
        <v>6832</v>
      </c>
      <c r="AA2980" s="480"/>
    </row>
    <row r="2981" spans="1:27" ht="24" x14ac:dyDescent="0.25">
      <c r="A2981" s="405">
        <v>3002291</v>
      </c>
      <c r="B2981" s="406">
        <v>42508</v>
      </c>
      <c r="C2981" s="405" t="s">
        <v>78</v>
      </c>
      <c r="D2981" s="401" t="s">
        <v>6833</v>
      </c>
      <c r="E2981" s="120">
        <v>37</v>
      </c>
      <c r="F2981" s="133" t="s">
        <v>1991</v>
      </c>
      <c r="G2981" s="404" t="s">
        <v>45</v>
      </c>
      <c r="H2981" s="411">
        <v>250</v>
      </c>
      <c r="I2981" s="411">
        <v>0</v>
      </c>
      <c r="J2981" s="391">
        <f t="shared" ref="J2981" si="556">-((H2981*0.019)+0.3)</f>
        <v>-5.05</v>
      </c>
      <c r="K2981" s="90">
        <f t="shared" ref="K2981:K3021" si="557">SUM(H2981:J2981)</f>
        <v>244.95</v>
      </c>
      <c r="L2981" s="187">
        <v>3350</v>
      </c>
      <c r="M2981" s="187">
        <v>27.76</v>
      </c>
      <c r="N2981" s="91">
        <f t="shared" si="542"/>
        <v>151.70999999999998</v>
      </c>
      <c r="O2981" s="411">
        <f t="shared" si="551"/>
        <v>93.240000000000009</v>
      </c>
      <c r="P2981" s="132" t="s">
        <v>183</v>
      </c>
      <c r="Q2981" s="232"/>
      <c r="R2981" s="411"/>
      <c r="T2981" s="134" t="s">
        <v>145</v>
      </c>
      <c r="U2981" s="267" t="s">
        <v>6834</v>
      </c>
      <c r="W2981" s="153" t="s">
        <v>6835</v>
      </c>
      <c r="AA2981" s="218"/>
    </row>
    <row r="2982" spans="1:27" ht="24" x14ac:dyDescent="0.25">
      <c r="A2982" s="405">
        <v>3002292</v>
      </c>
      <c r="B2982" s="406">
        <v>42509</v>
      </c>
      <c r="C2982" s="405" t="s">
        <v>327</v>
      </c>
      <c r="D2982" s="401" t="s">
        <v>6836</v>
      </c>
      <c r="E2982" s="120">
        <v>100</v>
      </c>
      <c r="F2982" s="133" t="s">
        <v>207</v>
      </c>
      <c r="G2982" s="404" t="s">
        <v>45</v>
      </c>
      <c r="H2982" s="411">
        <v>120</v>
      </c>
      <c r="I2982" s="411">
        <v>0</v>
      </c>
      <c r="J2982" s="391">
        <f>-((H2982*0.022)+0.3)</f>
        <v>-2.9399999999999995</v>
      </c>
      <c r="K2982" s="90">
        <f t="shared" si="557"/>
        <v>117.06</v>
      </c>
      <c r="L2982" s="131">
        <v>570</v>
      </c>
      <c r="M2982" s="187">
        <v>17.670000000000002</v>
      </c>
      <c r="N2982" s="91">
        <f t="shared" si="542"/>
        <v>74.67</v>
      </c>
      <c r="O2982" s="411">
        <f t="shared" si="551"/>
        <v>42.39</v>
      </c>
      <c r="P2982" s="132" t="s">
        <v>52</v>
      </c>
      <c r="Q2982" s="232"/>
      <c r="R2982" s="411"/>
      <c r="T2982" s="134" t="s">
        <v>145</v>
      </c>
      <c r="U2982" s="267" t="s">
        <v>6837</v>
      </c>
      <c r="AA2982" s="218"/>
    </row>
    <row r="2983" spans="1:27" ht="24" x14ac:dyDescent="0.25">
      <c r="A2983" s="405">
        <v>3002293</v>
      </c>
      <c r="B2983" s="406">
        <v>42509</v>
      </c>
      <c r="C2983" s="405" t="s">
        <v>63</v>
      </c>
      <c r="D2983" s="401" t="s">
        <v>6838</v>
      </c>
      <c r="E2983" s="120">
        <v>500</v>
      </c>
      <c r="F2983" s="133" t="s">
        <v>983</v>
      </c>
      <c r="G2983" s="404" t="s">
        <v>45</v>
      </c>
      <c r="H2983" s="411">
        <v>320</v>
      </c>
      <c r="I2983" s="411">
        <v>0</v>
      </c>
      <c r="J2983" s="391">
        <f>-((H2983*0.022)+0.3)</f>
        <v>-7.339999999999999</v>
      </c>
      <c r="K2983" s="90">
        <f t="shared" si="557"/>
        <v>312.66000000000003</v>
      </c>
      <c r="L2983" s="131">
        <v>300</v>
      </c>
      <c r="M2983" s="187">
        <v>57.02</v>
      </c>
      <c r="N2983" s="91">
        <f t="shared" si="542"/>
        <v>207.02</v>
      </c>
      <c r="O2983" s="411">
        <f t="shared" si="551"/>
        <v>105.64000000000001</v>
      </c>
      <c r="P2983" s="132" t="s">
        <v>52</v>
      </c>
      <c r="Q2983" s="232"/>
      <c r="R2983" s="411"/>
      <c r="T2983" s="134" t="s">
        <v>145</v>
      </c>
      <c r="U2983" s="267" t="s">
        <v>6839</v>
      </c>
      <c r="AA2983" s="218"/>
    </row>
    <row r="2984" spans="1:27" x14ac:dyDescent="0.25">
      <c r="A2984" s="405">
        <v>3002294</v>
      </c>
      <c r="B2984" s="406">
        <v>42509</v>
      </c>
      <c r="C2984" s="405" t="s">
        <v>56</v>
      </c>
      <c r="D2984" s="401" t="s">
        <v>6840</v>
      </c>
      <c r="E2984" s="120">
        <v>2000</v>
      </c>
      <c r="F2984" s="133" t="s">
        <v>6841</v>
      </c>
      <c r="G2984" s="404" t="s">
        <v>45</v>
      </c>
      <c r="H2984" s="411">
        <v>11000</v>
      </c>
      <c r="I2984" s="411">
        <v>0</v>
      </c>
      <c r="J2984" s="411">
        <v>0</v>
      </c>
      <c r="K2984" s="90">
        <f t="shared" si="557"/>
        <v>11000</v>
      </c>
      <c r="L2984" s="187">
        <v>4350</v>
      </c>
      <c r="M2984" s="187">
        <v>134.83000000000001</v>
      </c>
      <c r="N2984" s="91">
        <f t="shared" si="542"/>
        <v>8834.83</v>
      </c>
      <c r="O2984" s="411">
        <f t="shared" si="551"/>
        <v>2165.17</v>
      </c>
      <c r="P2984" s="402" t="s">
        <v>46</v>
      </c>
      <c r="Q2984" s="232"/>
      <c r="R2984" s="411"/>
      <c r="T2984" s="134" t="s">
        <v>463</v>
      </c>
      <c r="U2984" s="267" t="s">
        <v>6842</v>
      </c>
      <c r="V2984" s="133" t="s">
        <v>6843</v>
      </c>
      <c r="W2984" s="153" t="s">
        <v>6177</v>
      </c>
      <c r="AA2984" s="218"/>
    </row>
    <row r="2985" spans="1:27" ht="24" x14ac:dyDescent="0.25">
      <c r="A2985" s="405">
        <v>3002295</v>
      </c>
      <c r="B2985" s="406">
        <v>42509</v>
      </c>
      <c r="C2985" s="405" t="s">
        <v>63</v>
      </c>
      <c r="D2985" s="401" t="s">
        <v>6844</v>
      </c>
      <c r="E2985" s="120">
        <v>200</v>
      </c>
      <c r="F2985" s="393" t="s">
        <v>6748</v>
      </c>
      <c r="G2985" s="386" t="s">
        <v>45</v>
      </c>
      <c r="H2985" s="399">
        <v>198</v>
      </c>
      <c r="I2985" s="399">
        <v>0</v>
      </c>
      <c r="J2985" s="383">
        <f>-((H2985*0.022)+0.3)</f>
        <v>-4.6559999999999997</v>
      </c>
      <c r="K2985" s="396">
        <f t="shared" si="557"/>
        <v>193.34399999999999</v>
      </c>
      <c r="L2985" s="201">
        <v>650</v>
      </c>
      <c r="M2985" s="201">
        <v>21.45</v>
      </c>
      <c r="N2985" s="414">
        <f t="shared" si="542"/>
        <v>151.44999999999999</v>
      </c>
      <c r="O2985" s="411">
        <f t="shared" si="551"/>
        <v>41.894000000000005</v>
      </c>
      <c r="P2985" s="379" t="s">
        <v>183</v>
      </c>
      <c r="Q2985" s="220"/>
      <c r="R2985" s="411"/>
      <c r="T2985" s="134" t="s">
        <v>145</v>
      </c>
      <c r="U2985" s="267" t="s">
        <v>6845</v>
      </c>
      <c r="W2985" s="153" t="s">
        <v>6846</v>
      </c>
      <c r="AA2985" s="218"/>
    </row>
    <row r="2986" spans="1:27" x14ac:dyDescent="0.25">
      <c r="A2986" s="419">
        <v>3002296</v>
      </c>
      <c r="B2986" s="421">
        <v>42509</v>
      </c>
      <c r="C2986" s="419" t="s">
        <v>56</v>
      </c>
      <c r="D2986" s="417" t="s">
        <v>6847</v>
      </c>
      <c r="E2986" s="226">
        <v>11287</v>
      </c>
      <c r="F2986" s="133" t="s">
        <v>6848</v>
      </c>
      <c r="G2986" s="551" t="s">
        <v>45</v>
      </c>
      <c r="H2986" s="465">
        <v>10706.25</v>
      </c>
      <c r="I2986" s="465">
        <v>0</v>
      </c>
      <c r="J2986" s="465">
        <v>0</v>
      </c>
      <c r="K2986" s="464">
        <f t="shared" si="557"/>
        <v>10706.25</v>
      </c>
      <c r="L2986" s="131">
        <v>131</v>
      </c>
      <c r="M2986" s="187">
        <v>450</v>
      </c>
      <c r="N2986" s="91">
        <f t="shared" si="542"/>
        <v>1928.5970000000002</v>
      </c>
      <c r="O2986" s="411">
        <f t="shared" si="551"/>
        <v>8777.6530000000002</v>
      </c>
      <c r="P2986" s="405" t="s">
        <v>52</v>
      </c>
      <c r="Q2986" s="220"/>
      <c r="R2986" s="411"/>
      <c r="T2986" s="134" t="s">
        <v>97</v>
      </c>
      <c r="U2986" s="267" t="s">
        <v>6849</v>
      </c>
      <c r="V2986" s="133" t="s">
        <v>5179</v>
      </c>
      <c r="AA2986" s="218"/>
    </row>
    <row r="2987" spans="1:27" x14ac:dyDescent="0.25">
      <c r="A2987" s="420"/>
      <c r="B2987" s="422"/>
      <c r="C2987" s="420"/>
      <c r="D2987" s="418"/>
      <c r="E2987" s="226">
        <v>134325</v>
      </c>
      <c r="F2987" s="133" t="s">
        <v>6850</v>
      </c>
      <c r="G2987" s="551"/>
      <c r="H2987" s="465"/>
      <c r="I2987" s="465"/>
      <c r="J2987" s="465"/>
      <c r="K2987" s="464"/>
      <c r="L2987" s="131">
        <v>35</v>
      </c>
      <c r="M2987" s="187">
        <v>628</v>
      </c>
      <c r="N2987" s="91">
        <f t="shared" si="542"/>
        <v>5329.375</v>
      </c>
      <c r="O2987" s="411">
        <f t="shared" si="551"/>
        <v>-5329.375</v>
      </c>
      <c r="P2987" s="405" t="s">
        <v>5735</v>
      </c>
      <c r="Q2987" s="220"/>
      <c r="R2987" s="411"/>
      <c r="T2987" s="134" t="s">
        <v>97</v>
      </c>
      <c r="U2987" s="267" t="s">
        <v>6851</v>
      </c>
      <c r="V2987" s="133" t="s">
        <v>6852</v>
      </c>
      <c r="AA2987" s="218"/>
    </row>
    <row r="2988" spans="1:27" ht="24" x14ac:dyDescent="0.25">
      <c r="A2988" s="405">
        <v>3002297</v>
      </c>
      <c r="B2988" s="406">
        <v>42509</v>
      </c>
      <c r="C2988" s="405" t="s">
        <v>5682</v>
      </c>
      <c r="D2988" s="401" t="s">
        <v>6853</v>
      </c>
      <c r="E2988" s="226">
        <v>250</v>
      </c>
      <c r="F2988" s="133" t="s">
        <v>307</v>
      </c>
      <c r="G2988" s="404" t="s">
        <v>45</v>
      </c>
      <c r="H2988" s="411">
        <v>336.6</v>
      </c>
      <c r="I2988" s="94">
        <f t="shared" ref="I2988:I2992" si="558">-(H2988*0.09)</f>
        <v>-30.294</v>
      </c>
      <c r="J2988" s="391">
        <f t="shared" ref="J2988:J2992" si="559">-((H2988*0.019)+0.3)</f>
        <v>-6.6954000000000002</v>
      </c>
      <c r="K2988" s="90">
        <f t="shared" si="557"/>
        <v>299.61060000000003</v>
      </c>
      <c r="L2988" s="131">
        <v>690</v>
      </c>
      <c r="M2988" s="187">
        <v>71.31</v>
      </c>
      <c r="N2988" s="91">
        <f t="shared" si="542"/>
        <v>243.81</v>
      </c>
      <c r="O2988" s="411">
        <f t="shared" si="551"/>
        <v>55.800600000000031</v>
      </c>
      <c r="P2988" s="405" t="s">
        <v>52</v>
      </c>
      <c r="Q2988" s="220"/>
      <c r="R2988" s="411"/>
      <c r="T2988" s="134" t="s">
        <v>145</v>
      </c>
      <c r="U2988" s="267" t="s">
        <v>6854</v>
      </c>
      <c r="AA2988" s="218"/>
    </row>
    <row r="2989" spans="1:27" ht="24" x14ac:dyDescent="0.25">
      <c r="A2989" s="405">
        <v>3002298</v>
      </c>
      <c r="B2989" s="406">
        <v>42509</v>
      </c>
      <c r="C2989" s="405" t="s">
        <v>5682</v>
      </c>
      <c r="D2989" s="401" t="s">
        <v>6855</v>
      </c>
      <c r="E2989" s="226">
        <v>100</v>
      </c>
      <c r="F2989" s="133" t="s">
        <v>161</v>
      </c>
      <c r="G2989" s="404" t="s">
        <v>45</v>
      </c>
      <c r="H2989" s="411">
        <v>235</v>
      </c>
      <c r="I2989" s="94">
        <f t="shared" si="558"/>
        <v>-21.15</v>
      </c>
      <c r="J2989" s="391">
        <f t="shared" si="559"/>
        <v>-4.7649999999999997</v>
      </c>
      <c r="K2989" s="90">
        <f t="shared" si="557"/>
        <v>209.08500000000001</v>
      </c>
      <c r="L2989" s="131">
        <v>1322</v>
      </c>
      <c r="M2989" s="187">
        <v>57.03</v>
      </c>
      <c r="N2989" s="91">
        <f t="shared" si="542"/>
        <v>189.23000000000002</v>
      </c>
      <c r="O2989" s="411">
        <f t="shared" si="551"/>
        <v>19.85499999999999</v>
      </c>
      <c r="P2989" s="405" t="s">
        <v>52</v>
      </c>
      <c r="Q2989" s="220"/>
      <c r="R2989" s="411"/>
      <c r="T2989" s="134" t="s">
        <v>145</v>
      </c>
      <c r="U2989" s="267" t="s">
        <v>6856</v>
      </c>
      <c r="AA2989" s="218"/>
    </row>
    <row r="2990" spans="1:27" ht="24" x14ac:dyDescent="0.25">
      <c r="A2990" s="405">
        <v>3002299</v>
      </c>
      <c r="B2990" s="406">
        <v>42509</v>
      </c>
      <c r="C2990" s="405" t="s">
        <v>5682</v>
      </c>
      <c r="D2990" s="401" t="s">
        <v>6857</v>
      </c>
      <c r="E2990" s="226">
        <v>150</v>
      </c>
      <c r="F2990" s="133" t="s">
        <v>431</v>
      </c>
      <c r="G2990" s="404" t="s">
        <v>45</v>
      </c>
      <c r="H2990" s="411">
        <v>324</v>
      </c>
      <c r="I2990" s="94">
        <f t="shared" si="558"/>
        <v>-29.16</v>
      </c>
      <c r="J2990" s="391">
        <f t="shared" si="559"/>
        <v>-6.4559999999999995</v>
      </c>
      <c r="K2990" s="90">
        <f t="shared" si="557"/>
        <v>288.38399999999996</v>
      </c>
      <c r="L2990" s="131">
        <v>1050</v>
      </c>
      <c r="M2990" s="187">
        <v>39.9</v>
      </c>
      <c r="N2990" s="91">
        <f t="shared" si="542"/>
        <v>197.4</v>
      </c>
      <c r="O2990" s="411">
        <f t="shared" si="551"/>
        <v>90.983999999999952</v>
      </c>
      <c r="P2990" s="405" t="s">
        <v>52</v>
      </c>
      <c r="Q2990" s="220"/>
      <c r="R2990" s="411"/>
      <c r="T2990" s="134" t="s">
        <v>145</v>
      </c>
      <c r="U2990" s="267" t="s">
        <v>6858</v>
      </c>
      <c r="AA2990" s="218"/>
    </row>
    <row r="2991" spans="1:27" ht="24" x14ac:dyDescent="0.25">
      <c r="A2991" s="405">
        <v>3002300</v>
      </c>
      <c r="B2991" s="406">
        <v>42509</v>
      </c>
      <c r="C2991" s="405" t="s">
        <v>5682</v>
      </c>
      <c r="D2991" s="401" t="s">
        <v>6859</v>
      </c>
      <c r="E2991" s="226">
        <v>100</v>
      </c>
      <c r="F2991" s="133" t="s">
        <v>288</v>
      </c>
      <c r="G2991" s="404" t="s">
        <v>45</v>
      </c>
      <c r="H2991" s="411">
        <v>198.16</v>
      </c>
      <c r="I2991" s="94">
        <f t="shared" si="558"/>
        <v>-17.834399999999999</v>
      </c>
      <c r="J2991" s="391">
        <f t="shared" si="559"/>
        <v>-4.0650399999999998</v>
      </c>
      <c r="K2991" s="90">
        <f t="shared" si="557"/>
        <v>176.26056</v>
      </c>
      <c r="L2991" s="131">
        <v>950</v>
      </c>
      <c r="M2991" s="187">
        <v>27.88</v>
      </c>
      <c r="N2991" s="91">
        <f t="shared" ref="N2991:N3055" si="560">((L2991)*(E2991*0.001))+M2991</f>
        <v>122.88</v>
      </c>
      <c r="O2991" s="411">
        <f t="shared" si="551"/>
        <v>53.380560000000003</v>
      </c>
      <c r="P2991" s="405" t="s">
        <v>52</v>
      </c>
      <c r="Q2991" s="220"/>
      <c r="R2991" s="411"/>
      <c r="T2991" s="134" t="s">
        <v>145</v>
      </c>
      <c r="U2991" s="267" t="s">
        <v>6860</v>
      </c>
      <c r="AA2991" s="218"/>
    </row>
    <row r="2992" spans="1:27" x14ac:dyDescent="0.25">
      <c r="A2992" s="405">
        <v>3002301</v>
      </c>
      <c r="B2992" s="406">
        <v>42509</v>
      </c>
      <c r="C2992" s="405" t="s">
        <v>5682</v>
      </c>
      <c r="D2992" s="401" t="s">
        <v>6861</v>
      </c>
      <c r="E2992" s="226">
        <v>500</v>
      </c>
      <c r="F2992" s="133" t="s">
        <v>6862</v>
      </c>
      <c r="G2992" s="404" t="s">
        <v>45</v>
      </c>
      <c r="H2992" s="411">
        <v>2324</v>
      </c>
      <c r="I2992" s="94">
        <f t="shared" si="558"/>
        <v>-209.16</v>
      </c>
      <c r="J2992" s="391">
        <f t="shared" si="559"/>
        <v>-44.455999999999996</v>
      </c>
      <c r="K2992" s="90">
        <f t="shared" si="557"/>
        <v>2070.384</v>
      </c>
      <c r="L2992" s="131">
        <v>2150</v>
      </c>
      <c r="M2992" s="187">
        <v>600</v>
      </c>
      <c r="N2992" s="91">
        <f t="shared" si="560"/>
        <v>1675</v>
      </c>
      <c r="O2992" s="411">
        <f t="shared" si="551"/>
        <v>395.38400000000001</v>
      </c>
      <c r="P2992" s="405" t="s">
        <v>52</v>
      </c>
      <c r="Q2992" s="220"/>
      <c r="R2992" s="411"/>
      <c r="T2992" s="134" t="s">
        <v>244</v>
      </c>
      <c r="U2992" s="267" t="s">
        <v>6863</v>
      </c>
      <c r="V2992" s="133" t="s">
        <v>55</v>
      </c>
      <c r="AA2992" s="218"/>
    </row>
    <row r="2993" spans="1:27" x14ac:dyDescent="0.25">
      <c r="A2993" s="419">
        <v>3002302</v>
      </c>
      <c r="B2993" s="421">
        <v>42509</v>
      </c>
      <c r="C2993" s="419" t="s">
        <v>56</v>
      </c>
      <c r="D2993" s="417" t="s">
        <v>57</v>
      </c>
      <c r="E2993" s="226">
        <v>2850</v>
      </c>
      <c r="F2993" s="133" t="s">
        <v>6864</v>
      </c>
      <c r="G2993" s="551" t="s">
        <v>45</v>
      </c>
      <c r="H2993" s="465">
        <v>8050.91</v>
      </c>
      <c r="I2993" s="465">
        <v>0</v>
      </c>
      <c r="J2993" s="465">
        <v>0</v>
      </c>
      <c r="K2993" s="464">
        <f t="shared" si="557"/>
        <v>8050.91</v>
      </c>
      <c r="L2993" s="187">
        <v>605</v>
      </c>
      <c r="M2993" s="468">
        <v>415</v>
      </c>
      <c r="N2993" s="91">
        <f t="shared" si="560"/>
        <v>2139.25</v>
      </c>
      <c r="O2993" s="411">
        <f t="shared" si="551"/>
        <v>5911.66</v>
      </c>
      <c r="P2993" s="405" t="s">
        <v>6865</v>
      </c>
      <c r="Q2993" s="220"/>
      <c r="R2993" s="411"/>
      <c r="T2993" s="439" t="s">
        <v>97</v>
      </c>
      <c r="U2993" s="446" t="s">
        <v>6866</v>
      </c>
      <c r="V2993" s="133" t="s">
        <v>55</v>
      </c>
      <c r="AA2993" s="218"/>
    </row>
    <row r="2994" spans="1:27" x14ac:dyDescent="0.25">
      <c r="A2994" s="420"/>
      <c r="B2994" s="422"/>
      <c r="C2994" s="420"/>
      <c r="D2994" s="418"/>
      <c r="E2994" s="226">
        <v>2840</v>
      </c>
      <c r="F2994" s="133" t="s">
        <v>6867</v>
      </c>
      <c r="G2994" s="551"/>
      <c r="H2994" s="465"/>
      <c r="I2994" s="465"/>
      <c r="J2994" s="465"/>
      <c r="K2994" s="464"/>
      <c r="L2994" s="187">
        <v>1680</v>
      </c>
      <c r="M2994" s="469"/>
      <c r="N2994" s="91">
        <f t="shared" si="560"/>
        <v>4771.2</v>
      </c>
      <c r="O2994" s="411">
        <f t="shared" si="551"/>
        <v>-4771.2</v>
      </c>
      <c r="P2994" s="405" t="s">
        <v>6865</v>
      </c>
      <c r="Q2994" s="220"/>
      <c r="R2994" s="411"/>
      <c r="T2994" s="441"/>
      <c r="U2994" s="447"/>
      <c r="V2994" s="133" t="s">
        <v>6868</v>
      </c>
      <c r="AA2994" s="218"/>
    </row>
    <row r="2995" spans="1:27" ht="24" x14ac:dyDescent="0.25">
      <c r="A2995" s="405">
        <v>3002303</v>
      </c>
      <c r="B2995" s="406">
        <v>42509</v>
      </c>
      <c r="C2995" s="405" t="s">
        <v>5682</v>
      </c>
      <c r="D2995" s="401" t="s">
        <v>6869</v>
      </c>
      <c r="E2995" s="120">
        <v>250</v>
      </c>
      <c r="F2995" s="394" t="s">
        <v>307</v>
      </c>
      <c r="G2995" s="387" t="s">
        <v>45</v>
      </c>
      <c r="H2995" s="400">
        <v>336.6</v>
      </c>
      <c r="I2995" s="94">
        <f t="shared" ref="I2995:I3000" si="561">-(H2995*0.09)</f>
        <v>-30.294</v>
      </c>
      <c r="J2995" s="391">
        <f t="shared" ref="J2995:J3000" si="562">-((H2995*0.019)+0.3)</f>
        <v>-6.6954000000000002</v>
      </c>
      <c r="K2995" s="90">
        <f t="shared" si="557"/>
        <v>299.61060000000003</v>
      </c>
      <c r="L2995" s="148">
        <v>690</v>
      </c>
      <c r="M2995" s="202">
        <v>49.88</v>
      </c>
      <c r="N2995" s="91">
        <f t="shared" si="560"/>
        <v>222.38</v>
      </c>
      <c r="O2995" s="411">
        <f t="shared" si="551"/>
        <v>77.230600000000038</v>
      </c>
      <c r="P2995" s="403" t="s">
        <v>52</v>
      </c>
      <c r="Q2995" s="232"/>
      <c r="R2995" s="411"/>
      <c r="T2995" s="134" t="s">
        <v>145</v>
      </c>
      <c r="U2995" s="267" t="s">
        <v>6870</v>
      </c>
      <c r="AA2995" s="218"/>
    </row>
    <row r="2996" spans="1:27" ht="24" x14ac:dyDescent="0.25">
      <c r="A2996" s="405">
        <v>3002304</v>
      </c>
      <c r="B2996" s="406">
        <v>42509</v>
      </c>
      <c r="C2996" s="405" t="s">
        <v>5682</v>
      </c>
      <c r="D2996" s="401" t="s">
        <v>6871</v>
      </c>
      <c r="E2996" s="120">
        <v>100</v>
      </c>
      <c r="F2996" s="133" t="s">
        <v>288</v>
      </c>
      <c r="G2996" s="404" t="s">
        <v>45</v>
      </c>
      <c r="H2996" s="411">
        <v>198.16</v>
      </c>
      <c r="I2996" s="94">
        <f t="shared" si="561"/>
        <v>-17.834399999999999</v>
      </c>
      <c r="J2996" s="391">
        <f t="shared" si="562"/>
        <v>-4.0650399999999998</v>
      </c>
      <c r="K2996" s="90">
        <f t="shared" si="557"/>
        <v>176.26056</v>
      </c>
      <c r="L2996" s="131">
        <v>950</v>
      </c>
      <c r="M2996" s="187">
        <v>49.06</v>
      </c>
      <c r="N2996" s="91">
        <f t="shared" si="560"/>
        <v>144.06</v>
      </c>
      <c r="O2996" s="411">
        <f t="shared" si="551"/>
        <v>32.200559999999996</v>
      </c>
      <c r="P2996" s="132" t="s">
        <v>52</v>
      </c>
      <c r="Q2996" s="232"/>
      <c r="R2996" s="411"/>
      <c r="T2996" s="134" t="s">
        <v>145</v>
      </c>
      <c r="U2996" s="267" t="s">
        <v>6872</v>
      </c>
      <c r="AA2996" s="218"/>
    </row>
    <row r="2997" spans="1:27" x14ac:dyDescent="0.25">
      <c r="A2997" s="405">
        <v>3002305</v>
      </c>
      <c r="B2997" s="406">
        <v>42509</v>
      </c>
      <c r="C2997" s="405" t="s">
        <v>5682</v>
      </c>
      <c r="D2997" s="401" t="s">
        <v>6873</v>
      </c>
      <c r="E2997" s="120">
        <v>475</v>
      </c>
      <c r="F2997" s="133" t="s">
        <v>605</v>
      </c>
      <c r="G2997" s="404" t="s">
        <v>45</v>
      </c>
      <c r="H2997" s="411">
        <v>681.54</v>
      </c>
      <c r="I2997" s="94">
        <f t="shared" si="561"/>
        <v>-61.338599999999992</v>
      </c>
      <c r="J2997" s="391">
        <f t="shared" si="562"/>
        <v>-13.24926</v>
      </c>
      <c r="K2997" s="90">
        <f t="shared" si="557"/>
        <v>606.95213999999987</v>
      </c>
      <c r="L2997" s="131">
        <v>600</v>
      </c>
      <c r="M2997" s="187">
        <v>163.85</v>
      </c>
      <c r="N2997" s="91">
        <f t="shared" si="560"/>
        <v>448.85</v>
      </c>
      <c r="O2997" s="411">
        <f t="shared" si="551"/>
        <v>158.10213999999985</v>
      </c>
      <c r="P2997" s="132" t="s">
        <v>52</v>
      </c>
      <c r="Q2997" s="232"/>
      <c r="R2997" s="411"/>
      <c r="T2997" s="134" t="s">
        <v>97</v>
      </c>
      <c r="U2997" s="267" t="s">
        <v>6874</v>
      </c>
      <c r="V2997" s="133" t="s">
        <v>55</v>
      </c>
      <c r="AA2997" s="218"/>
    </row>
    <row r="2998" spans="1:27" ht="24" x14ac:dyDescent="0.25">
      <c r="A2998" s="405">
        <v>3002306</v>
      </c>
      <c r="B2998" s="406">
        <v>42509</v>
      </c>
      <c r="C2998" s="405" t="s">
        <v>5682</v>
      </c>
      <c r="D2998" s="401" t="s">
        <v>6875</v>
      </c>
      <c r="E2998" s="120">
        <v>150</v>
      </c>
      <c r="F2998" s="133" t="s">
        <v>6876</v>
      </c>
      <c r="G2998" s="404" t="s">
        <v>45</v>
      </c>
      <c r="H2998" s="411">
        <v>416</v>
      </c>
      <c r="I2998" s="94">
        <f t="shared" si="561"/>
        <v>-37.44</v>
      </c>
      <c r="J2998" s="391">
        <f t="shared" si="562"/>
        <v>-8.2040000000000006</v>
      </c>
      <c r="K2998" s="90">
        <f t="shared" si="557"/>
        <v>370.35599999999999</v>
      </c>
      <c r="L2998" s="131">
        <v>1564</v>
      </c>
      <c r="M2998" s="187">
        <v>71.38</v>
      </c>
      <c r="N2998" s="91">
        <f t="shared" si="560"/>
        <v>305.98</v>
      </c>
      <c r="O2998" s="411">
        <f t="shared" si="551"/>
        <v>64.375999999999976</v>
      </c>
      <c r="P2998" s="132" t="s">
        <v>52</v>
      </c>
      <c r="Q2998" s="232"/>
      <c r="R2998" s="411"/>
      <c r="T2998" s="134" t="s">
        <v>145</v>
      </c>
      <c r="U2998" s="267" t="s">
        <v>6877</v>
      </c>
      <c r="AA2998" s="218"/>
    </row>
    <row r="2999" spans="1:27" ht="24" x14ac:dyDescent="0.25">
      <c r="A2999" s="405">
        <v>3002307</v>
      </c>
      <c r="B2999" s="406">
        <v>42509</v>
      </c>
      <c r="C2999" s="405" t="s">
        <v>5682</v>
      </c>
      <c r="D2999" s="401" t="s">
        <v>6878</v>
      </c>
      <c r="E2999" s="120">
        <v>250</v>
      </c>
      <c r="F2999" s="133" t="s">
        <v>605</v>
      </c>
      <c r="G2999" s="404" t="s">
        <v>45</v>
      </c>
      <c r="H2999" s="411">
        <v>358.71</v>
      </c>
      <c r="I2999" s="94">
        <f t="shared" si="561"/>
        <v>-32.283899999999996</v>
      </c>
      <c r="J2999" s="391">
        <f t="shared" si="562"/>
        <v>-7.1154899999999994</v>
      </c>
      <c r="K2999" s="90">
        <f t="shared" si="557"/>
        <v>319.31060999999994</v>
      </c>
      <c r="L2999" s="131">
        <v>600</v>
      </c>
      <c r="M2999" s="187">
        <v>53.43</v>
      </c>
      <c r="N2999" s="91">
        <f t="shared" si="560"/>
        <v>203.43</v>
      </c>
      <c r="O2999" s="411">
        <f t="shared" si="551"/>
        <v>115.88060999999993</v>
      </c>
      <c r="P2999" s="132" t="s">
        <v>52</v>
      </c>
      <c r="Q2999" s="232"/>
      <c r="R2999" s="411"/>
      <c r="T2999" s="134" t="s">
        <v>145</v>
      </c>
      <c r="U2999" s="267" t="s">
        <v>6879</v>
      </c>
      <c r="AA2999" s="218"/>
    </row>
    <row r="3000" spans="1:27" ht="24" x14ac:dyDescent="0.25">
      <c r="A3000" s="405">
        <v>3002308</v>
      </c>
      <c r="B3000" s="406">
        <v>42509</v>
      </c>
      <c r="C3000" s="405" t="s">
        <v>5682</v>
      </c>
      <c r="D3000" s="401" t="s">
        <v>6880</v>
      </c>
      <c r="E3000" s="120">
        <v>300</v>
      </c>
      <c r="F3000" s="133" t="s">
        <v>6748</v>
      </c>
      <c r="G3000" s="404" t="s">
        <v>45</v>
      </c>
      <c r="H3000" s="411">
        <v>288.73</v>
      </c>
      <c r="I3000" s="94">
        <f t="shared" si="561"/>
        <v>-25.985700000000001</v>
      </c>
      <c r="J3000" s="391">
        <f t="shared" si="562"/>
        <v>-5.7858700000000001</v>
      </c>
      <c r="K3000" s="90">
        <f t="shared" si="557"/>
        <v>256.95843000000002</v>
      </c>
      <c r="L3000" s="187">
        <v>650</v>
      </c>
      <c r="M3000" s="187">
        <v>39.520000000000003</v>
      </c>
      <c r="N3000" s="91">
        <f t="shared" si="560"/>
        <v>234.52</v>
      </c>
      <c r="O3000" s="411">
        <f t="shared" si="551"/>
        <v>22.438430000000011</v>
      </c>
      <c r="P3000" s="132" t="s">
        <v>183</v>
      </c>
      <c r="Q3000" s="232"/>
      <c r="R3000" s="411"/>
      <c r="T3000" s="134" t="s">
        <v>145</v>
      </c>
      <c r="U3000" s="267" t="s">
        <v>6881</v>
      </c>
      <c r="AA3000" s="218"/>
    </row>
    <row r="3001" spans="1:27" ht="24" x14ac:dyDescent="0.25">
      <c r="A3001" s="405">
        <v>3002309</v>
      </c>
      <c r="B3001" s="406">
        <v>42509</v>
      </c>
      <c r="C3001" s="405" t="s">
        <v>237</v>
      </c>
      <c r="D3001" s="401" t="s">
        <v>6882</v>
      </c>
      <c r="E3001" s="120">
        <v>150</v>
      </c>
      <c r="F3001" s="133" t="s">
        <v>247</v>
      </c>
      <c r="G3001" s="404" t="s">
        <v>45</v>
      </c>
      <c r="H3001" s="411">
        <v>166.6</v>
      </c>
      <c r="I3001" s="397">
        <f t="shared" ref="I3001:I3003" si="563">-(H3001*0.15)</f>
        <v>-24.99</v>
      </c>
      <c r="J3001" s="411">
        <v>0</v>
      </c>
      <c r="K3001" s="90">
        <f t="shared" si="557"/>
        <v>141.60999999999999</v>
      </c>
      <c r="L3001" s="131">
        <v>662</v>
      </c>
      <c r="M3001" s="187">
        <v>55.61</v>
      </c>
      <c r="N3001" s="91">
        <f t="shared" si="560"/>
        <v>154.91</v>
      </c>
      <c r="O3001" s="411">
        <f t="shared" si="551"/>
        <v>-13.300000000000011</v>
      </c>
      <c r="P3001" s="132" t="s">
        <v>52</v>
      </c>
      <c r="Q3001" s="232"/>
      <c r="R3001" s="411"/>
      <c r="T3001" s="134" t="s">
        <v>145</v>
      </c>
      <c r="U3001" s="267" t="s">
        <v>6883</v>
      </c>
      <c r="AA3001" s="218"/>
    </row>
    <row r="3002" spans="1:27" ht="24" x14ac:dyDescent="0.25">
      <c r="A3002" s="405">
        <v>3002310</v>
      </c>
      <c r="B3002" s="406">
        <v>42509</v>
      </c>
      <c r="C3002" s="405" t="s">
        <v>237</v>
      </c>
      <c r="D3002" s="401" t="s">
        <v>6884</v>
      </c>
      <c r="E3002" s="120">
        <v>1000</v>
      </c>
      <c r="F3002" s="133" t="s">
        <v>6885</v>
      </c>
      <c r="G3002" s="404" t="s">
        <v>45</v>
      </c>
      <c r="H3002" s="411">
        <v>442.97</v>
      </c>
      <c r="I3002" s="397">
        <f t="shared" si="563"/>
        <v>-66.445499999999996</v>
      </c>
      <c r="J3002" s="411">
        <v>0</v>
      </c>
      <c r="K3002" s="90">
        <f t="shared" si="557"/>
        <v>376.52450000000005</v>
      </c>
      <c r="M3002" s="187">
        <v>92.86</v>
      </c>
      <c r="N3002" s="91">
        <f t="shared" si="560"/>
        <v>92.86</v>
      </c>
      <c r="O3002" s="411">
        <f t="shared" si="551"/>
        <v>283.66450000000003</v>
      </c>
      <c r="P3002" s="132" t="s">
        <v>52</v>
      </c>
      <c r="Q3002" s="232"/>
      <c r="R3002" s="411"/>
      <c r="T3002" s="134" t="s">
        <v>145</v>
      </c>
      <c r="U3002" s="267" t="s">
        <v>6886</v>
      </c>
      <c r="AA3002" s="218"/>
    </row>
    <row r="3003" spans="1:27" ht="24" x14ac:dyDescent="0.25">
      <c r="A3003" s="405">
        <v>3002311</v>
      </c>
      <c r="B3003" s="406">
        <v>42509</v>
      </c>
      <c r="C3003" s="405" t="s">
        <v>237</v>
      </c>
      <c r="D3003" s="401" t="s">
        <v>6887</v>
      </c>
      <c r="E3003" s="120">
        <v>100</v>
      </c>
      <c r="F3003" s="133" t="s">
        <v>4407</v>
      </c>
      <c r="G3003" s="404" t="s">
        <v>45</v>
      </c>
      <c r="H3003" s="411">
        <v>301.47000000000003</v>
      </c>
      <c r="I3003" s="397">
        <f t="shared" si="563"/>
        <v>-45.220500000000001</v>
      </c>
      <c r="J3003" s="411">
        <v>0</v>
      </c>
      <c r="K3003" s="90">
        <f t="shared" si="557"/>
        <v>256.24950000000001</v>
      </c>
      <c r="L3003" s="187">
        <v>2150</v>
      </c>
      <c r="M3003" s="187">
        <v>46.45</v>
      </c>
      <c r="N3003" s="91">
        <f t="shared" si="560"/>
        <v>261.45</v>
      </c>
      <c r="O3003" s="411">
        <f t="shared" si="551"/>
        <v>-5.2004999999999768</v>
      </c>
      <c r="P3003" s="132" t="s">
        <v>601</v>
      </c>
      <c r="Q3003" s="232"/>
      <c r="R3003" s="411"/>
      <c r="T3003" s="134" t="s">
        <v>145</v>
      </c>
      <c r="U3003" s="267" t="s">
        <v>6888</v>
      </c>
      <c r="AA3003" s="218"/>
    </row>
    <row r="3004" spans="1:27" x14ac:dyDescent="0.25">
      <c r="A3004" s="405">
        <v>3002312</v>
      </c>
      <c r="B3004" s="406">
        <v>42509</v>
      </c>
      <c r="C3004" s="405" t="s">
        <v>327</v>
      </c>
      <c r="D3004" s="401" t="s">
        <v>6889</v>
      </c>
      <c r="E3004" s="120">
        <v>175</v>
      </c>
      <c r="F3004" s="133" t="s">
        <v>860</v>
      </c>
      <c r="G3004" s="404" t="s">
        <v>45</v>
      </c>
      <c r="H3004" s="411">
        <v>1137.5</v>
      </c>
      <c r="I3004" s="411">
        <v>0</v>
      </c>
      <c r="J3004" s="383">
        <f>-((H3004*0.022)+0.3)</f>
        <v>-25.324999999999999</v>
      </c>
      <c r="K3004" s="90">
        <f t="shared" si="557"/>
        <v>1112.175</v>
      </c>
      <c r="L3004" s="131">
        <v>3300</v>
      </c>
      <c r="M3004" s="187">
        <v>110.22</v>
      </c>
      <c r="N3004" s="91">
        <f t="shared" si="560"/>
        <v>687.72</v>
      </c>
      <c r="O3004" s="411">
        <f t="shared" si="551"/>
        <v>424.45499999999993</v>
      </c>
      <c r="P3004" s="132" t="s">
        <v>52</v>
      </c>
      <c r="Q3004" s="232"/>
      <c r="R3004" s="411"/>
      <c r="T3004" s="134" t="s">
        <v>244</v>
      </c>
      <c r="U3004" s="267" t="s">
        <v>6890</v>
      </c>
      <c r="V3004" s="133" t="s">
        <v>55</v>
      </c>
      <c r="AA3004" s="218">
        <v>10</v>
      </c>
    </row>
    <row r="3005" spans="1:27" ht="24" x14ac:dyDescent="0.25">
      <c r="A3005" s="405">
        <v>3002313</v>
      </c>
      <c r="B3005" s="406">
        <v>42509</v>
      </c>
      <c r="C3005" s="405" t="s">
        <v>5682</v>
      </c>
      <c r="D3005" s="401" t="s">
        <v>6891</v>
      </c>
      <c r="E3005" s="120">
        <v>250</v>
      </c>
      <c r="F3005" s="133" t="s">
        <v>1798</v>
      </c>
      <c r="G3005" s="404" t="s">
        <v>45</v>
      </c>
      <c r="H3005" s="411">
        <v>99.6</v>
      </c>
      <c r="I3005" s="94">
        <f t="shared" ref="I3005" si="564">-(H3005*0.09)</f>
        <v>-8.9639999999999986</v>
      </c>
      <c r="J3005" s="391">
        <f t="shared" ref="J3005:J3009" si="565">-((H3005*0.019)+0.3)</f>
        <v>-2.1923999999999997</v>
      </c>
      <c r="K3005" s="90">
        <f t="shared" si="557"/>
        <v>88.443599999999989</v>
      </c>
      <c r="L3005" s="187">
        <v>225</v>
      </c>
      <c r="M3005" s="187">
        <v>14.43</v>
      </c>
      <c r="N3005" s="91">
        <f t="shared" si="560"/>
        <v>70.680000000000007</v>
      </c>
      <c r="O3005" s="411">
        <f t="shared" si="551"/>
        <v>17.763599999999983</v>
      </c>
      <c r="P3005" s="132" t="s">
        <v>183</v>
      </c>
      <c r="Q3005" s="232"/>
      <c r="R3005" s="411"/>
      <c r="T3005" s="134" t="s">
        <v>145</v>
      </c>
      <c r="U3005" s="267" t="s">
        <v>6892</v>
      </c>
      <c r="AA3005" s="218"/>
    </row>
    <row r="3006" spans="1:27" ht="24" x14ac:dyDescent="0.25">
      <c r="A3006" s="405">
        <v>3002314</v>
      </c>
      <c r="B3006" s="406">
        <v>42509</v>
      </c>
      <c r="C3006" s="405" t="s">
        <v>63</v>
      </c>
      <c r="D3006" s="401" t="s">
        <v>6893</v>
      </c>
      <c r="E3006" s="120">
        <v>3000</v>
      </c>
      <c r="F3006" s="133" t="s">
        <v>6894</v>
      </c>
      <c r="G3006" s="404" t="s">
        <v>45</v>
      </c>
      <c r="H3006" s="411">
        <v>12350</v>
      </c>
      <c r="I3006" s="411">
        <v>0</v>
      </c>
      <c r="J3006" s="383">
        <f>-((H3006*0.022)+0.3)</f>
        <v>-272</v>
      </c>
      <c r="K3006" s="90">
        <f t="shared" si="557"/>
        <v>12078</v>
      </c>
      <c r="L3006" s="187">
        <v>2910</v>
      </c>
      <c r="N3006" s="91">
        <f t="shared" si="560"/>
        <v>8730</v>
      </c>
      <c r="O3006" s="411">
        <f t="shared" si="551"/>
        <v>3348</v>
      </c>
      <c r="P3006" s="132" t="s">
        <v>183</v>
      </c>
      <c r="Q3006" s="232"/>
      <c r="R3006" s="411"/>
      <c r="T3006" s="134" t="s">
        <v>473</v>
      </c>
      <c r="U3006" s="267" t="s">
        <v>6895</v>
      </c>
      <c r="W3006" s="153" t="s">
        <v>6896</v>
      </c>
      <c r="AA3006" s="218">
        <v>50</v>
      </c>
    </row>
    <row r="3007" spans="1:27" x14ac:dyDescent="0.25">
      <c r="A3007" s="405">
        <v>3002315</v>
      </c>
      <c r="B3007" s="406">
        <v>42509</v>
      </c>
      <c r="C3007" s="405" t="s">
        <v>63</v>
      </c>
      <c r="D3007" s="401" t="s">
        <v>6897</v>
      </c>
      <c r="E3007" s="120">
        <v>2500</v>
      </c>
      <c r="F3007" s="133" t="s">
        <v>6898</v>
      </c>
      <c r="G3007" s="404" t="s">
        <v>45</v>
      </c>
      <c r="H3007" s="411">
        <v>4125</v>
      </c>
      <c r="I3007" s="411">
        <v>0</v>
      </c>
      <c r="J3007" s="383">
        <f>-((H3007*0.022)+0.3)</f>
        <v>-91.05</v>
      </c>
      <c r="K3007" s="90">
        <f t="shared" si="557"/>
        <v>4033.95</v>
      </c>
      <c r="L3007" s="187">
        <v>1260</v>
      </c>
      <c r="M3007" s="158">
        <v>0</v>
      </c>
      <c r="N3007" s="91">
        <f t="shared" si="560"/>
        <v>3150</v>
      </c>
      <c r="O3007" s="411">
        <f t="shared" si="551"/>
        <v>883.94999999999982</v>
      </c>
      <c r="P3007" s="132" t="s">
        <v>183</v>
      </c>
      <c r="Q3007" s="232"/>
      <c r="R3007" s="411"/>
      <c r="T3007" s="134" t="s">
        <v>1229</v>
      </c>
      <c r="U3007" s="266" t="s">
        <v>1229</v>
      </c>
      <c r="V3007" s="133" t="s">
        <v>5096</v>
      </c>
      <c r="W3007" s="153" t="s">
        <v>6899</v>
      </c>
      <c r="AA3007" s="218">
        <v>10</v>
      </c>
    </row>
    <row r="3008" spans="1:27" ht="24" x14ac:dyDescent="0.25">
      <c r="A3008" s="405">
        <v>3002316</v>
      </c>
      <c r="B3008" s="406">
        <v>42510</v>
      </c>
      <c r="C3008" s="405" t="s">
        <v>78</v>
      </c>
      <c r="D3008" s="401" t="s">
        <v>269</v>
      </c>
      <c r="E3008" s="120">
        <v>100</v>
      </c>
      <c r="F3008" s="133" t="s">
        <v>1270</v>
      </c>
      <c r="G3008" s="404" t="s">
        <v>45</v>
      </c>
      <c r="H3008" s="411">
        <v>280</v>
      </c>
      <c r="I3008" s="411">
        <v>0</v>
      </c>
      <c r="J3008" s="391">
        <f t="shared" si="565"/>
        <v>-5.62</v>
      </c>
      <c r="K3008" s="90">
        <f t="shared" si="557"/>
        <v>274.38</v>
      </c>
      <c r="L3008" s="187">
        <v>1850</v>
      </c>
      <c r="M3008" s="187">
        <v>23.3</v>
      </c>
      <c r="N3008" s="91">
        <f t="shared" si="560"/>
        <v>208.3</v>
      </c>
      <c r="O3008" s="411">
        <f t="shared" si="551"/>
        <v>66.079999999999984</v>
      </c>
      <c r="P3008" s="132" t="s">
        <v>183</v>
      </c>
      <c r="Q3008" s="232"/>
      <c r="R3008" s="411"/>
      <c r="T3008" s="134" t="s">
        <v>324</v>
      </c>
      <c r="U3008" s="267" t="s">
        <v>6900</v>
      </c>
      <c r="W3008" s="153" t="s">
        <v>271</v>
      </c>
      <c r="AA3008" s="218"/>
    </row>
    <row r="3009" spans="1:27" x14ac:dyDescent="0.25">
      <c r="A3009" s="419">
        <v>3002317</v>
      </c>
      <c r="B3009" s="421">
        <v>42510</v>
      </c>
      <c r="C3009" s="419" t="s">
        <v>78</v>
      </c>
      <c r="D3009" s="417" t="s">
        <v>6901</v>
      </c>
      <c r="E3009" s="120">
        <v>250</v>
      </c>
      <c r="F3009" s="133" t="s">
        <v>2483</v>
      </c>
      <c r="G3009" s="434" t="s">
        <v>45</v>
      </c>
      <c r="H3009" s="427">
        <v>1000</v>
      </c>
      <c r="I3009" s="427">
        <v>0</v>
      </c>
      <c r="J3009" s="425">
        <f t="shared" si="565"/>
        <v>-19.3</v>
      </c>
      <c r="K3009" s="425">
        <f t="shared" si="557"/>
        <v>980.7</v>
      </c>
      <c r="L3009" s="187">
        <v>1450</v>
      </c>
      <c r="N3009" s="91">
        <f t="shared" si="560"/>
        <v>362.5</v>
      </c>
      <c r="O3009" s="411">
        <f t="shared" si="551"/>
        <v>618.20000000000005</v>
      </c>
      <c r="P3009" s="132" t="s">
        <v>601</v>
      </c>
      <c r="Q3009" s="232"/>
      <c r="R3009" s="411"/>
      <c r="T3009" s="439" t="s">
        <v>60</v>
      </c>
      <c r="U3009" s="446" t="s">
        <v>6902</v>
      </c>
      <c r="W3009" s="153" t="s">
        <v>6903</v>
      </c>
      <c r="AA3009" s="473">
        <v>10</v>
      </c>
    </row>
    <row r="3010" spans="1:27" x14ac:dyDescent="0.25">
      <c r="A3010" s="420"/>
      <c r="B3010" s="422"/>
      <c r="C3010" s="420"/>
      <c r="D3010" s="418"/>
      <c r="E3010" s="120">
        <v>250</v>
      </c>
      <c r="F3010" s="133" t="s">
        <v>3345</v>
      </c>
      <c r="G3010" s="436"/>
      <c r="H3010" s="428"/>
      <c r="I3010" s="428"/>
      <c r="J3010" s="426"/>
      <c r="K3010" s="426"/>
      <c r="L3010" s="187">
        <v>1450</v>
      </c>
      <c r="N3010" s="91">
        <f t="shared" si="560"/>
        <v>362.5</v>
      </c>
      <c r="O3010" s="411">
        <f t="shared" si="551"/>
        <v>-362.5</v>
      </c>
      <c r="P3010" s="132" t="s">
        <v>601</v>
      </c>
      <c r="Q3010" s="232"/>
      <c r="R3010" s="411"/>
      <c r="T3010" s="441"/>
      <c r="U3010" s="447"/>
      <c r="AA3010" s="474"/>
    </row>
    <row r="3011" spans="1:27" ht="24" x14ac:dyDescent="0.25">
      <c r="A3011" s="405">
        <v>3002318</v>
      </c>
      <c r="B3011" s="406">
        <v>42510</v>
      </c>
      <c r="C3011" s="405" t="s">
        <v>327</v>
      </c>
      <c r="D3011" s="401" t="s">
        <v>6904</v>
      </c>
      <c r="E3011" s="120">
        <v>10</v>
      </c>
      <c r="F3011" s="133" t="s">
        <v>431</v>
      </c>
      <c r="G3011" s="404" t="s">
        <v>45</v>
      </c>
      <c r="H3011" s="411">
        <v>75</v>
      </c>
      <c r="I3011" s="411">
        <v>0</v>
      </c>
      <c r="J3011" s="383">
        <f>-((H3011*0.022)+0.3)</f>
        <v>-1.95</v>
      </c>
      <c r="K3011" s="90">
        <f t="shared" si="557"/>
        <v>73.05</v>
      </c>
      <c r="L3011" s="131">
        <v>1050</v>
      </c>
      <c r="M3011" s="187">
        <v>12.97</v>
      </c>
      <c r="N3011" s="91">
        <f t="shared" si="560"/>
        <v>23.47</v>
      </c>
      <c r="O3011" s="411">
        <f t="shared" si="551"/>
        <v>49.58</v>
      </c>
      <c r="P3011" s="132" t="s">
        <v>52</v>
      </c>
      <c r="Q3011" s="232"/>
      <c r="R3011" s="411"/>
      <c r="T3011" s="134" t="s">
        <v>145</v>
      </c>
      <c r="U3011" s="267" t="s">
        <v>6905</v>
      </c>
      <c r="W3011" s="153" t="s">
        <v>6906</v>
      </c>
      <c r="AA3011" s="218"/>
    </row>
    <row r="3012" spans="1:27" ht="24" x14ac:dyDescent="0.25">
      <c r="A3012" s="405">
        <v>3002319</v>
      </c>
      <c r="B3012" s="406">
        <v>42510</v>
      </c>
      <c r="C3012" s="405" t="s">
        <v>5682</v>
      </c>
      <c r="D3012" s="401" t="s">
        <v>6907</v>
      </c>
      <c r="E3012" s="120">
        <v>500</v>
      </c>
      <c r="F3012" s="133" t="s">
        <v>6908</v>
      </c>
      <c r="G3012" s="404" t="s">
        <v>45</v>
      </c>
      <c r="H3012" s="411">
        <v>147.25</v>
      </c>
      <c r="I3012" s="94">
        <f t="shared" ref="I3012:I3015" si="566">-(H3012*0.09)</f>
        <v>-13.2525</v>
      </c>
      <c r="J3012" s="391">
        <f t="shared" ref="J3012:J3015" si="567">-((H3012*0.019)+0.3)</f>
        <v>-3.0977499999999996</v>
      </c>
      <c r="K3012" s="90">
        <f t="shared" si="557"/>
        <v>130.89975000000001</v>
      </c>
      <c r="L3012" s="131">
        <v>49</v>
      </c>
      <c r="M3012" s="187">
        <v>45.8</v>
      </c>
      <c r="N3012" s="91">
        <f t="shared" si="560"/>
        <v>70.3</v>
      </c>
      <c r="O3012" s="411">
        <f t="shared" si="551"/>
        <v>60.599750000000014</v>
      </c>
      <c r="P3012" s="132" t="s">
        <v>52</v>
      </c>
      <c r="Q3012" s="232"/>
      <c r="R3012" s="411"/>
      <c r="T3012" s="134" t="s">
        <v>145</v>
      </c>
      <c r="U3012" s="267" t="s">
        <v>6909</v>
      </c>
      <c r="AA3012" s="218"/>
    </row>
    <row r="3013" spans="1:27" ht="24" x14ac:dyDescent="0.25">
      <c r="A3013" s="405">
        <v>3002320</v>
      </c>
      <c r="B3013" s="406">
        <v>42510</v>
      </c>
      <c r="C3013" s="405" t="s">
        <v>5682</v>
      </c>
      <c r="D3013" s="401" t="s">
        <v>6910</v>
      </c>
      <c r="E3013" s="120">
        <v>400</v>
      </c>
      <c r="F3013" s="133" t="s">
        <v>6911</v>
      </c>
      <c r="G3013" s="404" t="s">
        <v>45</v>
      </c>
      <c r="H3013" s="411">
        <v>183.74</v>
      </c>
      <c r="I3013" s="94">
        <f t="shared" si="566"/>
        <v>-16.5366</v>
      </c>
      <c r="J3013" s="391">
        <f t="shared" si="567"/>
        <v>-3.7910599999999999</v>
      </c>
      <c r="K3013" s="90">
        <f t="shared" si="557"/>
        <v>163.41234000000003</v>
      </c>
      <c r="M3013" s="187">
        <v>18.14</v>
      </c>
      <c r="N3013" s="91">
        <f t="shared" si="560"/>
        <v>18.14</v>
      </c>
      <c r="O3013" s="411">
        <f t="shared" si="551"/>
        <v>145.27234000000004</v>
      </c>
      <c r="P3013" s="132" t="s">
        <v>86</v>
      </c>
      <c r="Q3013" s="232"/>
      <c r="R3013" s="411"/>
      <c r="T3013" s="134" t="s">
        <v>145</v>
      </c>
      <c r="U3013" s="267" t="s">
        <v>6912</v>
      </c>
      <c r="AA3013" s="218"/>
    </row>
    <row r="3014" spans="1:27" ht="24" x14ac:dyDescent="0.25">
      <c r="A3014" s="405">
        <v>3002321</v>
      </c>
      <c r="B3014" s="406">
        <v>42510</v>
      </c>
      <c r="C3014" s="405" t="s">
        <v>5682</v>
      </c>
      <c r="D3014" s="401" t="s">
        <v>6913</v>
      </c>
      <c r="E3014" s="120">
        <v>100</v>
      </c>
      <c r="F3014" s="133" t="s">
        <v>6914</v>
      </c>
      <c r="G3014" s="404" t="s">
        <v>45</v>
      </c>
      <c r="H3014" s="411">
        <v>127.35</v>
      </c>
      <c r="I3014" s="94">
        <f t="shared" si="566"/>
        <v>-11.461499999999999</v>
      </c>
      <c r="J3014" s="391">
        <f t="shared" si="567"/>
        <v>-2.7196499999999997</v>
      </c>
      <c r="K3014" s="90">
        <f t="shared" si="557"/>
        <v>113.16884999999999</v>
      </c>
      <c r="L3014" s="187">
        <v>527</v>
      </c>
      <c r="M3014" s="187">
        <v>34.24</v>
      </c>
      <c r="N3014" s="91">
        <f t="shared" si="560"/>
        <v>86.94</v>
      </c>
      <c r="O3014" s="411">
        <f t="shared" si="551"/>
        <v>26.228849999999994</v>
      </c>
      <c r="P3014" s="132" t="s">
        <v>183</v>
      </c>
      <c r="Q3014" s="232"/>
      <c r="R3014" s="411"/>
      <c r="T3014" s="134" t="s">
        <v>145</v>
      </c>
      <c r="U3014" s="267" t="s">
        <v>6915</v>
      </c>
      <c r="AA3014" s="218"/>
    </row>
    <row r="3015" spans="1:27" ht="24" x14ac:dyDescent="0.25">
      <c r="A3015" s="405">
        <v>3002322</v>
      </c>
      <c r="B3015" s="406">
        <v>42510</v>
      </c>
      <c r="C3015" s="405" t="s">
        <v>5682</v>
      </c>
      <c r="D3015" s="401" t="s">
        <v>6916</v>
      </c>
      <c r="E3015" s="120">
        <v>250</v>
      </c>
      <c r="F3015" s="133" t="s">
        <v>1137</v>
      </c>
      <c r="G3015" s="404" t="s">
        <v>45</v>
      </c>
      <c r="H3015" s="411">
        <v>133</v>
      </c>
      <c r="I3015" s="94">
        <f t="shared" si="566"/>
        <v>-11.969999999999999</v>
      </c>
      <c r="J3015" s="391">
        <f t="shared" si="567"/>
        <v>-2.827</v>
      </c>
      <c r="K3015" s="90">
        <f t="shared" si="557"/>
        <v>118.203</v>
      </c>
      <c r="L3015" s="131">
        <v>250</v>
      </c>
      <c r="M3015" s="187">
        <v>28.08</v>
      </c>
      <c r="N3015" s="91">
        <f t="shared" si="560"/>
        <v>90.58</v>
      </c>
      <c r="O3015" s="411">
        <f t="shared" si="551"/>
        <v>27.623000000000005</v>
      </c>
      <c r="P3015" s="132" t="s">
        <v>52</v>
      </c>
      <c r="Q3015" s="232"/>
      <c r="R3015" s="411"/>
      <c r="T3015" s="134" t="s">
        <v>145</v>
      </c>
      <c r="U3015" s="267" t="s">
        <v>6917</v>
      </c>
      <c r="AA3015" s="218"/>
    </row>
    <row r="3016" spans="1:27" ht="24" x14ac:dyDescent="0.25">
      <c r="A3016" s="405">
        <v>3002323</v>
      </c>
      <c r="B3016" s="406">
        <v>42510</v>
      </c>
      <c r="C3016" s="405" t="s">
        <v>237</v>
      </c>
      <c r="D3016" s="401" t="s">
        <v>6918</v>
      </c>
      <c r="E3016" s="120">
        <v>100</v>
      </c>
      <c r="F3016" s="133" t="s">
        <v>4407</v>
      </c>
      <c r="G3016" s="404" t="s">
        <v>45</v>
      </c>
      <c r="H3016" s="411">
        <v>301.47000000000003</v>
      </c>
      <c r="I3016" s="397">
        <f t="shared" ref="I3016" si="568">-(H3016*0.15)</f>
        <v>-45.220500000000001</v>
      </c>
      <c r="J3016" s="411">
        <v>0</v>
      </c>
      <c r="K3016" s="90">
        <f t="shared" si="557"/>
        <v>256.24950000000001</v>
      </c>
      <c r="L3016" s="187">
        <v>2150</v>
      </c>
      <c r="M3016" s="187">
        <v>57.63</v>
      </c>
      <c r="N3016" s="91">
        <f t="shared" si="560"/>
        <v>272.63</v>
      </c>
      <c r="O3016" s="411">
        <f t="shared" si="551"/>
        <v>-16.380499999999984</v>
      </c>
      <c r="P3016" s="132" t="s">
        <v>601</v>
      </c>
      <c r="Q3016" s="232"/>
      <c r="R3016" s="411"/>
      <c r="T3016" s="134" t="s">
        <v>145</v>
      </c>
      <c r="U3016" s="267" t="s">
        <v>6919</v>
      </c>
      <c r="AA3016" s="218"/>
    </row>
    <row r="3017" spans="1:27" ht="24" x14ac:dyDescent="0.25">
      <c r="A3017" s="405">
        <v>3002324</v>
      </c>
      <c r="B3017" s="406">
        <v>42510</v>
      </c>
      <c r="C3017" s="405" t="s">
        <v>63</v>
      </c>
      <c r="D3017" s="401" t="s">
        <v>6920</v>
      </c>
      <c r="E3017" s="120">
        <v>300</v>
      </c>
      <c r="F3017" s="133" t="s">
        <v>288</v>
      </c>
      <c r="G3017" s="404" t="s">
        <v>45</v>
      </c>
      <c r="H3017" s="411">
        <v>633</v>
      </c>
      <c r="I3017" s="411">
        <v>0</v>
      </c>
      <c r="J3017" s="383">
        <f>-((H3017*0.022)+0.3)</f>
        <v>-14.225999999999999</v>
      </c>
      <c r="K3017" s="90">
        <f t="shared" si="557"/>
        <v>618.774</v>
      </c>
      <c r="L3017" s="131">
        <v>950</v>
      </c>
      <c r="M3017" s="187">
        <v>61.05</v>
      </c>
      <c r="N3017" s="91">
        <f t="shared" si="560"/>
        <v>346.05</v>
      </c>
      <c r="O3017" s="411">
        <f t="shared" si="551"/>
        <v>272.72399999999999</v>
      </c>
      <c r="P3017" s="132" t="s">
        <v>52</v>
      </c>
      <c r="Q3017" s="232"/>
      <c r="R3017" s="411"/>
      <c r="T3017" s="134" t="s">
        <v>145</v>
      </c>
      <c r="U3017" s="267" t="s">
        <v>6921</v>
      </c>
      <c r="V3017" s="133" t="s">
        <v>55</v>
      </c>
      <c r="W3017" s="153" t="s">
        <v>6922</v>
      </c>
      <c r="AA3017" s="218"/>
    </row>
    <row r="3018" spans="1:27" ht="24" x14ac:dyDescent="0.25">
      <c r="A3018" s="405">
        <v>3002325</v>
      </c>
      <c r="B3018" s="406">
        <v>42510</v>
      </c>
      <c r="C3018" s="405" t="s">
        <v>5682</v>
      </c>
      <c r="D3018" s="401" t="s">
        <v>6923</v>
      </c>
      <c r="E3018" s="120">
        <v>200</v>
      </c>
      <c r="F3018" s="133" t="s">
        <v>161</v>
      </c>
      <c r="G3018" s="404" t="s">
        <v>45</v>
      </c>
      <c r="H3018" s="411">
        <v>427.02</v>
      </c>
      <c r="I3018" s="94">
        <f t="shared" ref="I3018:I3020" si="569">-(H3018*0.09)</f>
        <v>-38.431799999999996</v>
      </c>
      <c r="J3018" s="391">
        <f t="shared" ref="J3018:J3020" si="570">-((H3018*0.019)+0.3)</f>
        <v>-8.4133800000000001</v>
      </c>
      <c r="K3018" s="90">
        <f t="shared" si="557"/>
        <v>380.17481999999995</v>
      </c>
      <c r="L3018" s="131">
        <v>1322</v>
      </c>
      <c r="M3018" s="187">
        <v>66.56</v>
      </c>
      <c r="N3018" s="91">
        <f t="shared" si="560"/>
        <v>330.96000000000004</v>
      </c>
      <c r="O3018" s="411">
        <f t="shared" si="551"/>
        <v>49.214819999999918</v>
      </c>
      <c r="P3018" s="132" t="s">
        <v>52</v>
      </c>
      <c r="Q3018" s="232"/>
      <c r="R3018" s="411"/>
      <c r="T3018" s="134" t="s">
        <v>145</v>
      </c>
      <c r="U3018" s="267" t="s">
        <v>6924</v>
      </c>
      <c r="AA3018" s="218"/>
    </row>
    <row r="3019" spans="1:27" ht="24" x14ac:dyDescent="0.25">
      <c r="A3019" s="405">
        <v>3002326</v>
      </c>
      <c r="B3019" s="406">
        <v>42510</v>
      </c>
      <c r="C3019" s="405" t="s">
        <v>5682</v>
      </c>
      <c r="D3019" s="401" t="s">
        <v>6925</v>
      </c>
      <c r="E3019" s="120">
        <v>125</v>
      </c>
      <c r="F3019" s="133" t="s">
        <v>1547</v>
      </c>
      <c r="G3019" s="404" t="s">
        <v>45</v>
      </c>
      <c r="H3019" s="411">
        <v>131.77000000000001</v>
      </c>
      <c r="I3019" s="94">
        <f t="shared" si="569"/>
        <v>-11.859300000000001</v>
      </c>
      <c r="J3019" s="391">
        <f t="shared" si="570"/>
        <v>-2.8036300000000001</v>
      </c>
      <c r="K3019" s="90">
        <f t="shared" si="557"/>
        <v>117.10707000000001</v>
      </c>
      <c r="L3019" s="131">
        <v>385</v>
      </c>
      <c r="M3019" s="187">
        <v>38.14</v>
      </c>
      <c r="N3019" s="91">
        <f t="shared" si="560"/>
        <v>86.265000000000001</v>
      </c>
      <c r="O3019" s="411">
        <f t="shared" si="551"/>
        <v>30.842070000000007</v>
      </c>
      <c r="P3019" s="132" t="s">
        <v>52</v>
      </c>
      <c r="Q3019" s="232"/>
      <c r="R3019" s="411"/>
      <c r="T3019" s="134" t="s">
        <v>145</v>
      </c>
      <c r="U3019" s="267" t="s">
        <v>6926</v>
      </c>
      <c r="AA3019" s="218"/>
    </row>
    <row r="3020" spans="1:27" ht="24" x14ac:dyDescent="0.25">
      <c r="A3020" s="405">
        <v>3002327</v>
      </c>
      <c r="B3020" s="406">
        <v>42510</v>
      </c>
      <c r="C3020" s="405" t="s">
        <v>5682</v>
      </c>
      <c r="D3020" s="401" t="s">
        <v>6927</v>
      </c>
      <c r="E3020" s="120">
        <v>300</v>
      </c>
      <c r="F3020" s="133" t="s">
        <v>227</v>
      </c>
      <c r="G3020" s="404" t="s">
        <v>45</v>
      </c>
      <c r="H3020" s="411">
        <v>270.41000000000003</v>
      </c>
      <c r="I3020" s="94">
        <f t="shared" si="569"/>
        <v>-24.3369</v>
      </c>
      <c r="J3020" s="391">
        <f t="shared" si="570"/>
        <v>-5.4377900000000006</v>
      </c>
      <c r="K3020" s="90">
        <f t="shared" si="557"/>
        <v>240.63531</v>
      </c>
      <c r="L3020" s="131">
        <v>350</v>
      </c>
      <c r="M3020" s="187">
        <v>45.65</v>
      </c>
      <c r="N3020" s="91">
        <f t="shared" si="560"/>
        <v>150.65</v>
      </c>
      <c r="O3020" s="411">
        <f t="shared" ref="O3020:O3083" si="571">K3020-N3020</f>
        <v>89.985309999999998</v>
      </c>
      <c r="P3020" s="132" t="s">
        <v>52</v>
      </c>
      <c r="Q3020" s="232"/>
      <c r="R3020" s="411"/>
      <c r="T3020" s="134" t="s">
        <v>145</v>
      </c>
      <c r="U3020" s="267" t="s">
        <v>6928</v>
      </c>
      <c r="AA3020" s="218"/>
    </row>
    <row r="3021" spans="1:27" x14ac:dyDescent="0.25">
      <c r="A3021" s="419">
        <v>3002328</v>
      </c>
      <c r="B3021" s="421">
        <v>42510</v>
      </c>
      <c r="C3021" s="419" t="s">
        <v>63</v>
      </c>
      <c r="D3021" s="417" t="s">
        <v>74</v>
      </c>
      <c r="E3021" s="120">
        <v>10000</v>
      </c>
      <c r="F3021" s="133" t="s">
        <v>6929</v>
      </c>
      <c r="G3021" s="434" t="s">
        <v>45</v>
      </c>
      <c r="H3021" s="427">
        <v>13825</v>
      </c>
      <c r="I3021" s="427">
        <v>0</v>
      </c>
      <c r="J3021" s="425">
        <f>-((H3021*0.022)+0.3)</f>
        <v>-304.45</v>
      </c>
      <c r="K3021" s="425">
        <f t="shared" si="557"/>
        <v>13520.55</v>
      </c>
      <c r="L3021" s="187">
        <v>296</v>
      </c>
      <c r="M3021" s="544">
        <v>0</v>
      </c>
      <c r="N3021" s="91">
        <f t="shared" ref="N3021:N3022" si="572">((L3021)*(E3021*0.001))+M3019</f>
        <v>2998.14</v>
      </c>
      <c r="O3021" s="411">
        <f t="shared" si="571"/>
        <v>10522.41</v>
      </c>
      <c r="P3021" s="132" t="s">
        <v>2846</v>
      </c>
      <c r="Q3021" s="232"/>
      <c r="R3021" s="411"/>
      <c r="T3021" s="439" t="s">
        <v>6930</v>
      </c>
      <c r="U3021" s="444" t="s">
        <v>6931</v>
      </c>
      <c r="W3021" s="153" t="s">
        <v>77</v>
      </c>
      <c r="AA3021" s="473">
        <v>100</v>
      </c>
    </row>
    <row r="3022" spans="1:27" x14ac:dyDescent="0.25">
      <c r="A3022" s="432"/>
      <c r="B3022" s="433"/>
      <c r="C3022" s="432"/>
      <c r="D3022" s="454"/>
      <c r="E3022" s="120">
        <v>10000</v>
      </c>
      <c r="F3022" s="133" t="s">
        <v>6932</v>
      </c>
      <c r="G3022" s="435"/>
      <c r="H3022" s="438"/>
      <c r="I3022" s="438"/>
      <c r="J3022" s="437"/>
      <c r="K3022" s="437"/>
      <c r="L3022" s="187">
        <v>296</v>
      </c>
      <c r="M3022" s="545"/>
      <c r="N3022" s="91">
        <f t="shared" si="572"/>
        <v>3005.65</v>
      </c>
      <c r="O3022" s="411">
        <f t="shared" si="571"/>
        <v>-3005.65</v>
      </c>
      <c r="P3022" s="132" t="s">
        <v>2846</v>
      </c>
      <c r="Q3022" s="232"/>
      <c r="R3022" s="411"/>
      <c r="T3022" s="440"/>
      <c r="U3022" s="539"/>
      <c r="AA3022" s="478"/>
    </row>
    <row r="3023" spans="1:27" x14ac:dyDescent="0.25">
      <c r="A3023" s="420"/>
      <c r="B3023" s="422"/>
      <c r="C3023" s="420"/>
      <c r="D3023" s="418"/>
      <c r="E3023" s="120">
        <v>15000</v>
      </c>
      <c r="F3023" s="133" t="s">
        <v>6933</v>
      </c>
      <c r="G3023" s="436"/>
      <c r="H3023" s="428"/>
      <c r="I3023" s="428"/>
      <c r="J3023" s="426"/>
      <c r="K3023" s="426"/>
      <c r="L3023" s="187">
        <v>296</v>
      </c>
      <c r="M3023" s="546"/>
      <c r="N3023" s="91">
        <f>((L3023)*(E3023*0.001))+M3021</f>
        <v>4440</v>
      </c>
      <c r="O3023" s="411">
        <f t="shared" si="571"/>
        <v>-4440</v>
      </c>
      <c r="P3023" s="132" t="s">
        <v>2846</v>
      </c>
      <c r="Q3023" s="232"/>
      <c r="R3023" s="411"/>
      <c r="T3023" s="441"/>
      <c r="U3023" s="445"/>
      <c r="AA3023" s="474"/>
    </row>
    <row r="3024" spans="1:27" x14ac:dyDescent="0.25">
      <c r="A3024" s="405">
        <v>3002329</v>
      </c>
      <c r="B3024" s="406">
        <v>42513</v>
      </c>
      <c r="C3024" s="405" t="s">
        <v>327</v>
      </c>
      <c r="D3024" s="401" t="s">
        <v>6934</v>
      </c>
      <c r="E3024" s="120">
        <v>400</v>
      </c>
      <c r="F3024" s="133" t="s">
        <v>422</v>
      </c>
      <c r="G3024" s="404" t="s">
        <v>45</v>
      </c>
      <c r="H3024" s="411">
        <v>640</v>
      </c>
      <c r="I3024" s="411">
        <v>0</v>
      </c>
      <c r="J3024" s="383">
        <f>-((H3024*0.022)+0.3)</f>
        <v>-14.379999999999999</v>
      </c>
      <c r="K3024" s="90">
        <f t="shared" ref="K3024:K3026" si="573">SUM(H3024:J3024)</f>
        <v>625.62</v>
      </c>
      <c r="L3024" s="131">
        <v>690</v>
      </c>
      <c r="M3024" s="187">
        <v>126</v>
      </c>
      <c r="N3024" s="91">
        <f t="shared" si="560"/>
        <v>402</v>
      </c>
      <c r="O3024" s="411">
        <f t="shared" si="571"/>
        <v>223.62</v>
      </c>
      <c r="P3024" s="132" t="s">
        <v>52</v>
      </c>
      <c r="Q3024" s="232"/>
      <c r="R3024" s="411"/>
      <c r="T3024" s="134" t="s">
        <v>875</v>
      </c>
      <c r="U3024" s="267" t="s">
        <v>6935</v>
      </c>
      <c r="V3024" s="133" t="s">
        <v>55</v>
      </c>
      <c r="W3024" s="153" t="s">
        <v>6936</v>
      </c>
      <c r="AA3024" s="218"/>
    </row>
    <row r="3025" spans="1:27" x14ac:dyDescent="0.25">
      <c r="A3025" s="405">
        <v>3002330</v>
      </c>
      <c r="B3025" s="406">
        <v>42513</v>
      </c>
      <c r="C3025" s="405" t="s">
        <v>63</v>
      </c>
      <c r="D3025" s="401" t="s">
        <v>6937</v>
      </c>
      <c r="E3025" s="120">
        <v>1000</v>
      </c>
      <c r="F3025" s="133" t="s">
        <v>6391</v>
      </c>
      <c r="G3025" s="404" t="s">
        <v>45</v>
      </c>
      <c r="H3025" s="411">
        <v>830</v>
      </c>
      <c r="I3025" s="411">
        <v>0</v>
      </c>
      <c r="J3025" s="383">
        <f>-((H3025*0.022)+0.3)</f>
        <v>-18.559999999999999</v>
      </c>
      <c r="K3025" s="90">
        <f t="shared" si="573"/>
        <v>811.44</v>
      </c>
      <c r="L3025" s="187">
        <v>534</v>
      </c>
      <c r="M3025" s="187">
        <v>115</v>
      </c>
      <c r="N3025" s="91">
        <f t="shared" si="560"/>
        <v>649</v>
      </c>
      <c r="O3025" s="411">
        <f t="shared" si="571"/>
        <v>162.44000000000005</v>
      </c>
      <c r="P3025" s="132" t="s">
        <v>183</v>
      </c>
      <c r="Q3025" s="232"/>
      <c r="R3025" s="411"/>
      <c r="T3025" s="134" t="s">
        <v>314</v>
      </c>
      <c r="U3025" s="267" t="s">
        <v>6938</v>
      </c>
      <c r="W3025" s="153" t="s">
        <v>6939</v>
      </c>
      <c r="AA3025" s="218"/>
    </row>
    <row r="3026" spans="1:27" x14ac:dyDescent="0.25">
      <c r="A3026" s="419">
        <v>3002331</v>
      </c>
      <c r="B3026" s="421">
        <v>42513</v>
      </c>
      <c r="C3026" s="419" t="s">
        <v>63</v>
      </c>
      <c r="D3026" s="417" t="s">
        <v>6940</v>
      </c>
      <c r="E3026" s="120">
        <v>200</v>
      </c>
      <c r="F3026" s="133" t="s">
        <v>6941</v>
      </c>
      <c r="G3026" s="434" t="s">
        <v>45</v>
      </c>
      <c r="H3026" s="427">
        <v>440</v>
      </c>
      <c r="I3026" s="427">
        <v>0</v>
      </c>
      <c r="J3026" s="425">
        <f>-((H3026*0.022)+0.3)</f>
        <v>-9.98</v>
      </c>
      <c r="K3026" s="425">
        <f t="shared" si="573"/>
        <v>430.02</v>
      </c>
      <c r="L3026" s="187">
        <v>150</v>
      </c>
      <c r="M3026" s="187">
        <v>13.88</v>
      </c>
      <c r="N3026" s="91">
        <f t="shared" si="560"/>
        <v>43.88</v>
      </c>
      <c r="O3026" s="411">
        <f t="shared" si="571"/>
        <v>386.14</v>
      </c>
      <c r="P3026" s="132" t="s">
        <v>235</v>
      </c>
      <c r="Q3026" s="232"/>
      <c r="R3026" s="411"/>
      <c r="T3026" s="439" t="s">
        <v>145</v>
      </c>
      <c r="U3026" s="446" t="s">
        <v>6942</v>
      </c>
      <c r="AA3026" s="218"/>
    </row>
    <row r="3027" spans="1:27" x14ac:dyDescent="0.25">
      <c r="A3027" s="432"/>
      <c r="B3027" s="433"/>
      <c r="C3027" s="432"/>
      <c r="D3027" s="454"/>
      <c r="E3027" s="120">
        <v>200</v>
      </c>
      <c r="F3027" s="133" t="s">
        <v>6943</v>
      </c>
      <c r="G3027" s="435"/>
      <c r="H3027" s="438"/>
      <c r="I3027" s="438"/>
      <c r="J3027" s="437"/>
      <c r="K3027" s="437"/>
      <c r="L3027" s="187">
        <v>150</v>
      </c>
      <c r="N3027" s="91">
        <f t="shared" si="560"/>
        <v>30</v>
      </c>
      <c r="O3027" s="411">
        <f t="shared" si="571"/>
        <v>-30</v>
      </c>
      <c r="P3027" s="132" t="s">
        <v>235</v>
      </c>
      <c r="Q3027" s="232"/>
      <c r="R3027" s="411"/>
      <c r="T3027" s="440"/>
      <c r="U3027" s="448"/>
      <c r="AA3027" s="218"/>
    </row>
    <row r="3028" spans="1:27" x14ac:dyDescent="0.25">
      <c r="A3028" s="432"/>
      <c r="B3028" s="433"/>
      <c r="C3028" s="432"/>
      <c r="D3028" s="454"/>
      <c r="E3028" s="120">
        <v>200</v>
      </c>
      <c r="F3028" s="133" t="s">
        <v>6944</v>
      </c>
      <c r="G3028" s="435"/>
      <c r="H3028" s="438"/>
      <c r="I3028" s="438"/>
      <c r="J3028" s="437"/>
      <c r="K3028" s="437"/>
      <c r="L3028" s="187">
        <v>150</v>
      </c>
      <c r="N3028" s="91">
        <f t="shared" si="560"/>
        <v>30</v>
      </c>
      <c r="O3028" s="411">
        <f t="shared" si="571"/>
        <v>-30</v>
      </c>
      <c r="P3028" s="132" t="s">
        <v>235</v>
      </c>
      <c r="Q3028" s="232"/>
      <c r="R3028" s="411"/>
      <c r="T3028" s="440"/>
      <c r="U3028" s="448"/>
      <c r="AA3028" s="218"/>
    </row>
    <row r="3029" spans="1:27" x14ac:dyDescent="0.25">
      <c r="A3029" s="432"/>
      <c r="B3029" s="433"/>
      <c r="C3029" s="432"/>
      <c r="D3029" s="454"/>
      <c r="E3029" s="120">
        <v>200</v>
      </c>
      <c r="F3029" s="133" t="s">
        <v>2319</v>
      </c>
      <c r="G3029" s="435"/>
      <c r="H3029" s="438"/>
      <c r="I3029" s="438"/>
      <c r="J3029" s="437"/>
      <c r="K3029" s="437"/>
      <c r="L3029" s="187">
        <v>150</v>
      </c>
      <c r="N3029" s="91">
        <f t="shared" si="560"/>
        <v>30</v>
      </c>
      <c r="O3029" s="411">
        <f t="shared" si="571"/>
        <v>-30</v>
      </c>
      <c r="P3029" s="132" t="s">
        <v>235</v>
      </c>
      <c r="Q3029" s="232"/>
      <c r="R3029" s="411"/>
      <c r="T3029" s="440"/>
      <c r="U3029" s="447"/>
      <c r="AA3029" s="218"/>
    </row>
    <row r="3030" spans="1:27" x14ac:dyDescent="0.25">
      <c r="A3030" s="432"/>
      <c r="B3030" s="433"/>
      <c r="C3030" s="432"/>
      <c r="D3030" s="454"/>
      <c r="E3030" s="120">
        <v>200</v>
      </c>
      <c r="F3030" s="133" t="s">
        <v>1419</v>
      </c>
      <c r="G3030" s="435"/>
      <c r="H3030" s="438"/>
      <c r="I3030" s="438"/>
      <c r="J3030" s="437"/>
      <c r="K3030" s="437"/>
      <c r="L3030" s="187">
        <v>210</v>
      </c>
      <c r="M3030" s="468">
        <v>23.15</v>
      </c>
      <c r="N3030" s="91">
        <f t="shared" si="560"/>
        <v>65.150000000000006</v>
      </c>
      <c r="O3030" s="411">
        <f t="shared" si="571"/>
        <v>-65.150000000000006</v>
      </c>
      <c r="P3030" s="132" t="s">
        <v>235</v>
      </c>
      <c r="Q3030" s="232"/>
      <c r="R3030" s="411"/>
      <c r="T3030" s="440"/>
      <c r="U3030" s="446" t="s">
        <v>6945</v>
      </c>
      <c r="AA3030" s="218"/>
    </row>
    <row r="3031" spans="1:27" x14ac:dyDescent="0.25">
      <c r="A3031" s="432"/>
      <c r="B3031" s="433"/>
      <c r="C3031" s="432"/>
      <c r="D3031" s="454"/>
      <c r="E3031" s="120">
        <v>200</v>
      </c>
      <c r="F3031" s="133" t="s">
        <v>6946</v>
      </c>
      <c r="G3031" s="435"/>
      <c r="H3031" s="438"/>
      <c r="I3031" s="438"/>
      <c r="J3031" s="437"/>
      <c r="K3031" s="437"/>
      <c r="L3031" s="187">
        <v>210</v>
      </c>
      <c r="M3031" s="491"/>
      <c r="N3031" s="91">
        <f t="shared" si="560"/>
        <v>42</v>
      </c>
      <c r="O3031" s="411">
        <f t="shared" si="571"/>
        <v>-42</v>
      </c>
      <c r="P3031" s="132" t="s">
        <v>235</v>
      </c>
      <c r="Q3031" s="232"/>
      <c r="R3031" s="411"/>
      <c r="T3031" s="440"/>
      <c r="U3031" s="448"/>
      <c r="AA3031" s="218"/>
    </row>
    <row r="3032" spans="1:27" x14ac:dyDescent="0.25">
      <c r="A3032" s="432"/>
      <c r="B3032" s="433"/>
      <c r="C3032" s="432"/>
      <c r="D3032" s="454"/>
      <c r="E3032" s="120">
        <v>200</v>
      </c>
      <c r="F3032" s="133" t="s">
        <v>6947</v>
      </c>
      <c r="G3032" s="435"/>
      <c r="H3032" s="438"/>
      <c r="I3032" s="438"/>
      <c r="J3032" s="437"/>
      <c r="K3032" s="437"/>
      <c r="L3032" s="187">
        <v>210</v>
      </c>
      <c r="M3032" s="491"/>
      <c r="N3032" s="91">
        <f t="shared" si="560"/>
        <v>42</v>
      </c>
      <c r="O3032" s="411">
        <f t="shared" si="571"/>
        <v>-42</v>
      </c>
      <c r="P3032" s="132" t="s">
        <v>235</v>
      </c>
      <c r="Q3032" s="232"/>
      <c r="R3032" s="411"/>
      <c r="T3032" s="440"/>
      <c r="U3032" s="448"/>
      <c r="AA3032" s="218"/>
    </row>
    <row r="3033" spans="1:27" x14ac:dyDescent="0.25">
      <c r="A3033" s="420"/>
      <c r="B3033" s="422"/>
      <c r="C3033" s="420"/>
      <c r="D3033" s="418"/>
      <c r="E3033" s="120">
        <v>200</v>
      </c>
      <c r="F3033" s="133" t="s">
        <v>6948</v>
      </c>
      <c r="G3033" s="436"/>
      <c r="H3033" s="428"/>
      <c r="I3033" s="428"/>
      <c r="J3033" s="426"/>
      <c r="K3033" s="426"/>
      <c r="L3033" s="187">
        <v>210</v>
      </c>
      <c r="M3033" s="469"/>
      <c r="N3033" s="91">
        <f t="shared" si="560"/>
        <v>42</v>
      </c>
      <c r="O3033" s="411">
        <f t="shared" si="571"/>
        <v>-42</v>
      </c>
      <c r="P3033" s="132" t="s">
        <v>235</v>
      </c>
      <c r="Q3033" s="232"/>
      <c r="R3033" s="411"/>
      <c r="T3033" s="441"/>
      <c r="U3033" s="447"/>
      <c r="AA3033" s="218"/>
    </row>
    <row r="3034" spans="1:27" ht="24" x14ac:dyDescent="0.25">
      <c r="A3034" s="405">
        <v>3002332</v>
      </c>
      <c r="B3034" s="406">
        <v>42513</v>
      </c>
      <c r="C3034" s="405" t="s">
        <v>5682</v>
      </c>
      <c r="D3034" s="401" t="s">
        <v>6949</v>
      </c>
      <c r="E3034" s="120">
        <v>60</v>
      </c>
      <c r="F3034" s="133" t="s">
        <v>6748</v>
      </c>
      <c r="G3034" s="404" t="s">
        <v>45</v>
      </c>
      <c r="H3034" s="411">
        <v>59.4</v>
      </c>
      <c r="I3034" s="94">
        <f t="shared" ref="I3034:I3045" si="574">-(H3034*0.09)</f>
        <v>-5.3460000000000001</v>
      </c>
      <c r="J3034" s="391">
        <f t="shared" ref="J3034:J3045" si="575">-((H3034*0.019)+0.3)</f>
        <v>-1.4286000000000001</v>
      </c>
      <c r="K3034" s="90">
        <f t="shared" ref="K3034:K3066" si="576">SUM(H3034:J3034)</f>
        <v>52.625399999999999</v>
      </c>
      <c r="L3034" s="187">
        <v>650</v>
      </c>
      <c r="M3034" s="187">
        <v>18.510000000000002</v>
      </c>
      <c r="N3034" s="91">
        <f t="shared" si="560"/>
        <v>57.510000000000005</v>
      </c>
      <c r="O3034" s="411">
        <f t="shared" si="571"/>
        <v>-4.884600000000006</v>
      </c>
      <c r="P3034" s="132" t="s">
        <v>183</v>
      </c>
      <c r="Q3034" s="232"/>
      <c r="R3034" s="411"/>
      <c r="T3034" s="134" t="s">
        <v>145</v>
      </c>
      <c r="U3034" s="267" t="s">
        <v>6950</v>
      </c>
      <c r="AA3034" s="218"/>
    </row>
    <row r="3035" spans="1:27" ht="24" x14ac:dyDescent="0.25">
      <c r="A3035" s="405">
        <v>3002333</v>
      </c>
      <c r="B3035" s="406">
        <v>42513</v>
      </c>
      <c r="C3035" s="405" t="s">
        <v>5682</v>
      </c>
      <c r="D3035" s="401" t="s">
        <v>6951</v>
      </c>
      <c r="E3035" s="120">
        <v>100</v>
      </c>
      <c r="F3035" s="133" t="s">
        <v>247</v>
      </c>
      <c r="G3035" s="404" t="s">
        <v>45</v>
      </c>
      <c r="H3035" s="411">
        <v>132.04</v>
      </c>
      <c r="I3035" s="94">
        <f t="shared" si="574"/>
        <v>-11.883599999999999</v>
      </c>
      <c r="J3035" s="391">
        <f t="shared" si="575"/>
        <v>-2.8087599999999995</v>
      </c>
      <c r="K3035" s="90">
        <f t="shared" si="576"/>
        <v>117.34763999999998</v>
      </c>
      <c r="L3035" s="131">
        <v>662</v>
      </c>
      <c r="M3035" s="187">
        <v>49.07</v>
      </c>
      <c r="N3035" s="91">
        <f t="shared" si="560"/>
        <v>115.27000000000001</v>
      </c>
      <c r="O3035" s="411">
        <f t="shared" si="571"/>
        <v>2.077639999999974</v>
      </c>
      <c r="P3035" s="132" t="s">
        <v>52</v>
      </c>
      <c r="Q3035" s="232"/>
      <c r="R3035" s="411"/>
      <c r="T3035" s="134" t="s">
        <v>145</v>
      </c>
      <c r="U3035" s="267" t="s">
        <v>6952</v>
      </c>
      <c r="AA3035" s="218"/>
    </row>
    <row r="3036" spans="1:27" x14ac:dyDescent="0.25">
      <c r="A3036" s="405">
        <v>3002334</v>
      </c>
      <c r="B3036" s="406">
        <v>42513</v>
      </c>
      <c r="C3036" s="405" t="s">
        <v>5682</v>
      </c>
      <c r="D3036" s="401" t="s">
        <v>316</v>
      </c>
      <c r="E3036" s="120">
        <v>1000</v>
      </c>
      <c r="F3036" s="133" t="s">
        <v>1707</v>
      </c>
      <c r="G3036" s="404" t="s">
        <v>45</v>
      </c>
      <c r="H3036" s="411">
        <v>712.5</v>
      </c>
      <c r="I3036" s="94">
        <f t="shared" si="574"/>
        <v>-64.125</v>
      </c>
      <c r="J3036" s="391">
        <f t="shared" si="575"/>
        <v>-13.8375</v>
      </c>
      <c r="K3036" s="90">
        <f t="shared" si="576"/>
        <v>634.53750000000002</v>
      </c>
      <c r="L3036" s="131">
        <v>400</v>
      </c>
      <c r="M3036" s="187">
        <v>124.88</v>
      </c>
      <c r="N3036" s="91">
        <f t="shared" si="560"/>
        <v>524.88</v>
      </c>
      <c r="O3036" s="411">
        <f t="shared" si="571"/>
        <v>109.65750000000003</v>
      </c>
      <c r="P3036" s="132" t="s">
        <v>52</v>
      </c>
      <c r="Q3036" s="232"/>
      <c r="R3036" s="411"/>
      <c r="T3036" s="134" t="s">
        <v>97</v>
      </c>
      <c r="U3036" s="267" t="s">
        <v>6953</v>
      </c>
      <c r="V3036" s="133" t="s">
        <v>55</v>
      </c>
      <c r="AA3036" s="218"/>
    </row>
    <row r="3037" spans="1:27" ht="24" x14ac:dyDescent="0.25">
      <c r="A3037" s="405">
        <v>3002335</v>
      </c>
      <c r="B3037" s="406">
        <v>42513</v>
      </c>
      <c r="C3037" s="405" t="s">
        <v>141</v>
      </c>
      <c r="D3037" s="401" t="s">
        <v>6954</v>
      </c>
      <c r="E3037" s="120">
        <v>400</v>
      </c>
      <c r="F3037" s="133" t="s">
        <v>227</v>
      </c>
      <c r="G3037" s="404" t="s">
        <v>45</v>
      </c>
      <c r="H3037" s="411">
        <v>373.45</v>
      </c>
      <c r="I3037" s="411">
        <v>0</v>
      </c>
      <c r="J3037" s="391">
        <f>-((H3037*0.0325)+0.3)</f>
        <v>-12.437125</v>
      </c>
      <c r="K3037" s="90">
        <f t="shared" si="576"/>
        <v>361.01287500000001</v>
      </c>
      <c r="L3037" s="131">
        <v>350</v>
      </c>
      <c r="M3037" s="187">
        <v>31.68</v>
      </c>
      <c r="N3037" s="91">
        <f t="shared" si="560"/>
        <v>171.68</v>
      </c>
      <c r="O3037" s="411">
        <f t="shared" si="571"/>
        <v>189.332875</v>
      </c>
      <c r="P3037" s="132" t="s">
        <v>52</v>
      </c>
      <c r="Q3037" s="232"/>
      <c r="R3037" s="411"/>
      <c r="T3037" s="134" t="s">
        <v>145</v>
      </c>
      <c r="U3037" s="267" t="s">
        <v>6955</v>
      </c>
      <c r="W3037" s="153" t="s">
        <v>6956</v>
      </c>
      <c r="AA3037" s="218"/>
    </row>
    <row r="3038" spans="1:27" ht="24" x14ac:dyDescent="0.25">
      <c r="A3038" s="405">
        <v>3002336</v>
      </c>
      <c r="B3038" s="406">
        <v>42513</v>
      </c>
      <c r="C3038" s="405" t="s">
        <v>5682</v>
      </c>
      <c r="D3038" s="401" t="s">
        <v>6957</v>
      </c>
      <c r="E3038" s="120">
        <v>250</v>
      </c>
      <c r="F3038" s="133" t="s">
        <v>1137</v>
      </c>
      <c r="G3038" s="404" t="s">
        <v>45</v>
      </c>
      <c r="H3038" s="411">
        <v>133</v>
      </c>
      <c r="I3038" s="94">
        <f t="shared" si="574"/>
        <v>-11.969999999999999</v>
      </c>
      <c r="J3038" s="391">
        <f t="shared" si="575"/>
        <v>-2.827</v>
      </c>
      <c r="K3038" s="90">
        <f t="shared" si="576"/>
        <v>118.203</v>
      </c>
      <c r="L3038" s="131">
        <v>220</v>
      </c>
      <c r="M3038" s="187">
        <v>29.66</v>
      </c>
      <c r="N3038" s="91">
        <f t="shared" si="560"/>
        <v>84.66</v>
      </c>
      <c r="O3038" s="411">
        <f t="shared" si="571"/>
        <v>33.543000000000006</v>
      </c>
      <c r="P3038" s="132" t="s">
        <v>52</v>
      </c>
      <c r="Q3038" s="232"/>
      <c r="R3038" s="411"/>
      <c r="T3038" s="134" t="s">
        <v>145</v>
      </c>
      <c r="U3038" s="267" t="s">
        <v>6958</v>
      </c>
      <c r="AA3038" s="218"/>
    </row>
    <row r="3039" spans="1:27" ht="24" x14ac:dyDescent="0.25">
      <c r="A3039" s="405">
        <v>3002337</v>
      </c>
      <c r="B3039" s="406">
        <v>42513</v>
      </c>
      <c r="C3039" s="405" t="s">
        <v>5682</v>
      </c>
      <c r="D3039" s="401" t="s">
        <v>6959</v>
      </c>
      <c r="E3039" s="120">
        <v>500</v>
      </c>
      <c r="F3039" s="133" t="s">
        <v>6960</v>
      </c>
      <c r="G3039" s="404" t="s">
        <v>45</v>
      </c>
      <c r="H3039" s="411">
        <v>356.25</v>
      </c>
      <c r="I3039" s="94">
        <f t="shared" si="574"/>
        <v>-32.0625</v>
      </c>
      <c r="J3039" s="391">
        <f t="shared" si="575"/>
        <v>-7.0687499999999996</v>
      </c>
      <c r="K3039" s="90">
        <f t="shared" si="576"/>
        <v>317.11874999999998</v>
      </c>
      <c r="L3039" s="187">
        <v>380</v>
      </c>
      <c r="M3039" s="187">
        <v>41.77</v>
      </c>
      <c r="N3039" s="91">
        <f t="shared" si="560"/>
        <v>231.77</v>
      </c>
      <c r="O3039" s="411">
        <f t="shared" si="571"/>
        <v>85.348749999999967</v>
      </c>
      <c r="P3039" s="132" t="s">
        <v>235</v>
      </c>
      <c r="Q3039" s="232"/>
      <c r="R3039" s="411"/>
      <c r="T3039" s="134" t="s">
        <v>145</v>
      </c>
      <c r="U3039" s="267" t="s">
        <v>6961</v>
      </c>
      <c r="AA3039" s="218"/>
    </row>
    <row r="3040" spans="1:27" ht="24" x14ac:dyDescent="0.25">
      <c r="A3040" s="405">
        <v>3002338</v>
      </c>
      <c r="B3040" s="406">
        <v>42513</v>
      </c>
      <c r="C3040" s="405" t="s">
        <v>5682</v>
      </c>
      <c r="D3040" s="401" t="s">
        <v>6626</v>
      </c>
      <c r="E3040" s="120">
        <v>30</v>
      </c>
      <c r="F3040" s="133" t="s">
        <v>605</v>
      </c>
      <c r="G3040" s="404" t="s">
        <v>45</v>
      </c>
      <c r="H3040" s="411">
        <v>38.700000000000003</v>
      </c>
      <c r="I3040" s="94">
        <f t="shared" si="574"/>
        <v>-3.4830000000000001</v>
      </c>
      <c r="J3040" s="391">
        <f t="shared" si="575"/>
        <v>-1.0353000000000001</v>
      </c>
      <c r="K3040" s="90">
        <f t="shared" si="576"/>
        <v>34.181700000000006</v>
      </c>
      <c r="L3040" s="131">
        <v>600</v>
      </c>
      <c r="M3040" s="187">
        <v>21.7</v>
      </c>
      <c r="N3040" s="91">
        <f t="shared" si="560"/>
        <v>39.700000000000003</v>
      </c>
      <c r="O3040" s="411">
        <f t="shared" si="571"/>
        <v>-5.5182999999999964</v>
      </c>
      <c r="P3040" s="132" t="s">
        <v>52</v>
      </c>
      <c r="Q3040" s="232"/>
      <c r="R3040" s="411"/>
      <c r="T3040" s="134" t="s">
        <v>145</v>
      </c>
      <c r="U3040" s="267" t="s">
        <v>6962</v>
      </c>
      <c r="AA3040" s="218"/>
    </row>
    <row r="3041" spans="1:27" ht="24" x14ac:dyDescent="0.25">
      <c r="A3041" s="405">
        <v>3002339</v>
      </c>
      <c r="B3041" s="406">
        <v>42513</v>
      </c>
      <c r="C3041" s="405" t="s">
        <v>5682</v>
      </c>
      <c r="D3041" s="401" t="s">
        <v>6963</v>
      </c>
      <c r="E3041" s="120">
        <v>300</v>
      </c>
      <c r="F3041" s="133" t="s">
        <v>582</v>
      </c>
      <c r="G3041" s="404" t="s">
        <v>45</v>
      </c>
      <c r="H3041" s="411">
        <v>236.41</v>
      </c>
      <c r="I3041" s="94">
        <f t="shared" si="574"/>
        <v>-21.276899999999998</v>
      </c>
      <c r="J3041" s="391">
        <f t="shared" si="575"/>
        <v>-4.7917899999999998</v>
      </c>
      <c r="K3041" s="90">
        <f t="shared" si="576"/>
        <v>210.34131000000002</v>
      </c>
      <c r="M3041" s="187">
        <v>44.5</v>
      </c>
      <c r="N3041" s="91">
        <f t="shared" si="560"/>
        <v>44.5</v>
      </c>
      <c r="O3041" s="411">
        <f t="shared" si="571"/>
        <v>165.84131000000002</v>
      </c>
      <c r="P3041" s="132" t="s">
        <v>52</v>
      </c>
      <c r="Q3041" s="232"/>
      <c r="R3041" s="411"/>
      <c r="T3041" s="134" t="s">
        <v>145</v>
      </c>
      <c r="U3041" s="267" t="s">
        <v>6964</v>
      </c>
      <c r="AA3041" s="218"/>
    </row>
    <row r="3042" spans="1:27" ht="24" x14ac:dyDescent="0.25">
      <c r="A3042" s="405">
        <v>3002340</v>
      </c>
      <c r="B3042" s="406">
        <v>42513</v>
      </c>
      <c r="C3042" s="405" t="s">
        <v>5682</v>
      </c>
      <c r="D3042" s="401" t="s">
        <v>6965</v>
      </c>
      <c r="E3042" s="120">
        <v>250</v>
      </c>
      <c r="F3042" s="133" t="s">
        <v>6748</v>
      </c>
      <c r="G3042" s="404" t="s">
        <v>45</v>
      </c>
      <c r="H3042" s="411">
        <v>255.03</v>
      </c>
      <c r="I3042" s="94">
        <f t="shared" si="574"/>
        <v>-22.9527</v>
      </c>
      <c r="J3042" s="391">
        <f t="shared" si="575"/>
        <v>-5.1455699999999993</v>
      </c>
      <c r="K3042" s="90">
        <f t="shared" si="576"/>
        <v>226.93173000000002</v>
      </c>
      <c r="L3042" s="187">
        <v>440</v>
      </c>
      <c r="M3042" s="187">
        <v>43.43</v>
      </c>
      <c r="N3042" s="91">
        <f t="shared" si="560"/>
        <v>153.43</v>
      </c>
      <c r="O3042" s="411">
        <f t="shared" si="571"/>
        <v>73.501730000000009</v>
      </c>
      <c r="P3042" s="132" t="s">
        <v>3597</v>
      </c>
      <c r="Q3042" s="232"/>
      <c r="R3042" s="411"/>
      <c r="T3042" s="134" t="s">
        <v>324</v>
      </c>
      <c r="U3042" s="267" t="s">
        <v>6966</v>
      </c>
      <c r="AA3042" s="218"/>
    </row>
    <row r="3043" spans="1:27" ht="24" x14ac:dyDescent="0.25">
      <c r="A3043" s="405">
        <v>3002341</v>
      </c>
      <c r="B3043" s="406">
        <v>42513</v>
      </c>
      <c r="C3043" s="405" t="s">
        <v>5682</v>
      </c>
      <c r="D3043" s="401" t="s">
        <v>6967</v>
      </c>
      <c r="E3043" s="120">
        <v>100</v>
      </c>
      <c r="F3043" s="133" t="s">
        <v>161</v>
      </c>
      <c r="G3043" s="404" t="s">
        <v>45</v>
      </c>
      <c r="H3043" s="411">
        <v>235</v>
      </c>
      <c r="I3043" s="94">
        <f t="shared" si="574"/>
        <v>-21.15</v>
      </c>
      <c r="J3043" s="391">
        <f t="shared" si="575"/>
        <v>-4.7649999999999997</v>
      </c>
      <c r="K3043" s="90">
        <f t="shared" si="576"/>
        <v>209.08500000000001</v>
      </c>
      <c r="L3043" s="131">
        <v>1322</v>
      </c>
      <c r="M3043" s="187">
        <v>30.32</v>
      </c>
      <c r="N3043" s="91">
        <f t="shared" si="560"/>
        <v>162.52000000000001</v>
      </c>
      <c r="O3043" s="411">
        <f t="shared" si="571"/>
        <v>46.564999999999998</v>
      </c>
      <c r="P3043" s="132" t="s">
        <v>52</v>
      </c>
      <c r="Q3043" s="232"/>
      <c r="R3043" s="411"/>
      <c r="T3043" s="134" t="s">
        <v>145</v>
      </c>
      <c r="U3043" s="267" t="s">
        <v>6968</v>
      </c>
      <c r="AA3043" s="218"/>
    </row>
    <row r="3044" spans="1:27" ht="24" x14ac:dyDescent="0.25">
      <c r="A3044" s="405">
        <v>3002342</v>
      </c>
      <c r="B3044" s="406">
        <v>42513</v>
      </c>
      <c r="C3044" s="405" t="s">
        <v>5682</v>
      </c>
      <c r="D3044" s="401" t="s">
        <v>6969</v>
      </c>
      <c r="E3044" s="120">
        <v>100</v>
      </c>
      <c r="F3044" s="133" t="s">
        <v>431</v>
      </c>
      <c r="G3044" s="404" t="s">
        <v>45</v>
      </c>
      <c r="H3044" s="411">
        <v>216.11</v>
      </c>
      <c r="I3044" s="94">
        <f t="shared" si="574"/>
        <v>-19.4499</v>
      </c>
      <c r="J3044" s="391">
        <f t="shared" si="575"/>
        <v>-4.4060899999999998</v>
      </c>
      <c r="K3044" s="90">
        <f t="shared" si="576"/>
        <v>192.25400999999999</v>
      </c>
      <c r="L3044" s="131">
        <v>990</v>
      </c>
      <c r="M3044" s="187">
        <v>35.93</v>
      </c>
      <c r="N3044" s="91">
        <f t="shared" si="560"/>
        <v>134.93</v>
      </c>
      <c r="O3044" s="411">
        <f t="shared" si="571"/>
        <v>57.324009999999987</v>
      </c>
      <c r="P3044" s="132" t="s">
        <v>52</v>
      </c>
      <c r="Q3044" s="232"/>
      <c r="R3044" s="411"/>
      <c r="T3044" s="134" t="s">
        <v>145</v>
      </c>
      <c r="U3044" s="267" t="s">
        <v>6970</v>
      </c>
      <c r="AA3044" s="218"/>
    </row>
    <row r="3045" spans="1:27" x14ac:dyDescent="0.25">
      <c r="A3045" s="405">
        <v>3002343</v>
      </c>
      <c r="B3045" s="406">
        <v>42513</v>
      </c>
      <c r="C3045" s="405" t="s">
        <v>5682</v>
      </c>
      <c r="D3045" s="401" t="s">
        <v>6971</v>
      </c>
      <c r="E3045" s="120">
        <v>1000</v>
      </c>
      <c r="F3045" s="133" t="s">
        <v>835</v>
      </c>
      <c r="G3045" s="404" t="s">
        <v>45</v>
      </c>
      <c r="H3045" s="411">
        <v>2550</v>
      </c>
      <c r="I3045" s="94">
        <f t="shared" si="574"/>
        <v>-229.5</v>
      </c>
      <c r="J3045" s="391">
        <f t="shared" si="575"/>
        <v>-48.749999999999993</v>
      </c>
      <c r="K3045" s="90">
        <f t="shared" si="576"/>
        <v>2271.75</v>
      </c>
      <c r="L3045" s="187">
        <v>1868</v>
      </c>
      <c r="N3045" s="91" t="e">
        <f>((L3045)*(E3045*0.001))+#REF!</f>
        <v>#REF!</v>
      </c>
      <c r="O3045" s="411" t="e">
        <f t="shared" si="571"/>
        <v>#REF!</v>
      </c>
      <c r="P3045" s="132" t="s">
        <v>6972</v>
      </c>
      <c r="Q3045" s="232"/>
      <c r="R3045" s="411"/>
      <c r="T3045" s="134" t="s">
        <v>6973</v>
      </c>
      <c r="U3045" s="267" t="s">
        <v>6974</v>
      </c>
      <c r="AA3045" s="218"/>
    </row>
    <row r="3046" spans="1:27" ht="24" x14ac:dyDescent="0.25">
      <c r="A3046" s="405">
        <v>3002344</v>
      </c>
      <c r="B3046" s="406">
        <v>42513</v>
      </c>
      <c r="C3046" s="405" t="s">
        <v>237</v>
      </c>
      <c r="D3046" s="401" t="s">
        <v>6975</v>
      </c>
      <c r="E3046" s="120">
        <v>100</v>
      </c>
      <c r="F3046" s="133" t="s">
        <v>626</v>
      </c>
      <c r="G3046" s="404" t="s">
        <v>45</v>
      </c>
      <c r="H3046" s="411">
        <v>249.26</v>
      </c>
      <c r="I3046" s="397">
        <f t="shared" ref="I3046:I3050" si="577">-(H3046*0.15)</f>
        <v>-37.388999999999996</v>
      </c>
      <c r="J3046" s="411">
        <v>0</v>
      </c>
      <c r="K3046" s="90">
        <f t="shared" si="576"/>
        <v>211.87099999999998</v>
      </c>
      <c r="L3046" s="187">
        <v>1930.54</v>
      </c>
      <c r="M3046" s="187">
        <v>75.22</v>
      </c>
      <c r="N3046" s="91">
        <f>((L3046)*(E3046*0.001))+M3045</f>
        <v>193.054</v>
      </c>
      <c r="O3046" s="411">
        <f t="shared" si="571"/>
        <v>18.816999999999979</v>
      </c>
      <c r="P3046" s="132" t="s">
        <v>46</v>
      </c>
      <c r="Q3046" s="232"/>
      <c r="R3046" s="411"/>
      <c r="T3046" s="134" t="s">
        <v>324</v>
      </c>
      <c r="U3046" s="266" t="s">
        <v>6976</v>
      </c>
      <c r="AA3046" s="218"/>
    </row>
    <row r="3047" spans="1:27" x14ac:dyDescent="0.25">
      <c r="A3047" s="419">
        <v>3002345</v>
      </c>
      <c r="B3047" s="421">
        <v>42513</v>
      </c>
      <c r="C3047" s="419" t="s">
        <v>237</v>
      </c>
      <c r="D3047" s="417" t="s">
        <v>6977</v>
      </c>
      <c r="E3047" s="120">
        <v>50</v>
      </c>
      <c r="F3047" s="133" t="s">
        <v>3301</v>
      </c>
      <c r="G3047" s="434" t="s">
        <v>45</v>
      </c>
      <c r="H3047" s="427">
        <v>109</v>
      </c>
      <c r="I3047" s="452">
        <f t="shared" si="577"/>
        <v>-16.349999999999998</v>
      </c>
      <c r="J3047" s="427">
        <v>0</v>
      </c>
      <c r="K3047" s="425">
        <f t="shared" si="576"/>
        <v>92.65</v>
      </c>
      <c r="L3047" s="187">
        <v>759</v>
      </c>
      <c r="M3047" s="187">
        <v>23.57</v>
      </c>
      <c r="N3047" s="91">
        <f t="shared" si="560"/>
        <v>61.52</v>
      </c>
      <c r="O3047" s="411">
        <f t="shared" si="571"/>
        <v>31.130000000000003</v>
      </c>
      <c r="P3047" s="132" t="s">
        <v>601</v>
      </c>
      <c r="Q3047" s="232"/>
      <c r="R3047" s="411"/>
      <c r="T3047" s="439" t="s">
        <v>145</v>
      </c>
      <c r="U3047" s="446" t="s">
        <v>6978</v>
      </c>
      <c r="AA3047" s="218"/>
    </row>
    <row r="3048" spans="1:27" x14ac:dyDescent="0.25">
      <c r="A3048" s="420"/>
      <c r="B3048" s="422"/>
      <c r="C3048" s="420"/>
      <c r="D3048" s="418"/>
      <c r="E3048" s="120">
        <v>50</v>
      </c>
      <c r="F3048" s="133" t="s">
        <v>3299</v>
      </c>
      <c r="G3048" s="436"/>
      <c r="H3048" s="428"/>
      <c r="I3048" s="453"/>
      <c r="J3048" s="428"/>
      <c r="K3048" s="426"/>
      <c r="L3048" s="187">
        <v>759</v>
      </c>
      <c r="N3048" s="91">
        <f t="shared" si="560"/>
        <v>37.950000000000003</v>
      </c>
      <c r="O3048" s="411">
        <f t="shared" si="571"/>
        <v>-37.950000000000003</v>
      </c>
      <c r="P3048" s="132" t="s">
        <v>601</v>
      </c>
      <c r="Q3048" s="232"/>
      <c r="R3048" s="411"/>
      <c r="T3048" s="441"/>
      <c r="U3048" s="447"/>
      <c r="AA3048" s="218"/>
    </row>
    <row r="3049" spans="1:27" x14ac:dyDescent="0.25">
      <c r="A3049" s="405">
        <v>3002346</v>
      </c>
      <c r="B3049" s="406">
        <v>42513</v>
      </c>
      <c r="C3049" s="405" t="s">
        <v>237</v>
      </c>
      <c r="D3049" s="401" t="s">
        <v>6979</v>
      </c>
      <c r="E3049" s="120">
        <v>500</v>
      </c>
      <c r="F3049" s="133" t="s">
        <v>2949</v>
      </c>
      <c r="G3049" s="404" t="s">
        <v>45</v>
      </c>
      <c r="H3049" s="411">
        <v>910.42</v>
      </c>
      <c r="I3049" s="397">
        <f t="shared" si="577"/>
        <v>-136.56299999999999</v>
      </c>
      <c r="J3049" s="411">
        <v>0</v>
      </c>
      <c r="K3049" s="90">
        <f t="shared" si="576"/>
        <v>773.85699999999997</v>
      </c>
      <c r="M3049" s="187">
        <v>199.81</v>
      </c>
      <c r="N3049" s="91">
        <f t="shared" si="560"/>
        <v>199.81</v>
      </c>
      <c r="O3049" s="411">
        <f t="shared" si="571"/>
        <v>574.04700000000003</v>
      </c>
      <c r="P3049" s="132" t="s">
        <v>52</v>
      </c>
      <c r="Q3049" s="232"/>
      <c r="R3049" s="411"/>
      <c r="T3049" s="134" t="s">
        <v>244</v>
      </c>
      <c r="U3049" s="267" t="s">
        <v>6980</v>
      </c>
      <c r="V3049" s="133" t="s">
        <v>55</v>
      </c>
      <c r="AA3049" s="218"/>
    </row>
    <row r="3050" spans="1:27" ht="24" x14ac:dyDescent="0.25">
      <c r="A3050" s="405">
        <v>3002347</v>
      </c>
      <c r="B3050" s="406">
        <v>42513</v>
      </c>
      <c r="C3050" s="405" t="s">
        <v>237</v>
      </c>
      <c r="D3050" s="401" t="s">
        <v>6981</v>
      </c>
      <c r="E3050" s="120">
        <v>200</v>
      </c>
      <c r="F3050" s="133" t="s">
        <v>3270</v>
      </c>
      <c r="G3050" s="404" t="s">
        <v>45</v>
      </c>
      <c r="H3050" s="411">
        <v>520</v>
      </c>
      <c r="I3050" s="397">
        <f t="shared" si="577"/>
        <v>-78</v>
      </c>
      <c r="J3050" s="411">
        <v>0</v>
      </c>
      <c r="K3050" s="90">
        <f t="shared" si="576"/>
        <v>442</v>
      </c>
      <c r="L3050" s="131">
        <v>1322</v>
      </c>
      <c r="M3050" s="187">
        <v>50.82</v>
      </c>
      <c r="N3050" s="91">
        <f t="shared" si="560"/>
        <v>315.22000000000003</v>
      </c>
      <c r="O3050" s="411">
        <f t="shared" si="571"/>
        <v>126.77999999999997</v>
      </c>
      <c r="P3050" s="132" t="s">
        <v>52</v>
      </c>
      <c r="Q3050" s="232"/>
      <c r="R3050" s="411"/>
      <c r="T3050" s="134" t="s">
        <v>145</v>
      </c>
      <c r="U3050" s="266" t="s">
        <v>6982</v>
      </c>
      <c r="AA3050" s="218"/>
    </row>
    <row r="3051" spans="1:27" ht="24" x14ac:dyDescent="0.25">
      <c r="A3051" s="405">
        <v>3002348</v>
      </c>
      <c r="B3051" s="406">
        <v>42513</v>
      </c>
      <c r="C3051" s="405" t="s">
        <v>5682</v>
      </c>
      <c r="D3051" s="401" t="s">
        <v>6983</v>
      </c>
      <c r="E3051" s="120">
        <v>250</v>
      </c>
      <c r="F3051" s="133" t="s">
        <v>829</v>
      </c>
      <c r="G3051" s="404" t="s">
        <v>45</v>
      </c>
      <c r="H3051" s="411">
        <v>234.18</v>
      </c>
      <c r="I3051" s="94">
        <f t="shared" ref="I3051" si="578">-(H3051*0.09)</f>
        <v>-21.0762</v>
      </c>
      <c r="J3051" s="391">
        <f t="shared" ref="J3051" si="579">-((H3051*0.019)+0.3)</f>
        <v>-4.7494199999999998</v>
      </c>
      <c r="K3051" s="90">
        <f t="shared" si="576"/>
        <v>208.35438000000002</v>
      </c>
      <c r="L3051" s="131">
        <v>510</v>
      </c>
      <c r="M3051" s="187">
        <v>42.39</v>
      </c>
      <c r="N3051" s="91">
        <f t="shared" si="560"/>
        <v>169.89</v>
      </c>
      <c r="O3051" s="411">
        <f t="shared" si="571"/>
        <v>38.464380000000034</v>
      </c>
      <c r="P3051" s="132" t="s">
        <v>52</v>
      </c>
      <c r="Q3051" s="232"/>
      <c r="R3051" s="411"/>
      <c r="T3051" s="134" t="s">
        <v>145</v>
      </c>
      <c r="U3051" s="267" t="s">
        <v>6984</v>
      </c>
      <c r="AA3051" s="218"/>
    </row>
    <row r="3052" spans="1:27" x14ac:dyDescent="0.25">
      <c r="A3052" s="419">
        <v>3002349</v>
      </c>
      <c r="B3052" s="421">
        <v>42513</v>
      </c>
      <c r="C3052" s="419" t="s">
        <v>327</v>
      </c>
      <c r="D3052" s="417" t="s">
        <v>6985</v>
      </c>
      <c r="E3052" s="120">
        <v>250</v>
      </c>
      <c r="F3052" s="133" t="s">
        <v>300</v>
      </c>
      <c r="G3052" s="434" t="s">
        <v>45</v>
      </c>
      <c r="H3052" s="427">
        <v>1200</v>
      </c>
      <c r="I3052" s="427">
        <v>0</v>
      </c>
      <c r="J3052" s="425">
        <f>-((H3052*0.022)+0.3)</f>
        <v>-26.7</v>
      </c>
      <c r="K3052" s="425">
        <f t="shared" si="576"/>
        <v>1173.3</v>
      </c>
      <c r="L3052" s="131">
        <v>2150</v>
      </c>
      <c r="M3052" s="549">
        <v>186.41</v>
      </c>
      <c r="N3052" s="91">
        <f t="shared" si="560"/>
        <v>723.91</v>
      </c>
      <c r="O3052" s="411">
        <f t="shared" si="571"/>
        <v>449.39</v>
      </c>
      <c r="P3052" s="132" t="s">
        <v>52</v>
      </c>
      <c r="Q3052" s="232"/>
      <c r="R3052" s="411"/>
      <c r="T3052" s="439" t="s">
        <v>1467</v>
      </c>
      <c r="U3052" s="446" t="s">
        <v>6986</v>
      </c>
      <c r="V3052" s="133" t="s">
        <v>55</v>
      </c>
      <c r="W3052" s="153" t="s">
        <v>6987</v>
      </c>
      <c r="AA3052" s="473">
        <v>10</v>
      </c>
    </row>
    <row r="3053" spans="1:27" x14ac:dyDescent="0.25">
      <c r="A3053" s="420"/>
      <c r="B3053" s="422"/>
      <c r="C3053" s="420"/>
      <c r="D3053" s="418"/>
      <c r="E3053" s="120">
        <v>250</v>
      </c>
      <c r="F3053" s="133" t="s">
        <v>307</v>
      </c>
      <c r="G3053" s="436"/>
      <c r="H3053" s="428"/>
      <c r="I3053" s="428"/>
      <c r="J3053" s="426"/>
      <c r="K3053" s="426"/>
      <c r="L3053" s="131">
        <v>690</v>
      </c>
      <c r="M3053" s="550"/>
      <c r="N3053" s="91">
        <f t="shared" si="560"/>
        <v>172.5</v>
      </c>
      <c r="O3053" s="411">
        <f t="shared" si="571"/>
        <v>-172.5</v>
      </c>
      <c r="P3053" s="132" t="s">
        <v>52</v>
      </c>
      <c r="Q3053" s="232"/>
      <c r="R3053" s="411"/>
      <c r="T3053" s="441"/>
      <c r="U3053" s="447"/>
      <c r="AA3053" s="474"/>
    </row>
    <row r="3054" spans="1:27" ht="24" x14ac:dyDescent="0.25">
      <c r="A3054" s="405">
        <v>3002350</v>
      </c>
      <c r="B3054" s="406">
        <v>42513</v>
      </c>
      <c r="C3054" s="405" t="s">
        <v>280</v>
      </c>
      <c r="D3054" s="401" t="s">
        <v>6988</v>
      </c>
      <c r="E3054" s="120">
        <v>78</v>
      </c>
      <c r="F3054" s="133" t="s">
        <v>1991</v>
      </c>
      <c r="G3054" s="404" t="s">
        <v>45</v>
      </c>
      <c r="H3054" s="411">
        <v>393.9</v>
      </c>
      <c r="I3054" s="411">
        <v>0</v>
      </c>
      <c r="J3054" s="391">
        <f>-((H3054*0.022)+0.3)</f>
        <v>-8.9657999999999998</v>
      </c>
      <c r="K3054" s="90">
        <f t="shared" si="576"/>
        <v>384.93419999999998</v>
      </c>
      <c r="L3054" s="187">
        <v>3350</v>
      </c>
      <c r="M3054" s="187">
        <v>35.159999999999997</v>
      </c>
      <c r="N3054" s="91">
        <f t="shared" si="560"/>
        <v>296.46000000000004</v>
      </c>
      <c r="O3054" s="411">
        <f t="shared" si="571"/>
        <v>88.474199999999939</v>
      </c>
      <c r="P3054" s="132" t="s">
        <v>6989</v>
      </c>
      <c r="Q3054" s="232"/>
      <c r="R3054" s="411"/>
      <c r="T3054" s="134" t="s">
        <v>145</v>
      </c>
      <c r="U3054" s="267" t="s">
        <v>6990</v>
      </c>
      <c r="W3054" s="153" t="s">
        <v>6991</v>
      </c>
      <c r="AA3054" s="218"/>
    </row>
    <row r="3055" spans="1:27" x14ac:dyDescent="0.25">
      <c r="A3055" s="405">
        <v>3002351</v>
      </c>
      <c r="B3055" s="406">
        <v>42514</v>
      </c>
      <c r="C3055" s="405" t="s">
        <v>327</v>
      </c>
      <c r="D3055" s="401" t="s">
        <v>6992</v>
      </c>
      <c r="E3055" s="120">
        <v>600</v>
      </c>
      <c r="F3055" s="133" t="s">
        <v>70</v>
      </c>
      <c r="G3055" s="404" t="s">
        <v>45</v>
      </c>
      <c r="H3055" s="411">
        <v>1645</v>
      </c>
      <c r="I3055" s="411">
        <v>0</v>
      </c>
      <c r="J3055" s="391">
        <f>-((H3055*0.022)+0.3)</f>
        <v>-36.489999999999995</v>
      </c>
      <c r="K3055" s="90">
        <f t="shared" si="576"/>
        <v>1608.51</v>
      </c>
      <c r="L3055" s="187">
        <v>1610</v>
      </c>
      <c r="M3055" s="187">
        <v>160.72999999999999</v>
      </c>
      <c r="N3055" s="91">
        <f t="shared" si="560"/>
        <v>1126.73</v>
      </c>
      <c r="O3055" s="411">
        <f t="shared" si="571"/>
        <v>481.78</v>
      </c>
      <c r="P3055" s="132" t="s">
        <v>3597</v>
      </c>
      <c r="Q3055" s="232"/>
      <c r="R3055" s="411"/>
      <c r="T3055" s="134" t="s">
        <v>576</v>
      </c>
      <c r="U3055" s="267" t="s">
        <v>6993</v>
      </c>
      <c r="W3055" s="153" t="s">
        <v>6994</v>
      </c>
      <c r="AA3055" s="218">
        <v>10</v>
      </c>
    </row>
    <row r="3056" spans="1:27" ht="24" x14ac:dyDescent="0.25">
      <c r="A3056" s="405">
        <v>3002352</v>
      </c>
      <c r="B3056" s="406">
        <v>42514</v>
      </c>
      <c r="C3056" s="405" t="s">
        <v>327</v>
      </c>
      <c r="D3056" s="401" t="s">
        <v>6995</v>
      </c>
      <c r="E3056" s="120">
        <v>100</v>
      </c>
      <c r="F3056" s="133" t="s">
        <v>829</v>
      </c>
      <c r="G3056" s="404" t="s">
        <v>45</v>
      </c>
      <c r="H3056" s="411">
        <v>110</v>
      </c>
      <c r="I3056" s="411">
        <v>0</v>
      </c>
      <c r="J3056" s="391">
        <f>-((H3056*0.022)+0.3)</f>
        <v>-2.7199999999999998</v>
      </c>
      <c r="K3056" s="90">
        <f t="shared" si="576"/>
        <v>107.28</v>
      </c>
      <c r="L3056" s="131">
        <v>510</v>
      </c>
      <c r="M3056" s="187">
        <v>37.82</v>
      </c>
      <c r="N3056" s="91">
        <f t="shared" ref="N3056:N3121" si="580">((L3056)*(E3056*0.001))+M3056</f>
        <v>88.82</v>
      </c>
      <c r="O3056" s="411">
        <f t="shared" si="571"/>
        <v>18.460000000000008</v>
      </c>
      <c r="P3056" s="132" t="s">
        <v>52</v>
      </c>
      <c r="Q3056" s="232"/>
      <c r="R3056" s="411"/>
      <c r="T3056" s="134" t="s">
        <v>145</v>
      </c>
      <c r="U3056" s="267" t="s">
        <v>6996</v>
      </c>
      <c r="W3056" s="153" t="s">
        <v>6997</v>
      </c>
      <c r="AA3056" s="218"/>
    </row>
    <row r="3057" spans="1:27" ht="24" x14ac:dyDescent="0.25">
      <c r="A3057" s="405">
        <v>3002353</v>
      </c>
      <c r="B3057" s="406">
        <v>42514</v>
      </c>
      <c r="C3057" s="405" t="s">
        <v>5682</v>
      </c>
      <c r="D3057" s="401" t="s">
        <v>6998</v>
      </c>
      <c r="E3057" s="120">
        <v>500</v>
      </c>
      <c r="F3057" s="160" t="s">
        <v>6999</v>
      </c>
      <c r="G3057" s="404" t="s">
        <v>45</v>
      </c>
      <c r="H3057" s="411">
        <v>192.5</v>
      </c>
      <c r="I3057" s="94">
        <f t="shared" ref="I3057:I3065" si="581">-(H3057*0.09)</f>
        <v>-17.324999999999999</v>
      </c>
      <c r="J3057" s="391">
        <f t="shared" ref="J3057:J3065" si="582">-((H3057*0.019)+0.3)</f>
        <v>-3.9574999999999996</v>
      </c>
      <c r="K3057" s="90">
        <f t="shared" si="576"/>
        <v>171.2175</v>
      </c>
      <c r="L3057" s="187">
        <v>195</v>
      </c>
      <c r="M3057" s="187">
        <v>12.15</v>
      </c>
      <c r="N3057" s="91">
        <f t="shared" si="580"/>
        <v>109.65</v>
      </c>
      <c r="O3057" s="411">
        <f t="shared" si="571"/>
        <v>61.567499999999995</v>
      </c>
      <c r="P3057" s="132" t="s">
        <v>643</v>
      </c>
      <c r="Q3057" s="232"/>
      <c r="R3057" s="411"/>
      <c r="T3057" s="134" t="s">
        <v>145</v>
      </c>
      <c r="U3057" s="267" t="s">
        <v>7000</v>
      </c>
      <c r="AA3057" s="218"/>
    </row>
    <row r="3058" spans="1:27" ht="24" x14ac:dyDescent="0.25">
      <c r="A3058" s="405">
        <v>3002354</v>
      </c>
      <c r="B3058" s="406">
        <v>42514</v>
      </c>
      <c r="C3058" s="405" t="s">
        <v>5682</v>
      </c>
      <c r="D3058" s="401" t="s">
        <v>7001</v>
      </c>
      <c r="E3058" s="120">
        <v>100</v>
      </c>
      <c r="F3058" s="133" t="s">
        <v>829</v>
      </c>
      <c r="G3058" s="404" t="s">
        <v>45</v>
      </c>
      <c r="H3058" s="411">
        <v>114</v>
      </c>
      <c r="I3058" s="94">
        <f t="shared" si="581"/>
        <v>-10.26</v>
      </c>
      <c r="J3058" s="391">
        <f t="shared" si="582"/>
        <v>-2.4659999999999997</v>
      </c>
      <c r="K3058" s="90">
        <f t="shared" si="576"/>
        <v>101.274</v>
      </c>
      <c r="L3058" s="131">
        <v>510</v>
      </c>
      <c r="M3058" s="187">
        <v>28.9</v>
      </c>
      <c r="N3058" s="91">
        <f t="shared" si="580"/>
        <v>79.900000000000006</v>
      </c>
      <c r="O3058" s="411">
        <f t="shared" si="571"/>
        <v>21.373999999999995</v>
      </c>
      <c r="P3058" s="132" t="s">
        <v>52</v>
      </c>
      <c r="Q3058" s="232"/>
      <c r="R3058" s="411"/>
      <c r="T3058" s="134" t="s">
        <v>145</v>
      </c>
      <c r="U3058" s="267" t="s">
        <v>7002</v>
      </c>
      <c r="AA3058" s="218"/>
    </row>
    <row r="3059" spans="1:27" ht="24" x14ac:dyDescent="0.25">
      <c r="A3059" s="405">
        <v>3002355</v>
      </c>
      <c r="B3059" s="406">
        <v>42514</v>
      </c>
      <c r="C3059" s="405" t="s">
        <v>5682</v>
      </c>
      <c r="D3059" s="401" t="s">
        <v>7003</v>
      </c>
      <c r="E3059" s="120">
        <v>200</v>
      </c>
      <c r="F3059" s="133" t="s">
        <v>2361</v>
      </c>
      <c r="G3059" s="404" t="s">
        <v>45</v>
      </c>
      <c r="H3059" s="411">
        <v>270</v>
      </c>
      <c r="I3059" s="94">
        <f t="shared" si="581"/>
        <v>-24.3</v>
      </c>
      <c r="J3059" s="391">
        <f t="shared" si="582"/>
        <v>-5.43</v>
      </c>
      <c r="K3059" s="90">
        <f t="shared" si="576"/>
        <v>240.26999999999998</v>
      </c>
      <c r="M3059" s="187">
        <v>39.17</v>
      </c>
      <c r="N3059" s="91">
        <f t="shared" si="580"/>
        <v>39.17</v>
      </c>
      <c r="O3059" s="411">
        <f t="shared" si="571"/>
        <v>201.09999999999997</v>
      </c>
      <c r="P3059" s="132" t="s">
        <v>86</v>
      </c>
      <c r="Q3059" s="232"/>
      <c r="R3059" s="411"/>
      <c r="T3059" s="134" t="s">
        <v>145</v>
      </c>
      <c r="U3059" s="267" t="s">
        <v>7004</v>
      </c>
      <c r="AA3059" s="218"/>
    </row>
    <row r="3060" spans="1:27" ht="24" x14ac:dyDescent="0.25">
      <c r="A3060" s="405">
        <v>3002356</v>
      </c>
      <c r="B3060" s="406">
        <v>42514</v>
      </c>
      <c r="C3060" s="405" t="s">
        <v>5682</v>
      </c>
      <c r="D3060" s="401" t="s">
        <v>7005</v>
      </c>
      <c r="E3060" s="120">
        <v>75</v>
      </c>
      <c r="F3060" s="133" t="s">
        <v>189</v>
      </c>
      <c r="G3060" s="404" t="s">
        <v>45</v>
      </c>
      <c r="H3060" s="411">
        <v>218.5</v>
      </c>
      <c r="I3060" s="94">
        <f t="shared" si="581"/>
        <v>-19.664999999999999</v>
      </c>
      <c r="J3060" s="391">
        <f t="shared" si="582"/>
        <v>-4.4514999999999993</v>
      </c>
      <c r="K3060" s="90">
        <f t="shared" si="576"/>
        <v>194.3835</v>
      </c>
      <c r="L3060" s="131">
        <v>1322</v>
      </c>
      <c r="M3060" s="187">
        <v>29.76</v>
      </c>
      <c r="N3060" s="91">
        <f t="shared" si="580"/>
        <v>128.91</v>
      </c>
      <c r="O3060" s="411">
        <f t="shared" si="571"/>
        <v>65.473500000000001</v>
      </c>
      <c r="P3060" s="132" t="s">
        <v>52</v>
      </c>
      <c r="Q3060" s="232"/>
      <c r="R3060" s="411"/>
      <c r="T3060" s="134" t="s">
        <v>145</v>
      </c>
      <c r="U3060" s="267" t="s">
        <v>7006</v>
      </c>
      <c r="AA3060" s="218"/>
    </row>
    <row r="3061" spans="1:27" ht="24" x14ac:dyDescent="0.25">
      <c r="A3061" s="405">
        <v>3002357</v>
      </c>
      <c r="B3061" s="406">
        <v>42514</v>
      </c>
      <c r="C3061" s="405" t="s">
        <v>5682</v>
      </c>
      <c r="D3061" s="401" t="s">
        <v>7007</v>
      </c>
      <c r="E3061" s="120">
        <v>120</v>
      </c>
      <c r="F3061" s="133" t="s">
        <v>605</v>
      </c>
      <c r="G3061" s="404" t="s">
        <v>45</v>
      </c>
      <c r="H3061" s="411">
        <v>165.64</v>
      </c>
      <c r="I3061" s="94">
        <f t="shared" si="581"/>
        <v>-14.907599999999999</v>
      </c>
      <c r="J3061" s="391">
        <f t="shared" si="582"/>
        <v>-3.4471599999999993</v>
      </c>
      <c r="K3061" s="90">
        <f t="shared" si="576"/>
        <v>147.28523999999999</v>
      </c>
      <c r="L3061" s="131">
        <v>600</v>
      </c>
      <c r="M3061" s="187">
        <v>34.090000000000003</v>
      </c>
      <c r="N3061" s="91">
        <f t="shared" si="580"/>
        <v>106.09</v>
      </c>
      <c r="O3061" s="411">
        <f t="shared" si="571"/>
        <v>41.195239999999984</v>
      </c>
      <c r="P3061" s="132" t="s">
        <v>52</v>
      </c>
      <c r="Q3061" s="232"/>
      <c r="R3061" s="411"/>
      <c r="T3061" s="134" t="s">
        <v>145</v>
      </c>
      <c r="U3061" s="267" t="s">
        <v>7008</v>
      </c>
      <c r="AA3061" s="218"/>
    </row>
    <row r="3062" spans="1:27" ht="24" x14ac:dyDescent="0.25">
      <c r="A3062" s="405">
        <v>3002358</v>
      </c>
      <c r="B3062" s="406">
        <v>42514</v>
      </c>
      <c r="C3062" s="405" t="s">
        <v>5682</v>
      </c>
      <c r="D3062" s="401" t="s">
        <v>7009</v>
      </c>
      <c r="E3062" s="120">
        <v>60</v>
      </c>
      <c r="F3062" s="133" t="s">
        <v>528</v>
      </c>
      <c r="G3062" s="404" t="s">
        <v>45</v>
      </c>
      <c r="H3062" s="411">
        <v>145.80000000000001</v>
      </c>
      <c r="I3062" s="94">
        <f t="shared" si="581"/>
        <v>-13.122</v>
      </c>
      <c r="J3062" s="391">
        <f t="shared" si="582"/>
        <v>-3.0701999999999998</v>
      </c>
      <c r="K3062" s="90">
        <f t="shared" si="576"/>
        <v>129.6078</v>
      </c>
      <c r="L3062" s="131">
        <v>1021</v>
      </c>
      <c r="M3062" s="187">
        <v>42.49</v>
      </c>
      <c r="N3062" s="91">
        <f t="shared" si="580"/>
        <v>103.75</v>
      </c>
      <c r="O3062" s="411">
        <f t="shared" si="571"/>
        <v>25.857799999999997</v>
      </c>
      <c r="P3062" s="132" t="s">
        <v>52</v>
      </c>
      <c r="Q3062" s="232"/>
      <c r="R3062" s="411"/>
      <c r="T3062" s="134" t="s">
        <v>145</v>
      </c>
      <c r="U3062" s="267" t="s">
        <v>7010</v>
      </c>
      <c r="AA3062" s="218"/>
    </row>
    <row r="3063" spans="1:27" ht="24" x14ac:dyDescent="0.25">
      <c r="A3063" s="405">
        <v>3002359</v>
      </c>
      <c r="B3063" s="406">
        <v>42514</v>
      </c>
      <c r="C3063" s="405" t="s">
        <v>237</v>
      </c>
      <c r="D3063" s="401" t="s">
        <v>7011</v>
      </c>
      <c r="E3063" s="120">
        <v>100</v>
      </c>
      <c r="F3063" s="133" t="s">
        <v>3301</v>
      </c>
      <c r="G3063" s="404" t="s">
        <v>45</v>
      </c>
      <c r="H3063" s="411">
        <v>100</v>
      </c>
      <c r="I3063" s="397">
        <f t="shared" ref="I3063" si="583">-(H3063*0.15)</f>
        <v>-15</v>
      </c>
      <c r="J3063" s="411">
        <v>0</v>
      </c>
      <c r="K3063" s="90">
        <f t="shared" si="576"/>
        <v>85</v>
      </c>
      <c r="L3063" s="187">
        <v>750</v>
      </c>
      <c r="M3063" s="187">
        <v>20.38</v>
      </c>
      <c r="N3063" s="91">
        <f t="shared" si="580"/>
        <v>95.38</v>
      </c>
      <c r="O3063" s="411">
        <f t="shared" si="571"/>
        <v>-10.379999999999995</v>
      </c>
      <c r="P3063" s="132" t="s">
        <v>601</v>
      </c>
      <c r="Q3063" s="232"/>
      <c r="R3063" s="411"/>
      <c r="T3063" s="134" t="s">
        <v>145</v>
      </c>
      <c r="U3063" s="267" t="s">
        <v>7012</v>
      </c>
      <c r="AA3063" s="218"/>
    </row>
    <row r="3064" spans="1:27" ht="24" x14ac:dyDescent="0.25">
      <c r="A3064" s="405">
        <v>3002360</v>
      </c>
      <c r="B3064" s="406">
        <v>42514</v>
      </c>
      <c r="C3064" s="405" t="s">
        <v>5682</v>
      </c>
      <c r="D3064" s="401" t="s">
        <v>7013</v>
      </c>
      <c r="E3064" s="120">
        <v>500</v>
      </c>
      <c r="F3064" s="133" t="s">
        <v>207</v>
      </c>
      <c r="G3064" s="404" t="s">
        <v>45</v>
      </c>
      <c r="H3064" s="411">
        <v>513.94000000000005</v>
      </c>
      <c r="I3064" s="94">
        <f t="shared" si="581"/>
        <v>-46.254600000000003</v>
      </c>
      <c r="J3064" s="391">
        <f t="shared" si="582"/>
        <v>-10.064860000000001</v>
      </c>
      <c r="K3064" s="90">
        <f t="shared" si="576"/>
        <v>457.62054000000006</v>
      </c>
      <c r="L3064" s="131">
        <v>570</v>
      </c>
      <c r="M3064" s="187">
        <v>69.41</v>
      </c>
      <c r="N3064" s="91">
        <f t="shared" si="580"/>
        <v>354.40999999999997</v>
      </c>
      <c r="O3064" s="411">
        <f t="shared" si="571"/>
        <v>103.21054000000009</v>
      </c>
      <c r="P3064" s="132" t="s">
        <v>52</v>
      </c>
      <c r="Q3064" s="232"/>
      <c r="R3064" s="411"/>
      <c r="T3064" s="134" t="s">
        <v>145</v>
      </c>
      <c r="U3064" s="267" t="s">
        <v>7014</v>
      </c>
      <c r="AA3064" s="218"/>
    </row>
    <row r="3065" spans="1:27" ht="24" x14ac:dyDescent="0.25">
      <c r="A3065" s="405">
        <v>3002361</v>
      </c>
      <c r="B3065" s="406">
        <v>42514</v>
      </c>
      <c r="C3065" s="405" t="s">
        <v>5682</v>
      </c>
      <c r="D3065" s="401" t="s">
        <v>7015</v>
      </c>
      <c r="E3065" s="120">
        <v>50</v>
      </c>
      <c r="F3065" s="133" t="s">
        <v>114</v>
      </c>
      <c r="G3065" s="404" t="s">
        <v>45</v>
      </c>
      <c r="H3065" s="411">
        <v>235.75</v>
      </c>
      <c r="I3065" s="94">
        <f t="shared" si="581"/>
        <v>-21.217499999999998</v>
      </c>
      <c r="J3065" s="391">
        <f t="shared" si="582"/>
        <v>-4.7792499999999993</v>
      </c>
      <c r="K3065" s="90">
        <f t="shared" si="576"/>
        <v>209.75325000000001</v>
      </c>
      <c r="L3065" s="131">
        <v>1770</v>
      </c>
      <c r="M3065" s="187">
        <v>39.44</v>
      </c>
      <c r="N3065" s="91">
        <f t="shared" si="580"/>
        <v>127.94</v>
      </c>
      <c r="O3065" s="411">
        <f t="shared" si="571"/>
        <v>81.813250000000011</v>
      </c>
      <c r="P3065" s="132" t="s">
        <v>52</v>
      </c>
      <c r="Q3065" s="232"/>
      <c r="R3065" s="411"/>
      <c r="T3065" s="134" t="s">
        <v>145</v>
      </c>
      <c r="U3065" s="267" t="s">
        <v>7016</v>
      </c>
      <c r="AA3065" s="218"/>
    </row>
    <row r="3066" spans="1:27" x14ac:dyDescent="0.25">
      <c r="A3066" s="419">
        <v>3002362</v>
      </c>
      <c r="B3066" s="421">
        <v>42514</v>
      </c>
      <c r="C3066" s="419" t="s">
        <v>63</v>
      </c>
      <c r="D3066" s="417" t="s">
        <v>7017</v>
      </c>
      <c r="E3066" s="120">
        <v>238</v>
      </c>
      <c r="F3066" s="133" t="s">
        <v>7018</v>
      </c>
      <c r="G3066" s="434" t="s">
        <v>45</v>
      </c>
      <c r="H3066" s="427">
        <v>2513.6</v>
      </c>
      <c r="I3066" s="427">
        <v>0</v>
      </c>
      <c r="J3066" s="425">
        <f>-((H3066*0.022)+0.3)</f>
        <v>-55.599199999999989</v>
      </c>
      <c r="K3066" s="425">
        <f t="shared" si="576"/>
        <v>2458.0007999999998</v>
      </c>
      <c r="M3066" s="468">
        <v>109.38</v>
      </c>
      <c r="N3066" s="91">
        <f t="shared" si="580"/>
        <v>109.38</v>
      </c>
      <c r="O3066" s="411">
        <f t="shared" si="571"/>
        <v>2348.6207999999997</v>
      </c>
      <c r="P3066" s="132" t="s">
        <v>52</v>
      </c>
      <c r="Q3066" s="232"/>
      <c r="R3066" s="411"/>
      <c r="T3066" s="439" t="s">
        <v>875</v>
      </c>
      <c r="U3066" s="446" t="s">
        <v>7019</v>
      </c>
      <c r="V3066" s="133" t="s">
        <v>55</v>
      </c>
      <c r="W3066" s="153" t="s">
        <v>7020</v>
      </c>
      <c r="AA3066" s="473">
        <v>10</v>
      </c>
    </row>
    <row r="3067" spans="1:27" x14ac:dyDescent="0.25">
      <c r="A3067" s="432"/>
      <c r="B3067" s="433"/>
      <c r="C3067" s="432"/>
      <c r="D3067" s="454"/>
      <c r="E3067" s="120">
        <v>500</v>
      </c>
      <c r="F3067" s="133" t="s">
        <v>438</v>
      </c>
      <c r="G3067" s="435"/>
      <c r="H3067" s="438"/>
      <c r="I3067" s="438"/>
      <c r="J3067" s="437"/>
      <c r="K3067" s="437"/>
      <c r="M3067" s="491"/>
      <c r="N3067" s="91">
        <f t="shared" si="580"/>
        <v>0</v>
      </c>
      <c r="O3067" s="411">
        <f t="shared" si="571"/>
        <v>0</v>
      </c>
      <c r="P3067" s="132" t="s">
        <v>52</v>
      </c>
      <c r="Q3067" s="232"/>
      <c r="R3067" s="411"/>
      <c r="T3067" s="440"/>
      <c r="U3067" s="448"/>
      <c r="AA3067" s="478"/>
    </row>
    <row r="3068" spans="1:27" x14ac:dyDescent="0.25">
      <c r="A3068" s="420"/>
      <c r="B3068" s="422"/>
      <c r="C3068" s="420"/>
      <c r="D3068" s="418"/>
      <c r="E3068" s="120">
        <v>320</v>
      </c>
      <c r="F3068" s="133" t="s">
        <v>70</v>
      </c>
      <c r="G3068" s="436"/>
      <c r="H3068" s="428"/>
      <c r="I3068" s="428"/>
      <c r="J3068" s="426"/>
      <c r="K3068" s="426"/>
      <c r="M3068" s="469"/>
      <c r="N3068" s="91">
        <f t="shared" si="580"/>
        <v>0</v>
      </c>
      <c r="O3068" s="411">
        <f t="shared" si="571"/>
        <v>0</v>
      </c>
      <c r="P3068" s="132" t="s">
        <v>52</v>
      </c>
      <c r="Q3068" s="232"/>
      <c r="R3068" s="411"/>
      <c r="T3068" s="441"/>
      <c r="U3068" s="447"/>
      <c r="AA3068" s="474"/>
    </row>
    <row r="3069" spans="1:27" ht="60" x14ac:dyDescent="0.25">
      <c r="A3069" s="419">
        <v>3002363</v>
      </c>
      <c r="B3069" s="421">
        <v>42514</v>
      </c>
      <c r="C3069" s="419" t="s">
        <v>56</v>
      </c>
      <c r="D3069" s="429" t="s">
        <v>7021</v>
      </c>
      <c r="E3069" s="120">
        <v>1000</v>
      </c>
      <c r="F3069" s="119" t="s">
        <v>7022</v>
      </c>
      <c r="G3069" s="434" t="s">
        <v>45</v>
      </c>
      <c r="H3069" s="427">
        <v>33020</v>
      </c>
      <c r="I3069" s="427">
        <v>0</v>
      </c>
      <c r="J3069" s="427">
        <v>0</v>
      </c>
      <c r="K3069" s="425">
        <f t="shared" ref="K3069" si="584">SUM(H3069:J3069)</f>
        <v>33020</v>
      </c>
      <c r="L3069" s="187">
        <v>2760.98</v>
      </c>
      <c r="M3069" s="177"/>
      <c r="N3069" s="91">
        <f t="shared" si="580"/>
        <v>2760.98</v>
      </c>
      <c r="O3069" s="411">
        <f t="shared" si="571"/>
        <v>30259.02</v>
      </c>
      <c r="P3069" s="132" t="s">
        <v>1793</v>
      </c>
      <c r="Q3069" s="232"/>
      <c r="R3069" s="411"/>
      <c r="T3069" s="439" t="s">
        <v>7023</v>
      </c>
      <c r="U3069" s="266"/>
      <c r="V3069" s="133" t="s">
        <v>7024</v>
      </c>
      <c r="AA3069" s="218"/>
    </row>
    <row r="3070" spans="1:27" ht="60" x14ac:dyDescent="0.25">
      <c r="A3070" s="432"/>
      <c r="B3070" s="433"/>
      <c r="C3070" s="432"/>
      <c r="D3070" s="430"/>
      <c r="E3070" s="120">
        <v>1000</v>
      </c>
      <c r="F3070" s="119" t="s">
        <v>7025</v>
      </c>
      <c r="G3070" s="435"/>
      <c r="H3070" s="438"/>
      <c r="I3070" s="438"/>
      <c r="J3070" s="438"/>
      <c r="K3070" s="437"/>
      <c r="L3070" s="187">
        <v>10974.17</v>
      </c>
      <c r="M3070" s="131">
        <v>0</v>
      </c>
      <c r="N3070" s="91">
        <f t="shared" si="580"/>
        <v>10974.17</v>
      </c>
      <c r="O3070" s="411">
        <f t="shared" si="571"/>
        <v>-10974.17</v>
      </c>
      <c r="P3070" s="132" t="s">
        <v>1793</v>
      </c>
      <c r="Q3070" s="232"/>
      <c r="R3070" s="411"/>
      <c r="T3070" s="440"/>
      <c r="U3070" s="266"/>
      <c r="V3070" s="133" t="s">
        <v>7026</v>
      </c>
      <c r="AA3070" s="218"/>
    </row>
    <row r="3071" spans="1:27" ht="60" x14ac:dyDescent="0.25">
      <c r="A3071" s="420"/>
      <c r="B3071" s="422"/>
      <c r="C3071" s="420"/>
      <c r="D3071" s="431"/>
      <c r="E3071" s="120">
        <v>1000</v>
      </c>
      <c r="F3071" s="119" t="s">
        <v>7027</v>
      </c>
      <c r="G3071" s="436"/>
      <c r="H3071" s="428"/>
      <c r="I3071" s="428"/>
      <c r="J3071" s="428"/>
      <c r="K3071" s="426"/>
      <c r="L3071" s="187">
        <v>14566.39</v>
      </c>
      <c r="M3071" s="131">
        <v>0</v>
      </c>
      <c r="N3071" s="91">
        <f t="shared" si="580"/>
        <v>14566.39</v>
      </c>
      <c r="O3071" s="411">
        <f t="shared" si="571"/>
        <v>-14566.39</v>
      </c>
      <c r="P3071" s="132" t="s">
        <v>1793</v>
      </c>
      <c r="Q3071" s="232"/>
      <c r="R3071" s="411"/>
      <c r="T3071" s="441"/>
      <c r="U3071" s="266"/>
      <c r="V3071" s="133" t="s">
        <v>7028</v>
      </c>
      <c r="AA3071" s="218"/>
    </row>
    <row r="3072" spans="1:27" ht="24" x14ac:dyDescent="0.25">
      <c r="A3072" s="405">
        <v>3002364</v>
      </c>
      <c r="B3072" s="406">
        <v>42515</v>
      </c>
      <c r="C3072" s="405" t="s">
        <v>78</v>
      </c>
      <c r="D3072" s="401" t="s">
        <v>7029</v>
      </c>
      <c r="E3072" s="120">
        <v>500</v>
      </c>
      <c r="F3072" s="133" t="s">
        <v>2491</v>
      </c>
      <c r="G3072" s="404" t="s">
        <v>45</v>
      </c>
      <c r="H3072" s="411">
        <v>500</v>
      </c>
      <c r="I3072" s="411">
        <v>0</v>
      </c>
      <c r="J3072" s="391">
        <f t="shared" ref="J3072:J3082" si="585">-((H3072*0.019)+0.3)</f>
        <v>-9.8000000000000007</v>
      </c>
      <c r="K3072" s="90">
        <f t="shared" ref="K3072:K3134" si="586">SUM(H3072:J3072)</f>
        <v>490.2</v>
      </c>
      <c r="L3072" s="187">
        <v>565</v>
      </c>
      <c r="M3072" s="187">
        <v>50.56</v>
      </c>
      <c r="N3072" s="91">
        <f t="shared" si="580"/>
        <v>333.06</v>
      </c>
      <c r="O3072" s="411">
        <f t="shared" si="571"/>
        <v>157.13999999999999</v>
      </c>
      <c r="P3072" s="132" t="s">
        <v>235</v>
      </c>
      <c r="Q3072" s="232"/>
      <c r="R3072" s="411"/>
      <c r="T3072" s="134" t="s">
        <v>145</v>
      </c>
      <c r="U3072" s="267" t="s">
        <v>7030</v>
      </c>
      <c r="W3072" s="153" t="s">
        <v>7031</v>
      </c>
      <c r="AA3072" s="218"/>
    </row>
    <row r="3073" spans="1:27" x14ac:dyDescent="0.25">
      <c r="A3073" s="405">
        <v>3002365</v>
      </c>
      <c r="B3073" s="406">
        <v>42515</v>
      </c>
      <c r="C3073" s="405" t="s">
        <v>141</v>
      </c>
      <c r="D3073" s="401" t="s">
        <v>7032</v>
      </c>
      <c r="E3073" s="120">
        <v>1000</v>
      </c>
      <c r="F3073" s="133" t="s">
        <v>5804</v>
      </c>
      <c r="G3073" s="404" t="s">
        <v>45</v>
      </c>
      <c r="H3073" s="411">
        <v>1500</v>
      </c>
      <c r="I3073" s="411">
        <v>0</v>
      </c>
      <c r="J3073" s="391">
        <f>-((H3073*0.0325)+0.3)</f>
        <v>-49.05</v>
      </c>
      <c r="K3073" s="90">
        <f t="shared" si="586"/>
        <v>1450.95</v>
      </c>
      <c r="L3073" s="187">
        <v>950</v>
      </c>
      <c r="N3073" s="91">
        <f t="shared" si="580"/>
        <v>950</v>
      </c>
      <c r="O3073" s="411">
        <f t="shared" si="571"/>
        <v>500.95000000000005</v>
      </c>
      <c r="P3073" s="132" t="s">
        <v>66</v>
      </c>
      <c r="Q3073" s="232"/>
      <c r="R3073" s="411"/>
      <c r="T3073" s="134" t="s">
        <v>7033</v>
      </c>
      <c r="U3073" s="266">
        <v>59653171559</v>
      </c>
      <c r="W3073" s="153" t="s">
        <v>5807</v>
      </c>
      <c r="AA3073" s="218">
        <v>10</v>
      </c>
    </row>
    <row r="3074" spans="1:27" ht="24" x14ac:dyDescent="0.25">
      <c r="A3074" s="405">
        <v>3002366</v>
      </c>
      <c r="B3074" s="406">
        <v>42515</v>
      </c>
      <c r="C3074" s="405" t="s">
        <v>63</v>
      </c>
      <c r="D3074" s="401" t="s">
        <v>7034</v>
      </c>
      <c r="E3074" s="120">
        <v>30</v>
      </c>
      <c r="F3074" s="133" t="s">
        <v>7035</v>
      </c>
      <c r="G3074" s="404" t="s">
        <v>45</v>
      </c>
      <c r="H3074" s="411">
        <v>190</v>
      </c>
      <c r="I3074" s="411">
        <v>0</v>
      </c>
      <c r="J3074" s="391">
        <f>-((H3074*0.022)+0.3)</f>
        <v>-4.4799999999999995</v>
      </c>
      <c r="K3074" s="90">
        <f t="shared" si="586"/>
        <v>185.52</v>
      </c>
      <c r="L3074" s="187">
        <v>3000</v>
      </c>
      <c r="M3074" s="187">
        <v>16.600000000000001</v>
      </c>
      <c r="N3074" s="91">
        <f t="shared" si="580"/>
        <v>106.6</v>
      </c>
      <c r="O3074" s="411">
        <f t="shared" si="571"/>
        <v>78.920000000000016</v>
      </c>
      <c r="P3074" s="132" t="s">
        <v>235</v>
      </c>
      <c r="Q3074" s="232"/>
      <c r="R3074" s="411"/>
      <c r="T3074" s="134" t="s">
        <v>145</v>
      </c>
      <c r="U3074" s="267" t="s">
        <v>7036</v>
      </c>
      <c r="W3074" s="153" t="s">
        <v>7037</v>
      </c>
      <c r="AA3074" s="218"/>
    </row>
    <row r="3075" spans="1:27" ht="24" x14ac:dyDescent="0.25">
      <c r="A3075" s="405">
        <v>3002367</v>
      </c>
      <c r="B3075" s="406">
        <v>42515</v>
      </c>
      <c r="C3075" s="405" t="s">
        <v>5682</v>
      </c>
      <c r="D3075" s="401" t="s">
        <v>7038</v>
      </c>
      <c r="E3075" s="120">
        <v>500</v>
      </c>
      <c r="F3075" s="133" t="s">
        <v>175</v>
      </c>
      <c r="G3075" s="404" t="s">
        <v>45</v>
      </c>
      <c r="H3075" s="411">
        <v>266.39</v>
      </c>
      <c r="I3075" s="94">
        <f t="shared" ref="I3075:I3082" si="587">-(H3075*0.09)</f>
        <v>-23.975099999999998</v>
      </c>
      <c r="J3075" s="391">
        <f t="shared" si="585"/>
        <v>-5.3614099999999993</v>
      </c>
      <c r="K3075" s="90">
        <f t="shared" si="586"/>
        <v>237.05348999999998</v>
      </c>
      <c r="L3075" s="131">
        <v>250</v>
      </c>
      <c r="M3075" s="187">
        <v>52.62</v>
      </c>
      <c r="N3075" s="91">
        <f t="shared" si="580"/>
        <v>177.62</v>
      </c>
      <c r="O3075" s="411">
        <f t="shared" si="571"/>
        <v>59.433489999999978</v>
      </c>
      <c r="P3075" s="132" t="s">
        <v>52</v>
      </c>
      <c r="Q3075" s="232"/>
      <c r="R3075" s="411"/>
      <c r="T3075" s="134" t="s">
        <v>145</v>
      </c>
      <c r="U3075" s="267" t="s">
        <v>7039</v>
      </c>
      <c r="AA3075" s="227"/>
    </row>
    <row r="3076" spans="1:27" ht="24" x14ac:dyDescent="0.25">
      <c r="A3076" s="405">
        <v>3002368</v>
      </c>
      <c r="B3076" s="406">
        <v>42515</v>
      </c>
      <c r="C3076" s="405" t="s">
        <v>5682</v>
      </c>
      <c r="D3076" s="401" t="s">
        <v>7040</v>
      </c>
      <c r="E3076" s="120">
        <v>5</v>
      </c>
      <c r="F3076" s="133" t="s">
        <v>222</v>
      </c>
      <c r="G3076" s="404" t="s">
        <v>45</v>
      </c>
      <c r="H3076" s="411">
        <v>21.45</v>
      </c>
      <c r="I3076" s="94">
        <f t="shared" si="587"/>
        <v>-1.9304999999999999</v>
      </c>
      <c r="J3076" s="391">
        <f t="shared" si="585"/>
        <v>-0.7075499999999999</v>
      </c>
      <c r="K3076" s="90">
        <f t="shared" si="586"/>
        <v>18.81195</v>
      </c>
      <c r="L3076" s="131">
        <v>930</v>
      </c>
      <c r="M3076" s="187">
        <v>14.52</v>
      </c>
      <c r="N3076" s="91">
        <f t="shared" si="580"/>
        <v>19.170000000000002</v>
      </c>
      <c r="O3076" s="411">
        <f t="shared" si="571"/>
        <v>-0.3580500000000022</v>
      </c>
      <c r="P3076" s="132" t="s">
        <v>52</v>
      </c>
      <c r="Q3076" s="232"/>
      <c r="R3076" s="411"/>
      <c r="T3076" s="134" t="s">
        <v>145</v>
      </c>
      <c r="U3076" s="267" t="s">
        <v>7041</v>
      </c>
      <c r="AA3076" s="227"/>
    </row>
    <row r="3077" spans="1:27" x14ac:dyDescent="0.25">
      <c r="A3077" s="405">
        <v>3002369</v>
      </c>
      <c r="B3077" s="406">
        <v>42515</v>
      </c>
      <c r="C3077" s="405" t="s">
        <v>5682</v>
      </c>
      <c r="D3077" s="401" t="s">
        <v>7042</v>
      </c>
      <c r="E3077" s="120">
        <v>220</v>
      </c>
      <c r="F3077" s="133" t="s">
        <v>5955</v>
      </c>
      <c r="G3077" s="404" t="s">
        <v>45</v>
      </c>
      <c r="H3077" s="411">
        <v>378.4</v>
      </c>
      <c r="I3077" s="94">
        <f t="shared" si="587"/>
        <v>-34.055999999999997</v>
      </c>
      <c r="J3077" s="391">
        <f t="shared" si="585"/>
        <v>-7.4895999999999994</v>
      </c>
      <c r="K3077" s="90">
        <f t="shared" si="586"/>
        <v>336.8544</v>
      </c>
      <c r="L3077" s="187">
        <v>1000</v>
      </c>
      <c r="M3077" s="187">
        <v>215.14</v>
      </c>
      <c r="N3077" s="91">
        <f t="shared" si="580"/>
        <v>435.14</v>
      </c>
      <c r="O3077" s="411">
        <f t="shared" si="571"/>
        <v>-98.285599999999988</v>
      </c>
      <c r="P3077" s="132" t="s">
        <v>6989</v>
      </c>
      <c r="Q3077" s="232"/>
      <c r="R3077" s="411"/>
      <c r="T3077" s="134" t="s">
        <v>314</v>
      </c>
      <c r="U3077" s="267" t="s">
        <v>7043</v>
      </c>
      <c r="AA3077" s="227"/>
    </row>
    <row r="3078" spans="1:27" ht="24" x14ac:dyDescent="0.25">
      <c r="A3078" s="405">
        <v>3002370</v>
      </c>
      <c r="B3078" s="406">
        <v>42515</v>
      </c>
      <c r="C3078" s="405" t="s">
        <v>5682</v>
      </c>
      <c r="D3078" s="401" t="s">
        <v>7044</v>
      </c>
      <c r="E3078" s="120">
        <v>125</v>
      </c>
      <c r="F3078" s="133" t="s">
        <v>85</v>
      </c>
      <c r="G3078" s="404" t="s">
        <v>45</v>
      </c>
      <c r="H3078" s="411">
        <v>356.84</v>
      </c>
      <c r="I3078" s="94">
        <f t="shared" si="587"/>
        <v>-32.115599999999993</v>
      </c>
      <c r="J3078" s="391">
        <f t="shared" si="585"/>
        <v>-7.0799599999999989</v>
      </c>
      <c r="K3078" s="90">
        <f t="shared" si="586"/>
        <v>317.64444000000003</v>
      </c>
      <c r="L3078" s="131">
        <v>1296</v>
      </c>
      <c r="M3078" s="187">
        <v>78.010000000000005</v>
      </c>
      <c r="N3078" s="91">
        <f t="shared" si="580"/>
        <v>240.01</v>
      </c>
      <c r="O3078" s="411">
        <f t="shared" si="571"/>
        <v>77.634440000000041</v>
      </c>
      <c r="P3078" s="132" t="s">
        <v>52</v>
      </c>
      <c r="Q3078" s="232"/>
      <c r="R3078" s="411"/>
      <c r="T3078" s="134" t="s">
        <v>145</v>
      </c>
      <c r="U3078" s="267" t="s">
        <v>7045</v>
      </c>
      <c r="AA3078" s="227"/>
    </row>
    <row r="3079" spans="1:27" x14ac:dyDescent="0.25">
      <c r="A3079" s="405">
        <v>3002371</v>
      </c>
      <c r="B3079" s="406">
        <v>42515</v>
      </c>
      <c r="C3079" s="405" t="s">
        <v>5682</v>
      </c>
      <c r="D3079" s="401" t="s">
        <v>767</v>
      </c>
      <c r="E3079" s="120">
        <v>325</v>
      </c>
      <c r="F3079" s="133" t="s">
        <v>85</v>
      </c>
      <c r="G3079" s="404" t="s">
        <v>45</v>
      </c>
      <c r="H3079" s="411">
        <v>766.75</v>
      </c>
      <c r="I3079" s="94">
        <f t="shared" si="587"/>
        <v>-69.007499999999993</v>
      </c>
      <c r="J3079" s="391">
        <f t="shared" si="585"/>
        <v>-14.86825</v>
      </c>
      <c r="K3079" s="90">
        <f t="shared" si="586"/>
        <v>682.87425000000007</v>
      </c>
      <c r="L3079" s="131">
        <v>1296</v>
      </c>
      <c r="M3079" s="187">
        <v>187.69</v>
      </c>
      <c r="N3079" s="91">
        <f t="shared" si="580"/>
        <v>608.89</v>
      </c>
      <c r="O3079" s="411">
        <f t="shared" si="571"/>
        <v>73.984250000000088</v>
      </c>
      <c r="P3079" s="132" t="s">
        <v>52</v>
      </c>
      <c r="Q3079" s="232"/>
      <c r="R3079" s="411"/>
      <c r="T3079" s="134" t="s">
        <v>244</v>
      </c>
      <c r="U3079" s="267" t="s">
        <v>7046</v>
      </c>
      <c r="V3079" s="133" t="s">
        <v>55</v>
      </c>
      <c r="AA3079" s="227"/>
    </row>
    <row r="3080" spans="1:27" x14ac:dyDescent="0.25">
      <c r="A3080" s="405">
        <v>3002372</v>
      </c>
      <c r="B3080" s="406">
        <v>42515</v>
      </c>
      <c r="C3080" s="405" t="s">
        <v>5682</v>
      </c>
      <c r="D3080" s="401" t="s">
        <v>7047</v>
      </c>
      <c r="E3080" s="120">
        <v>1000</v>
      </c>
      <c r="F3080" s="133" t="s">
        <v>288</v>
      </c>
      <c r="G3080" s="404" t="s">
        <v>45</v>
      </c>
      <c r="H3080" s="411">
        <v>1843</v>
      </c>
      <c r="I3080" s="94">
        <f t="shared" si="587"/>
        <v>-165.87</v>
      </c>
      <c r="J3080" s="391">
        <f t="shared" si="585"/>
        <v>-35.316999999999993</v>
      </c>
      <c r="K3080" s="90">
        <f t="shared" si="586"/>
        <v>1641.8130000000001</v>
      </c>
      <c r="L3080" s="131">
        <v>950</v>
      </c>
      <c r="M3080" s="187">
        <v>143.38999999999999</v>
      </c>
      <c r="N3080" s="91">
        <f t="shared" si="580"/>
        <v>1093.3899999999999</v>
      </c>
      <c r="O3080" s="411">
        <f t="shared" si="571"/>
        <v>548.42300000000023</v>
      </c>
      <c r="P3080" s="132" t="s">
        <v>52</v>
      </c>
      <c r="Q3080" s="232"/>
      <c r="R3080" s="411"/>
      <c r="T3080" s="134" t="s">
        <v>97</v>
      </c>
      <c r="U3080" s="267" t="s">
        <v>7048</v>
      </c>
      <c r="V3080" s="133" t="s">
        <v>55</v>
      </c>
      <c r="AA3080" s="218"/>
    </row>
    <row r="3081" spans="1:27" ht="24" x14ac:dyDescent="0.25">
      <c r="A3081" s="405">
        <v>3002373</v>
      </c>
      <c r="B3081" s="406">
        <v>42515</v>
      </c>
      <c r="C3081" s="405" t="s">
        <v>5682</v>
      </c>
      <c r="D3081" s="401" t="s">
        <v>7049</v>
      </c>
      <c r="E3081" s="120">
        <v>125</v>
      </c>
      <c r="F3081" s="133" t="s">
        <v>165</v>
      </c>
      <c r="G3081" s="404" t="s">
        <v>45</v>
      </c>
      <c r="H3081" s="411">
        <v>127.51</v>
      </c>
      <c r="I3081" s="94">
        <f t="shared" si="587"/>
        <v>-11.475899999999999</v>
      </c>
      <c r="J3081" s="391">
        <f t="shared" si="585"/>
        <v>-2.7226900000000001</v>
      </c>
      <c r="K3081" s="90">
        <f t="shared" si="586"/>
        <v>113.31141000000001</v>
      </c>
      <c r="M3081" s="187">
        <v>31.76</v>
      </c>
      <c r="N3081" s="91">
        <f t="shared" si="580"/>
        <v>31.76</v>
      </c>
      <c r="O3081" s="411">
        <f t="shared" si="571"/>
        <v>81.551410000000004</v>
      </c>
      <c r="P3081" s="132" t="s">
        <v>52</v>
      </c>
      <c r="Q3081" s="232"/>
      <c r="R3081" s="411"/>
      <c r="T3081" s="134" t="s">
        <v>145</v>
      </c>
      <c r="U3081" s="267" t="s">
        <v>7050</v>
      </c>
      <c r="AA3081" s="218"/>
    </row>
    <row r="3082" spans="1:27" ht="24" x14ac:dyDescent="0.25">
      <c r="A3082" s="405">
        <v>3002374</v>
      </c>
      <c r="B3082" s="406">
        <v>42515</v>
      </c>
      <c r="C3082" s="405" t="s">
        <v>5682</v>
      </c>
      <c r="D3082" s="401" t="s">
        <v>7051</v>
      </c>
      <c r="E3082" s="120">
        <v>250</v>
      </c>
      <c r="F3082" s="119" t="s">
        <v>7052</v>
      </c>
      <c r="G3082" s="404" t="s">
        <v>45</v>
      </c>
      <c r="H3082" s="411">
        <v>172.26</v>
      </c>
      <c r="I3082" s="94">
        <f t="shared" si="587"/>
        <v>-15.503399999999999</v>
      </c>
      <c r="J3082" s="391">
        <f t="shared" si="585"/>
        <v>-3.5729399999999996</v>
      </c>
      <c r="K3082" s="90">
        <f t="shared" si="586"/>
        <v>153.18366</v>
      </c>
      <c r="L3082" s="187">
        <v>369</v>
      </c>
      <c r="M3082" s="187">
        <v>19.53</v>
      </c>
      <c r="N3082" s="91">
        <f t="shared" si="580"/>
        <v>111.78</v>
      </c>
      <c r="O3082" s="411">
        <f t="shared" si="571"/>
        <v>41.403660000000002</v>
      </c>
      <c r="P3082" s="132" t="s">
        <v>313</v>
      </c>
      <c r="Q3082" s="232"/>
      <c r="R3082" s="411">
        <v>12.76</v>
      </c>
      <c r="S3082" s="133" t="s">
        <v>3435</v>
      </c>
      <c r="T3082" s="134" t="s">
        <v>314</v>
      </c>
      <c r="U3082" s="267" t="s">
        <v>7053</v>
      </c>
      <c r="AA3082" s="218"/>
    </row>
    <row r="3083" spans="1:27" x14ac:dyDescent="0.25">
      <c r="A3083" s="419">
        <v>3002375</v>
      </c>
      <c r="B3083" s="421">
        <v>42515</v>
      </c>
      <c r="C3083" s="419" t="s">
        <v>237</v>
      </c>
      <c r="D3083" s="417" t="s">
        <v>7054</v>
      </c>
      <c r="E3083" s="120">
        <v>50</v>
      </c>
      <c r="F3083" s="133" t="s">
        <v>3301</v>
      </c>
      <c r="G3083" s="434" t="s">
        <v>45</v>
      </c>
      <c r="H3083" s="427">
        <v>137.75</v>
      </c>
      <c r="I3083" s="452">
        <f t="shared" ref="I3083" si="588">-(H3083*0.15)</f>
        <v>-20.662499999999998</v>
      </c>
      <c r="J3083" s="427">
        <v>0</v>
      </c>
      <c r="K3083" s="425">
        <f t="shared" si="586"/>
        <v>117.08750000000001</v>
      </c>
      <c r="L3083" s="187">
        <v>750</v>
      </c>
      <c r="M3083" s="187">
        <v>22.4</v>
      </c>
      <c r="N3083" s="91">
        <f t="shared" si="580"/>
        <v>59.9</v>
      </c>
      <c r="O3083" s="411">
        <f t="shared" si="571"/>
        <v>57.187500000000007</v>
      </c>
      <c r="P3083" s="132" t="s">
        <v>601</v>
      </c>
      <c r="Q3083" s="232"/>
      <c r="R3083" s="411"/>
      <c r="T3083" s="439" t="s">
        <v>145</v>
      </c>
      <c r="U3083" s="446" t="s">
        <v>7055</v>
      </c>
      <c r="AA3083" s="218"/>
    </row>
    <row r="3084" spans="1:27" x14ac:dyDescent="0.25">
      <c r="A3084" s="420"/>
      <c r="B3084" s="422"/>
      <c r="C3084" s="420"/>
      <c r="D3084" s="418"/>
      <c r="E3084" s="120">
        <v>50</v>
      </c>
      <c r="F3084" s="133" t="s">
        <v>3299</v>
      </c>
      <c r="G3084" s="436"/>
      <c r="H3084" s="428"/>
      <c r="I3084" s="453"/>
      <c r="J3084" s="428"/>
      <c r="K3084" s="426"/>
      <c r="L3084" s="187">
        <v>750</v>
      </c>
      <c r="N3084" s="91">
        <f t="shared" si="580"/>
        <v>37.5</v>
      </c>
      <c r="O3084" s="411">
        <f t="shared" ref="O3084:O3147" si="589">K3084-N3084</f>
        <v>-37.5</v>
      </c>
      <c r="P3084" s="132" t="s">
        <v>601</v>
      </c>
      <c r="Q3084" s="232"/>
      <c r="R3084" s="411"/>
      <c r="T3084" s="441"/>
      <c r="U3084" s="447"/>
      <c r="AA3084" s="218"/>
    </row>
    <row r="3085" spans="1:27" x14ac:dyDescent="0.25">
      <c r="A3085" s="405">
        <v>3002376</v>
      </c>
      <c r="B3085" s="406">
        <v>42515</v>
      </c>
      <c r="C3085" s="405" t="s">
        <v>56</v>
      </c>
      <c r="D3085" s="401" t="s">
        <v>6840</v>
      </c>
      <c r="E3085" s="120">
        <v>10000</v>
      </c>
      <c r="F3085" s="133" t="s">
        <v>7056</v>
      </c>
      <c r="G3085" s="404" t="s">
        <v>45</v>
      </c>
      <c r="H3085" s="411">
        <v>4400</v>
      </c>
      <c r="I3085" s="411">
        <v>0</v>
      </c>
      <c r="J3085" s="411">
        <v>0</v>
      </c>
      <c r="K3085" s="90">
        <f t="shared" si="586"/>
        <v>4400</v>
      </c>
      <c r="L3085" s="187">
        <v>290</v>
      </c>
      <c r="M3085" s="187">
        <v>127.71</v>
      </c>
      <c r="N3085" s="91">
        <f t="shared" si="580"/>
        <v>3027.71</v>
      </c>
      <c r="O3085" s="411">
        <f t="shared" si="589"/>
        <v>1372.29</v>
      </c>
      <c r="P3085" s="132" t="s">
        <v>7057</v>
      </c>
      <c r="Q3085" s="232"/>
      <c r="R3085" s="411"/>
      <c r="T3085" s="134" t="s">
        <v>1467</v>
      </c>
      <c r="U3085" s="267" t="s">
        <v>7058</v>
      </c>
      <c r="V3085" s="119" t="s">
        <v>6492</v>
      </c>
      <c r="W3085" s="153" t="s">
        <v>298</v>
      </c>
      <c r="AA3085" s="218"/>
    </row>
    <row r="3086" spans="1:27" ht="36" x14ac:dyDescent="0.25">
      <c r="A3086" s="405">
        <v>3002377</v>
      </c>
      <c r="B3086" s="406">
        <v>42515</v>
      </c>
      <c r="C3086" s="405" t="s">
        <v>78</v>
      </c>
      <c r="D3086" s="401" t="s">
        <v>7059</v>
      </c>
      <c r="E3086" s="120">
        <v>70</v>
      </c>
      <c r="F3086" s="133" t="s">
        <v>4341</v>
      </c>
      <c r="G3086" s="404" t="s">
        <v>45</v>
      </c>
      <c r="H3086" s="411">
        <v>791</v>
      </c>
      <c r="I3086" s="411">
        <v>0</v>
      </c>
      <c r="J3086" s="391">
        <f t="shared" ref="J3086:J3088" si="590">-((H3086*0.019)+0.3)</f>
        <v>-15.329000000000001</v>
      </c>
      <c r="K3086" s="90">
        <f t="shared" si="586"/>
        <v>775.67100000000005</v>
      </c>
      <c r="L3086" s="187">
        <v>8000</v>
      </c>
      <c r="M3086" s="131">
        <v>0</v>
      </c>
      <c r="N3086" s="91">
        <f t="shared" si="580"/>
        <v>560</v>
      </c>
      <c r="O3086" s="411">
        <f t="shared" si="589"/>
        <v>215.67100000000005</v>
      </c>
      <c r="P3086" s="132" t="s">
        <v>59</v>
      </c>
      <c r="Q3086" s="232"/>
      <c r="R3086" s="411"/>
      <c r="T3086" s="134" t="s">
        <v>60</v>
      </c>
      <c r="U3086" s="267" t="s">
        <v>7060</v>
      </c>
      <c r="W3086" s="153" t="s">
        <v>7061</v>
      </c>
      <c r="AA3086" s="218"/>
    </row>
    <row r="3087" spans="1:27" x14ac:dyDescent="0.25">
      <c r="A3087" s="405">
        <v>3002378</v>
      </c>
      <c r="B3087" s="406">
        <v>42515</v>
      </c>
      <c r="C3087" s="405" t="s">
        <v>327</v>
      </c>
      <c r="D3087" s="401" t="s">
        <v>3399</v>
      </c>
      <c r="E3087" s="120">
        <v>2650</v>
      </c>
      <c r="F3087" s="133" t="s">
        <v>7062</v>
      </c>
      <c r="G3087" s="404" t="s">
        <v>45</v>
      </c>
      <c r="H3087" s="411">
        <v>2650</v>
      </c>
      <c r="I3087" s="411">
        <v>0</v>
      </c>
      <c r="J3087" s="391">
        <f>-((H3087*0.022)+0.3)</f>
        <v>-58.599999999999994</v>
      </c>
      <c r="K3087" s="90">
        <f t="shared" si="586"/>
        <v>2591.4</v>
      </c>
      <c r="L3087" s="187">
        <v>605</v>
      </c>
      <c r="M3087" s="187">
        <v>220</v>
      </c>
      <c r="N3087" s="91">
        <f t="shared" si="580"/>
        <v>1823.25</v>
      </c>
      <c r="O3087" s="411">
        <f t="shared" si="589"/>
        <v>768.15000000000009</v>
      </c>
      <c r="P3087" s="132" t="s">
        <v>3401</v>
      </c>
      <c r="Q3087" s="232"/>
      <c r="R3087" s="411"/>
      <c r="T3087" s="134" t="s">
        <v>399</v>
      </c>
      <c r="U3087" s="267" t="s">
        <v>7063</v>
      </c>
      <c r="V3087" s="133" t="s">
        <v>55</v>
      </c>
      <c r="W3087" s="153" t="s">
        <v>3403</v>
      </c>
      <c r="AA3087" s="218">
        <v>10</v>
      </c>
    </row>
    <row r="3088" spans="1:27" ht="24" x14ac:dyDescent="0.25">
      <c r="A3088" s="405">
        <v>3002379</v>
      </c>
      <c r="B3088" s="406">
        <v>42515</v>
      </c>
      <c r="C3088" s="405" t="s">
        <v>5682</v>
      </c>
      <c r="D3088" s="401" t="s">
        <v>6262</v>
      </c>
      <c r="E3088" s="120">
        <v>200</v>
      </c>
      <c r="F3088" s="133" t="s">
        <v>451</v>
      </c>
      <c r="G3088" s="404" t="s">
        <v>45</v>
      </c>
      <c r="H3088" s="411">
        <v>134</v>
      </c>
      <c r="I3088" s="94">
        <f t="shared" ref="I3088" si="591">-(H3088*0.09)</f>
        <v>-12.059999999999999</v>
      </c>
      <c r="J3088" s="391">
        <f t="shared" si="590"/>
        <v>-2.8459999999999996</v>
      </c>
      <c r="K3088" s="90">
        <f t="shared" si="586"/>
        <v>119.09399999999999</v>
      </c>
      <c r="L3088" s="131">
        <v>300</v>
      </c>
      <c r="M3088" s="187">
        <v>32.71</v>
      </c>
      <c r="N3088" s="91">
        <f t="shared" si="580"/>
        <v>92.710000000000008</v>
      </c>
      <c r="O3088" s="411">
        <f t="shared" si="589"/>
        <v>26.383999999999986</v>
      </c>
      <c r="P3088" s="132" t="s">
        <v>52</v>
      </c>
      <c r="Q3088" s="232"/>
      <c r="R3088" s="411"/>
      <c r="T3088" s="134" t="s">
        <v>145</v>
      </c>
      <c r="U3088" s="267" t="s">
        <v>7064</v>
      </c>
      <c r="AA3088" s="218"/>
    </row>
    <row r="3089" spans="1:27" ht="24" x14ac:dyDescent="0.25">
      <c r="A3089" s="419">
        <v>3002380</v>
      </c>
      <c r="B3089" s="421">
        <v>42516</v>
      </c>
      <c r="C3089" s="419" t="s">
        <v>56</v>
      </c>
      <c r="D3089" s="417" t="s">
        <v>7065</v>
      </c>
      <c r="E3089" s="120">
        <v>3</v>
      </c>
      <c r="F3089" s="133" t="s">
        <v>7066</v>
      </c>
      <c r="G3089" s="434" t="s">
        <v>45</v>
      </c>
      <c r="H3089" s="427">
        <v>300</v>
      </c>
      <c r="I3089" s="427">
        <v>0</v>
      </c>
      <c r="J3089" s="427">
        <v>0</v>
      </c>
      <c r="K3089" s="425">
        <f t="shared" si="586"/>
        <v>300</v>
      </c>
      <c r="N3089" s="91">
        <f t="shared" si="580"/>
        <v>0</v>
      </c>
      <c r="O3089" s="411">
        <f t="shared" si="589"/>
        <v>300</v>
      </c>
      <c r="P3089" s="132" t="s">
        <v>2816</v>
      </c>
      <c r="Q3089" s="232"/>
      <c r="R3089" s="411"/>
      <c r="T3089" s="134" t="s">
        <v>145</v>
      </c>
      <c r="U3089" s="267" t="s">
        <v>7067</v>
      </c>
      <c r="V3089" s="133" t="s">
        <v>7068</v>
      </c>
      <c r="W3089" s="153" t="s">
        <v>7069</v>
      </c>
      <c r="AA3089" s="218"/>
    </row>
    <row r="3090" spans="1:27" ht="24" x14ac:dyDescent="0.25">
      <c r="A3090" s="420"/>
      <c r="B3090" s="422"/>
      <c r="C3090" s="420"/>
      <c r="D3090" s="418"/>
      <c r="E3090" s="120">
        <v>3</v>
      </c>
      <c r="F3090" s="119" t="s">
        <v>7070</v>
      </c>
      <c r="G3090" s="436"/>
      <c r="H3090" s="428"/>
      <c r="I3090" s="428"/>
      <c r="J3090" s="428"/>
      <c r="K3090" s="426"/>
      <c r="L3090" s="187">
        <v>15000</v>
      </c>
      <c r="N3090" s="91">
        <f t="shared" si="580"/>
        <v>45</v>
      </c>
      <c r="O3090" s="411">
        <f t="shared" si="589"/>
        <v>-45</v>
      </c>
      <c r="P3090" s="132" t="s">
        <v>6989</v>
      </c>
      <c r="Q3090" s="232"/>
      <c r="R3090" s="411"/>
      <c r="T3090" s="134" t="s">
        <v>145</v>
      </c>
      <c r="U3090" s="267" t="s">
        <v>7071</v>
      </c>
      <c r="AA3090" s="218"/>
    </row>
    <row r="3091" spans="1:27" ht="24" x14ac:dyDescent="0.25">
      <c r="A3091" s="405">
        <v>3002381</v>
      </c>
      <c r="B3091" s="406">
        <v>42516</v>
      </c>
      <c r="C3091" s="405" t="s">
        <v>141</v>
      </c>
      <c r="D3091" s="401" t="s">
        <v>1777</v>
      </c>
      <c r="E3091" s="120">
        <v>1000</v>
      </c>
      <c r="F3091" s="133" t="s">
        <v>4996</v>
      </c>
      <c r="G3091" s="404" t="s">
        <v>45</v>
      </c>
      <c r="H3091" s="411">
        <v>235</v>
      </c>
      <c r="I3091" s="411">
        <v>0</v>
      </c>
      <c r="J3091" s="391">
        <f>-((H3091*0.0325)+0.3)</f>
        <v>-7.9375</v>
      </c>
      <c r="K3091" s="90">
        <f t="shared" si="586"/>
        <v>227.0625</v>
      </c>
      <c r="L3091" s="187">
        <v>102</v>
      </c>
      <c r="N3091" s="91">
        <f t="shared" si="580"/>
        <v>102</v>
      </c>
      <c r="O3091" s="411">
        <f t="shared" si="589"/>
        <v>125.0625</v>
      </c>
      <c r="P3091" s="132" t="s">
        <v>3597</v>
      </c>
      <c r="Q3091" s="232"/>
      <c r="R3091" s="411"/>
      <c r="T3091" s="134" t="s">
        <v>204</v>
      </c>
      <c r="U3091" s="267" t="s">
        <v>7072</v>
      </c>
      <c r="W3091" s="153" t="s">
        <v>1780</v>
      </c>
      <c r="AA3091" s="218"/>
    </row>
    <row r="3092" spans="1:27" ht="24" x14ac:dyDescent="0.25">
      <c r="A3092" s="405">
        <v>3002382</v>
      </c>
      <c r="B3092" s="406">
        <v>42516</v>
      </c>
      <c r="C3092" s="405" t="s">
        <v>63</v>
      </c>
      <c r="D3092" s="401" t="s">
        <v>7073</v>
      </c>
      <c r="E3092" s="120">
        <v>105</v>
      </c>
      <c r="F3092" s="133" t="s">
        <v>217</v>
      </c>
      <c r="G3092" s="404" t="s">
        <v>45</v>
      </c>
      <c r="H3092" s="411">
        <v>295</v>
      </c>
      <c r="I3092" s="411">
        <v>0</v>
      </c>
      <c r="J3092" s="391">
        <f>-((H3092*0.022)+0.3)</f>
        <v>-6.7899999999999991</v>
      </c>
      <c r="K3092" s="90">
        <f t="shared" si="586"/>
        <v>288.20999999999998</v>
      </c>
      <c r="L3092" s="187">
        <v>1850</v>
      </c>
      <c r="M3092" s="187">
        <v>12.26</v>
      </c>
      <c r="N3092" s="91">
        <f t="shared" si="580"/>
        <v>206.51</v>
      </c>
      <c r="O3092" s="411">
        <f t="shared" si="589"/>
        <v>81.699999999999989</v>
      </c>
      <c r="P3092" s="132" t="s">
        <v>235</v>
      </c>
      <c r="Q3092" s="232"/>
      <c r="R3092" s="411"/>
      <c r="T3092" s="134" t="s">
        <v>145</v>
      </c>
      <c r="U3092" s="267" t="s">
        <v>7074</v>
      </c>
      <c r="W3092" s="153" t="s">
        <v>7075</v>
      </c>
      <c r="AA3092" s="218"/>
    </row>
    <row r="3093" spans="1:27" ht="24" x14ac:dyDescent="0.25">
      <c r="A3093" s="405">
        <v>3002383</v>
      </c>
      <c r="B3093" s="406">
        <v>42516</v>
      </c>
      <c r="C3093" s="405" t="s">
        <v>5682</v>
      </c>
      <c r="D3093" s="401" t="s">
        <v>7076</v>
      </c>
      <c r="E3093" s="120">
        <v>250</v>
      </c>
      <c r="F3093" s="133" t="s">
        <v>609</v>
      </c>
      <c r="G3093" s="404" t="s">
        <v>45</v>
      </c>
      <c r="H3093" s="411">
        <v>162.05000000000001</v>
      </c>
      <c r="I3093" s="94">
        <f t="shared" ref="I3093:I3100" si="592">-(H3093*0.09)</f>
        <v>-14.5845</v>
      </c>
      <c r="J3093" s="391">
        <f t="shared" ref="J3093:J3100" si="593">-((H3093*0.019)+0.3)</f>
        <v>-3.3789500000000001</v>
      </c>
      <c r="K3093" s="90">
        <f t="shared" si="586"/>
        <v>144.08655000000002</v>
      </c>
      <c r="M3093" s="187">
        <v>34.950000000000003</v>
      </c>
      <c r="N3093" s="91">
        <f t="shared" si="580"/>
        <v>34.950000000000003</v>
      </c>
      <c r="O3093" s="411">
        <f t="shared" si="589"/>
        <v>109.13655000000001</v>
      </c>
      <c r="P3093" s="132" t="s">
        <v>52</v>
      </c>
      <c r="Q3093" s="232"/>
      <c r="R3093" s="411"/>
      <c r="T3093" s="134" t="s">
        <v>145</v>
      </c>
      <c r="U3093" s="267" t="s">
        <v>7077</v>
      </c>
      <c r="AA3093" s="218"/>
    </row>
    <row r="3094" spans="1:27" ht="24" x14ac:dyDescent="0.25">
      <c r="A3094" s="405">
        <v>3002384</v>
      </c>
      <c r="B3094" s="406">
        <v>42516</v>
      </c>
      <c r="C3094" s="405" t="s">
        <v>5682</v>
      </c>
      <c r="D3094" s="401" t="s">
        <v>7078</v>
      </c>
      <c r="E3094" s="120">
        <v>100</v>
      </c>
      <c r="F3094" s="133" t="s">
        <v>582</v>
      </c>
      <c r="G3094" s="404" t="s">
        <v>45</v>
      </c>
      <c r="H3094" s="411">
        <v>121.1</v>
      </c>
      <c r="I3094" s="94">
        <f t="shared" si="592"/>
        <v>-10.898999999999999</v>
      </c>
      <c r="J3094" s="391">
        <f t="shared" si="593"/>
        <v>-2.6008999999999998</v>
      </c>
      <c r="K3094" s="90">
        <f t="shared" si="586"/>
        <v>107.6001</v>
      </c>
      <c r="M3094" s="187">
        <v>22.49</v>
      </c>
      <c r="N3094" s="91">
        <f t="shared" si="580"/>
        <v>22.49</v>
      </c>
      <c r="O3094" s="411">
        <f t="shared" si="589"/>
        <v>85.110100000000003</v>
      </c>
      <c r="P3094" s="132" t="s">
        <v>52</v>
      </c>
      <c r="Q3094" s="232"/>
      <c r="R3094" s="411"/>
      <c r="T3094" s="134" t="s">
        <v>145</v>
      </c>
      <c r="U3094" s="267" t="s">
        <v>7079</v>
      </c>
      <c r="AA3094" s="218"/>
    </row>
    <row r="3095" spans="1:27" ht="24" x14ac:dyDescent="0.25">
      <c r="A3095" s="405">
        <v>3002385</v>
      </c>
      <c r="B3095" s="406">
        <v>42516</v>
      </c>
      <c r="C3095" s="405" t="s">
        <v>5682</v>
      </c>
      <c r="D3095" s="401" t="s">
        <v>7080</v>
      </c>
      <c r="E3095" s="120">
        <v>100</v>
      </c>
      <c r="F3095" s="133" t="s">
        <v>217</v>
      </c>
      <c r="G3095" s="404" t="s">
        <v>45</v>
      </c>
      <c r="H3095" s="411">
        <v>235</v>
      </c>
      <c r="I3095" s="94">
        <f t="shared" si="592"/>
        <v>-21.15</v>
      </c>
      <c r="J3095" s="391">
        <f t="shared" si="593"/>
        <v>-4.7649999999999997</v>
      </c>
      <c r="K3095" s="90">
        <f t="shared" si="586"/>
        <v>209.08500000000001</v>
      </c>
      <c r="L3095" s="131">
        <v>1322</v>
      </c>
      <c r="M3095" s="187">
        <v>56.57</v>
      </c>
      <c r="N3095" s="91">
        <f t="shared" si="580"/>
        <v>188.77</v>
      </c>
      <c r="O3095" s="411">
        <f t="shared" si="589"/>
        <v>20.314999999999998</v>
      </c>
      <c r="P3095" s="132" t="s">
        <v>52</v>
      </c>
      <c r="Q3095" s="232"/>
      <c r="R3095" s="411"/>
      <c r="T3095" s="134" t="s">
        <v>145</v>
      </c>
      <c r="U3095" s="267" t="s">
        <v>7081</v>
      </c>
      <c r="AA3095" s="218"/>
    </row>
    <row r="3096" spans="1:27" ht="24" x14ac:dyDescent="0.25">
      <c r="A3096" s="405">
        <v>3002386</v>
      </c>
      <c r="B3096" s="406">
        <v>42516</v>
      </c>
      <c r="C3096" s="405" t="s">
        <v>5682</v>
      </c>
      <c r="D3096" s="401" t="s">
        <v>7082</v>
      </c>
      <c r="E3096" s="120">
        <v>50</v>
      </c>
      <c r="F3096" s="133" t="s">
        <v>217</v>
      </c>
      <c r="G3096" s="404" t="s">
        <v>45</v>
      </c>
      <c r="H3096" s="411">
        <v>123.75</v>
      </c>
      <c r="I3096" s="94">
        <f t="shared" si="592"/>
        <v>-11.137499999999999</v>
      </c>
      <c r="J3096" s="391">
        <f t="shared" si="593"/>
        <v>-2.6512499999999997</v>
      </c>
      <c r="K3096" s="90">
        <f t="shared" si="586"/>
        <v>109.96124999999999</v>
      </c>
      <c r="L3096" s="131">
        <v>1322</v>
      </c>
      <c r="M3096" s="187">
        <v>28.9</v>
      </c>
      <c r="N3096" s="91">
        <f t="shared" si="580"/>
        <v>95</v>
      </c>
      <c r="O3096" s="411">
        <f t="shared" si="589"/>
        <v>14.961249999999993</v>
      </c>
      <c r="P3096" s="132" t="s">
        <v>52</v>
      </c>
      <c r="Q3096" s="232"/>
      <c r="R3096" s="411"/>
      <c r="T3096" s="134" t="s">
        <v>145</v>
      </c>
      <c r="U3096" s="267" t="s">
        <v>7083</v>
      </c>
      <c r="AA3096" s="218"/>
    </row>
    <row r="3097" spans="1:27" ht="24" x14ac:dyDescent="0.25">
      <c r="A3097" s="405">
        <v>3002387</v>
      </c>
      <c r="B3097" s="406">
        <v>42516</v>
      </c>
      <c r="C3097" s="405" t="s">
        <v>5682</v>
      </c>
      <c r="D3097" s="401" t="s">
        <v>7084</v>
      </c>
      <c r="E3097" s="120">
        <v>100</v>
      </c>
      <c r="F3097" s="133" t="s">
        <v>1273</v>
      </c>
      <c r="G3097" s="404" t="s">
        <v>45</v>
      </c>
      <c r="H3097" s="411">
        <v>204.25</v>
      </c>
      <c r="I3097" s="94">
        <f t="shared" si="592"/>
        <v>-18.3825</v>
      </c>
      <c r="J3097" s="391">
        <f t="shared" si="593"/>
        <v>-4.1807499999999997</v>
      </c>
      <c r="K3097" s="90">
        <f t="shared" si="586"/>
        <v>181.68675000000002</v>
      </c>
      <c r="L3097" s="187">
        <v>871</v>
      </c>
      <c r="M3097" s="187">
        <v>27.26</v>
      </c>
      <c r="N3097" s="91">
        <f t="shared" si="580"/>
        <v>114.36000000000001</v>
      </c>
      <c r="O3097" s="411">
        <f t="shared" si="589"/>
        <v>67.326750000000004</v>
      </c>
      <c r="P3097" s="132" t="s">
        <v>6989</v>
      </c>
      <c r="Q3097" s="232"/>
      <c r="R3097" s="411"/>
      <c r="T3097" s="134" t="s">
        <v>145</v>
      </c>
      <c r="U3097" s="267" t="s">
        <v>7085</v>
      </c>
      <c r="AA3097" s="218"/>
    </row>
    <row r="3098" spans="1:27" ht="24" x14ac:dyDescent="0.25">
      <c r="A3098" s="405">
        <v>3002388</v>
      </c>
      <c r="B3098" s="406">
        <v>42516</v>
      </c>
      <c r="C3098" s="405" t="s">
        <v>5682</v>
      </c>
      <c r="D3098" s="401" t="s">
        <v>7086</v>
      </c>
      <c r="E3098" s="120">
        <v>200</v>
      </c>
      <c r="F3098" s="133" t="s">
        <v>582</v>
      </c>
      <c r="G3098" s="404" t="s">
        <v>45</v>
      </c>
      <c r="H3098" s="411">
        <v>197.61</v>
      </c>
      <c r="I3098" s="94">
        <f t="shared" si="592"/>
        <v>-17.7849</v>
      </c>
      <c r="J3098" s="391">
        <f t="shared" si="593"/>
        <v>-4.0545900000000001</v>
      </c>
      <c r="K3098" s="90">
        <f t="shared" si="586"/>
        <v>175.77051000000003</v>
      </c>
      <c r="M3098" s="187">
        <v>36.42</v>
      </c>
      <c r="N3098" s="91">
        <f t="shared" si="580"/>
        <v>36.42</v>
      </c>
      <c r="O3098" s="411">
        <f t="shared" si="589"/>
        <v>139.35051000000004</v>
      </c>
      <c r="P3098" s="132" t="s">
        <v>52</v>
      </c>
      <c r="Q3098" s="232"/>
      <c r="R3098" s="411"/>
      <c r="T3098" s="134" t="s">
        <v>145</v>
      </c>
      <c r="U3098" s="267" t="s">
        <v>7087</v>
      </c>
      <c r="AA3098" s="218"/>
    </row>
    <row r="3099" spans="1:27" ht="24" x14ac:dyDescent="0.25">
      <c r="A3099" s="405">
        <v>3002389</v>
      </c>
      <c r="B3099" s="406">
        <v>42516</v>
      </c>
      <c r="C3099" s="405" t="s">
        <v>5682</v>
      </c>
      <c r="D3099" s="401" t="s">
        <v>7088</v>
      </c>
      <c r="E3099" s="120">
        <v>500</v>
      </c>
      <c r="F3099" s="133" t="s">
        <v>6203</v>
      </c>
      <c r="G3099" s="404" t="s">
        <v>45</v>
      </c>
      <c r="H3099" s="411">
        <v>169.75</v>
      </c>
      <c r="I3099" s="94">
        <f t="shared" si="592"/>
        <v>-15.2775</v>
      </c>
      <c r="J3099" s="391">
        <f t="shared" si="593"/>
        <v>-3.5252499999999998</v>
      </c>
      <c r="K3099" s="90">
        <f t="shared" si="586"/>
        <v>150.94725</v>
      </c>
      <c r="M3099" s="187">
        <v>38.71</v>
      </c>
      <c r="N3099" s="91">
        <f t="shared" si="580"/>
        <v>38.71</v>
      </c>
      <c r="O3099" s="411">
        <f t="shared" si="589"/>
        <v>112.23724999999999</v>
      </c>
      <c r="P3099" s="132" t="s">
        <v>52</v>
      </c>
      <c r="Q3099" s="232"/>
      <c r="R3099" s="411"/>
      <c r="T3099" s="134" t="s">
        <v>145</v>
      </c>
      <c r="U3099" s="267" t="s">
        <v>7089</v>
      </c>
      <c r="AA3099" s="218"/>
    </row>
    <row r="3100" spans="1:27" x14ac:dyDescent="0.25">
      <c r="A3100" s="405">
        <v>3002390</v>
      </c>
      <c r="B3100" s="406">
        <v>42516</v>
      </c>
      <c r="C3100" s="405" t="s">
        <v>5682</v>
      </c>
      <c r="D3100" s="401" t="s">
        <v>7090</v>
      </c>
      <c r="E3100" s="120">
        <v>500</v>
      </c>
      <c r="F3100" s="133" t="s">
        <v>1832</v>
      </c>
      <c r="G3100" s="404" t="s">
        <v>45</v>
      </c>
      <c r="H3100" s="411">
        <v>1306</v>
      </c>
      <c r="I3100" s="94">
        <f t="shared" si="592"/>
        <v>-117.53999999999999</v>
      </c>
      <c r="J3100" s="391">
        <f t="shared" si="593"/>
        <v>-25.114000000000001</v>
      </c>
      <c r="K3100" s="90">
        <f t="shared" si="586"/>
        <v>1163.346</v>
      </c>
      <c r="L3100" s="187">
        <v>1700</v>
      </c>
      <c r="M3100" s="131">
        <v>0</v>
      </c>
      <c r="N3100" s="91">
        <f t="shared" si="580"/>
        <v>850</v>
      </c>
      <c r="O3100" s="411">
        <f t="shared" si="589"/>
        <v>313.346</v>
      </c>
      <c r="P3100" s="132" t="s">
        <v>926</v>
      </c>
      <c r="Q3100" s="232"/>
      <c r="R3100" s="411"/>
      <c r="T3100" s="134" t="s">
        <v>1346</v>
      </c>
      <c r="U3100" s="267" t="s">
        <v>7091</v>
      </c>
      <c r="AA3100" s="218"/>
    </row>
    <row r="3101" spans="1:27" ht="36" x14ac:dyDescent="0.25">
      <c r="A3101" s="405">
        <v>3002391</v>
      </c>
      <c r="B3101" s="406">
        <v>42516</v>
      </c>
      <c r="C3101" s="405" t="s">
        <v>141</v>
      </c>
      <c r="D3101" s="401" t="s">
        <v>7092</v>
      </c>
      <c r="E3101" s="120">
        <v>625</v>
      </c>
      <c r="F3101" s="133" t="s">
        <v>3814</v>
      </c>
      <c r="G3101" s="404" t="s">
        <v>45</v>
      </c>
      <c r="H3101" s="411">
        <v>968.75</v>
      </c>
      <c r="I3101" s="411">
        <v>0</v>
      </c>
      <c r="J3101" s="391">
        <f>-((H3101*0.0325)+0.3)</f>
        <v>-31.784375000000001</v>
      </c>
      <c r="K3101" s="90">
        <f t="shared" si="586"/>
        <v>936.96562500000005</v>
      </c>
      <c r="L3101" s="187">
        <v>1079</v>
      </c>
      <c r="M3101" s="131">
        <v>0</v>
      </c>
      <c r="N3101" s="91">
        <f t="shared" si="580"/>
        <v>674.375</v>
      </c>
      <c r="O3101" s="411">
        <f t="shared" si="589"/>
        <v>262.59062500000005</v>
      </c>
      <c r="P3101" s="132" t="s">
        <v>59</v>
      </c>
      <c r="Q3101" s="232"/>
      <c r="R3101" s="411"/>
      <c r="T3101" s="134" t="s">
        <v>60</v>
      </c>
      <c r="U3101" s="267" t="s">
        <v>7093</v>
      </c>
      <c r="W3101" s="153" t="s">
        <v>7094</v>
      </c>
      <c r="AA3101" s="218"/>
    </row>
    <row r="3102" spans="1:27" ht="24" customHeight="1" x14ac:dyDescent="0.25">
      <c r="A3102" s="419">
        <v>3002392</v>
      </c>
      <c r="B3102" s="421">
        <v>42516</v>
      </c>
      <c r="C3102" s="419" t="s">
        <v>555</v>
      </c>
      <c r="D3102" s="532" t="s">
        <v>7095</v>
      </c>
      <c r="E3102" s="120">
        <v>1000</v>
      </c>
      <c r="F3102" s="229" t="s">
        <v>7096</v>
      </c>
      <c r="G3102" s="434" t="s">
        <v>45</v>
      </c>
      <c r="H3102" s="427">
        <v>29340</v>
      </c>
      <c r="I3102" s="427">
        <v>0</v>
      </c>
      <c r="J3102" s="427">
        <v>0</v>
      </c>
      <c r="K3102" s="425">
        <f t="shared" si="586"/>
        <v>29340</v>
      </c>
      <c r="L3102" s="187">
        <v>4800</v>
      </c>
      <c r="M3102" s="224">
        <v>200</v>
      </c>
      <c r="N3102" s="91">
        <f t="shared" si="580"/>
        <v>5000</v>
      </c>
      <c r="O3102" s="411">
        <f t="shared" si="589"/>
        <v>24340</v>
      </c>
      <c r="P3102" s="132" t="s">
        <v>46</v>
      </c>
      <c r="Q3102" s="232"/>
      <c r="R3102" s="411"/>
      <c r="T3102" s="134" t="s">
        <v>2652</v>
      </c>
      <c r="U3102" s="267" t="s">
        <v>7097</v>
      </c>
      <c r="V3102" s="133" t="s">
        <v>7068</v>
      </c>
      <c r="W3102" s="153" t="s">
        <v>7098</v>
      </c>
      <c r="AA3102" s="218"/>
    </row>
    <row r="3103" spans="1:27" x14ac:dyDescent="0.25">
      <c r="A3103" s="420"/>
      <c r="B3103" s="422"/>
      <c r="C3103" s="420"/>
      <c r="D3103" s="533"/>
      <c r="E3103" s="120">
        <v>1200</v>
      </c>
      <c r="F3103" s="133" t="s">
        <v>7099</v>
      </c>
      <c r="G3103" s="436"/>
      <c r="H3103" s="428"/>
      <c r="I3103" s="428"/>
      <c r="J3103" s="428"/>
      <c r="K3103" s="426"/>
      <c r="L3103" s="187">
        <v>15000</v>
      </c>
      <c r="M3103" s="187">
        <v>281.69</v>
      </c>
      <c r="N3103" s="91">
        <f t="shared" si="580"/>
        <v>18281.689999999999</v>
      </c>
      <c r="O3103" s="411">
        <f t="shared" si="589"/>
        <v>-18281.689999999999</v>
      </c>
      <c r="P3103" s="132" t="s">
        <v>6989</v>
      </c>
      <c r="Q3103" s="232"/>
      <c r="R3103" s="411"/>
      <c r="T3103" s="134" t="s">
        <v>7100</v>
      </c>
      <c r="U3103" s="267" t="s">
        <v>7101</v>
      </c>
      <c r="AA3103" s="218"/>
    </row>
    <row r="3104" spans="1:27" x14ac:dyDescent="0.25">
      <c r="A3104" s="419">
        <v>3002393</v>
      </c>
      <c r="B3104" s="421">
        <v>42516</v>
      </c>
      <c r="C3104" s="419" t="s">
        <v>5682</v>
      </c>
      <c r="D3104" s="417" t="s">
        <v>1875</v>
      </c>
      <c r="E3104" s="120">
        <v>250</v>
      </c>
      <c r="F3104" s="133" t="s">
        <v>1083</v>
      </c>
      <c r="G3104" s="434" t="s">
        <v>45</v>
      </c>
      <c r="H3104" s="427">
        <v>1017.37</v>
      </c>
      <c r="I3104" s="452">
        <f t="shared" ref="I3104" si="594">-(H3104*0.09)</f>
        <v>-91.563299999999998</v>
      </c>
      <c r="J3104" s="425">
        <f t="shared" ref="J3104" si="595">-((H3104*0.019)+0.3)</f>
        <v>-19.630030000000001</v>
      </c>
      <c r="K3104" s="425">
        <f t="shared" si="586"/>
        <v>906.17666999999994</v>
      </c>
      <c r="L3104" s="187">
        <v>1180</v>
      </c>
      <c r="M3104" s="187">
        <v>76.930000000000007</v>
      </c>
      <c r="N3104" s="91">
        <f t="shared" si="580"/>
        <v>371.93</v>
      </c>
      <c r="O3104" s="411">
        <f t="shared" si="589"/>
        <v>534.24666999999999</v>
      </c>
      <c r="P3104" s="132" t="s">
        <v>46</v>
      </c>
      <c r="Q3104" s="232"/>
      <c r="R3104" s="411"/>
      <c r="T3104" s="407" t="s">
        <v>5873</v>
      </c>
      <c r="U3104" s="267" t="s">
        <v>7102</v>
      </c>
      <c r="AA3104" s="218"/>
    </row>
    <row r="3105" spans="1:27" ht="24" x14ac:dyDescent="0.25">
      <c r="A3105" s="420"/>
      <c r="B3105" s="422"/>
      <c r="C3105" s="420"/>
      <c r="D3105" s="418"/>
      <c r="E3105" s="120">
        <v>250</v>
      </c>
      <c r="F3105" s="133" t="s">
        <v>288</v>
      </c>
      <c r="G3105" s="436"/>
      <c r="H3105" s="428"/>
      <c r="I3105" s="453"/>
      <c r="J3105" s="426"/>
      <c r="K3105" s="426"/>
      <c r="L3105" s="187">
        <v>1063.43</v>
      </c>
      <c r="M3105" s="187">
        <v>76.459999999999994</v>
      </c>
      <c r="N3105" s="91">
        <f t="shared" si="580"/>
        <v>342.3175</v>
      </c>
      <c r="O3105" s="411">
        <f t="shared" si="589"/>
        <v>-342.3175</v>
      </c>
      <c r="P3105" s="132" t="s">
        <v>46</v>
      </c>
      <c r="Q3105" s="232"/>
      <c r="R3105" s="411"/>
      <c r="T3105" s="409" t="s">
        <v>324</v>
      </c>
      <c r="U3105" s="266" t="s">
        <v>7103</v>
      </c>
      <c r="AA3105" s="218"/>
    </row>
    <row r="3106" spans="1:27" ht="24" x14ac:dyDescent="0.25">
      <c r="A3106" s="405">
        <v>3002394</v>
      </c>
      <c r="B3106" s="406">
        <v>42516</v>
      </c>
      <c r="C3106" s="405" t="s">
        <v>5682</v>
      </c>
      <c r="D3106" s="401" t="s">
        <v>7104</v>
      </c>
      <c r="E3106" s="120">
        <v>250</v>
      </c>
      <c r="F3106" s="133" t="s">
        <v>5000</v>
      </c>
      <c r="G3106" s="404" t="s">
        <v>45</v>
      </c>
      <c r="H3106" s="411">
        <v>114</v>
      </c>
      <c r="I3106" s="94">
        <f t="shared" ref="I3106:I3108" si="596">-(H3106*0.09)</f>
        <v>-10.26</v>
      </c>
      <c r="J3106" s="391">
        <f t="shared" ref="J3106:J3108" si="597">-((H3106*0.019)+0.3)</f>
        <v>-2.4659999999999997</v>
      </c>
      <c r="K3106" s="90">
        <f t="shared" si="586"/>
        <v>101.274</v>
      </c>
      <c r="L3106" s="187">
        <v>258</v>
      </c>
      <c r="M3106" s="187">
        <v>25.21</v>
      </c>
      <c r="N3106" s="91">
        <f t="shared" si="580"/>
        <v>89.710000000000008</v>
      </c>
      <c r="O3106" s="411">
        <f t="shared" si="589"/>
        <v>11.563999999999993</v>
      </c>
      <c r="P3106" s="132" t="s">
        <v>6989</v>
      </c>
      <c r="Q3106" s="232"/>
      <c r="R3106" s="411"/>
      <c r="T3106" s="134" t="s">
        <v>145</v>
      </c>
      <c r="U3106" s="267" t="s">
        <v>7105</v>
      </c>
      <c r="AA3106" s="218"/>
    </row>
    <row r="3107" spans="1:27" ht="24" x14ac:dyDescent="0.25">
      <c r="A3107" s="405">
        <v>3002395</v>
      </c>
      <c r="B3107" s="406">
        <v>42516</v>
      </c>
      <c r="C3107" s="405" t="s">
        <v>5682</v>
      </c>
      <c r="D3107" s="401" t="s">
        <v>7106</v>
      </c>
      <c r="E3107" s="120">
        <v>500</v>
      </c>
      <c r="F3107" s="119" t="s">
        <v>7107</v>
      </c>
      <c r="G3107" s="404" t="s">
        <v>45</v>
      </c>
      <c r="H3107" s="411">
        <v>266.08</v>
      </c>
      <c r="I3107" s="94">
        <f t="shared" si="596"/>
        <v>-23.947199999999999</v>
      </c>
      <c r="J3107" s="391">
        <f t="shared" si="597"/>
        <v>-5.3555199999999994</v>
      </c>
      <c r="K3107" s="90">
        <f t="shared" si="586"/>
        <v>236.77727999999996</v>
      </c>
      <c r="L3107" s="187">
        <v>292</v>
      </c>
      <c r="M3107" s="187">
        <v>15.39</v>
      </c>
      <c r="N3107" s="91">
        <f t="shared" si="580"/>
        <v>161.38999999999999</v>
      </c>
      <c r="O3107" s="411">
        <f t="shared" si="589"/>
        <v>75.387279999999976</v>
      </c>
      <c r="P3107" s="132" t="s">
        <v>6989</v>
      </c>
      <c r="Q3107" s="232"/>
      <c r="R3107" s="411"/>
      <c r="T3107" s="134" t="s">
        <v>145</v>
      </c>
      <c r="U3107" s="267" t="s">
        <v>7108</v>
      </c>
      <c r="AA3107" s="218"/>
    </row>
    <row r="3108" spans="1:27" ht="24" x14ac:dyDescent="0.25">
      <c r="A3108" s="405">
        <v>3002396</v>
      </c>
      <c r="B3108" s="406">
        <v>42516</v>
      </c>
      <c r="C3108" s="405" t="s">
        <v>5682</v>
      </c>
      <c r="D3108" s="401" t="s">
        <v>7109</v>
      </c>
      <c r="E3108" s="120">
        <v>250</v>
      </c>
      <c r="F3108" s="119" t="s">
        <v>7110</v>
      </c>
      <c r="G3108" s="404" t="s">
        <v>45</v>
      </c>
      <c r="H3108" s="411">
        <v>429.41</v>
      </c>
      <c r="I3108" s="94">
        <f t="shared" si="596"/>
        <v>-38.646900000000002</v>
      </c>
      <c r="J3108" s="391">
        <f t="shared" si="597"/>
        <v>-8.4587900000000005</v>
      </c>
      <c r="K3108" s="90">
        <f t="shared" si="586"/>
        <v>382.30430999999999</v>
      </c>
      <c r="L3108" s="131">
        <v>1080</v>
      </c>
      <c r="M3108" s="187">
        <v>26.57</v>
      </c>
      <c r="N3108" s="91">
        <f t="shared" si="580"/>
        <v>296.57</v>
      </c>
      <c r="O3108" s="411">
        <f t="shared" si="589"/>
        <v>85.734309999999994</v>
      </c>
      <c r="P3108" s="132" t="s">
        <v>86</v>
      </c>
      <c r="Q3108" s="232"/>
      <c r="R3108" s="411"/>
      <c r="T3108" s="134" t="s">
        <v>145</v>
      </c>
      <c r="U3108" s="267" t="s">
        <v>7111</v>
      </c>
      <c r="AA3108" s="218"/>
    </row>
    <row r="3109" spans="1:27" ht="24" x14ac:dyDescent="0.25">
      <c r="A3109" s="405">
        <v>3002397</v>
      </c>
      <c r="B3109" s="406">
        <v>42516</v>
      </c>
      <c r="C3109" s="405" t="s">
        <v>237</v>
      </c>
      <c r="D3109" s="401" t="s">
        <v>7112</v>
      </c>
      <c r="E3109" s="120">
        <v>300</v>
      </c>
      <c r="F3109" s="133" t="s">
        <v>1692</v>
      </c>
      <c r="G3109" s="404" t="s">
        <v>45</v>
      </c>
      <c r="H3109" s="411">
        <v>254.15</v>
      </c>
      <c r="I3109" s="397">
        <f t="shared" ref="I3109" si="598">-(H3109*0.15)</f>
        <v>-38.122500000000002</v>
      </c>
      <c r="J3109" s="411">
        <v>0</v>
      </c>
      <c r="K3109" s="90">
        <f t="shared" si="586"/>
        <v>216.0275</v>
      </c>
      <c r="L3109" s="187">
        <v>400</v>
      </c>
      <c r="M3109" s="187">
        <v>61.88</v>
      </c>
      <c r="N3109" s="91">
        <f t="shared" si="580"/>
        <v>181.88</v>
      </c>
      <c r="O3109" s="411">
        <f t="shared" si="589"/>
        <v>34.147500000000008</v>
      </c>
      <c r="P3109" s="132" t="s">
        <v>235</v>
      </c>
      <c r="Q3109" s="232"/>
      <c r="R3109" s="411"/>
      <c r="S3109" s="181"/>
      <c r="T3109" s="134" t="s">
        <v>145</v>
      </c>
      <c r="U3109" s="267" t="s">
        <v>7113</v>
      </c>
      <c r="AA3109" s="218"/>
    </row>
    <row r="3110" spans="1:27" ht="36" x14ac:dyDescent="0.25">
      <c r="A3110" s="405">
        <v>3002398</v>
      </c>
      <c r="B3110" s="406">
        <v>42517</v>
      </c>
      <c r="C3110" s="405" t="s">
        <v>141</v>
      </c>
      <c r="D3110" s="401" t="s">
        <v>7114</v>
      </c>
      <c r="E3110" s="120">
        <v>250</v>
      </c>
      <c r="F3110" s="133" t="s">
        <v>5892</v>
      </c>
      <c r="G3110" s="404" t="s">
        <v>45</v>
      </c>
      <c r="H3110" s="411">
        <v>800</v>
      </c>
      <c r="I3110" s="411">
        <v>0</v>
      </c>
      <c r="J3110" s="391">
        <f>-((H3110*0.0325)+0.3)</f>
        <v>-26.3</v>
      </c>
      <c r="K3110" s="90">
        <f t="shared" si="586"/>
        <v>773.7</v>
      </c>
      <c r="L3110" s="187">
        <v>2210</v>
      </c>
      <c r="M3110" s="131">
        <v>0</v>
      </c>
      <c r="N3110" s="91">
        <f t="shared" si="580"/>
        <v>552.5</v>
      </c>
      <c r="O3110" s="411">
        <f t="shared" si="589"/>
        <v>221.20000000000005</v>
      </c>
      <c r="P3110" s="132" t="s">
        <v>601</v>
      </c>
      <c r="Q3110" s="232"/>
      <c r="R3110" s="411"/>
      <c r="T3110" s="134" t="s">
        <v>60</v>
      </c>
      <c r="U3110" s="267" t="s">
        <v>7115</v>
      </c>
      <c r="W3110" s="153" t="s">
        <v>7116</v>
      </c>
      <c r="AA3110" s="218"/>
    </row>
    <row r="3111" spans="1:27" ht="24" x14ac:dyDescent="0.25">
      <c r="A3111" s="405">
        <v>3002399</v>
      </c>
      <c r="B3111" s="406">
        <v>42517</v>
      </c>
      <c r="C3111" s="405" t="s">
        <v>327</v>
      </c>
      <c r="D3111" s="401" t="s">
        <v>7117</v>
      </c>
      <c r="E3111" s="120">
        <v>200</v>
      </c>
      <c r="F3111" s="133" t="s">
        <v>247</v>
      </c>
      <c r="G3111" s="404" t="s">
        <v>45</v>
      </c>
      <c r="H3111" s="411">
        <v>290</v>
      </c>
      <c r="I3111" s="411">
        <v>0</v>
      </c>
      <c r="J3111" s="391">
        <f>-((H3111*0.022)+0.3)</f>
        <v>-6.68</v>
      </c>
      <c r="K3111" s="90">
        <f t="shared" si="586"/>
        <v>283.32</v>
      </c>
      <c r="L3111" s="187">
        <v>840</v>
      </c>
      <c r="M3111" s="187">
        <v>57.21</v>
      </c>
      <c r="N3111" s="91">
        <f t="shared" si="580"/>
        <v>225.21</v>
      </c>
      <c r="O3111" s="411">
        <f t="shared" si="589"/>
        <v>58.109999999999985</v>
      </c>
      <c r="P3111" s="132" t="s">
        <v>6989</v>
      </c>
      <c r="Q3111" s="232"/>
      <c r="R3111" s="411"/>
      <c r="T3111" s="134" t="s">
        <v>145</v>
      </c>
      <c r="U3111" s="267" t="s">
        <v>7118</v>
      </c>
      <c r="W3111" s="153" t="s">
        <v>7119</v>
      </c>
      <c r="AA3111" s="218"/>
    </row>
    <row r="3112" spans="1:27" ht="24" x14ac:dyDescent="0.25">
      <c r="A3112" s="405">
        <v>3002400</v>
      </c>
      <c r="B3112" s="406">
        <v>42517</v>
      </c>
      <c r="C3112" s="405" t="s">
        <v>63</v>
      </c>
      <c r="D3112" s="401" t="s">
        <v>7120</v>
      </c>
      <c r="E3112" s="120">
        <v>225</v>
      </c>
      <c r="F3112" s="133" t="s">
        <v>70</v>
      </c>
      <c r="G3112" s="404" t="s">
        <v>45</v>
      </c>
      <c r="H3112" s="411">
        <v>650</v>
      </c>
      <c r="I3112" s="411">
        <v>0</v>
      </c>
      <c r="J3112" s="391">
        <f>-((H3112*0.022)+0.3)</f>
        <v>-14.6</v>
      </c>
      <c r="K3112" s="90">
        <f t="shared" si="586"/>
        <v>635.4</v>
      </c>
      <c r="L3112" s="187">
        <v>1610</v>
      </c>
      <c r="M3112" s="187">
        <v>92.8</v>
      </c>
      <c r="N3112" s="91">
        <f t="shared" si="580"/>
        <v>455.05</v>
      </c>
      <c r="O3112" s="411">
        <f t="shared" si="589"/>
        <v>180.34999999999997</v>
      </c>
      <c r="P3112" s="132" t="s">
        <v>3597</v>
      </c>
      <c r="Q3112" s="232"/>
      <c r="R3112" s="411"/>
      <c r="T3112" s="134" t="s">
        <v>7121</v>
      </c>
      <c r="U3112" s="267" t="s">
        <v>7122</v>
      </c>
      <c r="W3112" s="153" t="s">
        <v>7123</v>
      </c>
      <c r="AA3112" s="218"/>
    </row>
    <row r="3113" spans="1:27" ht="24" x14ac:dyDescent="0.25">
      <c r="A3113" s="405">
        <v>3002401</v>
      </c>
      <c r="B3113" s="406">
        <v>42517</v>
      </c>
      <c r="C3113" s="405" t="s">
        <v>237</v>
      </c>
      <c r="D3113" s="401" t="s">
        <v>7124</v>
      </c>
      <c r="E3113" s="120">
        <v>50</v>
      </c>
      <c r="F3113" s="133" t="s">
        <v>431</v>
      </c>
      <c r="G3113" s="404" t="s">
        <v>45</v>
      </c>
      <c r="H3113" s="411">
        <v>151.31</v>
      </c>
      <c r="I3113" s="397">
        <f t="shared" ref="I3113" si="599">-(H3113*0.15)</f>
        <v>-22.6965</v>
      </c>
      <c r="J3113" s="411">
        <v>0</v>
      </c>
      <c r="K3113" s="90">
        <f t="shared" si="586"/>
        <v>128.61349999999999</v>
      </c>
      <c r="L3113" s="131">
        <v>990</v>
      </c>
      <c r="M3113" s="187">
        <v>39.74</v>
      </c>
      <c r="N3113" s="91">
        <f t="shared" si="580"/>
        <v>89.240000000000009</v>
      </c>
      <c r="O3113" s="411">
        <f t="shared" si="589"/>
        <v>39.373499999999979</v>
      </c>
      <c r="P3113" s="132" t="s">
        <v>52</v>
      </c>
      <c r="Q3113" s="232"/>
      <c r="R3113" s="411"/>
      <c r="T3113" s="134" t="s">
        <v>145</v>
      </c>
      <c r="U3113" s="267" t="s">
        <v>7125</v>
      </c>
      <c r="AA3113" s="218"/>
    </row>
    <row r="3114" spans="1:27" ht="24" x14ac:dyDescent="0.25">
      <c r="A3114" s="405">
        <v>3002402</v>
      </c>
      <c r="B3114" s="406">
        <v>42517</v>
      </c>
      <c r="C3114" s="405" t="s">
        <v>5682</v>
      </c>
      <c r="D3114" s="401" t="s">
        <v>7126</v>
      </c>
      <c r="E3114" s="120">
        <v>500</v>
      </c>
      <c r="F3114" s="133" t="s">
        <v>451</v>
      </c>
      <c r="G3114" s="404" t="s">
        <v>45</v>
      </c>
      <c r="H3114" s="411">
        <v>287.10000000000002</v>
      </c>
      <c r="I3114" s="94">
        <f t="shared" ref="I3114:I3122" si="600">-(H3114*0.09)</f>
        <v>-25.839000000000002</v>
      </c>
      <c r="J3114" s="391">
        <f t="shared" ref="J3114:J3122" si="601">-((H3114*0.019)+0.3)</f>
        <v>-5.7549000000000001</v>
      </c>
      <c r="K3114" s="90">
        <f t="shared" si="586"/>
        <v>255.50610000000003</v>
      </c>
      <c r="L3114" s="131">
        <v>300</v>
      </c>
      <c r="M3114" s="187">
        <v>52.44</v>
      </c>
      <c r="N3114" s="91">
        <f t="shared" si="580"/>
        <v>202.44</v>
      </c>
      <c r="O3114" s="411">
        <f t="shared" si="589"/>
        <v>53.066100000000034</v>
      </c>
      <c r="P3114" s="132" t="s">
        <v>52</v>
      </c>
      <c r="Q3114" s="232"/>
      <c r="R3114" s="411"/>
      <c r="T3114" s="134" t="s">
        <v>145</v>
      </c>
      <c r="U3114" s="267" t="s">
        <v>7127</v>
      </c>
      <c r="AA3114" s="218"/>
    </row>
    <row r="3115" spans="1:27" ht="24" x14ac:dyDescent="0.25">
      <c r="A3115" s="405">
        <v>3002403</v>
      </c>
      <c r="B3115" s="406">
        <v>42517</v>
      </c>
      <c r="C3115" s="405" t="s">
        <v>5682</v>
      </c>
      <c r="D3115" s="401" t="s">
        <v>7128</v>
      </c>
      <c r="E3115" s="120">
        <v>150</v>
      </c>
      <c r="F3115" s="133" t="s">
        <v>165</v>
      </c>
      <c r="G3115" s="404" t="s">
        <v>45</v>
      </c>
      <c r="H3115" s="411">
        <v>153.03</v>
      </c>
      <c r="I3115" s="94">
        <f t="shared" si="600"/>
        <v>-13.7727</v>
      </c>
      <c r="J3115" s="391">
        <f t="shared" si="601"/>
        <v>-3.2075699999999996</v>
      </c>
      <c r="K3115" s="90">
        <f t="shared" si="586"/>
        <v>136.04972999999998</v>
      </c>
      <c r="L3115" s="131">
        <v>440</v>
      </c>
      <c r="M3115" s="187">
        <v>30.57</v>
      </c>
      <c r="N3115" s="91">
        <f t="shared" si="580"/>
        <v>96.57</v>
      </c>
      <c r="O3115" s="411">
        <f t="shared" si="589"/>
        <v>39.479729999999989</v>
      </c>
      <c r="P3115" s="132" t="s">
        <v>52</v>
      </c>
      <c r="Q3115" s="232"/>
      <c r="R3115" s="411"/>
      <c r="T3115" s="134" t="s">
        <v>145</v>
      </c>
      <c r="U3115" s="267" t="s">
        <v>7129</v>
      </c>
      <c r="AA3115" s="218"/>
    </row>
    <row r="3116" spans="1:27" ht="24" x14ac:dyDescent="0.25">
      <c r="A3116" s="405">
        <v>3002404</v>
      </c>
      <c r="B3116" s="406">
        <v>42517</v>
      </c>
      <c r="C3116" s="405" t="s">
        <v>5682</v>
      </c>
      <c r="D3116" s="401" t="s">
        <v>7130</v>
      </c>
      <c r="E3116" s="120">
        <v>200</v>
      </c>
      <c r="F3116" s="133" t="s">
        <v>451</v>
      </c>
      <c r="G3116" s="404" t="s">
        <v>45</v>
      </c>
      <c r="H3116" s="411">
        <v>134</v>
      </c>
      <c r="I3116" s="94">
        <f t="shared" si="600"/>
        <v>-12.059999999999999</v>
      </c>
      <c r="J3116" s="391">
        <f t="shared" si="601"/>
        <v>-2.8459999999999996</v>
      </c>
      <c r="K3116" s="90">
        <f t="shared" si="586"/>
        <v>119.09399999999999</v>
      </c>
      <c r="L3116" s="131">
        <v>300</v>
      </c>
      <c r="M3116" s="187">
        <v>39.07</v>
      </c>
      <c r="N3116" s="91">
        <f t="shared" si="580"/>
        <v>99.07</v>
      </c>
      <c r="O3116" s="411">
        <f t="shared" si="589"/>
        <v>20.024000000000001</v>
      </c>
      <c r="P3116" s="132" t="s">
        <v>52</v>
      </c>
      <c r="Q3116" s="232"/>
      <c r="R3116" s="411"/>
      <c r="T3116" s="134" t="s">
        <v>145</v>
      </c>
      <c r="U3116" s="267" t="s">
        <v>7131</v>
      </c>
      <c r="AA3116" s="218"/>
    </row>
    <row r="3117" spans="1:27" x14ac:dyDescent="0.25">
      <c r="A3117" s="405">
        <v>3002405</v>
      </c>
      <c r="B3117" s="406">
        <v>42517</v>
      </c>
      <c r="C3117" s="405" t="s">
        <v>5682</v>
      </c>
      <c r="D3117" s="401" t="s">
        <v>7132</v>
      </c>
      <c r="E3117" s="120">
        <v>250</v>
      </c>
      <c r="F3117" s="133" t="s">
        <v>198</v>
      </c>
      <c r="G3117" s="404" t="s">
        <v>45</v>
      </c>
      <c r="H3117" s="411">
        <v>760</v>
      </c>
      <c r="I3117" s="94">
        <f t="shared" si="600"/>
        <v>-68.399999999999991</v>
      </c>
      <c r="J3117" s="391">
        <f t="shared" si="601"/>
        <v>-14.74</v>
      </c>
      <c r="K3117" s="90">
        <f t="shared" si="586"/>
        <v>676.86</v>
      </c>
      <c r="L3117" s="131">
        <v>1693</v>
      </c>
      <c r="M3117" s="187">
        <v>184.27</v>
      </c>
      <c r="N3117" s="91">
        <f t="shared" si="580"/>
        <v>607.52</v>
      </c>
      <c r="O3117" s="411">
        <f t="shared" si="589"/>
        <v>69.340000000000032</v>
      </c>
      <c r="P3117" s="132" t="s">
        <v>52</v>
      </c>
      <c r="Q3117" s="232"/>
      <c r="R3117" s="411"/>
      <c r="T3117" s="134" t="s">
        <v>97</v>
      </c>
      <c r="U3117" s="267" t="s">
        <v>7133</v>
      </c>
      <c r="V3117" s="133" t="s">
        <v>55</v>
      </c>
      <c r="AA3117" s="218"/>
    </row>
    <row r="3118" spans="1:27" ht="24" x14ac:dyDescent="0.25">
      <c r="A3118" s="405">
        <v>3002406</v>
      </c>
      <c r="B3118" s="406">
        <v>42517</v>
      </c>
      <c r="C3118" s="405" t="s">
        <v>5682</v>
      </c>
      <c r="D3118" s="401" t="s">
        <v>7134</v>
      </c>
      <c r="E3118" s="120">
        <v>100</v>
      </c>
      <c r="F3118" s="133" t="s">
        <v>217</v>
      </c>
      <c r="G3118" s="404" t="s">
        <v>45</v>
      </c>
      <c r="H3118" s="411">
        <v>235</v>
      </c>
      <c r="I3118" s="94">
        <f t="shared" si="600"/>
        <v>-21.15</v>
      </c>
      <c r="J3118" s="391">
        <f t="shared" si="601"/>
        <v>-4.7649999999999997</v>
      </c>
      <c r="K3118" s="90">
        <f t="shared" si="586"/>
        <v>209.08500000000001</v>
      </c>
      <c r="L3118" s="131">
        <v>1322</v>
      </c>
      <c r="M3118" s="187">
        <v>41.21</v>
      </c>
      <c r="N3118" s="91">
        <f t="shared" si="580"/>
        <v>173.41000000000003</v>
      </c>
      <c r="O3118" s="411">
        <f t="shared" si="589"/>
        <v>35.674999999999983</v>
      </c>
      <c r="P3118" s="132" t="s">
        <v>52</v>
      </c>
      <c r="Q3118" s="232"/>
      <c r="R3118" s="411"/>
      <c r="T3118" s="134" t="s">
        <v>145</v>
      </c>
      <c r="U3118" s="267" t="s">
        <v>7135</v>
      </c>
      <c r="AA3118" s="218"/>
    </row>
    <row r="3119" spans="1:27" x14ac:dyDescent="0.25">
      <c r="A3119" s="405">
        <v>3002407</v>
      </c>
      <c r="B3119" s="406">
        <v>42517</v>
      </c>
      <c r="C3119" s="405" t="s">
        <v>5682</v>
      </c>
      <c r="D3119" s="401" t="s">
        <v>7136</v>
      </c>
      <c r="E3119" s="120">
        <v>1000</v>
      </c>
      <c r="F3119" s="133" t="s">
        <v>4151</v>
      </c>
      <c r="G3119" s="404" t="s">
        <v>45</v>
      </c>
      <c r="H3119" s="411">
        <v>357</v>
      </c>
      <c r="I3119" s="94">
        <f t="shared" si="600"/>
        <v>-32.129999999999995</v>
      </c>
      <c r="J3119" s="391">
        <f t="shared" si="601"/>
        <v>-7.0829999999999993</v>
      </c>
      <c r="K3119" s="90">
        <f t="shared" si="586"/>
        <v>317.78699999999998</v>
      </c>
      <c r="L3119" s="187">
        <v>140</v>
      </c>
      <c r="M3119" s="187">
        <v>50.53</v>
      </c>
      <c r="N3119" s="91">
        <f t="shared" si="580"/>
        <v>190.53</v>
      </c>
      <c r="O3119" s="411">
        <f t="shared" si="589"/>
        <v>127.25699999999998</v>
      </c>
      <c r="P3119" s="132" t="s">
        <v>313</v>
      </c>
      <c r="Q3119" s="232"/>
      <c r="R3119" s="411"/>
      <c r="T3119" s="134" t="s">
        <v>314</v>
      </c>
      <c r="U3119" s="267" t="s">
        <v>7137</v>
      </c>
      <c r="AA3119" s="218"/>
    </row>
    <row r="3120" spans="1:27" ht="24" x14ac:dyDescent="0.25">
      <c r="A3120" s="405">
        <v>3002408</v>
      </c>
      <c r="B3120" s="406">
        <v>42517</v>
      </c>
      <c r="C3120" s="405" t="s">
        <v>5682</v>
      </c>
      <c r="D3120" s="401" t="s">
        <v>7138</v>
      </c>
      <c r="E3120" s="120">
        <v>300</v>
      </c>
      <c r="F3120" s="133" t="s">
        <v>6911</v>
      </c>
      <c r="G3120" s="404" t="s">
        <v>45</v>
      </c>
      <c r="H3120" s="411">
        <v>137.81</v>
      </c>
      <c r="I3120" s="94">
        <f t="shared" si="600"/>
        <v>-12.402899999999999</v>
      </c>
      <c r="J3120" s="391">
        <f t="shared" si="601"/>
        <v>-2.9183899999999996</v>
      </c>
      <c r="K3120" s="90">
        <f t="shared" si="586"/>
        <v>122.48871</v>
      </c>
      <c r="L3120" s="131">
        <v>210.84</v>
      </c>
      <c r="M3120" s="187">
        <v>37.32</v>
      </c>
      <c r="N3120" s="91">
        <f t="shared" si="580"/>
        <v>100.572</v>
      </c>
      <c r="O3120" s="411">
        <f t="shared" si="589"/>
        <v>21.916709999999995</v>
      </c>
      <c r="P3120" s="132" t="s">
        <v>86</v>
      </c>
      <c r="Q3120" s="232"/>
      <c r="R3120" s="411"/>
      <c r="T3120" s="134" t="s">
        <v>145</v>
      </c>
      <c r="U3120" s="267" t="s">
        <v>7139</v>
      </c>
      <c r="AA3120" s="218"/>
    </row>
    <row r="3121" spans="1:27" x14ac:dyDescent="0.25">
      <c r="A3121" s="405">
        <v>3002409</v>
      </c>
      <c r="B3121" s="406">
        <v>42517</v>
      </c>
      <c r="C3121" s="405" t="s">
        <v>5682</v>
      </c>
      <c r="D3121" s="401" t="s">
        <v>7140</v>
      </c>
      <c r="E3121" s="120">
        <v>1000</v>
      </c>
      <c r="F3121" s="133" t="s">
        <v>7141</v>
      </c>
      <c r="G3121" s="404" t="s">
        <v>45</v>
      </c>
      <c r="H3121" s="411">
        <v>522.5</v>
      </c>
      <c r="I3121" s="94">
        <f t="shared" si="600"/>
        <v>-47.024999999999999</v>
      </c>
      <c r="J3121" s="391">
        <f t="shared" si="601"/>
        <v>-10.227500000000001</v>
      </c>
      <c r="K3121" s="90">
        <f t="shared" si="586"/>
        <v>465.2475</v>
      </c>
      <c r="L3121" s="187">
        <v>277</v>
      </c>
      <c r="M3121" s="187">
        <v>68.900000000000006</v>
      </c>
      <c r="N3121" s="91">
        <f t="shared" si="580"/>
        <v>345.9</v>
      </c>
      <c r="O3121" s="411">
        <f t="shared" si="589"/>
        <v>119.34750000000003</v>
      </c>
      <c r="P3121" s="132" t="s">
        <v>313</v>
      </c>
      <c r="Q3121" s="232"/>
      <c r="R3121" s="411"/>
      <c r="T3121" s="134" t="s">
        <v>314</v>
      </c>
      <c r="U3121" s="267" t="s">
        <v>7142</v>
      </c>
      <c r="AA3121" s="218"/>
    </row>
    <row r="3122" spans="1:27" ht="24" x14ac:dyDescent="0.25">
      <c r="A3122" s="405">
        <v>3002410</v>
      </c>
      <c r="B3122" s="406">
        <v>42517</v>
      </c>
      <c r="C3122" s="405" t="s">
        <v>5682</v>
      </c>
      <c r="D3122" s="401" t="s">
        <v>6975</v>
      </c>
      <c r="E3122" s="120">
        <v>100</v>
      </c>
      <c r="F3122" s="133" t="s">
        <v>626</v>
      </c>
      <c r="G3122" s="404" t="s">
        <v>45</v>
      </c>
      <c r="H3122" s="411">
        <v>316.86</v>
      </c>
      <c r="I3122" s="94">
        <f t="shared" si="600"/>
        <v>-28.517399999999999</v>
      </c>
      <c r="J3122" s="391">
        <f t="shared" si="601"/>
        <v>-6.3203399999999998</v>
      </c>
      <c r="K3122" s="90">
        <f t="shared" si="586"/>
        <v>282.02226000000002</v>
      </c>
      <c r="L3122" s="187">
        <v>2109.54</v>
      </c>
      <c r="M3122" s="187">
        <v>76.77</v>
      </c>
      <c r="N3122" s="91">
        <f t="shared" ref="N3122:N3185" si="602">((L3122)*(E3122*0.001))+M3122</f>
        <v>287.72399999999999</v>
      </c>
      <c r="O3122" s="411">
        <f t="shared" si="589"/>
        <v>-5.7017399999999725</v>
      </c>
      <c r="P3122" s="132" t="s">
        <v>46</v>
      </c>
      <c r="Q3122" s="232"/>
      <c r="R3122" s="411"/>
      <c r="T3122" s="134" t="s">
        <v>324</v>
      </c>
      <c r="U3122" s="267" t="s">
        <v>7143</v>
      </c>
      <c r="AA3122" s="218"/>
    </row>
    <row r="3123" spans="1:27" x14ac:dyDescent="0.25">
      <c r="A3123" s="405">
        <v>3002411</v>
      </c>
      <c r="B3123" s="406">
        <v>42522</v>
      </c>
      <c r="C3123" s="405" t="s">
        <v>63</v>
      </c>
      <c r="D3123" s="401" t="s">
        <v>7144</v>
      </c>
      <c r="E3123" s="120">
        <v>690</v>
      </c>
      <c r="F3123" s="133" t="s">
        <v>7145</v>
      </c>
      <c r="G3123" s="404" t="s">
        <v>45</v>
      </c>
      <c r="H3123" s="411">
        <v>1897.5</v>
      </c>
      <c r="I3123" s="411">
        <v>0</v>
      </c>
      <c r="J3123" s="391">
        <f>-((H3123*0.022)+0.3)</f>
        <v>-42.044999999999995</v>
      </c>
      <c r="K3123" s="90">
        <f t="shared" si="586"/>
        <v>1855.4549999999999</v>
      </c>
      <c r="M3123" s="187">
        <v>138.6</v>
      </c>
      <c r="N3123" s="91">
        <f t="shared" si="602"/>
        <v>138.6</v>
      </c>
      <c r="O3123" s="411">
        <f t="shared" si="589"/>
        <v>1716.855</v>
      </c>
      <c r="P3123" s="132" t="s">
        <v>52</v>
      </c>
      <c r="Q3123" s="232"/>
      <c r="R3123" s="411"/>
      <c r="T3123" s="134" t="s">
        <v>875</v>
      </c>
      <c r="U3123" s="267" t="s">
        <v>7146</v>
      </c>
      <c r="V3123" s="133" t="s">
        <v>55</v>
      </c>
      <c r="W3123" s="153" t="s">
        <v>7147</v>
      </c>
      <c r="AA3123" s="218">
        <v>20</v>
      </c>
    </row>
    <row r="3124" spans="1:27" x14ac:dyDescent="0.25">
      <c r="A3124" s="419">
        <v>3002412</v>
      </c>
      <c r="B3124" s="421">
        <v>42522</v>
      </c>
      <c r="C3124" s="419" t="s">
        <v>63</v>
      </c>
      <c r="D3124" s="417" t="s">
        <v>5346</v>
      </c>
      <c r="E3124" s="120">
        <v>900</v>
      </c>
      <c r="F3124" s="133" t="s">
        <v>7148</v>
      </c>
      <c r="G3124" s="434" t="s">
        <v>45</v>
      </c>
      <c r="H3124" s="427">
        <v>18335</v>
      </c>
      <c r="I3124" s="427">
        <v>0</v>
      </c>
      <c r="J3124" s="425">
        <f>-((H3124*0.022)+0.3)</f>
        <v>-403.67</v>
      </c>
      <c r="K3124" s="425">
        <f t="shared" si="586"/>
        <v>17931.330000000002</v>
      </c>
      <c r="L3124" s="187">
        <v>10230</v>
      </c>
      <c r="N3124" s="91">
        <f t="shared" si="602"/>
        <v>9207</v>
      </c>
      <c r="O3124" s="411">
        <f t="shared" si="589"/>
        <v>8724.3300000000017</v>
      </c>
      <c r="P3124" s="132" t="s">
        <v>66</v>
      </c>
      <c r="Q3124" s="232"/>
      <c r="R3124" s="411"/>
      <c r="T3124" s="134" t="s">
        <v>7149</v>
      </c>
      <c r="U3124" s="266">
        <v>10854930</v>
      </c>
      <c r="W3124" s="153" t="s">
        <v>7150</v>
      </c>
      <c r="AA3124" s="547">
        <v>100</v>
      </c>
    </row>
    <row r="3125" spans="1:27" ht="24" x14ac:dyDescent="0.25">
      <c r="A3125" s="420"/>
      <c r="B3125" s="422"/>
      <c r="C3125" s="420"/>
      <c r="D3125" s="418"/>
      <c r="E3125" s="120">
        <v>2500</v>
      </c>
      <c r="F3125" s="119" t="s">
        <v>7151</v>
      </c>
      <c r="G3125" s="436"/>
      <c r="H3125" s="428"/>
      <c r="I3125" s="428"/>
      <c r="J3125" s="426"/>
      <c r="K3125" s="426"/>
      <c r="L3125" s="187">
        <v>2070</v>
      </c>
      <c r="M3125" s="187">
        <v>142.56</v>
      </c>
      <c r="N3125" s="91">
        <f t="shared" si="602"/>
        <v>5317.56</v>
      </c>
      <c r="O3125" s="411">
        <f t="shared" si="589"/>
        <v>-5317.56</v>
      </c>
      <c r="P3125" s="132" t="s">
        <v>59</v>
      </c>
      <c r="Q3125" s="232"/>
      <c r="R3125" s="411"/>
      <c r="T3125" s="134" t="s">
        <v>7152</v>
      </c>
      <c r="U3125" s="266"/>
      <c r="V3125" s="133" t="s">
        <v>7153</v>
      </c>
      <c r="AA3125" s="548"/>
    </row>
    <row r="3126" spans="1:27" x14ac:dyDescent="0.25">
      <c r="A3126" s="405">
        <v>3002413</v>
      </c>
      <c r="B3126" s="406">
        <v>42522</v>
      </c>
      <c r="C3126" s="405" t="s">
        <v>327</v>
      </c>
      <c r="D3126" s="401" t="s">
        <v>7154</v>
      </c>
      <c r="E3126" s="120">
        <v>100</v>
      </c>
      <c r="F3126" s="133" t="s">
        <v>7155</v>
      </c>
      <c r="G3126" s="404" t="s">
        <v>45</v>
      </c>
      <c r="H3126" s="411">
        <v>650</v>
      </c>
      <c r="I3126" s="411">
        <v>0</v>
      </c>
      <c r="J3126" s="391">
        <f>-((H3126*0.022)+0.3)</f>
        <v>-14.6</v>
      </c>
      <c r="K3126" s="90">
        <f t="shared" si="586"/>
        <v>635.4</v>
      </c>
      <c r="L3126" s="187">
        <v>2730</v>
      </c>
      <c r="M3126" s="187">
        <v>113.4</v>
      </c>
      <c r="N3126" s="91">
        <f t="shared" si="602"/>
        <v>386.4</v>
      </c>
      <c r="O3126" s="411">
        <f t="shared" si="589"/>
        <v>249</v>
      </c>
      <c r="P3126" s="132" t="s">
        <v>76</v>
      </c>
      <c r="Q3126" s="232"/>
      <c r="R3126" s="411"/>
      <c r="T3126" s="134" t="s">
        <v>97</v>
      </c>
      <c r="U3126" s="267" t="s">
        <v>7156</v>
      </c>
      <c r="V3126" s="133" t="s">
        <v>6531</v>
      </c>
      <c r="W3126" s="153" t="s">
        <v>7157</v>
      </c>
      <c r="AA3126" s="218"/>
    </row>
    <row r="3127" spans="1:27" x14ac:dyDescent="0.25">
      <c r="A3127" s="419">
        <v>3002414</v>
      </c>
      <c r="B3127" s="421">
        <v>42522</v>
      </c>
      <c r="C3127" s="419" t="s">
        <v>63</v>
      </c>
      <c r="D3127" s="417" t="s">
        <v>7158</v>
      </c>
      <c r="E3127" s="120">
        <v>100</v>
      </c>
      <c r="F3127" s="133" t="s">
        <v>7159</v>
      </c>
      <c r="G3127" s="434" t="s">
        <v>45</v>
      </c>
      <c r="H3127" s="427">
        <v>1000</v>
      </c>
      <c r="I3127" s="427">
        <v>0</v>
      </c>
      <c r="J3127" s="425">
        <f>-((H3127*0.022)+0.3)</f>
        <v>-22.3</v>
      </c>
      <c r="K3127" s="425">
        <f t="shared" si="586"/>
        <v>977.7</v>
      </c>
      <c r="L3127" s="187">
        <v>3580</v>
      </c>
      <c r="M3127" s="131">
        <v>0</v>
      </c>
      <c r="N3127" s="91">
        <f t="shared" si="602"/>
        <v>358</v>
      </c>
      <c r="O3127" s="411">
        <f t="shared" si="589"/>
        <v>619.70000000000005</v>
      </c>
      <c r="P3127" s="132" t="s">
        <v>313</v>
      </c>
      <c r="Q3127" s="232"/>
      <c r="R3127" s="411"/>
      <c r="T3127" s="134" t="s">
        <v>755</v>
      </c>
      <c r="U3127" s="266"/>
      <c r="W3127" s="153" t="s">
        <v>7160</v>
      </c>
      <c r="AA3127" s="473">
        <v>10</v>
      </c>
    </row>
    <row r="3128" spans="1:27" x14ac:dyDescent="0.25">
      <c r="A3128" s="420"/>
      <c r="B3128" s="422"/>
      <c r="C3128" s="420"/>
      <c r="D3128" s="418"/>
      <c r="E3128" s="120">
        <v>100</v>
      </c>
      <c r="F3128" s="133" t="s">
        <v>7161</v>
      </c>
      <c r="G3128" s="436"/>
      <c r="H3128" s="428"/>
      <c r="I3128" s="428"/>
      <c r="J3128" s="426"/>
      <c r="K3128" s="426"/>
      <c r="L3128" s="187">
        <v>1460</v>
      </c>
      <c r="M3128" s="131">
        <v>0</v>
      </c>
      <c r="N3128" s="91">
        <f t="shared" si="602"/>
        <v>146</v>
      </c>
      <c r="O3128" s="411">
        <f t="shared" si="589"/>
        <v>-146</v>
      </c>
      <c r="P3128" s="132" t="s">
        <v>313</v>
      </c>
      <c r="Q3128" s="232"/>
      <c r="R3128" s="411"/>
      <c r="T3128" s="134" t="s">
        <v>755</v>
      </c>
      <c r="U3128" s="266"/>
      <c r="AA3128" s="474"/>
    </row>
    <row r="3129" spans="1:27" x14ac:dyDescent="0.25">
      <c r="A3129" s="419">
        <v>3002415</v>
      </c>
      <c r="B3129" s="421">
        <v>42522</v>
      </c>
      <c r="C3129" s="419" t="s">
        <v>56</v>
      </c>
      <c r="D3129" s="417" t="s">
        <v>4020</v>
      </c>
      <c r="E3129" s="120">
        <v>1000</v>
      </c>
      <c r="F3129" s="133" t="s">
        <v>7162</v>
      </c>
      <c r="G3129" s="434" t="s">
        <v>45</v>
      </c>
      <c r="H3129" s="427">
        <v>9720</v>
      </c>
      <c r="I3129" s="427">
        <v>0</v>
      </c>
      <c r="J3129" s="427">
        <v>0</v>
      </c>
      <c r="K3129" s="425">
        <f t="shared" si="586"/>
        <v>9720</v>
      </c>
      <c r="L3129" s="131">
        <v>2495</v>
      </c>
      <c r="M3129" s="187">
        <v>145</v>
      </c>
      <c r="N3129" s="91">
        <f t="shared" si="602"/>
        <v>2640</v>
      </c>
      <c r="O3129" s="411">
        <f t="shared" si="589"/>
        <v>7080</v>
      </c>
      <c r="P3129" s="132" t="s">
        <v>52</v>
      </c>
      <c r="Q3129" s="232"/>
      <c r="R3129" s="411"/>
      <c r="T3129" s="134" t="s">
        <v>3793</v>
      </c>
      <c r="U3129" s="267" t="s">
        <v>7163</v>
      </c>
      <c r="V3129" s="133" t="s">
        <v>7164</v>
      </c>
      <c r="W3129" s="153" t="s">
        <v>298</v>
      </c>
      <c r="AA3129" s="218"/>
    </row>
    <row r="3130" spans="1:27" ht="24" x14ac:dyDescent="0.25">
      <c r="A3130" s="420"/>
      <c r="B3130" s="422"/>
      <c r="C3130" s="420"/>
      <c r="D3130" s="418"/>
      <c r="E3130" s="120">
        <v>1000</v>
      </c>
      <c r="F3130" s="133" t="s">
        <v>1362</v>
      </c>
      <c r="G3130" s="436"/>
      <c r="H3130" s="428"/>
      <c r="I3130" s="428"/>
      <c r="J3130" s="428"/>
      <c r="K3130" s="426"/>
      <c r="L3130" s="187">
        <v>1680</v>
      </c>
      <c r="M3130" s="224">
        <v>196.21</v>
      </c>
      <c r="N3130" s="91">
        <f t="shared" si="602"/>
        <v>1876.21</v>
      </c>
      <c r="O3130" s="411">
        <f t="shared" si="589"/>
        <v>-1876.21</v>
      </c>
      <c r="P3130" s="132" t="s">
        <v>3597</v>
      </c>
      <c r="Q3130" s="232"/>
      <c r="R3130" s="411"/>
      <c r="T3130" s="134" t="s">
        <v>1209</v>
      </c>
      <c r="U3130" s="267" t="s">
        <v>7165</v>
      </c>
      <c r="V3130" s="133" t="s">
        <v>7166</v>
      </c>
      <c r="AA3130" s="218"/>
    </row>
    <row r="3131" spans="1:27" ht="24" x14ac:dyDescent="0.25">
      <c r="A3131" s="405">
        <v>3002416</v>
      </c>
      <c r="B3131" s="406">
        <v>42522</v>
      </c>
      <c r="C3131" s="405" t="s">
        <v>141</v>
      </c>
      <c r="D3131" s="401" t="s">
        <v>7167</v>
      </c>
      <c r="E3131" s="120">
        <v>200</v>
      </c>
      <c r="F3131" s="133" t="s">
        <v>178</v>
      </c>
      <c r="G3131" s="404" t="s">
        <v>45</v>
      </c>
      <c r="H3131" s="411">
        <v>368</v>
      </c>
      <c r="I3131" s="411">
        <v>0</v>
      </c>
      <c r="J3131" s="391">
        <f>-((H3131*0.0325)+0.3)</f>
        <v>-12.260000000000002</v>
      </c>
      <c r="K3131" s="90">
        <f t="shared" si="586"/>
        <v>355.74</v>
      </c>
      <c r="L3131" s="131">
        <v>1079</v>
      </c>
      <c r="M3131" s="187">
        <v>71.06</v>
      </c>
      <c r="N3131" s="91">
        <f t="shared" si="602"/>
        <v>286.86</v>
      </c>
      <c r="O3131" s="411">
        <f t="shared" si="589"/>
        <v>68.88</v>
      </c>
      <c r="P3131" s="132" t="s">
        <v>52</v>
      </c>
      <c r="Q3131" s="232"/>
      <c r="R3131" s="411"/>
      <c r="T3131" s="134" t="s">
        <v>145</v>
      </c>
      <c r="U3131" s="267" t="s">
        <v>7168</v>
      </c>
      <c r="W3131" s="153" t="s">
        <v>7169</v>
      </c>
      <c r="AA3131" s="218"/>
    </row>
    <row r="3132" spans="1:27" x14ac:dyDescent="0.25">
      <c r="A3132" s="405">
        <v>3002417</v>
      </c>
      <c r="B3132" s="406">
        <v>42522</v>
      </c>
      <c r="C3132" s="405" t="s">
        <v>327</v>
      </c>
      <c r="D3132" s="401" t="s">
        <v>7170</v>
      </c>
      <c r="E3132" s="120">
        <v>1000</v>
      </c>
      <c r="F3132" s="133" t="s">
        <v>7171</v>
      </c>
      <c r="G3132" s="404" t="s">
        <v>45</v>
      </c>
      <c r="H3132" s="411">
        <v>1140</v>
      </c>
      <c r="I3132" s="411">
        <v>0</v>
      </c>
      <c r="J3132" s="391">
        <f>-((H3132*0.022)+0.3)</f>
        <v>-25.38</v>
      </c>
      <c r="K3132" s="90">
        <f t="shared" si="586"/>
        <v>1114.6199999999999</v>
      </c>
      <c r="L3132" s="187">
        <v>759</v>
      </c>
      <c r="N3132" s="91">
        <f t="shared" si="602"/>
        <v>759</v>
      </c>
      <c r="O3132" s="411">
        <f t="shared" si="589"/>
        <v>355.61999999999989</v>
      </c>
      <c r="P3132" s="132" t="s">
        <v>330</v>
      </c>
      <c r="Q3132" s="232"/>
      <c r="R3132" s="411"/>
      <c r="T3132" s="134" t="s">
        <v>7172</v>
      </c>
      <c r="U3132" s="266">
        <v>1010147589</v>
      </c>
      <c r="W3132" s="153" t="s">
        <v>7173</v>
      </c>
      <c r="AA3132" s="218">
        <v>10</v>
      </c>
    </row>
    <row r="3133" spans="1:27" x14ac:dyDescent="0.25">
      <c r="A3133" s="405">
        <v>3002418</v>
      </c>
      <c r="B3133" s="406">
        <v>42522</v>
      </c>
      <c r="C3133" s="405" t="s">
        <v>327</v>
      </c>
      <c r="D3133" s="401" t="s">
        <v>7174</v>
      </c>
      <c r="E3133" s="120">
        <v>500</v>
      </c>
      <c r="F3133" s="133" t="s">
        <v>829</v>
      </c>
      <c r="G3133" s="404" t="s">
        <v>45</v>
      </c>
      <c r="H3133" s="411">
        <v>480</v>
      </c>
      <c r="I3133" s="411">
        <v>0</v>
      </c>
      <c r="J3133" s="391">
        <f>-((H3133*0.022)+0.3)</f>
        <v>-10.86</v>
      </c>
      <c r="K3133" s="90">
        <f t="shared" si="586"/>
        <v>469.14</v>
      </c>
      <c r="L3133" s="131">
        <v>510</v>
      </c>
      <c r="M3133" s="187">
        <v>98.1</v>
      </c>
      <c r="N3133" s="91">
        <f t="shared" si="602"/>
        <v>353.1</v>
      </c>
      <c r="O3133" s="411">
        <f t="shared" si="589"/>
        <v>116.03999999999996</v>
      </c>
      <c r="P3133" s="132" t="s">
        <v>52</v>
      </c>
      <c r="Q3133" s="232"/>
      <c r="R3133" s="411"/>
      <c r="T3133" s="134" t="s">
        <v>244</v>
      </c>
      <c r="U3133" s="267" t="s">
        <v>7175</v>
      </c>
      <c r="V3133" s="133" t="s">
        <v>55</v>
      </c>
      <c r="W3133" s="153" t="s">
        <v>7176</v>
      </c>
      <c r="AA3133" s="218"/>
    </row>
    <row r="3134" spans="1:27" x14ac:dyDescent="0.25">
      <c r="A3134" s="419">
        <v>3002419</v>
      </c>
      <c r="B3134" s="421">
        <v>42522</v>
      </c>
      <c r="C3134" s="419" t="s">
        <v>56</v>
      </c>
      <c r="D3134" s="417" t="s">
        <v>1303</v>
      </c>
      <c r="E3134" s="120">
        <v>1000</v>
      </c>
      <c r="F3134" s="133" t="s">
        <v>4593</v>
      </c>
      <c r="G3134" s="434" t="s">
        <v>45</v>
      </c>
      <c r="H3134" s="427">
        <v>816.94</v>
      </c>
      <c r="I3134" s="427">
        <v>0</v>
      </c>
      <c r="J3134" s="427">
        <v>0</v>
      </c>
      <c r="K3134" s="425">
        <f t="shared" si="586"/>
        <v>816.94</v>
      </c>
      <c r="L3134" s="187">
        <v>481.25</v>
      </c>
      <c r="M3134" s="187">
        <v>94.7</v>
      </c>
      <c r="N3134" s="91">
        <f t="shared" si="602"/>
        <v>575.95000000000005</v>
      </c>
      <c r="O3134" s="411">
        <f t="shared" si="589"/>
        <v>240.99</v>
      </c>
      <c r="P3134" s="132" t="s">
        <v>46</v>
      </c>
      <c r="Q3134" s="232"/>
      <c r="R3134" s="411"/>
      <c r="T3134" s="134" t="s">
        <v>47</v>
      </c>
      <c r="U3134" s="267" t="s">
        <v>7177</v>
      </c>
      <c r="V3134" s="133" t="s">
        <v>7178</v>
      </c>
      <c r="W3134" s="153" t="s">
        <v>1796</v>
      </c>
      <c r="AA3134" s="218"/>
    </row>
    <row r="3135" spans="1:27" x14ac:dyDescent="0.25">
      <c r="A3135" s="432"/>
      <c r="B3135" s="433"/>
      <c r="C3135" s="432"/>
      <c r="D3135" s="454"/>
      <c r="E3135" s="120">
        <v>500</v>
      </c>
      <c r="F3135" s="133" t="s">
        <v>7179</v>
      </c>
      <c r="G3135" s="435"/>
      <c r="H3135" s="438"/>
      <c r="I3135" s="438"/>
      <c r="J3135" s="438"/>
      <c r="K3135" s="437"/>
      <c r="L3135" s="131">
        <v>80</v>
      </c>
      <c r="M3135" s="187">
        <v>18.649999999999999</v>
      </c>
      <c r="N3135" s="91">
        <f t="shared" si="602"/>
        <v>58.65</v>
      </c>
      <c r="O3135" s="411">
        <f t="shared" si="589"/>
        <v>-58.65</v>
      </c>
      <c r="P3135" s="132" t="s">
        <v>235</v>
      </c>
      <c r="Q3135" s="232"/>
      <c r="R3135" s="411"/>
      <c r="T3135" s="439" t="s">
        <v>145</v>
      </c>
      <c r="U3135" s="446" t="s">
        <v>7180</v>
      </c>
      <c r="V3135" s="133" t="s">
        <v>7181</v>
      </c>
      <c r="AA3135" s="218"/>
    </row>
    <row r="3136" spans="1:27" x14ac:dyDescent="0.25">
      <c r="A3136" s="420"/>
      <c r="B3136" s="422"/>
      <c r="C3136" s="420"/>
      <c r="D3136" s="418"/>
      <c r="E3136" s="120">
        <v>500</v>
      </c>
      <c r="F3136" s="133" t="s">
        <v>6241</v>
      </c>
      <c r="G3136" s="436"/>
      <c r="H3136" s="428"/>
      <c r="I3136" s="428"/>
      <c r="J3136" s="428"/>
      <c r="K3136" s="426"/>
      <c r="L3136" s="131">
        <v>80</v>
      </c>
      <c r="M3136" s="187"/>
      <c r="N3136" s="91">
        <f t="shared" si="602"/>
        <v>40</v>
      </c>
      <c r="O3136" s="411">
        <f t="shared" si="589"/>
        <v>-40</v>
      </c>
      <c r="P3136" s="132" t="s">
        <v>235</v>
      </c>
      <c r="Q3136" s="232"/>
      <c r="R3136" s="411"/>
      <c r="T3136" s="441"/>
      <c r="U3136" s="447"/>
      <c r="V3136" s="133" t="s">
        <v>7181</v>
      </c>
      <c r="AA3136" s="218"/>
    </row>
    <row r="3137" spans="1:27" ht="24" x14ac:dyDescent="0.25">
      <c r="A3137" s="405">
        <v>3002420</v>
      </c>
      <c r="B3137" s="406">
        <v>42522</v>
      </c>
      <c r="C3137" s="405" t="s">
        <v>5682</v>
      </c>
      <c r="D3137" s="401" t="s">
        <v>7182</v>
      </c>
      <c r="E3137" s="120">
        <v>500</v>
      </c>
      <c r="F3137" s="133" t="s">
        <v>3955</v>
      </c>
      <c r="G3137" s="404" t="s">
        <v>45</v>
      </c>
      <c r="H3137" s="411">
        <v>329.18</v>
      </c>
      <c r="I3137" s="94">
        <f t="shared" ref="I3137:I3140" si="603">-(H3137*0.09)</f>
        <v>-29.626200000000001</v>
      </c>
      <c r="J3137" s="391">
        <f t="shared" ref="J3137:J3140" si="604">-((H3137*0.019)+0.3)</f>
        <v>-6.5544199999999995</v>
      </c>
      <c r="K3137" s="90">
        <f t="shared" ref="K3137:K3141" si="605">SUM(H3137:J3137)</f>
        <v>292.99938000000003</v>
      </c>
      <c r="L3137" s="187">
        <v>440</v>
      </c>
      <c r="M3137" s="187">
        <v>38.51</v>
      </c>
      <c r="N3137" s="91">
        <f t="shared" si="602"/>
        <v>258.51</v>
      </c>
      <c r="O3137" s="411">
        <f t="shared" si="589"/>
        <v>34.48938000000004</v>
      </c>
      <c r="P3137" s="132" t="s">
        <v>235</v>
      </c>
      <c r="Q3137" s="232"/>
      <c r="R3137" s="411"/>
      <c r="T3137" s="134" t="s">
        <v>145</v>
      </c>
      <c r="U3137" s="267" t="s">
        <v>7183</v>
      </c>
      <c r="AA3137" s="218"/>
    </row>
    <row r="3138" spans="1:27" x14ac:dyDescent="0.25">
      <c r="A3138" s="405">
        <v>3002421</v>
      </c>
      <c r="B3138" s="406">
        <v>42522</v>
      </c>
      <c r="C3138" s="405" t="s">
        <v>5682</v>
      </c>
      <c r="D3138" s="401" t="s">
        <v>7184</v>
      </c>
      <c r="E3138" s="120">
        <v>400</v>
      </c>
      <c r="F3138" s="133" t="s">
        <v>198</v>
      </c>
      <c r="G3138" s="404" t="s">
        <v>45</v>
      </c>
      <c r="H3138" s="411">
        <v>1188</v>
      </c>
      <c r="I3138" s="94">
        <f t="shared" si="603"/>
        <v>-106.92</v>
      </c>
      <c r="J3138" s="391">
        <f t="shared" si="604"/>
        <v>-22.872</v>
      </c>
      <c r="K3138" s="90">
        <f t="shared" si="605"/>
        <v>1058.2079999999999</v>
      </c>
      <c r="L3138" s="131">
        <v>1693</v>
      </c>
      <c r="M3138" s="187">
        <v>188.96</v>
      </c>
      <c r="N3138" s="91">
        <f t="shared" si="602"/>
        <v>866.16000000000008</v>
      </c>
      <c r="O3138" s="411">
        <f t="shared" si="589"/>
        <v>192.04799999999977</v>
      </c>
      <c r="P3138" s="132" t="s">
        <v>52</v>
      </c>
      <c r="Q3138" s="232"/>
      <c r="R3138" s="411">
        <v>88</v>
      </c>
      <c r="S3138" s="133" t="s">
        <v>7185</v>
      </c>
      <c r="T3138" s="134" t="s">
        <v>244</v>
      </c>
      <c r="U3138" s="267" t="s">
        <v>7186</v>
      </c>
      <c r="V3138" s="133" t="s">
        <v>55</v>
      </c>
      <c r="AA3138" s="218"/>
    </row>
    <row r="3139" spans="1:27" ht="24" x14ac:dyDescent="0.25">
      <c r="A3139" s="405">
        <v>3002422</v>
      </c>
      <c r="B3139" s="406">
        <v>42522</v>
      </c>
      <c r="C3139" s="405" t="s">
        <v>5682</v>
      </c>
      <c r="D3139" s="401" t="s">
        <v>7187</v>
      </c>
      <c r="E3139" s="120">
        <v>100</v>
      </c>
      <c r="F3139" s="133" t="s">
        <v>165</v>
      </c>
      <c r="G3139" s="404" t="s">
        <v>45</v>
      </c>
      <c r="H3139" s="411">
        <v>102</v>
      </c>
      <c r="I3139" s="94">
        <f t="shared" si="603"/>
        <v>-9.18</v>
      </c>
      <c r="J3139" s="391">
        <f t="shared" si="604"/>
        <v>-2.238</v>
      </c>
      <c r="K3139" s="90">
        <f t="shared" si="605"/>
        <v>90.581999999999994</v>
      </c>
      <c r="L3139" s="131">
        <v>440</v>
      </c>
      <c r="M3139" s="187">
        <v>28.91</v>
      </c>
      <c r="N3139" s="91">
        <f t="shared" si="602"/>
        <v>72.91</v>
      </c>
      <c r="O3139" s="411">
        <f t="shared" si="589"/>
        <v>17.671999999999997</v>
      </c>
      <c r="P3139" s="132" t="s">
        <v>52</v>
      </c>
      <c r="Q3139" s="232"/>
      <c r="R3139" s="411"/>
      <c r="T3139" s="134" t="s">
        <v>145</v>
      </c>
      <c r="U3139" s="267" t="s">
        <v>7188</v>
      </c>
      <c r="AA3139" s="218"/>
    </row>
    <row r="3140" spans="1:27" ht="24" x14ac:dyDescent="0.25">
      <c r="A3140" s="405">
        <v>3002423</v>
      </c>
      <c r="B3140" s="406">
        <v>42522</v>
      </c>
      <c r="C3140" s="405" t="s">
        <v>5682</v>
      </c>
      <c r="D3140" s="401" t="s">
        <v>7189</v>
      </c>
      <c r="E3140" s="120">
        <v>100</v>
      </c>
      <c r="F3140" s="133" t="s">
        <v>51</v>
      </c>
      <c r="G3140" s="404" t="s">
        <v>45</v>
      </c>
      <c r="H3140" s="411">
        <v>251.63</v>
      </c>
      <c r="I3140" s="94">
        <f t="shared" si="603"/>
        <v>-22.646699999999999</v>
      </c>
      <c r="J3140" s="391">
        <f t="shared" si="604"/>
        <v>-5.0809699999999998</v>
      </c>
      <c r="K3140" s="90">
        <f t="shared" si="605"/>
        <v>223.90232999999998</v>
      </c>
      <c r="L3140" s="131">
        <v>1015</v>
      </c>
      <c r="M3140" s="187">
        <v>47.81</v>
      </c>
      <c r="N3140" s="91">
        <f t="shared" si="602"/>
        <v>149.31</v>
      </c>
      <c r="O3140" s="411">
        <f t="shared" si="589"/>
        <v>74.592329999999976</v>
      </c>
      <c r="P3140" s="132" t="s">
        <v>52</v>
      </c>
      <c r="Q3140" s="232"/>
      <c r="R3140" s="411"/>
      <c r="T3140" s="134" t="s">
        <v>145</v>
      </c>
      <c r="U3140" s="267" t="s">
        <v>7190</v>
      </c>
      <c r="AA3140" s="218"/>
    </row>
    <row r="3141" spans="1:27" ht="36" customHeight="1" x14ac:dyDescent="0.25">
      <c r="A3141" s="419">
        <v>3002424</v>
      </c>
      <c r="B3141" s="421">
        <v>42522</v>
      </c>
      <c r="C3141" s="419" t="s">
        <v>56</v>
      </c>
      <c r="D3141" s="417" t="s">
        <v>7191</v>
      </c>
      <c r="E3141" s="120">
        <v>1950</v>
      </c>
      <c r="F3141" s="133" t="s">
        <v>51</v>
      </c>
      <c r="G3141" s="434" t="s">
        <v>45</v>
      </c>
      <c r="H3141" s="427">
        <v>4373.95</v>
      </c>
      <c r="I3141" s="427">
        <v>0</v>
      </c>
      <c r="J3141" s="427">
        <v>0</v>
      </c>
      <c r="K3141" s="425">
        <f t="shared" si="605"/>
        <v>4373.95</v>
      </c>
      <c r="L3141" s="131">
        <v>1015</v>
      </c>
      <c r="N3141" s="91">
        <f t="shared" si="602"/>
        <v>1979.25</v>
      </c>
      <c r="O3141" s="411">
        <f t="shared" si="589"/>
        <v>2394.6999999999998</v>
      </c>
      <c r="P3141" s="132" t="s">
        <v>52</v>
      </c>
      <c r="Q3141" s="232"/>
      <c r="R3141" s="411"/>
      <c r="T3141" s="470" t="s">
        <v>7192</v>
      </c>
      <c r="U3141" s="266"/>
      <c r="V3141" s="133" t="s">
        <v>5916</v>
      </c>
      <c r="AA3141" s="218"/>
    </row>
    <row r="3142" spans="1:27" x14ac:dyDescent="0.25">
      <c r="A3142" s="432"/>
      <c r="B3142" s="433"/>
      <c r="C3142" s="432"/>
      <c r="D3142" s="454"/>
      <c r="E3142" s="120">
        <v>1945</v>
      </c>
      <c r="F3142" s="133" t="s">
        <v>165</v>
      </c>
      <c r="G3142" s="435"/>
      <c r="H3142" s="438"/>
      <c r="I3142" s="438"/>
      <c r="J3142" s="438"/>
      <c r="K3142" s="437"/>
      <c r="L3142" s="131">
        <v>480</v>
      </c>
      <c r="N3142" s="91">
        <f t="shared" si="602"/>
        <v>933.6</v>
      </c>
      <c r="O3142" s="411">
        <f t="shared" si="589"/>
        <v>-933.6</v>
      </c>
      <c r="P3142" s="132" t="s">
        <v>52</v>
      </c>
      <c r="Q3142" s="232"/>
      <c r="R3142" s="411"/>
      <c r="T3142" s="471"/>
      <c r="U3142" s="266"/>
      <c r="AA3142" s="218"/>
    </row>
    <row r="3143" spans="1:27" x14ac:dyDescent="0.25">
      <c r="A3143" s="432"/>
      <c r="B3143" s="433"/>
      <c r="C3143" s="432"/>
      <c r="D3143" s="454"/>
      <c r="E3143" s="120">
        <v>1000</v>
      </c>
      <c r="F3143" s="133" t="s">
        <v>451</v>
      </c>
      <c r="G3143" s="435"/>
      <c r="H3143" s="438"/>
      <c r="I3143" s="438"/>
      <c r="J3143" s="438"/>
      <c r="K3143" s="437"/>
      <c r="L3143" s="131">
        <v>300</v>
      </c>
      <c r="N3143" s="91">
        <f t="shared" si="602"/>
        <v>300</v>
      </c>
      <c r="O3143" s="411">
        <f t="shared" si="589"/>
        <v>-300</v>
      </c>
      <c r="P3143" s="132" t="s">
        <v>52</v>
      </c>
      <c r="Q3143" s="232"/>
      <c r="R3143" s="411"/>
      <c r="T3143" s="471"/>
      <c r="U3143" s="266"/>
      <c r="AA3143" s="218"/>
    </row>
    <row r="3144" spans="1:27" x14ac:dyDescent="0.25">
      <c r="A3144" s="420"/>
      <c r="B3144" s="422"/>
      <c r="C3144" s="420"/>
      <c r="D3144" s="418"/>
      <c r="E3144" s="120">
        <v>500</v>
      </c>
      <c r="F3144" s="133" t="s">
        <v>7193</v>
      </c>
      <c r="G3144" s="436"/>
      <c r="H3144" s="428"/>
      <c r="I3144" s="428"/>
      <c r="J3144" s="428"/>
      <c r="K3144" s="426"/>
      <c r="L3144" s="131">
        <v>399</v>
      </c>
      <c r="N3144" s="91">
        <f t="shared" si="602"/>
        <v>199.5</v>
      </c>
      <c r="O3144" s="411">
        <f t="shared" si="589"/>
        <v>-199.5</v>
      </c>
      <c r="P3144" s="132" t="s">
        <v>52</v>
      </c>
      <c r="Q3144" s="232"/>
      <c r="R3144" s="411"/>
      <c r="T3144" s="472"/>
      <c r="U3144" s="266"/>
      <c r="AA3144" s="218"/>
    </row>
    <row r="3145" spans="1:27" ht="24" x14ac:dyDescent="0.25">
      <c r="A3145" s="405">
        <v>3002425</v>
      </c>
      <c r="B3145" s="406">
        <v>42522</v>
      </c>
      <c r="C3145" s="405" t="s">
        <v>5682</v>
      </c>
      <c r="D3145" s="401" t="s">
        <v>7194</v>
      </c>
      <c r="E3145" s="120">
        <v>300</v>
      </c>
      <c r="F3145" s="133" t="s">
        <v>2361</v>
      </c>
      <c r="G3145" s="404" t="s">
        <v>45</v>
      </c>
      <c r="H3145" s="411">
        <v>370.5</v>
      </c>
      <c r="I3145" s="94">
        <f t="shared" ref="I3145:I3166" si="606">-(H3145*0.09)</f>
        <v>-33.344999999999999</v>
      </c>
      <c r="J3145" s="391">
        <f t="shared" ref="J3145:J3166" si="607">-((H3145*0.019)+0.3)</f>
        <v>-7.3394999999999992</v>
      </c>
      <c r="K3145" s="90">
        <f t="shared" ref="K3145:K3290" si="608">SUM(H3145:J3145)</f>
        <v>329.81549999999999</v>
      </c>
      <c r="M3145" s="187">
        <v>50.49</v>
      </c>
      <c r="N3145" s="91">
        <f t="shared" si="602"/>
        <v>50.49</v>
      </c>
      <c r="O3145" s="411">
        <f t="shared" si="589"/>
        <v>279.32549999999998</v>
      </c>
      <c r="P3145" s="132" t="s">
        <v>86</v>
      </c>
      <c r="Q3145" s="232"/>
      <c r="R3145" s="411"/>
      <c r="T3145" s="134" t="s">
        <v>145</v>
      </c>
      <c r="U3145" s="267" t="s">
        <v>7195</v>
      </c>
      <c r="AA3145" s="227"/>
    </row>
    <row r="3146" spans="1:27" ht="24" x14ac:dyDescent="0.25">
      <c r="A3146" s="405">
        <v>3002426</v>
      </c>
      <c r="B3146" s="406">
        <v>42522</v>
      </c>
      <c r="C3146" s="405" t="s">
        <v>5682</v>
      </c>
      <c r="D3146" s="401" t="s">
        <v>7196</v>
      </c>
      <c r="E3146" s="120">
        <v>250</v>
      </c>
      <c r="F3146" s="133" t="s">
        <v>451</v>
      </c>
      <c r="G3146" s="404" t="s">
        <v>45</v>
      </c>
      <c r="H3146" s="411">
        <v>155.37</v>
      </c>
      <c r="I3146" s="94">
        <f t="shared" si="606"/>
        <v>-13.9833</v>
      </c>
      <c r="J3146" s="391">
        <f t="shared" si="607"/>
        <v>-3.25203</v>
      </c>
      <c r="K3146" s="90">
        <f t="shared" si="608"/>
        <v>138.13467000000003</v>
      </c>
      <c r="L3146" s="131">
        <v>300</v>
      </c>
      <c r="M3146" s="187">
        <v>46.16</v>
      </c>
      <c r="N3146" s="91">
        <f t="shared" si="602"/>
        <v>121.16</v>
      </c>
      <c r="O3146" s="411">
        <f t="shared" si="589"/>
        <v>16.974670000000032</v>
      </c>
      <c r="P3146" s="132" t="s">
        <v>52</v>
      </c>
      <c r="Q3146" s="232"/>
      <c r="R3146" s="411"/>
      <c r="T3146" s="134" t="s">
        <v>145</v>
      </c>
      <c r="U3146" s="267" t="s">
        <v>7197</v>
      </c>
      <c r="AA3146" s="227"/>
    </row>
    <row r="3147" spans="1:27" ht="24" x14ac:dyDescent="0.25">
      <c r="A3147" s="405">
        <v>3002427</v>
      </c>
      <c r="B3147" s="406">
        <v>42522</v>
      </c>
      <c r="C3147" s="405" t="s">
        <v>5682</v>
      </c>
      <c r="D3147" s="401" t="s">
        <v>7198</v>
      </c>
      <c r="E3147" s="120">
        <v>50</v>
      </c>
      <c r="F3147" s="133" t="s">
        <v>217</v>
      </c>
      <c r="G3147" s="404" t="s">
        <v>45</v>
      </c>
      <c r="H3147" s="411">
        <v>117.56</v>
      </c>
      <c r="I3147" s="94">
        <f t="shared" si="606"/>
        <v>-10.580399999999999</v>
      </c>
      <c r="J3147" s="391">
        <f t="shared" si="607"/>
        <v>-2.5336399999999997</v>
      </c>
      <c r="K3147" s="90">
        <f t="shared" si="608"/>
        <v>104.44596</v>
      </c>
      <c r="L3147" s="131">
        <v>1322</v>
      </c>
      <c r="M3147" s="187">
        <v>38.83</v>
      </c>
      <c r="N3147" s="91">
        <f t="shared" si="602"/>
        <v>104.93</v>
      </c>
      <c r="O3147" s="411">
        <f t="shared" si="589"/>
        <v>-0.48404000000000735</v>
      </c>
      <c r="P3147" s="132" t="s">
        <v>52</v>
      </c>
      <c r="Q3147" s="232"/>
      <c r="R3147" s="411"/>
      <c r="T3147" s="134" t="s">
        <v>145</v>
      </c>
      <c r="U3147" s="267" t="s">
        <v>7199</v>
      </c>
      <c r="AA3147" s="227"/>
    </row>
    <row r="3148" spans="1:27" ht="24" x14ac:dyDescent="0.25">
      <c r="A3148" s="405">
        <v>3002428</v>
      </c>
      <c r="B3148" s="406">
        <v>42522</v>
      </c>
      <c r="C3148" s="405" t="s">
        <v>5682</v>
      </c>
      <c r="D3148" s="401" t="s">
        <v>7200</v>
      </c>
      <c r="E3148" s="120">
        <v>50</v>
      </c>
      <c r="F3148" s="133" t="s">
        <v>431</v>
      </c>
      <c r="G3148" s="404" t="s">
        <v>45</v>
      </c>
      <c r="H3148" s="411">
        <v>130.13999999999999</v>
      </c>
      <c r="I3148" s="94">
        <f t="shared" si="606"/>
        <v>-11.712599999999998</v>
      </c>
      <c r="J3148" s="391">
        <f t="shared" si="607"/>
        <v>-2.7726599999999997</v>
      </c>
      <c r="K3148" s="90">
        <f t="shared" si="608"/>
        <v>115.65473999999999</v>
      </c>
      <c r="L3148" s="131">
        <v>990</v>
      </c>
      <c r="M3148" s="187">
        <v>30.03</v>
      </c>
      <c r="N3148" s="91">
        <f t="shared" si="602"/>
        <v>79.53</v>
      </c>
      <c r="O3148" s="411">
        <f t="shared" ref="O3148:O3211" si="609">K3148-N3148</f>
        <v>36.124739999999989</v>
      </c>
      <c r="P3148" s="132" t="s">
        <v>52</v>
      </c>
      <c r="Q3148" s="232"/>
      <c r="R3148" s="411"/>
      <c r="T3148" s="134" t="s">
        <v>145</v>
      </c>
      <c r="U3148" s="267" t="s">
        <v>7201</v>
      </c>
      <c r="AA3148" s="227"/>
    </row>
    <row r="3149" spans="1:27" x14ac:dyDescent="0.25">
      <c r="A3149" s="405">
        <v>3002429</v>
      </c>
      <c r="B3149" s="406">
        <v>42522</v>
      </c>
      <c r="C3149" s="405" t="s">
        <v>5682</v>
      </c>
      <c r="D3149" s="401" t="s">
        <v>7202</v>
      </c>
      <c r="E3149" s="120">
        <v>1000</v>
      </c>
      <c r="F3149" s="133" t="s">
        <v>6793</v>
      </c>
      <c r="G3149" s="404" t="s">
        <v>45</v>
      </c>
      <c r="H3149" s="411">
        <v>875</v>
      </c>
      <c r="I3149" s="94">
        <f t="shared" si="606"/>
        <v>-78.75</v>
      </c>
      <c r="J3149" s="391">
        <f t="shared" si="607"/>
        <v>-16.925000000000001</v>
      </c>
      <c r="K3149" s="90">
        <f t="shared" si="608"/>
        <v>779.32500000000005</v>
      </c>
      <c r="L3149" s="187">
        <v>484</v>
      </c>
      <c r="M3149" s="187">
        <v>169.96</v>
      </c>
      <c r="N3149" s="91">
        <f t="shared" si="602"/>
        <v>653.96</v>
      </c>
      <c r="O3149" s="411">
        <f t="shared" si="609"/>
        <v>125.36500000000001</v>
      </c>
      <c r="P3149" s="132" t="s">
        <v>76</v>
      </c>
      <c r="Q3149" s="232"/>
      <c r="R3149" s="411"/>
      <c r="T3149" s="134" t="s">
        <v>97</v>
      </c>
      <c r="U3149" s="267" t="s">
        <v>7203</v>
      </c>
      <c r="V3149" s="133" t="s">
        <v>55</v>
      </c>
      <c r="AA3149" s="227"/>
    </row>
    <row r="3150" spans="1:27" x14ac:dyDescent="0.25">
      <c r="A3150" s="405">
        <v>3002430</v>
      </c>
      <c r="B3150" s="406">
        <v>42522</v>
      </c>
      <c r="C3150" s="405" t="s">
        <v>5682</v>
      </c>
      <c r="D3150" s="401" t="s">
        <v>7204</v>
      </c>
      <c r="E3150" s="120">
        <v>250</v>
      </c>
      <c r="F3150" s="133" t="s">
        <v>312</v>
      </c>
      <c r="G3150" s="404" t="s">
        <v>45</v>
      </c>
      <c r="H3150" s="411">
        <v>219.72</v>
      </c>
      <c r="I3150" s="94">
        <f t="shared" si="606"/>
        <v>-19.774799999999999</v>
      </c>
      <c r="J3150" s="391">
        <f t="shared" si="607"/>
        <v>-4.4746799999999993</v>
      </c>
      <c r="K3150" s="90">
        <f t="shared" si="608"/>
        <v>195.47051999999999</v>
      </c>
      <c r="L3150" s="187">
        <v>514</v>
      </c>
      <c r="M3150" s="187">
        <v>125.82</v>
      </c>
      <c r="N3150" s="91">
        <f t="shared" si="602"/>
        <v>254.32</v>
      </c>
      <c r="O3150" s="411">
        <f t="shared" si="609"/>
        <v>-58.84948</v>
      </c>
      <c r="P3150" s="132" t="s">
        <v>3597</v>
      </c>
      <c r="Q3150" s="232"/>
      <c r="R3150" s="411"/>
      <c r="T3150" s="134" t="s">
        <v>3644</v>
      </c>
      <c r="U3150" s="267" t="s">
        <v>7205</v>
      </c>
      <c r="AA3150" s="227"/>
    </row>
    <row r="3151" spans="1:27" ht="36" x14ac:dyDescent="0.25">
      <c r="A3151" s="405">
        <v>3002431</v>
      </c>
      <c r="B3151" s="406">
        <v>42522</v>
      </c>
      <c r="C3151" s="405" t="s">
        <v>5682</v>
      </c>
      <c r="D3151" s="401" t="s">
        <v>7206</v>
      </c>
      <c r="E3151" s="120">
        <v>125</v>
      </c>
      <c r="F3151" s="133" t="s">
        <v>70</v>
      </c>
      <c r="G3151" s="404" t="s">
        <v>45</v>
      </c>
      <c r="H3151" s="411">
        <v>331.74</v>
      </c>
      <c r="I3151" s="94">
        <f t="shared" si="606"/>
        <v>-29.8566</v>
      </c>
      <c r="J3151" s="391">
        <f t="shared" si="607"/>
        <v>-6.6030600000000002</v>
      </c>
      <c r="K3151" s="90">
        <f t="shared" si="608"/>
        <v>295.28033999999997</v>
      </c>
      <c r="L3151" s="131">
        <v>1540</v>
      </c>
      <c r="M3151" s="237" t="s">
        <v>7207</v>
      </c>
      <c r="N3151" s="91" t="e">
        <f t="shared" si="602"/>
        <v>#VALUE!</v>
      </c>
      <c r="O3151" s="411" t="e">
        <f t="shared" si="609"/>
        <v>#VALUE!</v>
      </c>
      <c r="P3151" s="132" t="s">
        <v>52</v>
      </c>
      <c r="Q3151" s="232"/>
      <c r="R3151" s="411"/>
      <c r="T3151" s="134" t="s">
        <v>145</v>
      </c>
      <c r="U3151" s="267" t="s">
        <v>7208</v>
      </c>
      <c r="AA3151" s="227"/>
    </row>
    <row r="3152" spans="1:27" ht="24" x14ac:dyDescent="0.25">
      <c r="A3152" s="405">
        <v>3002432</v>
      </c>
      <c r="B3152" s="406">
        <v>42522</v>
      </c>
      <c r="C3152" s="405" t="s">
        <v>5682</v>
      </c>
      <c r="D3152" s="401" t="s">
        <v>7209</v>
      </c>
      <c r="E3152" s="120">
        <v>50</v>
      </c>
      <c r="F3152" s="133" t="s">
        <v>5466</v>
      </c>
      <c r="G3152" s="404" t="s">
        <v>45</v>
      </c>
      <c r="H3152" s="411">
        <v>122.5</v>
      </c>
      <c r="I3152" s="94">
        <f t="shared" si="606"/>
        <v>-11.025</v>
      </c>
      <c r="J3152" s="391">
        <f t="shared" si="607"/>
        <v>-2.6274999999999999</v>
      </c>
      <c r="K3152" s="90">
        <f t="shared" si="608"/>
        <v>108.8475</v>
      </c>
      <c r="L3152" s="187">
        <v>1450</v>
      </c>
      <c r="M3152" s="187">
        <v>14.53</v>
      </c>
      <c r="N3152" s="91">
        <f t="shared" si="602"/>
        <v>87.03</v>
      </c>
      <c r="O3152" s="411">
        <f t="shared" si="609"/>
        <v>21.817499999999995</v>
      </c>
      <c r="P3152" s="132" t="s">
        <v>601</v>
      </c>
      <c r="Q3152" s="232"/>
      <c r="R3152" s="411"/>
      <c r="T3152" s="134" t="s">
        <v>145</v>
      </c>
      <c r="U3152" s="267" t="s">
        <v>7210</v>
      </c>
      <c r="AA3152" s="227"/>
    </row>
    <row r="3153" spans="1:27" ht="24" x14ac:dyDescent="0.25">
      <c r="A3153" s="405">
        <v>3002433</v>
      </c>
      <c r="B3153" s="406">
        <v>42522</v>
      </c>
      <c r="C3153" s="405" t="s">
        <v>5682</v>
      </c>
      <c r="D3153" s="401" t="s">
        <v>7044</v>
      </c>
      <c r="E3153" s="120">
        <v>300</v>
      </c>
      <c r="F3153" s="133" t="s">
        <v>605</v>
      </c>
      <c r="G3153" s="404" t="s">
        <v>45</v>
      </c>
      <c r="H3153" s="411">
        <v>381</v>
      </c>
      <c r="I3153" s="94">
        <f t="shared" si="606"/>
        <v>-34.29</v>
      </c>
      <c r="J3153" s="391">
        <f t="shared" si="607"/>
        <v>-7.5389999999999997</v>
      </c>
      <c r="K3153" s="90">
        <f t="shared" si="608"/>
        <v>339.17099999999999</v>
      </c>
      <c r="L3153" s="131">
        <v>600</v>
      </c>
      <c r="M3153" s="187">
        <v>76.61</v>
      </c>
      <c r="N3153" s="91">
        <f t="shared" si="602"/>
        <v>256.61</v>
      </c>
      <c r="O3153" s="411">
        <f t="shared" si="609"/>
        <v>82.560999999999979</v>
      </c>
      <c r="P3153" s="132" t="s">
        <v>52</v>
      </c>
      <c r="Q3153" s="232"/>
      <c r="R3153" s="411"/>
      <c r="T3153" s="134" t="s">
        <v>145</v>
      </c>
      <c r="U3153" s="267" t="s">
        <v>7211</v>
      </c>
      <c r="AA3153" s="227"/>
    </row>
    <row r="3154" spans="1:27" ht="24" x14ac:dyDescent="0.25">
      <c r="A3154" s="405">
        <v>3002434</v>
      </c>
      <c r="B3154" s="406">
        <v>42522</v>
      </c>
      <c r="C3154" s="405" t="s">
        <v>5682</v>
      </c>
      <c r="D3154" s="401" t="s">
        <v>7212</v>
      </c>
      <c r="E3154" s="120">
        <v>450</v>
      </c>
      <c r="F3154" s="133" t="s">
        <v>227</v>
      </c>
      <c r="G3154" s="404" t="s">
        <v>45</v>
      </c>
      <c r="H3154" s="411">
        <v>369.58</v>
      </c>
      <c r="I3154" s="94">
        <f t="shared" si="606"/>
        <v>-33.2622</v>
      </c>
      <c r="J3154" s="391">
        <f t="shared" si="607"/>
        <v>-7.3220199999999993</v>
      </c>
      <c r="K3154" s="90">
        <f t="shared" si="608"/>
        <v>328.99577999999997</v>
      </c>
      <c r="L3154" s="131">
        <v>350</v>
      </c>
      <c r="M3154" s="187">
        <v>54.52</v>
      </c>
      <c r="N3154" s="91">
        <f t="shared" si="602"/>
        <v>212.02</v>
      </c>
      <c r="O3154" s="411">
        <f t="shared" si="609"/>
        <v>116.97577999999996</v>
      </c>
      <c r="P3154" s="132" t="s">
        <v>52</v>
      </c>
      <c r="Q3154" s="232"/>
      <c r="R3154" s="411"/>
      <c r="T3154" s="134" t="s">
        <v>145</v>
      </c>
      <c r="U3154" s="267" t="s">
        <v>7213</v>
      </c>
      <c r="AA3154" s="227"/>
    </row>
    <row r="3155" spans="1:27" ht="24" x14ac:dyDescent="0.25">
      <c r="A3155" s="405">
        <v>3002435</v>
      </c>
      <c r="B3155" s="406">
        <v>42522</v>
      </c>
      <c r="C3155" s="405" t="s">
        <v>5682</v>
      </c>
      <c r="D3155" s="401" t="s">
        <v>7214</v>
      </c>
      <c r="E3155" s="120">
        <v>50</v>
      </c>
      <c r="F3155" s="133" t="s">
        <v>7215</v>
      </c>
      <c r="G3155" s="404" t="s">
        <v>45</v>
      </c>
      <c r="H3155" s="411">
        <v>110.2</v>
      </c>
      <c r="I3155" s="94">
        <f t="shared" si="606"/>
        <v>-9.9179999999999993</v>
      </c>
      <c r="J3155" s="391">
        <f t="shared" si="607"/>
        <v>-2.3937999999999997</v>
      </c>
      <c r="K3155" s="90">
        <f t="shared" si="608"/>
        <v>97.888200000000012</v>
      </c>
      <c r="M3155" s="187">
        <v>23.88</v>
      </c>
      <c r="N3155" s="91">
        <f t="shared" si="602"/>
        <v>23.88</v>
      </c>
      <c r="O3155" s="411">
        <f t="shared" si="609"/>
        <v>74.008200000000016</v>
      </c>
      <c r="P3155" s="132" t="s">
        <v>52</v>
      </c>
      <c r="Q3155" s="232"/>
      <c r="R3155" s="411"/>
      <c r="T3155" s="134" t="s">
        <v>145</v>
      </c>
      <c r="U3155" s="267" t="s">
        <v>7216</v>
      </c>
      <c r="AA3155" s="227"/>
    </row>
    <row r="3156" spans="1:27" ht="24" x14ac:dyDescent="0.25">
      <c r="A3156" s="405">
        <v>3002436</v>
      </c>
      <c r="B3156" s="406">
        <v>42522</v>
      </c>
      <c r="C3156" s="405" t="s">
        <v>5682</v>
      </c>
      <c r="D3156" s="401" t="s">
        <v>7217</v>
      </c>
      <c r="E3156" s="120">
        <v>150</v>
      </c>
      <c r="F3156" s="133" t="s">
        <v>247</v>
      </c>
      <c r="G3156" s="404" t="s">
        <v>45</v>
      </c>
      <c r="H3156" s="411">
        <v>188.15</v>
      </c>
      <c r="I3156" s="94">
        <f t="shared" si="606"/>
        <v>-16.933499999999999</v>
      </c>
      <c r="J3156" s="391">
        <f t="shared" si="607"/>
        <v>-3.8748499999999999</v>
      </c>
      <c r="K3156" s="90">
        <f t="shared" si="608"/>
        <v>167.34164999999999</v>
      </c>
      <c r="L3156" s="131">
        <v>590</v>
      </c>
      <c r="M3156" s="187">
        <v>40.65</v>
      </c>
      <c r="N3156" s="91">
        <f t="shared" si="602"/>
        <v>129.15</v>
      </c>
      <c r="O3156" s="411">
        <f t="shared" si="609"/>
        <v>38.191649999999981</v>
      </c>
      <c r="P3156" s="132" t="s">
        <v>52</v>
      </c>
      <c r="Q3156" s="232"/>
      <c r="R3156" s="411"/>
      <c r="T3156" s="134" t="s">
        <v>145</v>
      </c>
      <c r="U3156" s="267" t="s">
        <v>7218</v>
      </c>
      <c r="AA3156" s="227"/>
    </row>
    <row r="3157" spans="1:27" ht="24" x14ac:dyDescent="0.25">
      <c r="A3157" s="405">
        <v>3002437</v>
      </c>
      <c r="B3157" s="406">
        <v>42522</v>
      </c>
      <c r="C3157" s="405" t="s">
        <v>42</v>
      </c>
      <c r="D3157" s="401" t="s">
        <v>7219</v>
      </c>
      <c r="E3157" s="120">
        <v>500</v>
      </c>
      <c r="F3157" s="133" t="s">
        <v>173</v>
      </c>
      <c r="G3157" s="404" t="s">
        <v>45</v>
      </c>
      <c r="H3157" s="411">
        <v>449.39</v>
      </c>
      <c r="I3157" s="94">
        <f t="shared" si="606"/>
        <v>-40.445099999999996</v>
      </c>
      <c r="J3157" s="391">
        <f t="shared" si="607"/>
        <v>-8.8384099999999997</v>
      </c>
      <c r="K3157" s="90">
        <f t="shared" si="608"/>
        <v>400.10648999999995</v>
      </c>
      <c r="L3157" s="131">
        <v>400</v>
      </c>
      <c r="M3157" s="187">
        <v>63.07</v>
      </c>
      <c r="N3157" s="91">
        <f t="shared" si="602"/>
        <v>263.07</v>
      </c>
      <c r="O3157" s="411">
        <f t="shared" si="609"/>
        <v>137.03648999999996</v>
      </c>
      <c r="P3157" s="132" t="s">
        <v>52</v>
      </c>
      <c r="Q3157" s="232"/>
      <c r="R3157" s="411">
        <v>33.29</v>
      </c>
      <c r="S3157" s="133" t="s">
        <v>4608</v>
      </c>
      <c r="T3157" s="134" t="s">
        <v>145</v>
      </c>
      <c r="U3157" s="267" t="s">
        <v>7220</v>
      </c>
      <c r="AA3157" s="227"/>
    </row>
    <row r="3158" spans="1:27" ht="24" x14ac:dyDescent="0.25">
      <c r="A3158" s="405">
        <v>3002438</v>
      </c>
      <c r="B3158" s="406">
        <v>42522</v>
      </c>
      <c r="C3158" s="405" t="s">
        <v>5682</v>
      </c>
      <c r="D3158" s="401" t="s">
        <v>7221</v>
      </c>
      <c r="E3158" s="120">
        <v>100</v>
      </c>
      <c r="F3158" s="133" t="s">
        <v>217</v>
      </c>
      <c r="G3158" s="404" t="s">
        <v>45</v>
      </c>
      <c r="H3158" s="411">
        <v>240</v>
      </c>
      <c r="I3158" s="94">
        <f t="shared" si="606"/>
        <v>-21.599999999999998</v>
      </c>
      <c r="J3158" s="391">
        <f t="shared" si="607"/>
        <v>-4.8599999999999994</v>
      </c>
      <c r="K3158" s="90">
        <f t="shared" si="608"/>
        <v>213.54000000000002</v>
      </c>
      <c r="L3158" s="131">
        <v>1322</v>
      </c>
      <c r="M3158" s="187">
        <v>27.98</v>
      </c>
      <c r="N3158" s="91">
        <f t="shared" si="602"/>
        <v>160.18</v>
      </c>
      <c r="O3158" s="411">
        <f t="shared" si="609"/>
        <v>53.360000000000014</v>
      </c>
      <c r="P3158" s="132" t="s">
        <v>52</v>
      </c>
      <c r="Q3158" s="232"/>
      <c r="R3158" s="411"/>
      <c r="T3158" s="134" t="s">
        <v>145</v>
      </c>
      <c r="U3158" s="267" t="s">
        <v>7222</v>
      </c>
      <c r="AA3158" s="227"/>
    </row>
    <row r="3159" spans="1:27" ht="24" x14ac:dyDescent="0.25">
      <c r="A3159" s="405">
        <v>3002439</v>
      </c>
      <c r="B3159" s="406">
        <v>42522</v>
      </c>
      <c r="C3159" s="405" t="s">
        <v>5682</v>
      </c>
      <c r="D3159" s="401" t="s">
        <v>7223</v>
      </c>
      <c r="E3159" s="120">
        <v>300</v>
      </c>
      <c r="F3159" s="133" t="s">
        <v>1547</v>
      </c>
      <c r="G3159" s="404" t="s">
        <v>45</v>
      </c>
      <c r="H3159" s="411">
        <v>287.51</v>
      </c>
      <c r="I3159" s="94">
        <f t="shared" si="606"/>
        <v>-25.875899999999998</v>
      </c>
      <c r="J3159" s="391">
        <f t="shared" si="607"/>
        <v>-5.7626899999999992</v>
      </c>
      <c r="K3159" s="90">
        <f t="shared" si="608"/>
        <v>255.87141</v>
      </c>
      <c r="L3159" s="131">
        <v>385</v>
      </c>
      <c r="M3159" s="187">
        <v>64.97</v>
      </c>
      <c r="N3159" s="91">
        <f t="shared" si="602"/>
        <v>180.47</v>
      </c>
      <c r="O3159" s="411">
        <f t="shared" si="609"/>
        <v>75.401409999999998</v>
      </c>
      <c r="P3159" s="132" t="s">
        <v>52</v>
      </c>
      <c r="Q3159" s="232"/>
      <c r="R3159" s="411"/>
      <c r="T3159" s="134" t="s">
        <v>145</v>
      </c>
      <c r="U3159" s="267" t="s">
        <v>7224</v>
      </c>
      <c r="AA3159" s="227"/>
    </row>
    <row r="3160" spans="1:27" ht="24" x14ac:dyDescent="0.25">
      <c r="A3160" s="405">
        <v>3002440</v>
      </c>
      <c r="B3160" s="406">
        <v>42522</v>
      </c>
      <c r="C3160" s="405" t="s">
        <v>5682</v>
      </c>
      <c r="D3160" s="401" t="s">
        <v>7225</v>
      </c>
      <c r="E3160" s="120">
        <v>125</v>
      </c>
      <c r="F3160" s="133" t="s">
        <v>247</v>
      </c>
      <c r="G3160" s="404" t="s">
        <v>45</v>
      </c>
      <c r="H3160" s="411">
        <v>154.22999999999999</v>
      </c>
      <c r="I3160" s="94">
        <f t="shared" si="606"/>
        <v>-13.880699999999999</v>
      </c>
      <c r="J3160" s="391">
        <f t="shared" si="607"/>
        <v>-3.2303699999999997</v>
      </c>
      <c r="K3160" s="90">
        <f t="shared" si="608"/>
        <v>137.11893000000001</v>
      </c>
      <c r="L3160" s="131">
        <v>590</v>
      </c>
      <c r="M3160" s="187">
        <v>35.76</v>
      </c>
      <c r="N3160" s="91">
        <f t="shared" si="602"/>
        <v>109.50999999999999</v>
      </c>
      <c r="O3160" s="411">
        <f t="shared" si="609"/>
        <v>27.608930000000015</v>
      </c>
      <c r="P3160" s="132" t="s">
        <v>52</v>
      </c>
      <c r="Q3160" s="232"/>
      <c r="R3160" s="411"/>
      <c r="T3160" s="134" t="s">
        <v>145</v>
      </c>
      <c r="U3160" s="267" t="s">
        <v>7226</v>
      </c>
      <c r="AA3160" s="227"/>
    </row>
    <row r="3161" spans="1:27" ht="24" x14ac:dyDescent="0.25">
      <c r="A3161" s="405">
        <v>3002441</v>
      </c>
      <c r="B3161" s="406">
        <v>42522</v>
      </c>
      <c r="C3161" s="405" t="s">
        <v>42</v>
      </c>
      <c r="D3161" s="401" t="s">
        <v>7227</v>
      </c>
      <c r="E3161" s="120">
        <v>100</v>
      </c>
      <c r="F3161" s="133" t="s">
        <v>4063</v>
      </c>
      <c r="G3161" s="404" t="s">
        <v>45</v>
      </c>
      <c r="H3161" s="411">
        <v>266.12</v>
      </c>
      <c r="I3161" s="94">
        <f t="shared" si="606"/>
        <v>-23.950800000000001</v>
      </c>
      <c r="J3161" s="391">
        <f t="shared" si="607"/>
        <v>-5.3562799999999999</v>
      </c>
      <c r="K3161" s="90">
        <f t="shared" si="608"/>
        <v>236.81291999999999</v>
      </c>
      <c r="L3161" s="131">
        <v>1237</v>
      </c>
      <c r="M3161" s="187">
        <v>26.92</v>
      </c>
      <c r="N3161" s="91">
        <f t="shared" si="602"/>
        <v>150.62</v>
      </c>
      <c r="O3161" s="411">
        <f t="shared" si="609"/>
        <v>86.192919999999987</v>
      </c>
      <c r="P3161" s="132" t="s">
        <v>52</v>
      </c>
      <c r="Q3161" s="232"/>
      <c r="R3161" s="411">
        <v>19.71</v>
      </c>
      <c r="S3161" s="133" t="s">
        <v>7228</v>
      </c>
      <c r="T3161" s="134" t="s">
        <v>145</v>
      </c>
      <c r="U3161" s="267" t="s">
        <v>7229</v>
      </c>
      <c r="AA3161" s="227"/>
    </row>
    <row r="3162" spans="1:27" ht="24" x14ac:dyDescent="0.25">
      <c r="A3162" s="405">
        <v>3002442</v>
      </c>
      <c r="B3162" s="406">
        <v>42522</v>
      </c>
      <c r="C3162" s="405" t="s">
        <v>5682</v>
      </c>
      <c r="D3162" s="401" t="s">
        <v>7230</v>
      </c>
      <c r="E3162" s="120">
        <v>150</v>
      </c>
      <c r="F3162" s="133" t="s">
        <v>431</v>
      </c>
      <c r="G3162" s="404" t="s">
        <v>45</v>
      </c>
      <c r="H3162" s="411">
        <v>307.8</v>
      </c>
      <c r="I3162" s="94">
        <f t="shared" si="606"/>
        <v>-27.702000000000002</v>
      </c>
      <c r="J3162" s="391">
        <f t="shared" si="607"/>
        <v>-6.1482000000000001</v>
      </c>
      <c r="K3162" s="90">
        <f t="shared" si="608"/>
        <v>273.94980000000004</v>
      </c>
      <c r="L3162" s="131">
        <v>990</v>
      </c>
      <c r="M3162" s="187">
        <v>33.159999999999997</v>
      </c>
      <c r="N3162" s="91">
        <f t="shared" si="602"/>
        <v>181.66</v>
      </c>
      <c r="O3162" s="411">
        <f t="shared" si="609"/>
        <v>92.289800000000042</v>
      </c>
      <c r="P3162" s="132" t="s">
        <v>52</v>
      </c>
      <c r="Q3162" s="232"/>
      <c r="R3162" s="411"/>
      <c r="T3162" s="134" t="s">
        <v>145</v>
      </c>
      <c r="U3162" s="267" t="s">
        <v>7231</v>
      </c>
      <c r="AA3162" s="227"/>
    </row>
    <row r="3163" spans="1:27" ht="24" x14ac:dyDescent="0.25">
      <c r="A3163" s="405">
        <v>3002443</v>
      </c>
      <c r="B3163" s="406">
        <v>42522</v>
      </c>
      <c r="C3163" s="405" t="s">
        <v>42</v>
      </c>
      <c r="D3163" s="401" t="s">
        <v>7232</v>
      </c>
      <c r="E3163" s="120">
        <v>50</v>
      </c>
      <c r="F3163" s="133" t="s">
        <v>3654</v>
      </c>
      <c r="G3163" s="404" t="s">
        <v>45</v>
      </c>
      <c r="H3163" s="411">
        <v>161.69999999999999</v>
      </c>
      <c r="I3163" s="94">
        <f t="shared" si="606"/>
        <v>-14.552999999999999</v>
      </c>
      <c r="J3163" s="391">
        <f t="shared" si="607"/>
        <v>-3.3722999999999996</v>
      </c>
      <c r="K3163" s="90">
        <f t="shared" si="608"/>
        <v>143.7747</v>
      </c>
      <c r="L3163" s="187">
        <v>2317</v>
      </c>
      <c r="M3163" s="187">
        <v>18.97</v>
      </c>
      <c r="N3163" s="91">
        <f t="shared" si="602"/>
        <v>134.82</v>
      </c>
      <c r="O3163" s="411">
        <f t="shared" si="609"/>
        <v>8.9547000000000025</v>
      </c>
      <c r="P3163" s="132" t="s">
        <v>601</v>
      </c>
      <c r="Q3163" s="232"/>
      <c r="R3163" s="411"/>
      <c r="T3163" s="134" t="s">
        <v>145</v>
      </c>
      <c r="U3163" s="267" t="s">
        <v>7233</v>
      </c>
      <c r="AA3163" s="227"/>
    </row>
    <row r="3164" spans="1:27" ht="24" x14ac:dyDescent="0.25">
      <c r="A3164" s="405">
        <v>3002444</v>
      </c>
      <c r="B3164" s="406">
        <v>42522</v>
      </c>
      <c r="C3164" s="405" t="s">
        <v>5682</v>
      </c>
      <c r="D3164" s="401" t="s">
        <v>7234</v>
      </c>
      <c r="E3164" s="120">
        <v>35</v>
      </c>
      <c r="F3164" s="133" t="s">
        <v>4063</v>
      </c>
      <c r="G3164" s="404" t="s">
        <v>45</v>
      </c>
      <c r="H3164" s="411">
        <v>87.12</v>
      </c>
      <c r="I3164" s="94">
        <f t="shared" si="606"/>
        <v>-7.8407999999999998</v>
      </c>
      <c r="J3164" s="391">
        <f t="shared" si="607"/>
        <v>-1.9552800000000001</v>
      </c>
      <c r="K3164" s="90">
        <f t="shared" si="608"/>
        <v>77.323920000000001</v>
      </c>
      <c r="L3164" s="131">
        <v>1237</v>
      </c>
      <c r="M3164" s="187">
        <v>22.58</v>
      </c>
      <c r="N3164" s="91">
        <f t="shared" si="602"/>
        <v>65.875</v>
      </c>
      <c r="O3164" s="411">
        <f t="shared" si="609"/>
        <v>11.448920000000001</v>
      </c>
      <c r="P3164" s="132" t="s">
        <v>52</v>
      </c>
      <c r="Q3164" s="232"/>
      <c r="R3164" s="411"/>
      <c r="T3164" s="134" t="s">
        <v>145</v>
      </c>
      <c r="U3164" s="267" t="s">
        <v>7235</v>
      </c>
      <c r="AA3164" s="227"/>
    </row>
    <row r="3165" spans="1:27" ht="24" x14ac:dyDescent="0.25">
      <c r="A3165" s="405">
        <v>3002445</v>
      </c>
      <c r="B3165" s="406">
        <v>42522</v>
      </c>
      <c r="C3165" s="405" t="s">
        <v>5682</v>
      </c>
      <c r="D3165" s="401" t="s">
        <v>7236</v>
      </c>
      <c r="E3165" s="120">
        <v>175</v>
      </c>
      <c r="F3165" s="133" t="s">
        <v>829</v>
      </c>
      <c r="G3165" s="404" t="s">
        <v>45</v>
      </c>
      <c r="H3165" s="411">
        <v>184.48</v>
      </c>
      <c r="I3165" s="94">
        <f t="shared" si="606"/>
        <v>-16.603199999999998</v>
      </c>
      <c r="J3165" s="391">
        <f t="shared" si="607"/>
        <v>-3.8051199999999996</v>
      </c>
      <c r="K3165" s="90">
        <f t="shared" si="608"/>
        <v>164.07168000000001</v>
      </c>
      <c r="L3165" s="131">
        <v>510</v>
      </c>
      <c r="M3165" s="187">
        <v>58.73</v>
      </c>
      <c r="N3165" s="91">
        <f t="shared" si="602"/>
        <v>147.98000000000002</v>
      </c>
      <c r="O3165" s="411">
        <f t="shared" si="609"/>
        <v>16.091679999999997</v>
      </c>
      <c r="P3165" s="132" t="s">
        <v>52</v>
      </c>
      <c r="Q3165" s="232"/>
      <c r="R3165" s="411"/>
      <c r="T3165" s="134" t="s">
        <v>145</v>
      </c>
      <c r="U3165" s="267" t="s">
        <v>7237</v>
      </c>
      <c r="AA3165" s="227"/>
    </row>
    <row r="3166" spans="1:27" ht="24" x14ac:dyDescent="0.25">
      <c r="A3166" s="405">
        <v>3002446</v>
      </c>
      <c r="B3166" s="406">
        <v>42522</v>
      </c>
      <c r="C3166" s="405" t="s">
        <v>5682</v>
      </c>
      <c r="D3166" s="401" t="s">
        <v>7238</v>
      </c>
      <c r="E3166" s="120">
        <v>140</v>
      </c>
      <c r="F3166" s="133" t="s">
        <v>247</v>
      </c>
      <c r="G3166" s="404" t="s">
        <v>45</v>
      </c>
      <c r="H3166" s="411">
        <v>145.6</v>
      </c>
      <c r="I3166" s="94">
        <f t="shared" si="606"/>
        <v>-13.103999999999999</v>
      </c>
      <c r="J3166" s="391">
        <f t="shared" si="607"/>
        <v>-3.0663999999999998</v>
      </c>
      <c r="K3166" s="90">
        <f t="shared" si="608"/>
        <v>129.42959999999999</v>
      </c>
      <c r="L3166" s="131">
        <v>590</v>
      </c>
      <c r="M3166" s="187">
        <v>44.08</v>
      </c>
      <c r="N3166" s="91">
        <f t="shared" si="602"/>
        <v>126.68</v>
      </c>
      <c r="O3166" s="411">
        <f t="shared" si="609"/>
        <v>2.7495999999999867</v>
      </c>
      <c r="P3166" s="132" t="s">
        <v>52</v>
      </c>
      <c r="Q3166" s="232"/>
      <c r="R3166" s="411"/>
      <c r="T3166" s="134" t="s">
        <v>145</v>
      </c>
      <c r="U3166" s="267" t="s">
        <v>7239</v>
      </c>
      <c r="AA3166" s="227"/>
    </row>
    <row r="3167" spans="1:27" ht="24" x14ac:dyDescent="0.25">
      <c r="A3167" s="405">
        <v>3002447</v>
      </c>
      <c r="B3167" s="406">
        <v>42522</v>
      </c>
      <c r="C3167" s="405" t="s">
        <v>237</v>
      </c>
      <c r="D3167" s="401" t="s">
        <v>7240</v>
      </c>
      <c r="E3167" s="120">
        <v>100</v>
      </c>
      <c r="F3167" s="133" t="s">
        <v>3299</v>
      </c>
      <c r="G3167" s="404" t="s">
        <v>45</v>
      </c>
      <c r="H3167" s="411">
        <v>129.97</v>
      </c>
      <c r="I3167" s="397">
        <f t="shared" ref="I3167:I3170" si="610">-(H3167*0.15)</f>
        <v>-19.4955</v>
      </c>
      <c r="J3167" s="411">
        <v>0</v>
      </c>
      <c r="K3167" s="90">
        <f t="shared" si="608"/>
        <v>110.47450000000001</v>
      </c>
      <c r="L3167" s="187">
        <v>775</v>
      </c>
      <c r="M3167" s="187">
        <f>49.6+32.92</f>
        <v>82.52000000000001</v>
      </c>
      <c r="N3167" s="91">
        <f t="shared" si="602"/>
        <v>160.02000000000001</v>
      </c>
      <c r="O3167" s="411">
        <f t="shared" si="609"/>
        <v>-49.545500000000004</v>
      </c>
      <c r="P3167" s="132" t="s">
        <v>601</v>
      </c>
      <c r="Q3167" s="232"/>
      <c r="R3167" s="411"/>
      <c r="T3167" s="134" t="s">
        <v>145</v>
      </c>
      <c r="U3167" s="267" t="s">
        <v>7241</v>
      </c>
      <c r="AA3167" s="227"/>
    </row>
    <row r="3168" spans="1:27" ht="24" x14ac:dyDescent="0.25">
      <c r="A3168" s="405">
        <v>3002448</v>
      </c>
      <c r="B3168" s="406">
        <v>42522</v>
      </c>
      <c r="C3168" s="405" t="s">
        <v>237</v>
      </c>
      <c r="D3168" s="401" t="s">
        <v>7242</v>
      </c>
      <c r="E3168" s="120">
        <v>250</v>
      </c>
      <c r="F3168" s="133" t="s">
        <v>877</v>
      </c>
      <c r="G3168" s="404" t="s">
        <v>45</v>
      </c>
      <c r="H3168" s="411">
        <v>171.16</v>
      </c>
      <c r="I3168" s="397">
        <f t="shared" si="610"/>
        <v>-25.673999999999999</v>
      </c>
      <c r="J3168" s="411">
        <v>0</v>
      </c>
      <c r="K3168" s="90">
        <f t="shared" si="608"/>
        <v>145.48599999999999</v>
      </c>
      <c r="L3168" s="131">
        <v>235</v>
      </c>
      <c r="M3168" s="187">
        <v>43.31</v>
      </c>
      <c r="N3168" s="91">
        <f t="shared" si="602"/>
        <v>102.06</v>
      </c>
      <c r="O3168" s="411">
        <f t="shared" si="609"/>
        <v>43.425999999999988</v>
      </c>
      <c r="P3168" s="132" t="s">
        <v>52</v>
      </c>
      <c r="Q3168" s="232"/>
      <c r="R3168" s="411"/>
      <c r="T3168" s="134" t="s">
        <v>145</v>
      </c>
      <c r="U3168" s="267" t="s">
        <v>7243</v>
      </c>
      <c r="AA3168" s="227"/>
    </row>
    <row r="3169" spans="1:27" ht="24" x14ac:dyDescent="0.25">
      <c r="A3169" s="405">
        <v>3002449</v>
      </c>
      <c r="B3169" s="406">
        <v>42522</v>
      </c>
      <c r="C3169" s="405" t="s">
        <v>237</v>
      </c>
      <c r="D3169" s="401" t="s">
        <v>7244</v>
      </c>
      <c r="E3169" s="120">
        <v>250</v>
      </c>
      <c r="F3169" s="133" t="s">
        <v>1472</v>
      </c>
      <c r="G3169" s="404" t="s">
        <v>45</v>
      </c>
      <c r="H3169" s="411">
        <v>103.49</v>
      </c>
      <c r="I3169" s="397">
        <f t="shared" si="610"/>
        <v>-15.523499999999999</v>
      </c>
      <c r="J3169" s="411">
        <v>0</v>
      </c>
      <c r="K3169" s="90">
        <f t="shared" si="608"/>
        <v>87.966499999999996</v>
      </c>
      <c r="L3169" s="131">
        <v>210</v>
      </c>
      <c r="M3169" s="187">
        <v>32.32</v>
      </c>
      <c r="N3169" s="91">
        <f t="shared" si="602"/>
        <v>84.82</v>
      </c>
      <c r="O3169" s="411">
        <f t="shared" si="609"/>
        <v>3.1465000000000032</v>
      </c>
      <c r="P3169" s="132" t="s">
        <v>52</v>
      </c>
      <c r="Q3169" s="232"/>
      <c r="R3169" s="411"/>
      <c r="T3169" s="134" t="s">
        <v>145</v>
      </c>
      <c r="U3169" s="267" t="s">
        <v>7245</v>
      </c>
      <c r="AA3169" s="227"/>
    </row>
    <row r="3170" spans="1:27" ht="24" x14ac:dyDescent="0.25">
      <c r="A3170" s="405">
        <v>3002450</v>
      </c>
      <c r="B3170" s="406">
        <v>42522</v>
      </c>
      <c r="C3170" s="405" t="s">
        <v>237</v>
      </c>
      <c r="D3170" s="401" t="s">
        <v>7246</v>
      </c>
      <c r="E3170" s="120">
        <v>100</v>
      </c>
      <c r="F3170" s="133" t="s">
        <v>217</v>
      </c>
      <c r="G3170" s="404" t="s">
        <v>45</v>
      </c>
      <c r="H3170" s="411">
        <v>260</v>
      </c>
      <c r="I3170" s="397">
        <f t="shared" si="610"/>
        <v>-39</v>
      </c>
      <c r="J3170" s="411">
        <v>0</v>
      </c>
      <c r="K3170" s="90">
        <f t="shared" si="608"/>
        <v>221</v>
      </c>
      <c r="L3170" s="131">
        <v>1322</v>
      </c>
      <c r="M3170" s="187">
        <v>43.79</v>
      </c>
      <c r="N3170" s="91">
        <f t="shared" si="602"/>
        <v>175.99</v>
      </c>
      <c r="O3170" s="411">
        <f t="shared" si="609"/>
        <v>45.009999999999991</v>
      </c>
      <c r="P3170" s="132" t="s">
        <v>52</v>
      </c>
      <c r="Q3170" s="232"/>
      <c r="R3170" s="411"/>
      <c r="T3170" s="134" t="s">
        <v>145</v>
      </c>
      <c r="U3170" s="267" t="s">
        <v>7247</v>
      </c>
      <c r="AA3170" s="227"/>
    </row>
    <row r="3171" spans="1:27" ht="24" x14ac:dyDescent="0.25">
      <c r="A3171" s="405">
        <v>3002451</v>
      </c>
      <c r="B3171" s="406">
        <v>42522</v>
      </c>
      <c r="C3171" s="405" t="s">
        <v>63</v>
      </c>
      <c r="D3171" s="401" t="s">
        <v>3790</v>
      </c>
      <c r="E3171" s="120">
        <v>60</v>
      </c>
      <c r="F3171" s="133" t="s">
        <v>5922</v>
      </c>
      <c r="G3171" s="404" t="s">
        <v>45</v>
      </c>
      <c r="H3171" s="411">
        <v>163.32</v>
      </c>
      <c r="I3171" s="411">
        <v>0</v>
      </c>
      <c r="J3171" s="391">
        <f>-((H3171*0.022)+0.3)</f>
        <v>-3.8930399999999996</v>
      </c>
      <c r="K3171" s="90">
        <f t="shared" si="608"/>
        <v>159.42695999999998</v>
      </c>
      <c r="M3171" s="187">
        <v>24.41</v>
      </c>
      <c r="N3171" s="91">
        <f t="shared" si="602"/>
        <v>24.41</v>
      </c>
      <c r="O3171" s="411">
        <f t="shared" si="609"/>
        <v>135.01695999999998</v>
      </c>
      <c r="P3171" s="132" t="s">
        <v>52</v>
      </c>
      <c r="Q3171" s="232"/>
      <c r="R3171" s="411"/>
      <c r="T3171" s="134" t="s">
        <v>145</v>
      </c>
      <c r="U3171" s="267" t="s">
        <v>7248</v>
      </c>
      <c r="W3171" s="153" t="s">
        <v>3795</v>
      </c>
      <c r="AA3171" s="227"/>
    </row>
    <row r="3172" spans="1:27" x14ac:dyDescent="0.25">
      <c r="A3172" s="405">
        <v>3002452</v>
      </c>
      <c r="B3172" s="406">
        <v>42522</v>
      </c>
      <c r="C3172" s="405" t="s">
        <v>327</v>
      </c>
      <c r="D3172" s="401" t="s">
        <v>7249</v>
      </c>
      <c r="E3172" s="120">
        <v>1102</v>
      </c>
      <c r="F3172" s="133" t="s">
        <v>605</v>
      </c>
      <c r="G3172" s="404" t="s">
        <v>45</v>
      </c>
      <c r="H3172" s="411">
        <v>1146.08</v>
      </c>
      <c r="I3172" s="411">
        <v>0</v>
      </c>
      <c r="J3172" s="391">
        <f>-((H3172*0.022)+0.3)</f>
        <v>-25.513759999999998</v>
      </c>
      <c r="K3172" s="90">
        <f t="shared" si="608"/>
        <v>1120.5662399999999</v>
      </c>
      <c r="L3172" s="131">
        <v>600</v>
      </c>
      <c r="M3172" s="187">
        <v>165.93</v>
      </c>
      <c r="N3172" s="91">
        <f t="shared" si="602"/>
        <v>827.13000000000011</v>
      </c>
      <c r="O3172" s="411">
        <f t="shared" si="609"/>
        <v>293.43623999999977</v>
      </c>
      <c r="P3172" s="132" t="s">
        <v>52</v>
      </c>
      <c r="Q3172" s="232"/>
      <c r="R3172" s="411"/>
      <c r="T3172" s="134" t="s">
        <v>97</v>
      </c>
      <c r="U3172" s="267" t="s">
        <v>7250</v>
      </c>
      <c r="V3172" s="133" t="s">
        <v>55</v>
      </c>
      <c r="W3172" s="153" t="s">
        <v>7251</v>
      </c>
      <c r="AA3172" s="218">
        <v>10</v>
      </c>
    </row>
    <row r="3173" spans="1:27" x14ac:dyDescent="0.25">
      <c r="A3173" s="405">
        <v>3002453</v>
      </c>
      <c r="B3173" s="406">
        <v>42522</v>
      </c>
      <c r="C3173" s="405" t="s">
        <v>63</v>
      </c>
      <c r="D3173" s="401" t="s">
        <v>7252</v>
      </c>
      <c r="E3173" s="120">
        <v>1000</v>
      </c>
      <c r="F3173" s="133" t="s">
        <v>7253</v>
      </c>
      <c r="G3173" s="404" t="s">
        <v>45</v>
      </c>
      <c r="H3173" s="411">
        <v>2750</v>
      </c>
      <c r="I3173" s="411">
        <v>0</v>
      </c>
      <c r="J3173" s="391">
        <f>-((H3173*0.022)+0.3)</f>
        <v>-60.8</v>
      </c>
      <c r="K3173" s="90">
        <f t="shared" si="608"/>
        <v>2689.2</v>
      </c>
      <c r="L3173" s="187">
        <v>1700</v>
      </c>
      <c r="N3173" s="91">
        <f t="shared" si="602"/>
        <v>1700</v>
      </c>
      <c r="O3173" s="411">
        <f t="shared" si="609"/>
        <v>989.19999999999982</v>
      </c>
      <c r="P3173" s="132" t="s">
        <v>235</v>
      </c>
      <c r="Q3173" s="232"/>
      <c r="R3173" s="411"/>
      <c r="T3173" s="134" t="s">
        <v>364</v>
      </c>
      <c r="U3173" s="266">
        <v>105990681</v>
      </c>
      <c r="W3173" s="153" t="s">
        <v>7147</v>
      </c>
      <c r="AA3173" s="218"/>
    </row>
    <row r="3174" spans="1:27" x14ac:dyDescent="0.25">
      <c r="A3174" s="405">
        <v>3002454</v>
      </c>
      <c r="B3174" s="406">
        <v>42522</v>
      </c>
      <c r="C3174" s="405" t="s">
        <v>327</v>
      </c>
      <c r="D3174" s="401" t="s">
        <v>7254</v>
      </c>
      <c r="E3174" s="120">
        <v>550</v>
      </c>
      <c r="F3174" s="133" t="s">
        <v>2361</v>
      </c>
      <c r="G3174" s="404" t="s">
        <v>45</v>
      </c>
      <c r="H3174" s="411">
        <v>704</v>
      </c>
      <c r="I3174" s="411">
        <v>0</v>
      </c>
      <c r="J3174" s="391">
        <f>-((H3174*0.022)+0.3)</f>
        <v>-15.788</v>
      </c>
      <c r="K3174" s="90">
        <f t="shared" si="608"/>
        <v>688.21199999999999</v>
      </c>
      <c r="M3174" s="187">
        <v>200.79</v>
      </c>
      <c r="N3174" s="91">
        <f t="shared" si="602"/>
        <v>200.79</v>
      </c>
      <c r="O3174" s="411">
        <f t="shared" si="609"/>
        <v>487.42200000000003</v>
      </c>
      <c r="P3174" s="132" t="s">
        <v>86</v>
      </c>
      <c r="Q3174" s="232"/>
      <c r="R3174" s="411"/>
      <c r="T3174" s="134" t="s">
        <v>244</v>
      </c>
      <c r="U3174" s="267" t="s">
        <v>7255</v>
      </c>
      <c r="V3174" s="133" t="s">
        <v>55</v>
      </c>
      <c r="W3174" s="153" t="s">
        <v>7256</v>
      </c>
      <c r="AA3174" s="218"/>
    </row>
    <row r="3175" spans="1:27" ht="24" x14ac:dyDescent="0.25">
      <c r="A3175" s="405">
        <v>3002455</v>
      </c>
      <c r="B3175" s="406">
        <v>42522</v>
      </c>
      <c r="C3175" s="405" t="s">
        <v>141</v>
      </c>
      <c r="D3175" s="401" t="s">
        <v>7257</v>
      </c>
      <c r="E3175" s="120">
        <v>250</v>
      </c>
      <c r="F3175" s="133" t="s">
        <v>1472</v>
      </c>
      <c r="G3175" s="404" t="s">
        <v>45</v>
      </c>
      <c r="H3175" s="411">
        <v>123.5</v>
      </c>
      <c r="I3175" s="411">
        <v>0</v>
      </c>
      <c r="J3175" s="391">
        <f>-((H3175*0.0325)+0.3)</f>
        <v>-4.3137499999999998</v>
      </c>
      <c r="K3175" s="90">
        <f t="shared" si="608"/>
        <v>119.18625</v>
      </c>
      <c r="L3175" s="131">
        <v>210</v>
      </c>
      <c r="M3175" s="187">
        <v>14.96</v>
      </c>
      <c r="N3175" s="91">
        <f t="shared" si="602"/>
        <v>67.460000000000008</v>
      </c>
      <c r="O3175" s="411">
        <f t="shared" si="609"/>
        <v>51.726249999999993</v>
      </c>
      <c r="P3175" s="132" t="s">
        <v>52</v>
      </c>
      <c r="Q3175" s="232"/>
      <c r="R3175" s="411"/>
      <c r="T3175" s="134" t="s">
        <v>145</v>
      </c>
      <c r="U3175" s="267" t="s">
        <v>7258</v>
      </c>
      <c r="W3175" s="153" t="s">
        <v>4585</v>
      </c>
      <c r="AA3175" s="218"/>
    </row>
    <row r="3176" spans="1:27" x14ac:dyDescent="0.25">
      <c r="A3176" s="405">
        <v>3002456</v>
      </c>
      <c r="B3176" s="406">
        <v>42522</v>
      </c>
      <c r="C3176" s="405" t="s">
        <v>141</v>
      </c>
      <c r="D3176" s="401" t="s">
        <v>7259</v>
      </c>
      <c r="E3176" s="120">
        <v>750</v>
      </c>
      <c r="F3176" s="133" t="s">
        <v>582</v>
      </c>
      <c r="G3176" s="404" t="s">
        <v>45</v>
      </c>
      <c r="H3176" s="411">
        <v>698.5</v>
      </c>
      <c r="I3176" s="411">
        <v>0</v>
      </c>
      <c r="J3176" s="391">
        <f>-((H3176*0.0325)+0.3)</f>
        <v>-23.001250000000002</v>
      </c>
      <c r="K3176" s="90">
        <f t="shared" si="608"/>
        <v>675.49874999999997</v>
      </c>
      <c r="M3176" s="187">
        <v>113.93</v>
      </c>
      <c r="N3176" s="91">
        <f t="shared" si="602"/>
        <v>113.93</v>
      </c>
      <c r="O3176" s="411">
        <f t="shared" si="609"/>
        <v>561.56874999999991</v>
      </c>
      <c r="P3176" s="132" t="s">
        <v>52</v>
      </c>
      <c r="Q3176" s="232"/>
      <c r="R3176" s="411"/>
      <c r="T3176" s="134" t="s">
        <v>7260</v>
      </c>
      <c r="U3176" s="266" t="s">
        <v>7261</v>
      </c>
      <c r="V3176" s="133" t="s">
        <v>55</v>
      </c>
      <c r="W3176" s="153" t="s">
        <v>7262</v>
      </c>
      <c r="AA3176" s="218"/>
    </row>
    <row r="3177" spans="1:27" ht="24" x14ac:dyDescent="0.25">
      <c r="A3177" s="405">
        <v>3002457</v>
      </c>
      <c r="B3177" s="406">
        <v>42522</v>
      </c>
      <c r="C3177" s="405" t="s">
        <v>5682</v>
      </c>
      <c r="D3177" s="401" t="s">
        <v>7263</v>
      </c>
      <c r="E3177" s="120">
        <v>250</v>
      </c>
      <c r="F3177" s="133" t="s">
        <v>7264</v>
      </c>
      <c r="G3177" s="404" t="s">
        <v>45</v>
      </c>
      <c r="H3177" s="411">
        <v>211.61</v>
      </c>
      <c r="I3177" s="94">
        <f t="shared" ref="I3177:I3183" si="611">-(H3177*0.09)</f>
        <v>-19.044900000000002</v>
      </c>
      <c r="J3177" s="391">
        <f t="shared" ref="J3177:J3183" si="612">-((H3177*0.019)+0.3)</f>
        <v>-4.3205900000000002</v>
      </c>
      <c r="K3177" s="90">
        <f t="shared" si="608"/>
        <v>188.24450999999999</v>
      </c>
      <c r="M3177" s="187">
        <v>38.04</v>
      </c>
      <c r="N3177" s="91">
        <f t="shared" si="602"/>
        <v>38.04</v>
      </c>
      <c r="O3177" s="411">
        <f t="shared" si="609"/>
        <v>150.20451</v>
      </c>
      <c r="P3177" s="132" t="s">
        <v>52</v>
      </c>
      <c r="Q3177" s="232"/>
      <c r="R3177" s="411"/>
      <c r="T3177" s="134" t="s">
        <v>145</v>
      </c>
      <c r="U3177" s="267" t="s">
        <v>7265</v>
      </c>
      <c r="AA3177" s="218"/>
    </row>
    <row r="3178" spans="1:27" ht="24" x14ac:dyDescent="0.25">
      <c r="A3178" s="405">
        <v>3002458</v>
      </c>
      <c r="B3178" s="406">
        <v>42522</v>
      </c>
      <c r="C3178" s="405" t="s">
        <v>5682</v>
      </c>
      <c r="D3178" s="401" t="s">
        <v>7266</v>
      </c>
      <c r="E3178" s="120">
        <v>100</v>
      </c>
      <c r="F3178" s="133" t="s">
        <v>1991</v>
      </c>
      <c r="G3178" s="404" t="s">
        <v>45</v>
      </c>
      <c r="H3178" s="411">
        <v>576.65</v>
      </c>
      <c r="I3178" s="94">
        <f t="shared" si="611"/>
        <v>-51.898499999999999</v>
      </c>
      <c r="J3178" s="391">
        <f t="shared" si="612"/>
        <v>-11.256349999999999</v>
      </c>
      <c r="K3178" s="90">
        <f t="shared" si="608"/>
        <v>513.49514999999997</v>
      </c>
      <c r="L3178" s="187">
        <v>3100</v>
      </c>
      <c r="M3178" s="187">
        <v>73.959999999999994</v>
      </c>
      <c r="N3178" s="91">
        <f t="shared" si="602"/>
        <v>383.96</v>
      </c>
      <c r="O3178" s="411">
        <f t="shared" si="609"/>
        <v>129.53514999999999</v>
      </c>
      <c r="P3178" s="132" t="s">
        <v>183</v>
      </c>
      <c r="Q3178" s="232"/>
      <c r="R3178" s="411"/>
      <c r="T3178" s="134" t="s">
        <v>145</v>
      </c>
      <c r="U3178" s="267" t="s">
        <v>7267</v>
      </c>
      <c r="V3178" s="133" t="s">
        <v>6192</v>
      </c>
      <c r="AA3178" s="218"/>
    </row>
    <row r="3179" spans="1:27" ht="24" x14ac:dyDescent="0.25">
      <c r="A3179" s="405">
        <v>3002459</v>
      </c>
      <c r="B3179" s="406">
        <v>42522</v>
      </c>
      <c r="C3179" s="405" t="s">
        <v>5682</v>
      </c>
      <c r="D3179" s="401" t="s">
        <v>7268</v>
      </c>
      <c r="E3179" s="120">
        <v>100</v>
      </c>
      <c r="F3179" s="133" t="s">
        <v>6474</v>
      </c>
      <c r="G3179" s="404" t="s">
        <v>45</v>
      </c>
      <c r="H3179" s="411">
        <v>125.28</v>
      </c>
      <c r="I3179" s="94">
        <f t="shared" si="611"/>
        <v>-11.2752</v>
      </c>
      <c r="J3179" s="391">
        <f t="shared" si="612"/>
        <v>-2.6803199999999996</v>
      </c>
      <c r="K3179" s="90">
        <f t="shared" si="608"/>
        <v>111.32448000000001</v>
      </c>
      <c r="L3179" s="187">
        <v>800</v>
      </c>
      <c r="M3179" s="187">
        <v>37.26</v>
      </c>
      <c r="N3179" s="91">
        <f t="shared" si="602"/>
        <v>117.25999999999999</v>
      </c>
      <c r="O3179" s="411">
        <f t="shared" si="609"/>
        <v>-5.9355199999999826</v>
      </c>
      <c r="P3179" s="132" t="s">
        <v>235</v>
      </c>
      <c r="Q3179" s="232"/>
      <c r="R3179" s="411"/>
      <c r="T3179" s="134" t="s">
        <v>145</v>
      </c>
      <c r="U3179" s="267" t="s">
        <v>7269</v>
      </c>
      <c r="AA3179" s="218"/>
    </row>
    <row r="3180" spans="1:27" ht="24" x14ac:dyDescent="0.25">
      <c r="A3180" s="405">
        <v>3002460</v>
      </c>
      <c r="B3180" s="406">
        <v>42522</v>
      </c>
      <c r="C3180" s="405" t="s">
        <v>5682</v>
      </c>
      <c r="D3180" s="401" t="s">
        <v>7270</v>
      </c>
      <c r="E3180" s="120">
        <v>250</v>
      </c>
      <c r="F3180" s="133" t="s">
        <v>1137</v>
      </c>
      <c r="G3180" s="404" t="s">
        <v>45</v>
      </c>
      <c r="H3180" s="411">
        <v>133</v>
      </c>
      <c r="I3180" s="94">
        <f t="shared" si="611"/>
        <v>-11.969999999999999</v>
      </c>
      <c r="J3180" s="391">
        <f t="shared" si="612"/>
        <v>-2.827</v>
      </c>
      <c r="K3180" s="90">
        <f t="shared" si="608"/>
        <v>118.203</v>
      </c>
      <c r="L3180" s="131">
        <v>220</v>
      </c>
      <c r="M3180" s="131">
        <v>24.52</v>
      </c>
      <c r="N3180" s="91">
        <f t="shared" si="602"/>
        <v>79.52</v>
      </c>
      <c r="O3180" s="411">
        <f t="shared" si="609"/>
        <v>38.683000000000007</v>
      </c>
      <c r="P3180" s="132" t="s">
        <v>183</v>
      </c>
      <c r="Q3180" s="232"/>
      <c r="R3180" s="411"/>
      <c r="T3180" s="134" t="s">
        <v>324</v>
      </c>
      <c r="U3180" s="267" t="s">
        <v>7271</v>
      </c>
      <c r="AA3180" s="218"/>
    </row>
    <row r="3181" spans="1:27" ht="24" x14ac:dyDescent="0.25">
      <c r="A3181" s="405">
        <v>3002461</v>
      </c>
      <c r="B3181" s="406">
        <v>42522</v>
      </c>
      <c r="C3181" s="405" t="s">
        <v>5682</v>
      </c>
      <c r="D3181" s="401" t="s">
        <v>7272</v>
      </c>
      <c r="E3181" s="120">
        <v>230</v>
      </c>
      <c r="F3181" s="133" t="s">
        <v>247</v>
      </c>
      <c r="G3181" s="404" t="s">
        <v>45</v>
      </c>
      <c r="H3181" s="411">
        <v>262.2</v>
      </c>
      <c r="I3181" s="94">
        <f t="shared" si="611"/>
        <v>-23.597999999999999</v>
      </c>
      <c r="J3181" s="391">
        <f t="shared" si="612"/>
        <v>-5.2817999999999996</v>
      </c>
      <c r="K3181" s="90">
        <f t="shared" si="608"/>
        <v>233.32019999999997</v>
      </c>
      <c r="L3181" s="131">
        <v>590</v>
      </c>
      <c r="M3181" s="187">
        <v>46.7</v>
      </c>
      <c r="N3181" s="91">
        <f t="shared" si="602"/>
        <v>182.40000000000003</v>
      </c>
      <c r="O3181" s="411">
        <f t="shared" si="609"/>
        <v>50.920199999999937</v>
      </c>
      <c r="P3181" s="132" t="s">
        <v>52</v>
      </c>
      <c r="Q3181" s="232"/>
      <c r="R3181" s="411"/>
      <c r="T3181" s="134" t="s">
        <v>145</v>
      </c>
      <c r="U3181" s="267" t="s">
        <v>7273</v>
      </c>
      <c r="AA3181" s="218"/>
    </row>
    <row r="3182" spans="1:27" ht="24" x14ac:dyDescent="0.25">
      <c r="A3182" s="405">
        <v>3002462</v>
      </c>
      <c r="B3182" s="406">
        <v>42522</v>
      </c>
      <c r="C3182" s="405" t="s">
        <v>5682</v>
      </c>
      <c r="D3182" s="401" t="s">
        <v>7274</v>
      </c>
      <c r="E3182" s="120">
        <v>100</v>
      </c>
      <c r="F3182" s="133" t="s">
        <v>247</v>
      </c>
      <c r="G3182" s="404" t="s">
        <v>45</v>
      </c>
      <c r="H3182" s="411">
        <v>114</v>
      </c>
      <c r="I3182" s="94">
        <f t="shared" si="611"/>
        <v>-10.26</v>
      </c>
      <c r="J3182" s="391">
        <f t="shared" si="612"/>
        <v>-2.4659999999999997</v>
      </c>
      <c r="K3182" s="90">
        <f t="shared" si="608"/>
        <v>101.274</v>
      </c>
      <c r="L3182" s="131">
        <v>590</v>
      </c>
      <c r="M3182" s="187">
        <v>39.01</v>
      </c>
      <c r="N3182" s="91">
        <f t="shared" si="602"/>
        <v>98.009999999999991</v>
      </c>
      <c r="O3182" s="411">
        <f t="shared" si="609"/>
        <v>3.26400000000001</v>
      </c>
      <c r="P3182" s="132" t="s">
        <v>52</v>
      </c>
      <c r="Q3182" s="232"/>
      <c r="R3182" s="411"/>
      <c r="T3182" s="134" t="s">
        <v>145</v>
      </c>
      <c r="U3182" s="267" t="s">
        <v>7275</v>
      </c>
      <c r="AA3182" s="218"/>
    </row>
    <row r="3183" spans="1:27" ht="24" x14ac:dyDescent="0.25">
      <c r="A3183" s="405">
        <v>3002463</v>
      </c>
      <c r="B3183" s="406">
        <v>42522</v>
      </c>
      <c r="C3183" s="405" t="s">
        <v>5682</v>
      </c>
      <c r="D3183" s="401" t="s">
        <v>7276</v>
      </c>
      <c r="E3183" s="120">
        <v>100</v>
      </c>
      <c r="F3183" s="133" t="s">
        <v>217</v>
      </c>
      <c r="G3183" s="404" t="s">
        <v>45</v>
      </c>
      <c r="H3183" s="411">
        <v>240</v>
      </c>
      <c r="I3183" s="94">
        <f t="shared" si="611"/>
        <v>-21.599999999999998</v>
      </c>
      <c r="J3183" s="391">
        <f t="shared" si="612"/>
        <v>-4.8599999999999994</v>
      </c>
      <c r="K3183" s="90">
        <f t="shared" si="608"/>
        <v>213.54000000000002</v>
      </c>
      <c r="L3183" s="131">
        <v>1322</v>
      </c>
      <c r="M3183" s="187">
        <v>36.979999999999997</v>
      </c>
      <c r="N3183" s="91">
        <f t="shared" si="602"/>
        <v>169.18</v>
      </c>
      <c r="O3183" s="411">
        <f t="shared" si="609"/>
        <v>44.360000000000014</v>
      </c>
      <c r="P3183" s="132" t="s">
        <v>52</v>
      </c>
      <c r="Q3183" s="232"/>
      <c r="R3183" s="411"/>
      <c r="T3183" s="134" t="s">
        <v>145</v>
      </c>
      <c r="U3183" s="267" t="s">
        <v>7277</v>
      </c>
      <c r="AA3183" s="218"/>
    </row>
    <row r="3184" spans="1:27" ht="24" x14ac:dyDescent="0.25">
      <c r="A3184" s="405">
        <v>3002464</v>
      </c>
      <c r="B3184" s="406">
        <v>42522</v>
      </c>
      <c r="C3184" s="405" t="s">
        <v>237</v>
      </c>
      <c r="D3184" s="401" t="s">
        <v>7278</v>
      </c>
      <c r="E3184" s="120">
        <v>50</v>
      </c>
      <c r="F3184" s="133" t="s">
        <v>2199</v>
      </c>
      <c r="G3184" s="404" t="s">
        <v>45</v>
      </c>
      <c r="H3184" s="411">
        <v>141.38999999999999</v>
      </c>
      <c r="I3184" s="397">
        <f t="shared" ref="I3184:I3187" si="613">-(H3184*0.15)</f>
        <v>-21.208499999999997</v>
      </c>
      <c r="J3184" s="411">
        <v>0</v>
      </c>
      <c r="K3184" s="90">
        <f t="shared" si="608"/>
        <v>120.18149999999999</v>
      </c>
      <c r="L3184" s="187">
        <v>1197</v>
      </c>
      <c r="M3184" s="187">
        <f>53.07+26.63</f>
        <v>79.7</v>
      </c>
      <c r="N3184" s="91">
        <f t="shared" si="602"/>
        <v>139.55000000000001</v>
      </c>
      <c r="O3184" s="411">
        <f t="shared" si="609"/>
        <v>-19.368500000000026</v>
      </c>
      <c r="P3184" s="132" t="s">
        <v>601</v>
      </c>
      <c r="Q3184" s="232"/>
      <c r="R3184" s="411"/>
      <c r="T3184" s="134" t="s">
        <v>145</v>
      </c>
      <c r="U3184" s="267" t="s">
        <v>7279</v>
      </c>
      <c r="AA3184" s="218"/>
    </row>
    <row r="3185" spans="1:27" ht="24" x14ac:dyDescent="0.25">
      <c r="A3185" s="405">
        <v>3002465</v>
      </c>
      <c r="B3185" s="406">
        <v>42522</v>
      </c>
      <c r="C3185" s="405" t="s">
        <v>237</v>
      </c>
      <c r="D3185" s="401" t="s">
        <v>7280</v>
      </c>
      <c r="E3185" s="120">
        <v>100</v>
      </c>
      <c r="F3185" s="133" t="s">
        <v>217</v>
      </c>
      <c r="G3185" s="404" t="s">
        <v>45</v>
      </c>
      <c r="H3185" s="411">
        <v>260</v>
      </c>
      <c r="I3185" s="397">
        <f t="shared" si="613"/>
        <v>-39</v>
      </c>
      <c r="J3185" s="411">
        <v>0</v>
      </c>
      <c r="K3185" s="90">
        <f t="shared" si="608"/>
        <v>221</v>
      </c>
      <c r="L3185" s="131">
        <v>1322</v>
      </c>
      <c r="M3185" s="187">
        <v>39.64</v>
      </c>
      <c r="N3185" s="91">
        <f t="shared" si="602"/>
        <v>171.84000000000003</v>
      </c>
      <c r="O3185" s="411">
        <f t="shared" si="609"/>
        <v>49.159999999999968</v>
      </c>
      <c r="P3185" s="132" t="s">
        <v>52</v>
      </c>
      <c r="Q3185" s="232"/>
      <c r="R3185" s="411"/>
      <c r="T3185" s="134" t="s">
        <v>145</v>
      </c>
      <c r="U3185" s="267" t="s">
        <v>7281</v>
      </c>
      <c r="AA3185" s="218"/>
    </row>
    <row r="3186" spans="1:27" ht="24" x14ac:dyDescent="0.25">
      <c r="A3186" s="405">
        <v>3002466</v>
      </c>
      <c r="B3186" s="406">
        <v>42522</v>
      </c>
      <c r="C3186" s="405" t="s">
        <v>237</v>
      </c>
      <c r="D3186" s="401" t="s">
        <v>7282</v>
      </c>
      <c r="E3186" s="120">
        <v>100</v>
      </c>
      <c r="F3186" s="133" t="s">
        <v>2063</v>
      </c>
      <c r="G3186" s="404" t="s">
        <v>45</v>
      </c>
      <c r="H3186" s="411">
        <v>301.47000000000003</v>
      </c>
      <c r="I3186" s="397">
        <f t="shared" si="613"/>
        <v>-45.220500000000001</v>
      </c>
      <c r="J3186" s="411">
        <v>0</v>
      </c>
      <c r="K3186" s="90">
        <f t="shared" si="608"/>
        <v>256.24950000000001</v>
      </c>
      <c r="L3186" s="187">
        <v>2272</v>
      </c>
      <c r="M3186" s="187">
        <v>34.47</v>
      </c>
      <c r="N3186" s="91">
        <f t="shared" ref="N3186:N3249" si="614">((L3186)*(E3186*0.001))+M3186</f>
        <v>261.67</v>
      </c>
      <c r="O3186" s="411">
        <f t="shared" si="609"/>
        <v>-5.4205000000000041</v>
      </c>
      <c r="P3186" s="132" t="s">
        <v>601</v>
      </c>
      <c r="Q3186" s="232"/>
      <c r="R3186" s="411"/>
      <c r="T3186" s="134" t="s">
        <v>145</v>
      </c>
      <c r="U3186" s="267" t="s">
        <v>7283</v>
      </c>
      <c r="AA3186" s="218"/>
    </row>
    <row r="3187" spans="1:27" ht="24" x14ac:dyDescent="0.25">
      <c r="A3187" s="405">
        <v>3002467</v>
      </c>
      <c r="B3187" s="406">
        <v>42522</v>
      </c>
      <c r="C3187" s="405" t="s">
        <v>237</v>
      </c>
      <c r="D3187" s="401" t="s">
        <v>7284</v>
      </c>
      <c r="E3187" s="120">
        <v>500</v>
      </c>
      <c r="F3187" s="133" t="s">
        <v>451</v>
      </c>
      <c r="G3187" s="404" t="s">
        <v>45</v>
      </c>
      <c r="H3187" s="411">
        <v>291.54000000000002</v>
      </c>
      <c r="I3187" s="397">
        <f t="shared" si="613"/>
        <v>-43.731000000000002</v>
      </c>
      <c r="J3187" s="411">
        <v>0</v>
      </c>
      <c r="K3187" s="90">
        <f t="shared" si="608"/>
        <v>247.80900000000003</v>
      </c>
      <c r="L3187" s="131">
        <v>300</v>
      </c>
      <c r="M3187" s="187">
        <v>33.479999999999997</v>
      </c>
      <c r="N3187" s="91">
        <f t="shared" si="614"/>
        <v>183.48</v>
      </c>
      <c r="O3187" s="411">
        <f t="shared" si="609"/>
        <v>64.329000000000036</v>
      </c>
      <c r="P3187" s="132" t="s">
        <v>52</v>
      </c>
      <c r="Q3187" s="232"/>
      <c r="R3187" s="411"/>
      <c r="T3187" s="134" t="s">
        <v>145</v>
      </c>
      <c r="U3187" s="267" t="s">
        <v>7285</v>
      </c>
      <c r="AA3187" s="218"/>
    </row>
    <row r="3188" spans="1:27" ht="24" x14ac:dyDescent="0.25">
      <c r="A3188" s="405">
        <v>3002468</v>
      </c>
      <c r="B3188" s="406">
        <v>42522</v>
      </c>
      <c r="C3188" s="405" t="s">
        <v>5682</v>
      </c>
      <c r="D3188" s="401" t="s">
        <v>7286</v>
      </c>
      <c r="E3188" s="120">
        <v>200</v>
      </c>
      <c r="F3188" s="133" t="s">
        <v>217</v>
      </c>
      <c r="G3188" s="404" t="s">
        <v>45</v>
      </c>
      <c r="H3188" s="411">
        <v>427.02</v>
      </c>
      <c r="I3188" s="94">
        <f t="shared" ref="I3188" si="615">-(H3188*0.09)</f>
        <v>-38.431799999999996</v>
      </c>
      <c r="J3188" s="391">
        <f t="shared" ref="J3188:J3191" si="616">-((H3188*0.019)+0.3)</f>
        <v>-8.4133800000000001</v>
      </c>
      <c r="K3188" s="90">
        <f t="shared" si="608"/>
        <v>380.17481999999995</v>
      </c>
      <c r="L3188" s="131">
        <v>1322</v>
      </c>
      <c r="M3188" s="187">
        <v>69.89</v>
      </c>
      <c r="N3188" s="91">
        <f t="shared" si="614"/>
        <v>334.29</v>
      </c>
      <c r="O3188" s="411">
        <f t="shared" si="609"/>
        <v>45.884819999999934</v>
      </c>
      <c r="P3188" s="132" t="s">
        <v>52</v>
      </c>
      <c r="Q3188" s="232"/>
      <c r="R3188" s="411"/>
      <c r="T3188" s="134" t="s">
        <v>145</v>
      </c>
      <c r="U3188" s="267" t="s">
        <v>7287</v>
      </c>
      <c r="AA3188" s="218"/>
    </row>
    <row r="3189" spans="1:27" ht="24" x14ac:dyDescent="0.25">
      <c r="A3189" s="405">
        <v>3002469</v>
      </c>
      <c r="B3189" s="406">
        <v>42522</v>
      </c>
      <c r="C3189" s="405" t="s">
        <v>327</v>
      </c>
      <c r="D3189" s="401" t="s">
        <v>5676</v>
      </c>
      <c r="E3189" s="120">
        <v>175</v>
      </c>
      <c r="F3189" s="133" t="s">
        <v>182</v>
      </c>
      <c r="G3189" s="404" t="s">
        <v>45</v>
      </c>
      <c r="H3189" s="411">
        <v>340.79</v>
      </c>
      <c r="I3189" s="411">
        <v>0</v>
      </c>
      <c r="J3189" s="391">
        <f>-((H3189*0.022)+0.3)</f>
        <v>-7.7973799999999995</v>
      </c>
      <c r="K3189" s="90">
        <f t="shared" si="608"/>
        <v>332.99262000000004</v>
      </c>
      <c r="L3189" s="131">
        <v>1060</v>
      </c>
      <c r="M3189" s="187">
        <v>70.48</v>
      </c>
      <c r="N3189" s="91">
        <f t="shared" si="614"/>
        <v>255.98000000000002</v>
      </c>
      <c r="O3189" s="411">
        <f t="shared" si="609"/>
        <v>77.012620000000027</v>
      </c>
      <c r="P3189" s="132" t="s">
        <v>52</v>
      </c>
      <c r="Q3189" s="232"/>
      <c r="R3189" s="411"/>
      <c r="T3189" s="134" t="s">
        <v>145</v>
      </c>
      <c r="U3189" s="267" t="s">
        <v>7288</v>
      </c>
      <c r="W3189" s="153" t="s">
        <v>5678</v>
      </c>
      <c r="AA3189" s="218"/>
    </row>
    <row r="3190" spans="1:27" ht="24" x14ac:dyDescent="0.25">
      <c r="A3190" s="405">
        <v>3002470</v>
      </c>
      <c r="B3190" s="406">
        <v>42522</v>
      </c>
      <c r="C3190" s="405" t="s">
        <v>78</v>
      </c>
      <c r="D3190" s="401" t="s">
        <v>7289</v>
      </c>
      <c r="E3190" s="120">
        <v>50</v>
      </c>
      <c r="F3190" s="133" t="s">
        <v>217</v>
      </c>
      <c r="G3190" s="404" t="s">
        <v>45</v>
      </c>
      <c r="H3190" s="411">
        <v>130</v>
      </c>
      <c r="I3190" s="411">
        <v>0</v>
      </c>
      <c r="J3190" s="391">
        <f t="shared" si="616"/>
        <v>-2.7699999999999996</v>
      </c>
      <c r="K3190" s="90">
        <f t="shared" si="608"/>
        <v>127.23</v>
      </c>
      <c r="L3190" s="131">
        <v>1322</v>
      </c>
      <c r="M3190" s="187">
        <v>29.91</v>
      </c>
      <c r="N3190" s="91">
        <f t="shared" si="614"/>
        <v>96.01</v>
      </c>
      <c r="O3190" s="411">
        <f t="shared" si="609"/>
        <v>31.22</v>
      </c>
      <c r="P3190" s="132" t="s">
        <v>52</v>
      </c>
      <c r="Q3190" s="232"/>
      <c r="R3190" s="411"/>
      <c r="T3190" s="134" t="s">
        <v>145</v>
      </c>
      <c r="U3190" s="267" t="s">
        <v>7290</v>
      </c>
      <c r="W3190" s="153" t="s">
        <v>7291</v>
      </c>
      <c r="AA3190" s="218"/>
    </row>
    <row r="3191" spans="1:27" ht="24" x14ac:dyDescent="0.25">
      <c r="A3191" s="405">
        <v>3002471</v>
      </c>
      <c r="B3191" s="406">
        <v>42522</v>
      </c>
      <c r="C3191" s="405" t="s">
        <v>5682</v>
      </c>
      <c r="D3191" s="401" t="s">
        <v>7292</v>
      </c>
      <c r="E3191" s="120">
        <v>300</v>
      </c>
      <c r="F3191" s="133" t="s">
        <v>7293</v>
      </c>
      <c r="G3191" s="404" t="s">
        <v>45</v>
      </c>
      <c r="H3191" s="411">
        <v>750</v>
      </c>
      <c r="I3191" s="94">
        <f t="shared" ref="I3191" si="617">-(H3191*0.09)</f>
        <v>-67.5</v>
      </c>
      <c r="J3191" s="391">
        <f t="shared" si="616"/>
        <v>-14.55</v>
      </c>
      <c r="K3191" s="90">
        <f t="shared" si="608"/>
        <v>667.95</v>
      </c>
      <c r="L3191" s="131">
        <v>1322</v>
      </c>
      <c r="M3191" s="187">
        <v>126.36</v>
      </c>
      <c r="N3191" s="91">
        <f t="shared" si="614"/>
        <v>522.95999999999992</v>
      </c>
      <c r="O3191" s="411">
        <f t="shared" si="609"/>
        <v>144.99000000000012</v>
      </c>
      <c r="P3191" s="132" t="s">
        <v>52</v>
      </c>
      <c r="Q3191" s="232"/>
      <c r="R3191" s="411"/>
      <c r="T3191" s="134" t="s">
        <v>145</v>
      </c>
      <c r="U3191" s="266" t="s">
        <v>7294</v>
      </c>
      <c r="AA3191" s="218"/>
    </row>
    <row r="3192" spans="1:27" x14ac:dyDescent="0.25">
      <c r="A3192" s="419">
        <v>3002472</v>
      </c>
      <c r="B3192" s="421">
        <v>42523</v>
      </c>
      <c r="C3192" s="419" t="s">
        <v>63</v>
      </c>
      <c r="D3192" s="417" t="s">
        <v>7295</v>
      </c>
      <c r="E3192" s="120">
        <v>250</v>
      </c>
      <c r="F3192" s="133" t="s">
        <v>85</v>
      </c>
      <c r="G3192" s="434" t="s">
        <v>45</v>
      </c>
      <c r="H3192" s="427">
        <v>719</v>
      </c>
      <c r="I3192" s="427">
        <v>0</v>
      </c>
      <c r="J3192" s="425">
        <f>-((H3192*0.022)+0.3)</f>
        <v>-16.117999999999999</v>
      </c>
      <c r="K3192" s="425">
        <f t="shared" si="608"/>
        <v>702.88199999999995</v>
      </c>
      <c r="L3192" s="131">
        <v>1296</v>
      </c>
      <c r="M3192" s="468">
        <v>215</v>
      </c>
      <c r="N3192" s="91">
        <f t="shared" si="614"/>
        <v>539</v>
      </c>
      <c r="O3192" s="411">
        <f t="shared" si="609"/>
        <v>163.88199999999995</v>
      </c>
      <c r="P3192" s="132" t="s">
        <v>52</v>
      </c>
      <c r="Q3192" s="232"/>
      <c r="R3192" s="411"/>
      <c r="T3192" s="439" t="s">
        <v>97</v>
      </c>
      <c r="U3192" s="446" t="s">
        <v>7296</v>
      </c>
      <c r="V3192" s="133" t="s">
        <v>55</v>
      </c>
      <c r="W3192" s="153" t="s">
        <v>7297</v>
      </c>
      <c r="AA3192" s="218"/>
    </row>
    <row r="3193" spans="1:27" x14ac:dyDescent="0.25">
      <c r="A3193" s="420"/>
      <c r="B3193" s="422"/>
      <c r="C3193" s="420"/>
      <c r="D3193" s="418"/>
      <c r="E3193" s="120">
        <v>150</v>
      </c>
      <c r="F3193" s="133" t="s">
        <v>939</v>
      </c>
      <c r="G3193" s="436"/>
      <c r="H3193" s="428"/>
      <c r="I3193" s="428"/>
      <c r="J3193" s="426"/>
      <c r="K3193" s="426"/>
      <c r="L3193" s="131">
        <v>445</v>
      </c>
      <c r="M3193" s="469"/>
      <c r="N3193" s="91">
        <f t="shared" si="614"/>
        <v>66.75</v>
      </c>
      <c r="O3193" s="411">
        <f t="shared" si="609"/>
        <v>-66.75</v>
      </c>
      <c r="P3193" s="132" t="s">
        <v>52</v>
      </c>
      <c r="Q3193" s="232"/>
      <c r="R3193" s="411"/>
      <c r="T3193" s="441"/>
      <c r="U3193" s="447"/>
      <c r="AA3193" s="218"/>
    </row>
    <row r="3194" spans="1:27" ht="24" x14ac:dyDescent="0.25">
      <c r="A3194" s="405">
        <v>3002473</v>
      </c>
      <c r="B3194" s="406">
        <v>42523</v>
      </c>
      <c r="C3194" s="405" t="s">
        <v>78</v>
      </c>
      <c r="D3194" s="401" t="s">
        <v>7298</v>
      </c>
      <c r="E3194" s="120">
        <v>150</v>
      </c>
      <c r="F3194" s="133" t="s">
        <v>1522</v>
      </c>
      <c r="G3194" s="404" t="s">
        <v>45</v>
      </c>
      <c r="H3194" s="411">
        <v>300</v>
      </c>
      <c r="I3194" s="411">
        <v>0</v>
      </c>
      <c r="J3194" s="391">
        <f t="shared" ref="J3194:J3205" si="618">-((H3194*0.019)+0.3)</f>
        <v>-6</v>
      </c>
      <c r="K3194" s="90">
        <f t="shared" si="608"/>
        <v>294</v>
      </c>
      <c r="L3194" s="131">
        <v>716</v>
      </c>
      <c r="M3194" s="187">
        <v>35.380000000000003</v>
      </c>
      <c r="N3194" s="91">
        <f t="shared" si="614"/>
        <v>142.78</v>
      </c>
      <c r="O3194" s="411">
        <f t="shared" si="609"/>
        <v>151.22</v>
      </c>
      <c r="P3194" s="132" t="s">
        <v>52</v>
      </c>
      <c r="Q3194" s="232"/>
      <c r="R3194" s="411"/>
      <c r="T3194" s="134" t="s">
        <v>145</v>
      </c>
      <c r="U3194" s="267" t="s">
        <v>7288</v>
      </c>
      <c r="W3194" s="153" t="s">
        <v>7299</v>
      </c>
      <c r="AA3194" s="218"/>
    </row>
    <row r="3195" spans="1:27" ht="24" x14ac:dyDescent="0.25">
      <c r="A3195" s="405">
        <v>3002474</v>
      </c>
      <c r="B3195" s="406">
        <v>42523</v>
      </c>
      <c r="C3195" s="405" t="s">
        <v>5682</v>
      </c>
      <c r="D3195" s="401" t="s">
        <v>7300</v>
      </c>
      <c r="E3195" s="120">
        <v>125</v>
      </c>
      <c r="F3195" s="133" t="s">
        <v>292</v>
      </c>
      <c r="G3195" s="404" t="s">
        <v>45</v>
      </c>
      <c r="H3195" s="411">
        <v>125</v>
      </c>
      <c r="I3195" s="94">
        <f t="shared" ref="I3195:I3205" si="619">-(H3195*0.09)</f>
        <v>-11.25</v>
      </c>
      <c r="J3195" s="391">
        <f t="shared" si="618"/>
        <v>-2.6749999999999998</v>
      </c>
      <c r="K3195" s="90">
        <f t="shared" si="608"/>
        <v>111.075</v>
      </c>
      <c r="L3195" s="131">
        <v>506.78</v>
      </c>
      <c r="M3195" s="187">
        <v>35.380000000000003</v>
      </c>
      <c r="N3195" s="91">
        <f t="shared" si="614"/>
        <v>98.727499999999992</v>
      </c>
      <c r="O3195" s="411">
        <f t="shared" si="609"/>
        <v>12.347500000000011</v>
      </c>
      <c r="P3195" s="132" t="s">
        <v>52</v>
      </c>
      <c r="Q3195" s="232"/>
      <c r="R3195" s="411"/>
      <c r="T3195" s="134" t="s">
        <v>145</v>
      </c>
      <c r="U3195" s="267" t="s">
        <v>7301</v>
      </c>
      <c r="AA3195" s="218"/>
    </row>
    <row r="3196" spans="1:27" ht="24" x14ac:dyDescent="0.25">
      <c r="A3196" s="405">
        <v>3002475</v>
      </c>
      <c r="B3196" s="406">
        <v>42523</v>
      </c>
      <c r="C3196" s="405" t="s">
        <v>5682</v>
      </c>
      <c r="D3196" s="401" t="s">
        <v>6959</v>
      </c>
      <c r="E3196" s="120">
        <v>500</v>
      </c>
      <c r="F3196" s="133" t="s">
        <v>7302</v>
      </c>
      <c r="G3196" s="404" t="s">
        <v>45</v>
      </c>
      <c r="H3196" s="411">
        <v>148</v>
      </c>
      <c r="I3196" s="94">
        <f t="shared" si="619"/>
        <v>-13.32</v>
      </c>
      <c r="J3196" s="391">
        <f t="shared" si="618"/>
        <v>-3.1119999999999997</v>
      </c>
      <c r="K3196" s="90">
        <f t="shared" si="608"/>
        <v>131.56800000000001</v>
      </c>
      <c r="L3196" s="187">
        <v>98.2</v>
      </c>
      <c r="M3196" s="187">
        <v>19.2</v>
      </c>
      <c r="N3196" s="91">
        <f t="shared" si="614"/>
        <v>68.3</v>
      </c>
      <c r="O3196" s="411">
        <f t="shared" si="609"/>
        <v>63.268000000000015</v>
      </c>
      <c r="P3196" s="132" t="s">
        <v>183</v>
      </c>
      <c r="Q3196" s="232"/>
      <c r="R3196" s="411"/>
      <c r="T3196" s="134" t="s">
        <v>145</v>
      </c>
      <c r="U3196" s="267" t="s">
        <v>7303</v>
      </c>
      <c r="AA3196" s="218"/>
    </row>
    <row r="3197" spans="1:27" ht="24" x14ac:dyDescent="0.25">
      <c r="A3197" s="405">
        <v>3002476</v>
      </c>
      <c r="B3197" s="406">
        <v>42523</v>
      </c>
      <c r="C3197" s="405" t="s">
        <v>5682</v>
      </c>
      <c r="D3197" s="401" t="s">
        <v>7304</v>
      </c>
      <c r="E3197" s="120">
        <v>175</v>
      </c>
      <c r="F3197" s="133" t="s">
        <v>829</v>
      </c>
      <c r="G3197" s="404" t="s">
        <v>45</v>
      </c>
      <c r="H3197" s="411">
        <v>184.48</v>
      </c>
      <c r="I3197" s="94">
        <f t="shared" si="619"/>
        <v>-16.603199999999998</v>
      </c>
      <c r="J3197" s="391">
        <f t="shared" si="618"/>
        <v>-3.8051199999999996</v>
      </c>
      <c r="K3197" s="90">
        <f t="shared" si="608"/>
        <v>164.07168000000001</v>
      </c>
      <c r="L3197" s="131">
        <v>510</v>
      </c>
      <c r="M3197" s="187">
        <v>42.16</v>
      </c>
      <c r="N3197" s="91">
        <f t="shared" si="614"/>
        <v>131.41000000000003</v>
      </c>
      <c r="O3197" s="411">
        <f t="shared" si="609"/>
        <v>32.66167999999999</v>
      </c>
      <c r="P3197" s="132" t="s">
        <v>52</v>
      </c>
      <c r="Q3197" s="232"/>
      <c r="R3197" s="411"/>
      <c r="T3197" s="134" t="s">
        <v>145</v>
      </c>
      <c r="U3197" s="267" t="s">
        <v>7305</v>
      </c>
      <c r="AA3197" s="218"/>
    </row>
    <row r="3198" spans="1:27" ht="24" x14ac:dyDescent="0.25">
      <c r="A3198" s="405">
        <v>3002477</v>
      </c>
      <c r="B3198" s="406">
        <v>42523</v>
      </c>
      <c r="C3198" s="405" t="s">
        <v>5682</v>
      </c>
      <c r="D3198" s="401" t="s">
        <v>7306</v>
      </c>
      <c r="E3198" s="120">
        <v>50</v>
      </c>
      <c r="F3198" s="133" t="s">
        <v>161</v>
      </c>
      <c r="G3198" s="404" t="s">
        <v>45</v>
      </c>
      <c r="H3198" s="411">
        <v>145.56</v>
      </c>
      <c r="I3198" s="94">
        <f t="shared" si="619"/>
        <v>-13.1004</v>
      </c>
      <c r="J3198" s="391">
        <f t="shared" si="618"/>
        <v>-3.0656399999999997</v>
      </c>
      <c r="K3198" s="90">
        <f t="shared" si="608"/>
        <v>129.39395999999999</v>
      </c>
      <c r="L3198" s="131">
        <v>1322</v>
      </c>
      <c r="M3198" s="187">
        <v>30.62</v>
      </c>
      <c r="N3198" s="91">
        <f t="shared" si="614"/>
        <v>96.720000000000013</v>
      </c>
      <c r="O3198" s="411">
        <f t="shared" si="609"/>
        <v>32.67395999999998</v>
      </c>
      <c r="P3198" s="132" t="s">
        <v>52</v>
      </c>
      <c r="Q3198" s="232"/>
      <c r="R3198" s="411"/>
      <c r="T3198" s="134" t="s">
        <v>145</v>
      </c>
      <c r="U3198" s="267" t="s">
        <v>7307</v>
      </c>
      <c r="AA3198" s="218"/>
    </row>
    <row r="3199" spans="1:27" ht="24" x14ac:dyDescent="0.25">
      <c r="A3199" s="405">
        <v>3002478</v>
      </c>
      <c r="B3199" s="406">
        <v>42523</v>
      </c>
      <c r="C3199" s="405" t="s">
        <v>5682</v>
      </c>
      <c r="D3199" s="401" t="s">
        <v>7308</v>
      </c>
      <c r="E3199" s="120">
        <v>100</v>
      </c>
      <c r="F3199" s="133" t="s">
        <v>161</v>
      </c>
      <c r="G3199" s="404" t="s">
        <v>45</v>
      </c>
      <c r="H3199" s="411">
        <v>240</v>
      </c>
      <c r="I3199" s="94">
        <f t="shared" si="619"/>
        <v>-21.599999999999998</v>
      </c>
      <c r="J3199" s="391">
        <f t="shared" si="618"/>
        <v>-4.8599999999999994</v>
      </c>
      <c r="K3199" s="90">
        <f t="shared" si="608"/>
        <v>213.54000000000002</v>
      </c>
      <c r="L3199" s="131">
        <v>1322</v>
      </c>
      <c r="M3199" s="187">
        <v>45.32</v>
      </c>
      <c r="N3199" s="91">
        <f t="shared" si="614"/>
        <v>177.52</v>
      </c>
      <c r="O3199" s="411">
        <f t="shared" si="609"/>
        <v>36.02000000000001</v>
      </c>
      <c r="P3199" s="132" t="s">
        <v>52</v>
      </c>
      <c r="Q3199" s="232"/>
      <c r="R3199" s="411"/>
      <c r="T3199" s="134" t="s">
        <v>145</v>
      </c>
      <c r="U3199" s="267" t="s">
        <v>7309</v>
      </c>
      <c r="AA3199" s="218"/>
    </row>
    <row r="3200" spans="1:27" ht="24" x14ac:dyDescent="0.25">
      <c r="A3200" s="405">
        <v>3002479</v>
      </c>
      <c r="B3200" s="406">
        <v>42523</v>
      </c>
      <c r="C3200" s="405" t="s">
        <v>5682</v>
      </c>
      <c r="D3200" s="401" t="s">
        <v>7310</v>
      </c>
      <c r="E3200" s="120">
        <v>175</v>
      </c>
      <c r="F3200" s="133" t="s">
        <v>422</v>
      </c>
      <c r="G3200" s="404" t="s">
        <v>45</v>
      </c>
      <c r="H3200" s="411">
        <v>299.79000000000002</v>
      </c>
      <c r="I3200" s="94">
        <f t="shared" si="619"/>
        <v>-26.981100000000001</v>
      </c>
      <c r="J3200" s="391">
        <f t="shared" si="618"/>
        <v>-5.9960100000000001</v>
      </c>
      <c r="K3200" s="90">
        <f t="shared" si="608"/>
        <v>266.81288999999998</v>
      </c>
      <c r="L3200" s="131">
        <v>690</v>
      </c>
      <c r="M3200" s="187">
        <v>63.2</v>
      </c>
      <c r="N3200" s="91">
        <f t="shared" si="614"/>
        <v>183.95000000000002</v>
      </c>
      <c r="O3200" s="411">
        <f t="shared" si="609"/>
        <v>82.862889999999965</v>
      </c>
      <c r="P3200" s="132" t="s">
        <v>52</v>
      </c>
      <c r="Q3200" s="232"/>
      <c r="R3200" s="411"/>
      <c r="T3200" s="134" t="s">
        <v>145</v>
      </c>
      <c r="U3200" s="267" t="s">
        <v>7311</v>
      </c>
      <c r="AA3200" s="218"/>
    </row>
    <row r="3201" spans="1:27" ht="24" x14ac:dyDescent="0.25">
      <c r="A3201" s="405">
        <v>3002480</v>
      </c>
      <c r="B3201" s="406">
        <v>42523</v>
      </c>
      <c r="C3201" s="405" t="s">
        <v>5682</v>
      </c>
      <c r="D3201" s="401" t="s">
        <v>7312</v>
      </c>
      <c r="E3201" s="120">
        <v>500</v>
      </c>
      <c r="F3201" s="133" t="s">
        <v>451</v>
      </c>
      <c r="G3201" s="404" t="s">
        <v>45</v>
      </c>
      <c r="H3201" s="411">
        <v>287.10000000000002</v>
      </c>
      <c r="I3201" s="94">
        <f t="shared" si="619"/>
        <v>-25.839000000000002</v>
      </c>
      <c r="J3201" s="391">
        <f t="shared" si="618"/>
        <v>-5.7549000000000001</v>
      </c>
      <c r="K3201" s="90">
        <f t="shared" si="608"/>
        <v>255.50610000000003</v>
      </c>
      <c r="L3201" s="131">
        <v>300</v>
      </c>
      <c r="M3201" s="187">
        <v>37.24</v>
      </c>
      <c r="N3201" s="91">
        <f t="shared" si="614"/>
        <v>187.24</v>
      </c>
      <c r="O3201" s="411">
        <f t="shared" si="609"/>
        <v>68.266100000000023</v>
      </c>
      <c r="P3201" s="132" t="s">
        <v>52</v>
      </c>
      <c r="Q3201" s="232"/>
      <c r="R3201" s="411"/>
      <c r="T3201" s="134" t="s">
        <v>145</v>
      </c>
      <c r="U3201" s="267" t="s">
        <v>7313</v>
      </c>
      <c r="AA3201" s="218"/>
    </row>
    <row r="3202" spans="1:27" ht="24" x14ac:dyDescent="0.25">
      <c r="A3202" s="405">
        <v>3002481</v>
      </c>
      <c r="B3202" s="406">
        <v>42523</v>
      </c>
      <c r="C3202" s="405" t="s">
        <v>5682</v>
      </c>
      <c r="D3202" s="401" t="s">
        <v>7314</v>
      </c>
      <c r="E3202" s="120">
        <v>100</v>
      </c>
      <c r="F3202" s="133" t="s">
        <v>829</v>
      </c>
      <c r="G3202" s="404" t="s">
        <v>45</v>
      </c>
      <c r="H3202" s="411">
        <v>121.98</v>
      </c>
      <c r="I3202" s="94">
        <f t="shared" si="619"/>
        <v>-10.978199999999999</v>
      </c>
      <c r="J3202" s="391">
        <f t="shared" si="618"/>
        <v>-2.6176200000000001</v>
      </c>
      <c r="K3202" s="90">
        <f t="shared" si="608"/>
        <v>108.38418</v>
      </c>
      <c r="L3202" s="131">
        <v>510</v>
      </c>
      <c r="M3202" s="187">
        <v>37.06</v>
      </c>
      <c r="N3202" s="91">
        <f t="shared" si="614"/>
        <v>88.06</v>
      </c>
      <c r="O3202" s="411">
        <f t="shared" si="609"/>
        <v>20.324179999999998</v>
      </c>
      <c r="P3202" s="132" t="s">
        <v>52</v>
      </c>
      <c r="Q3202" s="232"/>
      <c r="R3202" s="411"/>
      <c r="T3202" s="134" t="s">
        <v>145</v>
      </c>
      <c r="U3202" s="267" t="s">
        <v>7315</v>
      </c>
      <c r="AA3202" s="218"/>
    </row>
    <row r="3203" spans="1:27" ht="24" x14ac:dyDescent="0.25">
      <c r="A3203" s="405">
        <v>3002482</v>
      </c>
      <c r="B3203" s="406">
        <v>42523</v>
      </c>
      <c r="C3203" s="405" t="s">
        <v>5682</v>
      </c>
      <c r="D3203" s="401" t="s">
        <v>7316</v>
      </c>
      <c r="E3203" s="120">
        <v>250</v>
      </c>
      <c r="F3203" s="133" t="s">
        <v>438</v>
      </c>
      <c r="G3203" s="404" t="s">
        <v>45</v>
      </c>
      <c r="H3203" s="411">
        <v>145.91</v>
      </c>
      <c r="I3203" s="94">
        <f t="shared" si="619"/>
        <v>-13.1319</v>
      </c>
      <c r="J3203" s="391">
        <f t="shared" si="618"/>
        <v>-3.0722899999999997</v>
      </c>
      <c r="K3203" s="90">
        <f t="shared" si="608"/>
        <v>129.70580999999999</v>
      </c>
      <c r="M3203" s="187">
        <v>38.28</v>
      </c>
      <c r="N3203" s="91">
        <f t="shared" si="614"/>
        <v>38.28</v>
      </c>
      <c r="O3203" s="411">
        <f t="shared" si="609"/>
        <v>91.425809999999984</v>
      </c>
      <c r="P3203" s="132" t="s">
        <v>52</v>
      </c>
      <c r="Q3203" s="232"/>
      <c r="R3203" s="411"/>
      <c r="T3203" s="134" t="s">
        <v>145</v>
      </c>
      <c r="U3203" s="267" t="s">
        <v>7317</v>
      </c>
      <c r="AA3203" s="218"/>
    </row>
    <row r="3204" spans="1:27" x14ac:dyDescent="0.25">
      <c r="A3204" s="405">
        <v>3002483</v>
      </c>
      <c r="B3204" s="406">
        <v>42523</v>
      </c>
      <c r="C3204" s="405" t="s">
        <v>5682</v>
      </c>
      <c r="D3204" s="401" t="s">
        <v>7318</v>
      </c>
      <c r="E3204" s="120">
        <v>274</v>
      </c>
      <c r="F3204" s="133" t="s">
        <v>161</v>
      </c>
      <c r="G3204" s="404" t="s">
        <v>45</v>
      </c>
      <c r="H3204" s="411">
        <v>579.82000000000005</v>
      </c>
      <c r="I3204" s="94">
        <f t="shared" si="619"/>
        <v>-52.183800000000005</v>
      </c>
      <c r="J3204" s="391">
        <f t="shared" si="618"/>
        <v>-11.316580000000002</v>
      </c>
      <c r="K3204" s="90">
        <f t="shared" si="608"/>
        <v>516.31961999999999</v>
      </c>
      <c r="L3204" s="131">
        <v>1322</v>
      </c>
      <c r="M3204" s="187">
        <f>113.93+80</f>
        <v>193.93</v>
      </c>
      <c r="N3204" s="91">
        <f t="shared" si="614"/>
        <v>556.15800000000002</v>
      </c>
      <c r="O3204" s="411">
        <f t="shared" si="609"/>
        <v>-39.838380000000029</v>
      </c>
      <c r="P3204" s="132" t="s">
        <v>52</v>
      </c>
      <c r="Q3204" s="232"/>
      <c r="R3204" s="411"/>
      <c r="T3204" s="134" t="s">
        <v>7260</v>
      </c>
      <c r="U3204" s="266" t="s">
        <v>7319</v>
      </c>
      <c r="V3204" s="133" t="s">
        <v>55</v>
      </c>
      <c r="AA3204" s="218"/>
    </row>
    <row r="3205" spans="1:27" ht="24" x14ac:dyDescent="0.25">
      <c r="A3205" s="405">
        <v>3002484</v>
      </c>
      <c r="B3205" s="406">
        <v>42523</v>
      </c>
      <c r="C3205" s="405" t="s">
        <v>5682</v>
      </c>
      <c r="D3205" s="401" t="s">
        <v>7320</v>
      </c>
      <c r="E3205" s="120">
        <v>50</v>
      </c>
      <c r="F3205" s="133" t="s">
        <v>7321</v>
      </c>
      <c r="G3205" s="404" t="s">
        <v>45</v>
      </c>
      <c r="H3205" s="411">
        <v>167.58</v>
      </c>
      <c r="I3205" s="94">
        <f t="shared" si="619"/>
        <v>-15.0822</v>
      </c>
      <c r="J3205" s="391">
        <f t="shared" si="618"/>
        <v>-3.4840200000000001</v>
      </c>
      <c r="K3205" s="90">
        <f t="shared" si="608"/>
        <v>149.01378000000003</v>
      </c>
      <c r="L3205" s="187">
        <v>1617</v>
      </c>
      <c r="M3205" s="187">
        <v>8.3000000000000007</v>
      </c>
      <c r="N3205" s="91">
        <f t="shared" si="614"/>
        <v>89.15</v>
      </c>
      <c r="O3205" s="411">
        <f t="shared" si="609"/>
        <v>59.86378000000002</v>
      </c>
      <c r="P3205" s="132" t="s">
        <v>926</v>
      </c>
      <c r="Q3205" s="232"/>
      <c r="R3205" s="411"/>
      <c r="T3205" s="134" t="s">
        <v>145</v>
      </c>
      <c r="U3205" s="267" t="s">
        <v>7322</v>
      </c>
      <c r="AA3205" s="218"/>
    </row>
    <row r="3206" spans="1:27" ht="36" x14ac:dyDescent="0.25">
      <c r="A3206" s="419">
        <v>3002485</v>
      </c>
      <c r="B3206" s="421">
        <v>42523</v>
      </c>
      <c r="C3206" s="419" t="s">
        <v>56</v>
      </c>
      <c r="D3206" s="417" t="s">
        <v>7323</v>
      </c>
      <c r="E3206" s="120">
        <v>750</v>
      </c>
      <c r="F3206" s="133" t="s">
        <v>7324</v>
      </c>
      <c r="G3206" s="434" t="s">
        <v>45</v>
      </c>
      <c r="H3206" s="427">
        <v>1395.9</v>
      </c>
      <c r="I3206" s="427">
        <v>0</v>
      </c>
      <c r="J3206" s="427">
        <v>0</v>
      </c>
      <c r="K3206" s="425">
        <f t="shared" si="608"/>
        <v>1395.9</v>
      </c>
      <c r="L3206" s="187">
        <v>400</v>
      </c>
      <c r="M3206" s="187">
        <v>70.680000000000007</v>
      </c>
      <c r="N3206" s="91">
        <f t="shared" si="614"/>
        <v>370.68</v>
      </c>
      <c r="O3206" s="411">
        <f t="shared" si="609"/>
        <v>1025.22</v>
      </c>
      <c r="P3206" s="132" t="s">
        <v>235</v>
      </c>
      <c r="Q3206" s="232"/>
      <c r="R3206" s="411"/>
      <c r="T3206" s="134" t="s">
        <v>145</v>
      </c>
      <c r="U3206" s="266" t="s">
        <v>7325</v>
      </c>
      <c r="V3206" s="133" t="s">
        <v>5179</v>
      </c>
      <c r="AA3206" s="218"/>
    </row>
    <row r="3207" spans="1:27" x14ac:dyDescent="0.25">
      <c r="A3207" s="420"/>
      <c r="B3207" s="422"/>
      <c r="C3207" s="420"/>
      <c r="D3207" s="418"/>
      <c r="E3207" s="120">
        <v>500</v>
      </c>
      <c r="F3207" s="133" t="s">
        <v>2326</v>
      </c>
      <c r="G3207" s="436"/>
      <c r="H3207" s="428"/>
      <c r="I3207" s="428"/>
      <c r="J3207" s="428"/>
      <c r="K3207" s="426"/>
      <c r="L3207" s="131">
        <v>1322</v>
      </c>
      <c r="N3207" s="91">
        <f t="shared" si="614"/>
        <v>661</v>
      </c>
      <c r="O3207" s="411">
        <f t="shared" si="609"/>
        <v>-661</v>
      </c>
      <c r="P3207" s="132" t="s">
        <v>86</v>
      </c>
      <c r="Q3207" s="232"/>
      <c r="R3207" s="411"/>
      <c r="T3207" s="134" t="s">
        <v>851</v>
      </c>
      <c r="U3207" s="266" t="s">
        <v>7326</v>
      </c>
      <c r="V3207" s="133" t="s">
        <v>7327</v>
      </c>
      <c r="AA3207" s="218"/>
    </row>
    <row r="3208" spans="1:27" ht="24" x14ac:dyDescent="0.25">
      <c r="A3208" s="419">
        <v>3002486</v>
      </c>
      <c r="B3208" s="421">
        <v>42523</v>
      </c>
      <c r="C3208" s="419" t="s">
        <v>327</v>
      </c>
      <c r="D3208" s="417" t="s">
        <v>7328</v>
      </c>
      <c r="E3208" s="120">
        <v>200</v>
      </c>
      <c r="F3208" s="133" t="s">
        <v>292</v>
      </c>
      <c r="G3208" s="434" t="s">
        <v>45</v>
      </c>
      <c r="H3208" s="427">
        <v>834</v>
      </c>
      <c r="I3208" s="427">
        <v>0</v>
      </c>
      <c r="J3208" s="498">
        <f>-((H3208*0.022)+0.3)</f>
        <v>-18.648</v>
      </c>
      <c r="K3208" s="425">
        <f t="shared" si="608"/>
        <v>815.35199999999998</v>
      </c>
      <c r="L3208" s="131">
        <v>506.78</v>
      </c>
      <c r="M3208" s="187">
        <v>22.48</v>
      </c>
      <c r="N3208" s="91">
        <f t="shared" si="614"/>
        <v>123.836</v>
      </c>
      <c r="O3208" s="411">
        <f t="shared" si="609"/>
        <v>691.51599999999996</v>
      </c>
      <c r="P3208" s="132" t="s">
        <v>52</v>
      </c>
      <c r="Q3208" s="232"/>
      <c r="R3208" s="411"/>
      <c r="T3208" s="134" t="s">
        <v>145</v>
      </c>
      <c r="U3208" s="267" t="s">
        <v>7329</v>
      </c>
      <c r="AA3208" s="218"/>
    </row>
    <row r="3209" spans="1:27" x14ac:dyDescent="0.25">
      <c r="A3209" s="420"/>
      <c r="B3209" s="422"/>
      <c r="C3209" s="420"/>
      <c r="D3209" s="418"/>
      <c r="E3209" s="120">
        <v>600</v>
      </c>
      <c r="F3209" s="133" t="s">
        <v>7330</v>
      </c>
      <c r="G3209" s="436"/>
      <c r="H3209" s="428"/>
      <c r="I3209" s="428"/>
      <c r="J3209" s="499"/>
      <c r="K3209" s="426"/>
      <c r="L3209" s="187">
        <v>656</v>
      </c>
      <c r="M3209" s="187">
        <v>140.15</v>
      </c>
      <c r="N3209" s="91">
        <f t="shared" si="614"/>
        <v>533.75</v>
      </c>
      <c r="O3209" s="411">
        <f t="shared" si="609"/>
        <v>-533.75</v>
      </c>
      <c r="P3209" s="132" t="s">
        <v>183</v>
      </c>
      <c r="Q3209" s="232"/>
      <c r="R3209" s="411"/>
      <c r="T3209" s="134" t="s">
        <v>67</v>
      </c>
      <c r="U3209" s="267" t="s">
        <v>7331</v>
      </c>
      <c r="V3209" s="133" t="s">
        <v>7332</v>
      </c>
      <c r="AA3209" s="218"/>
    </row>
    <row r="3210" spans="1:27" ht="24" x14ac:dyDescent="0.25">
      <c r="A3210" s="419">
        <v>3002487</v>
      </c>
      <c r="B3210" s="421">
        <v>42523</v>
      </c>
      <c r="C3210" s="419" t="s">
        <v>327</v>
      </c>
      <c r="D3210" s="417" t="s">
        <v>7333</v>
      </c>
      <c r="E3210" s="120">
        <v>130</v>
      </c>
      <c r="F3210" s="133" t="s">
        <v>1547</v>
      </c>
      <c r="G3210" s="434" t="s">
        <v>45</v>
      </c>
      <c r="H3210" s="427">
        <v>335.8</v>
      </c>
      <c r="I3210" s="427">
        <v>0</v>
      </c>
      <c r="J3210" s="498">
        <f>-((H3210*0.022)+0.3)</f>
        <v>-7.6875999999999998</v>
      </c>
      <c r="K3210" s="425">
        <f t="shared" si="608"/>
        <v>328.11240000000004</v>
      </c>
      <c r="L3210" s="131">
        <v>385</v>
      </c>
      <c r="M3210" s="187">
        <v>28.02</v>
      </c>
      <c r="N3210" s="91">
        <f t="shared" si="614"/>
        <v>78.070000000000007</v>
      </c>
      <c r="O3210" s="411">
        <f t="shared" si="609"/>
        <v>250.04240000000004</v>
      </c>
      <c r="P3210" s="132" t="s">
        <v>52</v>
      </c>
      <c r="Q3210" s="232"/>
      <c r="R3210" s="411"/>
      <c r="T3210" s="134" t="s">
        <v>145</v>
      </c>
      <c r="U3210" s="267" t="s">
        <v>7334</v>
      </c>
      <c r="W3210" s="153" t="s">
        <v>7335</v>
      </c>
      <c r="AA3210" s="218"/>
    </row>
    <row r="3211" spans="1:27" ht="24" x14ac:dyDescent="0.25">
      <c r="A3211" s="420"/>
      <c r="B3211" s="422"/>
      <c r="C3211" s="420"/>
      <c r="D3211" s="418"/>
      <c r="E3211" s="120">
        <v>310</v>
      </c>
      <c r="F3211" s="133" t="s">
        <v>6348</v>
      </c>
      <c r="G3211" s="436"/>
      <c r="H3211" s="428"/>
      <c r="I3211" s="428"/>
      <c r="J3211" s="499"/>
      <c r="K3211" s="426"/>
      <c r="L3211" s="131">
        <v>341.21</v>
      </c>
      <c r="M3211" s="187">
        <v>24.74</v>
      </c>
      <c r="N3211" s="91">
        <f t="shared" si="614"/>
        <v>130.51509999999999</v>
      </c>
      <c r="O3211" s="411">
        <f t="shared" si="609"/>
        <v>-130.51509999999999</v>
      </c>
      <c r="P3211" s="132" t="s">
        <v>86</v>
      </c>
      <c r="Q3211" s="232"/>
      <c r="R3211" s="411"/>
      <c r="T3211" s="134" t="s">
        <v>145</v>
      </c>
      <c r="U3211" s="267" t="s">
        <v>7336</v>
      </c>
      <c r="V3211" s="133" t="s">
        <v>7337</v>
      </c>
      <c r="AA3211" s="218"/>
    </row>
    <row r="3212" spans="1:27" ht="36" x14ac:dyDescent="0.25">
      <c r="A3212" s="405">
        <v>3002488</v>
      </c>
      <c r="B3212" s="406">
        <v>42523</v>
      </c>
      <c r="C3212" s="405" t="s">
        <v>63</v>
      </c>
      <c r="D3212" s="401" t="s">
        <v>7338</v>
      </c>
      <c r="E3212" s="120">
        <v>350</v>
      </c>
      <c r="F3212" s="133" t="s">
        <v>7339</v>
      </c>
      <c r="G3212" s="404" t="s">
        <v>45</v>
      </c>
      <c r="H3212" s="411">
        <v>733.75</v>
      </c>
      <c r="I3212" s="411">
        <v>0</v>
      </c>
      <c r="J3212" s="391">
        <f>-((H3212*0.022)+0.3)</f>
        <v>-16.442499999999999</v>
      </c>
      <c r="K3212" s="90">
        <f t="shared" si="608"/>
        <v>717.3075</v>
      </c>
      <c r="L3212" s="187">
        <v>1540</v>
      </c>
      <c r="M3212" s="131">
        <v>0</v>
      </c>
      <c r="N3212" s="91">
        <f t="shared" si="614"/>
        <v>539</v>
      </c>
      <c r="O3212" s="411">
        <f t="shared" ref="O3212:O3275" si="620">K3212-N3212</f>
        <v>178.3075</v>
      </c>
      <c r="P3212" s="132" t="s">
        <v>59</v>
      </c>
      <c r="Q3212" s="232"/>
      <c r="R3212" s="411"/>
      <c r="T3212" s="134" t="s">
        <v>60</v>
      </c>
      <c r="U3212" s="267" t="s">
        <v>7340</v>
      </c>
      <c r="W3212" s="153" t="s">
        <v>7341</v>
      </c>
      <c r="AA3212" s="218"/>
    </row>
    <row r="3213" spans="1:27" ht="24" x14ac:dyDescent="0.25">
      <c r="A3213" s="405">
        <v>3002489</v>
      </c>
      <c r="B3213" s="406">
        <v>42523</v>
      </c>
      <c r="C3213" s="405" t="s">
        <v>56</v>
      </c>
      <c r="D3213" s="401" t="s">
        <v>7342</v>
      </c>
      <c r="E3213" s="120">
        <v>1000</v>
      </c>
      <c r="F3213" s="133" t="s">
        <v>2796</v>
      </c>
      <c r="G3213" s="404" t="s">
        <v>45</v>
      </c>
      <c r="H3213" s="411">
        <v>500</v>
      </c>
      <c r="I3213" s="411">
        <v>0</v>
      </c>
      <c r="J3213" s="411">
        <v>0</v>
      </c>
      <c r="K3213" s="90">
        <f t="shared" si="608"/>
        <v>500</v>
      </c>
      <c r="L3213" s="187">
        <v>330</v>
      </c>
      <c r="M3213" s="187">
        <v>0</v>
      </c>
      <c r="N3213" s="91">
        <f t="shared" si="614"/>
        <v>330</v>
      </c>
      <c r="O3213" s="411">
        <f t="shared" si="620"/>
        <v>170</v>
      </c>
      <c r="P3213" s="132" t="s">
        <v>183</v>
      </c>
      <c r="Q3213" s="232"/>
      <c r="R3213" s="411"/>
      <c r="T3213" s="134" t="s">
        <v>7343</v>
      </c>
      <c r="U3213" s="266" t="s">
        <v>7344</v>
      </c>
      <c r="V3213" s="133" t="s">
        <v>7345</v>
      </c>
      <c r="W3213" s="153" t="s">
        <v>7346</v>
      </c>
      <c r="AA3213" s="218"/>
    </row>
    <row r="3214" spans="1:27" ht="24" x14ac:dyDescent="0.25">
      <c r="A3214" s="405">
        <v>3002490</v>
      </c>
      <c r="B3214" s="406">
        <v>42524</v>
      </c>
      <c r="C3214" s="405" t="s">
        <v>63</v>
      </c>
      <c r="D3214" s="401" t="s">
        <v>7347</v>
      </c>
      <c r="E3214" s="120">
        <v>100</v>
      </c>
      <c r="F3214" s="133" t="s">
        <v>288</v>
      </c>
      <c r="G3214" s="404" t="s">
        <v>45</v>
      </c>
      <c r="H3214" s="411">
        <v>188</v>
      </c>
      <c r="I3214" s="411">
        <v>0</v>
      </c>
      <c r="J3214" s="391">
        <f>-((H3214*0.022)+0.3)</f>
        <v>-4.4359999999999999</v>
      </c>
      <c r="K3214" s="90">
        <f t="shared" si="608"/>
        <v>183.56399999999999</v>
      </c>
      <c r="L3214" s="131">
        <v>950</v>
      </c>
      <c r="M3214" s="187">
        <v>37.26</v>
      </c>
      <c r="N3214" s="91">
        <f t="shared" si="614"/>
        <v>132.26</v>
      </c>
      <c r="O3214" s="411">
        <f t="shared" si="620"/>
        <v>51.304000000000002</v>
      </c>
      <c r="P3214" s="132" t="s">
        <v>52</v>
      </c>
      <c r="Q3214" s="232"/>
      <c r="R3214" s="411"/>
      <c r="T3214" s="134" t="s">
        <v>145</v>
      </c>
      <c r="U3214" s="267" t="s">
        <v>7348</v>
      </c>
      <c r="W3214" s="153" t="s">
        <v>7349</v>
      </c>
      <c r="AA3214" s="218"/>
    </row>
    <row r="3215" spans="1:27" x14ac:dyDescent="0.25">
      <c r="A3215" s="405">
        <v>3002491</v>
      </c>
      <c r="B3215" s="406">
        <v>42524</v>
      </c>
      <c r="C3215" s="405" t="s">
        <v>63</v>
      </c>
      <c r="D3215" s="401" t="s">
        <v>5907</v>
      </c>
      <c r="E3215" s="120">
        <v>300</v>
      </c>
      <c r="F3215" s="133" t="s">
        <v>178</v>
      </c>
      <c r="G3215" s="404" t="s">
        <v>45</v>
      </c>
      <c r="H3215" s="411">
        <v>743</v>
      </c>
      <c r="I3215" s="411">
        <v>0</v>
      </c>
      <c r="J3215" s="391">
        <f>-((H3215*0.022)+0.3)</f>
        <v>-16.646000000000001</v>
      </c>
      <c r="K3215" s="90">
        <f t="shared" si="608"/>
        <v>726.35400000000004</v>
      </c>
      <c r="L3215" s="131">
        <v>1170</v>
      </c>
      <c r="M3215" s="187">
        <v>222.19</v>
      </c>
      <c r="N3215" s="91">
        <f t="shared" si="614"/>
        <v>573.19000000000005</v>
      </c>
      <c r="O3215" s="411">
        <f t="shared" si="620"/>
        <v>153.16399999999999</v>
      </c>
      <c r="P3215" s="132" t="s">
        <v>52</v>
      </c>
      <c r="Q3215" s="232"/>
      <c r="R3215" s="411"/>
      <c r="T3215" s="134" t="s">
        <v>97</v>
      </c>
      <c r="U3215" s="267" t="s">
        <v>7350</v>
      </c>
      <c r="V3215" s="133" t="s">
        <v>55</v>
      </c>
      <c r="W3215" s="153" t="s">
        <v>5909</v>
      </c>
      <c r="AA3215" s="218"/>
    </row>
    <row r="3216" spans="1:27" x14ac:dyDescent="0.25">
      <c r="A3216" s="405">
        <v>3002492</v>
      </c>
      <c r="B3216" s="406">
        <v>42524</v>
      </c>
      <c r="C3216" s="405" t="s">
        <v>56</v>
      </c>
      <c r="D3216" s="401" t="s">
        <v>7351</v>
      </c>
      <c r="E3216" s="120">
        <v>148</v>
      </c>
      <c r="F3216" s="133" t="s">
        <v>7066</v>
      </c>
      <c r="G3216" s="404" t="s">
        <v>45</v>
      </c>
      <c r="H3216" s="411">
        <v>3000</v>
      </c>
      <c r="I3216" s="411">
        <v>0</v>
      </c>
      <c r="J3216" s="411">
        <v>0</v>
      </c>
      <c r="K3216" s="90">
        <f t="shared" si="608"/>
        <v>3000</v>
      </c>
      <c r="L3216" s="187">
        <v>12480</v>
      </c>
      <c r="M3216" s="187">
        <v>225</v>
      </c>
      <c r="N3216" s="91">
        <f t="shared" si="614"/>
        <v>2072.04</v>
      </c>
      <c r="O3216" s="411">
        <f t="shared" si="620"/>
        <v>927.96</v>
      </c>
      <c r="P3216" s="132" t="s">
        <v>2816</v>
      </c>
      <c r="Q3216" s="232"/>
      <c r="R3216" s="411"/>
      <c r="T3216" s="134" t="s">
        <v>503</v>
      </c>
      <c r="U3216" s="267" t="s">
        <v>7352</v>
      </c>
      <c r="V3216" s="133" t="s">
        <v>7353</v>
      </c>
      <c r="W3216" s="153" t="s">
        <v>7069</v>
      </c>
      <c r="AA3216" s="218"/>
    </row>
    <row r="3217" spans="1:27" ht="24" x14ac:dyDescent="0.25">
      <c r="A3217" s="419">
        <v>3002493</v>
      </c>
      <c r="B3217" s="421">
        <v>42524</v>
      </c>
      <c r="C3217" s="419" t="s">
        <v>56</v>
      </c>
      <c r="D3217" s="417" t="s">
        <v>1251</v>
      </c>
      <c r="E3217" s="120">
        <v>22500</v>
      </c>
      <c r="F3217" s="119" t="s">
        <v>7354</v>
      </c>
      <c r="G3217" s="434" t="s">
        <v>45</v>
      </c>
      <c r="H3217" s="427">
        <v>23125</v>
      </c>
      <c r="I3217" s="427">
        <v>0</v>
      </c>
      <c r="J3217" s="427">
        <v>0</v>
      </c>
      <c r="K3217" s="425">
        <f t="shared" si="608"/>
        <v>23125</v>
      </c>
      <c r="L3217" s="187">
        <v>695</v>
      </c>
      <c r="M3217" s="131">
        <v>0</v>
      </c>
      <c r="N3217" s="91">
        <f t="shared" si="614"/>
        <v>15637.5</v>
      </c>
      <c r="O3217" s="411">
        <f t="shared" si="620"/>
        <v>7487.5</v>
      </c>
      <c r="P3217" s="132" t="s">
        <v>2168</v>
      </c>
      <c r="Q3217" s="232"/>
      <c r="R3217" s="411"/>
      <c r="T3217" s="134" t="s">
        <v>5873</v>
      </c>
      <c r="U3217" s="267" t="s">
        <v>7355</v>
      </c>
      <c r="V3217" s="133" t="s">
        <v>7356</v>
      </c>
      <c r="W3217" s="153" t="s">
        <v>7357</v>
      </c>
      <c r="AA3217" s="218"/>
    </row>
    <row r="3218" spans="1:27" x14ac:dyDescent="0.25">
      <c r="A3218" s="420"/>
      <c r="B3218" s="422"/>
      <c r="C3218" s="420"/>
      <c r="D3218" s="418"/>
      <c r="E3218" s="120">
        <v>2500</v>
      </c>
      <c r="F3218" s="133" t="s">
        <v>7358</v>
      </c>
      <c r="G3218" s="436"/>
      <c r="H3218" s="428"/>
      <c r="I3218" s="428"/>
      <c r="J3218" s="428"/>
      <c r="K3218" s="426"/>
      <c r="L3218" s="187">
        <v>725</v>
      </c>
      <c r="M3218" s="187">
        <v>135.21</v>
      </c>
      <c r="N3218" s="91">
        <f t="shared" si="614"/>
        <v>1947.71</v>
      </c>
      <c r="O3218" s="411">
        <f t="shared" si="620"/>
        <v>-1947.71</v>
      </c>
      <c r="P3218" s="132" t="s">
        <v>2846</v>
      </c>
      <c r="Q3218" s="232"/>
      <c r="R3218" s="411"/>
      <c r="T3218" s="134" t="s">
        <v>244</v>
      </c>
      <c r="U3218" s="266" t="s">
        <v>7359</v>
      </c>
      <c r="V3218" s="133" t="s">
        <v>7360</v>
      </c>
      <c r="W3218" s="153"/>
      <c r="AA3218" s="218"/>
    </row>
    <row r="3219" spans="1:27" ht="24" x14ac:dyDescent="0.25">
      <c r="A3219" s="405">
        <v>3002494</v>
      </c>
      <c r="B3219" s="406">
        <v>42524</v>
      </c>
      <c r="C3219" s="405" t="s">
        <v>327</v>
      </c>
      <c r="D3219" s="401" t="s">
        <v>7361</v>
      </c>
      <c r="E3219" s="120">
        <v>250</v>
      </c>
      <c r="F3219" s="133" t="s">
        <v>438</v>
      </c>
      <c r="G3219" s="404" t="s">
        <v>45</v>
      </c>
      <c r="H3219" s="411">
        <v>145</v>
      </c>
      <c r="I3219" s="411">
        <v>0</v>
      </c>
      <c r="J3219" s="391">
        <f>-((H3219*0.022)+0.3)</f>
        <v>-3.4899999999999998</v>
      </c>
      <c r="K3219" s="90">
        <f t="shared" si="608"/>
        <v>141.51</v>
      </c>
      <c r="M3219" s="187">
        <v>40.619999999999997</v>
      </c>
      <c r="N3219" s="91">
        <f t="shared" si="614"/>
        <v>40.619999999999997</v>
      </c>
      <c r="O3219" s="411">
        <f t="shared" si="620"/>
        <v>100.88999999999999</v>
      </c>
      <c r="P3219" s="132" t="s">
        <v>52</v>
      </c>
      <c r="Q3219" s="232"/>
      <c r="R3219" s="411"/>
      <c r="T3219" s="134" t="s">
        <v>145</v>
      </c>
      <c r="U3219" s="267" t="s">
        <v>7362</v>
      </c>
      <c r="W3219" s="153" t="s">
        <v>7363</v>
      </c>
      <c r="AA3219" s="218"/>
    </row>
    <row r="3220" spans="1:27" ht="24" x14ac:dyDescent="0.25">
      <c r="A3220" s="405">
        <v>3002495</v>
      </c>
      <c r="B3220" s="406">
        <v>42524</v>
      </c>
      <c r="C3220" s="405" t="s">
        <v>555</v>
      </c>
      <c r="D3220" s="401" t="s">
        <v>7364</v>
      </c>
      <c r="E3220" s="120">
        <v>150</v>
      </c>
      <c r="F3220" s="119" t="s">
        <v>7365</v>
      </c>
      <c r="G3220" s="404" t="s">
        <v>45</v>
      </c>
      <c r="H3220" s="411">
        <v>2715</v>
      </c>
      <c r="I3220" s="411">
        <v>0</v>
      </c>
      <c r="J3220" s="411">
        <v>0</v>
      </c>
      <c r="K3220" s="90">
        <f t="shared" si="608"/>
        <v>2715</v>
      </c>
      <c r="L3220" s="187">
        <v>7195.65</v>
      </c>
      <c r="M3220" s="187">
        <v>134.81</v>
      </c>
      <c r="N3220" s="91">
        <f t="shared" si="614"/>
        <v>1214.1574999999998</v>
      </c>
      <c r="O3220" s="411">
        <f t="shared" si="620"/>
        <v>1500.8425000000002</v>
      </c>
      <c r="P3220" s="132" t="s">
        <v>1793</v>
      </c>
      <c r="Q3220" s="232"/>
      <c r="R3220" s="411"/>
      <c r="T3220" s="134" t="s">
        <v>97</v>
      </c>
      <c r="U3220" s="266"/>
      <c r="V3220" s="133" t="s">
        <v>55</v>
      </c>
      <c r="AA3220" s="218"/>
    </row>
    <row r="3221" spans="1:27" ht="24" x14ac:dyDescent="0.25">
      <c r="A3221" s="405">
        <v>3002496</v>
      </c>
      <c r="B3221" s="406">
        <v>42524</v>
      </c>
      <c r="C3221" s="405" t="s">
        <v>327</v>
      </c>
      <c r="D3221" s="401" t="s">
        <v>7366</v>
      </c>
      <c r="E3221" s="120">
        <v>200</v>
      </c>
      <c r="F3221" s="133" t="s">
        <v>605</v>
      </c>
      <c r="G3221" s="404" t="s">
        <v>45</v>
      </c>
      <c r="H3221" s="411">
        <v>241</v>
      </c>
      <c r="I3221" s="411">
        <v>0</v>
      </c>
      <c r="J3221" s="391">
        <f>-((H3221*0.022)+0.3)</f>
        <v>-5.6019999999999994</v>
      </c>
      <c r="K3221" s="90">
        <f t="shared" si="608"/>
        <v>235.398</v>
      </c>
      <c r="L3221" s="131">
        <v>600</v>
      </c>
      <c r="M3221" s="187">
        <v>46.46</v>
      </c>
      <c r="N3221" s="91">
        <f t="shared" si="614"/>
        <v>166.46</v>
      </c>
      <c r="O3221" s="411">
        <f t="shared" si="620"/>
        <v>68.937999999999988</v>
      </c>
      <c r="P3221" s="132" t="s">
        <v>52</v>
      </c>
      <c r="Q3221" s="232"/>
      <c r="R3221" s="411"/>
      <c r="T3221" s="134" t="s">
        <v>145</v>
      </c>
      <c r="U3221" s="267" t="s">
        <v>7367</v>
      </c>
      <c r="W3221" s="153" t="s">
        <v>7368</v>
      </c>
      <c r="AA3221" s="218"/>
    </row>
    <row r="3222" spans="1:27" x14ac:dyDescent="0.25">
      <c r="A3222" s="405">
        <v>3002497</v>
      </c>
      <c r="B3222" s="406">
        <v>42524</v>
      </c>
      <c r="C3222" s="405" t="s">
        <v>63</v>
      </c>
      <c r="D3222" s="401" t="s">
        <v>7369</v>
      </c>
      <c r="E3222" s="120">
        <v>1760</v>
      </c>
      <c r="F3222" s="133" t="s">
        <v>7370</v>
      </c>
      <c r="G3222" s="404" t="s">
        <v>45</v>
      </c>
      <c r="H3222" s="411">
        <v>5000</v>
      </c>
      <c r="I3222" s="411">
        <v>0</v>
      </c>
      <c r="J3222" s="391">
        <f>-((H3222*0.022)+0.3)</f>
        <v>-110.3</v>
      </c>
      <c r="K3222" s="90">
        <f t="shared" si="608"/>
        <v>4889.7</v>
      </c>
      <c r="L3222" s="187">
        <v>2290</v>
      </c>
      <c r="M3222" s="187">
        <v>550</v>
      </c>
      <c r="N3222" s="91">
        <f t="shared" si="614"/>
        <v>4580.3999999999996</v>
      </c>
      <c r="O3222" s="411">
        <f t="shared" si="620"/>
        <v>309.30000000000018</v>
      </c>
      <c r="P3222" s="132" t="s">
        <v>5451</v>
      </c>
      <c r="Q3222" s="232"/>
      <c r="R3222" s="411"/>
      <c r="T3222" s="134" t="s">
        <v>1258</v>
      </c>
      <c r="U3222" s="267" t="s">
        <v>7371</v>
      </c>
      <c r="W3222" s="153" t="s">
        <v>7372</v>
      </c>
      <c r="AA3222" s="218">
        <v>50</v>
      </c>
    </row>
    <row r="3223" spans="1:27" x14ac:dyDescent="0.25">
      <c r="A3223" s="405">
        <v>3002498</v>
      </c>
      <c r="B3223" s="406">
        <v>42524</v>
      </c>
      <c r="C3223" s="405" t="s">
        <v>5682</v>
      </c>
      <c r="D3223" s="401" t="s">
        <v>7373</v>
      </c>
      <c r="E3223" s="120">
        <v>250</v>
      </c>
      <c r="F3223" s="119" t="s">
        <v>5948</v>
      </c>
      <c r="G3223" s="404" t="s">
        <v>45</v>
      </c>
      <c r="H3223" s="411">
        <v>553.48</v>
      </c>
      <c r="I3223" s="94">
        <f t="shared" ref="I3223:I3235" si="621">-(H3223*0.09)</f>
        <v>-49.813200000000002</v>
      </c>
      <c r="J3223" s="391">
        <f t="shared" ref="J3223:J3235" si="622">-((H3223*0.019)+0.3)</f>
        <v>-10.816120000000002</v>
      </c>
      <c r="K3223" s="90">
        <f t="shared" si="608"/>
        <v>492.85068000000001</v>
      </c>
      <c r="L3223" s="131">
        <v>1000</v>
      </c>
      <c r="M3223" s="187">
        <v>215</v>
      </c>
      <c r="N3223" s="91">
        <f t="shared" si="614"/>
        <v>465</v>
      </c>
      <c r="O3223" s="411">
        <f t="shared" si="620"/>
        <v>27.850680000000011</v>
      </c>
      <c r="P3223" s="132" t="s">
        <v>52</v>
      </c>
      <c r="Q3223" s="232"/>
      <c r="R3223" s="411"/>
      <c r="T3223" s="134" t="s">
        <v>97</v>
      </c>
      <c r="U3223" s="267" t="s">
        <v>7374</v>
      </c>
      <c r="V3223" s="133" t="s">
        <v>55</v>
      </c>
      <c r="AA3223" s="218"/>
    </row>
    <row r="3224" spans="1:27" ht="24" x14ac:dyDescent="0.25">
      <c r="A3224" s="405">
        <v>3002499</v>
      </c>
      <c r="B3224" s="406">
        <v>42524</v>
      </c>
      <c r="C3224" s="405" t="s">
        <v>5682</v>
      </c>
      <c r="D3224" s="401" t="s">
        <v>7375</v>
      </c>
      <c r="E3224" s="120">
        <v>250</v>
      </c>
      <c r="F3224" s="133" t="s">
        <v>451</v>
      </c>
      <c r="G3224" s="404" t="s">
        <v>45</v>
      </c>
      <c r="H3224" s="411">
        <v>167.8</v>
      </c>
      <c r="I3224" s="94">
        <f t="shared" si="621"/>
        <v>-15.102</v>
      </c>
      <c r="J3224" s="391">
        <f t="shared" si="622"/>
        <v>-3.4882</v>
      </c>
      <c r="K3224" s="90">
        <f t="shared" si="608"/>
        <v>149.2098</v>
      </c>
      <c r="L3224" s="131">
        <v>300</v>
      </c>
      <c r="M3224" s="187">
        <v>28.1</v>
      </c>
      <c r="N3224" s="91">
        <f t="shared" si="614"/>
        <v>103.1</v>
      </c>
      <c r="O3224" s="411">
        <f t="shared" si="620"/>
        <v>46.109800000000007</v>
      </c>
      <c r="P3224" s="132" t="s">
        <v>52</v>
      </c>
      <c r="Q3224" s="232"/>
      <c r="R3224" s="411">
        <v>12.43</v>
      </c>
      <c r="S3224" s="133" t="s">
        <v>4608</v>
      </c>
      <c r="T3224" s="134" t="s">
        <v>145</v>
      </c>
      <c r="U3224" s="267" t="s">
        <v>7376</v>
      </c>
      <c r="AA3224" s="218"/>
    </row>
    <row r="3225" spans="1:27" ht="24" x14ac:dyDescent="0.25">
      <c r="A3225" s="405">
        <v>3002500</v>
      </c>
      <c r="B3225" s="406">
        <v>42524</v>
      </c>
      <c r="C3225" s="405" t="s">
        <v>5682</v>
      </c>
      <c r="D3225" s="401" t="s">
        <v>7377</v>
      </c>
      <c r="E3225" s="120">
        <v>500</v>
      </c>
      <c r="F3225" s="133" t="s">
        <v>1137</v>
      </c>
      <c r="G3225" s="404" t="s">
        <v>45</v>
      </c>
      <c r="H3225" s="411">
        <v>233.8</v>
      </c>
      <c r="I3225" s="94">
        <f t="shared" si="621"/>
        <v>-21.042000000000002</v>
      </c>
      <c r="J3225" s="391">
        <f t="shared" si="622"/>
        <v>-4.7421999999999995</v>
      </c>
      <c r="K3225" s="90">
        <f t="shared" si="608"/>
        <v>208.01580000000001</v>
      </c>
      <c r="L3225" s="131">
        <v>220</v>
      </c>
      <c r="M3225" s="187">
        <v>41.03</v>
      </c>
      <c r="N3225" s="91">
        <f t="shared" si="614"/>
        <v>151.03</v>
      </c>
      <c r="O3225" s="411">
        <f t="shared" si="620"/>
        <v>56.985800000000012</v>
      </c>
      <c r="P3225" s="132" t="s">
        <v>52</v>
      </c>
      <c r="Q3225" s="232"/>
      <c r="R3225" s="411">
        <v>15.3</v>
      </c>
      <c r="S3225" s="133" t="s">
        <v>301</v>
      </c>
      <c r="T3225" s="134" t="s">
        <v>145</v>
      </c>
      <c r="U3225" s="267" t="s">
        <v>7376</v>
      </c>
      <c r="AA3225" s="218"/>
    </row>
    <row r="3226" spans="1:27" ht="24" x14ac:dyDescent="0.25">
      <c r="A3226" s="405">
        <v>3002501</v>
      </c>
      <c r="B3226" s="406">
        <v>42524</v>
      </c>
      <c r="C3226" s="405" t="s">
        <v>5682</v>
      </c>
      <c r="D3226" s="401" t="s">
        <v>7378</v>
      </c>
      <c r="E3226" s="120">
        <v>200</v>
      </c>
      <c r="F3226" s="133" t="s">
        <v>227</v>
      </c>
      <c r="G3226" s="404" t="s">
        <v>45</v>
      </c>
      <c r="H3226" s="411">
        <v>180.26</v>
      </c>
      <c r="I3226" s="94">
        <f t="shared" si="621"/>
        <v>-16.223399999999998</v>
      </c>
      <c r="J3226" s="391">
        <f t="shared" si="622"/>
        <v>-3.7249399999999997</v>
      </c>
      <c r="K3226" s="90">
        <f t="shared" si="608"/>
        <v>160.31165999999999</v>
      </c>
      <c r="L3226" s="131">
        <v>350</v>
      </c>
      <c r="M3226" s="187">
        <v>39.51</v>
      </c>
      <c r="N3226" s="91">
        <f t="shared" si="614"/>
        <v>109.50999999999999</v>
      </c>
      <c r="O3226" s="411">
        <f t="shared" si="620"/>
        <v>50.801659999999998</v>
      </c>
      <c r="P3226" s="132" t="s">
        <v>52</v>
      </c>
      <c r="Q3226" s="232"/>
      <c r="R3226" s="411"/>
      <c r="T3226" s="134" t="s">
        <v>145</v>
      </c>
      <c r="U3226" s="267" t="s">
        <v>7379</v>
      </c>
      <c r="AA3226" s="218"/>
    </row>
    <row r="3227" spans="1:27" ht="24" x14ac:dyDescent="0.25">
      <c r="A3227" s="405">
        <v>3002502</v>
      </c>
      <c r="B3227" s="406">
        <v>42524</v>
      </c>
      <c r="C3227" s="405" t="s">
        <v>5682</v>
      </c>
      <c r="D3227" s="401" t="s">
        <v>7380</v>
      </c>
      <c r="E3227" s="120">
        <v>85</v>
      </c>
      <c r="F3227" s="133" t="s">
        <v>247</v>
      </c>
      <c r="G3227" s="404" t="s">
        <v>45</v>
      </c>
      <c r="H3227" s="411">
        <v>96.9</v>
      </c>
      <c r="I3227" s="94">
        <f t="shared" si="621"/>
        <v>-8.7210000000000001</v>
      </c>
      <c r="J3227" s="391">
        <f t="shared" si="622"/>
        <v>-2.1410999999999998</v>
      </c>
      <c r="K3227" s="90">
        <f t="shared" si="608"/>
        <v>86.037900000000008</v>
      </c>
      <c r="L3227" s="131">
        <v>590</v>
      </c>
      <c r="M3227" s="187">
        <v>33.03</v>
      </c>
      <c r="N3227" s="91">
        <f t="shared" si="614"/>
        <v>83.18</v>
      </c>
      <c r="O3227" s="411">
        <f t="shared" si="620"/>
        <v>2.8579000000000008</v>
      </c>
      <c r="P3227" s="132" t="s">
        <v>52</v>
      </c>
      <c r="Q3227" s="232"/>
      <c r="R3227" s="411"/>
      <c r="T3227" s="134" t="s">
        <v>145</v>
      </c>
      <c r="U3227" s="267" t="s">
        <v>7381</v>
      </c>
      <c r="AA3227" s="218"/>
    </row>
    <row r="3228" spans="1:27" ht="24" x14ac:dyDescent="0.25">
      <c r="A3228" s="405">
        <v>3002503</v>
      </c>
      <c r="B3228" s="406">
        <v>42524</v>
      </c>
      <c r="C3228" s="405" t="s">
        <v>5682</v>
      </c>
      <c r="D3228" s="401" t="s">
        <v>7382</v>
      </c>
      <c r="E3228" s="120">
        <v>200</v>
      </c>
      <c r="F3228" s="133" t="s">
        <v>247</v>
      </c>
      <c r="G3228" s="404" t="s">
        <v>45</v>
      </c>
      <c r="H3228" s="411">
        <v>218</v>
      </c>
      <c r="I3228" s="94">
        <f t="shared" si="621"/>
        <v>-19.62</v>
      </c>
      <c r="J3228" s="391">
        <f t="shared" si="622"/>
        <v>-4.4419999999999993</v>
      </c>
      <c r="K3228" s="90">
        <f t="shared" si="608"/>
        <v>193.93799999999999</v>
      </c>
      <c r="L3228" s="131">
        <v>590</v>
      </c>
      <c r="M3228" s="187">
        <v>42.34</v>
      </c>
      <c r="N3228" s="91">
        <f t="shared" si="614"/>
        <v>160.34</v>
      </c>
      <c r="O3228" s="411">
        <f t="shared" si="620"/>
        <v>33.597999999999985</v>
      </c>
      <c r="P3228" s="132" t="s">
        <v>52</v>
      </c>
      <c r="Q3228" s="232"/>
      <c r="R3228" s="411"/>
      <c r="T3228" s="134" t="s">
        <v>145</v>
      </c>
      <c r="U3228" s="267" t="s">
        <v>7383</v>
      </c>
      <c r="AA3228" s="218"/>
    </row>
    <row r="3229" spans="1:27" ht="24" x14ac:dyDescent="0.25">
      <c r="A3229" s="405">
        <v>3002504</v>
      </c>
      <c r="B3229" s="406">
        <v>42524</v>
      </c>
      <c r="C3229" s="405" t="s">
        <v>5682</v>
      </c>
      <c r="D3229" s="401" t="s">
        <v>7384</v>
      </c>
      <c r="E3229" s="120">
        <v>125</v>
      </c>
      <c r="F3229" s="133" t="s">
        <v>288</v>
      </c>
      <c r="G3229" s="404" t="s">
        <v>45</v>
      </c>
      <c r="H3229" s="411">
        <v>258.39999999999998</v>
      </c>
      <c r="I3229" s="94">
        <f t="shared" si="621"/>
        <v>-23.255999999999997</v>
      </c>
      <c r="J3229" s="391">
        <f t="shared" si="622"/>
        <v>-5.2095999999999991</v>
      </c>
      <c r="K3229" s="90">
        <f t="shared" si="608"/>
        <v>229.93439999999998</v>
      </c>
      <c r="L3229" s="131">
        <v>950</v>
      </c>
      <c r="M3229" s="187">
        <v>24.88</v>
      </c>
      <c r="N3229" s="91">
        <f t="shared" si="614"/>
        <v>143.63</v>
      </c>
      <c r="O3229" s="411">
        <f t="shared" si="620"/>
        <v>86.304399999999987</v>
      </c>
      <c r="P3229" s="132" t="s">
        <v>52</v>
      </c>
      <c r="Q3229" s="232"/>
      <c r="R3229" s="411"/>
      <c r="T3229" s="134" t="s">
        <v>145</v>
      </c>
      <c r="U3229" s="267" t="s">
        <v>7385</v>
      </c>
      <c r="AA3229" s="218"/>
    </row>
    <row r="3230" spans="1:27" ht="24" x14ac:dyDescent="0.25">
      <c r="A3230" s="405">
        <v>3002505</v>
      </c>
      <c r="B3230" s="406">
        <v>42524</v>
      </c>
      <c r="C3230" s="405" t="s">
        <v>5682</v>
      </c>
      <c r="D3230" s="401" t="s">
        <v>7386</v>
      </c>
      <c r="E3230" s="120">
        <v>250</v>
      </c>
      <c r="F3230" s="133" t="s">
        <v>1707</v>
      </c>
      <c r="G3230" s="404" t="s">
        <v>45</v>
      </c>
      <c r="H3230" s="411">
        <v>233.81</v>
      </c>
      <c r="I3230" s="94">
        <f t="shared" si="621"/>
        <v>-21.042899999999999</v>
      </c>
      <c r="J3230" s="391">
        <f t="shared" si="622"/>
        <v>-4.7423899999999994</v>
      </c>
      <c r="K3230" s="90">
        <f t="shared" si="608"/>
        <v>208.02471</v>
      </c>
      <c r="L3230" s="131">
        <v>400</v>
      </c>
      <c r="M3230" s="187">
        <v>34.450000000000003</v>
      </c>
      <c r="N3230" s="91">
        <f t="shared" si="614"/>
        <v>134.44999999999999</v>
      </c>
      <c r="O3230" s="411">
        <f t="shared" si="620"/>
        <v>73.57471000000001</v>
      </c>
      <c r="P3230" s="132" t="s">
        <v>52</v>
      </c>
      <c r="Q3230" s="232"/>
      <c r="R3230" s="411"/>
      <c r="T3230" s="134" t="s">
        <v>145</v>
      </c>
      <c r="U3230" s="267" t="s">
        <v>7387</v>
      </c>
      <c r="AA3230" s="218"/>
    </row>
    <row r="3231" spans="1:27" ht="24" x14ac:dyDescent="0.25">
      <c r="A3231" s="405">
        <v>3002506</v>
      </c>
      <c r="B3231" s="406">
        <v>42524</v>
      </c>
      <c r="C3231" s="405" t="s">
        <v>5682</v>
      </c>
      <c r="D3231" s="401" t="s">
        <v>7388</v>
      </c>
      <c r="E3231" s="120">
        <v>250</v>
      </c>
      <c r="F3231" s="133" t="s">
        <v>288</v>
      </c>
      <c r="G3231" s="404" t="s">
        <v>45</v>
      </c>
      <c r="H3231" s="411">
        <v>402.44</v>
      </c>
      <c r="I3231" s="94">
        <f t="shared" si="621"/>
        <v>-36.2196</v>
      </c>
      <c r="J3231" s="391">
        <f t="shared" si="622"/>
        <v>-7.9463599999999994</v>
      </c>
      <c r="K3231" s="90">
        <f t="shared" si="608"/>
        <v>358.27403999999996</v>
      </c>
      <c r="L3231" s="131">
        <v>950</v>
      </c>
      <c r="M3231" s="187">
        <v>55.64</v>
      </c>
      <c r="N3231" s="91">
        <f t="shared" si="614"/>
        <v>293.14</v>
      </c>
      <c r="O3231" s="411">
        <f t="shared" si="620"/>
        <v>65.13403999999997</v>
      </c>
      <c r="P3231" s="132" t="s">
        <v>52</v>
      </c>
      <c r="Q3231" s="232"/>
      <c r="R3231" s="411"/>
      <c r="T3231" s="134" t="s">
        <v>145</v>
      </c>
      <c r="U3231" s="267" t="s">
        <v>7389</v>
      </c>
      <c r="AA3231" s="218"/>
    </row>
    <row r="3232" spans="1:27" ht="24" x14ac:dyDescent="0.25">
      <c r="A3232" s="405">
        <v>3002507</v>
      </c>
      <c r="B3232" s="406">
        <v>42524</v>
      </c>
      <c r="C3232" s="405" t="s">
        <v>5682</v>
      </c>
      <c r="D3232" s="401" t="s">
        <v>7390</v>
      </c>
      <c r="E3232" s="120">
        <v>125</v>
      </c>
      <c r="F3232" s="133" t="s">
        <v>247</v>
      </c>
      <c r="G3232" s="404" t="s">
        <v>45</v>
      </c>
      <c r="H3232" s="411">
        <v>154.22999999999999</v>
      </c>
      <c r="I3232" s="94">
        <f t="shared" si="621"/>
        <v>-13.880699999999999</v>
      </c>
      <c r="J3232" s="391">
        <f t="shared" si="622"/>
        <v>-3.2303699999999997</v>
      </c>
      <c r="K3232" s="90">
        <f t="shared" si="608"/>
        <v>137.11893000000001</v>
      </c>
      <c r="L3232" s="131">
        <v>590</v>
      </c>
      <c r="M3232" s="187">
        <v>25.8</v>
      </c>
      <c r="N3232" s="91">
        <f t="shared" si="614"/>
        <v>99.55</v>
      </c>
      <c r="O3232" s="411">
        <f t="shared" si="620"/>
        <v>37.568930000000009</v>
      </c>
      <c r="P3232" s="132" t="s">
        <v>52</v>
      </c>
      <c r="Q3232" s="232"/>
      <c r="R3232" s="411"/>
      <c r="T3232" s="134" t="s">
        <v>145</v>
      </c>
      <c r="U3232" s="267" t="s">
        <v>7391</v>
      </c>
      <c r="AA3232" s="218"/>
    </row>
    <row r="3233" spans="1:27" ht="24" x14ac:dyDescent="0.25">
      <c r="A3233" s="405">
        <v>3002508</v>
      </c>
      <c r="B3233" s="406">
        <v>42524</v>
      </c>
      <c r="C3233" s="405" t="s">
        <v>5682</v>
      </c>
      <c r="D3233" s="401" t="s">
        <v>1536</v>
      </c>
      <c r="E3233" s="120">
        <v>150</v>
      </c>
      <c r="F3233" s="133" t="s">
        <v>157</v>
      </c>
      <c r="G3233" s="404" t="s">
        <v>45</v>
      </c>
      <c r="H3233" s="411">
        <v>229.5</v>
      </c>
      <c r="I3233" s="94">
        <f t="shared" si="621"/>
        <v>-20.654999999999998</v>
      </c>
      <c r="J3233" s="391">
        <f t="shared" si="622"/>
        <v>-4.6604999999999999</v>
      </c>
      <c r="K3233" s="90">
        <f t="shared" si="608"/>
        <v>204.18449999999999</v>
      </c>
      <c r="M3233" s="224">
        <v>52.69</v>
      </c>
      <c r="N3233" s="91">
        <f t="shared" si="614"/>
        <v>52.69</v>
      </c>
      <c r="O3233" s="411">
        <f t="shared" si="620"/>
        <v>151.49449999999999</v>
      </c>
      <c r="P3233" s="132" t="s">
        <v>52</v>
      </c>
      <c r="Q3233" s="232"/>
      <c r="R3233" s="411"/>
      <c r="T3233" s="134" t="s">
        <v>145</v>
      </c>
      <c r="U3233" s="267" t="s">
        <v>7392</v>
      </c>
      <c r="AA3233" s="218"/>
    </row>
    <row r="3234" spans="1:27" ht="24" x14ac:dyDescent="0.25">
      <c r="A3234" s="405">
        <v>3002509</v>
      </c>
      <c r="B3234" s="406">
        <v>42524</v>
      </c>
      <c r="C3234" s="405" t="s">
        <v>5682</v>
      </c>
      <c r="D3234" s="401" t="s">
        <v>7393</v>
      </c>
      <c r="E3234" s="120">
        <v>200</v>
      </c>
      <c r="F3234" s="133" t="s">
        <v>688</v>
      </c>
      <c r="G3234" s="404" t="s">
        <v>45</v>
      </c>
      <c r="H3234" s="411">
        <v>347.98</v>
      </c>
      <c r="I3234" s="94">
        <f t="shared" si="621"/>
        <v>-31.318200000000001</v>
      </c>
      <c r="J3234" s="391">
        <f t="shared" si="622"/>
        <v>-6.9116200000000001</v>
      </c>
      <c r="K3234" s="90">
        <f t="shared" si="608"/>
        <v>309.75018</v>
      </c>
      <c r="L3234" s="131">
        <v>856</v>
      </c>
      <c r="M3234" s="187">
        <v>37.21</v>
      </c>
      <c r="N3234" s="91">
        <f t="shared" si="614"/>
        <v>208.41000000000003</v>
      </c>
      <c r="O3234" s="411">
        <f t="shared" si="620"/>
        <v>101.34017999999998</v>
      </c>
      <c r="P3234" s="132" t="s">
        <v>52</v>
      </c>
      <c r="Q3234" s="232"/>
      <c r="R3234" s="411"/>
      <c r="T3234" s="134" t="s">
        <v>145</v>
      </c>
      <c r="U3234" s="267" t="s">
        <v>7394</v>
      </c>
      <c r="AA3234" s="218"/>
    </row>
    <row r="3235" spans="1:27" ht="24" x14ac:dyDescent="0.25">
      <c r="A3235" s="405">
        <v>3002510</v>
      </c>
      <c r="B3235" s="406">
        <v>42524</v>
      </c>
      <c r="C3235" s="405" t="s">
        <v>5682</v>
      </c>
      <c r="D3235" s="401" t="s">
        <v>7395</v>
      </c>
      <c r="E3235" s="120">
        <v>115</v>
      </c>
      <c r="F3235" s="133" t="s">
        <v>247</v>
      </c>
      <c r="G3235" s="404" t="s">
        <v>45</v>
      </c>
      <c r="H3235" s="411">
        <v>131.1</v>
      </c>
      <c r="I3235" s="94">
        <f t="shared" si="621"/>
        <v>-11.798999999999999</v>
      </c>
      <c r="J3235" s="391">
        <f t="shared" si="622"/>
        <v>-2.7908999999999997</v>
      </c>
      <c r="K3235" s="90">
        <f t="shared" si="608"/>
        <v>116.51009999999999</v>
      </c>
      <c r="L3235" s="131">
        <v>480</v>
      </c>
      <c r="M3235" s="187">
        <v>30.65</v>
      </c>
      <c r="N3235" s="91">
        <f t="shared" si="614"/>
        <v>85.85</v>
      </c>
      <c r="O3235" s="411">
        <f t="shared" si="620"/>
        <v>30.6601</v>
      </c>
      <c r="P3235" s="132" t="s">
        <v>52</v>
      </c>
      <c r="Q3235" s="232"/>
      <c r="R3235" s="411"/>
      <c r="T3235" s="134" t="s">
        <v>145</v>
      </c>
      <c r="U3235" s="267" t="s">
        <v>7396</v>
      </c>
      <c r="AA3235" s="218"/>
    </row>
    <row r="3236" spans="1:27" ht="24" x14ac:dyDescent="0.25">
      <c r="A3236" s="405">
        <v>3002511</v>
      </c>
      <c r="B3236" s="406">
        <v>42524</v>
      </c>
      <c r="C3236" s="405" t="s">
        <v>63</v>
      </c>
      <c r="D3236" s="401" t="s">
        <v>7397</v>
      </c>
      <c r="E3236" s="120">
        <v>20</v>
      </c>
      <c r="F3236" s="133" t="s">
        <v>7398</v>
      </c>
      <c r="G3236" s="404" t="s">
        <v>45</v>
      </c>
      <c r="H3236" s="411">
        <v>90</v>
      </c>
      <c r="I3236" s="411">
        <v>0</v>
      </c>
      <c r="J3236" s="391">
        <f>-((H3236*0.022)+0.3)</f>
        <v>-2.2799999999999998</v>
      </c>
      <c r="K3236" s="90">
        <f t="shared" si="608"/>
        <v>87.72</v>
      </c>
      <c r="L3236" s="187">
        <v>1500</v>
      </c>
      <c r="M3236" s="187">
        <v>15.53</v>
      </c>
      <c r="N3236" s="91">
        <f t="shared" si="614"/>
        <v>45.53</v>
      </c>
      <c r="O3236" s="411">
        <f t="shared" si="620"/>
        <v>42.19</v>
      </c>
      <c r="P3236" s="132" t="s">
        <v>144</v>
      </c>
      <c r="Q3236" s="232"/>
      <c r="R3236" s="411"/>
      <c r="T3236" s="134" t="s">
        <v>145</v>
      </c>
      <c r="U3236" s="267" t="s">
        <v>7399</v>
      </c>
      <c r="W3236" s="153" t="s">
        <v>7400</v>
      </c>
      <c r="AA3236" s="218"/>
    </row>
    <row r="3237" spans="1:27" ht="24" x14ac:dyDescent="0.25">
      <c r="A3237" s="405">
        <v>3002512</v>
      </c>
      <c r="B3237" s="406">
        <v>42524</v>
      </c>
      <c r="C3237" s="405" t="s">
        <v>141</v>
      </c>
      <c r="D3237" s="401" t="s">
        <v>7401</v>
      </c>
      <c r="E3237" s="120">
        <v>140</v>
      </c>
      <c r="F3237" s="133" t="s">
        <v>7402</v>
      </c>
      <c r="G3237" s="404" t="s">
        <v>45</v>
      </c>
      <c r="H3237" s="411">
        <v>110</v>
      </c>
      <c r="I3237" s="411">
        <v>0</v>
      </c>
      <c r="J3237" s="391">
        <f>-((H3237*0.0325)+0.3)</f>
        <v>-3.875</v>
      </c>
      <c r="K3237" s="90">
        <f t="shared" si="608"/>
        <v>106.125</v>
      </c>
      <c r="M3237" s="187">
        <v>12.17</v>
      </c>
      <c r="N3237" s="91">
        <f t="shared" si="614"/>
        <v>12.17</v>
      </c>
      <c r="O3237" s="411">
        <f t="shared" si="620"/>
        <v>93.954999999999998</v>
      </c>
      <c r="P3237" s="132" t="s">
        <v>52</v>
      </c>
      <c r="Q3237" s="232"/>
      <c r="R3237" s="411"/>
      <c r="T3237" s="134" t="s">
        <v>145</v>
      </c>
      <c r="U3237" s="267" t="s">
        <v>7403</v>
      </c>
      <c r="W3237" s="153" t="s">
        <v>7404</v>
      </c>
      <c r="AA3237" s="218"/>
    </row>
    <row r="3238" spans="1:27" x14ac:dyDescent="0.25">
      <c r="A3238" s="419">
        <v>3002513</v>
      </c>
      <c r="B3238" s="421">
        <v>42524</v>
      </c>
      <c r="C3238" s="419" t="s">
        <v>63</v>
      </c>
      <c r="D3238" s="417" t="s">
        <v>7405</v>
      </c>
      <c r="E3238" s="120">
        <v>160</v>
      </c>
      <c r="F3238" s="133" t="s">
        <v>7406</v>
      </c>
      <c r="G3238" s="434" t="s">
        <v>45</v>
      </c>
      <c r="H3238" s="427">
        <v>932</v>
      </c>
      <c r="I3238" s="427">
        <v>0</v>
      </c>
      <c r="J3238" s="498">
        <f>-((H3238*0.022)+0.3)</f>
        <v>-20.803999999999998</v>
      </c>
      <c r="K3238" s="425">
        <f t="shared" si="608"/>
        <v>911.19600000000003</v>
      </c>
      <c r="M3238" s="510">
        <v>98.09</v>
      </c>
      <c r="N3238" s="91">
        <f t="shared" si="614"/>
        <v>98.09</v>
      </c>
      <c r="O3238" s="411">
        <f t="shared" si="620"/>
        <v>813.10599999999999</v>
      </c>
      <c r="P3238" s="132" t="s">
        <v>52</v>
      </c>
      <c r="Q3238" s="232"/>
      <c r="R3238" s="411"/>
      <c r="T3238" s="439" t="s">
        <v>244</v>
      </c>
      <c r="U3238" s="444" t="s">
        <v>7407</v>
      </c>
      <c r="V3238" s="133" t="s">
        <v>55</v>
      </c>
      <c r="W3238" s="153" t="s">
        <v>6052</v>
      </c>
      <c r="AA3238" s="218"/>
    </row>
    <row r="3239" spans="1:27" x14ac:dyDescent="0.25">
      <c r="A3239" s="420"/>
      <c r="B3239" s="422"/>
      <c r="C3239" s="420"/>
      <c r="D3239" s="418"/>
      <c r="E3239" s="120">
        <v>360</v>
      </c>
      <c r="F3239" s="133" t="s">
        <v>7408</v>
      </c>
      <c r="G3239" s="436"/>
      <c r="H3239" s="428"/>
      <c r="I3239" s="428"/>
      <c r="J3239" s="499"/>
      <c r="K3239" s="426"/>
      <c r="M3239" s="512"/>
      <c r="N3239" s="91">
        <f t="shared" si="614"/>
        <v>0</v>
      </c>
      <c r="O3239" s="411">
        <f t="shared" si="620"/>
        <v>0</v>
      </c>
      <c r="P3239" s="132" t="s">
        <v>52</v>
      </c>
      <c r="Q3239" s="232"/>
      <c r="R3239" s="411"/>
      <c r="T3239" s="441"/>
      <c r="U3239" s="445"/>
      <c r="AA3239" s="218"/>
    </row>
    <row r="3240" spans="1:27" x14ac:dyDescent="0.25">
      <c r="A3240" s="405">
        <v>3002514</v>
      </c>
      <c r="B3240" s="406">
        <v>42524</v>
      </c>
      <c r="C3240" s="405" t="s">
        <v>327</v>
      </c>
      <c r="D3240" s="401" t="s">
        <v>4638</v>
      </c>
      <c r="E3240" s="120">
        <v>4000</v>
      </c>
      <c r="F3240" s="133" t="s">
        <v>7409</v>
      </c>
      <c r="G3240" s="404" t="s">
        <v>45</v>
      </c>
      <c r="H3240" s="411">
        <v>1560</v>
      </c>
      <c r="I3240" s="411">
        <v>0</v>
      </c>
      <c r="J3240" s="391">
        <f>-((H3240*0.022)+0.3)</f>
        <v>-34.619999999999997</v>
      </c>
      <c r="K3240" s="90">
        <f t="shared" si="608"/>
        <v>1525.38</v>
      </c>
      <c r="L3240" s="187">
        <v>250</v>
      </c>
      <c r="N3240" s="91">
        <f t="shared" si="614"/>
        <v>1000</v>
      </c>
      <c r="O3240" s="411">
        <f t="shared" si="620"/>
        <v>525.38000000000011</v>
      </c>
      <c r="P3240" s="132" t="s">
        <v>235</v>
      </c>
      <c r="Q3240" s="232"/>
      <c r="R3240" s="411"/>
      <c r="T3240" s="134" t="s">
        <v>565</v>
      </c>
      <c r="U3240" s="267" t="s">
        <v>7410</v>
      </c>
      <c r="W3240" s="153" t="s">
        <v>4641</v>
      </c>
      <c r="AA3240" s="218">
        <v>10</v>
      </c>
    </row>
    <row r="3241" spans="1:27" ht="24" x14ac:dyDescent="0.25">
      <c r="A3241" s="405">
        <v>3002515</v>
      </c>
      <c r="B3241" s="406">
        <v>42527</v>
      </c>
      <c r="C3241" s="405" t="s">
        <v>5682</v>
      </c>
      <c r="D3241" s="401" t="s">
        <v>7411</v>
      </c>
      <c r="E3241" s="120">
        <v>150</v>
      </c>
      <c r="F3241" s="133" t="s">
        <v>182</v>
      </c>
      <c r="G3241" s="404" t="s">
        <v>45</v>
      </c>
      <c r="H3241" s="411">
        <v>289.75</v>
      </c>
      <c r="I3241" s="94">
        <f t="shared" ref="I3241:I3268" si="623">-(H3241*0.09)</f>
        <v>-26.077500000000001</v>
      </c>
      <c r="J3241" s="391">
        <f t="shared" ref="J3241:J3268" si="624">-((H3241*0.019)+0.3)</f>
        <v>-5.80525</v>
      </c>
      <c r="K3241" s="90">
        <f t="shared" si="608"/>
        <v>257.86725000000001</v>
      </c>
      <c r="L3241" s="131">
        <v>1060</v>
      </c>
      <c r="M3241" s="187">
        <v>42.56</v>
      </c>
      <c r="N3241" s="91">
        <f t="shared" si="614"/>
        <v>201.56</v>
      </c>
      <c r="O3241" s="411">
        <f t="shared" si="620"/>
        <v>56.30725000000001</v>
      </c>
      <c r="P3241" s="132" t="s">
        <v>52</v>
      </c>
      <c r="Q3241" s="232"/>
      <c r="R3241" s="411"/>
      <c r="T3241" s="134" t="s">
        <v>145</v>
      </c>
      <c r="U3241" s="267" t="s">
        <v>7412</v>
      </c>
      <c r="AA3241" s="218"/>
    </row>
    <row r="3242" spans="1:27" ht="24" x14ac:dyDescent="0.25">
      <c r="A3242" s="405">
        <v>3002516</v>
      </c>
      <c r="B3242" s="406">
        <v>42527</v>
      </c>
      <c r="C3242" s="405" t="s">
        <v>5682</v>
      </c>
      <c r="D3242" s="401" t="s">
        <v>7413</v>
      </c>
      <c r="E3242" s="120">
        <v>133</v>
      </c>
      <c r="F3242" s="133" t="s">
        <v>4767</v>
      </c>
      <c r="G3242" s="404" t="s">
        <v>45</v>
      </c>
      <c r="H3242" s="411">
        <v>284.62</v>
      </c>
      <c r="I3242" s="94">
        <f t="shared" si="623"/>
        <v>-25.6158</v>
      </c>
      <c r="J3242" s="391">
        <f t="shared" si="624"/>
        <v>-5.7077799999999996</v>
      </c>
      <c r="K3242" s="90">
        <f t="shared" si="608"/>
        <v>253.29642000000001</v>
      </c>
      <c r="M3242" s="187">
        <v>23.26</v>
      </c>
      <c r="N3242" s="91">
        <f t="shared" si="614"/>
        <v>23.26</v>
      </c>
      <c r="O3242" s="411">
        <f t="shared" si="620"/>
        <v>230.03642000000002</v>
      </c>
      <c r="P3242" s="132" t="s">
        <v>52</v>
      </c>
      <c r="Q3242" s="232"/>
      <c r="R3242" s="411"/>
      <c r="T3242" s="134" t="s">
        <v>145</v>
      </c>
      <c r="U3242" s="267" t="s">
        <v>7414</v>
      </c>
      <c r="AA3242" s="218"/>
    </row>
    <row r="3243" spans="1:27" ht="24" x14ac:dyDescent="0.25">
      <c r="A3243" s="405">
        <v>3002517</v>
      </c>
      <c r="B3243" s="406">
        <v>42527</v>
      </c>
      <c r="C3243" s="405" t="s">
        <v>5682</v>
      </c>
      <c r="D3243" s="401" t="s">
        <v>4910</v>
      </c>
      <c r="E3243" s="120">
        <v>125</v>
      </c>
      <c r="F3243" s="133" t="s">
        <v>877</v>
      </c>
      <c r="G3243" s="404" t="s">
        <v>45</v>
      </c>
      <c r="H3243" s="411">
        <v>125.08</v>
      </c>
      <c r="I3243" s="94">
        <f t="shared" si="623"/>
        <v>-11.257199999999999</v>
      </c>
      <c r="J3243" s="391">
        <f t="shared" si="624"/>
        <v>-2.6765199999999996</v>
      </c>
      <c r="K3243" s="90">
        <f t="shared" si="608"/>
        <v>111.14628</v>
      </c>
      <c r="L3243" s="131">
        <v>235</v>
      </c>
      <c r="M3243" s="187">
        <v>20.25</v>
      </c>
      <c r="N3243" s="91">
        <f t="shared" si="614"/>
        <v>49.625</v>
      </c>
      <c r="O3243" s="411">
        <f t="shared" si="620"/>
        <v>61.521280000000004</v>
      </c>
      <c r="P3243" s="132" t="s">
        <v>52</v>
      </c>
      <c r="Q3243" s="232"/>
      <c r="R3243" s="411"/>
      <c r="T3243" s="134" t="s">
        <v>145</v>
      </c>
      <c r="U3243" s="267" t="s">
        <v>7415</v>
      </c>
      <c r="AA3243" s="218"/>
    </row>
    <row r="3244" spans="1:27" ht="24" x14ac:dyDescent="0.25">
      <c r="A3244" s="405">
        <v>3002518</v>
      </c>
      <c r="B3244" s="406">
        <v>42527</v>
      </c>
      <c r="C3244" s="405" t="s">
        <v>5682</v>
      </c>
      <c r="D3244" s="401" t="s">
        <v>7416</v>
      </c>
      <c r="E3244" s="120">
        <v>100</v>
      </c>
      <c r="F3244" s="133" t="s">
        <v>4063</v>
      </c>
      <c r="G3244" s="404" t="s">
        <v>45</v>
      </c>
      <c r="H3244" s="411">
        <v>260</v>
      </c>
      <c r="I3244" s="94">
        <f t="shared" si="623"/>
        <v>-23.4</v>
      </c>
      <c r="J3244" s="391">
        <f t="shared" si="624"/>
        <v>-5.2399999999999993</v>
      </c>
      <c r="K3244" s="90">
        <f t="shared" si="608"/>
        <v>231.35999999999999</v>
      </c>
      <c r="M3244" s="187">
        <v>57.73</v>
      </c>
      <c r="N3244" s="91">
        <f t="shared" si="614"/>
        <v>57.73</v>
      </c>
      <c r="O3244" s="411">
        <f t="shared" si="620"/>
        <v>173.63</v>
      </c>
      <c r="P3244" s="132" t="s">
        <v>52</v>
      </c>
      <c r="Q3244" s="232"/>
      <c r="R3244" s="411"/>
      <c r="T3244" s="134" t="s">
        <v>145</v>
      </c>
      <c r="U3244" s="267" t="s">
        <v>7417</v>
      </c>
      <c r="AA3244" s="218"/>
    </row>
    <row r="3245" spans="1:27" x14ac:dyDescent="0.25">
      <c r="A3245" s="405">
        <v>3002519</v>
      </c>
      <c r="B3245" s="406">
        <v>42527</v>
      </c>
      <c r="C3245" s="405" t="s">
        <v>5682</v>
      </c>
      <c r="D3245" s="401" t="s">
        <v>6971</v>
      </c>
      <c r="E3245" s="120">
        <v>1000</v>
      </c>
      <c r="F3245" s="133" t="s">
        <v>835</v>
      </c>
      <c r="G3245" s="404" t="s">
        <v>45</v>
      </c>
      <c r="H3245" s="411">
        <v>2435.04</v>
      </c>
      <c r="I3245" s="94">
        <f t="shared" si="623"/>
        <v>-219.15359999999998</v>
      </c>
      <c r="J3245" s="391">
        <f t="shared" si="624"/>
        <v>-46.565759999999997</v>
      </c>
      <c r="K3245" s="90">
        <f t="shared" si="608"/>
        <v>2169.3206399999999</v>
      </c>
      <c r="L3245" s="187">
        <v>1859</v>
      </c>
      <c r="M3245" s="187">
        <v>115.91</v>
      </c>
      <c r="N3245" s="91">
        <f t="shared" si="614"/>
        <v>1974.91</v>
      </c>
      <c r="O3245" s="411">
        <f t="shared" si="620"/>
        <v>194.41063999999983</v>
      </c>
      <c r="P3245" s="132" t="s">
        <v>7418</v>
      </c>
      <c r="Q3245" s="232"/>
      <c r="R3245" s="411"/>
      <c r="T3245" s="134" t="s">
        <v>97</v>
      </c>
      <c r="U3245" s="267" t="s">
        <v>7419</v>
      </c>
      <c r="V3245" s="164" t="s">
        <v>55</v>
      </c>
      <c r="AA3245" s="218"/>
    </row>
    <row r="3246" spans="1:27" ht="24" x14ac:dyDescent="0.25">
      <c r="A3246" s="405">
        <v>3002520</v>
      </c>
      <c r="B3246" s="406">
        <v>42527</v>
      </c>
      <c r="C3246" s="405" t="s">
        <v>5682</v>
      </c>
      <c r="D3246" s="401" t="s">
        <v>7420</v>
      </c>
      <c r="E3246" s="120">
        <v>220</v>
      </c>
      <c r="F3246" s="133" t="s">
        <v>247</v>
      </c>
      <c r="G3246" s="404" t="s">
        <v>45</v>
      </c>
      <c r="H3246" s="411">
        <v>250.8</v>
      </c>
      <c r="I3246" s="94">
        <f t="shared" si="623"/>
        <v>-22.571999999999999</v>
      </c>
      <c r="J3246" s="391">
        <f t="shared" si="624"/>
        <v>-5.0651999999999999</v>
      </c>
      <c r="K3246" s="90">
        <f t="shared" si="608"/>
        <v>223.1628</v>
      </c>
      <c r="L3246" s="131">
        <v>480</v>
      </c>
      <c r="M3246" s="187">
        <v>41.45</v>
      </c>
      <c r="N3246" s="91">
        <f t="shared" si="614"/>
        <v>147.05000000000001</v>
      </c>
      <c r="O3246" s="411">
        <f t="shared" si="620"/>
        <v>76.112799999999993</v>
      </c>
      <c r="P3246" s="132" t="s">
        <v>52</v>
      </c>
      <c r="Q3246" s="232"/>
      <c r="R3246" s="411"/>
      <c r="T3246" s="134" t="s">
        <v>145</v>
      </c>
      <c r="U3246" s="267" t="s">
        <v>7421</v>
      </c>
      <c r="AA3246" s="218"/>
    </row>
    <row r="3247" spans="1:27" ht="24" x14ac:dyDescent="0.25">
      <c r="A3247" s="405">
        <v>3002521</v>
      </c>
      <c r="B3247" s="406">
        <v>42527</v>
      </c>
      <c r="C3247" s="405" t="s">
        <v>5682</v>
      </c>
      <c r="D3247" s="401" t="s">
        <v>7422</v>
      </c>
      <c r="E3247" s="120">
        <v>250</v>
      </c>
      <c r="F3247" s="133" t="s">
        <v>1137</v>
      </c>
      <c r="G3247" s="404" t="s">
        <v>45</v>
      </c>
      <c r="H3247" s="411">
        <v>126.35</v>
      </c>
      <c r="I3247" s="94">
        <f t="shared" si="623"/>
        <v>-11.371499999999999</v>
      </c>
      <c r="J3247" s="391">
        <f t="shared" si="624"/>
        <v>-2.7006499999999996</v>
      </c>
      <c r="K3247" s="90">
        <f t="shared" si="608"/>
        <v>112.27785</v>
      </c>
      <c r="L3247" s="131">
        <v>220</v>
      </c>
      <c r="M3247" s="187">
        <v>18.809999999999999</v>
      </c>
      <c r="N3247" s="91">
        <f t="shared" si="614"/>
        <v>73.81</v>
      </c>
      <c r="O3247" s="411">
        <f t="shared" si="620"/>
        <v>38.467849999999999</v>
      </c>
      <c r="P3247" s="132" t="s">
        <v>52</v>
      </c>
      <c r="Q3247" s="232"/>
      <c r="R3247" s="411"/>
      <c r="T3247" s="134" t="s">
        <v>145</v>
      </c>
      <c r="U3247" s="267" t="s">
        <v>7423</v>
      </c>
      <c r="AA3247" s="218"/>
    </row>
    <row r="3248" spans="1:27" ht="24" x14ac:dyDescent="0.25">
      <c r="A3248" s="405">
        <v>3002522</v>
      </c>
      <c r="B3248" s="406">
        <v>42527</v>
      </c>
      <c r="C3248" s="405" t="s">
        <v>5682</v>
      </c>
      <c r="D3248" s="401" t="s">
        <v>7424</v>
      </c>
      <c r="E3248" s="120">
        <v>85</v>
      </c>
      <c r="F3248" s="133" t="s">
        <v>227</v>
      </c>
      <c r="G3248" s="404" t="s">
        <v>45</v>
      </c>
      <c r="H3248" s="411">
        <v>97</v>
      </c>
      <c r="I3248" s="94">
        <f t="shared" si="623"/>
        <v>-8.73</v>
      </c>
      <c r="J3248" s="391">
        <f t="shared" si="624"/>
        <v>-2.1429999999999998</v>
      </c>
      <c r="K3248" s="90">
        <f t="shared" si="608"/>
        <v>86.126999999999995</v>
      </c>
      <c r="L3248" s="131">
        <v>350</v>
      </c>
      <c r="M3248" s="187">
        <v>22.5</v>
      </c>
      <c r="N3248" s="91">
        <f t="shared" si="614"/>
        <v>52.25</v>
      </c>
      <c r="O3248" s="411">
        <f t="shared" si="620"/>
        <v>33.876999999999995</v>
      </c>
      <c r="P3248" s="132" t="s">
        <v>52</v>
      </c>
      <c r="Q3248" s="232"/>
      <c r="R3248" s="411"/>
      <c r="T3248" s="134" t="s">
        <v>145</v>
      </c>
      <c r="U3248" s="267" t="s">
        <v>7425</v>
      </c>
      <c r="AA3248" s="218"/>
    </row>
    <row r="3249" spans="1:27" ht="24" x14ac:dyDescent="0.25">
      <c r="A3249" s="405">
        <v>3002523</v>
      </c>
      <c r="B3249" s="406">
        <v>42527</v>
      </c>
      <c r="C3249" s="405" t="s">
        <v>5682</v>
      </c>
      <c r="D3249" s="401" t="s">
        <v>7426</v>
      </c>
      <c r="E3249" s="120">
        <v>300</v>
      </c>
      <c r="F3249" s="133" t="s">
        <v>451</v>
      </c>
      <c r="G3249" s="404" t="s">
        <v>45</v>
      </c>
      <c r="H3249" s="411">
        <v>189.05</v>
      </c>
      <c r="I3249" s="94">
        <f t="shared" si="623"/>
        <v>-17.014500000000002</v>
      </c>
      <c r="J3249" s="391">
        <f t="shared" si="624"/>
        <v>-3.89195</v>
      </c>
      <c r="K3249" s="90">
        <f t="shared" si="608"/>
        <v>168.14355</v>
      </c>
      <c r="L3249" s="131">
        <v>300</v>
      </c>
      <c r="M3249" s="187">
        <v>25.05</v>
      </c>
      <c r="N3249" s="91">
        <f t="shared" si="614"/>
        <v>115.05</v>
      </c>
      <c r="O3249" s="411">
        <f t="shared" si="620"/>
        <v>53.093550000000008</v>
      </c>
      <c r="P3249" s="132" t="s">
        <v>52</v>
      </c>
      <c r="Q3249" s="232"/>
      <c r="R3249" s="411"/>
      <c r="T3249" s="134" t="s">
        <v>145</v>
      </c>
      <c r="U3249" s="267" t="s">
        <v>7427</v>
      </c>
      <c r="AA3249" s="218"/>
    </row>
    <row r="3250" spans="1:27" ht="24" x14ac:dyDescent="0.25">
      <c r="A3250" s="405">
        <v>3002524</v>
      </c>
      <c r="B3250" s="406">
        <v>42527</v>
      </c>
      <c r="C3250" s="405" t="s">
        <v>5682</v>
      </c>
      <c r="D3250" s="401" t="s">
        <v>7428</v>
      </c>
      <c r="E3250" s="120">
        <v>150</v>
      </c>
      <c r="F3250" s="133" t="s">
        <v>307</v>
      </c>
      <c r="G3250" s="404" t="s">
        <v>45</v>
      </c>
      <c r="H3250" s="411">
        <v>187.16</v>
      </c>
      <c r="I3250" s="94">
        <f t="shared" si="623"/>
        <v>-16.8444</v>
      </c>
      <c r="J3250" s="391">
        <f t="shared" si="624"/>
        <v>-3.8560399999999997</v>
      </c>
      <c r="K3250" s="90">
        <f t="shared" si="608"/>
        <v>166.45955999999998</v>
      </c>
      <c r="L3250" s="131">
        <v>690</v>
      </c>
      <c r="M3250" s="187">
        <v>41.85</v>
      </c>
      <c r="N3250" s="91">
        <f t="shared" ref="N3250:N3313" si="625">((L3250)*(E3250*0.001))+M3250</f>
        <v>145.35</v>
      </c>
      <c r="O3250" s="411">
        <f t="shared" si="620"/>
        <v>21.109559999999988</v>
      </c>
      <c r="P3250" s="132" t="s">
        <v>52</v>
      </c>
      <c r="Q3250" s="232"/>
      <c r="R3250" s="411"/>
      <c r="T3250" s="134" t="s">
        <v>145</v>
      </c>
      <c r="U3250" s="267" t="s">
        <v>7429</v>
      </c>
      <c r="AA3250" s="218"/>
    </row>
    <row r="3251" spans="1:27" x14ac:dyDescent="0.25">
      <c r="A3251" s="405">
        <v>3002525</v>
      </c>
      <c r="B3251" s="406">
        <v>42527</v>
      </c>
      <c r="C3251" s="405" t="s">
        <v>5682</v>
      </c>
      <c r="D3251" s="401" t="s">
        <v>7430</v>
      </c>
      <c r="E3251" s="120">
        <v>1000</v>
      </c>
      <c r="F3251" s="133" t="s">
        <v>7431</v>
      </c>
      <c r="G3251" s="404" t="s">
        <v>45</v>
      </c>
      <c r="H3251" s="411">
        <v>733.6</v>
      </c>
      <c r="I3251" s="94">
        <f t="shared" si="623"/>
        <v>-66.024000000000001</v>
      </c>
      <c r="J3251" s="391">
        <f t="shared" si="624"/>
        <v>-14.2384</v>
      </c>
      <c r="K3251" s="90">
        <f t="shared" si="608"/>
        <v>653.33760000000007</v>
      </c>
      <c r="L3251" s="187">
        <v>506</v>
      </c>
      <c r="M3251" s="243">
        <v>206.71</v>
      </c>
      <c r="N3251" s="91">
        <f t="shared" si="625"/>
        <v>712.71</v>
      </c>
      <c r="O3251" s="411">
        <f t="shared" si="620"/>
        <v>-59.372399999999971</v>
      </c>
      <c r="P3251" s="132" t="s">
        <v>183</v>
      </c>
      <c r="Q3251" s="232"/>
      <c r="R3251" s="411"/>
      <c r="T3251" s="134" t="s">
        <v>314</v>
      </c>
      <c r="U3251" s="267" t="s">
        <v>7432</v>
      </c>
      <c r="AA3251" s="218"/>
    </row>
    <row r="3252" spans="1:27" ht="24" x14ac:dyDescent="0.25">
      <c r="A3252" s="405">
        <v>3002526</v>
      </c>
      <c r="B3252" s="406">
        <v>42527</v>
      </c>
      <c r="C3252" s="405" t="s">
        <v>5682</v>
      </c>
      <c r="D3252" s="401" t="s">
        <v>7433</v>
      </c>
      <c r="E3252" s="120">
        <v>100</v>
      </c>
      <c r="F3252" s="133" t="s">
        <v>157</v>
      </c>
      <c r="G3252" s="404" t="s">
        <v>45</v>
      </c>
      <c r="H3252" s="411">
        <v>167</v>
      </c>
      <c r="I3252" s="94">
        <f t="shared" si="623"/>
        <v>-15.03</v>
      </c>
      <c r="J3252" s="391">
        <f t="shared" si="624"/>
        <v>-3.4729999999999999</v>
      </c>
      <c r="K3252" s="90">
        <f t="shared" si="608"/>
        <v>148.49699999999999</v>
      </c>
      <c r="M3252" s="187">
        <v>34.01</v>
      </c>
      <c r="N3252" s="91">
        <f t="shared" si="625"/>
        <v>34.01</v>
      </c>
      <c r="O3252" s="411">
        <f t="shared" si="620"/>
        <v>114.48699999999999</v>
      </c>
      <c r="P3252" s="132" t="s">
        <v>52</v>
      </c>
      <c r="Q3252" s="232"/>
      <c r="R3252" s="411"/>
      <c r="T3252" s="134" t="s">
        <v>145</v>
      </c>
      <c r="U3252" s="267" t="s">
        <v>7434</v>
      </c>
      <c r="AA3252" s="218"/>
    </row>
    <row r="3253" spans="1:27" ht="24" x14ac:dyDescent="0.25">
      <c r="A3253" s="405">
        <v>3002527</v>
      </c>
      <c r="B3253" s="406">
        <v>42527</v>
      </c>
      <c r="C3253" s="405" t="s">
        <v>5682</v>
      </c>
      <c r="D3253" s="401" t="s">
        <v>7435</v>
      </c>
      <c r="E3253" s="120">
        <v>165</v>
      </c>
      <c r="F3253" s="133" t="s">
        <v>247</v>
      </c>
      <c r="G3253" s="404" t="s">
        <v>45</v>
      </c>
      <c r="H3253" s="411">
        <v>188.1</v>
      </c>
      <c r="I3253" s="94">
        <f t="shared" si="623"/>
        <v>-16.928999999999998</v>
      </c>
      <c r="J3253" s="391">
        <f t="shared" si="624"/>
        <v>-3.8738999999999995</v>
      </c>
      <c r="K3253" s="90">
        <f t="shared" si="608"/>
        <v>167.2971</v>
      </c>
      <c r="L3253" s="131">
        <v>480</v>
      </c>
      <c r="M3253" s="187">
        <v>31.81</v>
      </c>
      <c r="N3253" s="91">
        <f t="shared" si="625"/>
        <v>111.01</v>
      </c>
      <c r="O3253" s="411">
        <f t="shared" si="620"/>
        <v>56.287099999999995</v>
      </c>
      <c r="P3253" s="132" t="s">
        <v>52</v>
      </c>
      <c r="Q3253" s="232"/>
      <c r="R3253" s="411"/>
      <c r="T3253" s="134" t="s">
        <v>145</v>
      </c>
      <c r="U3253" s="267" t="s">
        <v>7436</v>
      </c>
      <c r="AA3253" s="218"/>
    </row>
    <row r="3254" spans="1:27" ht="24" x14ac:dyDescent="0.25">
      <c r="A3254" s="405">
        <v>3002528</v>
      </c>
      <c r="B3254" s="406">
        <v>42527</v>
      </c>
      <c r="C3254" s="405" t="s">
        <v>5682</v>
      </c>
      <c r="D3254" s="401" t="s">
        <v>7437</v>
      </c>
      <c r="E3254" s="120">
        <v>250</v>
      </c>
      <c r="F3254" s="133" t="s">
        <v>605</v>
      </c>
      <c r="G3254" s="404" t="s">
        <v>45</v>
      </c>
      <c r="H3254" s="411">
        <v>319.5</v>
      </c>
      <c r="I3254" s="94">
        <f t="shared" si="623"/>
        <v>-28.754999999999999</v>
      </c>
      <c r="J3254" s="391">
        <f t="shared" si="624"/>
        <v>-6.3704999999999998</v>
      </c>
      <c r="K3254" s="90">
        <f t="shared" si="608"/>
        <v>284.37450000000001</v>
      </c>
      <c r="L3254" s="131">
        <v>600</v>
      </c>
      <c r="M3254" s="187">
        <v>48.31</v>
      </c>
      <c r="N3254" s="91">
        <f t="shared" si="625"/>
        <v>198.31</v>
      </c>
      <c r="O3254" s="411">
        <f t="shared" si="620"/>
        <v>86.06450000000001</v>
      </c>
      <c r="P3254" s="132" t="s">
        <v>52</v>
      </c>
      <c r="Q3254" s="232"/>
      <c r="R3254" s="411"/>
      <c r="T3254" s="134" t="s">
        <v>145</v>
      </c>
      <c r="U3254" s="267" t="s">
        <v>7438</v>
      </c>
      <c r="AA3254" s="218"/>
    </row>
    <row r="3255" spans="1:27" x14ac:dyDescent="0.25">
      <c r="A3255" s="405">
        <v>3002529</v>
      </c>
      <c r="B3255" s="406">
        <v>42527</v>
      </c>
      <c r="C3255" s="405" t="s">
        <v>63</v>
      </c>
      <c r="D3255" s="401" t="s">
        <v>7439</v>
      </c>
      <c r="E3255" s="120">
        <v>1040</v>
      </c>
      <c r="F3255" s="133" t="s">
        <v>7440</v>
      </c>
      <c r="G3255" s="404" t="s">
        <v>45</v>
      </c>
      <c r="H3255" s="411">
        <v>2520.1999999999998</v>
      </c>
      <c r="I3255" s="411">
        <v>0</v>
      </c>
      <c r="J3255" s="391">
        <f>-((H3255*0.022)+0.3)</f>
        <v>-55.744399999999992</v>
      </c>
      <c r="K3255" s="90">
        <f t="shared" si="608"/>
        <v>2464.4555999999998</v>
      </c>
      <c r="L3255" s="131">
        <v>1710</v>
      </c>
      <c r="M3255" s="224">
        <v>100</v>
      </c>
      <c r="N3255" s="91">
        <f t="shared" si="625"/>
        <v>1878.4</v>
      </c>
      <c r="O3255" s="411">
        <f t="shared" si="620"/>
        <v>586.05559999999969</v>
      </c>
      <c r="P3255" s="132" t="s">
        <v>52</v>
      </c>
      <c r="Q3255" s="232"/>
      <c r="R3255" s="411"/>
      <c r="T3255" s="134" t="s">
        <v>984</v>
      </c>
      <c r="U3255" s="267" t="s">
        <v>7441</v>
      </c>
      <c r="W3255" s="153" t="s">
        <v>7442</v>
      </c>
      <c r="AA3255" s="218">
        <v>10</v>
      </c>
    </row>
    <row r="3256" spans="1:27" ht="24" x14ac:dyDescent="0.25">
      <c r="A3256" s="405">
        <v>3002530</v>
      </c>
      <c r="B3256" s="406">
        <v>42527</v>
      </c>
      <c r="C3256" s="405" t="s">
        <v>5682</v>
      </c>
      <c r="D3256" s="401" t="s">
        <v>7443</v>
      </c>
      <c r="E3256" s="120">
        <v>150</v>
      </c>
      <c r="F3256" s="133" t="s">
        <v>307</v>
      </c>
      <c r="G3256" s="404" t="s">
        <v>45</v>
      </c>
      <c r="H3256" s="411">
        <v>187.16</v>
      </c>
      <c r="I3256" s="94">
        <f t="shared" si="623"/>
        <v>-16.8444</v>
      </c>
      <c r="J3256" s="391">
        <f t="shared" si="624"/>
        <v>-3.8560399999999997</v>
      </c>
      <c r="K3256" s="90">
        <f t="shared" si="608"/>
        <v>166.45955999999998</v>
      </c>
      <c r="L3256" s="131">
        <v>690</v>
      </c>
      <c r="M3256" s="187">
        <v>53.88</v>
      </c>
      <c r="N3256" s="91">
        <f t="shared" si="625"/>
        <v>157.38</v>
      </c>
      <c r="O3256" s="411">
        <f t="shared" si="620"/>
        <v>9.0795599999999865</v>
      </c>
      <c r="P3256" s="132" t="s">
        <v>52</v>
      </c>
      <c r="Q3256" s="232"/>
      <c r="R3256" s="411"/>
      <c r="T3256" s="134" t="s">
        <v>145</v>
      </c>
      <c r="U3256" s="267" t="s">
        <v>7444</v>
      </c>
      <c r="AA3256" s="218"/>
    </row>
    <row r="3257" spans="1:27" ht="24" x14ac:dyDescent="0.25">
      <c r="A3257" s="405">
        <v>3002531</v>
      </c>
      <c r="B3257" s="406">
        <v>42527</v>
      </c>
      <c r="C3257" s="405" t="s">
        <v>5682</v>
      </c>
      <c r="D3257" s="401" t="s">
        <v>7445</v>
      </c>
      <c r="E3257" s="120">
        <v>275</v>
      </c>
      <c r="F3257" s="133" t="s">
        <v>1547</v>
      </c>
      <c r="G3257" s="404" t="s">
        <v>45</v>
      </c>
      <c r="H3257" s="411">
        <v>295.25</v>
      </c>
      <c r="I3257" s="94">
        <f t="shared" si="623"/>
        <v>-26.572499999999998</v>
      </c>
      <c r="J3257" s="391">
        <f t="shared" si="624"/>
        <v>-5.9097499999999998</v>
      </c>
      <c r="K3257" s="90">
        <f t="shared" si="608"/>
        <v>262.76775000000004</v>
      </c>
      <c r="L3257" s="131">
        <v>419</v>
      </c>
      <c r="M3257" s="187">
        <v>41.62</v>
      </c>
      <c r="N3257" s="91">
        <f t="shared" si="625"/>
        <v>156.845</v>
      </c>
      <c r="O3257" s="411">
        <f t="shared" si="620"/>
        <v>105.92275000000004</v>
      </c>
      <c r="P3257" s="132" t="s">
        <v>52</v>
      </c>
      <c r="Q3257" s="232"/>
      <c r="R3257" s="411"/>
      <c r="T3257" s="134" t="s">
        <v>145</v>
      </c>
      <c r="U3257" s="267" t="s">
        <v>7446</v>
      </c>
      <c r="AA3257" s="218"/>
    </row>
    <row r="3258" spans="1:27" ht="24" x14ac:dyDescent="0.25">
      <c r="A3258" s="405">
        <v>3002532</v>
      </c>
      <c r="B3258" s="406">
        <v>42527</v>
      </c>
      <c r="C3258" s="405" t="s">
        <v>5682</v>
      </c>
      <c r="D3258" s="401" t="s">
        <v>7447</v>
      </c>
      <c r="E3258" s="120">
        <v>250</v>
      </c>
      <c r="F3258" s="133" t="s">
        <v>438</v>
      </c>
      <c r="G3258" s="404" t="s">
        <v>45</v>
      </c>
      <c r="H3258" s="411">
        <v>145.91</v>
      </c>
      <c r="I3258" s="94">
        <f t="shared" si="623"/>
        <v>-13.1319</v>
      </c>
      <c r="J3258" s="391">
        <f t="shared" si="624"/>
        <v>-3.0722899999999997</v>
      </c>
      <c r="K3258" s="90">
        <f t="shared" si="608"/>
        <v>129.70580999999999</v>
      </c>
      <c r="L3258" s="131">
        <v>190</v>
      </c>
      <c r="M3258" s="187">
        <v>34.11</v>
      </c>
      <c r="N3258" s="91">
        <f t="shared" si="625"/>
        <v>81.61</v>
      </c>
      <c r="O3258" s="411">
        <f t="shared" si="620"/>
        <v>48.095809999999986</v>
      </c>
      <c r="P3258" s="132" t="s">
        <v>52</v>
      </c>
      <c r="Q3258" s="232"/>
      <c r="R3258" s="411"/>
      <c r="T3258" s="134" t="s">
        <v>145</v>
      </c>
      <c r="U3258" s="267" t="s">
        <v>7448</v>
      </c>
      <c r="AA3258" s="218"/>
    </row>
    <row r="3259" spans="1:27" ht="24" x14ac:dyDescent="0.25">
      <c r="A3259" s="405">
        <v>3002533</v>
      </c>
      <c r="B3259" s="406">
        <v>42527</v>
      </c>
      <c r="C3259" s="405" t="s">
        <v>5682</v>
      </c>
      <c r="D3259" s="401" t="s">
        <v>7449</v>
      </c>
      <c r="E3259" s="120">
        <v>100</v>
      </c>
      <c r="F3259" s="133" t="s">
        <v>593</v>
      </c>
      <c r="G3259" s="404" t="s">
        <v>45</v>
      </c>
      <c r="H3259" s="411">
        <v>138.9</v>
      </c>
      <c r="I3259" s="94">
        <f t="shared" si="623"/>
        <v>-12.500999999999999</v>
      </c>
      <c r="J3259" s="391">
        <f t="shared" si="624"/>
        <v>-2.9390999999999998</v>
      </c>
      <c r="K3259" s="90">
        <f t="shared" si="608"/>
        <v>123.4599</v>
      </c>
      <c r="L3259" s="131">
        <v>690</v>
      </c>
      <c r="M3259" s="187">
        <v>36.06</v>
      </c>
      <c r="N3259" s="91">
        <f t="shared" si="625"/>
        <v>105.06</v>
      </c>
      <c r="O3259" s="411">
        <f t="shared" si="620"/>
        <v>18.399900000000002</v>
      </c>
      <c r="P3259" s="132" t="s">
        <v>52</v>
      </c>
      <c r="Q3259" s="232"/>
      <c r="R3259" s="411"/>
      <c r="T3259" s="134" t="s">
        <v>145</v>
      </c>
      <c r="U3259" s="267" t="s">
        <v>7450</v>
      </c>
      <c r="AA3259" s="218"/>
    </row>
    <row r="3260" spans="1:27" x14ac:dyDescent="0.25">
      <c r="A3260" s="419">
        <v>3002534</v>
      </c>
      <c r="B3260" s="421">
        <v>42527</v>
      </c>
      <c r="C3260" s="419" t="s">
        <v>5682</v>
      </c>
      <c r="D3260" s="417" t="s">
        <v>7451</v>
      </c>
      <c r="E3260" s="120">
        <v>250</v>
      </c>
      <c r="F3260" s="133" t="s">
        <v>5670</v>
      </c>
      <c r="G3260" s="434" t="s">
        <v>45</v>
      </c>
      <c r="H3260" s="427">
        <v>1240.75</v>
      </c>
      <c r="I3260" s="452">
        <f t="shared" si="623"/>
        <v>-111.66749999999999</v>
      </c>
      <c r="J3260" s="425">
        <f t="shared" si="624"/>
        <v>-23.87425</v>
      </c>
      <c r="K3260" s="425">
        <f t="shared" si="608"/>
        <v>1105.2082499999999</v>
      </c>
      <c r="L3260" s="187">
        <v>942</v>
      </c>
      <c r="M3260" s="131">
        <v>166.7</v>
      </c>
      <c r="N3260" s="91">
        <f t="shared" si="625"/>
        <v>402.2</v>
      </c>
      <c r="O3260" s="411">
        <f t="shared" si="620"/>
        <v>703.00824999999986</v>
      </c>
      <c r="P3260" s="132" t="s">
        <v>7418</v>
      </c>
      <c r="Q3260" s="232"/>
      <c r="R3260" s="411"/>
      <c r="T3260" s="439" t="s">
        <v>270</v>
      </c>
      <c r="U3260" s="446" t="s">
        <v>7452</v>
      </c>
      <c r="AA3260" s="218"/>
    </row>
    <row r="3261" spans="1:27" x14ac:dyDescent="0.25">
      <c r="A3261" s="420"/>
      <c r="B3261" s="422"/>
      <c r="C3261" s="420"/>
      <c r="D3261" s="418"/>
      <c r="E3261" s="120">
        <v>500</v>
      </c>
      <c r="F3261" s="133" t="s">
        <v>2435</v>
      </c>
      <c r="G3261" s="436"/>
      <c r="H3261" s="428"/>
      <c r="I3261" s="453"/>
      <c r="J3261" s="426"/>
      <c r="K3261" s="426"/>
      <c r="L3261" s="187">
        <v>1180</v>
      </c>
      <c r="N3261" s="91">
        <f t="shared" si="625"/>
        <v>590</v>
      </c>
      <c r="O3261" s="411">
        <f t="shared" si="620"/>
        <v>-590</v>
      </c>
      <c r="P3261" s="132" t="s">
        <v>7418</v>
      </c>
      <c r="Q3261" s="232"/>
      <c r="R3261" s="411"/>
      <c r="T3261" s="441"/>
      <c r="U3261" s="447"/>
      <c r="AA3261" s="218"/>
    </row>
    <row r="3262" spans="1:27" x14ac:dyDescent="0.25">
      <c r="A3262" s="405">
        <v>3002535</v>
      </c>
      <c r="B3262" s="406">
        <v>42527</v>
      </c>
      <c r="C3262" s="405" t="s">
        <v>5682</v>
      </c>
      <c r="D3262" s="401" t="s">
        <v>2080</v>
      </c>
      <c r="E3262" s="120">
        <v>1000</v>
      </c>
      <c r="F3262" s="133" t="s">
        <v>1707</v>
      </c>
      <c r="G3262" s="404" t="s">
        <v>45</v>
      </c>
      <c r="H3262" s="411">
        <v>712.5</v>
      </c>
      <c r="I3262" s="94">
        <f t="shared" si="623"/>
        <v>-64.125</v>
      </c>
      <c r="J3262" s="391">
        <f t="shared" si="624"/>
        <v>-13.8375</v>
      </c>
      <c r="K3262" s="90">
        <f t="shared" si="608"/>
        <v>634.53750000000002</v>
      </c>
      <c r="L3262" s="131">
        <v>400</v>
      </c>
      <c r="M3262" s="187">
        <v>126</v>
      </c>
      <c r="N3262" s="91">
        <f t="shared" si="625"/>
        <v>526</v>
      </c>
      <c r="O3262" s="411">
        <f t="shared" si="620"/>
        <v>108.53750000000002</v>
      </c>
      <c r="P3262" s="132" t="s">
        <v>52</v>
      </c>
      <c r="Q3262" s="232"/>
      <c r="R3262" s="411"/>
      <c r="T3262" s="134" t="s">
        <v>97</v>
      </c>
      <c r="U3262" s="267" t="s">
        <v>7453</v>
      </c>
      <c r="V3262" s="133" t="s">
        <v>55</v>
      </c>
      <c r="AA3262" s="218"/>
    </row>
    <row r="3263" spans="1:27" x14ac:dyDescent="0.25">
      <c r="A3263" s="405">
        <v>3002536</v>
      </c>
      <c r="B3263" s="406">
        <v>42527</v>
      </c>
      <c r="C3263" s="405" t="s">
        <v>5682</v>
      </c>
      <c r="D3263" s="401" t="s">
        <v>7454</v>
      </c>
      <c r="E3263" s="120">
        <v>500</v>
      </c>
      <c r="F3263" s="133" t="s">
        <v>51</v>
      </c>
      <c r="G3263" s="404" t="s">
        <v>45</v>
      </c>
      <c r="H3263" s="411">
        <v>1000</v>
      </c>
      <c r="I3263" s="94">
        <f t="shared" si="623"/>
        <v>-90</v>
      </c>
      <c r="J3263" s="391">
        <f t="shared" si="624"/>
        <v>-19.3</v>
      </c>
      <c r="K3263" s="90">
        <f t="shared" si="608"/>
        <v>890.7</v>
      </c>
      <c r="L3263" s="131">
        <v>1015</v>
      </c>
      <c r="M3263" s="187">
        <v>180.03</v>
      </c>
      <c r="N3263" s="91">
        <f t="shared" si="625"/>
        <v>687.53</v>
      </c>
      <c r="O3263" s="411">
        <f t="shared" si="620"/>
        <v>203.17000000000007</v>
      </c>
      <c r="P3263" s="132" t="s">
        <v>52</v>
      </c>
      <c r="Q3263" s="232"/>
      <c r="R3263" s="411"/>
      <c r="T3263" s="134" t="s">
        <v>97</v>
      </c>
      <c r="U3263" s="267" t="s">
        <v>7455</v>
      </c>
      <c r="V3263" s="133" t="s">
        <v>55</v>
      </c>
      <c r="AA3263" s="218"/>
    </row>
    <row r="3264" spans="1:27" ht="24" x14ac:dyDescent="0.25">
      <c r="A3264" s="405">
        <v>3002537</v>
      </c>
      <c r="B3264" s="406">
        <v>42527</v>
      </c>
      <c r="C3264" s="405" t="s">
        <v>5682</v>
      </c>
      <c r="D3264" s="401" t="s">
        <v>7456</v>
      </c>
      <c r="E3264" s="120">
        <v>200</v>
      </c>
      <c r="F3264" s="133" t="s">
        <v>323</v>
      </c>
      <c r="G3264" s="404" t="s">
        <v>45</v>
      </c>
      <c r="H3264" s="411">
        <v>154.24</v>
      </c>
      <c r="I3264" s="94">
        <f t="shared" si="623"/>
        <v>-13.881600000000001</v>
      </c>
      <c r="J3264" s="391">
        <f t="shared" si="624"/>
        <v>-3.2305600000000001</v>
      </c>
      <c r="K3264" s="90">
        <f t="shared" si="608"/>
        <v>137.12784000000002</v>
      </c>
      <c r="L3264" s="131">
        <v>95</v>
      </c>
      <c r="M3264" s="187">
        <v>23.48</v>
      </c>
      <c r="N3264" s="91">
        <f t="shared" si="625"/>
        <v>42.480000000000004</v>
      </c>
      <c r="O3264" s="411">
        <f t="shared" si="620"/>
        <v>94.647840000000016</v>
      </c>
      <c r="P3264" s="132" t="s">
        <v>52</v>
      </c>
      <c r="Q3264" s="232"/>
      <c r="R3264" s="411"/>
      <c r="T3264" s="134" t="s">
        <v>145</v>
      </c>
      <c r="U3264" s="267" t="s">
        <v>7457</v>
      </c>
      <c r="AA3264" s="218"/>
    </row>
    <row r="3265" spans="1:27" ht="24" x14ac:dyDescent="0.25">
      <c r="A3265" s="405">
        <v>3002538</v>
      </c>
      <c r="B3265" s="406">
        <v>42527</v>
      </c>
      <c r="C3265" s="405" t="s">
        <v>5682</v>
      </c>
      <c r="D3265" s="401" t="s">
        <v>7458</v>
      </c>
      <c r="E3265" s="120">
        <v>125</v>
      </c>
      <c r="F3265" s="133" t="s">
        <v>829</v>
      </c>
      <c r="G3265" s="404" t="s">
        <v>45</v>
      </c>
      <c r="H3265" s="411">
        <v>131.77000000000001</v>
      </c>
      <c r="I3265" s="94">
        <f t="shared" si="623"/>
        <v>-11.859300000000001</v>
      </c>
      <c r="J3265" s="391">
        <f t="shared" si="624"/>
        <v>-2.8036300000000001</v>
      </c>
      <c r="K3265" s="90">
        <f t="shared" si="608"/>
        <v>117.10707000000001</v>
      </c>
      <c r="L3265" s="131">
        <v>510</v>
      </c>
      <c r="M3265" s="187">
        <v>23.15</v>
      </c>
      <c r="N3265" s="91">
        <f t="shared" si="625"/>
        <v>86.9</v>
      </c>
      <c r="O3265" s="411">
        <f t="shared" si="620"/>
        <v>30.207070000000002</v>
      </c>
      <c r="P3265" s="132" t="s">
        <v>52</v>
      </c>
      <c r="Q3265" s="232"/>
      <c r="R3265" s="411"/>
      <c r="T3265" s="134" t="s">
        <v>145</v>
      </c>
      <c r="U3265" s="267" t="s">
        <v>7459</v>
      </c>
      <c r="AA3265" s="218"/>
    </row>
    <row r="3266" spans="1:27" ht="24" x14ac:dyDescent="0.25">
      <c r="A3266" s="405">
        <v>3002539</v>
      </c>
      <c r="B3266" s="406">
        <v>42527</v>
      </c>
      <c r="C3266" s="405" t="s">
        <v>5682</v>
      </c>
      <c r="D3266" s="401" t="s">
        <v>7460</v>
      </c>
      <c r="E3266" s="120">
        <v>100</v>
      </c>
      <c r="F3266" s="133" t="s">
        <v>182</v>
      </c>
      <c r="G3266" s="404" t="s">
        <v>45</v>
      </c>
      <c r="H3266" s="411">
        <v>247</v>
      </c>
      <c r="I3266" s="94">
        <f t="shared" si="623"/>
        <v>-22.23</v>
      </c>
      <c r="J3266" s="391">
        <f t="shared" si="624"/>
        <v>-4.9929999999999994</v>
      </c>
      <c r="K3266" s="90">
        <f t="shared" si="608"/>
        <v>219.77700000000002</v>
      </c>
      <c r="L3266" s="131">
        <v>1060</v>
      </c>
      <c r="M3266" s="187">
        <v>21.74</v>
      </c>
      <c r="N3266" s="91">
        <f t="shared" si="625"/>
        <v>127.74</v>
      </c>
      <c r="O3266" s="411">
        <f t="shared" si="620"/>
        <v>92.03700000000002</v>
      </c>
      <c r="P3266" s="132" t="s">
        <v>52</v>
      </c>
      <c r="Q3266" s="232"/>
      <c r="R3266" s="411"/>
      <c r="T3266" s="134" t="s">
        <v>145</v>
      </c>
      <c r="U3266" s="267" t="s">
        <v>7461</v>
      </c>
      <c r="AA3266" s="218"/>
    </row>
    <row r="3267" spans="1:27" ht="24" x14ac:dyDescent="0.25">
      <c r="A3267" s="405">
        <v>3002540</v>
      </c>
      <c r="B3267" s="406">
        <v>42527</v>
      </c>
      <c r="C3267" s="405" t="s">
        <v>5682</v>
      </c>
      <c r="D3267" s="401" t="s">
        <v>7462</v>
      </c>
      <c r="E3267" s="120">
        <v>275</v>
      </c>
      <c r="F3267" s="133" t="s">
        <v>7463</v>
      </c>
      <c r="G3267" s="404" t="s">
        <v>45</v>
      </c>
      <c r="H3267" s="411">
        <v>238.45</v>
      </c>
      <c r="I3267" s="94">
        <f t="shared" si="623"/>
        <v>-21.4605</v>
      </c>
      <c r="J3267" s="391">
        <f t="shared" si="624"/>
        <v>-4.8305499999999997</v>
      </c>
      <c r="K3267" s="90">
        <f t="shared" si="608"/>
        <v>212.15895</v>
      </c>
      <c r="M3267" s="187">
        <v>43.72</v>
      </c>
      <c r="N3267" s="91">
        <f t="shared" si="625"/>
        <v>43.72</v>
      </c>
      <c r="O3267" s="411">
        <f t="shared" si="620"/>
        <v>168.43895000000001</v>
      </c>
      <c r="P3267" s="132" t="s">
        <v>52</v>
      </c>
      <c r="Q3267" s="232"/>
      <c r="R3267" s="411"/>
      <c r="T3267" s="134" t="s">
        <v>145</v>
      </c>
      <c r="U3267" s="267" t="s">
        <v>7464</v>
      </c>
      <c r="AA3267" s="218"/>
    </row>
    <row r="3268" spans="1:27" ht="24" x14ac:dyDescent="0.25">
      <c r="A3268" s="405">
        <v>3002541</v>
      </c>
      <c r="B3268" s="406">
        <v>42527</v>
      </c>
      <c r="C3268" s="405" t="s">
        <v>5682</v>
      </c>
      <c r="D3268" s="401" t="s">
        <v>7465</v>
      </c>
      <c r="E3268" s="120">
        <v>250</v>
      </c>
      <c r="F3268" s="133" t="s">
        <v>590</v>
      </c>
      <c r="G3268" s="404" t="s">
        <v>45</v>
      </c>
      <c r="H3268" s="411">
        <v>250.79</v>
      </c>
      <c r="I3268" s="94">
        <f t="shared" si="623"/>
        <v>-22.571099999999998</v>
      </c>
      <c r="J3268" s="391">
        <f t="shared" si="624"/>
        <v>-5.0650099999999991</v>
      </c>
      <c r="K3268" s="90">
        <f t="shared" si="608"/>
        <v>223.15388999999999</v>
      </c>
      <c r="L3268" s="131">
        <v>577</v>
      </c>
      <c r="M3268" s="187">
        <v>48.87</v>
      </c>
      <c r="N3268" s="91">
        <f t="shared" si="625"/>
        <v>193.12</v>
      </c>
      <c r="O3268" s="411">
        <f t="shared" si="620"/>
        <v>30.033889999999985</v>
      </c>
      <c r="P3268" s="132" t="s">
        <v>52</v>
      </c>
      <c r="Q3268" s="232"/>
      <c r="R3268" s="411"/>
      <c r="T3268" s="134" t="s">
        <v>145</v>
      </c>
      <c r="U3268" s="267" t="s">
        <v>7466</v>
      </c>
      <c r="AA3268" s="218"/>
    </row>
    <row r="3269" spans="1:27" ht="24" x14ac:dyDescent="0.25">
      <c r="A3269" s="405">
        <v>3002542</v>
      </c>
      <c r="B3269" s="406">
        <v>42527</v>
      </c>
      <c r="C3269" s="405" t="s">
        <v>237</v>
      </c>
      <c r="D3269" s="401" t="s">
        <v>7467</v>
      </c>
      <c r="E3269" s="120">
        <v>500</v>
      </c>
      <c r="F3269" s="133" t="s">
        <v>451</v>
      </c>
      <c r="G3269" s="404" t="s">
        <v>45</v>
      </c>
      <c r="H3269" s="411">
        <v>379.85</v>
      </c>
      <c r="I3269" s="397">
        <f t="shared" ref="I3269:I3273" si="626">-(H3269*0.15)</f>
        <v>-56.977499999999999</v>
      </c>
      <c r="J3269" s="411">
        <v>0</v>
      </c>
      <c r="K3269" s="90">
        <f t="shared" si="608"/>
        <v>322.8725</v>
      </c>
      <c r="L3269" s="131">
        <v>300</v>
      </c>
      <c r="M3269" s="131">
        <v>49.44</v>
      </c>
      <c r="N3269" s="91">
        <f t="shared" si="625"/>
        <v>199.44</v>
      </c>
      <c r="O3269" s="411">
        <f t="shared" si="620"/>
        <v>123.4325</v>
      </c>
      <c r="P3269" s="132" t="s">
        <v>52</v>
      </c>
      <c r="Q3269" s="232"/>
      <c r="R3269" s="411"/>
      <c r="T3269" s="134" t="s">
        <v>145</v>
      </c>
      <c r="U3269" s="267" t="s">
        <v>7468</v>
      </c>
      <c r="V3269" s="133">
        <v>3002452</v>
      </c>
      <c r="AA3269" s="218"/>
    </row>
    <row r="3270" spans="1:27" ht="24" x14ac:dyDescent="0.25">
      <c r="A3270" s="405">
        <v>3002543</v>
      </c>
      <c r="B3270" s="406">
        <v>42527</v>
      </c>
      <c r="C3270" s="405" t="s">
        <v>237</v>
      </c>
      <c r="D3270" s="401" t="s">
        <v>7469</v>
      </c>
      <c r="E3270" s="120">
        <v>100</v>
      </c>
      <c r="F3270" s="133" t="s">
        <v>1270</v>
      </c>
      <c r="G3270" s="404" t="s">
        <v>45</v>
      </c>
      <c r="H3270" s="411">
        <v>651.02</v>
      </c>
      <c r="I3270" s="397">
        <f t="shared" si="626"/>
        <v>-97.652999999999992</v>
      </c>
      <c r="J3270" s="411">
        <v>0</v>
      </c>
      <c r="K3270" s="90">
        <f t="shared" si="608"/>
        <v>553.36699999999996</v>
      </c>
      <c r="L3270" s="187">
        <v>1850</v>
      </c>
      <c r="M3270" s="187">
        <v>205.71</v>
      </c>
      <c r="N3270" s="91">
        <f t="shared" si="625"/>
        <v>390.71000000000004</v>
      </c>
      <c r="O3270" s="411">
        <f t="shared" si="620"/>
        <v>162.65699999999993</v>
      </c>
      <c r="P3270" s="132" t="s">
        <v>183</v>
      </c>
      <c r="Q3270" s="232"/>
      <c r="R3270" s="411"/>
      <c r="T3270" s="134" t="s">
        <v>145</v>
      </c>
      <c r="U3270" s="267" t="s">
        <v>7470</v>
      </c>
      <c r="AA3270" s="218"/>
    </row>
    <row r="3271" spans="1:27" x14ac:dyDescent="0.25">
      <c r="A3271" s="405">
        <v>3002544</v>
      </c>
      <c r="B3271" s="406">
        <v>42527</v>
      </c>
      <c r="C3271" s="405" t="s">
        <v>237</v>
      </c>
      <c r="D3271" s="401" t="s">
        <v>7471</v>
      </c>
      <c r="E3271" s="120">
        <v>325</v>
      </c>
      <c r="F3271" s="133" t="s">
        <v>178</v>
      </c>
      <c r="G3271" s="404" t="s">
        <v>45</v>
      </c>
      <c r="H3271" s="411">
        <v>596.98</v>
      </c>
      <c r="I3271" s="397">
        <f t="shared" si="626"/>
        <v>-89.546999999999997</v>
      </c>
      <c r="J3271" s="411">
        <v>0</v>
      </c>
      <c r="K3271" s="90">
        <f t="shared" si="608"/>
        <v>507.43299999999999</v>
      </c>
      <c r="L3271" s="131">
        <v>1170</v>
      </c>
      <c r="M3271" s="187">
        <v>201.28</v>
      </c>
      <c r="N3271" s="91">
        <f t="shared" si="625"/>
        <v>581.53</v>
      </c>
      <c r="O3271" s="411">
        <f t="shared" si="620"/>
        <v>-74.09699999999998</v>
      </c>
      <c r="P3271" s="132" t="s">
        <v>52</v>
      </c>
      <c r="Q3271" s="232"/>
      <c r="R3271" s="411"/>
      <c r="T3271" s="134" t="s">
        <v>244</v>
      </c>
      <c r="U3271" s="267" t="s">
        <v>7472</v>
      </c>
      <c r="V3271" s="133" t="s">
        <v>55</v>
      </c>
      <c r="AA3271" s="218"/>
    </row>
    <row r="3272" spans="1:27" ht="24" x14ac:dyDescent="0.25">
      <c r="A3272" s="405">
        <v>3002545</v>
      </c>
      <c r="B3272" s="406">
        <v>42527</v>
      </c>
      <c r="C3272" s="405" t="s">
        <v>237</v>
      </c>
      <c r="D3272" s="401" t="s">
        <v>7473</v>
      </c>
      <c r="E3272" s="120">
        <v>100</v>
      </c>
      <c r="F3272" s="133" t="s">
        <v>161</v>
      </c>
      <c r="G3272" s="404" t="s">
        <v>45</v>
      </c>
      <c r="H3272" s="411">
        <v>260</v>
      </c>
      <c r="I3272" s="397">
        <f t="shared" si="626"/>
        <v>-39</v>
      </c>
      <c r="J3272" s="411">
        <v>0</v>
      </c>
      <c r="K3272" s="90">
        <f t="shared" si="608"/>
        <v>221</v>
      </c>
      <c r="L3272" s="131">
        <v>1322</v>
      </c>
      <c r="M3272" s="187">
        <v>34.21</v>
      </c>
      <c r="N3272" s="91">
        <f t="shared" si="625"/>
        <v>166.41000000000003</v>
      </c>
      <c r="O3272" s="411">
        <f t="shared" si="620"/>
        <v>54.589999999999975</v>
      </c>
      <c r="P3272" s="132" t="s">
        <v>52</v>
      </c>
      <c r="Q3272" s="232"/>
      <c r="R3272" s="411"/>
      <c r="T3272" s="134" t="s">
        <v>145</v>
      </c>
      <c r="U3272" s="267" t="s">
        <v>7474</v>
      </c>
      <c r="AA3272" s="218"/>
    </row>
    <row r="3273" spans="1:27" ht="24" x14ac:dyDescent="0.25">
      <c r="A3273" s="405">
        <v>3002546</v>
      </c>
      <c r="B3273" s="406">
        <v>42527</v>
      </c>
      <c r="C3273" s="405" t="s">
        <v>237</v>
      </c>
      <c r="D3273" s="401" t="s">
        <v>7475</v>
      </c>
      <c r="E3273" s="120">
        <v>100</v>
      </c>
      <c r="F3273" s="133" t="s">
        <v>161</v>
      </c>
      <c r="G3273" s="404" t="s">
        <v>45</v>
      </c>
      <c r="H3273" s="411">
        <v>260</v>
      </c>
      <c r="I3273" s="397">
        <f t="shared" si="626"/>
        <v>-39</v>
      </c>
      <c r="J3273" s="411">
        <v>0</v>
      </c>
      <c r="K3273" s="90">
        <f t="shared" si="608"/>
        <v>221</v>
      </c>
      <c r="L3273" s="131">
        <v>1322</v>
      </c>
      <c r="M3273" s="187">
        <v>38.299999999999997</v>
      </c>
      <c r="N3273" s="91">
        <f t="shared" si="625"/>
        <v>170.5</v>
      </c>
      <c r="O3273" s="411">
        <f t="shared" si="620"/>
        <v>50.5</v>
      </c>
      <c r="P3273" s="132" t="s">
        <v>52</v>
      </c>
      <c r="Q3273" s="232"/>
      <c r="R3273" s="411"/>
      <c r="T3273" s="134" t="s">
        <v>145</v>
      </c>
      <c r="U3273" s="267" t="s">
        <v>7476</v>
      </c>
      <c r="AA3273" s="218"/>
    </row>
    <row r="3274" spans="1:27" x14ac:dyDescent="0.25">
      <c r="A3274" s="419">
        <v>3002547</v>
      </c>
      <c r="B3274" s="421">
        <v>42527</v>
      </c>
      <c r="C3274" s="419" t="s">
        <v>56</v>
      </c>
      <c r="D3274" s="417" t="s">
        <v>7477</v>
      </c>
      <c r="E3274" s="120">
        <v>575</v>
      </c>
      <c r="F3274" s="133" t="s">
        <v>7478</v>
      </c>
      <c r="G3274" s="434" t="s">
        <v>45</v>
      </c>
      <c r="H3274" s="427">
        <v>10266.9</v>
      </c>
      <c r="I3274" s="427">
        <v>0</v>
      </c>
      <c r="J3274" s="427">
        <v>0</v>
      </c>
      <c r="K3274" s="425">
        <f t="shared" si="608"/>
        <v>10266.9</v>
      </c>
      <c r="L3274" s="187">
        <v>12356</v>
      </c>
      <c r="M3274" s="468">
        <v>625</v>
      </c>
      <c r="N3274" s="91">
        <f t="shared" si="625"/>
        <v>7729.7000000000007</v>
      </c>
      <c r="O3274" s="411">
        <f t="shared" si="620"/>
        <v>2537.1999999999989</v>
      </c>
      <c r="P3274" s="132" t="s">
        <v>2816</v>
      </c>
      <c r="Q3274" s="232"/>
      <c r="R3274" s="411"/>
      <c r="T3274" s="439" t="s">
        <v>503</v>
      </c>
      <c r="U3274" s="446" t="s">
        <v>7479</v>
      </c>
      <c r="V3274" s="133" t="s">
        <v>5426</v>
      </c>
      <c r="W3274" s="153" t="s">
        <v>7069</v>
      </c>
      <c r="AA3274" s="218"/>
    </row>
    <row r="3275" spans="1:27" x14ac:dyDescent="0.25">
      <c r="A3275" s="420"/>
      <c r="B3275" s="422"/>
      <c r="C3275" s="420"/>
      <c r="D3275" s="418"/>
      <c r="E3275" s="120">
        <v>1</v>
      </c>
      <c r="F3275" s="133" t="s">
        <v>7480</v>
      </c>
      <c r="G3275" s="436"/>
      <c r="H3275" s="428"/>
      <c r="I3275" s="428"/>
      <c r="J3275" s="428"/>
      <c r="K3275" s="426"/>
      <c r="M3275" s="469"/>
      <c r="N3275" s="91">
        <f t="shared" si="625"/>
        <v>0</v>
      </c>
      <c r="O3275" s="411">
        <f t="shared" si="620"/>
        <v>0</v>
      </c>
      <c r="P3275" s="132" t="s">
        <v>2816</v>
      </c>
      <c r="Q3275" s="232"/>
      <c r="R3275" s="411"/>
      <c r="T3275" s="441"/>
      <c r="U3275" s="447"/>
      <c r="V3275" s="133" t="s">
        <v>55</v>
      </c>
      <c r="AA3275" s="218"/>
    </row>
    <row r="3276" spans="1:27" x14ac:dyDescent="0.25">
      <c r="A3276" s="405">
        <v>3002548</v>
      </c>
      <c r="B3276" s="406">
        <v>42527</v>
      </c>
      <c r="C3276" s="405" t="s">
        <v>56</v>
      </c>
      <c r="D3276" s="401" t="s">
        <v>7481</v>
      </c>
      <c r="E3276" s="120">
        <v>500</v>
      </c>
      <c r="F3276" s="133" t="s">
        <v>7482</v>
      </c>
      <c r="G3276" s="404" t="s">
        <v>45</v>
      </c>
      <c r="H3276" s="411">
        <v>295</v>
      </c>
      <c r="I3276" s="411">
        <v>0</v>
      </c>
      <c r="J3276" s="411">
        <v>0</v>
      </c>
      <c r="K3276" s="90">
        <f t="shared" si="608"/>
        <v>295</v>
      </c>
      <c r="N3276" s="91">
        <f t="shared" si="625"/>
        <v>0</v>
      </c>
      <c r="O3276" s="411">
        <f t="shared" ref="O3276:O3339" si="627">K3276-N3276</f>
        <v>295</v>
      </c>
      <c r="P3276" s="132" t="s">
        <v>52</v>
      </c>
      <c r="Q3276" s="232"/>
      <c r="R3276" s="411"/>
      <c r="T3276" s="134" t="s">
        <v>1229</v>
      </c>
      <c r="U3276" s="266" t="s">
        <v>1229</v>
      </c>
      <c r="V3276" s="133" t="s">
        <v>7483</v>
      </c>
      <c r="AA3276" s="218"/>
    </row>
    <row r="3277" spans="1:27" x14ac:dyDescent="0.25">
      <c r="A3277" s="405">
        <v>3002549</v>
      </c>
      <c r="B3277" s="406">
        <v>42527</v>
      </c>
      <c r="C3277" s="405" t="s">
        <v>56</v>
      </c>
      <c r="D3277" s="401" t="s">
        <v>7481</v>
      </c>
      <c r="E3277" s="120">
        <v>50</v>
      </c>
      <c r="F3277" s="133" t="s">
        <v>860</v>
      </c>
      <c r="G3277" s="404" t="s">
        <v>45</v>
      </c>
      <c r="H3277" s="411">
        <v>225</v>
      </c>
      <c r="I3277" s="411">
        <v>0</v>
      </c>
      <c r="J3277" s="411">
        <v>0</v>
      </c>
      <c r="K3277" s="90">
        <f t="shared" si="608"/>
        <v>225</v>
      </c>
      <c r="L3277" s="131">
        <v>3300</v>
      </c>
      <c r="M3277" s="131">
        <v>0</v>
      </c>
      <c r="N3277" s="91">
        <f t="shared" si="625"/>
        <v>165</v>
      </c>
      <c r="O3277" s="411">
        <f t="shared" si="627"/>
        <v>60</v>
      </c>
      <c r="P3277" s="132" t="s">
        <v>52</v>
      </c>
      <c r="Q3277" s="232"/>
      <c r="R3277" s="411"/>
      <c r="T3277" s="134" t="s">
        <v>1229</v>
      </c>
      <c r="U3277" s="266" t="s">
        <v>1229</v>
      </c>
      <c r="V3277" s="133" t="s">
        <v>7483</v>
      </c>
      <c r="AA3277" s="218"/>
    </row>
    <row r="3278" spans="1:27" x14ac:dyDescent="0.25">
      <c r="A3278" s="405">
        <v>3002550</v>
      </c>
      <c r="B3278" s="406">
        <v>42527</v>
      </c>
      <c r="C3278" s="405" t="s">
        <v>56</v>
      </c>
      <c r="D3278" s="401" t="s">
        <v>7481</v>
      </c>
      <c r="E3278" s="120">
        <v>350</v>
      </c>
      <c r="F3278" s="133" t="s">
        <v>860</v>
      </c>
      <c r="G3278" s="404" t="s">
        <v>45</v>
      </c>
      <c r="H3278" s="411">
        <v>1575</v>
      </c>
      <c r="I3278" s="411">
        <v>0</v>
      </c>
      <c r="J3278" s="411">
        <v>0</v>
      </c>
      <c r="K3278" s="90">
        <f t="shared" si="608"/>
        <v>1575</v>
      </c>
      <c r="L3278" s="131">
        <v>3300</v>
      </c>
      <c r="M3278" s="131">
        <v>0</v>
      </c>
      <c r="N3278" s="91">
        <f t="shared" si="625"/>
        <v>1155</v>
      </c>
      <c r="O3278" s="411">
        <f t="shared" si="627"/>
        <v>420</v>
      </c>
      <c r="P3278" s="132" t="s">
        <v>52</v>
      </c>
      <c r="Q3278" s="232"/>
      <c r="R3278" s="411"/>
      <c r="T3278" s="134" t="s">
        <v>1229</v>
      </c>
      <c r="U3278" s="266" t="s">
        <v>1229</v>
      </c>
      <c r="V3278" s="133" t="s">
        <v>7483</v>
      </c>
      <c r="AA3278" s="218"/>
    </row>
    <row r="3279" spans="1:27" ht="24" x14ac:dyDescent="0.25">
      <c r="A3279" s="405">
        <v>3002551</v>
      </c>
      <c r="B3279" s="406">
        <v>42527</v>
      </c>
      <c r="C3279" s="405" t="s">
        <v>141</v>
      </c>
      <c r="D3279" s="401" t="s">
        <v>7484</v>
      </c>
      <c r="E3279" s="120">
        <v>9000</v>
      </c>
      <c r="F3279" s="133" t="s">
        <v>7485</v>
      </c>
      <c r="G3279" s="404" t="s">
        <v>7486</v>
      </c>
      <c r="H3279" s="411">
        <v>16650</v>
      </c>
      <c r="I3279" s="411">
        <v>0</v>
      </c>
      <c r="J3279" s="391">
        <f>-((H3279*0.0325)+0.3)</f>
        <v>-541.42499999999995</v>
      </c>
      <c r="K3279" s="90">
        <f t="shared" si="608"/>
        <v>16108.575000000001</v>
      </c>
      <c r="L3279" s="187">
        <v>1250</v>
      </c>
      <c r="M3279" s="131">
        <v>0</v>
      </c>
      <c r="N3279" s="91">
        <f t="shared" si="625"/>
        <v>11250</v>
      </c>
      <c r="O3279" s="411">
        <f t="shared" si="627"/>
        <v>4858.5750000000007</v>
      </c>
      <c r="P3279" s="132" t="s">
        <v>66</v>
      </c>
      <c r="Q3279" s="232"/>
      <c r="R3279" s="411"/>
      <c r="T3279" s="134" t="s">
        <v>260</v>
      </c>
      <c r="U3279" s="267" t="s">
        <v>7487</v>
      </c>
      <c r="W3279" s="153" t="s">
        <v>7488</v>
      </c>
      <c r="AA3279" s="218">
        <v>100</v>
      </c>
    </row>
    <row r="3280" spans="1:27" ht="24" x14ac:dyDescent="0.25">
      <c r="A3280" s="405">
        <v>3002552</v>
      </c>
      <c r="B3280" s="406">
        <v>42528</v>
      </c>
      <c r="C3280" s="405" t="s">
        <v>63</v>
      </c>
      <c r="D3280" s="401" t="s">
        <v>3069</v>
      </c>
      <c r="E3280" s="120">
        <v>1000</v>
      </c>
      <c r="F3280" s="133" t="s">
        <v>7489</v>
      </c>
      <c r="G3280" s="404" t="s">
        <v>45</v>
      </c>
      <c r="H3280" s="411">
        <v>2900</v>
      </c>
      <c r="I3280" s="411">
        <v>0</v>
      </c>
      <c r="J3280" s="391">
        <f>-((H3280*0.022)+0.3)</f>
        <v>-64.099999999999994</v>
      </c>
      <c r="K3280" s="90">
        <f t="shared" si="608"/>
        <v>2835.9</v>
      </c>
      <c r="L3280" s="187">
        <v>2210</v>
      </c>
      <c r="M3280" s="131">
        <v>0</v>
      </c>
      <c r="N3280" s="91">
        <f t="shared" si="625"/>
        <v>2210</v>
      </c>
      <c r="O3280" s="411">
        <f t="shared" si="627"/>
        <v>625.90000000000009</v>
      </c>
      <c r="P3280" s="132" t="s">
        <v>601</v>
      </c>
      <c r="Q3280" s="232"/>
      <c r="R3280" s="411"/>
      <c r="T3280" s="134" t="s">
        <v>260</v>
      </c>
      <c r="U3280" s="267" t="s">
        <v>7490</v>
      </c>
      <c r="W3280" s="153" t="s">
        <v>5510</v>
      </c>
      <c r="AA3280" s="218">
        <v>10</v>
      </c>
    </row>
    <row r="3281" spans="1:27" ht="24" x14ac:dyDescent="0.25">
      <c r="A3281" s="405">
        <v>3002553</v>
      </c>
      <c r="B3281" s="406">
        <v>42528</v>
      </c>
      <c r="C3281" s="405" t="s">
        <v>5682</v>
      </c>
      <c r="D3281" s="401" t="s">
        <v>7491</v>
      </c>
      <c r="E3281" s="120">
        <v>250</v>
      </c>
      <c r="F3281" s="133" t="s">
        <v>288</v>
      </c>
      <c r="G3281" s="404" t="s">
        <v>7486</v>
      </c>
      <c r="H3281" s="411">
        <v>518.88</v>
      </c>
      <c r="I3281" s="94">
        <f t="shared" ref="I3281:I3285" si="628">-(H3281*0.09)</f>
        <v>-46.699199999999998</v>
      </c>
      <c r="J3281" s="391">
        <f t="shared" ref="J3281:J3285" si="629">-((H3281*0.019)+0.3)</f>
        <v>-10.158720000000001</v>
      </c>
      <c r="K3281" s="90">
        <f t="shared" si="608"/>
        <v>462.02207999999996</v>
      </c>
      <c r="L3281" s="131">
        <v>950</v>
      </c>
      <c r="M3281" s="187">
        <v>49.24</v>
      </c>
      <c r="N3281" s="91">
        <f t="shared" si="625"/>
        <v>286.74</v>
      </c>
      <c r="O3281" s="411">
        <f t="shared" si="627"/>
        <v>175.28207999999995</v>
      </c>
      <c r="P3281" s="132" t="s">
        <v>52</v>
      </c>
      <c r="Q3281" s="232"/>
      <c r="R3281" s="411">
        <v>38.44</v>
      </c>
      <c r="S3281" s="133" t="s">
        <v>1396</v>
      </c>
      <c r="T3281" s="134" t="s">
        <v>145</v>
      </c>
      <c r="U3281" s="267" t="s">
        <v>7492</v>
      </c>
      <c r="AA3281" s="218"/>
    </row>
    <row r="3282" spans="1:27" ht="24" x14ac:dyDescent="0.25">
      <c r="A3282" s="405">
        <v>3002554</v>
      </c>
      <c r="B3282" s="406">
        <v>42528</v>
      </c>
      <c r="C3282" s="405" t="s">
        <v>5682</v>
      </c>
      <c r="D3282" s="401" t="s">
        <v>7493</v>
      </c>
      <c r="E3282" s="120">
        <v>150</v>
      </c>
      <c r="F3282" s="133" t="s">
        <v>165</v>
      </c>
      <c r="G3282" s="404" t="s">
        <v>7486</v>
      </c>
      <c r="H3282" s="411">
        <v>153.03</v>
      </c>
      <c r="I3282" s="94">
        <f t="shared" si="628"/>
        <v>-13.7727</v>
      </c>
      <c r="J3282" s="391">
        <f t="shared" si="629"/>
        <v>-3.2075699999999996</v>
      </c>
      <c r="K3282" s="90">
        <f t="shared" si="608"/>
        <v>136.04972999999998</v>
      </c>
      <c r="L3282" s="131">
        <v>400</v>
      </c>
      <c r="M3282" s="187">
        <v>29.49</v>
      </c>
      <c r="N3282" s="91">
        <f t="shared" si="625"/>
        <v>89.49</v>
      </c>
      <c r="O3282" s="411">
        <f t="shared" si="627"/>
        <v>46.559729999999988</v>
      </c>
      <c r="P3282" s="132" t="s">
        <v>52</v>
      </c>
      <c r="Q3282" s="232"/>
      <c r="R3282" s="411"/>
      <c r="T3282" s="134" t="s">
        <v>145</v>
      </c>
      <c r="U3282" s="267" t="s">
        <v>7494</v>
      </c>
      <c r="AA3282" s="218"/>
    </row>
    <row r="3283" spans="1:27" ht="36" x14ac:dyDescent="0.25">
      <c r="A3283" s="405">
        <v>3002555</v>
      </c>
      <c r="B3283" s="406">
        <v>42528</v>
      </c>
      <c r="C3283" s="405" t="s">
        <v>5682</v>
      </c>
      <c r="D3283" s="401" t="s">
        <v>7495</v>
      </c>
      <c r="E3283" s="120">
        <v>200</v>
      </c>
      <c r="F3283" s="119" t="s">
        <v>7496</v>
      </c>
      <c r="G3283" s="404" t="s">
        <v>7486</v>
      </c>
      <c r="H3283" s="411">
        <v>632.70000000000005</v>
      </c>
      <c r="I3283" s="94">
        <f t="shared" si="628"/>
        <v>-56.943000000000005</v>
      </c>
      <c r="J3283" s="391">
        <f t="shared" si="629"/>
        <v>-12.321300000000001</v>
      </c>
      <c r="K3283" s="90">
        <f t="shared" si="608"/>
        <v>563.43570000000011</v>
      </c>
      <c r="L3283" s="187">
        <v>2000</v>
      </c>
      <c r="M3283" s="131">
        <v>0</v>
      </c>
      <c r="N3283" s="91">
        <f t="shared" si="625"/>
        <v>400</v>
      </c>
      <c r="O3283" s="411">
        <f t="shared" si="627"/>
        <v>163.43570000000011</v>
      </c>
      <c r="P3283" s="132" t="s">
        <v>59</v>
      </c>
      <c r="Q3283" s="232"/>
      <c r="R3283" s="411"/>
      <c r="T3283" s="134" t="s">
        <v>60</v>
      </c>
      <c r="U3283" s="267" t="s">
        <v>7497</v>
      </c>
      <c r="AA3283" s="218"/>
    </row>
    <row r="3284" spans="1:27" ht="24" x14ac:dyDescent="0.25">
      <c r="A3284" s="405">
        <v>3002556</v>
      </c>
      <c r="B3284" s="406">
        <v>42528</v>
      </c>
      <c r="C3284" s="405" t="s">
        <v>5682</v>
      </c>
      <c r="D3284" s="401" t="s">
        <v>7498</v>
      </c>
      <c r="E3284" s="120">
        <v>60</v>
      </c>
      <c r="F3284" s="133" t="s">
        <v>227</v>
      </c>
      <c r="G3284" s="404" t="s">
        <v>7486</v>
      </c>
      <c r="H3284" s="411">
        <v>72</v>
      </c>
      <c r="I3284" s="94">
        <f t="shared" si="628"/>
        <v>-6.4799999999999995</v>
      </c>
      <c r="J3284" s="391">
        <f t="shared" si="629"/>
        <v>-1.6679999999999999</v>
      </c>
      <c r="K3284" s="90">
        <f t="shared" si="608"/>
        <v>63.851999999999997</v>
      </c>
      <c r="L3284" s="131">
        <v>350</v>
      </c>
      <c r="M3284" s="187">
        <v>21.48</v>
      </c>
      <c r="N3284" s="91">
        <f t="shared" si="625"/>
        <v>42.480000000000004</v>
      </c>
      <c r="O3284" s="411">
        <f t="shared" si="627"/>
        <v>21.371999999999993</v>
      </c>
      <c r="P3284" s="132" t="s">
        <v>52</v>
      </c>
      <c r="Q3284" s="232"/>
      <c r="R3284" s="411"/>
      <c r="T3284" s="134" t="s">
        <v>145</v>
      </c>
      <c r="U3284" s="267" t="s">
        <v>7499</v>
      </c>
      <c r="AA3284" s="218"/>
    </row>
    <row r="3285" spans="1:27" ht="24" x14ac:dyDescent="0.25">
      <c r="A3285" s="405">
        <v>3002557</v>
      </c>
      <c r="B3285" s="406">
        <v>42528</v>
      </c>
      <c r="C3285" s="405" t="s">
        <v>5682</v>
      </c>
      <c r="D3285" s="401" t="s">
        <v>7500</v>
      </c>
      <c r="E3285" s="120">
        <v>250</v>
      </c>
      <c r="F3285" s="133" t="s">
        <v>939</v>
      </c>
      <c r="G3285" s="404" t="s">
        <v>7486</v>
      </c>
      <c r="H3285" s="411">
        <v>192.8</v>
      </c>
      <c r="I3285" s="94">
        <f t="shared" si="628"/>
        <v>-17.352</v>
      </c>
      <c r="J3285" s="391">
        <f t="shared" si="629"/>
        <v>-3.9632000000000001</v>
      </c>
      <c r="K3285" s="90">
        <f t="shared" si="608"/>
        <v>171.48480000000001</v>
      </c>
      <c r="L3285" s="131">
        <v>445</v>
      </c>
      <c r="M3285" s="187">
        <v>42.58</v>
      </c>
      <c r="N3285" s="91">
        <f t="shared" si="625"/>
        <v>153.82999999999998</v>
      </c>
      <c r="O3285" s="411">
        <f t="shared" si="627"/>
        <v>17.654800000000023</v>
      </c>
      <c r="P3285" s="132" t="s">
        <v>52</v>
      </c>
      <c r="Q3285" s="232"/>
      <c r="R3285" s="411"/>
      <c r="T3285" s="134" t="s">
        <v>145</v>
      </c>
      <c r="U3285" s="267" t="s">
        <v>7501</v>
      </c>
      <c r="AA3285" s="218"/>
    </row>
    <row r="3286" spans="1:27" ht="24" x14ac:dyDescent="0.25">
      <c r="A3286" s="405">
        <v>3002558</v>
      </c>
      <c r="B3286" s="406">
        <v>42528</v>
      </c>
      <c r="C3286" s="405" t="s">
        <v>237</v>
      </c>
      <c r="D3286" s="401" t="s">
        <v>7502</v>
      </c>
      <c r="E3286" s="120">
        <v>250</v>
      </c>
      <c r="F3286" s="133" t="s">
        <v>939</v>
      </c>
      <c r="G3286" s="404" t="s">
        <v>7486</v>
      </c>
      <c r="H3286" s="411">
        <v>252.24</v>
      </c>
      <c r="I3286" s="397">
        <f t="shared" ref="I3286:I3289" si="630">-(H3286*0.15)</f>
        <v>-37.835999999999999</v>
      </c>
      <c r="J3286" s="411">
        <v>0</v>
      </c>
      <c r="K3286" s="90">
        <f t="shared" si="608"/>
        <v>214.404</v>
      </c>
      <c r="L3286" s="131">
        <v>445</v>
      </c>
      <c r="M3286" s="187">
        <v>48.27</v>
      </c>
      <c r="N3286" s="91">
        <f t="shared" si="625"/>
        <v>159.52000000000001</v>
      </c>
      <c r="O3286" s="411">
        <f t="shared" si="627"/>
        <v>54.883999999999986</v>
      </c>
      <c r="P3286" s="132" t="s">
        <v>52</v>
      </c>
      <c r="Q3286" s="232"/>
      <c r="R3286" s="411"/>
      <c r="T3286" s="134" t="s">
        <v>145</v>
      </c>
      <c r="U3286" s="267" t="s">
        <v>7503</v>
      </c>
      <c r="AA3286" s="218"/>
    </row>
    <row r="3287" spans="1:27" ht="24" x14ac:dyDescent="0.25">
      <c r="A3287" s="405">
        <v>3002559</v>
      </c>
      <c r="B3287" s="406">
        <v>42528</v>
      </c>
      <c r="C3287" s="405" t="s">
        <v>237</v>
      </c>
      <c r="D3287" s="401" t="s">
        <v>7504</v>
      </c>
      <c r="E3287" s="120">
        <v>500</v>
      </c>
      <c r="F3287" s="133" t="s">
        <v>451</v>
      </c>
      <c r="G3287" s="404" t="s">
        <v>7486</v>
      </c>
      <c r="H3287" s="411">
        <v>291.54000000000002</v>
      </c>
      <c r="I3287" s="397">
        <f t="shared" si="630"/>
        <v>-43.731000000000002</v>
      </c>
      <c r="J3287" s="411">
        <v>0</v>
      </c>
      <c r="K3287" s="90">
        <f t="shared" si="608"/>
        <v>247.80900000000003</v>
      </c>
      <c r="L3287" s="131">
        <v>300</v>
      </c>
      <c r="M3287" s="187">
        <v>56.65</v>
      </c>
      <c r="N3287" s="91">
        <f t="shared" si="625"/>
        <v>206.65</v>
      </c>
      <c r="O3287" s="411">
        <f t="shared" si="627"/>
        <v>41.15900000000002</v>
      </c>
      <c r="P3287" s="132" t="s">
        <v>52</v>
      </c>
      <c r="Q3287" s="232"/>
      <c r="R3287" s="411"/>
      <c r="T3287" s="134" t="s">
        <v>145</v>
      </c>
      <c r="U3287" s="267" t="s">
        <v>7505</v>
      </c>
      <c r="AA3287" s="218"/>
    </row>
    <row r="3288" spans="1:27" ht="24" x14ac:dyDescent="0.25">
      <c r="A3288" s="405">
        <v>3002560</v>
      </c>
      <c r="B3288" s="406">
        <v>42528</v>
      </c>
      <c r="C3288" s="405" t="s">
        <v>237</v>
      </c>
      <c r="D3288" s="401" t="s">
        <v>7506</v>
      </c>
      <c r="E3288" s="120">
        <v>100</v>
      </c>
      <c r="F3288" s="133" t="s">
        <v>431</v>
      </c>
      <c r="G3288" s="404" t="s">
        <v>7486</v>
      </c>
      <c r="H3288" s="411">
        <v>297.99</v>
      </c>
      <c r="I3288" s="397">
        <f t="shared" si="630"/>
        <v>-44.698500000000003</v>
      </c>
      <c r="J3288" s="411">
        <v>0</v>
      </c>
      <c r="K3288" s="90">
        <f t="shared" si="608"/>
        <v>253.29150000000001</v>
      </c>
      <c r="L3288" s="131">
        <v>990</v>
      </c>
      <c r="M3288" s="187">
        <v>41.25</v>
      </c>
      <c r="N3288" s="91">
        <f t="shared" si="625"/>
        <v>140.25</v>
      </c>
      <c r="O3288" s="411">
        <f t="shared" si="627"/>
        <v>113.04150000000001</v>
      </c>
      <c r="P3288" s="132" t="s">
        <v>52</v>
      </c>
      <c r="Q3288" s="232"/>
      <c r="R3288" s="411"/>
      <c r="T3288" s="134" t="s">
        <v>145</v>
      </c>
      <c r="U3288" s="267" t="s">
        <v>7507</v>
      </c>
      <c r="AA3288" s="218"/>
    </row>
    <row r="3289" spans="1:27" ht="24" x14ac:dyDescent="0.25">
      <c r="A3289" s="405">
        <v>3002561</v>
      </c>
      <c r="B3289" s="406">
        <v>42528</v>
      </c>
      <c r="C3289" s="405" t="s">
        <v>237</v>
      </c>
      <c r="D3289" s="401" t="s">
        <v>7508</v>
      </c>
      <c r="E3289" s="120">
        <v>275</v>
      </c>
      <c r="F3289" s="133" t="s">
        <v>605</v>
      </c>
      <c r="G3289" s="404" t="s">
        <v>7486</v>
      </c>
      <c r="H3289" s="411">
        <v>390.49</v>
      </c>
      <c r="I3289" s="397">
        <f t="shared" si="630"/>
        <v>-58.573499999999996</v>
      </c>
      <c r="J3289" s="411">
        <v>0</v>
      </c>
      <c r="K3289" s="90">
        <f t="shared" si="608"/>
        <v>331.91650000000004</v>
      </c>
      <c r="L3289" s="131">
        <v>600</v>
      </c>
      <c r="M3289" s="187">
        <v>53.14</v>
      </c>
      <c r="N3289" s="91">
        <f t="shared" si="625"/>
        <v>218.14</v>
      </c>
      <c r="O3289" s="411">
        <f t="shared" si="627"/>
        <v>113.77650000000006</v>
      </c>
      <c r="P3289" s="132" t="s">
        <v>52</v>
      </c>
      <c r="Q3289" s="232"/>
      <c r="R3289" s="411"/>
      <c r="T3289" s="134" t="s">
        <v>145</v>
      </c>
      <c r="U3289" s="267" t="s">
        <v>7509</v>
      </c>
      <c r="AA3289" s="218"/>
    </row>
    <row r="3290" spans="1:27" x14ac:dyDescent="0.25">
      <c r="A3290" s="419">
        <v>3002562</v>
      </c>
      <c r="B3290" s="421">
        <v>42528</v>
      </c>
      <c r="C3290" s="419" t="s">
        <v>327</v>
      </c>
      <c r="D3290" s="417" t="s">
        <v>6992</v>
      </c>
      <c r="E3290" s="120">
        <v>475</v>
      </c>
      <c r="F3290" s="133" t="s">
        <v>7510</v>
      </c>
      <c r="G3290" s="434" t="s">
        <v>7486</v>
      </c>
      <c r="H3290" s="427">
        <v>1540.63</v>
      </c>
      <c r="I3290" s="427">
        <v>0</v>
      </c>
      <c r="J3290" s="425">
        <f>-((H3290*0.022)+0.3)</f>
        <v>-34.193860000000001</v>
      </c>
      <c r="K3290" s="425">
        <f t="shared" si="608"/>
        <v>1506.43614</v>
      </c>
      <c r="L3290" s="221">
        <v>1390</v>
      </c>
      <c r="M3290" s="211">
        <v>120</v>
      </c>
      <c r="N3290" s="241">
        <f t="shared" si="625"/>
        <v>780.25</v>
      </c>
      <c r="O3290" s="411">
        <f t="shared" si="627"/>
        <v>726.18614000000002</v>
      </c>
      <c r="P3290" s="173" t="s">
        <v>59</v>
      </c>
      <c r="Q3290" s="232"/>
      <c r="R3290" s="411"/>
      <c r="T3290" s="134" t="s">
        <v>389</v>
      </c>
      <c r="U3290" s="267" t="s">
        <v>7511</v>
      </c>
      <c r="W3290" s="153" t="s">
        <v>6994</v>
      </c>
      <c r="AA3290" s="473">
        <v>25</v>
      </c>
    </row>
    <row r="3291" spans="1:27" ht="36" x14ac:dyDescent="0.25">
      <c r="A3291" s="432"/>
      <c r="B3291" s="433"/>
      <c r="C3291" s="432"/>
      <c r="D3291" s="454"/>
      <c r="E3291" s="120">
        <v>750</v>
      </c>
      <c r="F3291" s="133" t="s">
        <v>7512</v>
      </c>
      <c r="G3291" s="435"/>
      <c r="H3291" s="438"/>
      <c r="I3291" s="438"/>
      <c r="J3291" s="437"/>
      <c r="K3291" s="437"/>
      <c r="L3291" s="187">
        <v>454</v>
      </c>
      <c r="M3291" s="187">
        <v>29.67</v>
      </c>
      <c r="N3291" s="91">
        <f t="shared" si="625"/>
        <v>370.17</v>
      </c>
      <c r="O3291" s="411">
        <f t="shared" si="627"/>
        <v>-370.17</v>
      </c>
      <c r="P3291" s="132" t="s">
        <v>183</v>
      </c>
      <c r="Q3291" s="232"/>
      <c r="R3291" s="411"/>
      <c r="T3291" s="134" t="s">
        <v>145</v>
      </c>
      <c r="U3291" s="266" t="s">
        <v>7513</v>
      </c>
      <c r="V3291" s="133" t="s">
        <v>7514</v>
      </c>
      <c r="AA3291" s="478"/>
    </row>
    <row r="3292" spans="1:27" ht="24" x14ac:dyDescent="0.25">
      <c r="A3292" s="420"/>
      <c r="B3292" s="422"/>
      <c r="C3292" s="420"/>
      <c r="D3292" s="418"/>
      <c r="E3292" s="120">
        <v>100</v>
      </c>
      <c r="F3292" s="133" t="s">
        <v>7515</v>
      </c>
      <c r="G3292" s="436"/>
      <c r="H3292" s="428"/>
      <c r="I3292" s="428"/>
      <c r="J3292" s="426"/>
      <c r="K3292" s="426"/>
      <c r="M3292" s="131">
        <v>38.340000000000003</v>
      </c>
      <c r="N3292" s="91">
        <f t="shared" si="625"/>
        <v>38.340000000000003</v>
      </c>
      <c r="O3292" s="411">
        <f t="shared" si="627"/>
        <v>-38.340000000000003</v>
      </c>
      <c r="P3292" s="132" t="s">
        <v>52</v>
      </c>
      <c r="Q3292" s="232"/>
      <c r="R3292" s="411"/>
      <c r="T3292" s="134" t="s">
        <v>145</v>
      </c>
      <c r="U3292" s="267" t="s">
        <v>7516</v>
      </c>
      <c r="V3292" s="133" t="s">
        <v>7517</v>
      </c>
      <c r="AA3292" s="474"/>
    </row>
    <row r="3293" spans="1:27" x14ac:dyDescent="0.25">
      <c r="A3293" s="405">
        <v>3002563</v>
      </c>
      <c r="B3293" s="406">
        <v>42528</v>
      </c>
      <c r="C3293" s="405" t="s">
        <v>56</v>
      </c>
      <c r="D3293" s="401" t="s">
        <v>1251</v>
      </c>
      <c r="E3293" s="120">
        <v>1000</v>
      </c>
      <c r="F3293" s="133" t="s">
        <v>7518</v>
      </c>
      <c r="G3293" s="404" t="s">
        <v>7486</v>
      </c>
      <c r="H3293" s="411">
        <v>1185</v>
      </c>
      <c r="I3293" s="411">
        <v>0</v>
      </c>
      <c r="J3293" s="411">
        <v>0</v>
      </c>
      <c r="K3293" s="90">
        <f t="shared" ref="K3293:K3327" si="631">SUM(H3293:J3293)</f>
        <v>1185</v>
      </c>
      <c r="L3293" s="187">
        <v>850</v>
      </c>
      <c r="M3293" s="187">
        <v>169</v>
      </c>
      <c r="N3293" s="91">
        <f t="shared" si="625"/>
        <v>1019</v>
      </c>
      <c r="O3293" s="411">
        <f t="shared" si="627"/>
        <v>166</v>
      </c>
      <c r="P3293" s="132" t="s">
        <v>235</v>
      </c>
      <c r="Q3293" s="232"/>
      <c r="R3293" s="411"/>
      <c r="T3293" s="134" t="s">
        <v>565</v>
      </c>
      <c r="U3293" s="267" t="s">
        <v>7519</v>
      </c>
      <c r="V3293" s="133" t="s">
        <v>5426</v>
      </c>
      <c r="W3293" s="153" t="s">
        <v>7357</v>
      </c>
      <c r="AA3293" s="218"/>
    </row>
    <row r="3294" spans="1:27" x14ac:dyDescent="0.25">
      <c r="A3294" s="419">
        <v>3002564</v>
      </c>
      <c r="B3294" s="421">
        <v>42528</v>
      </c>
      <c r="C3294" s="419" t="s">
        <v>63</v>
      </c>
      <c r="D3294" s="417" t="s">
        <v>7520</v>
      </c>
      <c r="E3294" s="120">
        <v>1000</v>
      </c>
      <c r="F3294" s="133" t="s">
        <v>528</v>
      </c>
      <c r="G3294" s="434" t="s">
        <v>7486</v>
      </c>
      <c r="H3294" s="427">
        <v>1820</v>
      </c>
      <c r="I3294" s="427">
        <v>0</v>
      </c>
      <c r="J3294" s="425">
        <f>-((H3294*0.022)+0.3)</f>
        <v>-40.339999999999996</v>
      </c>
      <c r="K3294" s="425">
        <f t="shared" si="631"/>
        <v>1779.66</v>
      </c>
      <c r="L3294" s="131">
        <v>1021</v>
      </c>
      <c r="M3294" s="187">
        <v>317</v>
      </c>
      <c r="N3294" s="91">
        <f t="shared" si="625"/>
        <v>1338</v>
      </c>
      <c r="O3294" s="411">
        <f t="shared" si="627"/>
        <v>441.66000000000008</v>
      </c>
      <c r="P3294" s="132" t="s">
        <v>52</v>
      </c>
      <c r="Q3294" s="232"/>
      <c r="R3294" s="411"/>
      <c r="T3294" s="134" t="s">
        <v>1467</v>
      </c>
      <c r="U3294" s="267" t="s">
        <v>7521</v>
      </c>
      <c r="V3294" s="133" t="s">
        <v>55</v>
      </c>
      <c r="W3294" s="153" t="s">
        <v>7522</v>
      </c>
      <c r="AA3294" s="473">
        <v>10</v>
      </c>
    </row>
    <row r="3295" spans="1:27" x14ac:dyDescent="0.25">
      <c r="A3295" s="420"/>
      <c r="B3295" s="422"/>
      <c r="C3295" s="420"/>
      <c r="D3295" s="418"/>
      <c r="E3295" s="120">
        <v>1000</v>
      </c>
      <c r="F3295" s="133" t="s">
        <v>7523</v>
      </c>
      <c r="G3295" s="436"/>
      <c r="H3295" s="428"/>
      <c r="I3295" s="428"/>
      <c r="J3295" s="426"/>
      <c r="K3295" s="426"/>
      <c r="L3295" s="187">
        <v>200</v>
      </c>
      <c r="M3295" s="187">
        <v>72</v>
      </c>
      <c r="N3295" s="91">
        <f t="shared" si="625"/>
        <v>272</v>
      </c>
      <c r="O3295" s="411">
        <f t="shared" si="627"/>
        <v>-272</v>
      </c>
      <c r="P3295" s="132" t="s">
        <v>183</v>
      </c>
      <c r="Q3295" s="232"/>
      <c r="R3295" s="411"/>
      <c r="T3295" s="134" t="s">
        <v>3488</v>
      </c>
      <c r="U3295" s="267" t="s">
        <v>7524</v>
      </c>
      <c r="V3295" s="133" t="s">
        <v>7525</v>
      </c>
      <c r="AA3295" s="474"/>
    </row>
    <row r="3296" spans="1:27" ht="24" x14ac:dyDescent="0.25">
      <c r="A3296" s="419">
        <v>3002565</v>
      </c>
      <c r="B3296" s="421">
        <v>42528</v>
      </c>
      <c r="C3296" s="419" t="s">
        <v>63</v>
      </c>
      <c r="D3296" s="417" t="s">
        <v>5944</v>
      </c>
      <c r="E3296" s="120">
        <v>71</v>
      </c>
      <c r="F3296" s="133" t="s">
        <v>51</v>
      </c>
      <c r="G3296" s="434" t="s">
        <v>7486</v>
      </c>
      <c r="H3296" s="427">
        <v>152.1</v>
      </c>
      <c r="I3296" s="427">
        <v>0</v>
      </c>
      <c r="J3296" s="425">
        <f>-((H3296*0.022)+0.3)</f>
        <v>-3.6461999999999994</v>
      </c>
      <c r="K3296" s="425">
        <f t="shared" si="631"/>
        <v>148.4538</v>
      </c>
      <c r="L3296" s="131">
        <v>1015</v>
      </c>
      <c r="M3296" s="187">
        <v>41.72</v>
      </c>
      <c r="N3296" s="91">
        <f t="shared" si="625"/>
        <v>113.78500000000001</v>
      </c>
      <c r="O3296" s="411">
        <f t="shared" si="627"/>
        <v>34.66879999999999</v>
      </c>
      <c r="P3296" s="132" t="s">
        <v>52</v>
      </c>
      <c r="Q3296" s="232"/>
      <c r="R3296" s="411"/>
      <c r="T3296" s="134" t="s">
        <v>145</v>
      </c>
      <c r="U3296" s="267" t="s">
        <v>7526</v>
      </c>
      <c r="W3296" s="153" t="s">
        <v>5946</v>
      </c>
      <c r="AA3296" s="218"/>
    </row>
    <row r="3297" spans="1:27" ht="24" x14ac:dyDescent="0.25">
      <c r="A3297" s="420"/>
      <c r="B3297" s="422"/>
      <c r="C3297" s="420"/>
      <c r="D3297" s="418"/>
      <c r="E3297" s="120">
        <v>90</v>
      </c>
      <c r="F3297" s="133" t="s">
        <v>1236</v>
      </c>
      <c r="G3297" s="436"/>
      <c r="H3297" s="428"/>
      <c r="I3297" s="428"/>
      <c r="J3297" s="426"/>
      <c r="K3297" s="426"/>
      <c r="M3297" s="187">
        <v>31.78</v>
      </c>
      <c r="N3297" s="91">
        <f t="shared" si="625"/>
        <v>31.78</v>
      </c>
      <c r="O3297" s="411">
        <f t="shared" si="627"/>
        <v>-31.78</v>
      </c>
      <c r="P3297" s="132" t="s">
        <v>52</v>
      </c>
      <c r="Q3297" s="232"/>
      <c r="R3297" s="411"/>
      <c r="T3297" s="134" t="s">
        <v>145</v>
      </c>
      <c r="U3297" s="267" t="s">
        <v>7527</v>
      </c>
      <c r="V3297" s="133" t="s">
        <v>7528</v>
      </c>
      <c r="AA3297" s="218"/>
    </row>
    <row r="3298" spans="1:27" x14ac:dyDescent="0.25">
      <c r="A3298" s="419">
        <v>3002566</v>
      </c>
      <c r="B3298" s="421">
        <v>42528</v>
      </c>
      <c r="C3298" s="419" t="s">
        <v>327</v>
      </c>
      <c r="D3298" s="417" t="s">
        <v>2869</v>
      </c>
      <c r="E3298" s="120">
        <v>1000</v>
      </c>
      <c r="F3298" s="133" t="s">
        <v>7529</v>
      </c>
      <c r="G3298" s="434" t="s">
        <v>7486</v>
      </c>
      <c r="H3298" s="427">
        <v>2727.96</v>
      </c>
      <c r="I3298" s="427">
        <v>0</v>
      </c>
      <c r="J3298" s="425">
        <f>-((H3298*0.022)+0.3)</f>
        <v>-60.315119999999993</v>
      </c>
      <c r="K3298" s="425">
        <f t="shared" si="631"/>
        <v>2667.6448799999998</v>
      </c>
      <c r="L3298" s="187">
        <v>715</v>
      </c>
      <c r="M3298" s="187">
        <v>120.47</v>
      </c>
      <c r="N3298" s="91">
        <f t="shared" si="625"/>
        <v>835.47</v>
      </c>
      <c r="O3298" s="411">
        <f t="shared" si="627"/>
        <v>1832.1748799999998</v>
      </c>
      <c r="P3298" s="132" t="s">
        <v>330</v>
      </c>
      <c r="Q3298" s="232"/>
      <c r="R3298" s="411">
        <v>230.97</v>
      </c>
      <c r="S3298" s="133" t="s">
        <v>301</v>
      </c>
      <c r="T3298" s="439" t="s">
        <v>639</v>
      </c>
      <c r="U3298" s="446" t="s">
        <v>7530</v>
      </c>
      <c r="W3298" s="153" t="s">
        <v>2872</v>
      </c>
      <c r="AA3298" s="473">
        <v>10</v>
      </c>
    </row>
    <row r="3299" spans="1:27" x14ac:dyDescent="0.25">
      <c r="A3299" s="420"/>
      <c r="B3299" s="422"/>
      <c r="C3299" s="420"/>
      <c r="D3299" s="418"/>
      <c r="E3299" s="120">
        <v>1000</v>
      </c>
      <c r="F3299" s="133" t="s">
        <v>7531</v>
      </c>
      <c r="G3299" s="436"/>
      <c r="H3299" s="428"/>
      <c r="I3299" s="428"/>
      <c r="J3299" s="426"/>
      <c r="K3299" s="426"/>
      <c r="L3299" s="187">
        <v>492</v>
      </c>
      <c r="M3299" s="187"/>
      <c r="N3299" s="91">
        <f t="shared" si="625"/>
        <v>492</v>
      </c>
      <c r="O3299" s="411">
        <f t="shared" si="627"/>
        <v>-492</v>
      </c>
      <c r="P3299" s="132" t="s">
        <v>330</v>
      </c>
      <c r="Q3299" s="232"/>
      <c r="R3299" s="411"/>
      <c r="T3299" s="441"/>
      <c r="U3299" s="447"/>
      <c r="AA3299" s="474"/>
    </row>
    <row r="3300" spans="1:27" ht="24" x14ac:dyDescent="0.25">
      <c r="A3300" s="405">
        <v>3002567</v>
      </c>
      <c r="B3300" s="406">
        <v>42528</v>
      </c>
      <c r="C3300" s="405" t="s">
        <v>5682</v>
      </c>
      <c r="D3300" s="401" t="s">
        <v>7532</v>
      </c>
      <c r="E3300" s="120">
        <v>300</v>
      </c>
      <c r="F3300" s="133" t="s">
        <v>6793</v>
      </c>
      <c r="G3300" s="404" t="s">
        <v>7486</v>
      </c>
      <c r="H3300" s="411">
        <v>349.27</v>
      </c>
      <c r="I3300" s="94">
        <f t="shared" ref="I3300" si="632">-(H3300*0.09)</f>
        <v>-31.434299999999997</v>
      </c>
      <c r="J3300" s="391">
        <f t="shared" ref="J3300" si="633">-((H3300*0.019)+0.3)</f>
        <v>-6.9361299999999995</v>
      </c>
      <c r="K3300" s="90">
        <f t="shared" si="631"/>
        <v>310.89956999999998</v>
      </c>
      <c r="M3300" s="187">
        <v>30.37</v>
      </c>
      <c r="N3300" s="91">
        <f t="shared" si="625"/>
        <v>30.37</v>
      </c>
      <c r="O3300" s="411">
        <f t="shared" si="627"/>
        <v>280.52956999999998</v>
      </c>
      <c r="P3300" s="132" t="s">
        <v>52</v>
      </c>
      <c r="Q3300" s="232"/>
      <c r="R3300" s="411"/>
      <c r="T3300" s="134" t="s">
        <v>145</v>
      </c>
      <c r="U3300" s="267" t="s">
        <v>7533</v>
      </c>
      <c r="AA3300" s="218"/>
    </row>
    <row r="3301" spans="1:27" x14ac:dyDescent="0.25">
      <c r="A3301" s="405">
        <v>3002568</v>
      </c>
      <c r="B3301" s="406">
        <v>42529</v>
      </c>
      <c r="C3301" s="405" t="s">
        <v>63</v>
      </c>
      <c r="D3301" s="401" t="s">
        <v>7534</v>
      </c>
      <c r="E3301" s="120">
        <v>15000</v>
      </c>
      <c r="F3301" s="133" t="s">
        <v>7535</v>
      </c>
      <c r="G3301" s="404" t="s">
        <v>7486</v>
      </c>
      <c r="H3301" s="411">
        <v>2820</v>
      </c>
      <c r="I3301" s="411">
        <v>0</v>
      </c>
      <c r="J3301" s="391">
        <f>-((H3301*0.022)+0.3)</f>
        <v>-62.339999999999996</v>
      </c>
      <c r="K3301" s="90">
        <f t="shared" si="631"/>
        <v>2757.66</v>
      </c>
      <c r="L3301" s="187">
        <v>147</v>
      </c>
      <c r="M3301" s="187">
        <v>213.9</v>
      </c>
      <c r="N3301" s="91">
        <f t="shared" si="625"/>
        <v>2418.9</v>
      </c>
      <c r="O3301" s="411">
        <f t="shared" si="627"/>
        <v>338.75999999999976</v>
      </c>
      <c r="P3301" s="132" t="s">
        <v>183</v>
      </c>
      <c r="Q3301" s="232"/>
      <c r="R3301" s="411"/>
      <c r="T3301" s="134" t="s">
        <v>717</v>
      </c>
      <c r="U3301" s="267" t="s">
        <v>7536</v>
      </c>
      <c r="W3301" s="153" t="s">
        <v>7537</v>
      </c>
      <c r="AA3301" s="218">
        <v>10</v>
      </c>
    </row>
    <row r="3302" spans="1:27" x14ac:dyDescent="0.25">
      <c r="A3302" s="405">
        <v>3002569</v>
      </c>
      <c r="B3302" s="406">
        <v>42529</v>
      </c>
      <c r="C3302" s="405" t="s">
        <v>63</v>
      </c>
      <c r="D3302" s="401" t="s">
        <v>7538</v>
      </c>
      <c r="E3302" s="120">
        <v>500</v>
      </c>
      <c r="F3302" s="133" t="s">
        <v>7539</v>
      </c>
      <c r="G3302" s="404" t="s">
        <v>7486</v>
      </c>
      <c r="H3302" s="411">
        <v>1200</v>
      </c>
      <c r="I3302" s="411">
        <v>0</v>
      </c>
      <c r="J3302" s="391">
        <f>-((H3302*0.022)+0.3)</f>
        <v>-26.7</v>
      </c>
      <c r="K3302" s="90">
        <f t="shared" si="631"/>
        <v>1173.3</v>
      </c>
      <c r="L3302" s="187">
        <v>1320</v>
      </c>
      <c r="N3302" s="91">
        <f t="shared" si="625"/>
        <v>660</v>
      </c>
      <c r="O3302" s="411">
        <f t="shared" si="627"/>
        <v>513.29999999999995</v>
      </c>
      <c r="P3302" s="132" t="s">
        <v>66</v>
      </c>
      <c r="Q3302" s="232"/>
      <c r="R3302" s="411"/>
      <c r="T3302" s="172" t="s">
        <v>314</v>
      </c>
      <c r="U3302" s="259">
        <v>4016464911</v>
      </c>
      <c r="W3302" s="153" t="s">
        <v>7540</v>
      </c>
      <c r="AA3302" s="218">
        <v>10</v>
      </c>
    </row>
    <row r="3303" spans="1:27" x14ac:dyDescent="0.25">
      <c r="A3303" s="419">
        <v>3002570</v>
      </c>
      <c r="B3303" s="421">
        <v>42529</v>
      </c>
      <c r="C3303" s="419" t="s">
        <v>555</v>
      </c>
      <c r="D3303" s="532" t="s">
        <v>7541</v>
      </c>
      <c r="E3303" s="120">
        <v>1640</v>
      </c>
      <c r="F3303" s="119" t="s">
        <v>7542</v>
      </c>
      <c r="G3303" s="434" t="s">
        <v>7486</v>
      </c>
      <c r="H3303" s="427">
        <v>7420</v>
      </c>
      <c r="I3303" s="427">
        <v>0</v>
      </c>
      <c r="J3303" s="427">
        <v>0</v>
      </c>
      <c r="K3303" s="425">
        <f t="shared" si="631"/>
        <v>7420</v>
      </c>
      <c r="L3303" s="187">
        <v>746</v>
      </c>
      <c r="M3303" s="187">
        <v>185.86</v>
      </c>
      <c r="N3303" s="91">
        <f t="shared" si="625"/>
        <v>1409.3000000000002</v>
      </c>
      <c r="O3303" s="411">
        <f t="shared" si="627"/>
        <v>6010.7</v>
      </c>
      <c r="P3303" s="132" t="s">
        <v>313</v>
      </c>
      <c r="Q3303" s="232"/>
      <c r="R3303" s="411"/>
      <c r="T3303" s="442" t="s">
        <v>755</v>
      </c>
      <c r="W3303" s="153" t="s">
        <v>7543</v>
      </c>
      <c r="AA3303" s="218"/>
    </row>
    <row r="3304" spans="1:27" x14ac:dyDescent="0.25">
      <c r="A3304" s="420"/>
      <c r="B3304" s="422"/>
      <c r="C3304" s="420"/>
      <c r="D3304" s="533"/>
      <c r="E3304" s="120">
        <v>1640</v>
      </c>
      <c r="F3304" s="119" t="s">
        <v>7544</v>
      </c>
      <c r="G3304" s="436"/>
      <c r="H3304" s="428"/>
      <c r="I3304" s="428"/>
      <c r="J3304" s="428"/>
      <c r="K3304" s="426"/>
      <c r="L3304" s="187">
        <v>1564</v>
      </c>
      <c r="M3304" s="187"/>
      <c r="N3304" s="91">
        <f t="shared" si="625"/>
        <v>2564.96</v>
      </c>
      <c r="O3304" s="411">
        <f t="shared" si="627"/>
        <v>-2564.96</v>
      </c>
      <c r="P3304" s="132" t="s">
        <v>313</v>
      </c>
      <c r="Q3304" s="232"/>
      <c r="R3304" s="411"/>
      <c r="T3304" s="443"/>
      <c r="AA3304" s="218"/>
    </row>
    <row r="3305" spans="1:27" ht="24" x14ac:dyDescent="0.25">
      <c r="A3305" s="405">
        <v>3002571</v>
      </c>
      <c r="B3305" s="406">
        <v>42529</v>
      </c>
      <c r="C3305" s="405" t="s">
        <v>5682</v>
      </c>
      <c r="D3305" s="401" t="s">
        <v>7545</v>
      </c>
      <c r="E3305" s="120">
        <v>100</v>
      </c>
      <c r="F3305" s="133" t="s">
        <v>161</v>
      </c>
      <c r="G3305" s="404" t="s">
        <v>7486</v>
      </c>
      <c r="H3305" s="411">
        <v>240</v>
      </c>
      <c r="I3305" s="94">
        <f t="shared" ref="I3305:I3318" si="634">-(H3305*0.09)</f>
        <v>-21.599999999999998</v>
      </c>
      <c r="J3305" s="391">
        <f t="shared" ref="J3305:J3318" si="635">-((H3305*0.019)+0.3)</f>
        <v>-4.8599999999999994</v>
      </c>
      <c r="K3305" s="90">
        <f t="shared" si="631"/>
        <v>213.54000000000002</v>
      </c>
      <c r="L3305" s="131">
        <v>1322</v>
      </c>
      <c r="M3305" s="187">
        <v>31.85</v>
      </c>
      <c r="N3305" s="91">
        <f t="shared" si="625"/>
        <v>164.05</v>
      </c>
      <c r="O3305" s="411">
        <f t="shared" si="627"/>
        <v>49.490000000000009</v>
      </c>
      <c r="P3305" s="132" t="s">
        <v>52</v>
      </c>
      <c r="Q3305" s="232"/>
      <c r="R3305" s="411"/>
      <c r="T3305" s="134" t="s">
        <v>145</v>
      </c>
      <c r="U3305" s="267" t="s">
        <v>7546</v>
      </c>
      <c r="AA3305" s="218"/>
    </row>
    <row r="3306" spans="1:27" ht="24" x14ac:dyDescent="0.25">
      <c r="A3306" s="405">
        <v>3002572</v>
      </c>
      <c r="B3306" s="406">
        <v>42529</v>
      </c>
      <c r="C3306" s="405" t="s">
        <v>5682</v>
      </c>
      <c r="D3306" s="401" t="s">
        <v>7547</v>
      </c>
      <c r="E3306" s="120">
        <v>150</v>
      </c>
      <c r="F3306" s="133" t="s">
        <v>247</v>
      </c>
      <c r="G3306" s="404" t="s">
        <v>7486</v>
      </c>
      <c r="H3306" s="411">
        <v>188.15</v>
      </c>
      <c r="I3306" s="94">
        <f t="shared" si="634"/>
        <v>-16.933499999999999</v>
      </c>
      <c r="J3306" s="391">
        <f t="shared" si="635"/>
        <v>-3.8748499999999999</v>
      </c>
      <c r="K3306" s="90">
        <f t="shared" si="631"/>
        <v>167.34164999999999</v>
      </c>
      <c r="L3306" s="131">
        <v>480</v>
      </c>
      <c r="M3306" s="187">
        <v>50.81</v>
      </c>
      <c r="N3306" s="91">
        <f t="shared" si="625"/>
        <v>122.81</v>
      </c>
      <c r="O3306" s="411">
        <f t="shared" si="627"/>
        <v>44.531649999999985</v>
      </c>
      <c r="P3306" s="132" t="s">
        <v>52</v>
      </c>
      <c r="Q3306" s="232"/>
      <c r="R3306" s="411"/>
      <c r="T3306" s="134" t="s">
        <v>145</v>
      </c>
      <c r="U3306" s="267" t="s">
        <v>7548</v>
      </c>
      <c r="AA3306" s="218"/>
    </row>
    <row r="3307" spans="1:27" ht="24" x14ac:dyDescent="0.25">
      <c r="A3307" s="405">
        <v>3002573</v>
      </c>
      <c r="B3307" s="406">
        <v>42529</v>
      </c>
      <c r="C3307" s="405" t="s">
        <v>5682</v>
      </c>
      <c r="D3307" s="401" t="s">
        <v>7549</v>
      </c>
      <c r="E3307" s="120">
        <v>300</v>
      </c>
      <c r="F3307" s="133" t="s">
        <v>7550</v>
      </c>
      <c r="G3307" s="404" t="s">
        <v>7486</v>
      </c>
      <c r="H3307" s="411">
        <v>767.58</v>
      </c>
      <c r="I3307" s="94">
        <f t="shared" si="634"/>
        <v>-69.0822</v>
      </c>
      <c r="J3307" s="391">
        <f t="shared" si="635"/>
        <v>-14.884020000000001</v>
      </c>
      <c r="K3307" s="90">
        <f t="shared" si="631"/>
        <v>683.61378000000013</v>
      </c>
      <c r="L3307" s="187">
        <v>1850</v>
      </c>
      <c r="M3307" s="131">
        <v>0</v>
      </c>
      <c r="N3307" s="91">
        <f t="shared" si="625"/>
        <v>555</v>
      </c>
      <c r="O3307" s="411">
        <f t="shared" si="627"/>
        <v>128.61378000000013</v>
      </c>
      <c r="P3307" s="132" t="s">
        <v>66</v>
      </c>
      <c r="Q3307" s="232"/>
      <c r="R3307" s="411"/>
      <c r="T3307" s="134" t="s">
        <v>7551</v>
      </c>
      <c r="U3307" s="267" t="s">
        <v>7552</v>
      </c>
      <c r="AA3307" s="218"/>
    </row>
    <row r="3308" spans="1:27" ht="24" x14ac:dyDescent="0.25">
      <c r="A3308" s="405">
        <v>3002574</v>
      </c>
      <c r="B3308" s="406">
        <v>42529</v>
      </c>
      <c r="C3308" s="405" t="s">
        <v>5682</v>
      </c>
      <c r="D3308" s="401" t="s">
        <v>7553</v>
      </c>
      <c r="E3308" s="120">
        <v>100</v>
      </c>
      <c r="F3308" s="133" t="s">
        <v>161</v>
      </c>
      <c r="G3308" s="404" t="s">
        <v>7486</v>
      </c>
      <c r="H3308" s="411">
        <v>235</v>
      </c>
      <c r="I3308" s="94">
        <f t="shared" si="634"/>
        <v>-21.15</v>
      </c>
      <c r="J3308" s="391">
        <f t="shared" si="635"/>
        <v>-4.7649999999999997</v>
      </c>
      <c r="K3308" s="90">
        <f t="shared" si="631"/>
        <v>209.08500000000001</v>
      </c>
      <c r="L3308" s="131">
        <v>1322</v>
      </c>
      <c r="M3308" s="187">
        <v>42.06</v>
      </c>
      <c r="N3308" s="91">
        <f t="shared" si="625"/>
        <v>174.26000000000002</v>
      </c>
      <c r="O3308" s="411">
        <f t="shared" si="627"/>
        <v>34.824999999999989</v>
      </c>
      <c r="P3308" s="132" t="s">
        <v>52</v>
      </c>
      <c r="Q3308" s="232"/>
      <c r="R3308" s="411"/>
      <c r="T3308" s="134" t="s">
        <v>145</v>
      </c>
      <c r="U3308" s="267" t="s">
        <v>7554</v>
      </c>
      <c r="AA3308" s="218"/>
    </row>
    <row r="3309" spans="1:27" ht="24" x14ac:dyDescent="0.25">
      <c r="A3309" s="405">
        <v>3002575</v>
      </c>
      <c r="B3309" s="406">
        <v>42529</v>
      </c>
      <c r="C3309" s="405" t="s">
        <v>5682</v>
      </c>
      <c r="D3309" s="401" t="s">
        <v>7555</v>
      </c>
      <c r="E3309" s="120">
        <v>150</v>
      </c>
      <c r="F3309" s="133" t="s">
        <v>161</v>
      </c>
      <c r="G3309" s="404" t="s">
        <v>7486</v>
      </c>
      <c r="H3309" s="411">
        <v>332.5</v>
      </c>
      <c r="I3309" s="94">
        <f t="shared" si="634"/>
        <v>-29.924999999999997</v>
      </c>
      <c r="J3309" s="391">
        <f t="shared" si="635"/>
        <v>-6.6174999999999997</v>
      </c>
      <c r="K3309" s="90">
        <f t="shared" si="631"/>
        <v>295.95749999999998</v>
      </c>
      <c r="L3309" s="131">
        <v>1322</v>
      </c>
      <c r="M3309" s="187">
        <v>59.85</v>
      </c>
      <c r="N3309" s="91">
        <f t="shared" si="625"/>
        <v>258.14999999999998</v>
      </c>
      <c r="O3309" s="411">
        <f t="shared" si="627"/>
        <v>37.807500000000005</v>
      </c>
      <c r="P3309" s="132" t="s">
        <v>52</v>
      </c>
      <c r="Q3309" s="232"/>
      <c r="R3309" s="411"/>
      <c r="T3309" s="134" t="s">
        <v>145</v>
      </c>
      <c r="U3309" s="267" t="s">
        <v>7556</v>
      </c>
      <c r="AA3309" s="218"/>
    </row>
    <row r="3310" spans="1:27" ht="24" x14ac:dyDescent="0.25">
      <c r="A3310" s="405">
        <v>3002576</v>
      </c>
      <c r="B3310" s="406">
        <v>42529</v>
      </c>
      <c r="C3310" s="405" t="s">
        <v>5682</v>
      </c>
      <c r="D3310" s="401" t="s">
        <v>7557</v>
      </c>
      <c r="E3310" s="120">
        <v>100</v>
      </c>
      <c r="F3310" s="133" t="s">
        <v>7215</v>
      </c>
      <c r="G3310" s="404" t="s">
        <v>7486</v>
      </c>
      <c r="H3310" s="411">
        <v>201.4</v>
      </c>
      <c r="I3310" s="94">
        <f t="shared" si="634"/>
        <v>-18.126000000000001</v>
      </c>
      <c r="J3310" s="391">
        <f t="shared" si="635"/>
        <v>-4.1265999999999998</v>
      </c>
      <c r="K3310" s="90">
        <f t="shared" si="631"/>
        <v>179.1474</v>
      </c>
      <c r="M3310" s="187">
        <v>31.62</v>
      </c>
      <c r="N3310" s="91">
        <f t="shared" si="625"/>
        <v>31.62</v>
      </c>
      <c r="O3310" s="411">
        <f t="shared" si="627"/>
        <v>147.5274</v>
      </c>
      <c r="P3310" s="132" t="s">
        <v>52</v>
      </c>
      <c r="Q3310" s="232"/>
      <c r="R3310" s="411"/>
      <c r="T3310" s="134" t="s">
        <v>145</v>
      </c>
      <c r="U3310" s="267" t="s">
        <v>7558</v>
      </c>
      <c r="AA3310" s="218"/>
    </row>
    <row r="3311" spans="1:27" ht="24" x14ac:dyDescent="0.25">
      <c r="A3311" s="405">
        <v>3002577</v>
      </c>
      <c r="B3311" s="406">
        <v>42529</v>
      </c>
      <c r="C3311" s="405" t="s">
        <v>5682</v>
      </c>
      <c r="D3311" s="401" t="s">
        <v>7559</v>
      </c>
      <c r="E3311" s="120">
        <v>150</v>
      </c>
      <c r="F3311" s="133" t="s">
        <v>307</v>
      </c>
      <c r="G3311" s="404" t="s">
        <v>7486</v>
      </c>
      <c r="H3311" s="411">
        <v>187.16</v>
      </c>
      <c r="I3311" s="94">
        <f t="shared" si="634"/>
        <v>-16.8444</v>
      </c>
      <c r="J3311" s="391">
        <f t="shared" si="635"/>
        <v>-3.8560399999999997</v>
      </c>
      <c r="K3311" s="90">
        <f t="shared" si="631"/>
        <v>166.45955999999998</v>
      </c>
      <c r="L3311" s="131">
        <v>690</v>
      </c>
      <c r="M3311" s="187">
        <v>23.44</v>
      </c>
      <c r="N3311" s="91">
        <f t="shared" si="625"/>
        <v>126.94</v>
      </c>
      <c r="O3311" s="411">
        <f t="shared" si="627"/>
        <v>39.519559999999984</v>
      </c>
      <c r="P3311" s="132" t="s">
        <v>52</v>
      </c>
      <c r="Q3311" s="232"/>
      <c r="R3311" s="411"/>
      <c r="T3311" s="134" t="s">
        <v>145</v>
      </c>
      <c r="U3311" s="267" t="s">
        <v>7560</v>
      </c>
      <c r="AA3311" s="218"/>
    </row>
    <row r="3312" spans="1:27" ht="24" x14ac:dyDescent="0.25">
      <c r="A3312" s="405">
        <v>3002578</v>
      </c>
      <c r="B3312" s="406">
        <v>42529</v>
      </c>
      <c r="C3312" s="405" t="s">
        <v>5682</v>
      </c>
      <c r="D3312" s="401" t="s">
        <v>7561</v>
      </c>
      <c r="E3312" s="120">
        <v>175</v>
      </c>
      <c r="F3312" s="133" t="s">
        <v>605</v>
      </c>
      <c r="G3312" s="404" t="s">
        <v>7486</v>
      </c>
      <c r="H3312" s="411">
        <v>264.31</v>
      </c>
      <c r="I3312" s="94">
        <f t="shared" si="634"/>
        <v>-23.7879</v>
      </c>
      <c r="J3312" s="391">
        <f t="shared" si="635"/>
        <v>-5.3218899999999998</v>
      </c>
      <c r="K3312" s="90">
        <f t="shared" si="631"/>
        <v>235.20021</v>
      </c>
      <c r="L3312" s="131">
        <v>600</v>
      </c>
      <c r="M3312" s="187">
        <v>39.51</v>
      </c>
      <c r="N3312" s="91">
        <f t="shared" si="625"/>
        <v>144.51000000000002</v>
      </c>
      <c r="O3312" s="411">
        <f t="shared" si="627"/>
        <v>90.690209999999979</v>
      </c>
      <c r="P3312" s="132" t="s">
        <v>52</v>
      </c>
      <c r="Q3312" s="232"/>
      <c r="R3312" s="411"/>
      <c r="T3312" s="134" t="s">
        <v>145</v>
      </c>
      <c r="U3312" s="267" t="s">
        <v>7562</v>
      </c>
      <c r="AA3312" s="218"/>
    </row>
    <row r="3313" spans="1:27" ht="24" x14ac:dyDescent="0.25">
      <c r="A3313" s="405">
        <v>3002579</v>
      </c>
      <c r="B3313" s="406">
        <v>42529</v>
      </c>
      <c r="C3313" s="405" t="s">
        <v>5682</v>
      </c>
      <c r="D3313" s="401" t="s">
        <v>7563</v>
      </c>
      <c r="E3313" s="120">
        <v>250</v>
      </c>
      <c r="F3313" s="133" t="s">
        <v>1137</v>
      </c>
      <c r="G3313" s="404" t="s">
        <v>7486</v>
      </c>
      <c r="H3313" s="411">
        <v>126.35</v>
      </c>
      <c r="I3313" s="94">
        <f t="shared" si="634"/>
        <v>-11.371499999999999</v>
      </c>
      <c r="J3313" s="391">
        <f t="shared" si="635"/>
        <v>-2.7006499999999996</v>
      </c>
      <c r="K3313" s="90">
        <f t="shared" si="631"/>
        <v>112.27785</v>
      </c>
      <c r="L3313" s="131">
        <v>220</v>
      </c>
      <c r="M3313" s="187">
        <v>27.32</v>
      </c>
      <c r="N3313" s="91">
        <f t="shared" si="625"/>
        <v>82.32</v>
      </c>
      <c r="O3313" s="411">
        <f t="shared" si="627"/>
        <v>29.957850000000008</v>
      </c>
      <c r="P3313" s="132" t="s">
        <v>52</v>
      </c>
      <c r="Q3313" s="232"/>
      <c r="R3313" s="411"/>
      <c r="T3313" s="134" t="s">
        <v>145</v>
      </c>
      <c r="U3313" s="266"/>
      <c r="AA3313" s="218"/>
    </row>
    <row r="3314" spans="1:27" ht="24" x14ac:dyDescent="0.25">
      <c r="A3314" s="405">
        <v>3002580</v>
      </c>
      <c r="B3314" s="406">
        <v>42529</v>
      </c>
      <c r="C3314" s="405" t="s">
        <v>5682</v>
      </c>
      <c r="D3314" s="401" t="s">
        <v>7564</v>
      </c>
      <c r="E3314" s="120">
        <v>100</v>
      </c>
      <c r="F3314" s="133" t="s">
        <v>829</v>
      </c>
      <c r="G3314" s="404" t="s">
        <v>7486</v>
      </c>
      <c r="H3314" s="411">
        <v>114</v>
      </c>
      <c r="I3314" s="94">
        <f t="shared" si="634"/>
        <v>-10.26</v>
      </c>
      <c r="J3314" s="391">
        <f t="shared" si="635"/>
        <v>-2.4659999999999997</v>
      </c>
      <c r="K3314" s="90">
        <f t="shared" si="631"/>
        <v>101.274</v>
      </c>
      <c r="L3314" s="131">
        <v>510</v>
      </c>
      <c r="M3314" s="187">
        <v>28.7</v>
      </c>
      <c r="N3314" s="91">
        <f t="shared" ref="N3314:N3377" si="636">((L3314)*(E3314*0.001))+M3314</f>
        <v>79.7</v>
      </c>
      <c r="O3314" s="411">
        <f t="shared" si="627"/>
        <v>21.573999999999998</v>
      </c>
      <c r="P3314" s="132" t="s">
        <v>52</v>
      </c>
      <c r="Q3314" s="232"/>
      <c r="R3314" s="411"/>
      <c r="T3314" s="134" t="s">
        <v>145</v>
      </c>
      <c r="U3314" s="267" t="s">
        <v>7565</v>
      </c>
      <c r="AA3314" s="218"/>
    </row>
    <row r="3315" spans="1:27" ht="24" x14ac:dyDescent="0.25">
      <c r="A3315" s="405">
        <v>3002581</v>
      </c>
      <c r="B3315" s="406">
        <v>42529</v>
      </c>
      <c r="C3315" s="405" t="s">
        <v>5682</v>
      </c>
      <c r="D3315" s="401" t="s">
        <v>7566</v>
      </c>
      <c r="E3315" s="120">
        <v>100</v>
      </c>
      <c r="F3315" s="133" t="s">
        <v>2949</v>
      </c>
      <c r="G3315" s="404" t="s">
        <v>7486</v>
      </c>
      <c r="H3315" s="411">
        <v>247</v>
      </c>
      <c r="I3315" s="94">
        <f t="shared" si="634"/>
        <v>-22.23</v>
      </c>
      <c r="J3315" s="391">
        <f t="shared" si="635"/>
        <v>-4.9929999999999994</v>
      </c>
      <c r="K3315" s="90">
        <f t="shared" si="631"/>
        <v>219.77700000000002</v>
      </c>
      <c r="M3315" s="187">
        <v>36.68</v>
      </c>
      <c r="N3315" s="91">
        <f t="shared" si="636"/>
        <v>36.68</v>
      </c>
      <c r="O3315" s="411">
        <f t="shared" si="627"/>
        <v>183.09700000000001</v>
      </c>
      <c r="P3315" s="132" t="s">
        <v>52</v>
      </c>
      <c r="Q3315" s="232"/>
      <c r="R3315" s="411"/>
      <c r="T3315" s="134" t="s">
        <v>145</v>
      </c>
      <c r="U3315" s="267" t="s">
        <v>7567</v>
      </c>
      <c r="AA3315" s="218"/>
    </row>
    <row r="3316" spans="1:27" ht="24" x14ac:dyDescent="0.25">
      <c r="A3316" s="405">
        <v>3002582</v>
      </c>
      <c r="B3316" s="406">
        <v>42529</v>
      </c>
      <c r="C3316" s="405" t="s">
        <v>5682</v>
      </c>
      <c r="D3316" s="401" t="s">
        <v>7568</v>
      </c>
      <c r="E3316" s="120">
        <v>100</v>
      </c>
      <c r="F3316" s="133" t="s">
        <v>2129</v>
      </c>
      <c r="G3316" s="404" t="s">
        <v>7486</v>
      </c>
      <c r="H3316" s="411">
        <v>277.08999999999997</v>
      </c>
      <c r="I3316" s="94">
        <f t="shared" si="634"/>
        <v>-24.938099999999999</v>
      </c>
      <c r="J3316" s="391">
        <f t="shared" si="635"/>
        <v>-5.5647099999999989</v>
      </c>
      <c r="K3316" s="90">
        <f t="shared" si="631"/>
        <v>246.58718999999999</v>
      </c>
      <c r="L3316" s="187">
        <v>1480</v>
      </c>
      <c r="M3316" s="187">
        <v>10.4</v>
      </c>
      <c r="N3316" s="91">
        <f t="shared" si="636"/>
        <v>158.4</v>
      </c>
      <c r="O3316" s="411">
        <f t="shared" si="627"/>
        <v>88.187189999999987</v>
      </c>
      <c r="P3316" s="132" t="s">
        <v>601</v>
      </c>
      <c r="Q3316" s="232"/>
      <c r="R3316" s="411"/>
      <c r="T3316" s="134" t="s">
        <v>145</v>
      </c>
      <c r="U3316" s="267" t="s">
        <v>7569</v>
      </c>
      <c r="AA3316" s="218"/>
    </row>
    <row r="3317" spans="1:27" ht="24" x14ac:dyDescent="0.25">
      <c r="A3317" s="405">
        <v>3002583</v>
      </c>
      <c r="B3317" s="406">
        <v>42529</v>
      </c>
      <c r="C3317" s="405" t="s">
        <v>5682</v>
      </c>
      <c r="D3317" s="401" t="s">
        <v>7570</v>
      </c>
      <c r="E3317" s="120">
        <v>100</v>
      </c>
      <c r="F3317" s="133" t="s">
        <v>1507</v>
      </c>
      <c r="G3317" s="404" t="s">
        <v>7486</v>
      </c>
      <c r="H3317" s="411">
        <v>314.82</v>
      </c>
      <c r="I3317" s="94">
        <f t="shared" si="634"/>
        <v>-28.3338</v>
      </c>
      <c r="J3317" s="391">
        <f t="shared" si="635"/>
        <v>-6.2815799999999999</v>
      </c>
      <c r="K3317" s="90">
        <f t="shared" si="631"/>
        <v>280.20461999999998</v>
      </c>
      <c r="L3317" s="187">
        <v>2150</v>
      </c>
      <c r="M3317" s="187">
        <v>35.43</v>
      </c>
      <c r="N3317" s="91">
        <f t="shared" si="636"/>
        <v>250.43</v>
      </c>
      <c r="O3317" s="411">
        <f t="shared" si="627"/>
        <v>29.77461999999997</v>
      </c>
      <c r="P3317" s="132" t="s">
        <v>601</v>
      </c>
      <c r="Q3317" s="232"/>
      <c r="R3317" s="411"/>
      <c r="T3317" s="134" t="s">
        <v>145</v>
      </c>
      <c r="U3317" s="266">
        <v>30512243601</v>
      </c>
      <c r="AA3317" s="218"/>
    </row>
    <row r="3318" spans="1:27" ht="24" x14ac:dyDescent="0.25">
      <c r="A3318" s="405">
        <v>3002584</v>
      </c>
      <c r="B3318" s="406">
        <v>42529</v>
      </c>
      <c r="C3318" s="405" t="s">
        <v>5682</v>
      </c>
      <c r="D3318" s="401" t="s">
        <v>7571</v>
      </c>
      <c r="E3318" s="120">
        <v>200</v>
      </c>
      <c r="F3318" s="133" t="s">
        <v>451</v>
      </c>
      <c r="G3318" s="404" t="s">
        <v>7486</v>
      </c>
      <c r="H3318" s="411">
        <v>127.3</v>
      </c>
      <c r="I3318" s="94">
        <f t="shared" si="634"/>
        <v>-11.456999999999999</v>
      </c>
      <c r="J3318" s="391">
        <f t="shared" si="635"/>
        <v>-2.7186999999999997</v>
      </c>
      <c r="K3318" s="90">
        <f t="shared" si="631"/>
        <v>113.12430000000001</v>
      </c>
      <c r="L3318" s="131">
        <v>300</v>
      </c>
      <c r="M3318" s="187">
        <v>20.07</v>
      </c>
      <c r="N3318" s="91">
        <f t="shared" si="636"/>
        <v>80.069999999999993</v>
      </c>
      <c r="O3318" s="411">
        <f t="shared" si="627"/>
        <v>33.054300000000012</v>
      </c>
      <c r="P3318" s="132" t="s">
        <v>52</v>
      </c>
      <c r="Q3318" s="232"/>
      <c r="R3318" s="411"/>
      <c r="T3318" s="134" t="s">
        <v>145</v>
      </c>
      <c r="U3318" s="267" t="s">
        <v>7572</v>
      </c>
      <c r="AA3318" s="218"/>
    </row>
    <row r="3319" spans="1:27" ht="24" x14ac:dyDescent="0.25">
      <c r="A3319" s="405">
        <v>3002585</v>
      </c>
      <c r="B3319" s="406">
        <v>42529</v>
      </c>
      <c r="C3319" s="405" t="s">
        <v>141</v>
      </c>
      <c r="D3319" s="401" t="s">
        <v>426</v>
      </c>
      <c r="E3319" s="120">
        <v>1000</v>
      </c>
      <c r="F3319" s="133" t="s">
        <v>427</v>
      </c>
      <c r="G3319" s="404" t="s">
        <v>7486</v>
      </c>
      <c r="H3319" s="411">
        <v>328</v>
      </c>
      <c r="I3319" s="411">
        <v>0</v>
      </c>
      <c r="J3319" s="391">
        <f>-((H3319*0.0325)+0.3)</f>
        <v>-10.96</v>
      </c>
      <c r="K3319" s="90">
        <f t="shared" si="631"/>
        <v>317.04000000000002</v>
      </c>
      <c r="L3319" s="187">
        <v>210</v>
      </c>
      <c r="M3319" s="187">
        <v>37.020000000000003</v>
      </c>
      <c r="N3319" s="91">
        <f t="shared" si="636"/>
        <v>247.02</v>
      </c>
      <c r="O3319" s="411">
        <f t="shared" si="627"/>
        <v>70.02000000000001</v>
      </c>
      <c r="P3319" s="132" t="s">
        <v>183</v>
      </c>
      <c r="Q3319" s="232"/>
      <c r="R3319" s="411"/>
      <c r="T3319" s="134" t="s">
        <v>145</v>
      </c>
      <c r="U3319" s="267" t="s">
        <v>7573</v>
      </c>
      <c r="AA3319" s="218"/>
    </row>
    <row r="3320" spans="1:27" x14ac:dyDescent="0.25">
      <c r="A3320" s="405">
        <v>3002586</v>
      </c>
      <c r="B3320" s="406">
        <v>42529</v>
      </c>
      <c r="C3320" s="405" t="s">
        <v>63</v>
      </c>
      <c r="D3320" s="401" t="s">
        <v>7574</v>
      </c>
      <c r="E3320" s="120">
        <v>250</v>
      </c>
      <c r="F3320" s="119" t="s">
        <v>7575</v>
      </c>
      <c r="G3320" s="404" t="s">
        <v>7486</v>
      </c>
      <c r="H3320" s="411">
        <v>773</v>
      </c>
      <c r="I3320" s="411">
        <v>0</v>
      </c>
      <c r="J3320" s="391">
        <f>-((H3320*0.022)+0.3)</f>
        <v>-17.306000000000001</v>
      </c>
      <c r="K3320" s="90">
        <f t="shared" si="631"/>
        <v>755.69399999999996</v>
      </c>
      <c r="L3320" s="187">
        <v>2250</v>
      </c>
      <c r="M3320" s="131">
        <v>0</v>
      </c>
      <c r="N3320" s="91">
        <f t="shared" si="636"/>
        <v>562.5</v>
      </c>
      <c r="O3320" s="411">
        <f t="shared" si="627"/>
        <v>193.19399999999996</v>
      </c>
      <c r="P3320" s="132" t="s">
        <v>59</v>
      </c>
      <c r="Q3320" s="232"/>
      <c r="R3320" s="411"/>
      <c r="T3320" s="134" t="s">
        <v>389</v>
      </c>
      <c r="U3320" s="267" t="s">
        <v>7576</v>
      </c>
      <c r="W3320" s="153" t="s">
        <v>7577</v>
      </c>
      <c r="AA3320" s="218"/>
    </row>
    <row r="3321" spans="1:27" ht="24" x14ac:dyDescent="0.25">
      <c r="A3321" s="405">
        <v>3002587</v>
      </c>
      <c r="B3321" s="406">
        <v>42529</v>
      </c>
      <c r="C3321" s="405" t="s">
        <v>63</v>
      </c>
      <c r="D3321" s="401" t="s">
        <v>7578</v>
      </c>
      <c r="E3321" s="120">
        <v>2950</v>
      </c>
      <c r="F3321" s="133" t="s">
        <v>7579</v>
      </c>
      <c r="G3321" s="404" t="s">
        <v>7486</v>
      </c>
      <c r="H3321" s="411">
        <v>7100</v>
      </c>
      <c r="I3321" s="411">
        <v>0</v>
      </c>
      <c r="J3321" s="391">
        <f>-((H3321*0.022)+0.3)</f>
        <v>-156.5</v>
      </c>
      <c r="K3321" s="90">
        <f t="shared" si="631"/>
        <v>6943.5</v>
      </c>
      <c r="L3321" s="131">
        <v>1693</v>
      </c>
      <c r="M3321" s="187">
        <v>720.63</v>
      </c>
      <c r="N3321" s="91">
        <f t="shared" si="636"/>
        <v>5714.9800000000005</v>
      </c>
      <c r="O3321" s="411">
        <f t="shared" si="627"/>
        <v>1228.5199999999995</v>
      </c>
      <c r="P3321" s="132" t="s">
        <v>52</v>
      </c>
      <c r="Q3321" s="232"/>
      <c r="R3321" s="411"/>
      <c r="T3321" s="134" t="s">
        <v>1209</v>
      </c>
      <c r="U3321" s="267" t="s">
        <v>7580</v>
      </c>
      <c r="V3321" s="133" t="s">
        <v>55</v>
      </c>
      <c r="W3321" s="153" t="s">
        <v>7581</v>
      </c>
      <c r="AA3321" s="218">
        <v>50</v>
      </c>
    </row>
    <row r="3322" spans="1:27" x14ac:dyDescent="0.25">
      <c r="A3322" s="405">
        <v>3002588</v>
      </c>
      <c r="B3322" s="406">
        <v>42529</v>
      </c>
      <c r="C3322" s="405" t="s">
        <v>63</v>
      </c>
      <c r="D3322" s="401" t="s">
        <v>7582</v>
      </c>
      <c r="E3322" s="120">
        <v>700</v>
      </c>
      <c r="F3322" s="133" t="s">
        <v>528</v>
      </c>
      <c r="G3322" s="404" t="s">
        <v>45</v>
      </c>
      <c r="H3322" s="411">
        <v>1053.55</v>
      </c>
      <c r="I3322" s="411">
        <v>0</v>
      </c>
      <c r="J3322" s="391">
        <f>-((H3322*0.022)+0.3)</f>
        <v>-23.478099999999998</v>
      </c>
      <c r="K3322" s="90">
        <f t="shared" si="631"/>
        <v>1030.0718999999999</v>
      </c>
      <c r="L3322" s="131">
        <v>1021</v>
      </c>
      <c r="M3322" s="187">
        <v>200.62</v>
      </c>
      <c r="N3322" s="91">
        <f t="shared" si="636"/>
        <v>915.32</v>
      </c>
      <c r="O3322" s="411">
        <f t="shared" si="627"/>
        <v>114.75189999999986</v>
      </c>
      <c r="P3322" s="132" t="s">
        <v>52</v>
      </c>
      <c r="Q3322" s="232"/>
      <c r="R3322" s="411">
        <v>105.05</v>
      </c>
      <c r="S3322" s="133" t="s">
        <v>1169</v>
      </c>
      <c r="T3322" s="134" t="s">
        <v>1467</v>
      </c>
      <c r="U3322" s="267" t="s">
        <v>7583</v>
      </c>
      <c r="V3322" s="133" t="s">
        <v>55</v>
      </c>
      <c r="W3322" s="153" t="s">
        <v>7584</v>
      </c>
      <c r="AA3322" s="218">
        <v>10</v>
      </c>
    </row>
    <row r="3323" spans="1:27" ht="24" x14ac:dyDescent="0.25">
      <c r="A3323" s="405">
        <v>3002589</v>
      </c>
      <c r="B3323" s="406">
        <v>42529</v>
      </c>
      <c r="C3323" s="405" t="s">
        <v>5682</v>
      </c>
      <c r="D3323" s="401" t="s">
        <v>7585</v>
      </c>
      <c r="E3323" s="120">
        <v>200</v>
      </c>
      <c r="F3323" s="133" t="s">
        <v>7586</v>
      </c>
      <c r="G3323" s="404" t="s">
        <v>7486</v>
      </c>
      <c r="H3323" s="411">
        <v>146.72</v>
      </c>
      <c r="I3323" s="89">
        <f t="shared" ref="I3323:I3326" si="637">-(H3323*0.09)</f>
        <v>-13.204799999999999</v>
      </c>
      <c r="J3323" s="391">
        <f t="shared" ref="J3323:J3326" si="638">-((H3323*0.019)+0.3)</f>
        <v>-3.0876799999999998</v>
      </c>
      <c r="K3323" s="90">
        <f t="shared" si="631"/>
        <v>130.42751999999999</v>
      </c>
      <c r="M3323" s="187">
        <v>35.79</v>
      </c>
      <c r="N3323" s="91"/>
      <c r="O3323" s="411">
        <f t="shared" si="627"/>
        <v>130.42751999999999</v>
      </c>
      <c r="P3323" s="132" t="s">
        <v>86</v>
      </c>
      <c r="Q3323" s="232"/>
      <c r="R3323" s="411"/>
      <c r="T3323" s="134" t="s">
        <v>145</v>
      </c>
      <c r="U3323" s="267" t="s">
        <v>7587</v>
      </c>
      <c r="AA3323" s="218"/>
    </row>
    <row r="3324" spans="1:27" x14ac:dyDescent="0.25">
      <c r="A3324" s="419">
        <v>3002590</v>
      </c>
      <c r="B3324" s="421">
        <v>42529</v>
      </c>
      <c r="C3324" s="419" t="s">
        <v>5682</v>
      </c>
      <c r="D3324" s="417" t="s">
        <v>7588</v>
      </c>
      <c r="E3324" s="120">
        <v>50</v>
      </c>
      <c r="F3324" s="133" t="s">
        <v>3345</v>
      </c>
      <c r="G3324" s="434" t="s">
        <v>7486</v>
      </c>
      <c r="H3324" s="427">
        <v>245</v>
      </c>
      <c r="I3324" s="452">
        <f t="shared" si="637"/>
        <v>-22.05</v>
      </c>
      <c r="J3324" s="425">
        <f t="shared" si="638"/>
        <v>-4.9550000000000001</v>
      </c>
      <c r="K3324" s="425">
        <f t="shared" si="631"/>
        <v>217.99499999999998</v>
      </c>
      <c r="L3324" s="187">
        <v>1450</v>
      </c>
      <c r="M3324" s="187">
        <v>25.86</v>
      </c>
      <c r="N3324" s="91">
        <f t="shared" si="636"/>
        <v>98.36</v>
      </c>
      <c r="O3324" s="411">
        <f t="shared" si="627"/>
        <v>119.63499999999998</v>
      </c>
      <c r="P3324" s="132" t="s">
        <v>601</v>
      </c>
      <c r="Q3324" s="232"/>
      <c r="R3324" s="411"/>
      <c r="T3324" s="439" t="s">
        <v>145</v>
      </c>
      <c r="U3324" s="446" t="s">
        <v>7589</v>
      </c>
      <c r="AA3324" s="218"/>
    </row>
    <row r="3325" spans="1:27" x14ac:dyDescent="0.25">
      <c r="A3325" s="420"/>
      <c r="B3325" s="422"/>
      <c r="C3325" s="420"/>
      <c r="D3325" s="418"/>
      <c r="E3325" s="120">
        <v>50</v>
      </c>
      <c r="F3325" s="133" t="s">
        <v>5466</v>
      </c>
      <c r="G3325" s="436"/>
      <c r="H3325" s="428"/>
      <c r="I3325" s="453"/>
      <c r="J3325" s="426"/>
      <c r="K3325" s="426"/>
      <c r="L3325" s="187">
        <v>1450</v>
      </c>
      <c r="N3325" s="91">
        <f t="shared" si="636"/>
        <v>72.5</v>
      </c>
      <c r="O3325" s="411">
        <f t="shared" si="627"/>
        <v>-72.5</v>
      </c>
      <c r="P3325" s="132" t="s">
        <v>601</v>
      </c>
      <c r="Q3325" s="232"/>
      <c r="R3325" s="411"/>
      <c r="T3325" s="441"/>
      <c r="U3325" s="447"/>
      <c r="AA3325" s="218"/>
    </row>
    <row r="3326" spans="1:27" ht="24" x14ac:dyDescent="0.25">
      <c r="A3326" s="405">
        <v>3002591</v>
      </c>
      <c r="B3326" s="406">
        <v>42529</v>
      </c>
      <c r="C3326" s="405" t="s">
        <v>5682</v>
      </c>
      <c r="D3326" s="401" t="s">
        <v>7590</v>
      </c>
      <c r="E3326" s="120">
        <v>100</v>
      </c>
      <c r="F3326" s="133" t="s">
        <v>288</v>
      </c>
      <c r="G3326" s="404" t="s">
        <v>7486</v>
      </c>
      <c r="H3326" s="411">
        <v>195.25</v>
      </c>
      <c r="I3326" s="89">
        <f t="shared" si="637"/>
        <v>-17.572499999999998</v>
      </c>
      <c r="J3326" s="391">
        <f t="shared" si="638"/>
        <v>-4.0097500000000004</v>
      </c>
      <c r="K3326" s="90">
        <f t="shared" si="631"/>
        <v>173.66775000000001</v>
      </c>
      <c r="L3326" s="131">
        <v>950</v>
      </c>
      <c r="M3326" s="187">
        <v>47.14</v>
      </c>
      <c r="N3326" s="91">
        <f t="shared" si="636"/>
        <v>142.13999999999999</v>
      </c>
      <c r="O3326" s="411">
        <f t="shared" si="627"/>
        <v>31.527750000000026</v>
      </c>
      <c r="P3326" s="132" t="s">
        <v>52</v>
      </c>
      <c r="Q3326" s="232"/>
      <c r="R3326" s="411"/>
      <c r="T3326" s="134" t="s">
        <v>145</v>
      </c>
      <c r="U3326" s="267" t="s">
        <v>7591</v>
      </c>
      <c r="AA3326" s="218"/>
    </row>
    <row r="3327" spans="1:27" x14ac:dyDescent="0.25">
      <c r="A3327" s="419">
        <v>3002592</v>
      </c>
      <c r="B3327" s="421">
        <v>42529</v>
      </c>
      <c r="C3327" s="419" t="s">
        <v>56</v>
      </c>
      <c r="D3327" s="417" t="s">
        <v>1925</v>
      </c>
      <c r="E3327" s="120">
        <v>1000</v>
      </c>
      <c r="F3327" s="133" t="s">
        <v>7592</v>
      </c>
      <c r="G3327" s="434" t="s">
        <v>7486</v>
      </c>
      <c r="H3327" s="427">
        <v>690</v>
      </c>
      <c r="I3327" s="427">
        <v>0</v>
      </c>
      <c r="J3327" s="427">
        <v>0</v>
      </c>
      <c r="K3327" s="425">
        <f t="shared" si="631"/>
        <v>690</v>
      </c>
      <c r="L3327" s="187">
        <v>85</v>
      </c>
      <c r="M3327" s="187">
        <v>86.44</v>
      </c>
      <c r="N3327" s="91">
        <f t="shared" si="636"/>
        <v>171.44</v>
      </c>
      <c r="O3327" s="411">
        <f t="shared" si="627"/>
        <v>518.55999999999995</v>
      </c>
      <c r="P3327" s="132" t="s">
        <v>7593</v>
      </c>
      <c r="Q3327" s="232"/>
      <c r="R3327" s="411"/>
      <c r="T3327" s="439" t="s">
        <v>145</v>
      </c>
      <c r="U3327" s="308" t="s">
        <v>7594</v>
      </c>
      <c r="V3327" s="133" t="s">
        <v>7595</v>
      </c>
      <c r="W3327" s="153" t="s">
        <v>1928</v>
      </c>
      <c r="AA3327" s="218"/>
    </row>
    <row r="3328" spans="1:27" x14ac:dyDescent="0.25">
      <c r="A3328" s="432"/>
      <c r="B3328" s="433"/>
      <c r="C3328" s="432"/>
      <c r="D3328" s="454"/>
      <c r="E3328" s="120">
        <v>1000</v>
      </c>
      <c r="F3328" s="133" t="s">
        <v>7596</v>
      </c>
      <c r="G3328" s="435"/>
      <c r="H3328" s="438"/>
      <c r="I3328" s="438"/>
      <c r="J3328" s="438"/>
      <c r="K3328" s="437"/>
      <c r="L3328" s="187">
        <v>85</v>
      </c>
      <c r="M3328" s="187">
        <v>49.49</v>
      </c>
      <c r="N3328" s="91">
        <f t="shared" si="636"/>
        <v>134.49</v>
      </c>
      <c r="O3328" s="411">
        <f t="shared" si="627"/>
        <v>-134.49</v>
      </c>
      <c r="P3328" s="132" t="s">
        <v>7593</v>
      </c>
      <c r="Q3328" s="232"/>
      <c r="R3328" s="411"/>
      <c r="T3328" s="440"/>
      <c r="U3328" s="312">
        <v>659686927376</v>
      </c>
      <c r="AA3328" s="218"/>
    </row>
    <row r="3329" spans="1:27" x14ac:dyDescent="0.25">
      <c r="A3329" s="420"/>
      <c r="B3329" s="422"/>
      <c r="C3329" s="420"/>
      <c r="D3329" s="418"/>
      <c r="E3329" s="120">
        <v>1000</v>
      </c>
      <c r="F3329" s="133" t="s">
        <v>7597</v>
      </c>
      <c r="G3329" s="436"/>
      <c r="H3329" s="428"/>
      <c r="I3329" s="428"/>
      <c r="J3329" s="428"/>
      <c r="K3329" s="426"/>
      <c r="L3329" s="187">
        <v>85</v>
      </c>
      <c r="N3329" s="91">
        <f t="shared" si="636"/>
        <v>85</v>
      </c>
      <c r="O3329" s="411">
        <f t="shared" si="627"/>
        <v>-85</v>
      </c>
      <c r="P3329" s="132" t="s">
        <v>7593</v>
      </c>
      <c r="Q3329" s="232"/>
      <c r="R3329" s="411"/>
      <c r="T3329" s="441"/>
      <c r="U3329" s="309"/>
      <c r="AA3329" s="218"/>
    </row>
    <row r="3330" spans="1:27" ht="36" x14ac:dyDescent="0.25">
      <c r="A3330" s="405">
        <v>3002593</v>
      </c>
      <c r="B3330" s="406">
        <v>42530</v>
      </c>
      <c r="C3330" s="405" t="s">
        <v>327</v>
      </c>
      <c r="D3330" s="401" t="s">
        <v>849</v>
      </c>
      <c r="E3330" s="120">
        <v>1000</v>
      </c>
      <c r="F3330" s="133" t="s">
        <v>4183</v>
      </c>
      <c r="G3330" s="404" t="s">
        <v>7486</v>
      </c>
      <c r="H3330" s="411">
        <v>1100</v>
      </c>
      <c r="I3330" s="411">
        <v>0</v>
      </c>
      <c r="J3330" s="391">
        <f>-((H3330*0.022)+0.3)</f>
        <v>-24.5</v>
      </c>
      <c r="K3330" s="90">
        <f t="shared" ref="K3330:K3334" si="639">SUM(H3330:J3330)</f>
        <v>1075.5</v>
      </c>
      <c r="L3330" s="187">
        <v>620</v>
      </c>
      <c r="M3330" s="187">
        <v>87</v>
      </c>
      <c r="N3330" s="91">
        <f t="shared" si="636"/>
        <v>707</v>
      </c>
      <c r="O3330" s="411">
        <f t="shared" si="627"/>
        <v>368.5</v>
      </c>
      <c r="P3330" s="132" t="s">
        <v>46</v>
      </c>
      <c r="Q3330" s="232"/>
      <c r="R3330" s="411"/>
      <c r="T3330" s="134" t="s">
        <v>60</v>
      </c>
      <c r="U3330" s="267" t="s">
        <v>7598</v>
      </c>
      <c r="W3330" s="153" t="s">
        <v>853</v>
      </c>
      <c r="AA3330" s="218">
        <v>10</v>
      </c>
    </row>
    <row r="3331" spans="1:27" ht="24" customHeight="1" x14ac:dyDescent="0.25">
      <c r="A3331" s="419">
        <v>3002594</v>
      </c>
      <c r="B3331" s="421">
        <v>42530</v>
      </c>
      <c r="C3331" s="419" t="s">
        <v>63</v>
      </c>
      <c r="D3331" s="417" t="s">
        <v>7599</v>
      </c>
      <c r="E3331" s="120">
        <v>325</v>
      </c>
      <c r="F3331" s="133" t="s">
        <v>609</v>
      </c>
      <c r="G3331" s="434" t="s">
        <v>7486</v>
      </c>
      <c r="H3331" s="427">
        <v>400</v>
      </c>
      <c r="I3331" s="427">
        <v>0</v>
      </c>
      <c r="J3331" s="425">
        <f>-((H3331*0.022)+0.3)</f>
        <v>-9.1</v>
      </c>
      <c r="K3331" s="425">
        <f t="shared" si="639"/>
        <v>390.9</v>
      </c>
      <c r="L3331" s="131">
        <v>280</v>
      </c>
      <c r="M3331" s="187">
        <v>44.15</v>
      </c>
      <c r="N3331" s="91">
        <f t="shared" si="636"/>
        <v>135.15</v>
      </c>
      <c r="O3331" s="411">
        <f t="shared" si="627"/>
        <v>255.74999999999997</v>
      </c>
      <c r="P3331" s="132" t="s">
        <v>52</v>
      </c>
      <c r="Q3331" s="232"/>
      <c r="R3331" s="411"/>
      <c r="T3331" s="439" t="s">
        <v>145</v>
      </c>
      <c r="U3331" s="267" t="s">
        <v>7600</v>
      </c>
      <c r="W3331" s="153" t="s">
        <v>7601</v>
      </c>
      <c r="AA3331" s="218"/>
    </row>
    <row r="3332" spans="1:27" x14ac:dyDescent="0.25">
      <c r="A3332" s="420"/>
      <c r="B3332" s="422"/>
      <c r="C3332" s="420"/>
      <c r="D3332" s="418"/>
      <c r="E3332" s="120">
        <v>25</v>
      </c>
      <c r="F3332" s="133" t="s">
        <v>1085</v>
      </c>
      <c r="G3332" s="436"/>
      <c r="H3332" s="428"/>
      <c r="I3332" s="428"/>
      <c r="J3332" s="426"/>
      <c r="K3332" s="426"/>
      <c r="L3332" s="131">
        <v>4240</v>
      </c>
      <c r="M3332" s="187">
        <v>40.5</v>
      </c>
      <c r="N3332" s="91">
        <f t="shared" si="636"/>
        <v>146.5</v>
      </c>
      <c r="O3332" s="411">
        <f t="shared" si="627"/>
        <v>-146.5</v>
      </c>
      <c r="P3332" s="132" t="s">
        <v>52</v>
      </c>
      <c r="Q3332" s="232"/>
      <c r="R3332" s="411"/>
      <c r="T3332" s="441"/>
      <c r="U3332" s="267" t="s">
        <v>7602</v>
      </c>
      <c r="AA3332" s="218"/>
    </row>
    <row r="3333" spans="1:27" ht="24" x14ac:dyDescent="0.25">
      <c r="A3333" s="405">
        <v>3002595</v>
      </c>
      <c r="B3333" s="406">
        <v>42530</v>
      </c>
      <c r="C3333" s="405" t="s">
        <v>327</v>
      </c>
      <c r="D3333" s="401" t="s">
        <v>7603</v>
      </c>
      <c r="E3333" s="120">
        <v>2500</v>
      </c>
      <c r="F3333" s="133" t="s">
        <v>247</v>
      </c>
      <c r="G3333" s="404" t="s">
        <v>7486</v>
      </c>
      <c r="H3333" s="411">
        <v>2225</v>
      </c>
      <c r="I3333" s="411">
        <v>0</v>
      </c>
      <c r="J3333" s="391">
        <f>-((H3333*0.022)+0.3)</f>
        <v>-49.249999999999993</v>
      </c>
      <c r="K3333" s="90">
        <f t="shared" si="639"/>
        <v>2175.75</v>
      </c>
      <c r="L3333" s="131">
        <v>480</v>
      </c>
      <c r="M3333" s="187">
        <v>190.33</v>
      </c>
      <c r="N3333" s="91">
        <f t="shared" si="636"/>
        <v>1390.33</v>
      </c>
      <c r="O3333" s="411">
        <f t="shared" si="627"/>
        <v>785.42000000000007</v>
      </c>
      <c r="P3333" s="132" t="s">
        <v>52</v>
      </c>
      <c r="Q3333" s="232"/>
      <c r="R3333" s="411"/>
      <c r="T3333" s="134" t="s">
        <v>1209</v>
      </c>
      <c r="U3333" s="267" t="s">
        <v>7604</v>
      </c>
      <c r="V3333" s="133" t="s">
        <v>55</v>
      </c>
      <c r="W3333" s="153" t="s">
        <v>7605</v>
      </c>
      <c r="AA3333" s="218">
        <v>10</v>
      </c>
    </row>
    <row r="3334" spans="1:27" x14ac:dyDescent="0.25">
      <c r="A3334" s="419">
        <v>3002596</v>
      </c>
      <c r="B3334" s="421">
        <v>42530</v>
      </c>
      <c r="C3334" s="419" t="s">
        <v>56</v>
      </c>
      <c r="D3334" s="417" t="s">
        <v>3382</v>
      </c>
      <c r="E3334" s="120">
        <v>241</v>
      </c>
      <c r="F3334" s="133" t="s">
        <v>7606</v>
      </c>
      <c r="G3334" s="434" t="s">
        <v>7486</v>
      </c>
      <c r="H3334" s="427">
        <v>2187.5500000000002</v>
      </c>
      <c r="I3334" s="427">
        <v>0</v>
      </c>
      <c r="J3334" s="427">
        <v>0</v>
      </c>
      <c r="K3334" s="425">
        <f t="shared" si="639"/>
        <v>2187.5500000000002</v>
      </c>
      <c r="M3334" s="510">
        <v>105.04</v>
      </c>
      <c r="N3334" s="91">
        <f t="shared" si="636"/>
        <v>105.04</v>
      </c>
      <c r="O3334" s="411">
        <f t="shared" si="627"/>
        <v>2082.5100000000002</v>
      </c>
      <c r="P3334" s="132" t="s">
        <v>52</v>
      </c>
      <c r="Q3334" s="232"/>
      <c r="R3334" s="411"/>
      <c r="T3334" s="439" t="s">
        <v>503</v>
      </c>
      <c r="U3334" s="446" t="s">
        <v>7607</v>
      </c>
      <c r="V3334" s="133" t="s">
        <v>55</v>
      </c>
      <c r="AA3334" s="218"/>
    </row>
    <row r="3335" spans="1:27" x14ac:dyDescent="0.25">
      <c r="A3335" s="432"/>
      <c r="B3335" s="433"/>
      <c r="C3335" s="432"/>
      <c r="D3335" s="454"/>
      <c r="E3335" s="120">
        <v>250</v>
      </c>
      <c r="F3335" s="133" t="s">
        <v>1137</v>
      </c>
      <c r="G3335" s="435"/>
      <c r="H3335" s="438"/>
      <c r="I3335" s="438"/>
      <c r="J3335" s="438"/>
      <c r="K3335" s="437"/>
      <c r="L3335" s="131">
        <v>220</v>
      </c>
      <c r="M3335" s="511"/>
      <c r="N3335" s="91">
        <f t="shared" si="636"/>
        <v>55</v>
      </c>
      <c r="O3335" s="411">
        <f t="shared" si="627"/>
        <v>-55</v>
      </c>
      <c r="P3335" s="132" t="s">
        <v>52</v>
      </c>
      <c r="Q3335" s="232"/>
      <c r="R3335" s="411"/>
      <c r="T3335" s="440"/>
      <c r="U3335" s="448"/>
      <c r="V3335" s="133" t="s">
        <v>7608</v>
      </c>
      <c r="AA3335" s="218"/>
    </row>
    <row r="3336" spans="1:27" x14ac:dyDescent="0.25">
      <c r="A3336" s="432"/>
      <c r="B3336" s="433"/>
      <c r="C3336" s="432"/>
      <c r="D3336" s="454"/>
      <c r="E3336" s="120">
        <v>250</v>
      </c>
      <c r="F3336" s="133" t="s">
        <v>609</v>
      </c>
      <c r="G3336" s="435"/>
      <c r="H3336" s="438"/>
      <c r="I3336" s="438"/>
      <c r="J3336" s="438"/>
      <c r="K3336" s="437"/>
      <c r="L3336" s="131">
        <v>280</v>
      </c>
      <c r="M3336" s="511"/>
      <c r="N3336" s="91">
        <f t="shared" si="636"/>
        <v>70</v>
      </c>
      <c r="O3336" s="411">
        <f t="shared" si="627"/>
        <v>-70</v>
      </c>
      <c r="P3336" s="132" t="s">
        <v>52</v>
      </c>
      <c r="Q3336" s="232"/>
      <c r="R3336" s="411"/>
      <c r="T3336" s="440"/>
      <c r="U3336" s="448"/>
      <c r="AA3336" s="218"/>
    </row>
    <row r="3337" spans="1:27" x14ac:dyDescent="0.25">
      <c r="A3337" s="432"/>
      <c r="B3337" s="433"/>
      <c r="C3337" s="432"/>
      <c r="D3337" s="454"/>
      <c r="E3337" s="120">
        <v>250</v>
      </c>
      <c r="F3337" s="133" t="s">
        <v>451</v>
      </c>
      <c r="G3337" s="435"/>
      <c r="H3337" s="438"/>
      <c r="I3337" s="438"/>
      <c r="J3337" s="438"/>
      <c r="K3337" s="437"/>
      <c r="L3337" s="131">
        <v>300</v>
      </c>
      <c r="M3337" s="511"/>
      <c r="N3337" s="91">
        <f t="shared" si="636"/>
        <v>75</v>
      </c>
      <c r="O3337" s="411">
        <f t="shared" si="627"/>
        <v>-75</v>
      </c>
      <c r="P3337" s="132" t="s">
        <v>52</v>
      </c>
      <c r="Q3337" s="232"/>
      <c r="R3337" s="411"/>
      <c r="T3337" s="440"/>
      <c r="U3337" s="448"/>
      <c r="AA3337" s="218"/>
    </row>
    <row r="3338" spans="1:27" x14ac:dyDescent="0.25">
      <c r="A3338" s="432"/>
      <c r="B3338" s="433"/>
      <c r="C3338" s="432"/>
      <c r="D3338" s="454"/>
      <c r="E3338" s="120">
        <v>1000</v>
      </c>
      <c r="F3338" s="133" t="s">
        <v>7609</v>
      </c>
      <c r="G3338" s="435"/>
      <c r="H3338" s="438"/>
      <c r="I3338" s="438"/>
      <c r="J3338" s="438"/>
      <c r="K3338" s="437"/>
      <c r="L3338" s="131">
        <v>616</v>
      </c>
      <c r="M3338" s="511"/>
      <c r="N3338" s="91">
        <f t="shared" si="636"/>
        <v>616</v>
      </c>
      <c r="O3338" s="411">
        <f t="shared" si="627"/>
        <v>-616</v>
      </c>
      <c r="P3338" s="132" t="s">
        <v>52</v>
      </c>
      <c r="Q3338" s="232"/>
      <c r="R3338" s="411"/>
      <c r="T3338" s="440"/>
      <c r="U3338" s="448"/>
      <c r="AA3338" s="218"/>
    </row>
    <row r="3339" spans="1:27" x14ac:dyDescent="0.25">
      <c r="A3339" s="432"/>
      <c r="B3339" s="433"/>
      <c r="C3339" s="432"/>
      <c r="D3339" s="454"/>
      <c r="E3339" s="120">
        <v>1000</v>
      </c>
      <c r="F3339" s="133" t="s">
        <v>1273</v>
      </c>
      <c r="G3339" s="435"/>
      <c r="H3339" s="438"/>
      <c r="I3339" s="438"/>
      <c r="J3339" s="438"/>
      <c r="K3339" s="437"/>
      <c r="L3339" s="131">
        <v>579</v>
      </c>
      <c r="M3339" s="511"/>
      <c r="N3339" s="91">
        <f t="shared" si="636"/>
        <v>579</v>
      </c>
      <c r="O3339" s="411">
        <f t="shared" si="627"/>
        <v>-579</v>
      </c>
      <c r="P3339" s="132" t="s">
        <v>52</v>
      </c>
      <c r="Q3339" s="232"/>
      <c r="R3339" s="411"/>
      <c r="T3339" s="440"/>
      <c r="U3339" s="448"/>
      <c r="AA3339" s="218"/>
    </row>
    <row r="3340" spans="1:27" x14ac:dyDescent="0.25">
      <c r="A3340" s="420"/>
      <c r="B3340" s="422"/>
      <c r="C3340" s="420"/>
      <c r="D3340" s="418"/>
      <c r="E3340" s="120">
        <v>380</v>
      </c>
      <c r="F3340" s="133" t="s">
        <v>7610</v>
      </c>
      <c r="G3340" s="436"/>
      <c r="H3340" s="428"/>
      <c r="I3340" s="428"/>
      <c r="J3340" s="428"/>
      <c r="K3340" s="426"/>
      <c r="M3340" s="512"/>
      <c r="N3340" s="91">
        <f t="shared" si="636"/>
        <v>0</v>
      </c>
      <c r="O3340" s="411">
        <f t="shared" ref="O3340:O3403" si="640">K3340-N3340</f>
        <v>0</v>
      </c>
      <c r="P3340" s="132" t="s">
        <v>52</v>
      </c>
      <c r="Q3340" s="232"/>
      <c r="R3340" s="411"/>
      <c r="T3340" s="441"/>
      <c r="U3340" s="447"/>
      <c r="AA3340" s="218"/>
    </row>
    <row r="3341" spans="1:27" ht="96" x14ac:dyDescent="0.25">
      <c r="A3341" s="419">
        <v>3002597</v>
      </c>
      <c r="B3341" s="421">
        <v>42530</v>
      </c>
      <c r="C3341" s="419" t="s">
        <v>555</v>
      </c>
      <c r="D3341" s="417" t="s">
        <v>7611</v>
      </c>
      <c r="E3341" s="120">
        <v>656</v>
      </c>
      <c r="F3341" s="119" t="s">
        <v>7612</v>
      </c>
      <c r="G3341" s="434" t="s">
        <v>7486</v>
      </c>
      <c r="H3341" s="427">
        <v>3980</v>
      </c>
      <c r="I3341" s="427">
        <v>0</v>
      </c>
      <c r="J3341" s="427">
        <v>0</v>
      </c>
      <c r="K3341" s="425">
        <f t="shared" ref="K3341" si="641">SUM(H3341:J3341)</f>
        <v>3980</v>
      </c>
      <c r="L3341" s="187">
        <v>3500</v>
      </c>
      <c r="M3341" s="131">
        <v>0</v>
      </c>
      <c r="N3341" s="91">
        <f t="shared" si="636"/>
        <v>2296</v>
      </c>
      <c r="O3341" s="411">
        <f t="shared" si="640"/>
        <v>1684</v>
      </c>
      <c r="P3341" s="132" t="s">
        <v>59</v>
      </c>
      <c r="Q3341" s="232"/>
      <c r="R3341" s="411"/>
      <c r="T3341" s="439" t="s">
        <v>314</v>
      </c>
      <c r="U3341" s="444">
        <v>3238979166</v>
      </c>
      <c r="V3341" s="133" t="s">
        <v>7613</v>
      </c>
      <c r="AA3341" s="218"/>
    </row>
    <row r="3342" spans="1:27" ht="96" x14ac:dyDescent="0.25">
      <c r="A3342" s="420"/>
      <c r="B3342" s="422"/>
      <c r="C3342" s="420"/>
      <c r="D3342" s="418"/>
      <c r="E3342" s="120">
        <v>656</v>
      </c>
      <c r="F3342" s="119" t="s">
        <v>7614</v>
      </c>
      <c r="G3342" s="436"/>
      <c r="H3342" s="428"/>
      <c r="I3342" s="428"/>
      <c r="J3342" s="428"/>
      <c r="K3342" s="426"/>
      <c r="L3342" s="187">
        <v>378</v>
      </c>
      <c r="M3342" s="131">
        <v>75</v>
      </c>
      <c r="N3342" s="91">
        <f t="shared" si="636"/>
        <v>322.96800000000002</v>
      </c>
      <c r="O3342" s="411">
        <f t="shared" si="640"/>
        <v>-322.96800000000002</v>
      </c>
      <c r="P3342" s="132" t="s">
        <v>59</v>
      </c>
      <c r="Q3342" s="232"/>
      <c r="R3342" s="411"/>
      <c r="T3342" s="441"/>
      <c r="U3342" s="445"/>
      <c r="V3342" s="133" t="s">
        <v>7615</v>
      </c>
      <c r="AA3342" s="218"/>
    </row>
    <row r="3343" spans="1:27" x14ac:dyDescent="0.25">
      <c r="A3343" s="405">
        <v>3002598</v>
      </c>
      <c r="B3343" s="406">
        <v>42530</v>
      </c>
      <c r="C3343" s="405" t="s">
        <v>5682</v>
      </c>
      <c r="D3343" s="401" t="s">
        <v>7616</v>
      </c>
      <c r="E3343" s="120">
        <v>500</v>
      </c>
      <c r="F3343" s="133" t="s">
        <v>431</v>
      </c>
      <c r="G3343" s="404" t="s">
        <v>7486</v>
      </c>
      <c r="H3343" s="411">
        <v>950</v>
      </c>
      <c r="I3343" s="89">
        <f t="shared" ref="I3343:I3355" si="642">-(H3343*0.09)</f>
        <v>-85.5</v>
      </c>
      <c r="J3343" s="391">
        <f t="shared" ref="J3343:J3355" si="643">-((H3343*0.019)+0.3)</f>
        <v>-18.350000000000001</v>
      </c>
      <c r="K3343" s="90">
        <f t="shared" ref="K3343:K3365" si="644">SUM(H3343:J3343)</f>
        <v>846.15</v>
      </c>
      <c r="L3343" s="131">
        <v>990</v>
      </c>
      <c r="M3343" s="187">
        <v>173.21</v>
      </c>
      <c r="N3343" s="91">
        <f t="shared" si="636"/>
        <v>668.21</v>
      </c>
      <c r="O3343" s="411">
        <f t="shared" si="640"/>
        <v>177.93999999999994</v>
      </c>
      <c r="P3343" s="132" t="s">
        <v>52</v>
      </c>
      <c r="Q3343" s="232"/>
      <c r="R3343" s="411"/>
      <c r="T3343" s="134" t="s">
        <v>97</v>
      </c>
      <c r="U3343" s="267">
        <v>3717982575</v>
      </c>
      <c r="V3343" s="133" t="s">
        <v>55</v>
      </c>
      <c r="AA3343" s="218"/>
    </row>
    <row r="3344" spans="1:27" ht="24" x14ac:dyDescent="0.25">
      <c r="A3344" s="405">
        <v>3002599</v>
      </c>
      <c r="B3344" s="406">
        <v>42530</v>
      </c>
      <c r="C3344" s="405" t="s">
        <v>5682</v>
      </c>
      <c r="D3344" s="401" t="s">
        <v>350</v>
      </c>
      <c r="E3344" s="120">
        <v>100</v>
      </c>
      <c r="F3344" s="133" t="s">
        <v>593</v>
      </c>
      <c r="G3344" s="404" t="s">
        <v>7486</v>
      </c>
      <c r="H3344" s="411">
        <v>138.9</v>
      </c>
      <c r="I3344" s="89">
        <f t="shared" si="642"/>
        <v>-12.500999999999999</v>
      </c>
      <c r="J3344" s="391">
        <f t="shared" si="643"/>
        <v>-2.9390999999999998</v>
      </c>
      <c r="K3344" s="90">
        <f t="shared" si="644"/>
        <v>123.4599</v>
      </c>
      <c r="L3344" s="131">
        <v>648</v>
      </c>
      <c r="M3344" s="187">
        <v>31.25</v>
      </c>
      <c r="N3344" s="91">
        <f t="shared" si="636"/>
        <v>96.05</v>
      </c>
      <c r="O3344" s="411">
        <f t="shared" si="640"/>
        <v>27.409900000000007</v>
      </c>
      <c r="P3344" s="132" t="s">
        <v>52</v>
      </c>
      <c r="Q3344" s="232"/>
      <c r="R3344" s="411"/>
      <c r="T3344" s="134" t="s">
        <v>145</v>
      </c>
      <c r="U3344" s="267" t="s">
        <v>7617</v>
      </c>
      <c r="AA3344" s="218"/>
    </row>
    <row r="3345" spans="1:27" ht="24" x14ac:dyDescent="0.25">
      <c r="A3345" s="405">
        <v>3002600</v>
      </c>
      <c r="B3345" s="406">
        <v>42530</v>
      </c>
      <c r="C3345" s="405" t="s">
        <v>5682</v>
      </c>
      <c r="D3345" s="401" t="s">
        <v>7618</v>
      </c>
      <c r="E3345" s="120">
        <v>150</v>
      </c>
      <c r="F3345" s="133" t="s">
        <v>5955</v>
      </c>
      <c r="G3345" s="404" t="s">
        <v>7486</v>
      </c>
      <c r="H3345" s="411">
        <v>334.38</v>
      </c>
      <c r="I3345" s="89">
        <f t="shared" si="642"/>
        <v>-30.094199999999997</v>
      </c>
      <c r="J3345" s="391">
        <f t="shared" si="643"/>
        <v>-6.6532199999999992</v>
      </c>
      <c r="K3345" s="90">
        <f t="shared" si="644"/>
        <v>297.63258000000002</v>
      </c>
      <c r="L3345" s="187">
        <v>1021</v>
      </c>
      <c r="M3345" s="187">
        <v>42.43</v>
      </c>
      <c r="N3345" s="91">
        <f t="shared" si="636"/>
        <v>195.58</v>
      </c>
      <c r="O3345" s="411">
        <f t="shared" si="640"/>
        <v>102.05258000000001</v>
      </c>
      <c r="P3345" s="132" t="s">
        <v>183</v>
      </c>
      <c r="Q3345" s="232"/>
      <c r="R3345" s="411"/>
      <c r="T3345" s="134" t="s">
        <v>145</v>
      </c>
      <c r="U3345" s="267" t="s">
        <v>7619</v>
      </c>
      <c r="AA3345" s="218"/>
    </row>
    <row r="3346" spans="1:27" ht="24" x14ac:dyDescent="0.25">
      <c r="A3346" s="405">
        <v>3002601</v>
      </c>
      <c r="B3346" s="406">
        <v>42530</v>
      </c>
      <c r="C3346" s="405" t="s">
        <v>5682</v>
      </c>
      <c r="D3346" s="401" t="s">
        <v>7620</v>
      </c>
      <c r="E3346" s="120">
        <v>300</v>
      </c>
      <c r="F3346" s="133" t="s">
        <v>6793</v>
      </c>
      <c r="G3346" s="404" t="s">
        <v>7486</v>
      </c>
      <c r="H3346" s="411">
        <v>349.27</v>
      </c>
      <c r="I3346" s="89">
        <f t="shared" si="642"/>
        <v>-31.434299999999997</v>
      </c>
      <c r="J3346" s="391">
        <f t="shared" si="643"/>
        <v>-6.9361299999999995</v>
      </c>
      <c r="K3346" s="90">
        <f t="shared" si="644"/>
        <v>310.89956999999998</v>
      </c>
      <c r="L3346" s="131">
        <v>478.58</v>
      </c>
      <c r="M3346" s="187">
        <v>53.85</v>
      </c>
      <c r="N3346" s="91">
        <f t="shared" si="636"/>
        <v>197.42399999999998</v>
      </c>
      <c r="O3346" s="411">
        <f t="shared" si="640"/>
        <v>113.47557</v>
      </c>
      <c r="P3346" s="132" t="s">
        <v>52</v>
      </c>
      <c r="Q3346" s="232"/>
      <c r="R3346" s="411"/>
      <c r="T3346" s="134" t="s">
        <v>145</v>
      </c>
      <c r="U3346" s="267" t="s">
        <v>7621</v>
      </c>
      <c r="AA3346" s="218"/>
    </row>
    <row r="3347" spans="1:27" ht="24" x14ac:dyDescent="0.25">
      <c r="A3347" s="405">
        <v>3002602</v>
      </c>
      <c r="B3347" s="406">
        <v>42530</v>
      </c>
      <c r="C3347" s="405" t="s">
        <v>5682</v>
      </c>
      <c r="D3347" s="401" t="s">
        <v>7622</v>
      </c>
      <c r="E3347" s="120">
        <v>500</v>
      </c>
      <c r="F3347" s="133" t="s">
        <v>451</v>
      </c>
      <c r="G3347" s="404" t="s">
        <v>7486</v>
      </c>
      <c r="H3347" s="411">
        <v>287.10000000000002</v>
      </c>
      <c r="I3347" s="89">
        <f t="shared" si="642"/>
        <v>-25.839000000000002</v>
      </c>
      <c r="J3347" s="391">
        <f t="shared" si="643"/>
        <v>-5.7549000000000001</v>
      </c>
      <c r="K3347" s="90">
        <f t="shared" si="644"/>
        <v>255.50610000000003</v>
      </c>
      <c r="L3347" s="131">
        <v>300</v>
      </c>
      <c r="M3347" s="187">
        <v>55.1</v>
      </c>
      <c r="N3347" s="91">
        <f t="shared" si="636"/>
        <v>205.1</v>
      </c>
      <c r="O3347" s="411">
        <f t="shared" si="640"/>
        <v>50.406100000000038</v>
      </c>
      <c r="P3347" s="132" t="s">
        <v>52</v>
      </c>
      <c r="Q3347" s="232"/>
      <c r="R3347" s="411"/>
      <c r="T3347" s="134" t="s">
        <v>145</v>
      </c>
      <c r="U3347" s="267" t="s">
        <v>7623</v>
      </c>
      <c r="AA3347" s="218"/>
    </row>
    <row r="3348" spans="1:27" ht="24" x14ac:dyDescent="0.25">
      <c r="A3348" s="405">
        <v>3002603</v>
      </c>
      <c r="B3348" s="406">
        <v>42530</v>
      </c>
      <c r="C3348" s="405" t="s">
        <v>5682</v>
      </c>
      <c r="D3348" s="401" t="s">
        <v>7624</v>
      </c>
      <c r="E3348" s="120">
        <v>175</v>
      </c>
      <c r="F3348" s="133" t="s">
        <v>829</v>
      </c>
      <c r="G3348" s="404" t="s">
        <v>7486</v>
      </c>
      <c r="H3348" s="411">
        <v>184.48</v>
      </c>
      <c r="I3348" s="89">
        <f t="shared" si="642"/>
        <v>-16.603199999999998</v>
      </c>
      <c r="J3348" s="391">
        <f t="shared" si="643"/>
        <v>-3.8051199999999996</v>
      </c>
      <c r="K3348" s="90">
        <f t="shared" si="644"/>
        <v>164.07168000000001</v>
      </c>
      <c r="L3348" s="131">
        <v>510</v>
      </c>
      <c r="M3348" s="131">
        <v>41.13</v>
      </c>
      <c r="N3348" s="91">
        <f t="shared" si="636"/>
        <v>130.38000000000002</v>
      </c>
      <c r="O3348" s="411">
        <f t="shared" si="640"/>
        <v>33.691679999999991</v>
      </c>
      <c r="P3348" s="132" t="s">
        <v>52</v>
      </c>
      <c r="Q3348" s="232"/>
      <c r="R3348" s="411"/>
      <c r="T3348" s="134" t="s">
        <v>145</v>
      </c>
      <c r="U3348" s="267" t="s">
        <v>7625</v>
      </c>
      <c r="AA3348" s="218"/>
    </row>
    <row r="3349" spans="1:27" x14ac:dyDescent="0.25">
      <c r="A3349" s="405">
        <v>3002604</v>
      </c>
      <c r="B3349" s="406">
        <v>42530</v>
      </c>
      <c r="C3349" s="405" t="s">
        <v>5682</v>
      </c>
      <c r="D3349" s="401" t="s">
        <v>7626</v>
      </c>
      <c r="E3349" s="120">
        <v>325</v>
      </c>
      <c r="F3349" s="133" t="s">
        <v>198</v>
      </c>
      <c r="G3349" s="404" t="s">
        <v>7486</v>
      </c>
      <c r="H3349" s="411">
        <v>954.96</v>
      </c>
      <c r="I3349" s="89">
        <f t="shared" si="642"/>
        <v>-85.946399999999997</v>
      </c>
      <c r="J3349" s="391">
        <f t="shared" si="643"/>
        <v>-18.444240000000001</v>
      </c>
      <c r="K3349" s="90">
        <f t="shared" si="644"/>
        <v>850.56935999999996</v>
      </c>
      <c r="L3349" s="131">
        <v>1693</v>
      </c>
      <c r="M3349" s="187">
        <v>164.53</v>
      </c>
      <c r="N3349" s="91">
        <f t="shared" si="636"/>
        <v>714.755</v>
      </c>
      <c r="O3349" s="411">
        <f t="shared" si="640"/>
        <v>135.81435999999997</v>
      </c>
      <c r="P3349" s="132" t="s">
        <v>52</v>
      </c>
      <c r="Q3349" s="232"/>
      <c r="R3349" s="411"/>
      <c r="T3349" s="134" t="s">
        <v>7627</v>
      </c>
      <c r="U3349" s="267" t="s">
        <v>7628</v>
      </c>
      <c r="V3349" s="133" t="s">
        <v>55</v>
      </c>
      <c r="AA3349" s="218"/>
    </row>
    <row r="3350" spans="1:27" ht="24" x14ac:dyDescent="0.25">
      <c r="A3350" s="405">
        <v>3002605</v>
      </c>
      <c r="B3350" s="406">
        <v>42530</v>
      </c>
      <c r="C3350" s="405" t="s">
        <v>5682</v>
      </c>
      <c r="D3350" s="401" t="s">
        <v>7629</v>
      </c>
      <c r="E3350" s="120">
        <v>200</v>
      </c>
      <c r="F3350" s="133" t="s">
        <v>451</v>
      </c>
      <c r="G3350" s="404" t="s">
        <v>7486</v>
      </c>
      <c r="H3350" s="411">
        <v>127.3</v>
      </c>
      <c r="I3350" s="89">
        <f t="shared" si="642"/>
        <v>-11.456999999999999</v>
      </c>
      <c r="J3350" s="391">
        <f t="shared" si="643"/>
        <v>-2.7186999999999997</v>
      </c>
      <c r="K3350" s="90">
        <f t="shared" si="644"/>
        <v>113.12430000000001</v>
      </c>
      <c r="L3350" s="131">
        <v>300</v>
      </c>
      <c r="M3350" s="187">
        <v>24.76</v>
      </c>
      <c r="N3350" s="91">
        <f t="shared" si="636"/>
        <v>84.76</v>
      </c>
      <c r="O3350" s="411">
        <f t="shared" si="640"/>
        <v>28.3643</v>
      </c>
      <c r="P3350" s="132" t="s">
        <v>52</v>
      </c>
      <c r="Q3350" s="232"/>
      <c r="R3350" s="411"/>
      <c r="T3350" s="134" t="s">
        <v>145</v>
      </c>
      <c r="U3350" s="267" t="s">
        <v>7630</v>
      </c>
      <c r="AA3350" s="218"/>
    </row>
    <row r="3351" spans="1:27" ht="24" x14ac:dyDescent="0.25">
      <c r="A3351" s="405">
        <v>3002606</v>
      </c>
      <c r="B3351" s="406">
        <v>42530</v>
      </c>
      <c r="C3351" s="405" t="s">
        <v>5682</v>
      </c>
      <c r="D3351" s="401" t="s">
        <v>7631</v>
      </c>
      <c r="E3351" s="120">
        <v>250</v>
      </c>
      <c r="F3351" s="133" t="s">
        <v>312</v>
      </c>
      <c r="G3351" s="404" t="s">
        <v>7486</v>
      </c>
      <c r="H3351" s="411">
        <v>219.72</v>
      </c>
      <c r="I3351" s="89">
        <f t="shared" si="642"/>
        <v>-19.774799999999999</v>
      </c>
      <c r="J3351" s="391">
        <f t="shared" si="643"/>
        <v>-4.4746799999999993</v>
      </c>
      <c r="K3351" s="90">
        <f t="shared" si="644"/>
        <v>195.47051999999999</v>
      </c>
      <c r="L3351" s="187">
        <v>514</v>
      </c>
      <c r="M3351" s="187">
        <v>24.37</v>
      </c>
      <c r="N3351" s="91">
        <f t="shared" si="636"/>
        <v>152.87</v>
      </c>
      <c r="O3351" s="411">
        <f t="shared" si="640"/>
        <v>42.600519999999989</v>
      </c>
      <c r="P3351" s="132" t="s">
        <v>3597</v>
      </c>
      <c r="Q3351" s="232"/>
      <c r="R3351" s="411"/>
      <c r="T3351" s="134" t="s">
        <v>145</v>
      </c>
      <c r="U3351" s="267" t="s">
        <v>7632</v>
      </c>
      <c r="AA3351" s="218"/>
    </row>
    <row r="3352" spans="1:27" ht="24" x14ac:dyDescent="0.25">
      <c r="A3352" s="405">
        <v>3002607</v>
      </c>
      <c r="B3352" s="406">
        <v>42530</v>
      </c>
      <c r="C3352" s="405" t="s">
        <v>5682</v>
      </c>
      <c r="D3352" s="401" t="s">
        <v>5669</v>
      </c>
      <c r="E3352" s="120">
        <v>100</v>
      </c>
      <c r="F3352" s="133" t="s">
        <v>288</v>
      </c>
      <c r="G3352" s="404" t="s">
        <v>7486</v>
      </c>
      <c r="H3352" s="411">
        <v>195.25</v>
      </c>
      <c r="I3352" s="89">
        <f t="shared" si="642"/>
        <v>-17.572499999999998</v>
      </c>
      <c r="J3352" s="391">
        <f t="shared" si="643"/>
        <v>-4.0097500000000004</v>
      </c>
      <c r="K3352" s="90">
        <f t="shared" si="644"/>
        <v>173.66775000000001</v>
      </c>
      <c r="L3352" s="131">
        <v>950</v>
      </c>
      <c r="M3352" s="187">
        <v>28.67</v>
      </c>
      <c r="N3352" s="91">
        <f t="shared" si="636"/>
        <v>123.67</v>
      </c>
      <c r="O3352" s="411">
        <f t="shared" si="640"/>
        <v>49.997750000000011</v>
      </c>
      <c r="P3352" s="132" t="s">
        <v>52</v>
      </c>
      <c r="Q3352" s="232"/>
      <c r="R3352" s="411"/>
      <c r="T3352" s="134" t="s">
        <v>145</v>
      </c>
      <c r="U3352" s="267" t="s">
        <v>7633</v>
      </c>
      <c r="AA3352" s="218"/>
    </row>
    <row r="3353" spans="1:27" ht="24" x14ac:dyDescent="0.25">
      <c r="A3353" s="405">
        <v>3002608</v>
      </c>
      <c r="B3353" s="406">
        <v>42530</v>
      </c>
      <c r="C3353" s="405" t="s">
        <v>5682</v>
      </c>
      <c r="D3353" s="401" t="s">
        <v>7634</v>
      </c>
      <c r="E3353" s="120">
        <v>100</v>
      </c>
      <c r="F3353" s="133" t="s">
        <v>300</v>
      </c>
      <c r="G3353" s="404" t="s">
        <v>7486</v>
      </c>
      <c r="H3353" s="411">
        <v>427.5</v>
      </c>
      <c r="I3353" s="89">
        <f t="shared" si="642"/>
        <v>-38.475000000000001</v>
      </c>
      <c r="J3353" s="391">
        <f t="shared" si="643"/>
        <v>-8.4225000000000012</v>
      </c>
      <c r="K3353" s="90">
        <f t="shared" si="644"/>
        <v>380.60249999999996</v>
      </c>
      <c r="L3353" s="131">
        <v>2150</v>
      </c>
      <c r="M3353" s="187">
        <v>51.33</v>
      </c>
      <c r="N3353" s="91">
        <f t="shared" si="636"/>
        <v>266.33</v>
      </c>
      <c r="O3353" s="411">
        <f t="shared" si="640"/>
        <v>114.27249999999998</v>
      </c>
      <c r="P3353" s="132" t="s">
        <v>52</v>
      </c>
      <c r="Q3353" s="232"/>
      <c r="R3353" s="411"/>
      <c r="T3353" s="134" t="s">
        <v>145</v>
      </c>
      <c r="U3353" s="267" t="s">
        <v>7635</v>
      </c>
      <c r="AA3353" s="218"/>
    </row>
    <row r="3354" spans="1:27" x14ac:dyDescent="0.25">
      <c r="A3354" s="405">
        <v>3002609</v>
      </c>
      <c r="B3354" s="406">
        <v>42530</v>
      </c>
      <c r="C3354" s="405" t="s">
        <v>5682</v>
      </c>
      <c r="D3354" s="401" t="s">
        <v>7636</v>
      </c>
      <c r="E3354" s="120">
        <v>500</v>
      </c>
      <c r="F3354" s="133" t="s">
        <v>288</v>
      </c>
      <c r="G3354" s="404" t="s">
        <v>7486</v>
      </c>
      <c r="H3354" s="411">
        <v>807.76</v>
      </c>
      <c r="I3354" s="89">
        <f t="shared" si="642"/>
        <v>-72.698399999999992</v>
      </c>
      <c r="J3354" s="391">
        <f t="shared" si="643"/>
        <v>-15.64744</v>
      </c>
      <c r="K3354" s="90">
        <f t="shared" si="644"/>
        <v>719.41416000000004</v>
      </c>
      <c r="L3354" s="131">
        <v>950</v>
      </c>
      <c r="M3354" s="187">
        <v>98.53</v>
      </c>
      <c r="N3354" s="91">
        <f t="shared" si="636"/>
        <v>573.53</v>
      </c>
      <c r="O3354" s="411">
        <f t="shared" si="640"/>
        <v>145.88416000000007</v>
      </c>
      <c r="P3354" s="132" t="s">
        <v>52</v>
      </c>
      <c r="Q3354" s="232"/>
      <c r="R3354" s="411"/>
      <c r="T3354" s="134" t="s">
        <v>244</v>
      </c>
      <c r="U3354" s="267" t="s">
        <v>7637</v>
      </c>
      <c r="V3354" s="133" t="s">
        <v>55</v>
      </c>
      <c r="AA3354" s="218"/>
    </row>
    <row r="3355" spans="1:27" ht="24" x14ac:dyDescent="0.25">
      <c r="A3355" s="405">
        <v>3002610</v>
      </c>
      <c r="B3355" s="406">
        <v>42530</v>
      </c>
      <c r="C3355" s="405" t="s">
        <v>5682</v>
      </c>
      <c r="D3355" s="401" t="s">
        <v>2785</v>
      </c>
      <c r="E3355" s="120">
        <v>300</v>
      </c>
      <c r="F3355" s="133" t="s">
        <v>605</v>
      </c>
      <c r="G3355" s="404" t="s">
        <v>7486</v>
      </c>
      <c r="H3355" s="411">
        <v>430.44</v>
      </c>
      <c r="I3355" s="89">
        <f t="shared" si="642"/>
        <v>-38.739599999999996</v>
      </c>
      <c r="J3355" s="391">
        <f t="shared" si="643"/>
        <v>-8.4783600000000003</v>
      </c>
      <c r="K3355" s="90">
        <f t="shared" si="644"/>
        <v>383.22203999999999</v>
      </c>
      <c r="L3355" s="131">
        <v>600</v>
      </c>
      <c r="M3355" s="187">
        <v>54.47</v>
      </c>
      <c r="N3355" s="91">
        <f t="shared" si="636"/>
        <v>234.47</v>
      </c>
      <c r="O3355" s="411">
        <f t="shared" si="640"/>
        <v>148.75203999999999</v>
      </c>
      <c r="P3355" s="132" t="s">
        <v>52</v>
      </c>
      <c r="Q3355" s="232"/>
      <c r="R3355" s="411"/>
      <c r="T3355" s="134" t="s">
        <v>145</v>
      </c>
      <c r="U3355" s="267" t="s">
        <v>7638</v>
      </c>
      <c r="AA3355" s="218"/>
    </row>
    <row r="3356" spans="1:27" x14ac:dyDescent="0.25">
      <c r="A3356" s="405">
        <v>3002611</v>
      </c>
      <c r="B3356" s="406">
        <v>42530</v>
      </c>
      <c r="C3356" s="405" t="s">
        <v>327</v>
      </c>
      <c r="D3356" s="401" t="s">
        <v>7639</v>
      </c>
      <c r="F3356" s="133" t="s">
        <v>7640</v>
      </c>
      <c r="G3356" s="404" t="s">
        <v>7486</v>
      </c>
      <c r="H3356" s="411">
        <v>100</v>
      </c>
      <c r="I3356" s="411">
        <v>0</v>
      </c>
      <c r="J3356" s="391">
        <f>-((H3356*0.022)+0.3)</f>
        <v>-2.4999999999999996</v>
      </c>
      <c r="K3356" s="90">
        <f t="shared" si="644"/>
        <v>97.5</v>
      </c>
      <c r="L3356" s="131">
        <v>34.92</v>
      </c>
      <c r="N3356" s="91">
        <f t="shared" si="636"/>
        <v>0</v>
      </c>
      <c r="O3356" s="411">
        <f t="shared" si="640"/>
        <v>97.5</v>
      </c>
      <c r="Q3356" s="232"/>
      <c r="R3356" s="411"/>
      <c r="T3356" s="134"/>
      <c r="U3356" s="266"/>
      <c r="W3356" s="153" t="s">
        <v>7641</v>
      </c>
      <c r="AA3356" s="218"/>
    </row>
    <row r="3357" spans="1:27" ht="24" x14ac:dyDescent="0.25">
      <c r="A3357" s="405">
        <v>3002612</v>
      </c>
      <c r="B3357" s="406">
        <v>42530</v>
      </c>
      <c r="C3357" s="405" t="s">
        <v>237</v>
      </c>
      <c r="D3357" s="401" t="s">
        <v>7642</v>
      </c>
      <c r="E3357" s="120">
        <v>1000</v>
      </c>
      <c r="F3357" s="133" t="s">
        <v>7643</v>
      </c>
      <c r="G3357" s="404" t="s">
        <v>7486</v>
      </c>
      <c r="H3357" s="411">
        <v>253.51</v>
      </c>
      <c r="I3357" s="397">
        <f t="shared" ref="I3357" si="645">-(H3357*0.15)</f>
        <v>-38.026499999999999</v>
      </c>
      <c r="J3357" s="411">
        <v>0</v>
      </c>
      <c r="K3357" s="90">
        <f t="shared" si="644"/>
        <v>215.48349999999999</v>
      </c>
      <c r="L3357" s="131">
        <v>77</v>
      </c>
      <c r="N3357" s="91">
        <f t="shared" si="636"/>
        <v>77</v>
      </c>
      <c r="O3357" s="411">
        <f t="shared" si="640"/>
        <v>138.48349999999999</v>
      </c>
      <c r="P3357" s="132" t="s">
        <v>183</v>
      </c>
      <c r="Q3357" s="232"/>
      <c r="R3357" s="411"/>
      <c r="T3357" s="134" t="s">
        <v>5096</v>
      </c>
      <c r="U3357" s="266" t="s">
        <v>5096</v>
      </c>
      <c r="AA3357" s="218"/>
    </row>
    <row r="3358" spans="1:27" x14ac:dyDescent="0.25">
      <c r="A3358" s="419">
        <v>3002613</v>
      </c>
      <c r="B3358" s="421">
        <v>42530</v>
      </c>
      <c r="C3358" s="419" t="s">
        <v>56</v>
      </c>
      <c r="D3358" s="417" t="s">
        <v>1303</v>
      </c>
      <c r="E3358" s="120">
        <v>1250</v>
      </c>
      <c r="F3358" s="133" t="s">
        <v>7644</v>
      </c>
      <c r="G3358" s="434" t="s">
        <v>7486</v>
      </c>
      <c r="H3358" s="427">
        <v>1184.96</v>
      </c>
      <c r="I3358" s="427">
        <v>0</v>
      </c>
      <c r="J3358" s="427">
        <v>0</v>
      </c>
      <c r="K3358" s="425">
        <f>SUM(H3358:J3358)</f>
        <v>1184.96</v>
      </c>
      <c r="L3358" s="187">
        <v>482.61</v>
      </c>
      <c r="M3358" s="187">
        <v>88.75</v>
      </c>
      <c r="N3358" s="91">
        <f t="shared" si="636"/>
        <v>692.01250000000005</v>
      </c>
      <c r="O3358" s="411">
        <f t="shared" si="640"/>
        <v>492.94749999999999</v>
      </c>
      <c r="P3358" s="132" t="s">
        <v>46</v>
      </c>
      <c r="Q3358" s="232"/>
      <c r="R3358" s="411"/>
      <c r="T3358" s="134" t="s">
        <v>47</v>
      </c>
      <c r="U3358" s="267" t="s">
        <v>7645</v>
      </c>
      <c r="V3358" s="133" t="s">
        <v>7178</v>
      </c>
      <c r="W3358" s="153" t="s">
        <v>1796</v>
      </c>
      <c r="AA3358" s="218"/>
    </row>
    <row r="3359" spans="1:27" ht="24" x14ac:dyDescent="0.25">
      <c r="A3359" s="420"/>
      <c r="B3359" s="422"/>
      <c r="C3359" s="420"/>
      <c r="D3359" s="418"/>
      <c r="E3359" s="120">
        <v>1000</v>
      </c>
      <c r="F3359" s="133" t="s">
        <v>1315</v>
      </c>
      <c r="G3359" s="436"/>
      <c r="H3359" s="428"/>
      <c r="I3359" s="428"/>
      <c r="J3359" s="428"/>
      <c r="K3359" s="426"/>
      <c r="L3359" s="187">
        <v>210</v>
      </c>
      <c r="M3359" s="187">
        <v>36.58</v>
      </c>
      <c r="N3359" s="91">
        <f t="shared" si="636"/>
        <v>246.57999999999998</v>
      </c>
      <c r="O3359" s="411">
        <f t="shared" si="640"/>
        <v>-246.57999999999998</v>
      </c>
      <c r="P3359" s="132" t="s">
        <v>235</v>
      </c>
      <c r="Q3359" s="232"/>
      <c r="R3359" s="411"/>
      <c r="T3359" s="134" t="s">
        <v>145</v>
      </c>
      <c r="U3359" s="267" t="s">
        <v>7646</v>
      </c>
      <c r="V3359" s="133" t="s">
        <v>7647</v>
      </c>
      <c r="AA3359" s="218"/>
    </row>
    <row r="3360" spans="1:27" ht="24" x14ac:dyDescent="0.25">
      <c r="A3360" s="405">
        <v>3002614</v>
      </c>
      <c r="B3360" s="406">
        <v>42530</v>
      </c>
      <c r="C3360" s="405" t="s">
        <v>5682</v>
      </c>
      <c r="D3360" s="401" t="s">
        <v>7648</v>
      </c>
      <c r="E3360" s="120">
        <v>1000</v>
      </c>
      <c r="F3360" s="119" t="s">
        <v>7649</v>
      </c>
      <c r="G3360" s="404" t="s">
        <v>7486</v>
      </c>
      <c r="H3360" s="411">
        <v>130</v>
      </c>
      <c r="I3360" s="89">
        <f t="shared" ref="I3360" si="646">-(H3360*0.09)</f>
        <v>-11.7</v>
      </c>
      <c r="J3360" s="391">
        <f t="shared" ref="J3360" si="647">-((H3360*0.019)+0.3)</f>
        <v>-2.7699999999999996</v>
      </c>
      <c r="K3360" s="90">
        <f t="shared" si="644"/>
        <v>115.53</v>
      </c>
      <c r="L3360" s="187">
        <v>49</v>
      </c>
      <c r="M3360" s="187">
        <v>16.98</v>
      </c>
      <c r="N3360" s="91">
        <f t="shared" si="636"/>
        <v>65.98</v>
      </c>
      <c r="O3360" s="411">
        <f t="shared" si="640"/>
        <v>49.55</v>
      </c>
      <c r="P3360" s="132" t="s">
        <v>183</v>
      </c>
      <c r="Q3360" s="232"/>
      <c r="R3360" s="411"/>
      <c r="T3360" s="134" t="s">
        <v>324</v>
      </c>
      <c r="U3360" s="266" t="s">
        <v>7650</v>
      </c>
      <c r="AA3360" s="218"/>
    </row>
    <row r="3361" spans="1:27" ht="24" x14ac:dyDescent="0.25">
      <c r="A3361" s="405">
        <v>3002615</v>
      </c>
      <c r="B3361" s="406">
        <v>42530</v>
      </c>
      <c r="C3361" s="405" t="s">
        <v>237</v>
      </c>
      <c r="D3361" s="401" t="s">
        <v>7651</v>
      </c>
      <c r="E3361" s="120">
        <v>100</v>
      </c>
      <c r="F3361" s="133" t="s">
        <v>1172</v>
      </c>
      <c r="G3361" s="404" t="s">
        <v>7486</v>
      </c>
      <c r="H3361" s="411">
        <v>107</v>
      </c>
      <c r="I3361" s="397">
        <f t="shared" ref="I3361:I3362" si="648">-(H3361*0.15)</f>
        <v>-16.05</v>
      </c>
      <c r="J3361" s="411">
        <v>0</v>
      </c>
      <c r="K3361" s="90">
        <f t="shared" si="644"/>
        <v>90.95</v>
      </c>
      <c r="L3361" s="187">
        <v>750</v>
      </c>
      <c r="M3361" s="187">
        <v>10.16</v>
      </c>
      <c r="N3361" s="91">
        <f t="shared" si="636"/>
        <v>85.16</v>
      </c>
      <c r="O3361" s="411">
        <f t="shared" si="640"/>
        <v>5.7900000000000063</v>
      </c>
      <c r="P3361" s="132" t="s">
        <v>601</v>
      </c>
      <c r="Q3361" s="232"/>
      <c r="R3361" s="411"/>
      <c r="T3361" s="134" t="s">
        <v>145</v>
      </c>
      <c r="U3361" s="267" t="s">
        <v>7652</v>
      </c>
      <c r="AA3361" s="218"/>
    </row>
    <row r="3362" spans="1:27" x14ac:dyDescent="0.25">
      <c r="A3362" s="405">
        <v>3002616</v>
      </c>
      <c r="B3362" s="406">
        <v>42530</v>
      </c>
      <c r="C3362" s="405" t="s">
        <v>237</v>
      </c>
      <c r="D3362" s="401" t="s">
        <v>7653</v>
      </c>
      <c r="E3362" s="120">
        <v>300</v>
      </c>
      <c r="F3362" s="133" t="s">
        <v>161</v>
      </c>
      <c r="G3362" s="404" t="s">
        <v>7486</v>
      </c>
      <c r="H3362" s="411">
        <v>1050</v>
      </c>
      <c r="I3362" s="397">
        <f t="shared" si="648"/>
        <v>-157.5</v>
      </c>
      <c r="J3362" s="411">
        <v>0</v>
      </c>
      <c r="K3362" s="90">
        <f t="shared" si="644"/>
        <v>892.5</v>
      </c>
      <c r="L3362" s="131">
        <v>1322</v>
      </c>
      <c r="M3362" s="187">
        <v>222.72</v>
      </c>
      <c r="N3362" s="91">
        <f t="shared" si="636"/>
        <v>619.31999999999994</v>
      </c>
      <c r="O3362" s="411">
        <f t="shared" si="640"/>
        <v>273.18000000000006</v>
      </c>
      <c r="P3362" s="132" t="s">
        <v>52</v>
      </c>
      <c r="Q3362" s="232"/>
      <c r="R3362" s="411"/>
      <c r="T3362" s="134" t="s">
        <v>97</v>
      </c>
      <c r="U3362" s="267" t="s">
        <v>7654</v>
      </c>
      <c r="V3362" s="133" t="s">
        <v>55</v>
      </c>
      <c r="AA3362" s="218"/>
    </row>
    <row r="3363" spans="1:27" ht="24" x14ac:dyDescent="0.25">
      <c r="A3363" s="405">
        <v>3002617</v>
      </c>
      <c r="B3363" s="406">
        <v>42530</v>
      </c>
      <c r="C3363" s="405" t="s">
        <v>63</v>
      </c>
      <c r="D3363" s="401" t="s">
        <v>2629</v>
      </c>
      <c r="E3363" s="120">
        <v>250</v>
      </c>
      <c r="F3363" s="133" t="s">
        <v>7655</v>
      </c>
      <c r="G3363" s="404" t="s">
        <v>7486</v>
      </c>
      <c r="H3363" s="411">
        <v>786</v>
      </c>
      <c r="I3363" s="411">
        <v>0</v>
      </c>
      <c r="J3363" s="391">
        <f>-((H3363*0.022)+0.3)</f>
        <v>-17.591999999999999</v>
      </c>
      <c r="K3363" s="90">
        <f t="shared" si="644"/>
        <v>768.40800000000002</v>
      </c>
      <c r="L3363" s="187">
        <v>1350</v>
      </c>
      <c r="M3363" s="187">
        <v>320.49</v>
      </c>
      <c r="N3363" s="91">
        <f t="shared" si="636"/>
        <v>657.99</v>
      </c>
      <c r="O3363" s="411">
        <f t="shared" si="640"/>
        <v>110.41800000000001</v>
      </c>
      <c r="P3363" s="132" t="s">
        <v>183</v>
      </c>
      <c r="Q3363" s="232"/>
      <c r="R3363" s="411"/>
      <c r="T3363" s="134" t="s">
        <v>7656</v>
      </c>
      <c r="U3363" s="267" t="s">
        <v>7657</v>
      </c>
      <c r="W3363" s="153" t="s">
        <v>7658</v>
      </c>
      <c r="AA3363" s="218"/>
    </row>
    <row r="3364" spans="1:27" x14ac:dyDescent="0.25">
      <c r="A3364" s="405">
        <v>3002618</v>
      </c>
      <c r="B3364" s="406">
        <v>42530</v>
      </c>
      <c r="C3364" s="405" t="s">
        <v>5682</v>
      </c>
      <c r="D3364" s="401" t="s">
        <v>7659</v>
      </c>
      <c r="E3364" s="120">
        <v>750</v>
      </c>
      <c r="F3364" s="133" t="s">
        <v>1597</v>
      </c>
      <c r="G3364" s="404" t="s">
        <v>7486</v>
      </c>
      <c r="H3364" s="411">
        <v>947.62</v>
      </c>
      <c r="I3364" s="89">
        <f>-(H3364*0.09)</f>
        <v>-85.285799999999995</v>
      </c>
      <c r="J3364" s="391">
        <f>-((H3364*0.019)+0.3)</f>
        <v>-18.304780000000001</v>
      </c>
      <c r="K3364" s="90">
        <f t="shared" si="644"/>
        <v>844.02941999999996</v>
      </c>
      <c r="L3364" s="187">
        <v>709</v>
      </c>
      <c r="M3364" s="187">
        <v>109.09</v>
      </c>
      <c r="N3364" s="91">
        <f t="shared" si="636"/>
        <v>640.84</v>
      </c>
      <c r="O3364" s="411">
        <f t="shared" si="640"/>
        <v>203.18941999999993</v>
      </c>
      <c r="P3364" s="132" t="s">
        <v>3597</v>
      </c>
      <c r="Q3364" s="232"/>
      <c r="R3364" s="411"/>
      <c r="T3364" s="134" t="s">
        <v>3598</v>
      </c>
      <c r="U3364" s="267" t="s">
        <v>7660</v>
      </c>
      <c r="W3364" s="153"/>
      <c r="AA3364" s="218"/>
    </row>
    <row r="3365" spans="1:27" ht="24" customHeight="1" x14ac:dyDescent="0.25">
      <c r="A3365" s="419">
        <v>3002619</v>
      </c>
      <c r="B3365" s="421">
        <v>42530</v>
      </c>
      <c r="C3365" s="419" t="s">
        <v>141</v>
      </c>
      <c r="D3365" s="417" t="s">
        <v>7661</v>
      </c>
      <c r="E3365" s="120">
        <v>500</v>
      </c>
      <c r="F3365" s="133" t="s">
        <v>7662</v>
      </c>
      <c r="G3365" s="434" t="s">
        <v>7486</v>
      </c>
      <c r="H3365" s="427">
        <v>708.75</v>
      </c>
      <c r="I3365" s="427">
        <v>0</v>
      </c>
      <c r="J3365" s="425">
        <f>-((H3365*0.0325)+0.3)</f>
        <v>-23.334375000000001</v>
      </c>
      <c r="K3365" s="425">
        <f t="shared" si="644"/>
        <v>685.41562499999998</v>
      </c>
      <c r="L3365" s="187">
        <v>120</v>
      </c>
      <c r="M3365" s="187">
        <v>48.66</v>
      </c>
      <c r="N3365" s="91">
        <f t="shared" si="636"/>
        <v>108.66</v>
      </c>
      <c r="O3365" s="411">
        <f t="shared" si="640"/>
        <v>576.75562500000001</v>
      </c>
      <c r="P3365" s="132" t="s">
        <v>235</v>
      </c>
      <c r="Q3365" s="232"/>
      <c r="R3365" s="411"/>
      <c r="T3365" s="439" t="s">
        <v>145</v>
      </c>
      <c r="U3365" s="446" t="s">
        <v>7663</v>
      </c>
      <c r="W3365" s="153" t="s">
        <v>4585</v>
      </c>
      <c r="AA3365" s="218"/>
    </row>
    <row r="3366" spans="1:27" x14ac:dyDescent="0.25">
      <c r="A3366" s="432"/>
      <c r="B3366" s="433"/>
      <c r="C3366" s="432"/>
      <c r="D3366" s="454"/>
      <c r="E3366" s="120">
        <v>500</v>
      </c>
      <c r="F3366" s="133" t="s">
        <v>7664</v>
      </c>
      <c r="G3366" s="435"/>
      <c r="H3366" s="438"/>
      <c r="I3366" s="438"/>
      <c r="J3366" s="437"/>
      <c r="K3366" s="437"/>
      <c r="L3366" s="187">
        <v>120</v>
      </c>
      <c r="N3366" s="91">
        <f t="shared" si="636"/>
        <v>60</v>
      </c>
      <c r="O3366" s="411">
        <f t="shared" si="640"/>
        <v>-60</v>
      </c>
      <c r="P3366" s="132" t="s">
        <v>235</v>
      </c>
      <c r="Q3366" s="232"/>
      <c r="R3366" s="411"/>
      <c r="T3366" s="440"/>
      <c r="U3366" s="448"/>
      <c r="AA3366" s="218"/>
    </row>
    <row r="3367" spans="1:27" x14ac:dyDescent="0.25">
      <c r="A3367" s="432"/>
      <c r="B3367" s="433"/>
      <c r="C3367" s="432"/>
      <c r="D3367" s="454"/>
      <c r="E3367" s="120">
        <v>500</v>
      </c>
      <c r="F3367" s="133" t="s">
        <v>7665</v>
      </c>
      <c r="G3367" s="435"/>
      <c r="H3367" s="438"/>
      <c r="I3367" s="438"/>
      <c r="J3367" s="437"/>
      <c r="K3367" s="437"/>
      <c r="L3367" s="187">
        <v>120</v>
      </c>
      <c r="N3367" s="91">
        <f t="shared" si="636"/>
        <v>60</v>
      </c>
      <c r="O3367" s="411">
        <f t="shared" si="640"/>
        <v>-60</v>
      </c>
      <c r="P3367" s="132" t="s">
        <v>235</v>
      </c>
      <c r="Q3367" s="232"/>
      <c r="R3367" s="411"/>
      <c r="T3367" s="440"/>
      <c r="U3367" s="447"/>
      <c r="AA3367" s="218"/>
    </row>
    <row r="3368" spans="1:27" x14ac:dyDescent="0.25">
      <c r="A3368" s="432"/>
      <c r="B3368" s="433"/>
      <c r="C3368" s="432"/>
      <c r="D3368" s="454"/>
      <c r="E3368" s="120">
        <v>500</v>
      </c>
      <c r="F3368" s="133" t="s">
        <v>7666</v>
      </c>
      <c r="G3368" s="435"/>
      <c r="H3368" s="438"/>
      <c r="I3368" s="438"/>
      <c r="J3368" s="437"/>
      <c r="K3368" s="437"/>
      <c r="L3368" s="187">
        <v>80</v>
      </c>
      <c r="N3368" s="91">
        <f t="shared" si="636"/>
        <v>40</v>
      </c>
      <c r="O3368" s="411">
        <f t="shared" si="640"/>
        <v>-40</v>
      </c>
      <c r="P3368" s="132" t="s">
        <v>235</v>
      </c>
      <c r="Q3368" s="232"/>
      <c r="R3368" s="411"/>
      <c r="T3368" s="440"/>
      <c r="U3368" s="446" t="s">
        <v>7667</v>
      </c>
      <c r="AA3368" s="218"/>
    </row>
    <row r="3369" spans="1:27" x14ac:dyDescent="0.25">
      <c r="A3369" s="432"/>
      <c r="B3369" s="433"/>
      <c r="C3369" s="432"/>
      <c r="D3369" s="454"/>
      <c r="E3369" s="120">
        <v>500</v>
      </c>
      <c r="F3369" s="133" t="s">
        <v>7668</v>
      </c>
      <c r="G3369" s="435"/>
      <c r="H3369" s="438"/>
      <c r="I3369" s="438"/>
      <c r="J3369" s="437"/>
      <c r="K3369" s="437"/>
      <c r="L3369" s="187">
        <v>80</v>
      </c>
      <c r="N3369" s="91">
        <f t="shared" si="636"/>
        <v>40</v>
      </c>
      <c r="O3369" s="411">
        <f t="shared" si="640"/>
        <v>-40</v>
      </c>
      <c r="P3369" s="132" t="s">
        <v>235</v>
      </c>
      <c r="Q3369" s="232"/>
      <c r="R3369" s="411"/>
      <c r="T3369" s="440"/>
      <c r="U3369" s="447"/>
      <c r="AA3369" s="218"/>
    </row>
    <row r="3370" spans="1:27" x14ac:dyDescent="0.25">
      <c r="A3370" s="432"/>
      <c r="B3370" s="433"/>
      <c r="C3370" s="432"/>
      <c r="D3370" s="454"/>
      <c r="E3370" s="120">
        <v>500</v>
      </c>
      <c r="F3370" s="133" t="s">
        <v>7669</v>
      </c>
      <c r="G3370" s="435"/>
      <c r="H3370" s="438"/>
      <c r="I3370" s="438"/>
      <c r="J3370" s="437"/>
      <c r="K3370" s="437"/>
      <c r="L3370" s="187">
        <v>80</v>
      </c>
      <c r="N3370" s="91">
        <f t="shared" si="636"/>
        <v>40</v>
      </c>
      <c r="O3370" s="411">
        <f t="shared" si="640"/>
        <v>-40</v>
      </c>
      <c r="P3370" s="132" t="s">
        <v>235</v>
      </c>
      <c r="Q3370" s="232"/>
      <c r="R3370" s="411"/>
      <c r="T3370" s="440"/>
      <c r="U3370" s="446" t="s">
        <v>7670</v>
      </c>
      <c r="AA3370" s="218"/>
    </row>
    <row r="3371" spans="1:27" x14ac:dyDescent="0.25">
      <c r="A3371" s="432"/>
      <c r="B3371" s="433"/>
      <c r="C3371" s="432"/>
      <c r="D3371" s="454"/>
      <c r="E3371" s="120">
        <v>1000</v>
      </c>
      <c r="F3371" s="133" t="s">
        <v>7671</v>
      </c>
      <c r="G3371" s="435"/>
      <c r="H3371" s="438"/>
      <c r="I3371" s="438"/>
      <c r="J3371" s="437"/>
      <c r="K3371" s="437"/>
      <c r="L3371" s="187">
        <v>80</v>
      </c>
      <c r="N3371" s="91">
        <f t="shared" si="636"/>
        <v>80</v>
      </c>
      <c r="O3371" s="411">
        <f t="shared" si="640"/>
        <v>-80</v>
      </c>
      <c r="P3371" s="132" t="s">
        <v>235</v>
      </c>
      <c r="Q3371" s="232"/>
      <c r="R3371" s="411"/>
      <c r="T3371" s="440"/>
      <c r="U3371" s="447"/>
      <c r="AA3371" s="218"/>
    </row>
    <row r="3372" spans="1:27" x14ac:dyDescent="0.25">
      <c r="A3372" s="420"/>
      <c r="B3372" s="422"/>
      <c r="C3372" s="420"/>
      <c r="D3372" s="418"/>
      <c r="E3372" s="120">
        <v>1000</v>
      </c>
      <c r="F3372" s="133" t="s">
        <v>7672</v>
      </c>
      <c r="G3372" s="436"/>
      <c r="H3372" s="428"/>
      <c r="I3372" s="428"/>
      <c r="J3372" s="426"/>
      <c r="K3372" s="426"/>
      <c r="L3372" s="187">
        <v>80</v>
      </c>
      <c r="N3372" s="91">
        <f t="shared" si="636"/>
        <v>80</v>
      </c>
      <c r="O3372" s="411">
        <f t="shared" si="640"/>
        <v>-80</v>
      </c>
      <c r="P3372" s="132" t="s">
        <v>235</v>
      </c>
      <c r="Q3372" s="232"/>
      <c r="R3372" s="411"/>
      <c r="T3372" s="441"/>
      <c r="U3372" s="267" t="s">
        <v>7673</v>
      </c>
      <c r="AA3372" s="218"/>
    </row>
    <row r="3373" spans="1:27" ht="24" x14ac:dyDescent="0.25">
      <c r="A3373" s="405">
        <v>3002620</v>
      </c>
      <c r="B3373" s="406">
        <v>42530</v>
      </c>
      <c r="C3373" s="405" t="s">
        <v>63</v>
      </c>
      <c r="D3373" s="401" t="s">
        <v>7674</v>
      </c>
      <c r="E3373" s="120">
        <v>400</v>
      </c>
      <c r="F3373" s="133" t="s">
        <v>165</v>
      </c>
      <c r="G3373" s="404" t="s">
        <v>7486</v>
      </c>
      <c r="H3373" s="411">
        <v>376</v>
      </c>
      <c r="I3373" s="411">
        <v>0</v>
      </c>
      <c r="J3373" s="391">
        <f>-((H3373*0.022)+0.3)</f>
        <v>-8.572000000000001</v>
      </c>
      <c r="K3373" s="90">
        <f t="shared" ref="K3373:K3452" si="649">SUM(H3373:J3373)</f>
        <v>367.428</v>
      </c>
      <c r="L3373" s="131">
        <v>440</v>
      </c>
      <c r="M3373" s="187">
        <v>58.91</v>
      </c>
      <c r="N3373" s="91">
        <f t="shared" si="636"/>
        <v>234.91</v>
      </c>
      <c r="O3373" s="411">
        <f t="shared" si="640"/>
        <v>132.518</v>
      </c>
      <c r="P3373" s="132" t="s">
        <v>52</v>
      </c>
      <c r="Q3373" s="232"/>
      <c r="R3373" s="411"/>
      <c r="T3373" s="134" t="s">
        <v>145</v>
      </c>
      <c r="U3373" s="267" t="s">
        <v>7675</v>
      </c>
      <c r="W3373" s="153" t="s">
        <v>7676</v>
      </c>
      <c r="AA3373" s="218"/>
    </row>
    <row r="3374" spans="1:27" ht="24" x14ac:dyDescent="0.25">
      <c r="A3374" s="405">
        <v>3002621</v>
      </c>
      <c r="B3374" s="406">
        <v>42531</v>
      </c>
      <c r="C3374" s="405" t="s">
        <v>5682</v>
      </c>
      <c r="D3374" s="401" t="s">
        <v>7677</v>
      </c>
      <c r="E3374" s="120">
        <v>250</v>
      </c>
      <c r="F3374" s="133" t="s">
        <v>1787</v>
      </c>
      <c r="G3374" s="404" t="s">
        <v>7486</v>
      </c>
      <c r="H3374" s="411">
        <v>152.52000000000001</v>
      </c>
      <c r="I3374" s="89">
        <f t="shared" ref="I3374:I3376" si="650">-(H3374*0.09)</f>
        <v>-13.726800000000001</v>
      </c>
      <c r="J3374" s="391">
        <f t="shared" ref="J3374:J3376" si="651">-((H3374*0.019)+0.3)</f>
        <v>-3.1978800000000001</v>
      </c>
      <c r="K3374" s="90">
        <f t="shared" si="649"/>
        <v>135.59532000000002</v>
      </c>
      <c r="M3374" s="187">
        <v>12.65</v>
      </c>
      <c r="N3374" s="91">
        <f t="shared" si="636"/>
        <v>12.65</v>
      </c>
      <c r="O3374" s="411">
        <f t="shared" si="640"/>
        <v>122.94532000000001</v>
      </c>
      <c r="P3374" s="132" t="s">
        <v>52</v>
      </c>
      <c r="Q3374" s="232"/>
      <c r="R3374" s="411"/>
      <c r="T3374" s="134" t="s">
        <v>145</v>
      </c>
      <c r="U3374" s="267" t="s">
        <v>7678</v>
      </c>
      <c r="AA3374" s="218"/>
    </row>
    <row r="3375" spans="1:27" ht="24" x14ac:dyDescent="0.25">
      <c r="A3375" s="405">
        <v>3002622</v>
      </c>
      <c r="B3375" s="406">
        <v>42531</v>
      </c>
      <c r="C3375" s="405" t="s">
        <v>5682</v>
      </c>
      <c r="D3375" s="401" t="s">
        <v>7679</v>
      </c>
      <c r="E3375" s="120">
        <v>100</v>
      </c>
      <c r="F3375" s="133" t="s">
        <v>288</v>
      </c>
      <c r="G3375" s="404" t="s">
        <v>7486</v>
      </c>
      <c r="H3375" s="411">
        <v>195.25</v>
      </c>
      <c r="I3375" s="89">
        <f t="shared" si="650"/>
        <v>-17.572499999999998</v>
      </c>
      <c r="J3375" s="391">
        <f t="shared" si="651"/>
        <v>-4.0097500000000004</v>
      </c>
      <c r="K3375" s="90">
        <f t="shared" si="649"/>
        <v>173.66775000000001</v>
      </c>
      <c r="M3375" s="187">
        <v>15.5</v>
      </c>
      <c r="N3375" s="91">
        <f t="shared" si="636"/>
        <v>15.5</v>
      </c>
      <c r="O3375" s="411">
        <f t="shared" si="640"/>
        <v>158.16775000000001</v>
      </c>
      <c r="P3375" s="132" t="s">
        <v>52</v>
      </c>
      <c r="Q3375" s="232"/>
      <c r="R3375" s="411"/>
      <c r="T3375" s="134" t="s">
        <v>145</v>
      </c>
      <c r="U3375" s="267" t="s">
        <v>7680</v>
      </c>
      <c r="AA3375" s="218"/>
    </row>
    <row r="3376" spans="1:27" ht="24" x14ac:dyDescent="0.25">
      <c r="A3376" s="405">
        <v>3002623</v>
      </c>
      <c r="B3376" s="406">
        <v>42531</v>
      </c>
      <c r="C3376" s="405" t="s">
        <v>5682</v>
      </c>
      <c r="D3376" s="401" t="s">
        <v>7681</v>
      </c>
      <c r="E3376" s="120">
        <v>50</v>
      </c>
      <c r="F3376" s="133" t="s">
        <v>431</v>
      </c>
      <c r="G3376" s="404" t="s">
        <v>7486</v>
      </c>
      <c r="H3376" s="411">
        <v>140.55000000000001</v>
      </c>
      <c r="I3376" s="89">
        <f t="shared" si="650"/>
        <v>-12.6495</v>
      </c>
      <c r="J3376" s="391">
        <f t="shared" si="651"/>
        <v>-2.97045</v>
      </c>
      <c r="K3376" s="90">
        <f t="shared" si="649"/>
        <v>124.93005000000001</v>
      </c>
      <c r="M3376" s="187">
        <v>21.87</v>
      </c>
      <c r="N3376" s="91">
        <f t="shared" si="636"/>
        <v>21.87</v>
      </c>
      <c r="O3376" s="411">
        <f t="shared" si="640"/>
        <v>103.06005</v>
      </c>
      <c r="P3376" s="132" t="s">
        <v>52</v>
      </c>
      <c r="Q3376" s="232"/>
      <c r="R3376" s="411">
        <v>10.41</v>
      </c>
      <c r="S3376" s="133" t="s">
        <v>1396</v>
      </c>
      <c r="T3376" s="134" t="s">
        <v>145</v>
      </c>
      <c r="U3376" s="267" t="s">
        <v>7682</v>
      </c>
      <c r="AA3376" s="218"/>
    </row>
    <row r="3377" spans="1:27" ht="24" x14ac:dyDescent="0.25">
      <c r="A3377" s="405">
        <v>3002624</v>
      </c>
      <c r="B3377" s="406">
        <v>42531</v>
      </c>
      <c r="C3377" s="405" t="s">
        <v>56</v>
      </c>
      <c r="D3377" s="401" t="s">
        <v>7683</v>
      </c>
      <c r="E3377" s="120">
        <v>100</v>
      </c>
      <c r="F3377" s="133" t="s">
        <v>7684</v>
      </c>
      <c r="G3377" s="404" t="s">
        <v>7486</v>
      </c>
      <c r="H3377" s="411">
        <v>200</v>
      </c>
      <c r="I3377" s="411">
        <v>0</v>
      </c>
      <c r="J3377" s="411">
        <v>0</v>
      </c>
      <c r="K3377" s="90">
        <f t="shared" si="649"/>
        <v>200</v>
      </c>
      <c r="M3377" s="187">
        <v>24.77</v>
      </c>
      <c r="N3377" s="91">
        <f t="shared" si="636"/>
        <v>24.77</v>
      </c>
      <c r="O3377" s="411">
        <f t="shared" si="640"/>
        <v>175.23</v>
      </c>
      <c r="P3377" s="132" t="s">
        <v>52</v>
      </c>
      <c r="Q3377" s="232"/>
      <c r="R3377" s="411"/>
      <c r="T3377" s="134" t="s">
        <v>145</v>
      </c>
      <c r="U3377" s="267" t="s">
        <v>7685</v>
      </c>
      <c r="V3377" s="133" t="s">
        <v>7686</v>
      </c>
      <c r="W3377" s="153" t="s">
        <v>6177</v>
      </c>
      <c r="AA3377" s="218"/>
    </row>
    <row r="3378" spans="1:27" x14ac:dyDescent="0.25">
      <c r="A3378" s="419">
        <v>3002625</v>
      </c>
      <c r="B3378" s="421">
        <v>42531</v>
      </c>
      <c r="C3378" s="419" t="s">
        <v>56</v>
      </c>
      <c r="D3378" s="417" t="s">
        <v>7687</v>
      </c>
      <c r="E3378" s="120">
        <v>500</v>
      </c>
      <c r="F3378" s="133" t="s">
        <v>307</v>
      </c>
      <c r="G3378" s="434" t="s">
        <v>7486</v>
      </c>
      <c r="H3378" s="427">
        <v>2945</v>
      </c>
      <c r="I3378" s="427">
        <v>0</v>
      </c>
      <c r="J3378" s="427">
        <v>0</v>
      </c>
      <c r="K3378" s="90">
        <f t="shared" si="649"/>
        <v>2945</v>
      </c>
      <c r="L3378" s="131">
        <v>700</v>
      </c>
      <c r="M3378" s="510">
        <v>200</v>
      </c>
      <c r="N3378" s="91">
        <f t="shared" ref="N3378:N3442" si="652">((L3378)*(E3378*0.001))+M3378</f>
        <v>550</v>
      </c>
      <c r="O3378" s="411">
        <f t="shared" si="640"/>
        <v>2395</v>
      </c>
      <c r="P3378" s="132" t="s">
        <v>52</v>
      </c>
      <c r="Q3378" s="232"/>
      <c r="R3378" s="411"/>
      <c r="T3378" s="439" t="s">
        <v>3598</v>
      </c>
      <c r="U3378" s="481" t="s">
        <v>7688</v>
      </c>
      <c r="V3378" s="133" t="s">
        <v>7689</v>
      </c>
      <c r="AA3378" s="218"/>
    </row>
    <row r="3379" spans="1:27" x14ac:dyDescent="0.25">
      <c r="A3379" s="432"/>
      <c r="B3379" s="433"/>
      <c r="C3379" s="432"/>
      <c r="D3379" s="454"/>
      <c r="E3379" s="120">
        <v>1000</v>
      </c>
      <c r="F3379" s="133" t="s">
        <v>288</v>
      </c>
      <c r="G3379" s="435"/>
      <c r="H3379" s="438"/>
      <c r="I3379" s="438"/>
      <c r="J3379" s="438"/>
      <c r="K3379" s="90">
        <f t="shared" si="649"/>
        <v>0</v>
      </c>
      <c r="L3379" s="131">
        <v>950</v>
      </c>
      <c r="M3379" s="511"/>
      <c r="N3379" s="91">
        <f t="shared" si="652"/>
        <v>950</v>
      </c>
      <c r="O3379" s="411">
        <f t="shared" si="640"/>
        <v>-950</v>
      </c>
      <c r="P3379" s="132" t="s">
        <v>52</v>
      </c>
      <c r="Q3379" s="232"/>
      <c r="R3379" s="411"/>
      <c r="T3379" s="440"/>
      <c r="U3379" s="482"/>
      <c r="W3379" s="153" t="s">
        <v>7690</v>
      </c>
      <c r="AA3379" s="218"/>
    </row>
    <row r="3380" spans="1:27" x14ac:dyDescent="0.25">
      <c r="A3380" s="432"/>
      <c r="B3380" s="433"/>
      <c r="C3380" s="432"/>
      <c r="D3380" s="454"/>
      <c r="E3380" s="120">
        <v>500</v>
      </c>
      <c r="F3380" s="133" t="s">
        <v>431</v>
      </c>
      <c r="G3380" s="435"/>
      <c r="H3380" s="438"/>
      <c r="I3380" s="438"/>
      <c r="J3380" s="438"/>
      <c r="K3380" s="90">
        <f t="shared" si="649"/>
        <v>0</v>
      </c>
      <c r="L3380" s="131">
        <v>950</v>
      </c>
      <c r="M3380" s="511"/>
      <c r="N3380" s="91">
        <f t="shared" si="652"/>
        <v>475</v>
      </c>
      <c r="O3380" s="411">
        <f t="shared" si="640"/>
        <v>-475</v>
      </c>
      <c r="P3380" s="132" t="s">
        <v>52</v>
      </c>
      <c r="Q3380" s="232"/>
      <c r="R3380" s="411"/>
      <c r="T3380" s="440"/>
      <c r="U3380" s="482"/>
      <c r="AA3380" s="218"/>
    </row>
    <row r="3381" spans="1:27" x14ac:dyDescent="0.25">
      <c r="A3381" s="420"/>
      <c r="B3381" s="422"/>
      <c r="C3381" s="420"/>
      <c r="D3381" s="418"/>
      <c r="E3381" s="120">
        <v>250</v>
      </c>
      <c r="F3381" s="133" t="s">
        <v>161</v>
      </c>
      <c r="G3381" s="436"/>
      <c r="H3381" s="428"/>
      <c r="I3381" s="428"/>
      <c r="J3381" s="428"/>
      <c r="K3381" s="90">
        <f t="shared" si="649"/>
        <v>0</v>
      </c>
      <c r="L3381" s="131">
        <v>1322</v>
      </c>
      <c r="M3381" s="512"/>
      <c r="N3381" s="91">
        <f t="shared" si="652"/>
        <v>330.5</v>
      </c>
      <c r="O3381" s="411">
        <f t="shared" si="640"/>
        <v>-330.5</v>
      </c>
      <c r="P3381" s="132" t="s">
        <v>52</v>
      </c>
      <c r="Q3381" s="232"/>
      <c r="R3381" s="411"/>
      <c r="T3381" s="441"/>
      <c r="U3381" s="483"/>
      <c r="AA3381" s="218"/>
    </row>
    <row r="3382" spans="1:27" ht="24" x14ac:dyDescent="0.25">
      <c r="A3382" s="405">
        <v>3002626</v>
      </c>
      <c r="B3382" s="406">
        <v>42531</v>
      </c>
      <c r="C3382" s="405" t="s">
        <v>327</v>
      </c>
      <c r="D3382" s="401" t="s">
        <v>7691</v>
      </c>
      <c r="E3382" s="120">
        <v>100</v>
      </c>
      <c r="F3382" s="133" t="s">
        <v>7692</v>
      </c>
      <c r="G3382" s="404" t="s">
        <v>7486</v>
      </c>
      <c r="H3382" s="411">
        <v>140</v>
      </c>
      <c r="I3382" s="411">
        <v>0</v>
      </c>
      <c r="J3382" s="391">
        <f>-((H3382*0.022)+0.3)</f>
        <v>-3.3799999999999994</v>
      </c>
      <c r="K3382" s="90">
        <f t="shared" si="649"/>
        <v>136.62</v>
      </c>
      <c r="L3382" s="187">
        <v>900</v>
      </c>
      <c r="M3382" s="187">
        <v>29.92</v>
      </c>
      <c r="N3382" s="91">
        <f t="shared" si="652"/>
        <v>119.92</v>
      </c>
      <c r="O3382" s="411">
        <f t="shared" si="640"/>
        <v>16.700000000000003</v>
      </c>
      <c r="P3382" s="132" t="s">
        <v>144</v>
      </c>
      <c r="Q3382" s="232"/>
      <c r="R3382" s="411"/>
      <c r="T3382" s="134" t="s">
        <v>145</v>
      </c>
      <c r="U3382" s="267" t="s">
        <v>7693</v>
      </c>
      <c r="W3382" s="153" t="s">
        <v>7694</v>
      </c>
      <c r="AA3382" s="473">
        <v>50</v>
      </c>
    </row>
    <row r="3383" spans="1:27" x14ac:dyDescent="0.25">
      <c r="A3383" s="419">
        <v>3002627</v>
      </c>
      <c r="B3383" s="421">
        <v>42531</v>
      </c>
      <c r="C3383" s="419" t="s">
        <v>63</v>
      </c>
      <c r="D3383" s="417" t="s">
        <v>7695</v>
      </c>
      <c r="E3383" s="592">
        <v>840</v>
      </c>
      <c r="F3383" s="133" t="s">
        <v>7696</v>
      </c>
      <c r="G3383" s="434" t="s">
        <v>7486</v>
      </c>
      <c r="H3383" s="427">
        <v>4578</v>
      </c>
      <c r="I3383" s="427">
        <v>0</v>
      </c>
      <c r="J3383" s="425">
        <f>-((H3383*0.022)+0.3)</f>
        <v>-101.01599999999999</v>
      </c>
      <c r="K3383" s="90">
        <f t="shared" si="649"/>
        <v>4476.9840000000004</v>
      </c>
      <c r="M3383" s="468">
        <v>500</v>
      </c>
      <c r="N3383" s="91">
        <f t="shared" si="652"/>
        <v>500</v>
      </c>
      <c r="O3383" s="411">
        <f t="shared" si="640"/>
        <v>3976.9840000000004</v>
      </c>
      <c r="P3383" s="132" t="s">
        <v>52</v>
      </c>
      <c r="Q3383" s="232"/>
      <c r="R3383" s="411"/>
      <c r="T3383" s="439" t="s">
        <v>89</v>
      </c>
      <c r="U3383" s="446" t="s">
        <v>7697</v>
      </c>
      <c r="AA3383" s="478"/>
    </row>
    <row r="3384" spans="1:27" x14ac:dyDescent="0.25">
      <c r="A3384" s="432"/>
      <c r="B3384" s="433"/>
      <c r="C3384" s="432"/>
      <c r="D3384" s="454"/>
      <c r="E3384" s="593"/>
      <c r="F3384" s="133" t="s">
        <v>7698</v>
      </c>
      <c r="G3384" s="435"/>
      <c r="H3384" s="438"/>
      <c r="I3384" s="438"/>
      <c r="J3384" s="437"/>
      <c r="K3384" s="90">
        <f t="shared" si="649"/>
        <v>0</v>
      </c>
      <c r="M3384" s="491"/>
      <c r="N3384" s="91">
        <f t="shared" si="652"/>
        <v>0</v>
      </c>
      <c r="O3384" s="411">
        <f t="shared" si="640"/>
        <v>0</v>
      </c>
      <c r="P3384" s="132" t="s">
        <v>52</v>
      </c>
      <c r="Q3384" s="232"/>
      <c r="R3384" s="411"/>
      <c r="T3384" s="440"/>
      <c r="U3384" s="448"/>
      <c r="AA3384" s="478"/>
    </row>
    <row r="3385" spans="1:27" x14ac:dyDescent="0.25">
      <c r="A3385" s="432"/>
      <c r="B3385" s="433"/>
      <c r="C3385" s="432"/>
      <c r="D3385" s="454"/>
      <c r="E3385" s="593"/>
      <c r="F3385" s="133" t="s">
        <v>7699</v>
      </c>
      <c r="G3385" s="435"/>
      <c r="H3385" s="438"/>
      <c r="I3385" s="438"/>
      <c r="J3385" s="437"/>
      <c r="K3385" s="90">
        <f t="shared" si="649"/>
        <v>0</v>
      </c>
      <c r="M3385" s="491"/>
      <c r="N3385" s="91">
        <f t="shared" si="652"/>
        <v>0</v>
      </c>
      <c r="O3385" s="411">
        <f t="shared" si="640"/>
        <v>0</v>
      </c>
      <c r="P3385" s="132" t="s">
        <v>52</v>
      </c>
      <c r="Q3385" s="232"/>
      <c r="R3385" s="411"/>
      <c r="T3385" s="440"/>
      <c r="U3385" s="448"/>
      <c r="AA3385" s="478"/>
    </row>
    <row r="3386" spans="1:27" x14ac:dyDescent="0.25">
      <c r="A3386" s="420"/>
      <c r="B3386" s="422"/>
      <c r="C3386" s="420"/>
      <c r="D3386" s="418"/>
      <c r="E3386" s="594"/>
      <c r="F3386" s="133" t="s">
        <v>7700</v>
      </c>
      <c r="G3386" s="436"/>
      <c r="H3386" s="428"/>
      <c r="I3386" s="428"/>
      <c r="J3386" s="426"/>
      <c r="K3386" s="90">
        <f t="shared" si="649"/>
        <v>0</v>
      </c>
      <c r="M3386" s="469"/>
      <c r="N3386" s="91">
        <f t="shared" si="652"/>
        <v>0</v>
      </c>
      <c r="O3386" s="411">
        <f t="shared" si="640"/>
        <v>0</v>
      </c>
      <c r="P3386" s="132" t="s">
        <v>52</v>
      </c>
      <c r="Q3386" s="232"/>
      <c r="R3386" s="411"/>
      <c r="T3386" s="441"/>
      <c r="U3386" s="447"/>
      <c r="AA3386" s="474"/>
    </row>
    <row r="3387" spans="1:27" x14ac:dyDescent="0.25">
      <c r="A3387" s="405">
        <v>3002628</v>
      </c>
      <c r="B3387" s="406">
        <v>42531</v>
      </c>
      <c r="C3387" s="405" t="s">
        <v>141</v>
      </c>
      <c r="D3387" s="401" t="s">
        <v>7701</v>
      </c>
      <c r="E3387" s="120">
        <v>500</v>
      </c>
      <c r="F3387" s="133" t="s">
        <v>7702</v>
      </c>
      <c r="G3387" s="404" t="s">
        <v>7486</v>
      </c>
      <c r="H3387" s="392">
        <v>1993.3</v>
      </c>
      <c r="I3387" s="411">
        <v>0</v>
      </c>
      <c r="J3387" s="391">
        <f>-((H3387*0.0325)+0.3)</f>
        <v>-65.082250000000002</v>
      </c>
      <c r="K3387" s="90">
        <f t="shared" si="649"/>
        <v>1928.21775</v>
      </c>
      <c r="L3387" s="187">
        <v>2250</v>
      </c>
      <c r="M3387" s="187">
        <v>94.73</v>
      </c>
      <c r="N3387" s="91">
        <f t="shared" si="652"/>
        <v>1219.73</v>
      </c>
      <c r="O3387" s="411">
        <f t="shared" si="640"/>
        <v>708.48775000000001</v>
      </c>
      <c r="P3387" s="132" t="s">
        <v>46</v>
      </c>
      <c r="Q3387" s="232"/>
      <c r="R3387" s="411"/>
      <c r="T3387" s="134" t="s">
        <v>1346</v>
      </c>
      <c r="U3387" s="267" t="s">
        <v>7703</v>
      </c>
      <c r="W3387" s="153" t="s">
        <v>7704</v>
      </c>
      <c r="AA3387" s="218">
        <v>10</v>
      </c>
    </row>
    <row r="3388" spans="1:27" x14ac:dyDescent="0.25">
      <c r="A3388" s="419">
        <v>3002629</v>
      </c>
      <c r="B3388" s="421">
        <v>42534</v>
      </c>
      <c r="C3388" s="419" t="s">
        <v>63</v>
      </c>
      <c r="D3388" s="419" t="s">
        <v>7695</v>
      </c>
      <c r="E3388" s="120">
        <v>154</v>
      </c>
      <c r="F3388" s="133" t="s">
        <v>7705</v>
      </c>
      <c r="G3388" s="434" t="s">
        <v>7486</v>
      </c>
      <c r="H3388" s="427">
        <v>14708.15</v>
      </c>
      <c r="I3388" s="427">
        <v>0</v>
      </c>
      <c r="J3388" s="425">
        <f>-((H3388*0.022)+0.3)</f>
        <v>-323.8793</v>
      </c>
      <c r="K3388" s="425">
        <f t="shared" si="649"/>
        <v>14384.270699999999</v>
      </c>
      <c r="M3388" s="131">
        <v>100</v>
      </c>
      <c r="N3388" s="91">
        <f t="shared" si="652"/>
        <v>100</v>
      </c>
      <c r="O3388" s="411">
        <f t="shared" si="640"/>
        <v>14284.270699999999</v>
      </c>
      <c r="P3388" s="132" t="s">
        <v>52</v>
      </c>
      <c r="Q3388" s="232"/>
      <c r="R3388" s="411"/>
      <c r="T3388" s="439" t="s">
        <v>89</v>
      </c>
      <c r="U3388" s="446" t="s">
        <v>7697</v>
      </c>
      <c r="AA3388" s="218"/>
    </row>
    <row r="3389" spans="1:27" x14ac:dyDescent="0.25">
      <c r="A3389" s="432"/>
      <c r="B3389" s="433"/>
      <c r="C3389" s="432"/>
      <c r="D3389" s="432"/>
      <c r="E3389" s="120">
        <v>75</v>
      </c>
      <c r="F3389" s="133" t="s">
        <v>7706</v>
      </c>
      <c r="G3389" s="435"/>
      <c r="H3389" s="438"/>
      <c r="I3389" s="438"/>
      <c r="J3389" s="437"/>
      <c r="K3389" s="437"/>
      <c r="N3389" s="91">
        <f t="shared" si="652"/>
        <v>0</v>
      </c>
      <c r="O3389" s="411">
        <f t="shared" si="640"/>
        <v>0</v>
      </c>
      <c r="P3389" s="132" t="s">
        <v>52</v>
      </c>
      <c r="Q3389" s="232"/>
      <c r="R3389" s="411"/>
      <c r="T3389" s="440"/>
      <c r="U3389" s="448"/>
      <c r="AA3389" s="218"/>
    </row>
    <row r="3390" spans="1:27" x14ac:dyDescent="0.25">
      <c r="A3390" s="432"/>
      <c r="B3390" s="433"/>
      <c r="C3390" s="432"/>
      <c r="D3390" s="432"/>
      <c r="E3390" s="120">
        <v>525</v>
      </c>
      <c r="F3390" s="133" t="s">
        <v>7707</v>
      </c>
      <c r="G3390" s="435"/>
      <c r="H3390" s="438"/>
      <c r="I3390" s="438"/>
      <c r="J3390" s="437"/>
      <c r="K3390" s="437"/>
      <c r="N3390" s="91">
        <f t="shared" si="652"/>
        <v>0</v>
      </c>
      <c r="O3390" s="411">
        <f t="shared" si="640"/>
        <v>0</v>
      </c>
      <c r="P3390" s="132" t="s">
        <v>52</v>
      </c>
      <c r="Q3390" s="232"/>
      <c r="R3390" s="411"/>
      <c r="T3390" s="440"/>
      <c r="U3390" s="448"/>
      <c r="AA3390" s="218"/>
    </row>
    <row r="3391" spans="1:27" x14ac:dyDescent="0.25">
      <c r="A3391" s="432"/>
      <c r="B3391" s="433"/>
      <c r="C3391" s="432"/>
      <c r="D3391" s="432"/>
      <c r="E3391" s="120">
        <v>228</v>
      </c>
      <c r="F3391" s="133" t="s">
        <v>7708</v>
      </c>
      <c r="G3391" s="435"/>
      <c r="H3391" s="438"/>
      <c r="I3391" s="438"/>
      <c r="J3391" s="437"/>
      <c r="K3391" s="437"/>
      <c r="N3391" s="91">
        <f t="shared" si="652"/>
        <v>0</v>
      </c>
      <c r="O3391" s="411">
        <f t="shared" si="640"/>
        <v>0</v>
      </c>
      <c r="P3391" s="132" t="s">
        <v>52</v>
      </c>
      <c r="Q3391" s="232"/>
      <c r="R3391" s="411"/>
      <c r="T3391" s="440"/>
      <c r="U3391" s="448"/>
      <c r="AA3391" s="218"/>
    </row>
    <row r="3392" spans="1:27" x14ac:dyDescent="0.25">
      <c r="A3392" s="432"/>
      <c r="B3392" s="433"/>
      <c r="C3392" s="432"/>
      <c r="D3392" s="432"/>
      <c r="E3392" s="120">
        <v>225</v>
      </c>
      <c r="F3392" s="133" t="s">
        <v>7709</v>
      </c>
      <c r="G3392" s="435"/>
      <c r="H3392" s="438"/>
      <c r="I3392" s="438"/>
      <c r="J3392" s="437"/>
      <c r="K3392" s="437"/>
      <c r="N3392" s="91">
        <f t="shared" si="652"/>
        <v>0</v>
      </c>
      <c r="O3392" s="411">
        <f t="shared" si="640"/>
        <v>0</v>
      </c>
      <c r="P3392" s="132" t="s">
        <v>52</v>
      </c>
      <c r="Q3392" s="232"/>
      <c r="R3392" s="411"/>
      <c r="T3392" s="440"/>
      <c r="U3392" s="448"/>
      <c r="AA3392" s="218"/>
    </row>
    <row r="3393" spans="1:27" x14ac:dyDescent="0.25">
      <c r="A3393" s="432"/>
      <c r="B3393" s="433"/>
      <c r="C3393" s="432"/>
      <c r="D3393" s="432"/>
      <c r="E3393" s="120">
        <v>225</v>
      </c>
      <c r="F3393" s="133" t="s">
        <v>7710</v>
      </c>
      <c r="G3393" s="435"/>
      <c r="H3393" s="438"/>
      <c r="I3393" s="438"/>
      <c r="J3393" s="437"/>
      <c r="K3393" s="437"/>
      <c r="N3393" s="91">
        <f t="shared" si="652"/>
        <v>0</v>
      </c>
      <c r="O3393" s="411">
        <f t="shared" si="640"/>
        <v>0</v>
      </c>
      <c r="P3393" s="132" t="s">
        <v>52</v>
      </c>
      <c r="Q3393" s="232"/>
      <c r="R3393" s="411"/>
      <c r="T3393" s="440"/>
      <c r="U3393" s="448"/>
      <c r="AA3393" s="218"/>
    </row>
    <row r="3394" spans="1:27" x14ac:dyDescent="0.25">
      <c r="A3394" s="432"/>
      <c r="B3394" s="433"/>
      <c r="C3394" s="432"/>
      <c r="D3394" s="432"/>
      <c r="E3394" s="120">
        <v>225</v>
      </c>
      <c r="F3394" s="133" t="s">
        <v>7711</v>
      </c>
      <c r="G3394" s="435"/>
      <c r="H3394" s="438"/>
      <c r="I3394" s="438"/>
      <c r="J3394" s="437"/>
      <c r="K3394" s="437"/>
      <c r="N3394" s="91">
        <f t="shared" si="652"/>
        <v>0</v>
      </c>
      <c r="O3394" s="411">
        <f t="shared" si="640"/>
        <v>0</v>
      </c>
      <c r="P3394" s="132" t="s">
        <v>52</v>
      </c>
      <c r="Q3394" s="232"/>
      <c r="R3394" s="411"/>
      <c r="T3394" s="440"/>
      <c r="U3394" s="448"/>
      <c r="AA3394" s="218"/>
    </row>
    <row r="3395" spans="1:27" x14ac:dyDescent="0.25">
      <c r="A3395" s="432"/>
      <c r="B3395" s="433"/>
      <c r="C3395" s="432"/>
      <c r="D3395" s="432"/>
      <c r="E3395" s="120">
        <v>225</v>
      </c>
      <c r="F3395" s="133" t="s">
        <v>7712</v>
      </c>
      <c r="G3395" s="435"/>
      <c r="H3395" s="438"/>
      <c r="I3395" s="438"/>
      <c r="J3395" s="437"/>
      <c r="K3395" s="437"/>
      <c r="N3395" s="91">
        <f t="shared" si="652"/>
        <v>0</v>
      </c>
      <c r="O3395" s="411">
        <f t="shared" si="640"/>
        <v>0</v>
      </c>
      <c r="P3395" s="132" t="s">
        <v>52</v>
      </c>
      <c r="Q3395" s="232"/>
      <c r="R3395" s="411"/>
      <c r="T3395" s="440"/>
      <c r="U3395" s="448"/>
      <c r="AA3395" s="218"/>
    </row>
    <row r="3396" spans="1:27" x14ac:dyDescent="0.25">
      <c r="A3396" s="432"/>
      <c r="B3396" s="433"/>
      <c r="C3396" s="432"/>
      <c r="D3396" s="432"/>
      <c r="E3396" s="120">
        <v>225</v>
      </c>
      <c r="F3396" s="133" t="s">
        <v>7713</v>
      </c>
      <c r="G3396" s="435"/>
      <c r="H3396" s="438"/>
      <c r="I3396" s="438"/>
      <c r="J3396" s="437"/>
      <c r="K3396" s="437"/>
      <c r="N3396" s="91">
        <f t="shared" si="652"/>
        <v>0</v>
      </c>
      <c r="O3396" s="411">
        <f t="shared" si="640"/>
        <v>0</v>
      </c>
      <c r="P3396" s="132" t="s">
        <v>52</v>
      </c>
      <c r="Q3396" s="232"/>
      <c r="R3396" s="411"/>
      <c r="T3396" s="440"/>
      <c r="U3396" s="448"/>
      <c r="W3396" s="240" t="s">
        <v>7714</v>
      </c>
      <c r="AA3396" s="218"/>
    </row>
    <row r="3397" spans="1:27" x14ac:dyDescent="0.25">
      <c r="A3397" s="432"/>
      <c r="B3397" s="433"/>
      <c r="C3397" s="432"/>
      <c r="D3397" s="432"/>
      <c r="E3397" s="120">
        <v>225</v>
      </c>
      <c r="F3397" s="133" t="s">
        <v>7713</v>
      </c>
      <c r="G3397" s="435"/>
      <c r="H3397" s="438"/>
      <c r="I3397" s="438"/>
      <c r="J3397" s="437"/>
      <c r="K3397" s="437"/>
      <c r="N3397" s="91">
        <f t="shared" si="652"/>
        <v>0</v>
      </c>
      <c r="O3397" s="411">
        <f t="shared" si="640"/>
        <v>0</v>
      </c>
      <c r="P3397" s="132" t="s">
        <v>52</v>
      </c>
      <c r="Q3397" s="232"/>
      <c r="R3397" s="411"/>
      <c r="T3397" s="440"/>
      <c r="U3397" s="448"/>
      <c r="AA3397" s="218"/>
    </row>
    <row r="3398" spans="1:27" x14ac:dyDescent="0.25">
      <c r="A3398" s="432"/>
      <c r="B3398" s="433"/>
      <c r="C3398" s="432"/>
      <c r="D3398" s="432"/>
      <c r="E3398" s="120">
        <v>225</v>
      </c>
      <c r="F3398" s="133" t="s">
        <v>7713</v>
      </c>
      <c r="G3398" s="435"/>
      <c r="H3398" s="438"/>
      <c r="I3398" s="438"/>
      <c r="J3398" s="437"/>
      <c r="K3398" s="437"/>
      <c r="N3398" s="91">
        <f t="shared" si="652"/>
        <v>0</v>
      </c>
      <c r="O3398" s="411">
        <f t="shared" si="640"/>
        <v>0</v>
      </c>
      <c r="P3398" s="132" t="s">
        <v>52</v>
      </c>
      <c r="Q3398" s="232"/>
      <c r="R3398" s="411"/>
      <c r="T3398" s="440"/>
      <c r="U3398" s="448"/>
      <c r="AA3398" s="218"/>
    </row>
    <row r="3399" spans="1:27" x14ac:dyDescent="0.25">
      <c r="A3399" s="432"/>
      <c r="B3399" s="433"/>
      <c r="C3399" s="432"/>
      <c r="D3399" s="432"/>
      <c r="E3399" s="120">
        <v>225</v>
      </c>
      <c r="F3399" s="133" t="s">
        <v>7713</v>
      </c>
      <c r="G3399" s="435"/>
      <c r="H3399" s="438"/>
      <c r="I3399" s="438"/>
      <c r="J3399" s="437"/>
      <c r="K3399" s="437"/>
      <c r="N3399" s="91">
        <f t="shared" si="652"/>
        <v>0</v>
      </c>
      <c r="O3399" s="411">
        <f t="shared" si="640"/>
        <v>0</v>
      </c>
      <c r="P3399" s="132" t="s">
        <v>52</v>
      </c>
      <c r="Q3399" s="232"/>
      <c r="R3399" s="411"/>
      <c r="T3399" s="440"/>
      <c r="U3399" s="448"/>
      <c r="AA3399" s="218"/>
    </row>
    <row r="3400" spans="1:27" x14ac:dyDescent="0.25">
      <c r="A3400" s="432"/>
      <c r="B3400" s="433"/>
      <c r="C3400" s="432"/>
      <c r="D3400" s="432"/>
      <c r="E3400" s="120">
        <v>305</v>
      </c>
      <c r="F3400" s="133" t="s">
        <v>7715</v>
      </c>
      <c r="G3400" s="435"/>
      <c r="H3400" s="438"/>
      <c r="I3400" s="438"/>
      <c r="J3400" s="437"/>
      <c r="K3400" s="437"/>
      <c r="N3400" s="91">
        <f t="shared" si="652"/>
        <v>0</v>
      </c>
      <c r="O3400" s="411">
        <f t="shared" si="640"/>
        <v>0</v>
      </c>
      <c r="P3400" s="132" t="s">
        <v>52</v>
      </c>
      <c r="Q3400" s="232"/>
      <c r="R3400" s="411"/>
      <c r="T3400" s="440"/>
      <c r="U3400" s="448"/>
      <c r="AA3400" s="218"/>
    </row>
    <row r="3401" spans="1:27" x14ac:dyDescent="0.25">
      <c r="A3401" s="432"/>
      <c r="B3401" s="433"/>
      <c r="C3401" s="432"/>
      <c r="D3401" s="432"/>
      <c r="E3401" s="120">
        <v>150</v>
      </c>
      <c r="F3401" s="133" t="s">
        <v>7716</v>
      </c>
      <c r="G3401" s="435"/>
      <c r="H3401" s="438"/>
      <c r="I3401" s="438"/>
      <c r="J3401" s="437"/>
      <c r="K3401" s="437"/>
      <c r="N3401" s="91">
        <f t="shared" si="652"/>
        <v>0</v>
      </c>
      <c r="O3401" s="411">
        <f t="shared" si="640"/>
        <v>0</v>
      </c>
      <c r="P3401" s="132" t="s">
        <v>52</v>
      </c>
      <c r="Q3401" s="232"/>
      <c r="R3401" s="411"/>
      <c r="T3401" s="440"/>
      <c r="U3401" s="448"/>
      <c r="AA3401" s="218"/>
    </row>
    <row r="3402" spans="1:27" x14ac:dyDescent="0.25">
      <c r="A3402" s="432"/>
      <c r="B3402" s="433"/>
      <c r="C3402" s="432"/>
      <c r="D3402" s="432"/>
      <c r="E3402" s="120">
        <v>150</v>
      </c>
      <c r="F3402" s="133" t="s">
        <v>7717</v>
      </c>
      <c r="G3402" s="435"/>
      <c r="H3402" s="438"/>
      <c r="I3402" s="438"/>
      <c r="J3402" s="437"/>
      <c r="K3402" s="437"/>
      <c r="N3402" s="91">
        <f t="shared" si="652"/>
        <v>0</v>
      </c>
      <c r="O3402" s="411">
        <f t="shared" si="640"/>
        <v>0</v>
      </c>
      <c r="P3402" s="132" t="s">
        <v>52</v>
      </c>
      <c r="Q3402" s="232"/>
      <c r="R3402" s="411"/>
      <c r="T3402" s="440"/>
      <c r="U3402" s="448"/>
      <c r="AA3402" s="218"/>
    </row>
    <row r="3403" spans="1:27" x14ac:dyDescent="0.25">
      <c r="A3403" s="432"/>
      <c r="B3403" s="433"/>
      <c r="C3403" s="432"/>
      <c r="D3403" s="432"/>
      <c r="E3403" s="120">
        <v>150</v>
      </c>
      <c r="F3403" s="133" t="s">
        <v>7717</v>
      </c>
      <c r="G3403" s="435"/>
      <c r="H3403" s="438"/>
      <c r="I3403" s="438"/>
      <c r="J3403" s="437"/>
      <c r="K3403" s="437"/>
      <c r="N3403" s="91">
        <f t="shared" si="652"/>
        <v>0</v>
      </c>
      <c r="O3403" s="411">
        <f t="shared" si="640"/>
        <v>0</v>
      </c>
      <c r="P3403" s="132" t="s">
        <v>52</v>
      </c>
      <c r="Q3403" s="232"/>
      <c r="R3403" s="411"/>
      <c r="T3403" s="440"/>
      <c r="U3403" s="448"/>
      <c r="AA3403" s="218"/>
    </row>
    <row r="3404" spans="1:27" x14ac:dyDescent="0.25">
      <c r="A3404" s="432"/>
      <c r="B3404" s="433"/>
      <c r="C3404" s="432"/>
      <c r="D3404" s="432"/>
      <c r="E3404" s="120">
        <v>150</v>
      </c>
      <c r="F3404" s="133" t="s">
        <v>7718</v>
      </c>
      <c r="G3404" s="435"/>
      <c r="H3404" s="438"/>
      <c r="I3404" s="438"/>
      <c r="J3404" s="437"/>
      <c r="K3404" s="437"/>
      <c r="N3404" s="91">
        <f t="shared" si="652"/>
        <v>0</v>
      </c>
      <c r="O3404" s="411">
        <f t="shared" ref="O3404:O3468" si="653">K3404-N3404</f>
        <v>0</v>
      </c>
      <c r="P3404" s="132" t="s">
        <v>52</v>
      </c>
      <c r="Q3404" s="232"/>
      <c r="R3404" s="411"/>
      <c r="T3404" s="440"/>
      <c r="U3404" s="448"/>
      <c r="AA3404" s="218"/>
    </row>
    <row r="3405" spans="1:27" x14ac:dyDescent="0.25">
      <c r="A3405" s="420"/>
      <c r="B3405" s="422"/>
      <c r="C3405" s="420"/>
      <c r="D3405" s="420"/>
      <c r="E3405" s="120">
        <v>450</v>
      </c>
      <c r="F3405" s="133" t="s">
        <v>7719</v>
      </c>
      <c r="G3405" s="436"/>
      <c r="H3405" s="428"/>
      <c r="I3405" s="428"/>
      <c r="J3405" s="426"/>
      <c r="K3405" s="426"/>
      <c r="N3405" s="91">
        <f t="shared" si="652"/>
        <v>0</v>
      </c>
      <c r="O3405" s="411">
        <f t="shared" si="653"/>
        <v>0</v>
      </c>
      <c r="P3405" s="132" t="s">
        <v>52</v>
      </c>
      <c r="Q3405" s="232"/>
      <c r="R3405" s="411"/>
      <c r="T3405" s="441"/>
      <c r="U3405" s="448"/>
      <c r="V3405" s="133" t="s">
        <v>7720</v>
      </c>
      <c r="AA3405" s="218"/>
    </row>
    <row r="3406" spans="1:27" ht="24" x14ac:dyDescent="0.25">
      <c r="A3406" s="380" t="s">
        <v>7721</v>
      </c>
      <c r="B3406" s="382">
        <v>42534</v>
      </c>
      <c r="C3406" s="380" t="s">
        <v>63</v>
      </c>
      <c r="D3406" s="380" t="s">
        <v>7695</v>
      </c>
      <c r="E3406" s="120">
        <v>35</v>
      </c>
      <c r="F3406" s="133" t="s">
        <v>7696</v>
      </c>
      <c r="G3406" s="387" t="s">
        <v>7486</v>
      </c>
      <c r="H3406" s="385">
        <v>0</v>
      </c>
      <c r="I3406" s="385">
        <v>0</v>
      </c>
      <c r="J3406" s="384">
        <v>0</v>
      </c>
      <c r="K3406" s="384">
        <v>0</v>
      </c>
      <c r="N3406" s="91"/>
      <c r="O3406" s="411"/>
      <c r="P3406" s="132" t="s">
        <v>52</v>
      </c>
      <c r="Q3406" s="232"/>
      <c r="R3406" s="411"/>
      <c r="T3406" s="390" t="s">
        <v>145</v>
      </c>
      <c r="U3406" s="389" t="s">
        <v>7722</v>
      </c>
      <c r="AA3406" s="218"/>
    </row>
    <row r="3407" spans="1:27" ht="24" x14ac:dyDescent="0.25">
      <c r="A3407" s="405">
        <v>3002630</v>
      </c>
      <c r="B3407" s="406">
        <v>42534</v>
      </c>
      <c r="C3407" s="405" t="s">
        <v>5682</v>
      </c>
      <c r="D3407" s="401" t="s">
        <v>7723</v>
      </c>
      <c r="E3407" s="120">
        <v>240</v>
      </c>
      <c r="F3407" s="133" t="s">
        <v>247</v>
      </c>
      <c r="G3407" s="404" t="s">
        <v>7486</v>
      </c>
      <c r="H3407" s="411">
        <v>273.60000000000002</v>
      </c>
      <c r="I3407" s="89">
        <f t="shared" ref="I3407:I3416" si="654">-(H3407*0.09)</f>
        <v>-24.624000000000002</v>
      </c>
      <c r="J3407" s="391">
        <f t="shared" ref="J3407:J3416" si="655">-((H3407*0.019)+0.3)</f>
        <v>-5.4984000000000002</v>
      </c>
      <c r="K3407" s="90">
        <f t="shared" si="649"/>
        <v>243.47760000000002</v>
      </c>
      <c r="L3407" s="131">
        <v>590</v>
      </c>
      <c r="M3407" s="187">
        <v>43.51</v>
      </c>
      <c r="N3407" s="91">
        <f t="shared" si="652"/>
        <v>185.10999999999999</v>
      </c>
      <c r="O3407" s="411">
        <f t="shared" si="653"/>
        <v>58.367600000000039</v>
      </c>
      <c r="P3407" s="132" t="s">
        <v>52</v>
      </c>
      <c r="Q3407" s="232"/>
      <c r="R3407" s="411"/>
      <c r="T3407" s="134" t="s">
        <v>145</v>
      </c>
      <c r="U3407" s="309" t="s">
        <v>7724</v>
      </c>
      <c r="AA3407" s="218"/>
    </row>
    <row r="3408" spans="1:27" ht="24" x14ac:dyDescent="0.25">
      <c r="A3408" s="405">
        <v>3002631</v>
      </c>
      <c r="B3408" s="406">
        <v>42534</v>
      </c>
      <c r="C3408" s="405" t="s">
        <v>5682</v>
      </c>
      <c r="D3408" s="401" t="s">
        <v>7725</v>
      </c>
      <c r="E3408" s="120">
        <v>200</v>
      </c>
      <c r="F3408" s="133" t="s">
        <v>582</v>
      </c>
      <c r="G3408" s="404" t="s">
        <v>7486</v>
      </c>
      <c r="H3408" s="411">
        <v>187.73</v>
      </c>
      <c r="I3408" s="89">
        <f t="shared" si="654"/>
        <v>-16.895699999999998</v>
      </c>
      <c r="J3408" s="391">
        <f t="shared" si="655"/>
        <v>-3.8668699999999996</v>
      </c>
      <c r="K3408" s="90">
        <f t="shared" si="649"/>
        <v>166.96742999999998</v>
      </c>
      <c r="M3408" s="187">
        <v>24.14</v>
      </c>
      <c r="N3408" s="91">
        <f t="shared" si="652"/>
        <v>24.14</v>
      </c>
      <c r="O3408" s="411">
        <f t="shared" si="653"/>
        <v>142.82742999999999</v>
      </c>
      <c r="P3408" s="132" t="s">
        <v>52</v>
      </c>
      <c r="Q3408" s="232"/>
      <c r="R3408" s="411"/>
      <c r="T3408" s="134" t="s">
        <v>145</v>
      </c>
      <c r="U3408" s="267" t="s">
        <v>7726</v>
      </c>
      <c r="AA3408" s="218"/>
    </row>
    <row r="3409" spans="1:27" ht="24" x14ac:dyDescent="0.25">
      <c r="A3409" s="405">
        <v>3002632</v>
      </c>
      <c r="B3409" s="406">
        <v>42534</v>
      </c>
      <c r="C3409" s="405" t="s">
        <v>5682</v>
      </c>
      <c r="D3409" s="401" t="s">
        <v>7727</v>
      </c>
      <c r="E3409" s="120">
        <v>50</v>
      </c>
      <c r="F3409" s="133" t="s">
        <v>5466</v>
      </c>
      <c r="G3409" s="404" t="s">
        <v>7486</v>
      </c>
      <c r="H3409" s="411">
        <v>122.5</v>
      </c>
      <c r="I3409" s="89">
        <f t="shared" si="654"/>
        <v>-11.025</v>
      </c>
      <c r="J3409" s="391">
        <f t="shared" si="655"/>
        <v>-2.6274999999999999</v>
      </c>
      <c r="K3409" s="90">
        <f t="shared" si="649"/>
        <v>108.8475</v>
      </c>
      <c r="L3409" s="187">
        <v>1450</v>
      </c>
      <c r="M3409" s="187">
        <v>13.81</v>
      </c>
      <c r="N3409" s="91">
        <f t="shared" si="652"/>
        <v>86.31</v>
      </c>
      <c r="O3409" s="411">
        <f t="shared" si="653"/>
        <v>22.537499999999994</v>
      </c>
      <c r="P3409" s="132" t="s">
        <v>601</v>
      </c>
      <c r="Q3409" s="232"/>
      <c r="R3409" s="411"/>
      <c r="T3409" s="134" t="s">
        <v>145</v>
      </c>
      <c r="U3409" s="267" t="s">
        <v>7728</v>
      </c>
      <c r="AA3409" s="218"/>
    </row>
    <row r="3410" spans="1:27" ht="24" x14ac:dyDescent="0.25">
      <c r="A3410" s="405">
        <v>3002633</v>
      </c>
      <c r="B3410" s="406">
        <v>42534</v>
      </c>
      <c r="C3410" s="405" t="s">
        <v>5682</v>
      </c>
      <c r="D3410" s="401" t="s">
        <v>7729</v>
      </c>
      <c r="E3410" s="120">
        <v>80</v>
      </c>
      <c r="F3410" s="133" t="s">
        <v>247</v>
      </c>
      <c r="G3410" s="404" t="s">
        <v>7486</v>
      </c>
      <c r="H3410" s="411">
        <v>98.5</v>
      </c>
      <c r="I3410" s="89">
        <f t="shared" si="654"/>
        <v>-8.8650000000000002</v>
      </c>
      <c r="J3410" s="391">
        <f t="shared" si="655"/>
        <v>-2.1715</v>
      </c>
      <c r="K3410" s="90">
        <f t="shared" si="649"/>
        <v>87.46350000000001</v>
      </c>
      <c r="L3410" s="131">
        <v>590</v>
      </c>
      <c r="M3410" s="187">
        <v>33.99</v>
      </c>
      <c r="N3410" s="91">
        <f t="shared" si="652"/>
        <v>81.19</v>
      </c>
      <c r="O3410" s="411">
        <f t="shared" si="653"/>
        <v>6.2735000000000127</v>
      </c>
      <c r="P3410" s="132" t="s">
        <v>52</v>
      </c>
      <c r="Q3410" s="232"/>
      <c r="R3410" s="411">
        <v>7.3</v>
      </c>
      <c r="S3410" s="133" t="s">
        <v>4933</v>
      </c>
      <c r="T3410" s="134" t="s">
        <v>145</v>
      </c>
      <c r="U3410" s="267" t="s">
        <v>7730</v>
      </c>
      <c r="AA3410" s="218"/>
    </row>
    <row r="3411" spans="1:27" ht="24" x14ac:dyDescent="0.25">
      <c r="A3411" s="405">
        <v>3002634</v>
      </c>
      <c r="B3411" s="406">
        <v>42534</v>
      </c>
      <c r="C3411" s="405" t="s">
        <v>5682</v>
      </c>
      <c r="D3411" s="401" t="s">
        <v>7731</v>
      </c>
      <c r="E3411" s="120">
        <v>160</v>
      </c>
      <c r="F3411" s="133" t="s">
        <v>247</v>
      </c>
      <c r="G3411" s="404" t="s">
        <v>7486</v>
      </c>
      <c r="H3411" s="411">
        <v>182.4</v>
      </c>
      <c r="I3411" s="89">
        <f t="shared" si="654"/>
        <v>-16.416</v>
      </c>
      <c r="J3411" s="391">
        <f t="shared" si="655"/>
        <v>-3.7656000000000001</v>
      </c>
      <c r="K3411" s="90">
        <f t="shared" si="649"/>
        <v>162.2184</v>
      </c>
      <c r="L3411" s="131">
        <v>590</v>
      </c>
      <c r="M3411" s="187">
        <v>44.99</v>
      </c>
      <c r="N3411" s="91">
        <f t="shared" si="652"/>
        <v>139.39000000000001</v>
      </c>
      <c r="O3411" s="411">
        <f t="shared" si="653"/>
        <v>22.828399999999988</v>
      </c>
      <c r="P3411" s="132" t="s">
        <v>52</v>
      </c>
      <c r="Q3411" s="232"/>
      <c r="R3411" s="411"/>
      <c r="T3411" s="134" t="s">
        <v>145</v>
      </c>
      <c r="U3411" s="267" t="s">
        <v>7732</v>
      </c>
      <c r="AA3411" s="218"/>
    </row>
    <row r="3412" spans="1:27" ht="24" x14ac:dyDescent="0.25">
      <c r="A3412" s="405">
        <v>3002635</v>
      </c>
      <c r="B3412" s="406">
        <v>42534</v>
      </c>
      <c r="C3412" s="405" t="s">
        <v>5682</v>
      </c>
      <c r="D3412" s="401" t="s">
        <v>7733</v>
      </c>
      <c r="E3412" s="120">
        <v>500</v>
      </c>
      <c r="F3412" s="133" t="s">
        <v>312</v>
      </c>
      <c r="G3412" s="404" t="s">
        <v>7486</v>
      </c>
      <c r="H3412" s="411">
        <v>441.75</v>
      </c>
      <c r="I3412" s="89">
        <f t="shared" si="654"/>
        <v>-39.7575</v>
      </c>
      <c r="J3412" s="391">
        <f t="shared" si="655"/>
        <v>-8.6932500000000008</v>
      </c>
      <c r="K3412" s="90">
        <f t="shared" si="649"/>
        <v>393.29925000000003</v>
      </c>
      <c r="L3412" s="187">
        <v>514</v>
      </c>
      <c r="M3412" s="187">
        <v>67.5</v>
      </c>
      <c r="N3412" s="91">
        <f t="shared" si="652"/>
        <v>324.5</v>
      </c>
      <c r="O3412" s="411">
        <f t="shared" si="653"/>
        <v>68.799250000000029</v>
      </c>
      <c r="P3412" s="132" t="s">
        <v>3597</v>
      </c>
      <c r="Q3412" s="232"/>
      <c r="R3412" s="411"/>
      <c r="T3412" s="134" t="s">
        <v>145</v>
      </c>
      <c r="U3412" s="267" t="s">
        <v>7734</v>
      </c>
      <c r="AA3412" s="218"/>
    </row>
    <row r="3413" spans="1:27" ht="24" x14ac:dyDescent="0.25">
      <c r="A3413" s="405">
        <v>3002636</v>
      </c>
      <c r="B3413" s="406">
        <v>42534</v>
      </c>
      <c r="C3413" s="405" t="s">
        <v>5682</v>
      </c>
      <c r="D3413" s="401" t="s">
        <v>7735</v>
      </c>
      <c r="E3413" s="120">
        <v>250</v>
      </c>
      <c r="F3413" s="119" t="s">
        <v>4033</v>
      </c>
      <c r="G3413" s="404" t="s">
        <v>7486</v>
      </c>
      <c r="H3413" s="411">
        <v>157.5</v>
      </c>
      <c r="I3413" s="89">
        <f t="shared" si="654"/>
        <v>-14.174999999999999</v>
      </c>
      <c r="J3413" s="391">
        <f t="shared" si="655"/>
        <v>-3.2924999999999995</v>
      </c>
      <c r="K3413" s="90">
        <f t="shared" si="649"/>
        <v>140.0325</v>
      </c>
      <c r="L3413" s="187">
        <v>330</v>
      </c>
      <c r="M3413" s="187">
        <v>16.2</v>
      </c>
      <c r="N3413" s="91">
        <f t="shared" si="652"/>
        <v>98.7</v>
      </c>
      <c r="O3413" s="411">
        <f t="shared" si="653"/>
        <v>41.332499999999996</v>
      </c>
      <c r="P3413" s="132" t="s">
        <v>1505</v>
      </c>
      <c r="Q3413" s="232"/>
      <c r="R3413" s="411"/>
      <c r="T3413" s="134" t="s">
        <v>145</v>
      </c>
      <c r="U3413" s="267" t="s">
        <v>7736</v>
      </c>
      <c r="AA3413" s="218"/>
    </row>
    <row r="3414" spans="1:27" ht="24" x14ac:dyDescent="0.25">
      <c r="A3414" s="405">
        <v>3002637</v>
      </c>
      <c r="B3414" s="406">
        <v>42534</v>
      </c>
      <c r="C3414" s="405" t="s">
        <v>5682</v>
      </c>
      <c r="D3414" s="401" t="s">
        <v>7737</v>
      </c>
      <c r="E3414" s="120">
        <v>100</v>
      </c>
      <c r="F3414" s="133" t="s">
        <v>431</v>
      </c>
      <c r="G3414" s="404" t="s">
        <v>7486</v>
      </c>
      <c r="H3414" s="411">
        <v>216.11</v>
      </c>
      <c r="I3414" s="89">
        <f t="shared" si="654"/>
        <v>-19.4499</v>
      </c>
      <c r="J3414" s="391">
        <f t="shared" si="655"/>
        <v>-4.4060899999999998</v>
      </c>
      <c r="K3414" s="90">
        <f t="shared" si="649"/>
        <v>192.25400999999999</v>
      </c>
      <c r="L3414" s="131">
        <v>990</v>
      </c>
      <c r="M3414" s="187">
        <v>50.54</v>
      </c>
      <c r="N3414" s="91">
        <f t="shared" si="652"/>
        <v>149.54</v>
      </c>
      <c r="O3414" s="411">
        <f t="shared" si="653"/>
        <v>42.714010000000002</v>
      </c>
      <c r="P3414" s="132" t="s">
        <v>52</v>
      </c>
      <c r="Q3414" s="232"/>
      <c r="R3414" s="411"/>
      <c r="T3414" s="134" t="s">
        <v>145</v>
      </c>
      <c r="U3414" s="267" t="s">
        <v>7738</v>
      </c>
      <c r="AA3414" s="218"/>
    </row>
    <row r="3415" spans="1:27" ht="24" x14ac:dyDescent="0.25">
      <c r="A3415" s="405">
        <v>3002638</v>
      </c>
      <c r="B3415" s="406">
        <v>42534</v>
      </c>
      <c r="C3415" s="405" t="s">
        <v>5682</v>
      </c>
      <c r="D3415" s="401" t="s">
        <v>7739</v>
      </c>
      <c r="E3415" s="120">
        <v>200</v>
      </c>
      <c r="F3415" s="133" t="s">
        <v>2361</v>
      </c>
      <c r="G3415" s="404" t="s">
        <v>7486</v>
      </c>
      <c r="H3415" s="411">
        <v>270</v>
      </c>
      <c r="I3415" s="89">
        <f t="shared" si="654"/>
        <v>-24.3</v>
      </c>
      <c r="J3415" s="391">
        <f t="shared" si="655"/>
        <v>-5.43</v>
      </c>
      <c r="K3415" s="90">
        <f t="shared" si="649"/>
        <v>240.26999999999998</v>
      </c>
      <c r="M3415" s="187">
        <v>47.53</v>
      </c>
      <c r="N3415" s="91">
        <f t="shared" si="652"/>
        <v>47.53</v>
      </c>
      <c r="O3415" s="411">
        <f t="shared" si="653"/>
        <v>192.73999999999998</v>
      </c>
      <c r="P3415" s="132" t="s">
        <v>86</v>
      </c>
      <c r="Q3415" s="232"/>
      <c r="R3415" s="411"/>
      <c r="T3415" s="134" t="s">
        <v>145</v>
      </c>
      <c r="U3415" s="267" t="s">
        <v>7740</v>
      </c>
      <c r="AA3415" s="218"/>
    </row>
    <row r="3416" spans="1:27" ht="24" x14ac:dyDescent="0.25">
      <c r="A3416" s="405">
        <v>3002639</v>
      </c>
      <c r="B3416" s="406">
        <v>42534</v>
      </c>
      <c r="C3416" s="405" t="s">
        <v>5682</v>
      </c>
      <c r="D3416" s="401" t="s">
        <v>7741</v>
      </c>
      <c r="E3416" s="120">
        <v>250</v>
      </c>
      <c r="F3416" s="133" t="s">
        <v>4245</v>
      </c>
      <c r="G3416" s="404" t="s">
        <v>7486</v>
      </c>
      <c r="H3416" s="411">
        <v>99.6</v>
      </c>
      <c r="I3416" s="89">
        <f t="shared" si="654"/>
        <v>-8.9639999999999986</v>
      </c>
      <c r="J3416" s="391">
        <f t="shared" si="655"/>
        <v>-2.1923999999999997</v>
      </c>
      <c r="K3416" s="90">
        <f t="shared" si="649"/>
        <v>88.443599999999989</v>
      </c>
      <c r="M3416" s="187">
        <v>29</v>
      </c>
      <c r="N3416" s="91">
        <f t="shared" si="652"/>
        <v>29</v>
      </c>
      <c r="O3416" s="411">
        <f t="shared" si="653"/>
        <v>59.443599999999989</v>
      </c>
      <c r="P3416" s="132" t="s">
        <v>52</v>
      </c>
      <c r="Q3416" s="232"/>
      <c r="R3416" s="411"/>
      <c r="T3416" s="134" t="s">
        <v>145</v>
      </c>
      <c r="U3416" s="267" t="s">
        <v>7742</v>
      </c>
      <c r="AA3416" s="218"/>
    </row>
    <row r="3417" spans="1:27" ht="36" customHeight="1" x14ac:dyDescent="0.25">
      <c r="A3417" s="419">
        <v>3002640</v>
      </c>
      <c r="B3417" s="421">
        <v>42534</v>
      </c>
      <c r="C3417" s="419" t="s">
        <v>141</v>
      </c>
      <c r="D3417" s="417" t="s">
        <v>7484</v>
      </c>
      <c r="E3417" s="120">
        <v>300</v>
      </c>
      <c r="F3417" s="133" t="s">
        <v>7743</v>
      </c>
      <c r="G3417" s="434" t="s">
        <v>7486</v>
      </c>
      <c r="H3417" s="427">
        <v>1760</v>
      </c>
      <c r="I3417" s="427">
        <v>0</v>
      </c>
      <c r="J3417" s="425">
        <f>-((H3417*0.0325)+0.3)</f>
        <v>-57.5</v>
      </c>
      <c r="K3417" s="425">
        <f t="shared" si="649"/>
        <v>1702.5</v>
      </c>
      <c r="L3417" s="187">
        <v>3280</v>
      </c>
      <c r="M3417" s="187">
        <v>147.69999999999999</v>
      </c>
      <c r="N3417" s="91">
        <f t="shared" si="652"/>
        <v>1131.7</v>
      </c>
      <c r="O3417" s="411">
        <f t="shared" si="653"/>
        <v>570.79999999999995</v>
      </c>
      <c r="P3417" s="132" t="s">
        <v>66</v>
      </c>
      <c r="Q3417" s="232"/>
      <c r="R3417" s="411"/>
      <c r="T3417" s="439" t="s">
        <v>60</v>
      </c>
      <c r="U3417" s="444">
        <v>4106749054</v>
      </c>
      <c r="W3417" s="153" t="s">
        <v>7488</v>
      </c>
      <c r="AA3417" s="473">
        <v>10</v>
      </c>
    </row>
    <row r="3418" spans="1:27" x14ac:dyDescent="0.25">
      <c r="A3418" s="420"/>
      <c r="B3418" s="422"/>
      <c r="C3418" s="420"/>
      <c r="D3418" s="418"/>
      <c r="E3418" s="120">
        <v>100</v>
      </c>
      <c r="F3418" s="133" t="s">
        <v>5569</v>
      </c>
      <c r="G3418" s="436"/>
      <c r="H3418" s="428"/>
      <c r="I3418" s="428"/>
      <c r="J3418" s="426"/>
      <c r="K3418" s="426"/>
      <c r="L3418" s="187">
        <v>632</v>
      </c>
      <c r="N3418" s="91">
        <f t="shared" si="652"/>
        <v>63.2</v>
      </c>
      <c r="O3418" s="411">
        <f t="shared" si="653"/>
        <v>-63.2</v>
      </c>
      <c r="P3418" s="132" t="s">
        <v>66</v>
      </c>
      <c r="Q3418" s="232"/>
      <c r="R3418" s="411"/>
      <c r="T3418" s="441"/>
      <c r="U3418" s="445"/>
      <c r="AA3418" s="474"/>
    </row>
    <row r="3419" spans="1:27" x14ac:dyDescent="0.25">
      <c r="A3419" s="405">
        <v>3002641</v>
      </c>
      <c r="B3419" s="406">
        <v>42534</v>
      </c>
      <c r="C3419" s="405" t="s">
        <v>63</v>
      </c>
      <c r="D3419" s="401" t="s">
        <v>600</v>
      </c>
      <c r="E3419" s="120">
        <v>500</v>
      </c>
      <c r="F3419" s="133" t="s">
        <v>445</v>
      </c>
      <c r="G3419" s="404" t="s">
        <v>7486</v>
      </c>
      <c r="H3419" s="411">
        <v>1070</v>
      </c>
      <c r="I3419" s="411">
        <v>0</v>
      </c>
      <c r="J3419" s="391">
        <f>-((H3419*0.022)+0.3)</f>
        <v>-23.84</v>
      </c>
      <c r="K3419" s="90">
        <f t="shared" si="649"/>
        <v>1046.1600000000001</v>
      </c>
      <c r="L3419" s="187">
        <v>1400</v>
      </c>
      <c r="M3419" s="131">
        <v>0</v>
      </c>
      <c r="N3419" s="91">
        <f t="shared" si="652"/>
        <v>700</v>
      </c>
      <c r="O3419" s="411">
        <f t="shared" si="653"/>
        <v>346.16000000000008</v>
      </c>
      <c r="P3419" s="132" t="s">
        <v>926</v>
      </c>
      <c r="Q3419" s="232"/>
      <c r="R3419" s="411"/>
      <c r="T3419" s="134" t="s">
        <v>314</v>
      </c>
      <c r="U3419" s="267" t="s">
        <v>7744</v>
      </c>
      <c r="W3419" s="153" t="s">
        <v>603</v>
      </c>
      <c r="AA3419" s="218">
        <v>10</v>
      </c>
    </row>
    <row r="3420" spans="1:27" ht="24" x14ac:dyDescent="0.25">
      <c r="A3420" s="405">
        <v>3002642</v>
      </c>
      <c r="B3420" s="406">
        <v>42534</v>
      </c>
      <c r="C3420" s="405" t="s">
        <v>5682</v>
      </c>
      <c r="D3420" s="401" t="s">
        <v>7745</v>
      </c>
      <c r="E3420" s="120">
        <v>55</v>
      </c>
      <c r="F3420" s="133" t="s">
        <v>247</v>
      </c>
      <c r="G3420" s="404" t="s">
        <v>7486</v>
      </c>
      <c r="H3420" s="411">
        <v>67.09</v>
      </c>
      <c r="I3420" s="89">
        <f t="shared" ref="I3420:I3436" si="656">-(H3420*0.09)</f>
        <v>-6.0381</v>
      </c>
      <c r="J3420" s="391">
        <f t="shared" ref="J3420:J3436" si="657">-((H3420*0.019)+0.3)</f>
        <v>-1.5747100000000001</v>
      </c>
      <c r="K3420" s="90">
        <f t="shared" si="649"/>
        <v>59.47719</v>
      </c>
      <c r="L3420" s="131">
        <v>590</v>
      </c>
      <c r="M3420" s="187">
        <v>21.99</v>
      </c>
      <c r="N3420" s="91">
        <f t="shared" si="652"/>
        <v>54.44</v>
      </c>
      <c r="O3420" s="411">
        <f t="shared" si="653"/>
        <v>5.0371900000000025</v>
      </c>
      <c r="P3420" s="132" t="s">
        <v>52</v>
      </c>
      <c r="Q3420" s="232"/>
      <c r="R3420" s="411">
        <v>4.3899999999999997</v>
      </c>
      <c r="S3420" s="133" t="s">
        <v>7746</v>
      </c>
      <c r="T3420" s="134" t="s">
        <v>145</v>
      </c>
      <c r="U3420" s="267" t="s">
        <v>7747</v>
      </c>
      <c r="AA3420" s="218"/>
    </row>
    <row r="3421" spans="1:27" ht="36" x14ac:dyDescent="0.25">
      <c r="A3421" s="405">
        <v>3002643</v>
      </c>
      <c r="B3421" s="406">
        <v>42534</v>
      </c>
      <c r="C3421" s="405" t="s">
        <v>5682</v>
      </c>
      <c r="D3421" s="401" t="s">
        <v>7748</v>
      </c>
      <c r="E3421" s="120">
        <v>200</v>
      </c>
      <c r="F3421" s="133" t="s">
        <v>1991</v>
      </c>
      <c r="G3421" s="404" t="s">
        <v>7486</v>
      </c>
      <c r="H3421" s="411">
        <v>1000</v>
      </c>
      <c r="I3421" s="89">
        <f t="shared" si="656"/>
        <v>-90</v>
      </c>
      <c r="J3421" s="391">
        <f t="shared" si="657"/>
        <v>-19.3</v>
      </c>
      <c r="K3421" s="90">
        <f t="shared" si="649"/>
        <v>890.7</v>
      </c>
      <c r="L3421" s="187">
        <v>2840</v>
      </c>
      <c r="M3421" s="131">
        <v>0</v>
      </c>
      <c r="N3421" s="91">
        <f t="shared" si="652"/>
        <v>568</v>
      </c>
      <c r="O3421" s="411">
        <f t="shared" si="653"/>
        <v>322.70000000000005</v>
      </c>
      <c r="P3421" s="132" t="s">
        <v>59</v>
      </c>
      <c r="Q3421" s="232"/>
      <c r="R3421" s="411"/>
      <c r="T3421" s="134" t="s">
        <v>60</v>
      </c>
      <c r="U3421" s="267" t="s">
        <v>7749</v>
      </c>
      <c r="AA3421" s="218"/>
    </row>
    <row r="3422" spans="1:27" ht="24" x14ac:dyDescent="0.25">
      <c r="A3422" s="405">
        <v>3002644</v>
      </c>
      <c r="B3422" s="406">
        <v>42534</v>
      </c>
      <c r="C3422" s="405" t="s">
        <v>5682</v>
      </c>
      <c r="D3422" s="401" t="s">
        <v>7750</v>
      </c>
      <c r="E3422" s="120">
        <v>500</v>
      </c>
      <c r="F3422" s="133" t="s">
        <v>451</v>
      </c>
      <c r="G3422" s="404" t="s">
        <v>7486</v>
      </c>
      <c r="H3422" s="411">
        <v>287.10000000000002</v>
      </c>
      <c r="I3422" s="89">
        <f t="shared" si="656"/>
        <v>-25.839000000000002</v>
      </c>
      <c r="J3422" s="391">
        <f t="shared" si="657"/>
        <v>-5.7549000000000001</v>
      </c>
      <c r="K3422" s="90">
        <f t="shared" si="649"/>
        <v>255.50610000000003</v>
      </c>
      <c r="L3422" s="131">
        <v>300</v>
      </c>
      <c r="M3422" s="187">
        <v>54.57</v>
      </c>
      <c r="N3422" s="91">
        <f t="shared" si="652"/>
        <v>204.57</v>
      </c>
      <c r="O3422" s="411">
        <f t="shared" si="653"/>
        <v>50.936100000000039</v>
      </c>
      <c r="P3422" s="132" t="s">
        <v>52</v>
      </c>
      <c r="Q3422" s="232"/>
      <c r="R3422" s="411"/>
      <c r="T3422" s="134" t="s">
        <v>145</v>
      </c>
      <c r="U3422" s="267" t="s">
        <v>7751</v>
      </c>
      <c r="AA3422" s="218"/>
    </row>
    <row r="3423" spans="1:27" ht="24" x14ac:dyDescent="0.25">
      <c r="A3423" s="405">
        <v>3002645</v>
      </c>
      <c r="B3423" s="406">
        <v>42534</v>
      </c>
      <c r="C3423" s="405" t="s">
        <v>5682</v>
      </c>
      <c r="D3423" s="401" t="s">
        <v>7752</v>
      </c>
      <c r="E3423" s="120">
        <v>100</v>
      </c>
      <c r="F3423" s="133" t="s">
        <v>161</v>
      </c>
      <c r="G3423" s="404" t="s">
        <v>7486</v>
      </c>
      <c r="H3423" s="411">
        <v>235</v>
      </c>
      <c r="I3423" s="89">
        <f t="shared" si="656"/>
        <v>-21.15</v>
      </c>
      <c r="J3423" s="391">
        <f t="shared" si="657"/>
        <v>-4.7649999999999997</v>
      </c>
      <c r="K3423" s="90">
        <f t="shared" si="649"/>
        <v>209.08500000000001</v>
      </c>
      <c r="L3423" s="131">
        <v>1322</v>
      </c>
      <c r="M3423" s="187">
        <v>42.06</v>
      </c>
      <c r="N3423" s="91">
        <f t="shared" si="652"/>
        <v>174.26000000000002</v>
      </c>
      <c r="O3423" s="411">
        <f t="shared" si="653"/>
        <v>34.824999999999989</v>
      </c>
      <c r="P3423" s="132" t="s">
        <v>52</v>
      </c>
      <c r="Q3423" s="232"/>
      <c r="R3423" s="411"/>
      <c r="T3423" s="134" t="s">
        <v>145</v>
      </c>
      <c r="U3423" s="267" t="s">
        <v>7753</v>
      </c>
      <c r="AA3423" s="218"/>
    </row>
    <row r="3424" spans="1:27" ht="24" x14ac:dyDescent="0.25">
      <c r="A3424" s="405">
        <v>3002646</v>
      </c>
      <c r="B3424" s="406">
        <v>42534</v>
      </c>
      <c r="C3424" s="405" t="s">
        <v>5682</v>
      </c>
      <c r="D3424" s="401" t="s">
        <v>7754</v>
      </c>
      <c r="E3424" s="120">
        <v>175</v>
      </c>
      <c r="F3424" s="133" t="s">
        <v>227</v>
      </c>
      <c r="G3424" s="404" t="s">
        <v>7486</v>
      </c>
      <c r="H3424" s="411">
        <v>168.77</v>
      </c>
      <c r="I3424" s="89">
        <f t="shared" si="656"/>
        <v>-15.189300000000001</v>
      </c>
      <c r="J3424" s="391">
        <f t="shared" si="657"/>
        <v>-3.5066299999999999</v>
      </c>
      <c r="K3424" s="90">
        <f t="shared" si="649"/>
        <v>150.07407000000001</v>
      </c>
      <c r="L3424" s="131">
        <v>350</v>
      </c>
      <c r="M3424" s="187">
        <v>37.78</v>
      </c>
      <c r="N3424" s="91">
        <f t="shared" si="652"/>
        <v>99.03</v>
      </c>
      <c r="O3424" s="411">
        <f t="shared" si="653"/>
        <v>51.044070000000005</v>
      </c>
      <c r="P3424" s="132" t="s">
        <v>52</v>
      </c>
      <c r="Q3424" s="232"/>
      <c r="R3424" s="411">
        <v>11.04</v>
      </c>
      <c r="S3424" s="133" t="s">
        <v>7755</v>
      </c>
      <c r="T3424" s="134" t="s">
        <v>145</v>
      </c>
      <c r="U3424" s="267" t="s">
        <v>7756</v>
      </c>
      <c r="AA3424" s="218"/>
    </row>
    <row r="3425" spans="1:27" ht="24" x14ac:dyDescent="0.25">
      <c r="A3425" s="405">
        <v>3002647</v>
      </c>
      <c r="B3425" s="406">
        <v>42534</v>
      </c>
      <c r="C3425" s="405" t="s">
        <v>5682</v>
      </c>
      <c r="D3425" s="401" t="s">
        <v>7757</v>
      </c>
      <c r="E3425" s="120">
        <v>150</v>
      </c>
      <c r="F3425" s="133" t="s">
        <v>173</v>
      </c>
      <c r="G3425" s="404" t="s">
        <v>7486</v>
      </c>
      <c r="H3425" s="411">
        <v>135.43</v>
      </c>
      <c r="I3425" s="89">
        <f t="shared" si="656"/>
        <v>-12.188700000000001</v>
      </c>
      <c r="J3425" s="391">
        <f t="shared" si="657"/>
        <v>-2.87317</v>
      </c>
      <c r="K3425" s="90">
        <f t="shared" si="649"/>
        <v>120.36813000000001</v>
      </c>
      <c r="L3425" s="131">
        <v>407</v>
      </c>
      <c r="M3425" s="187">
        <v>38.81</v>
      </c>
      <c r="N3425" s="91">
        <f t="shared" si="652"/>
        <v>99.86</v>
      </c>
      <c r="O3425" s="411">
        <f t="shared" si="653"/>
        <v>20.508130000000008</v>
      </c>
      <c r="P3425" s="132" t="s">
        <v>52</v>
      </c>
      <c r="Q3425" s="232"/>
      <c r="R3425" s="411"/>
      <c r="T3425" s="134" t="s">
        <v>145</v>
      </c>
      <c r="U3425" s="267" t="s">
        <v>7758</v>
      </c>
      <c r="AA3425" s="218"/>
    </row>
    <row r="3426" spans="1:27" ht="24" x14ac:dyDescent="0.25">
      <c r="A3426" s="405">
        <v>3002648</v>
      </c>
      <c r="B3426" s="406">
        <v>42534</v>
      </c>
      <c r="C3426" s="405" t="s">
        <v>5682</v>
      </c>
      <c r="D3426" s="401" t="s">
        <v>7759</v>
      </c>
      <c r="E3426" s="120">
        <v>325</v>
      </c>
      <c r="F3426" s="133" t="s">
        <v>829</v>
      </c>
      <c r="G3426" s="404" t="s">
        <v>7486</v>
      </c>
      <c r="H3426" s="411">
        <v>312.55</v>
      </c>
      <c r="I3426" s="89">
        <f t="shared" si="656"/>
        <v>-28.1295</v>
      </c>
      <c r="J3426" s="391">
        <f t="shared" si="657"/>
        <v>-6.2384500000000003</v>
      </c>
      <c r="K3426" s="90">
        <f t="shared" si="649"/>
        <v>278.18205</v>
      </c>
      <c r="L3426" s="131">
        <v>510</v>
      </c>
      <c r="M3426" s="187">
        <v>55.8</v>
      </c>
      <c r="N3426" s="91">
        <f t="shared" si="652"/>
        <v>221.55</v>
      </c>
      <c r="O3426" s="411">
        <f t="shared" si="653"/>
        <v>56.632049999999992</v>
      </c>
      <c r="P3426" s="132" t="s">
        <v>52</v>
      </c>
      <c r="Q3426" s="232"/>
      <c r="R3426" s="411"/>
      <c r="T3426" s="134" t="s">
        <v>145</v>
      </c>
      <c r="U3426" s="267" t="s">
        <v>7760</v>
      </c>
      <c r="AA3426" s="218"/>
    </row>
    <row r="3427" spans="1:27" ht="24" x14ac:dyDescent="0.25">
      <c r="A3427" s="405">
        <v>3002649</v>
      </c>
      <c r="B3427" s="406">
        <v>42534</v>
      </c>
      <c r="C3427" s="405" t="s">
        <v>5682</v>
      </c>
      <c r="D3427" s="401" t="s">
        <v>7761</v>
      </c>
      <c r="E3427" s="120">
        <v>70</v>
      </c>
      <c r="F3427" s="133" t="s">
        <v>51</v>
      </c>
      <c r="G3427" s="404" t="s">
        <v>7486</v>
      </c>
      <c r="H3427" s="411">
        <v>123.4</v>
      </c>
      <c r="I3427" s="89">
        <f t="shared" si="656"/>
        <v>-11.106</v>
      </c>
      <c r="J3427" s="391">
        <f t="shared" si="657"/>
        <v>-2.6446000000000001</v>
      </c>
      <c r="K3427" s="90">
        <f t="shared" si="649"/>
        <v>109.64940000000001</v>
      </c>
      <c r="M3427" s="187">
        <v>31.53</v>
      </c>
      <c r="N3427" s="91">
        <f t="shared" si="652"/>
        <v>31.53</v>
      </c>
      <c r="O3427" s="411">
        <f t="shared" si="653"/>
        <v>78.119400000000013</v>
      </c>
      <c r="P3427" s="132" t="s">
        <v>52</v>
      </c>
      <c r="Q3427" s="232"/>
      <c r="R3427" s="411"/>
      <c r="T3427" s="134" t="s">
        <v>145</v>
      </c>
      <c r="U3427" s="267" t="s">
        <v>7762</v>
      </c>
      <c r="AA3427" s="218"/>
    </row>
    <row r="3428" spans="1:27" ht="24" x14ac:dyDescent="0.25">
      <c r="A3428" s="405">
        <v>3002650</v>
      </c>
      <c r="B3428" s="406">
        <v>42534</v>
      </c>
      <c r="C3428" s="405" t="s">
        <v>5682</v>
      </c>
      <c r="D3428" s="401" t="s">
        <v>7763</v>
      </c>
      <c r="E3428" s="120">
        <v>250</v>
      </c>
      <c r="F3428" s="133" t="s">
        <v>832</v>
      </c>
      <c r="G3428" s="404" t="s">
        <v>7486</v>
      </c>
      <c r="H3428" s="411">
        <v>263.02</v>
      </c>
      <c r="I3428" s="89">
        <f t="shared" si="656"/>
        <v>-23.671799999999998</v>
      </c>
      <c r="J3428" s="391">
        <f t="shared" si="657"/>
        <v>-5.2973799999999995</v>
      </c>
      <c r="K3428" s="90">
        <f t="shared" si="649"/>
        <v>234.05081999999999</v>
      </c>
      <c r="L3428" s="187">
        <v>550</v>
      </c>
      <c r="M3428" s="187">
        <v>29.59</v>
      </c>
      <c r="N3428" s="91">
        <f t="shared" si="652"/>
        <v>167.09</v>
      </c>
      <c r="O3428" s="411">
        <f t="shared" si="653"/>
        <v>66.960819999999984</v>
      </c>
      <c r="P3428" s="132" t="s">
        <v>235</v>
      </c>
      <c r="Q3428" s="232"/>
      <c r="R3428" s="411">
        <v>17.21</v>
      </c>
      <c r="S3428" s="133" t="s">
        <v>301</v>
      </c>
      <c r="T3428" s="134" t="s">
        <v>145</v>
      </c>
      <c r="U3428" s="267" t="s">
        <v>7764</v>
      </c>
      <c r="AA3428" s="218"/>
    </row>
    <row r="3429" spans="1:27" ht="24" x14ac:dyDescent="0.25">
      <c r="A3429" s="405">
        <v>3002651</v>
      </c>
      <c r="B3429" s="406">
        <v>42534</v>
      </c>
      <c r="C3429" s="405" t="s">
        <v>5682</v>
      </c>
      <c r="D3429" s="401" t="s">
        <v>7765</v>
      </c>
      <c r="E3429" s="120">
        <v>25</v>
      </c>
      <c r="F3429" s="133" t="s">
        <v>277</v>
      </c>
      <c r="G3429" s="404" t="s">
        <v>7486</v>
      </c>
      <c r="H3429" s="411">
        <v>167.91</v>
      </c>
      <c r="I3429" s="89">
        <f t="shared" si="656"/>
        <v>-15.111899999999999</v>
      </c>
      <c r="J3429" s="391">
        <f t="shared" si="657"/>
        <v>-3.4902899999999999</v>
      </c>
      <c r="K3429" s="90">
        <f t="shared" si="649"/>
        <v>149.30781000000002</v>
      </c>
      <c r="L3429" s="187">
        <v>3600</v>
      </c>
      <c r="M3429" s="187">
        <v>30.19</v>
      </c>
      <c r="N3429" s="91">
        <f t="shared" si="652"/>
        <v>120.19</v>
      </c>
      <c r="O3429" s="411">
        <f t="shared" si="653"/>
        <v>29.11781000000002</v>
      </c>
      <c r="P3429" s="132" t="s">
        <v>183</v>
      </c>
      <c r="Q3429" s="232"/>
      <c r="R3429" s="411"/>
      <c r="T3429" s="134" t="s">
        <v>324</v>
      </c>
      <c r="U3429" s="267" t="s">
        <v>7766</v>
      </c>
      <c r="V3429" s="133" t="s">
        <v>5863</v>
      </c>
      <c r="AA3429" s="218"/>
    </row>
    <row r="3430" spans="1:27" ht="24" x14ac:dyDescent="0.25">
      <c r="A3430" s="405">
        <v>3002652</v>
      </c>
      <c r="B3430" s="406">
        <v>42534</v>
      </c>
      <c r="C3430" s="405" t="s">
        <v>5682</v>
      </c>
      <c r="D3430" s="401" t="s">
        <v>7767</v>
      </c>
      <c r="E3430" s="120">
        <v>200</v>
      </c>
      <c r="F3430" s="133" t="s">
        <v>582</v>
      </c>
      <c r="G3430" s="404" t="s">
        <v>7486</v>
      </c>
      <c r="H3430" s="411">
        <v>187.73</v>
      </c>
      <c r="I3430" s="89">
        <f t="shared" si="656"/>
        <v>-16.895699999999998</v>
      </c>
      <c r="J3430" s="391">
        <f t="shared" si="657"/>
        <v>-3.8668699999999996</v>
      </c>
      <c r="K3430" s="90">
        <f t="shared" si="649"/>
        <v>166.96742999999998</v>
      </c>
      <c r="M3430" s="187">
        <v>46.54</v>
      </c>
      <c r="N3430" s="91">
        <f t="shared" si="652"/>
        <v>46.54</v>
      </c>
      <c r="O3430" s="411">
        <f t="shared" si="653"/>
        <v>120.42742999999999</v>
      </c>
      <c r="P3430" s="132" t="s">
        <v>52</v>
      </c>
      <c r="Q3430" s="232"/>
      <c r="R3430" s="411"/>
      <c r="T3430" s="134" t="s">
        <v>145</v>
      </c>
      <c r="U3430" s="267" t="s">
        <v>7768</v>
      </c>
      <c r="AA3430" s="218"/>
    </row>
    <row r="3431" spans="1:27" ht="24" x14ac:dyDescent="0.25">
      <c r="A3431" s="405">
        <v>3002653</v>
      </c>
      <c r="B3431" s="406">
        <v>42534</v>
      </c>
      <c r="C3431" s="405" t="s">
        <v>5682</v>
      </c>
      <c r="D3431" s="401" t="s">
        <v>7769</v>
      </c>
      <c r="E3431" s="120">
        <v>250</v>
      </c>
      <c r="F3431" s="133" t="s">
        <v>312</v>
      </c>
      <c r="G3431" s="404" t="s">
        <v>7486</v>
      </c>
      <c r="H3431" s="411">
        <v>219.72</v>
      </c>
      <c r="I3431" s="89">
        <f t="shared" si="656"/>
        <v>-19.774799999999999</v>
      </c>
      <c r="J3431" s="391">
        <f t="shared" si="657"/>
        <v>-4.4746799999999993</v>
      </c>
      <c r="K3431" s="90">
        <f t="shared" si="649"/>
        <v>195.47051999999999</v>
      </c>
      <c r="L3431" s="187">
        <v>514</v>
      </c>
      <c r="M3431" s="187">
        <v>40.19</v>
      </c>
      <c r="N3431" s="91">
        <f t="shared" si="652"/>
        <v>168.69</v>
      </c>
      <c r="O3431" s="411">
        <f t="shared" si="653"/>
        <v>26.780519999999996</v>
      </c>
      <c r="P3431" s="132" t="s">
        <v>3597</v>
      </c>
      <c r="Q3431" s="232"/>
      <c r="R3431" s="411"/>
      <c r="T3431" s="134" t="s">
        <v>145</v>
      </c>
      <c r="U3431" s="267" t="s">
        <v>7770</v>
      </c>
      <c r="AA3431" s="218"/>
    </row>
    <row r="3432" spans="1:27" ht="24" x14ac:dyDescent="0.25">
      <c r="A3432" s="405">
        <v>3002654</v>
      </c>
      <c r="B3432" s="406">
        <v>42534</v>
      </c>
      <c r="C3432" s="405" t="s">
        <v>5682</v>
      </c>
      <c r="D3432" s="401" t="s">
        <v>7771</v>
      </c>
      <c r="E3432" s="120">
        <v>250</v>
      </c>
      <c r="F3432" s="133" t="s">
        <v>451</v>
      </c>
      <c r="G3432" s="404" t="s">
        <v>7486</v>
      </c>
      <c r="H3432" s="411">
        <v>155.37</v>
      </c>
      <c r="I3432" s="89">
        <f t="shared" si="656"/>
        <v>-13.9833</v>
      </c>
      <c r="J3432" s="391">
        <f t="shared" si="657"/>
        <v>-3.25203</v>
      </c>
      <c r="K3432" s="90">
        <f t="shared" si="649"/>
        <v>138.13467000000003</v>
      </c>
      <c r="M3432" s="187">
        <v>26.15</v>
      </c>
      <c r="N3432" s="91">
        <f t="shared" si="652"/>
        <v>26.15</v>
      </c>
      <c r="O3432" s="411">
        <f t="shared" si="653"/>
        <v>111.98467000000002</v>
      </c>
      <c r="P3432" s="132" t="s">
        <v>52</v>
      </c>
      <c r="Q3432" s="232"/>
      <c r="R3432" s="411"/>
      <c r="T3432" s="134" t="s">
        <v>145</v>
      </c>
      <c r="U3432" s="267" t="s">
        <v>7772</v>
      </c>
      <c r="AA3432" s="218"/>
    </row>
    <row r="3433" spans="1:27" ht="24" customHeight="1" x14ac:dyDescent="0.25">
      <c r="A3433" s="419">
        <v>3002655</v>
      </c>
      <c r="B3433" s="421">
        <v>42534</v>
      </c>
      <c r="C3433" s="419" t="s">
        <v>5682</v>
      </c>
      <c r="D3433" s="417" t="s">
        <v>5513</v>
      </c>
      <c r="E3433" s="120">
        <v>100</v>
      </c>
      <c r="F3433" s="133" t="s">
        <v>300</v>
      </c>
      <c r="G3433" s="434" t="s">
        <v>7486</v>
      </c>
      <c r="H3433" s="427">
        <v>760</v>
      </c>
      <c r="I3433" s="452">
        <f t="shared" si="656"/>
        <v>-68.399999999999991</v>
      </c>
      <c r="J3433" s="425">
        <f t="shared" si="657"/>
        <v>-14.74</v>
      </c>
      <c r="K3433" s="425">
        <f t="shared" si="649"/>
        <v>676.86</v>
      </c>
      <c r="L3433" s="131">
        <v>2150</v>
      </c>
      <c r="M3433" s="187">
        <v>79.28</v>
      </c>
      <c r="N3433" s="91">
        <f t="shared" si="652"/>
        <v>294.27999999999997</v>
      </c>
      <c r="O3433" s="411">
        <f t="shared" si="653"/>
        <v>382.58000000000004</v>
      </c>
      <c r="P3433" s="132" t="s">
        <v>52</v>
      </c>
      <c r="Q3433" s="232"/>
      <c r="R3433" s="411"/>
      <c r="T3433" s="470" t="s">
        <v>145</v>
      </c>
      <c r="U3433" s="446" t="s">
        <v>7773</v>
      </c>
      <c r="AA3433" s="218"/>
    </row>
    <row r="3434" spans="1:27" x14ac:dyDescent="0.25">
      <c r="A3434" s="420"/>
      <c r="B3434" s="422"/>
      <c r="C3434" s="420"/>
      <c r="D3434" s="418"/>
      <c r="E3434" s="120">
        <v>125</v>
      </c>
      <c r="F3434" s="133" t="s">
        <v>161</v>
      </c>
      <c r="G3434" s="436"/>
      <c r="H3434" s="428"/>
      <c r="I3434" s="453"/>
      <c r="J3434" s="426"/>
      <c r="K3434" s="426"/>
      <c r="L3434" s="131">
        <v>1322</v>
      </c>
      <c r="N3434" s="91">
        <f t="shared" si="652"/>
        <v>165.25</v>
      </c>
      <c r="O3434" s="411">
        <f t="shared" si="653"/>
        <v>-165.25</v>
      </c>
      <c r="P3434" s="132" t="s">
        <v>52</v>
      </c>
      <c r="Q3434" s="232"/>
      <c r="R3434" s="411"/>
      <c r="T3434" s="472"/>
      <c r="U3434" s="447"/>
      <c r="AA3434" s="218"/>
    </row>
    <row r="3435" spans="1:27" ht="24" x14ac:dyDescent="0.25">
      <c r="A3435" s="405">
        <v>3002656</v>
      </c>
      <c r="B3435" s="406">
        <v>42534</v>
      </c>
      <c r="C3435" s="405" t="s">
        <v>5682</v>
      </c>
      <c r="D3435" s="401" t="s">
        <v>1041</v>
      </c>
      <c r="E3435" s="120">
        <v>250</v>
      </c>
      <c r="F3435" s="133" t="s">
        <v>451</v>
      </c>
      <c r="G3435" s="404" t="s">
        <v>7486</v>
      </c>
      <c r="H3435" s="411">
        <v>155.37</v>
      </c>
      <c r="I3435" s="89">
        <f t="shared" si="656"/>
        <v>-13.9833</v>
      </c>
      <c r="J3435" s="391">
        <f t="shared" si="657"/>
        <v>-3.25203</v>
      </c>
      <c r="K3435" s="90">
        <f t="shared" si="649"/>
        <v>138.13467000000003</v>
      </c>
      <c r="M3435" s="187">
        <v>25.17</v>
      </c>
      <c r="N3435" s="91">
        <f t="shared" si="652"/>
        <v>25.17</v>
      </c>
      <c r="O3435" s="411">
        <f t="shared" si="653"/>
        <v>112.96467000000003</v>
      </c>
      <c r="P3435" s="132" t="s">
        <v>52</v>
      </c>
      <c r="Q3435" s="232"/>
      <c r="R3435" s="411"/>
      <c r="T3435" s="134" t="s">
        <v>145</v>
      </c>
      <c r="U3435" s="267" t="s">
        <v>7774</v>
      </c>
      <c r="AA3435" s="218"/>
    </row>
    <row r="3436" spans="1:27" ht="24" x14ac:dyDescent="0.25">
      <c r="A3436" s="405">
        <v>3002657</v>
      </c>
      <c r="B3436" s="406">
        <v>42534</v>
      </c>
      <c r="C3436" s="405" t="s">
        <v>5682</v>
      </c>
      <c r="D3436" s="401" t="s">
        <v>7775</v>
      </c>
      <c r="E3436" s="120">
        <v>200</v>
      </c>
      <c r="F3436" s="133" t="s">
        <v>877</v>
      </c>
      <c r="G3436" s="404" t="s">
        <v>7486</v>
      </c>
      <c r="H3436" s="411">
        <v>148.9</v>
      </c>
      <c r="I3436" s="89">
        <f t="shared" si="656"/>
        <v>-13.401</v>
      </c>
      <c r="J3436" s="391">
        <f t="shared" si="657"/>
        <v>-3.1290999999999998</v>
      </c>
      <c r="K3436" s="90">
        <f t="shared" si="649"/>
        <v>132.3699</v>
      </c>
      <c r="L3436" s="131">
        <v>235</v>
      </c>
      <c r="M3436" s="187">
        <v>29.97</v>
      </c>
      <c r="N3436" s="91">
        <f t="shared" si="652"/>
        <v>76.97</v>
      </c>
      <c r="O3436" s="411">
        <f t="shared" si="653"/>
        <v>55.399900000000002</v>
      </c>
      <c r="P3436" s="132" t="s">
        <v>52</v>
      </c>
      <c r="Q3436" s="232"/>
      <c r="R3436" s="411"/>
      <c r="T3436" s="134" t="s">
        <v>145</v>
      </c>
      <c r="U3436" s="267" t="s">
        <v>7776</v>
      </c>
      <c r="AA3436" s="218"/>
    </row>
    <row r="3437" spans="1:27" ht="24" x14ac:dyDescent="0.25">
      <c r="A3437" s="405">
        <v>3002658</v>
      </c>
      <c r="B3437" s="406">
        <v>42534</v>
      </c>
      <c r="C3437" s="405" t="s">
        <v>237</v>
      </c>
      <c r="D3437" s="401" t="s">
        <v>7777</v>
      </c>
      <c r="E3437" s="120">
        <v>500</v>
      </c>
      <c r="F3437" s="133" t="s">
        <v>451</v>
      </c>
      <c r="G3437" s="404" t="s">
        <v>7486</v>
      </c>
      <c r="H3437" s="411">
        <v>379.85</v>
      </c>
      <c r="I3437" s="397">
        <f t="shared" ref="I3437:I3439" si="658">-(H3437*0.15)</f>
        <v>-56.977499999999999</v>
      </c>
      <c r="J3437" s="411">
        <v>0</v>
      </c>
      <c r="K3437" s="90">
        <f t="shared" si="649"/>
        <v>322.8725</v>
      </c>
      <c r="M3437" s="187">
        <v>48.75</v>
      </c>
      <c r="N3437" s="91">
        <f t="shared" si="652"/>
        <v>48.75</v>
      </c>
      <c r="O3437" s="411">
        <f t="shared" si="653"/>
        <v>274.1225</v>
      </c>
      <c r="P3437" s="132" t="s">
        <v>52</v>
      </c>
      <c r="Q3437" s="232"/>
      <c r="R3437" s="411"/>
      <c r="T3437" s="134" t="s">
        <v>145</v>
      </c>
      <c r="U3437" s="267" t="s">
        <v>7778</v>
      </c>
      <c r="AA3437" s="218"/>
    </row>
    <row r="3438" spans="1:27" ht="24" x14ac:dyDescent="0.25">
      <c r="A3438" s="405">
        <v>3002659</v>
      </c>
      <c r="B3438" s="406">
        <v>42534</v>
      </c>
      <c r="C3438" s="405" t="s">
        <v>237</v>
      </c>
      <c r="D3438" s="401" t="s">
        <v>7779</v>
      </c>
      <c r="E3438" s="120">
        <v>100</v>
      </c>
      <c r="F3438" s="133" t="s">
        <v>161</v>
      </c>
      <c r="G3438" s="404" t="s">
        <v>7486</v>
      </c>
      <c r="H3438" s="411">
        <v>204.09</v>
      </c>
      <c r="I3438" s="397">
        <f t="shared" si="658"/>
        <v>-30.613499999999998</v>
      </c>
      <c r="J3438" s="411">
        <v>0</v>
      </c>
      <c r="K3438" s="90">
        <f t="shared" si="649"/>
        <v>173.47650000000002</v>
      </c>
      <c r="L3438" s="131">
        <v>1322</v>
      </c>
      <c r="M3438" s="187">
        <v>27.21</v>
      </c>
      <c r="N3438" s="91">
        <f t="shared" si="652"/>
        <v>159.41000000000003</v>
      </c>
      <c r="O3438" s="411">
        <f t="shared" si="653"/>
        <v>14.066499999999991</v>
      </c>
      <c r="P3438" s="132" t="s">
        <v>52</v>
      </c>
      <c r="Q3438" s="232"/>
      <c r="R3438" s="411"/>
      <c r="T3438" s="134" t="s">
        <v>145</v>
      </c>
      <c r="U3438" s="267" t="s">
        <v>7780</v>
      </c>
      <c r="AA3438" s="218"/>
    </row>
    <row r="3439" spans="1:27" x14ac:dyDescent="0.25">
      <c r="A3439" s="419">
        <v>3002660</v>
      </c>
      <c r="B3439" s="421">
        <v>42534</v>
      </c>
      <c r="C3439" s="419" t="s">
        <v>237</v>
      </c>
      <c r="D3439" s="417" t="s">
        <v>7781</v>
      </c>
      <c r="E3439" s="120">
        <v>50</v>
      </c>
      <c r="F3439" s="133" t="s">
        <v>3301</v>
      </c>
      <c r="G3439" s="434" t="s">
        <v>7486</v>
      </c>
      <c r="H3439" s="427">
        <v>137.75</v>
      </c>
      <c r="I3439" s="452">
        <f t="shared" si="658"/>
        <v>-20.662499999999998</v>
      </c>
      <c r="J3439" s="427">
        <v>0</v>
      </c>
      <c r="K3439" s="425">
        <f t="shared" si="649"/>
        <v>117.08750000000001</v>
      </c>
      <c r="L3439" s="187">
        <v>750</v>
      </c>
      <c r="N3439" s="91">
        <f t="shared" si="652"/>
        <v>37.5</v>
      </c>
      <c r="O3439" s="411">
        <f t="shared" si="653"/>
        <v>79.587500000000006</v>
      </c>
      <c r="P3439" s="132" t="s">
        <v>601</v>
      </c>
      <c r="Q3439" s="232"/>
      <c r="R3439" s="411"/>
      <c r="T3439" s="439" t="s">
        <v>145</v>
      </c>
      <c r="U3439" s="446" t="s">
        <v>7780</v>
      </c>
      <c r="AA3439" s="218"/>
    </row>
    <row r="3440" spans="1:27" x14ac:dyDescent="0.25">
      <c r="A3440" s="420"/>
      <c r="B3440" s="422"/>
      <c r="C3440" s="420"/>
      <c r="D3440" s="418"/>
      <c r="E3440" s="120">
        <v>50</v>
      </c>
      <c r="F3440" s="133" t="s">
        <v>3299</v>
      </c>
      <c r="G3440" s="436"/>
      <c r="H3440" s="428"/>
      <c r="I3440" s="453"/>
      <c r="J3440" s="428"/>
      <c r="K3440" s="426"/>
      <c r="L3440" s="187">
        <v>750</v>
      </c>
      <c r="N3440" s="91">
        <f t="shared" si="652"/>
        <v>37.5</v>
      </c>
      <c r="O3440" s="411">
        <f t="shared" si="653"/>
        <v>-37.5</v>
      </c>
      <c r="P3440" s="132" t="s">
        <v>601</v>
      </c>
      <c r="Q3440" s="232"/>
      <c r="R3440" s="411"/>
      <c r="T3440" s="441"/>
      <c r="U3440" s="447"/>
      <c r="AA3440" s="218"/>
    </row>
    <row r="3441" spans="1:27" x14ac:dyDescent="0.25">
      <c r="A3441" s="419">
        <v>3002661</v>
      </c>
      <c r="B3441" s="421">
        <v>42534</v>
      </c>
      <c r="C3441" s="419" t="s">
        <v>5682</v>
      </c>
      <c r="D3441" s="417" t="s">
        <v>7782</v>
      </c>
      <c r="E3441" s="120">
        <v>200</v>
      </c>
      <c r="F3441" s="133" t="s">
        <v>85</v>
      </c>
      <c r="G3441" s="434" t="s">
        <v>7486</v>
      </c>
      <c r="H3441" s="427">
        <v>671.86</v>
      </c>
      <c r="I3441" s="452">
        <f t="shared" ref="I3441" si="659">-(H3441*0.09)</f>
        <v>-60.467399999999998</v>
      </c>
      <c r="J3441" s="425">
        <f t="shared" ref="J3441:J3443" si="660">-((H3441*0.019)+0.3)</f>
        <v>-13.065340000000001</v>
      </c>
      <c r="K3441" s="425">
        <f t="shared" si="649"/>
        <v>598.32726000000002</v>
      </c>
      <c r="L3441" s="131">
        <v>1296</v>
      </c>
      <c r="M3441" s="187">
        <v>153.1</v>
      </c>
      <c r="N3441" s="91">
        <f t="shared" si="652"/>
        <v>412.29999999999995</v>
      </c>
      <c r="O3441" s="411">
        <f t="shared" si="653"/>
        <v>186.02726000000007</v>
      </c>
      <c r="P3441" s="132" t="s">
        <v>52</v>
      </c>
      <c r="Q3441" s="232"/>
      <c r="R3441" s="411"/>
      <c r="T3441" s="439" t="s">
        <v>7783</v>
      </c>
      <c r="U3441" s="446" t="s">
        <v>7784</v>
      </c>
      <c r="V3441" s="133" t="s">
        <v>55</v>
      </c>
      <c r="AA3441" s="218"/>
    </row>
    <row r="3442" spans="1:27" x14ac:dyDescent="0.25">
      <c r="A3442" s="420"/>
      <c r="B3442" s="422"/>
      <c r="C3442" s="420"/>
      <c r="D3442" s="418"/>
      <c r="E3442" s="120">
        <v>200</v>
      </c>
      <c r="F3442" s="133" t="s">
        <v>7785</v>
      </c>
      <c r="G3442" s="436"/>
      <c r="H3442" s="428"/>
      <c r="I3442" s="453"/>
      <c r="J3442" s="426"/>
      <c r="K3442" s="426"/>
      <c r="L3442" s="131">
        <v>275</v>
      </c>
      <c r="N3442" s="91">
        <f t="shared" si="652"/>
        <v>55</v>
      </c>
      <c r="O3442" s="411">
        <f t="shared" si="653"/>
        <v>-55</v>
      </c>
      <c r="P3442" s="132" t="s">
        <v>52</v>
      </c>
      <c r="Q3442" s="232"/>
      <c r="R3442" s="411"/>
      <c r="T3442" s="441"/>
      <c r="U3442" s="447"/>
      <c r="AA3442" s="218"/>
    </row>
    <row r="3443" spans="1:27" ht="24" x14ac:dyDescent="0.25">
      <c r="A3443" s="405">
        <v>3002662</v>
      </c>
      <c r="B3443" s="406">
        <v>42534</v>
      </c>
      <c r="C3443" s="405" t="s">
        <v>78</v>
      </c>
      <c r="D3443" s="401" t="s">
        <v>7786</v>
      </c>
      <c r="E3443" s="120">
        <v>500</v>
      </c>
      <c r="F3443" s="133" t="s">
        <v>1362</v>
      </c>
      <c r="G3443" s="404" t="s">
        <v>7486</v>
      </c>
      <c r="H3443" s="411">
        <v>1225</v>
      </c>
      <c r="I3443" s="411">
        <v>0</v>
      </c>
      <c r="J3443" s="391">
        <f t="shared" si="660"/>
        <v>-23.574999999999999</v>
      </c>
      <c r="K3443" s="90">
        <f t="shared" si="649"/>
        <v>1201.425</v>
      </c>
      <c r="L3443" s="187">
        <v>1680</v>
      </c>
      <c r="M3443" s="187">
        <v>90</v>
      </c>
      <c r="N3443" s="91">
        <f t="shared" ref="N3443:N3506" si="661">((L3443)*(E3443*0.001))+M3443</f>
        <v>930</v>
      </c>
      <c r="O3443" s="411">
        <f t="shared" si="653"/>
        <v>271.42499999999995</v>
      </c>
      <c r="P3443" s="132" t="s">
        <v>3597</v>
      </c>
      <c r="Q3443" s="232"/>
      <c r="R3443" s="411"/>
      <c r="T3443" s="134" t="s">
        <v>7787</v>
      </c>
      <c r="U3443" s="267" t="s">
        <v>7788</v>
      </c>
      <c r="V3443" s="133" t="s">
        <v>55</v>
      </c>
      <c r="W3443" s="153" t="s">
        <v>7789</v>
      </c>
      <c r="AA3443" s="218">
        <v>10</v>
      </c>
    </row>
    <row r="3444" spans="1:27" ht="24" x14ac:dyDescent="0.25">
      <c r="A3444" s="405">
        <v>3002663</v>
      </c>
      <c r="B3444" s="406">
        <v>42535</v>
      </c>
      <c r="C3444" s="405" t="s">
        <v>63</v>
      </c>
      <c r="D3444" s="401" t="s">
        <v>7790</v>
      </c>
      <c r="E3444" s="120">
        <v>135</v>
      </c>
      <c r="F3444" s="133" t="s">
        <v>7791</v>
      </c>
      <c r="G3444" s="404" t="s">
        <v>7486</v>
      </c>
      <c r="H3444" s="411">
        <v>367</v>
      </c>
      <c r="I3444" s="411">
        <v>0</v>
      </c>
      <c r="J3444" s="391">
        <f>-((H3444*0.022)+0.3)</f>
        <v>-8.3740000000000006</v>
      </c>
      <c r="K3444" s="90">
        <f t="shared" si="649"/>
        <v>358.62599999999998</v>
      </c>
      <c r="M3444" s="187">
        <v>57.85</v>
      </c>
      <c r="N3444" s="91">
        <f t="shared" si="661"/>
        <v>57.85</v>
      </c>
      <c r="O3444" s="411">
        <f t="shared" si="653"/>
        <v>300.77599999999995</v>
      </c>
      <c r="P3444" s="132" t="s">
        <v>52</v>
      </c>
      <c r="Q3444" s="232"/>
      <c r="R3444" s="411"/>
      <c r="T3444" s="134" t="s">
        <v>145</v>
      </c>
      <c r="U3444" s="267" t="s">
        <v>7792</v>
      </c>
      <c r="W3444" s="153" t="s">
        <v>7793</v>
      </c>
      <c r="AA3444" s="218"/>
    </row>
    <row r="3445" spans="1:27" x14ac:dyDescent="0.25">
      <c r="A3445" s="419">
        <v>3002664</v>
      </c>
      <c r="B3445" s="421">
        <v>42535</v>
      </c>
      <c r="C3445" s="419" t="s">
        <v>327</v>
      </c>
      <c r="D3445" s="417" t="s">
        <v>7174</v>
      </c>
      <c r="E3445" s="120">
        <v>500</v>
      </c>
      <c r="F3445" s="133" t="s">
        <v>829</v>
      </c>
      <c r="G3445" s="434" t="s">
        <v>7486</v>
      </c>
      <c r="H3445" s="427">
        <v>740</v>
      </c>
      <c r="I3445" s="427">
        <v>0</v>
      </c>
      <c r="J3445" s="425">
        <f>-((H3445*0.022)+0.3)</f>
        <v>-16.579999999999998</v>
      </c>
      <c r="K3445" s="425">
        <f t="shared" si="649"/>
        <v>723.42</v>
      </c>
      <c r="L3445" s="131">
        <v>510</v>
      </c>
      <c r="M3445" s="468">
        <v>98.52</v>
      </c>
      <c r="N3445" s="91">
        <f t="shared" si="661"/>
        <v>353.52</v>
      </c>
      <c r="O3445" s="411">
        <f t="shared" si="653"/>
        <v>369.9</v>
      </c>
      <c r="P3445" s="132" t="s">
        <v>52</v>
      </c>
      <c r="Q3445" s="232"/>
      <c r="R3445" s="411"/>
      <c r="T3445" s="439" t="s">
        <v>244</v>
      </c>
      <c r="U3445" s="446" t="s">
        <v>7794</v>
      </c>
      <c r="V3445" s="133" t="s">
        <v>55</v>
      </c>
      <c r="W3445" s="153" t="s">
        <v>7176</v>
      </c>
      <c r="AA3445" s="218"/>
    </row>
    <row r="3446" spans="1:27" x14ac:dyDescent="0.25">
      <c r="A3446" s="420"/>
      <c r="B3446" s="422"/>
      <c r="C3446" s="420"/>
      <c r="D3446" s="418"/>
      <c r="E3446" s="120">
        <v>200</v>
      </c>
      <c r="F3446" s="133" t="s">
        <v>422</v>
      </c>
      <c r="G3446" s="436"/>
      <c r="H3446" s="428"/>
      <c r="I3446" s="428"/>
      <c r="J3446" s="426"/>
      <c r="K3446" s="426"/>
      <c r="L3446" s="131">
        <v>690</v>
      </c>
      <c r="M3446" s="469"/>
      <c r="N3446" s="91">
        <f t="shared" si="661"/>
        <v>138</v>
      </c>
      <c r="O3446" s="411">
        <f t="shared" si="653"/>
        <v>-138</v>
      </c>
      <c r="P3446" s="132" t="s">
        <v>52</v>
      </c>
      <c r="Q3446" s="232"/>
      <c r="R3446" s="411"/>
      <c r="T3446" s="441"/>
      <c r="U3446" s="447"/>
      <c r="AA3446" s="218"/>
    </row>
    <row r="3447" spans="1:27" ht="24" x14ac:dyDescent="0.25">
      <c r="A3447" s="405">
        <v>3002665</v>
      </c>
      <c r="B3447" s="406">
        <v>42535</v>
      </c>
      <c r="C3447" s="405" t="s">
        <v>63</v>
      </c>
      <c r="D3447" s="401" t="s">
        <v>7397</v>
      </c>
      <c r="E3447" s="120">
        <v>20</v>
      </c>
      <c r="F3447" s="133" t="s">
        <v>7795</v>
      </c>
      <c r="G3447" s="404" t="s">
        <v>7486</v>
      </c>
      <c r="H3447" s="411">
        <v>90</v>
      </c>
      <c r="I3447" s="411">
        <v>0</v>
      </c>
      <c r="J3447" s="391">
        <f>-((H3447*0.022)+0.3)</f>
        <v>-2.2799999999999998</v>
      </c>
      <c r="K3447" s="90">
        <f t="shared" si="649"/>
        <v>87.72</v>
      </c>
      <c r="L3447" s="187">
        <v>600</v>
      </c>
      <c r="N3447" s="91">
        <f t="shared" si="661"/>
        <v>12</v>
      </c>
      <c r="O3447" s="411">
        <f t="shared" si="653"/>
        <v>75.72</v>
      </c>
      <c r="P3447" s="132" t="s">
        <v>235</v>
      </c>
      <c r="Q3447" s="232"/>
      <c r="R3447" s="411"/>
      <c r="T3447" s="134" t="s">
        <v>7796</v>
      </c>
      <c r="U3447" s="266" t="s">
        <v>7797</v>
      </c>
      <c r="W3447" s="153" t="s">
        <v>7400</v>
      </c>
      <c r="AA3447" s="218"/>
    </row>
    <row r="3448" spans="1:27" ht="24" x14ac:dyDescent="0.25">
      <c r="A3448" s="405">
        <v>3002666</v>
      </c>
      <c r="B3448" s="406">
        <v>42535</v>
      </c>
      <c r="C3448" s="405" t="s">
        <v>159</v>
      </c>
      <c r="D3448" s="401" t="s">
        <v>7798</v>
      </c>
      <c r="E3448" s="120">
        <v>56</v>
      </c>
      <c r="F3448" s="133" t="s">
        <v>7799</v>
      </c>
      <c r="G3448" s="404" t="s">
        <v>7486</v>
      </c>
      <c r="H3448" s="411">
        <v>156.80000000000001</v>
      </c>
      <c r="I3448" s="411">
        <v>0</v>
      </c>
      <c r="J3448" s="391">
        <f t="shared" ref="J3448:J3449" si="662">-((H3448*0.019)+0.3)</f>
        <v>-3.2791999999999999</v>
      </c>
      <c r="K3448" s="90">
        <f t="shared" si="649"/>
        <v>153.52080000000001</v>
      </c>
      <c r="L3448" s="187">
        <v>2030</v>
      </c>
      <c r="M3448" s="187">
        <v>35.799999999999997</v>
      </c>
      <c r="N3448" s="91">
        <f t="shared" si="661"/>
        <v>149.48000000000002</v>
      </c>
      <c r="O3448" s="411">
        <f t="shared" si="653"/>
        <v>4.0407999999999902</v>
      </c>
      <c r="P3448" s="132" t="s">
        <v>183</v>
      </c>
      <c r="Q3448" s="232"/>
      <c r="R3448" s="411"/>
      <c r="T3448" s="134" t="s">
        <v>324</v>
      </c>
      <c r="U3448" s="266" t="s">
        <v>7800</v>
      </c>
      <c r="V3448" s="133" t="s">
        <v>5863</v>
      </c>
      <c r="W3448" s="153" t="s">
        <v>7801</v>
      </c>
      <c r="AA3448" s="218"/>
    </row>
    <row r="3449" spans="1:27" ht="24" x14ac:dyDescent="0.25">
      <c r="A3449" s="405">
        <v>3002667</v>
      </c>
      <c r="B3449" s="406">
        <v>42535</v>
      </c>
      <c r="C3449" s="405" t="s">
        <v>78</v>
      </c>
      <c r="D3449" s="401" t="s">
        <v>4752</v>
      </c>
      <c r="E3449" s="120">
        <v>400</v>
      </c>
      <c r="F3449" s="133" t="s">
        <v>7802</v>
      </c>
      <c r="G3449" s="404" t="s">
        <v>7486</v>
      </c>
      <c r="H3449" s="411">
        <v>132</v>
      </c>
      <c r="I3449" s="411">
        <v>0</v>
      </c>
      <c r="J3449" s="391">
        <f t="shared" si="662"/>
        <v>-2.8079999999999998</v>
      </c>
      <c r="K3449" s="90">
        <f t="shared" si="649"/>
        <v>129.19200000000001</v>
      </c>
      <c r="L3449" s="187">
        <v>132</v>
      </c>
      <c r="M3449" s="187">
        <v>18.149999999999999</v>
      </c>
      <c r="N3449" s="91">
        <f t="shared" si="661"/>
        <v>70.95</v>
      </c>
      <c r="O3449" s="411">
        <f t="shared" si="653"/>
        <v>58.242000000000004</v>
      </c>
      <c r="P3449" s="132" t="s">
        <v>183</v>
      </c>
      <c r="Q3449" s="232"/>
      <c r="R3449" s="411"/>
      <c r="T3449" s="134" t="s">
        <v>145</v>
      </c>
      <c r="U3449" s="267" t="s">
        <v>7803</v>
      </c>
      <c r="W3449" s="153" t="s">
        <v>7804</v>
      </c>
      <c r="AA3449" s="218"/>
    </row>
    <row r="3450" spans="1:27" ht="24" x14ac:dyDescent="0.25">
      <c r="A3450" s="405">
        <v>3002668</v>
      </c>
      <c r="B3450" s="406">
        <v>42535</v>
      </c>
      <c r="C3450" s="405" t="s">
        <v>56</v>
      </c>
      <c r="D3450" s="401" t="s">
        <v>6840</v>
      </c>
      <c r="E3450" s="120">
        <v>2000</v>
      </c>
      <c r="F3450" s="133" t="s">
        <v>7805</v>
      </c>
      <c r="G3450" s="404" t="s">
        <v>7486</v>
      </c>
      <c r="H3450" s="411">
        <v>1439.4</v>
      </c>
      <c r="I3450" s="411">
        <v>0</v>
      </c>
      <c r="J3450" s="411">
        <v>0</v>
      </c>
      <c r="K3450" s="90">
        <f t="shared" si="649"/>
        <v>1439.4</v>
      </c>
      <c r="L3450" s="187">
        <v>601.53</v>
      </c>
      <c r="M3450" s="131">
        <v>0</v>
      </c>
      <c r="N3450" s="91">
        <f t="shared" si="661"/>
        <v>1203.06</v>
      </c>
      <c r="O3450" s="411">
        <f t="shared" si="653"/>
        <v>236.34000000000015</v>
      </c>
      <c r="P3450" s="132" t="s">
        <v>76</v>
      </c>
      <c r="Q3450" s="232"/>
      <c r="R3450" s="411"/>
      <c r="T3450" s="134" t="s">
        <v>204</v>
      </c>
      <c r="U3450" s="267" t="s">
        <v>7806</v>
      </c>
      <c r="V3450" s="133" t="s">
        <v>7807</v>
      </c>
      <c r="W3450" s="153" t="s">
        <v>298</v>
      </c>
      <c r="AA3450" s="218"/>
    </row>
    <row r="3451" spans="1:27" ht="24" x14ac:dyDescent="0.25">
      <c r="A3451" s="405">
        <v>3002669</v>
      </c>
      <c r="B3451" s="406">
        <v>42535</v>
      </c>
      <c r="C3451" s="405" t="s">
        <v>63</v>
      </c>
      <c r="D3451" s="401" t="s">
        <v>7808</v>
      </c>
      <c r="E3451" s="120">
        <v>300</v>
      </c>
      <c r="F3451" s="133" t="s">
        <v>292</v>
      </c>
      <c r="G3451" s="404" t="s">
        <v>7486</v>
      </c>
      <c r="H3451" s="411">
        <v>250</v>
      </c>
      <c r="I3451" s="411">
        <v>0</v>
      </c>
      <c r="J3451" s="391">
        <f>-((H3451*0.022)+0.3)</f>
        <v>-5.8</v>
      </c>
      <c r="K3451" s="90">
        <f t="shared" si="649"/>
        <v>244.2</v>
      </c>
      <c r="L3451" s="131">
        <v>506.78</v>
      </c>
      <c r="M3451" s="187">
        <v>31.38</v>
      </c>
      <c r="N3451" s="91">
        <f t="shared" si="661"/>
        <v>183.41399999999999</v>
      </c>
      <c r="O3451" s="411">
        <f t="shared" si="653"/>
        <v>60.786000000000001</v>
      </c>
      <c r="P3451" s="132" t="s">
        <v>52</v>
      </c>
      <c r="Q3451" s="232"/>
      <c r="R3451" s="411"/>
      <c r="T3451" s="134" t="s">
        <v>145</v>
      </c>
      <c r="U3451" s="267" t="s">
        <v>7809</v>
      </c>
      <c r="W3451" s="153" t="s">
        <v>7810</v>
      </c>
      <c r="AA3451" s="218"/>
    </row>
    <row r="3452" spans="1:27" x14ac:dyDescent="0.25">
      <c r="A3452" s="419">
        <v>3002670</v>
      </c>
      <c r="B3452" s="421">
        <v>42535</v>
      </c>
      <c r="C3452" s="419" t="s">
        <v>56</v>
      </c>
      <c r="D3452" s="417" t="s">
        <v>7811</v>
      </c>
      <c r="E3452" s="120">
        <v>2000</v>
      </c>
      <c r="F3452" s="133" t="s">
        <v>7812</v>
      </c>
      <c r="G3452" s="434" t="s">
        <v>7486</v>
      </c>
      <c r="H3452" s="427">
        <v>1703.75</v>
      </c>
      <c r="I3452" s="427">
        <v>0</v>
      </c>
      <c r="J3452" s="427">
        <v>0</v>
      </c>
      <c r="K3452" s="425">
        <f t="shared" si="649"/>
        <v>1703.75</v>
      </c>
      <c r="L3452" s="187">
        <v>102.25</v>
      </c>
      <c r="N3452" s="91">
        <f t="shared" si="661"/>
        <v>204.5</v>
      </c>
      <c r="O3452" s="411">
        <f t="shared" si="653"/>
        <v>1499.25</v>
      </c>
      <c r="P3452" s="132" t="s">
        <v>76</v>
      </c>
      <c r="Q3452" s="232"/>
      <c r="R3452" s="411"/>
      <c r="T3452" s="470" t="s">
        <v>7813</v>
      </c>
      <c r="U3452" s="444" t="s">
        <v>6931</v>
      </c>
      <c r="V3452" s="133" t="s">
        <v>5426</v>
      </c>
      <c r="AA3452" s="218"/>
    </row>
    <row r="3453" spans="1:27" x14ac:dyDescent="0.25">
      <c r="A3453" s="432"/>
      <c r="B3453" s="433"/>
      <c r="C3453" s="432"/>
      <c r="D3453" s="454"/>
      <c r="E3453" s="120">
        <v>2000</v>
      </c>
      <c r="F3453" s="133" t="s">
        <v>7814</v>
      </c>
      <c r="G3453" s="435"/>
      <c r="H3453" s="438"/>
      <c r="I3453" s="438"/>
      <c r="J3453" s="438"/>
      <c r="K3453" s="437"/>
      <c r="L3453" s="187">
        <v>102.25</v>
      </c>
      <c r="N3453" s="91">
        <f t="shared" si="661"/>
        <v>204.5</v>
      </c>
      <c r="O3453" s="411">
        <f t="shared" si="653"/>
        <v>-204.5</v>
      </c>
      <c r="P3453" s="132" t="s">
        <v>76</v>
      </c>
      <c r="Q3453" s="232"/>
      <c r="R3453" s="411"/>
      <c r="T3453" s="471"/>
      <c r="U3453" s="539"/>
      <c r="AA3453" s="218"/>
    </row>
    <row r="3454" spans="1:27" x14ac:dyDescent="0.25">
      <c r="A3454" s="432"/>
      <c r="B3454" s="433"/>
      <c r="C3454" s="432"/>
      <c r="D3454" s="454"/>
      <c r="E3454" s="120">
        <v>2000</v>
      </c>
      <c r="F3454" s="133" t="s">
        <v>7815</v>
      </c>
      <c r="G3454" s="435"/>
      <c r="H3454" s="438"/>
      <c r="I3454" s="438"/>
      <c r="J3454" s="438"/>
      <c r="K3454" s="437"/>
      <c r="L3454" s="187">
        <v>102.25</v>
      </c>
      <c r="N3454" s="91">
        <f t="shared" si="661"/>
        <v>204.5</v>
      </c>
      <c r="O3454" s="411">
        <f t="shared" si="653"/>
        <v>-204.5</v>
      </c>
      <c r="P3454" s="132" t="s">
        <v>76</v>
      </c>
      <c r="Q3454" s="232"/>
      <c r="R3454" s="411"/>
      <c r="T3454" s="471"/>
      <c r="U3454" s="539"/>
      <c r="AA3454" s="218"/>
    </row>
    <row r="3455" spans="1:27" x14ac:dyDescent="0.25">
      <c r="A3455" s="432"/>
      <c r="B3455" s="433"/>
      <c r="C3455" s="432"/>
      <c r="D3455" s="454"/>
      <c r="E3455" s="120">
        <v>2000</v>
      </c>
      <c r="F3455" s="133" t="s">
        <v>7816</v>
      </c>
      <c r="G3455" s="435"/>
      <c r="H3455" s="438"/>
      <c r="I3455" s="438"/>
      <c r="J3455" s="438"/>
      <c r="K3455" s="437"/>
      <c r="L3455" s="187">
        <v>102.25</v>
      </c>
      <c r="N3455" s="91">
        <f t="shared" si="661"/>
        <v>204.5</v>
      </c>
      <c r="O3455" s="411">
        <f t="shared" si="653"/>
        <v>-204.5</v>
      </c>
      <c r="P3455" s="132" t="s">
        <v>76</v>
      </c>
      <c r="Q3455" s="232"/>
      <c r="R3455" s="411"/>
      <c r="T3455" s="471"/>
      <c r="U3455" s="539"/>
      <c r="AA3455" s="218"/>
    </row>
    <row r="3456" spans="1:27" x14ac:dyDescent="0.25">
      <c r="A3456" s="432"/>
      <c r="B3456" s="433"/>
      <c r="C3456" s="432"/>
      <c r="D3456" s="454"/>
      <c r="E3456" s="120">
        <v>2000</v>
      </c>
      <c r="F3456" s="133" t="s">
        <v>7817</v>
      </c>
      <c r="G3456" s="435"/>
      <c r="H3456" s="438"/>
      <c r="I3456" s="438"/>
      <c r="J3456" s="438"/>
      <c r="K3456" s="437"/>
      <c r="L3456" s="187">
        <v>43.58</v>
      </c>
      <c r="N3456" s="91">
        <f t="shared" si="661"/>
        <v>87.16</v>
      </c>
      <c r="O3456" s="411">
        <f t="shared" si="653"/>
        <v>-87.16</v>
      </c>
      <c r="P3456" s="132" t="s">
        <v>76</v>
      </c>
      <c r="Q3456" s="232"/>
      <c r="R3456" s="411"/>
      <c r="T3456" s="471"/>
      <c r="U3456" s="539"/>
      <c r="AA3456" s="218"/>
    </row>
    <row r="3457" spans="1:27" x14ac:dyDescent="0.25">
      <c r="A3457" s="432"/>
      <c r="B3457" s="433"/>
      <c r="C3457" s="432"/>
      <c r="D3457" s="454"/>
      <c r="E3457" s="120">
        <v>2000</v>
      </c>
      <c r="F3457" s="133" t="s">
        <v>7818</v>
      </c>
      <c r="G3457" s="435"/>
      <c r="H3457" s="438"/>
      <c r="I3457" s="438"/>
      <c r="J3457" s="438"/>
      <c r="K3457" s="437"/>
      <c r="L3457" s="187">
        <v>66.86</v>
      </c>
      <c r="N3457" s="91">
        <f t="shared" si="661"/>
        <v>133.72</v>
      </c>
      <c r="O3457" s="411">
        <f t="shared" si="653"/>
        <v>-133.72</v>
      </c>
      <c r="P3457" s="132" t="s">
        <v>76</v>
      </c>
      <c r="Q3457" s="232"/>
      <c r="R3457" s="411"/>
      <c r="T3457" s="471"/>
      <c r="U3457" s="539"/>
      <c r="AA3457" s="218"/>
    </row>
    <row r="3458" spans="1:27" x14ac:dyDescent="0.25">
      <c r="A3458" s="432"/>
      <c r="B3458" s="433"/>
      <c r="C3458" s="432"/>
      <c r="D3458" s="454"/>
      <c r="E3458" s="120">
        <v>2000</v>
      </c>
      <c r="F3458" s="133" t="s">
        <v>7819</v>
      </c>
      <c r="G3458" s="435"/>
      <c r="H3458" s="438"/>
      <c r="I3458" s="438"/>
      <c r="J3458" s="438"/>
      <c r="K3458" s="437"/>
      <c r="L3458" s="187">
        <v>91.18</v>
      </c>
      <c r="N3458" s="91">
        <f t="shared" si="661"/>
        <v>182.36</v>
      </c>
      <c r="O3458" s="411">
        <f t="shared" si="653"/>
        <v>-182.36</v>
      </c>
      <c r="P3458" s="132" t="s">
        <v>76</v>
      </c>
      <c r="Q3458" s="232"/>
      <c r="R3458" s="411"/>
      <c r="T3458" s="472"/>
      <c r="U3458" s="445"/>
      <c r="AA3458" s="218"/>
    </row>
    <row r="3459" spans="1:27" ht="24" customHeight="1" x14ac:dyDescent="0.25">
      <c r="A3459" s="432"/>
      <c r="B3459" s="433"/>
      <c r="C3459" s="432"/>
      <c r="D3459" s="454"/>
      <c r="E3459" s="120">
        <v>250</v>
      </c>
      <c r="F3459" s="133" t="s">
        <v>1707</v>
      </c>
      <c r="G3459" s="435"/>
      <c r="H3459" s="438"/>
      <c r="I3459" s="438"/>
      <c r="J3459" s="438"/>
      <c r="K3459" s="437"/>
      <c r="L3459" s="131">
        <v>400</v>
      </c>
      <c r="M3459" s="187">
        <v>95</v>
      </c>
      <c r="N3459" s="91">
        <f t="shared" si="661"/>
        <v>195</v>
      </c>
      <c r="O3459" s="411">
        <f t="shared" si="653"/>
        <v>-195</v>
      </c>
      <c r="P3459" s="132" t="s">
        <v>52</v>
      </c>
      <c r="Q3459" s="232"/>
      <c r="R3459" s="411"/>
      <c r="T3459" s="439" t="s">
        <v>3793</v>
      </c>
      <c r="U3459" s="505" t="s">
        <v>7820</v>
      </c>
      <c r="V3459" s="133" t="s">
        <v>7821</v>
      </c>
      <c r="AA3459" s="218"/>
    </row>
    <row r="3460" spans="1:27" x14ac:dyDescent="0.25">
      <c r="A3460" s="432"/>
      <c r="B3460" s="433"/>
      <c r="C3460" s="432"/>
      <c r="D3460" s="454"/>
      <c r="E3460" s="120">
        <v>250</v>
      </c>
      <c r="F3460" s="133" t="s">
        <v>609</v>
      </c>
      <c r="G3460" s="435"/>
      <c r="H3460" s="438"/>
      <c r="I3460" s="438"/>
      <c r="J3460" s="438"/>
      <c r="K3460" s="437"/>
      <c r="N3460" s="91">
        <f t="shared" si="661"/>
        <v>0</v>
      </c>
      <c r="O3460" s="411">
        <f t="shared" si="653"/>
        <v>0</v>
      </c>
      <c r="P3460" s="132" t="s">
        <v>52</v>
      </c>
      <c r="Q3460" s="232"/>
      <c r="R3460" s="411"/>
      <c r="T3460" s="440"/>
      <c r="U3460" s="506"/>
      <c r="V3460" s="133" t="s">
        <v>7821</v>
      </c>
      <c r="AA3460" s="218"/>
    </row>
    <row r="3461" spans="1:27" x14ac:dyDescent="0.25">
      <c r="A3461" s="420"/>
      <c r="B3461" s="422"/>
      <c r="C3461" s="420"/>
      <c r="D3461" s="418"/>
      <c r="E3461" s="120">
        <v>125</v>
      </c>
      <c r="F3461" s="133" t="s">
        <v>593</v>
      </c>
      <c r="G3461" s="436"/>
      <c r="H3461" s="428"/>
      <c r="I3461" s="428"/>
      <c r="J3461" s="428"/>
      <c r="K3461" s="426"/>
      <c r="L3461" s="131">
        <v>620</v>
      </c>
      <c r="N3461" s="91">
        <f t="shared" si="661"/>
        <v>77.5</v>
      </c>
      <c r="O3461" s="411">
        <f t="shared" si="653"/>
        <v>-77.5</v>
      </c>
      <c r="P3461" s="132" t="s">
        <v>52</v>
      </c>
      <c r="Q3461" s="232"/>
      <c r="R3461" s="411"/>
      <c r="T3461" s="441"/>
      <c r="U3461" s="490"/>
      <c r="V3461" s="133" t="s">
        <v>7821</v>
      </c>
      <c r="AA3461" s="218"/>
    </row>
    <row r="3462" spans="1:27" ht="24" x14ac:dyDescent="0.25">
      <c r="A3462" s="405">
        <v>3002671</v>
      </c>
      <c r="B3462" s="406">
        <v>42535</v>
      </c>
      <c r="C3462" s="405" t="s">
        <v>5682</v>
      </c>
      <c r="D3462" s="401" t="s">
        <v>7822</v>
      </c>
      <c r="E3462" s="120">
        <v>150</v>
      </c>
      <c r="F3462" s="133" t="s">
        <v>247</v>
      </c>
      <c r="G3462" s="404" t="s">
        <v>7486</v>
      </c>
      <c r="H3462" s="411">
        <v>188.15</v>
      </c>
      <c r="I3462" s="89">
        <f t="shared" ref="I3462:I3464" si="663">-(H3462*0.09)</f>
        <v>-16.933499999999999</v>
      </c>
      <c r="J3462" s="391">
        <f t="shared" ref="J3462:J3464" si="664">-((H3462*0.019)+0.3)</f>
        <v>-3.8748499999999999</v>
      </c>
      <c r="K3462" s="90">
        <f t="shared" ref="K3462:K3465" si="665">SUM(H3462:J3462)</f>
        <v>167.34164999999999</v>
      </c>
      <c r="L3462" s="131">
        <v>590</v>
      </c>
      <c r="M3462" s="187">
        <v>38.090000000000003</v>
      </c>
      <c r="N3462" s="91">
        <f t="shared" si="661"/>
        <v>126.59</v>
      </c>
      <c r="O3462" s="411">
        <f t="shared" si="653"/>
        <v>40.751649999999984</v>
      </c>
      <c r="P3462" s="132" t="s">
        <v>52</v>
      </c>
      <c r="Q3462" s="232"/>
      <c r="R3462" s="411"/>
      <c r="T3462" s="134" t="s">
        <v>145</v>
      </c>
      <c r="U3462" s="267" t="s">
        <v>7823</v>
      </c>
      <c r="AA3462" s="218"/>
    </row>
    <row r="3463" spans="1:27" x14ac:dyDescent="0.25">
      <c r="A3463" s="405">
        <v>3002672</v>
      </c>
      <c r="B3463" s="406">
        <v>42535</v>
      </c>
      <c r="C3463" s="405" t="s">
        <v>5682</v>
      </c>
      <c r="D3463" s="401" t="s">
        <v>7824</v>
      </c>
      <c r="E3463" s="120">
        <v>165</v>
      </c>
      <c r="F3463" s="133" t="s">
        <v>70</v>
      </c>
      <c r="G3463" s="404" t="s">
        <v>7486</v>
      </c>
      <c r="H3463" s="411">
        <v>480.6</v>
      </c>
      <c r="I3463" s="89">
        <f t="shared" si="663"/>
        <v>-43.253999999999998</v>
      </c>
      <c r="J3463" s="391">
        <f t="shared" si="664"/>
        <v>-9.4314000000000018</v>
      </c>
      <c r="K3463" s="90">
        <f t="shared" si="665"/>
        <v>427.91460000000001</v>
      </c>
      <c r="L3463" s="131">
        <v>1000</v>
      </c>
      <c r="M3463" s="187">
        <v>111.69</v>
      </c>
      <c r="N3463" s="91">
        <f t="shared" si="661"/>
        <v>276.69</v>
      </c>
      <c r="O3463" s="411">
        <f t="shared" si="653"/>
        <v>151.22460000000001</v>
      </c>
      <c r="P3463" s="132" t="s">
        <v>52</v>
      </c>
      <c r="Q3463" s="232"/>
      <c r="R3463" s="411"/>
      <c r="T3463" s="134" t="s">
        <v>244</v>
      </c>
      <c r="U3463" s="267" t="s">
        <v>7825</v>
      </c>
      <c r="V3463" s="133" t="s">
        <v>55</v>
      </c>
      <c r="AA3463" s="218"/>
    </row>
    <row r="3464" spans="1:27" ht="24" x14ac:dyDescent="0.25">
      <c r="A3464" s="405">
        <v>3002673</v>
      </c>
      <c r="B3464" s="406">
        <v>42535</v>
      </c>
      <c r="C3464" s="405" t="s">
        <v>5682</v>
      </c>
      <c r="D3464" s="401" t="s">
        <v>7826</v>
      </c>
      <c r="E3464" s="120">
        <v>300</v>
      </c>
      <c r="F3464" s="133" t="s">
        <v>4851</v>
      </c>
      <c r="G3464" s="404" t="s">
        <v>7486</v>
      </c>
      <c r="H3464" s="411">
        <v>333.45</v>
      </c>
      <c r="I3464" s="89">
        <f t="shared" si="663"/>
        <v>-30.010499999999997</v>
      </c>
      <c r="J3464" s="391">
        <f t="shared" si="664"/>
        <v>-6.6355499999999994</v>
      </c>
      <c r="K3464" s="90">
        <f t="shared" si="665"/>
        <v>296.80394999999999</v>
      </c>
      <c r="M3464" s="187">
        <v>63.21</v>
      </c>
      <c r="N3464" s="91">
        <f t="shared" si="661"/>
        <v>63.21</v>
      </c>
      <c r="O3464" s="411">
        <f t="shared" si="653"/>
        <v>233.59394999999998</v>
      </c>
      <c r="P3464" s="132" t="s">
        <v>52</v>
      </c>
      <c r="Q3464" s="232"/>
      <c r="R3464" s="411">
        <v>24.7</v>
      </c>
      <c r="S3464" s="133" t="s">
        <v>4753</v>
      </c>
      <c r="T3464" s="134" t="s">
        <v>145</v>
      </c>
      <c r="U3464" s="267" t="s">
        <v>7827</v>
      </c>
      <c r="AA3464" s="218"/>
    </row>
    <row r="3465" spans="1:27" ht="24" customHeight="1" x14ac:dyDescent="0.25">
      <c r="A3465" s="419">
        <v>3002674</v>
      </c>
      <c r="B3465" s="421">
        <v>42535</v>
      </c>
      <c r="C3465" s="419" t="s">
        <v>56</v>
      </c>
      <c r="D3465" s="417" t="s">
        <v>7828</v>
      </c>
      <c r="E3465" s="120">
        <v>2000</v>
      </c>
      <c r="F3465" s="133" t="s">
        <v>7829</v>
      </c>
      <c r="G3465" s="434" t="s">
        <v>7486</v>
      </c>
      <c r="H3465" s="427">
        <v>3380</v>
      </c>
      <c r="I3465" s="427">
        <v>0</v>
      </c>
      <c r="J3465" s="427">
        <v>0</v>
      </c>
      <c r="K3465" s="425">
        <f t="shared" si="665"/>
        <v>3380</v>
      </c>
      <c r="L3465" s="131">
        <v>445</v>
      </c>
      <c r="M3465" s="468">
        <v>100</v>
      </c>
      <c r="N3465" s="91">
        <f t="shared" si="661"/>
        <v>990</v>
      </c>
      <c r="O3465" s="411">
        <f t="shared" si="653"/>
        <v>2390</v>
      </c>
      <c r="P3465" s="132" t="s">
        <v>52</v>
      </c>
      <c r="Q3465" s="232"/>
      <c r="R3465" s="411"/>
      <c r="T3465" s="439" t="s">
        <v>7830</v>
      </c>
      <c r="U3465" s="266"/>
      <c r="V3465" s="133" t="s">
        <v>6472</v>
      </c>
      <c r="AA3465" s="218"/>
    </row>
    <row r="3466" spans="1:27" x14ac:dyDescent="0.25">
      <c r="A3466" s="432"/>
      <c r="B3466" s="433"/>
      <c r="C3466" s="432"/>
      <c r="D3466" s="454"/>
      <c r="E3466" s="120">
        <v>2000</v>
      </c>
      <c r="F3466" s="133" t="s">
        <v>113</v>
      </c>
      <c r="G3466" s="435"/>
      <c r="H3466" s="438"/>
      <c r="I3466" s="438"/>
      <c r="J3466" s="438"/>
      <c r="K3466" s="437"/>
      <c r="L3466" s="131">
        <v>616</v>
      </c>
      <c r="M3466" s="491"/>
      <c r="N3466" s="91">
        <f t="shared" si="661"/>
        <v>1232</v>
      </c>
      <c r="O3466" s="411">
        <f t="shared" si="653"/>
        <v>-1232</v>
      </c>
      <c r="P3466" s="132" t="s">
        <v>52</v>
      </c>
      <c r="Q3466" s="232"/>
      <c r="R3466" s="411"/>
      <c r="T3466" s="440"/>
      <c r="U3466" s="266"/>
      <c r="AA3466" s="218"/>
    </row>
    <row r="3467" spans="1:27" x14ac:dyDescent="0.25">
      <c r="A3467" s="420"/>
      <c r="B3467" s="422"/>
      <c r="C3467" s="420"/>
      <c r="D3467" s="418"/>
      <c r="E3467" s="120">
        <v>500</v>
      </c>
      <c r="F3467" s="133" t="s">
        <v>288</v>
      </c>
      <c r="G3467" s="436"/>
      <c r="H3467" s="428"/>
      <c r="I3467" s="428"/>
      <c r="J3467" s="428"/>
      <c r="K3467" s="426"/>
      <c r="L3467" s="131">
        <v>533.33000000000004</v>
      </c>
      <c r="M3467" s="469"/>
      <c r="N3467" s="91">
        <f t="shared" si="661"/>
        <v>266.66500000000002</v>
      </c>
      <c r="O3467" s="411">
        <f t="shared" si="653"/>
        <v>-266.66500000000002</v>
      </c>
      <c r="P3467" s="132" t="s">
        <v>52</v>
      </c>
      <c r="Q3467" s="232"/>
      <c r="R3467" s="411"/>
      <c r="T3467" s="441"/>
      <c r="U3467" s="266"/>
      <c r="AA3467" s="218"/>
    </row>
    <row r="3468" spans="1:27" ht="24" x14ac:dyDescent="0.25">
      <c r="A3468" s="405">
        <v>3002675</v>
      </c>
      <c r="B3468" s="406">
        <v>42535</v>
      </c>
      <c r="C3468" s="405" t="s">
        <v>237</v>
      </c>
      <c r="D3468" s="401" t="s">
        <v>7831</v>
      </c>
      <c r="E3468" s="120">
        <v>100</v>
      </c>
      <c r="F3468" s="133" t="s">
        <v>590</v>
      </c>
      <c r="G3468" s="404" t="s">
        <v>7486</v>
      </c>
      <c r="H3468" s="411">
        <v>113.64</v>
      </c>
      <c r="I3468" s="397">
        <f t="shared" ref="I3468:I3471" si="666">-(H3468*0.15)</f>
        <v>-17.045999999999999</v>
      </c>
      <c r="J3468" s="411">
        <v>0</v>
      </c>
      <c r="K3468" s="90">
        <f t="shared" ref="K3468:K3474" si="667">SUM(H3468:J3468)</f>
        <v>96.593999999999994</v>
      </c>
      <c r="L3468" s="131">
        <v>577</v>
      </c>
      <c r="M3468" s="187">
        <v>19.64</v>
      </c>
      <c r="N3468" s="91">
        <f t="shared" si="661"/>
        <v>77.34</v>
      </c>
      <c r="O3468" s="411">
        <f t="shared" si="653"/>
        <v>19.253999999999991</v>
      </c>
      <c r="P3468" s="132" t="s">
        <v>52</v>
      </c>
      <c r="Q3468" s="232"/>
      <c r="R3468" s="411"/>
      <c r="T3468" s="134" t="s">
        <v>145</v>
      </c>
      <c r="U3468" s="267" t="s">
        <v>7832</v>
      </c>
      <c r="AA3468" s="218"/>
    </row>
    <row r="3469" spans="1:27" ht="24" x14ac:dyDescent="0.25">
      <c r="A3469" s="405">
        <v>3002676</v>
      </c>
      <c r="B3469" s="406">
        <v>42535</v>
      </c>
      <c r="C3469" s="405" t="s">
        <v>237</v>
      </c>
      <c r="D3469" s="401" t="s">
        <v>7833</v>
      </c>
      <c r="E3469" s="120">
        <v>50</v>
      </c>
      <c r="F3469" s="133" t="s">
        <v>784</v>
      </c>
      <c r="G3469" s="404" t="s">
        <v>7486</v>
      </c>
      <c r="H3469" s="411">
        <v>464.7</v>
      </c>
      <c r="I3469" s="397">
        <f t="shared" si="666"/>
        <v>-69.704999999999998</v>
      </c>
      <c r="J3469" s="411">
        <v>0</v>
      </c>
      <c r="K3469" s="90">
        <f t="shared" si="667"/>
        <v>394.995</v>
      </c>
      <c r="L3469" s="131">
        <v>4250</v>
      </c>
      <c r="M3469" s="187">
        <v>51.95</v>
      </c>
      <c r="N3469" s="91">
        <f t="shared" si="661"/>
        <v>264.45</v>
      </c>
      <c r="O3469" s="411">
        <f t="shared" ref="O3469:O3532" si="668">K3469-N3469</f>
        <v>130.54500000000002</v>
      </c>
      <c r="P3469" s="132" t="s">
        <v>52</v>
      </c>
      <c r="Q3469" s="232"/>
      <c r="R3469" s="411"/>
      <c r="T3469" s="134" t="s">
        <v>145</v>
      </c>
      <c r="U3469" s="267" t="s">
        <v>7834</v>
      </c>
      <c r="AA3469" s="218"/>
    </row>
    <row r="3470" spans="1:27" ht="24" x14ac:dyDescent="0.25">
      <c r="A3470" s="405">
        <v>3002677</v>
      </c>
      <c r="B3470" s="406">
        <v>42535</v>
      </c>
      <c r="C3470" s="405" t="s">
        <v>237</v>
      </c>
      <c r="D3470" s="401" t="s">
        <v>7835</v>
      </c>
      <c r="E3470" s="120">
        <v>1000</v>
      </c>
      <c r="F3470" s="133" t="s">
        <v>7836</v>
      </c>
      <c r="G3470" s="404" t="s">
        <v>7486</v>
      </c>
      <c r="H3470" s="411">
        <v>198.35</v>
      </c>
      <c r="I3470" s="397">
        <f t="shared" si="666"/>
        <v>-29.752499999999998</v>
      </c>
      <c r="J3470" s="411">
        <v>0</v>
      </c>
      <c r="K3470" s="90">
        <f t="shared" si="667"/>
        <v>168.5975</v>
      </c>
      <c r="L3470" s="131">
        <v>210</v>
      </c>
      <c r="M3470" s="187">
        <v>59.84</v>
      </c>
      <c r="N3470" s="91">
        <f t="shared" si="661"/>
        <v>269.84000000000003</v>
      </c>
      <c r="O3470" s="411">
        <f t="shared" si="668"/>
        <v>-101.24250000000004</v>
      </c>
      <c r="P3470" s="132" t="s">
        <v>52</v>
      </c>
      <c r="Q3470" s="232"/>
      <c r="R3470" s="411"/>
      <c r="T3470" s="134" t="s">
        <v>145</v>
      </c>
      <c r="U3470" s="266" t="s">
        <v>7837</v>
      </c>
      <c r="AA3470" s="218"/>
    </row>
    <row r="3471" spans="1:27" ht="24" x14ac:dyDescent="0.25">
      <c r="A3471" s="405">
        <v>3002678</v>
      </c>
      <c r="B3471" s="406">
        <v>42535</v>
      </c>
      <c r="C3471" s="405" t="s">
        <v>237</v>
      </c>
      <c r="D3471" s="401" t="s">
        <v>7838</v>
      </c>
      <c r="E3471" s="120">
        <v>100</v>
      </c>
      <c r="F3471" s="133" t="s">
        <v>3299</v>
      </c>
      <c r="G3471" s="404" t="s">
        <v>7486</v>
      </c>
      <c r="H3471" s="411">
        <v>107</v>
      </c>
      <c r="I3471" s="397">
        <f t="shared" si="666"/>
        <v>-16.05</v>
      </c>
      <c r="J3471" s="411">
        <v>0</v>
      </c>
      <c r="K3471" s="90">
        <f t="shared" si="667"/>
        <v>90.95</v>
      </c>
      <c r="L3471" s="187">
        <v>750</v>
      </c>
      <c r="M3471" s="187">
        <v>22.84</v>
      </c>
      <c r="N3471" s="91">
        <f t="shared" si="661"/>
        <v>97.84</v>
      </c>
      <c r="O3471" s="411">
        <f t="shared" si="668"/>
        <v>-6.8900000000000006</v>
      </c>
      <c r="P3471" s="132" t="s">
        <v>601</v>
      </c>
      <c r="Q3471" s="232"/>
      <c r="R3471" s="411"/>
      <c r="T3471" s="134" t="s">
        <v>145</v>
      </c>
      <c r="U3471" s="267" t="s">
        <v>7839</v>
      </c>
      <c r="AA3471" s="218"/>
    </row>
    <row r="3472" spans="1:27" ht="24" x14ac:dyDescent="0.25">
      <c r="A3472" s="405">
        <v>3002679</v>
      </c>
      <c r="B3472" s="406">
        <v>42535</v>
      </c>
      <c r="C3472" s="405" t="s">
        <v>5682</v>
      </c>
      <c r="D3472" s="401" t="s">
        <v>7840</v>
      </c>
      <c r="E3472" s="120">
        <v>500</v>
      </c>
      <c r="F3472" s="133" t="s">
        <v>451</v>
      </c>
      <c r="G3472" s="404" t="s">
        <v>7486</v>
      </c>
      <c r="H3472" s="411">
        <v>305.10000000000002</v>
      </c>
      <c r="I3472" s="89">
        <f t="shared" ref="I3472:I3473" si="669">-(H3472*0.09)</f>
        <v>-27.459</v>
      </c>
      <c r="J3472" s="391">
        <f t="shared" ref="J3472:J3473" si="670">-((H3472*0.019)+0.3)</f>
        <v>-6.0968999999999998</v>
      </c>
      <c r="K3472" s="90">
        <f t="shared" si="667"/>
        <v>271.54410000000001</v>
      </c>
      <c r="L3472" s="131">
        <v>300</v>
      </c>
      <c r="M3472" s="187">
        <v>41.47</v>
      </c>
      <c r="N3472" s="91">
        <f t="shared" si="661"/>
        <v>191.47</v>
      </c>
      <c r="O3472" s="411">
        <f t="shared" si="668"/>
        <v>80.074100000000016</v>
      </c>
      <c r="P3472" s="132" t="s">
        <v>52</v>
      </c>
      <c r="Q3472" s="232"/>
      <c r="R3472" s="411"/>
      <c r="T3472" s="134" t="s">
        <v>145</v>
      </c>
      <c r="U3472" s="267" t="s">
        <v>7841</v>
      </c>
      <c r="AA3472" s="218"/>
    </row>
    <row r="3473" spans="1:27" ht="24" x14ac:dyDescent="0.25">
      <c r="A3473" s="405">
        <v>3002680</v>
      </c>
      <c r="B3473" s="406">
        <v>42535</v>
      </c>
      <c r="C3473" s="405" t="s">
        <v>5682</v>
      </c>
      <c r="D3473" s="401" t="s">
        <v>7204</v>
      </c>
      <c r="E3473" s="120">
        <v>250</v>
      </c>
      <c r="F3473" s="133" t="s">
        <v>438</v>
      </c>
      <c r="G3473" s="404" t="s">
        <v>7486</v>
      </c>
      <c r="H3473" s="411">
        <v>145.91</v>
      </c>
      <c r="I3473" s="89">
        <f t="shared" si="669"/>
        <v>-13.1319</v>
      </c>
      <c r="J3473" s="391">
        <f t="shared" si="670"/>
        <v>-3.0722899999999997</v>
      </c>
      <c r="K3473" s="90">
        <f t="shared" si="667"/>
        <v>129.70580999999999</v>
      </c>
      <c r="L3473" s="187">
        <v>190</v>
      </c>
      <c r="M3473" s="187">
        <v>41.46</v>
      </c>
      <c r="N3473" s="91">
        <f t="shared" si="661"/>
        <v>88.960000000000008</v>
      </c>
      <c r="O3473" s="411">
        <f t="shared" si="668"/>
        <v>40.745809999999977</v>
      </c>
      <c r="P3473" s="132" t="s">
        <v>3597</v>
      </c>
      <c r="Q3473" s="232"/>
      <c r="R3473" s="411"/>
      <c r="T3473" s="134" t="s">
        <v>145</v>
      </c>
      <c r="U3473" s="267" t="s">
        <v>7842</v>
      </c>
      <c r="AA3473" s="218"/>
    </row>
    <row r="3474" spans="1:27" x14ac:dyDescent="0.25">
      <c r="A3474" s="419">
        <v>3002681</v>
      </c>
      <c r="B3474" s="421">
        <v>42535</v>
      </c>
      <c r="C3474" s="419" t="s">
        <v>141</v>
      </c>
      <c r="D3474" s="417" t="s">
        <v>7843</v>
      </c>
      <c r="E3474" s="120">
        <v>500</v>
      </c>
      <c r="F3474" s="133" t="s">
        <v>222</v>
      </c>
      <c r="G3474" s="434" t="s">
        <v>7486</v>
      </c>
      <c r="H3474" s="427">
        <v>1371.25</v>
      </c>
      <c r="I3474" s="427">
        <v>0</v>
      </c>
      <c r="J3474" s="498">
        <f>-((H3474*0.0325)+0.3)</f>
        <v>-44.865625000000001</v>
      </c>
      <c r="K3474" s="425">
        <f t="shared" si="667"/>
        <v>1326.3843750000001</v>
      </c>
      <c r="L3474" s="131">
        <v>800</v>
      </c>
      <c r="M3474" s="201">
        <v>177.08</v>
      </c>
      <c r="N3474" s="91">
        <f t="shared" si="661"/>
        <v>577.08000000000004</v>
      </c>
      <c r="O3474" s="411">
        <f t="shared" si="668"/>
        <v>749.30437500000005</v>
      </c>
      <c r="P3474" s="132" t="s">
        <v>52</v>
      </c>
      <c r="Q3474" s="232"/>
      <c r="R3474" s="411"/>
      <c r="T3474" s="134" t="s">
        <v>1743</v>
      </c>
      <c r="U3474" s="267" t="s">
        <v>7844</v>
      </c>
      <c r="W3474" s="153" t="s">
        <v>7845</v>
      </c>
      <c r="AA3474" s="473">
        <v>10</v>
      </c>
    </row>
    <row r="3475" spans="1:27" ht="24" x14ac:dyDescent="0.25">
      <c r="A3475" s="432"/>
      <c r="B3475" s="433"/>
      <c r="C3475" s="432"/>
      <c r="D3475" s="454"/>
      <c r="E3475" s="120">
        <v>500</v>
      </c>
      <c r="F3475" s="133" t="s">
        <v>7846</v>
      </c>
      <c r="G3475" s="435"/>
      <c r="H3475" s="438"/>
      <c r="I3475" s="438"/>
      <c r="J3475" s="525"/>
      <c r="K3475" s="437"/>
      <c r="L3475" s="187">
        <v>342</v>
      </c>
      <c r="M3475" s="244">
        <v>59.66</v>
      </c>
      <c r="N3475" s="91">
        <f t="shared" si="661"/>
        <v>230.66</v>
      </c>
      <c r="O3475" s="411">
        <f t="shared" si="668"/>
        <v>-230.66</v>
      </c>
      <c r="P3475" s="132" t="s">
        <v>183</v>
      </c>
      <c r="Q3475" s="232"/>
      <c r="R3475" s="411"/>
      <c r="T3475" s="134" t="s">
        <v>145</v>
      </c>
      <c r="U3475" s="267" t="s">
        <v>7847</v>
      </c>
      <c r="V3475" s="133" t="s">
        <v>7848</v>
      </c>
      <c r="AA3475" s="478"/>
    </row>
    <row r="3476" spans="1:27" x14ac:dyDescent="0.25">
      <c r="A3476" s="420"/>
      <c r="B3476" s="422"/>
      <c r="C3476" s="420"/>
      <c r="D3476" s="418"/>
      <c r="E3476" s="120">
        <v>225</v>
      </c>
      <c r="F3476" s="133" t="s">
        <v>51</v>
      </c>
      <c r="G3476" s="436"/>
      <c r="H3476" s="428"/>
      <c r="I3476" s="428"/>
      <c r="J3476" s="499"/>
      <c r="K3476" s="426"/>
      <c r="L3476" s="131">
        <v>1015</v>
      </c>
      <c r="M3476" s="148"/>
      <c r="N3476" s="91">
        <f t="shared" si="661"/>
        <v>228.375</v>
      </c>
      <c r="O3476" s="411">
        <f t="shared" si="668"/>
        <v>-228.375</v>
      </c>
      <c r="P3476" s="132" t="s">
        <v>52</v>
      </c>
      <c r="Q3476" s="232"/>
      <c r="R3476" s="411"/>
      <c r="T3476" s="134" t="s">
        <v>1743</v>
      </c>
      <c r="U3476" s="267" t="s">
        <v>7844</v>
      </c>
      <c r="AA3476" s="474"/>
    </row>
    <row r="3477" spans="1:27" ht="24" x14ac:dyDescent="0.25">
      <c r="A3477" s="405">
        <v>3002682</v>
      </c>
      <c r="B3477" s="406">
        <v>42535</v>
      </c>
      <c r="C3477" s="405" t="s">
        <v>63</v>
      </c>
      <c r="D3477" s="401" t="s">
        <v>7849</v>
      </c>
      <c r="E3477" s="120">
        <v>60</v>
      </c>
      <c r="F3477" s="133" t="s">
        <v>7850</v>
      </c>
      <c r="G3477" s="404" t="s">
        <v>7486</v>
      </c>
      <c r="H3477" s="411">
        <v>330</v>
      </c>
      <c r="I3477" s="411">
        <v>0</v>
      </c>
      <c r="J3477" s="391">
        <f>-((H3477*0.022)+0.3)</f>
        <v>-7.56</v>
      </c>
      <c r="K3477" s="90">
        <f t="shared" ref="K3477:K3478" si="671">SUM(H3477:J3477)</f>
        <v>322.44</v>
      </c>
      <c r="L3477" s="131">
        <v>2325</v>
      </c>
      <c r="M3477" s="187">
        <v>43.64</v>
      </c>
      <c r="N3477" s="91">
        <f t="shared" si="661"/>
        <v>183.14</v>
      </c>
      <c r="O3477" s="411">
        <f t="shared" si="668"/>
        <v>139.30000000000001</v>
      </c>
      <c r="P3477" s="132" t="s">
        <v>52</v>
      </c>
      <c r="Q3477" s="232"/>
      <c r="R3477" s="411"/>
      <c r="T3477" s="134" t="s">
        <v>145</v>
      </c>
      <c r="U3477" s="267" t="s">
        <v>7851</v>
      </c>
      <c r="W3477" s="153" t="s">
        <v>7852</v>
      </c>
      <c r="AA3477" s="218"/>
    </row>
    <row r="3478" spans="1:27" ht="24" x14ac:dyDescent="0.25">
      <c r="A3478" s="419">
        <v>3002683</v>
      </c>
      <c r="B3478" s="421">
        <v>42536</v>
      </c>
      <c r="C3478" s="419" t="s">
        <v>63</v>
      </c>
      <c r="D3478" s="417" t="s">
        <v>7853</v>
      </c>
      <c r="E3478" s="120">
        <v>660</v>
      </c>
      <c r="F3478" s="119" t="s">
        <v>7854</v>
      </c>
      <c r="G3478" s="434" t="s">
        <v>7486</v>
      </c>
      <c r="H3478" s="427">
        <v>3675</v>
      </c>
      <c r="I3478" s="427">
        <v>0</v>
      </c>
      <c r="J3478" s="425">
        <f>-((H3478*0.022)+0.3)</f>
        <v>-81.149999999999991</v>
      </c>
      <c r="K3478" s="425">
        <f t="shared" si="671"/>
        <v>3593.85</v>
      </c>
      <c r="M3478" s="187">
        <v>350</v>
      </c>
      <c r="N3478" s="91">
        <f t="shared" si="661"/>
        <v>350</v>
      </c>
      <c r="O3478" s="411">
        <f t="shared" si="668"/>
        <v>3243.85</v>
      </c>
      <c r="P3478" s="132" t="s">
        <v>52</v>
      </c>
      <c r="Q3478" s="232"/>
      <c r="R3478" s="411"/>
      <c r="T3478" s="470" t="s">
        <v>7855</v>
      </c>
      <c r="U3478" s="505" t="s">
        <v>7855</v>
      </c>
      <c r="AA3478" s="597">
        <v>25</v>
      </c>
    </row>
    <row r="3479" spans="1:27" x14ac:dyDescent="0.25">
      <c r="A3479" s="420"/>
      <c r="B3479" s="422"/>
      <c r="C3479" s="420"/>
      <c r="D3479" s="418"/>
      <c r="E3479" s="120">
        <v>165</v>
      </c>
      <c r="F3479" s="133" t="s">
        <v>7856</v>
      </c>
      <c r="G3479" s="436"/>
      <c r="H3479" s="428"/>
      <c r="I3479" s="428"/>
      <c r="J3479" s="426"/>
      <c r="K3479" s="426"/>
      <c r="N3479" s="91">
        <f t="shared" si="661"/>
        <v>0</v>
      </c>
      <c r="O3479" s="411">
        <f t="shared" si="668"/>
        <v>0</v>
      </c>
      <c r="P3479" s="132" t="s">
        <v>52</v>
      </c>
      <c r="Q3479" s="232"/>
      <c r="R3479" s="411"/>
      <c r="T3479" s="472"/>
      <c r="U3479" s="490"/>
      <c r="AA3479" s="598"/>
    </row>
    <row r="3480" spans="1:27" x14ac:dyDescent="0.25">
      <c r="A3480" s="419">
        <v>3002684</v>
      </c>
      <c r="B3480" s="421">
        <v>42536</v>
      </c>
      <c r="C3480" s="419" t="s">
        <v>56</v>
      </c>
      <c r="D3480" s="417" t="s">
        <v>7857</v>
      </c>
      <c r="E3480" s="120">
        <v>650</v>
      </c>
      <c r="F3480" s="133" t="s">
        <v>7858</v>
      </c>
      <c r="G3480" s="434" t="s">
        <v>45</v>
      </c>
      <c r="H3480" s="427">
        <v>3373.5</v>
      </c>
      <c r="I3480" s="427">
        <v>0</v>
      </c>
      <c r="J3480" s="427">
        <v>0</v>
      </c>
      <c r="K3480" s="425">
        <f t="shared" ref="K3480:K3482" si="672">SUM(H3480:J3480)</f>
        <v>3373.5</v>
      </c>
      <c r="L3480" s="187">
        <v>1433</v>
      </c>
      <c r="M3480" s="544">
        <v>0</v>
      </c>
      <c r="N3480" s="91">
        <f t="shared" si="661"/>
        <v>931.45</v>
      </c>
      <c r="O3480" s="411">
        <f t="shared" si="668"/>
        <v>2442.0500000000002</v>
      </c>
      <c r="P3480" s="132" t="s">
        <v>601</v>
      </c>
      <c r="Q3480" s="232"/>
      <c r="R3480" s="411"/>
      <c r="T3480" s="439" t="s">
        <v>473</v>
      </c>
      <c r="U3480" s="446" t="s">
        <v>7859</v>
      </c>
      <c r="V3480" s="133" t="s">
        <v>4195</v>
      </c>
      <c r="AA3480" s="218"/>
    </row>
    <row r="3481" spans="1:27" x14ac:dyDescent="0.25">
      <c r="A3481" s="420"/>
      <c r="B3481" s="422"/>
      <c r="C3481" s="420"/>
      <c r="D3481" s="418"/>
      <c r="E3481" s="120">
        <v>650</v>
      </c>
      <c r="F3481" s="133" t="s">
        <v>7860</v>
      </c>
      <c r="G3481" s="436"/>
      <c r="H3481" s="428"/>
      <c r="I3481" s="428"/>
      <c r="J3481" s="428"/>
      <c r="K3481" s="426"/>
      <c r="L3481" s="187">
        <v>2222</v>
      </c>
      <c r="M3481" s="546"/>
      <c r="N3481" s="91">
        <f>((L3481)*(E3481*0.001))+M3480</f>
        <v>1444.3</v>
      </c>
      <c r="O3481" s="411">
        <f t="shared" si="668"/>
        <v>-1444.3</v>
      </c>
      <c r="P3481" s="132" t="s">
        <v>601</v>
      </c>
      <c r="Q3481" s="232"/>
      <c r="R3481" s="411"/>
      <c r="T3481" s="441"/>
      <c r="U3481" s="447"/>
      <c r="AA3481" s="218"/>
    </row>
    <row r="3482" spans="1:27" ht="24" x14ac:dyDescent="0.25">
      <c r="A3482" s="419">
        <v>3002685</v>
      </c>
      <c r="B3482" s="421">
        <v>42536</v>
      </c>
      <c r="C3482" s="419" t="s">
        <v>327</v>
      </c>
      <c r="D3482" s="417" t="s">
        <v>7861</v>
      </c>
      <c r="E3482" s="120">
        <v>1500</v>
      </c>
      <c r="F3482" s="133" t="s">
        <v>7862</v>
      </c>
      <c r="G3482" s="434" t="s">
        <v>7486</v>
      </c>
      <c r="H3482" s="427">
        <v>892.5</v>
      </c>
      <c r="I3482" s="427">
        <v>0</v>
      </c>
      <c r="J3482" s="425">
        <f>-((H3482*0.022)+0.3)</f>
        <v>-19.934999999999999</v>
      </c>
      <c r="K3482" s="425">
        <f t="shared" si="672"/>
        <v>872.56500000000005</v>
      </c>
      <c r="M3482" s="187">
        <v>41.84</v>
      </c>
      <c r="N3482" s="91">
        <f>((L3482)*(E3482*0.001))+M3482</f>
        <v>41.84</v>
      </c>
      <c r="O3482" s="411">
        <f t="shared" si="668"/>
        <v>830.72500000000002</v>
      </c>
      <c r="P3482" s="132" t="s">
        <v>52</v>
      </c>
      <c r="Q3482" s="232"/>
      <c r="R3482" s="411"/>
      <c r="T3482" s="134" t="s">
        <v>145</v>
      </c>
      <c r="U3482" s="267" t="s">
        <v>7863</v>
      </c>
      <c r="W3482" s="153" t="s">
        <v>7864</v>
      </c>
      <c r="AA3482" s="218"/>
    </row>
    <row r="3483" spans="1:27" ht="24" x14ac:dyDescent="0.25">
      <c r="A3483" s="432"/>
      <c r="B3483" s="433"/>
      <c r="C3483" s="432"/>
      <c r="D3483" s="454"/>
      <c r="E3483" s="120">
        <v>3000</v>
      </c>
      <c r="F3483" s="133" t="s">
        <v>7865</v>
      </c>
      <c r="G3483" s="435"/>
      <c r="H3483" s="438"/>
      <c r="I3483" s="438"/>
      <c r="J3483" s="437"/>
      <c r="K3483" s="437"/>
      <c r="L3483" s="187">
        <v>126</v>
      </c>
      <c r="M3483" s="187">
        <v>73.64</v>
      </c>
      <c r="N3483" s="91">
        <f t="shared" si="661"/>
        <v>451.64</v>
      </c>
      <c r="O3483" s="411">
        <f t="shared" si="668"/>
        <v>-451.64</v>
      </c>
      <c r="P3483" s="132" t="s">
        <v>183</v>
      </c>
      <c r="Q3483" s="232"/>
      <c r="R3483" s="411"/>
      <c r="T3483" s="134" t="s">
        <v>145</v>
      </c>
      <c r="U3483" s="266" t="s">
        <v>7866</v>
      </c>
      <c r="V3483" s="133" t="s">
        <v>7867</v>
      </c>
      <c r="AA3483" s="218"/>
    </row>
    <row r="3484" spans="1:27" ht="24" x14ac:dyDescent="0.25">
      <c r="A3484" s="420"/>
      <c r="B3484" s="422"/>
      <c r="C3484" s="420"/>
      <c r="D3484" s="418"/>
      <c r="E3484" s="120">
        <v>1500</v>
      </c>
      <c r="F3484" s="133" t="s">
        <v>7868</v>
      </c>
      <c r="G3484" s="436"/>
      <c r="H3484" s="428"/>
      <c r="I3484" s="428"/>
      <c r="J3484" s="426"/>
      <c r="K3484" s="426"/>
      <c r="M3484" s="187">
        <v>28.07</v>
      </c>
      <c r="N3484" s="91">
        <f t="shared" si="661"/>
        <v>28.07</v>
      </c>
      <c r="O3484" s="411">
        <f t="shared" si="668"/>
        <v>-28.07</v>
      </c>
      <c r="P3484" s="132" t="s">
        <v>52</v>
      </c>
      <c r="Q3484" s="232"/>
      <c r="R3484" s="411"/>
      <c r="T3484" s="134" t="s">
        <v>145</v>
      </c>
      <c r="U3484" s="267" t="s">
        <v>7869</v>
      </c>
      <c r="AA3484" s="218"/>
    </row>
    <row r="3485" spans="1:27" x14ac:dyDescent="0.25">
      <c r="A3485" s="405">
        <v>3002686</v>
      </c>
      <c r="B3485" s="406">
        <v>42536</v>
      </c>
      <c r="C3485" s="405" t="s">
        <v>78</v>
      </c>
      <c r="D3485" s="401" t="s">
        <v>7870</v>
      </c>
      <c r="E3485" s="120">
        <v>1000</v>
      </c>
      <c r="F3485" s="133" t="s">
        <v>2491</v>
      </c>
      <c r="G3485" s="404" t="s">
        <v>7486</v>
      </c>
      <c r="H3485" s="411">
        <v>800</v>
      </c>
      <c r="I3485" s="411">
        <v>0</v>
      </c>
      <c r="J3485" s="391">
        <f t="shared" ref="J3485" si="673">-((H3485*0.019)+0.3)</f>
        <v>-15.5</v>
      </c>
      <c r="K3485" s="90">
        <f t="shared" ref="K3485:K3506" si="674">SUM(H3485:J3485)</f>
        <v>784.5</v>
      </c>
      <c r="L3485" s="187">
        <v>550</v>
      </c>
      <c r="M3485" s="187">
        <v>87.73</v>
      </c>
      <c r="N3485" s="91">
        <f t="shared" si="661"/>
        <v>637.73</v>
      </c>
      <c r="O3485" s="411">
        <f t="shared" si="668"/>
        <v>146.76999999999998</v>
      </c>
      <c r="P3485" s="132" t="s">
        <v>235</v>
      </c>
      <c r="Q3485" s="232"/>
      <c r="R3485" s="411"/>
      <c r="T3485" s="134" t="s">
        <v>3409</v>
      </c>
      <c r="U3485" s="267" t="s">
        <v>7871</v>
      </c>
      <c r="W3485" s="153" t="s">
        <v>7872</v>
      </c>
      <c r="AA3485" s="218"/>
    </row>
    <row r="3486" spans="1:27" ht="24" x14ac:dyDescent="0.25">
      <c r="A3486" s="405">
        <v>3002687</v>
      </c>
      <c r="B3486" s="406">
        <v>42536</v>
      </c>
      <c r="C3486" s="405" t="s">
        <v>63</v>
      </c>
      <c r="D3486" s="401" t="s">
        <v>7873</v>
      </c>
      <c r="E3486" s="120">
        <v>820</v>
      </c>
      <c r="F3486" s="133" t="s">
        <v>5162</v>
      </c>
      <c r="G3486" s="404" t="s">
        <v>7486</v>
      </c>
      <c r="H3486" s="411">
        <v>451</v>
      </c>
      <c r="I3486" s="411">
        <v>0</v>
      </c>
      <c r="J3486" s="391">
        <f>-((H3486*0.022)+0.3)</f>
        <v>-10.222</v>
      </c>
      <c r="K3486" s="90">
        <f t="shared" si="674"/>
        <v>440.77800000000002</v>
      </c>
      <c r="M3486" s="187">
        <v>61.47</v>
      </c>
      <c r="N3486" s="91">
        <f t="shared" si="661"/>
        <v>61.47</v>
      </c>
      <c r="O3486" s="411">
        <f t="shared" si="668"/>
        <v>379.30799999999999</v>
      </c>
      <c r="P3486" s="132" t="s">
        <v>52</v>
      </c>
      <c r="Q3486" s="232"/>
      <c r="R3486" s="411"/>
      <c r="T3486" s="134" t="s">
        <v>145</v>
      </c>
      <c r="U3486" s="267" t="s">
        <v>7874</v>
      </c>
      <c r="W3486" s="153" t="s">
        <v>7875</v>
      </c>
      <c r="AA3486" s="218"/>
    </row>
    <row r="3487" spans="1:27" ht="24" x14ac:dyDescent="0.25">
      <c r="A3487" s="405">
        <v>3002688</v>
      </c>
      <c r="B3487" s="406">
        <v>42536</v>
      </c>
      <c r="C3487" s="405" t="s">
        <v>63</v>
      </c>
      <c r="D3487" s="401" t="s">
        <v>7876</v>
      </c>
      <c r="E3487" s="120">
        <v>400</v>
      </c>
      <c r="F3487" s="133" t="s">
        <v>7877</v>
      </c>
      <c r="G3487" s="404" t="s">
        <v>7486</v>
      </c>
      <c r="H3487" s="411">
        <v>1800</v>
      </c>
      <c r="I3487" s="411">
        <v>0</v>
      </c>
      <c r="J3487" s="391">
        <f>-((H3487*0.022)+0.3)</f>
        <v>-39.899999999999991</v>
      </c>
      <c r="K3487" s="90">
        <f t="shared" si="674"/>
        <v>1760.1</v>
      </c>
      <c r="L3487" s="187">
        <v>2175</v>
      </c>
      <c r="M3487" s="187">
        <v>214.18</v>
      </c>
      <c r="N3487" s="91">
        <f t="shared" si="661"/>
        <v>1084.18</v>
      </c>
      <c r="O3487" s="411">
        <f t="shared" si="668"/>
        <v>675.91999999999985</v>
      </c>
      <c r="P3487" s="132" t="s">
        <v>313</v>
      </c>
      <c r="Q3487" s="232"/>
      <c r="R3487" s="411"/>
      <c r="T3487" s="134" t="s">
        <v>473</v>
      </c>
      <c r="U3487" s="267" t="s">
        <v>7878</v>
      </c>
      <c r="W3487" s="153" t="s">
        <v>7879</v>
      </c>
      <c r="AA3487" s="218">
        <v>10</v>
      </c>
    </row>
    <row r="3488" spans="1:27" ht="24" x14ac:dyDescent="0.25">
      <c r="A3488" s="405">
        <v>3002689</v>
      </c>
      <c r="B3488" s="406">
        <v>42536</v>
      </c>
      <c r="C3488" s="405" t="s">
        <v>5682</v>
      </c>
      <c r="D3488" s="401" t="s">
        <v>7880</v>
      </c>
      <c r="E3488" s="120">
        <v>500</v>
      </c>
      <c r="F3488" s="133" t="s">
        <v>451</v>
      </c>
      <c r="G3488" s="404" t="s">
        <v>7486</v>
      </c>
      <c r="H3488" s="411">
        <v>305.10000000000002</v>
      </c>
      <c r="I3488" s="89">
        <f t="shared" ref="I3488:I3497" si="675">-(H3488*0.09)</f>
        <v>-27.459</v>
      </c>
      <c r="J3488" s="391">
        <f t="shared" ref="J3488:J3497" si="676">-((H3488*0.019)+0.3)</f>
        <v>-6.0968999999999998</v>
      </c>
      <c r="K3488" s="90">
        <f t="shared" si="674"/>
        <v>271.54410000000001</v>
      </c>
      <c r="L3488" s="131">
        <v>300</v>
      </c>
      <c r="M3488" s="187">
        <v>42.2</v>
      </c>
      <c r="N3488" s="91">
        <f t="shared" si="661"/>
        <v>192.2</v>
      </c>
      <c r="O3488" s="411">
        <f t="shared" si="668"/>
        <v>79.344100000000026</v>
      </c>
      <c r="P3488" s="132" t="s">
        <v>52</v>
      </c>
      <c r="Q3488" s="232"/>
      <c r="R3488" s="411"/>
      <c r="T3488" s="134" t="s">
        <v>145</v>
      </c>
      <c r="U3488" s="267" t="s">
        <v>7881</v>
      </c>
      <c r="AA3488" s="218"/>
    </row>
    <row r="3489" spans="1:27" ht="24" x14ac:dyDescent="0.25">
      <c r="A3489" s="405">
        <v>3002690</v>
      </c>
      <c r="B3489" s="406">
        <v>42536</v>
      </c>
      <c r="C3489" s="405" t="s">
        <v>5682</v>
      </c>
      <c r="D3489" s="401" t="s">
        <v>7882</v>
      </c>
      <c r="E3489" s="120">
        <v>50</v>
      </c>
      <c r="F3489" s="133" t="s">
        <v>431</v>
      </c>
      <c r="G3489" s="404" t="s">
        <v>7486</v>
      </c>
      <c r="H3489" s="411">
        <v>130.13999999999999</v>
      </c>
      <c r="I3489" s="89">
        <f t="shared" si="675"/>
        <v>-11.712599999999998</v>
      </c>
      <c r="J3489" s="391">
        <f t="shared" si="676"/>
        <v>-2.7726599999999997</v>
      </c>
      <c r="K3489" s="90">
        <f t="shared" si="674"/>
        <v>115.65473999999999</v>
      </c>
      <c r="L3489" s="131">
        <v>990</v>
      </c>
      <c r="M3489" s="187">
        <v>29.31</v>
      </c>
      <c r="N3489" s="91">
        <f t="shared" si="661"/>
        <v>78.81</v>
      </c>
      <c r="O3489" s="411">
        <f t="shared" si="668"/>
        <v>36.844739999999987</v>
      </c>
      <c r="P3489" s="132" t="s">
        <v>52</v>
      </c>
      <c r="Q3489" s="232"/>
      <c r="R3489" s="411"/>
      <c r="T3489" s="134" t="s">
        <v>145</v>
      </c>
      <c r="U3489" s="267" t="s">
        <v>7874</v>
      </c>
      <c r="AA3489" s="218"/>
    </row>
    <row r="3490" spans="1:27" ht="24" x14ac:dyDescent="0.25">
      <c r="A3490" s="405">
        <v>3002691</v>
      </c>
      <c r="B3490" s="406">
        <v>42536</v>
      </c>
      <c r="C3490" s="405" t="s">
        <v>5682</v>
      </c>
      <c r="D3490" s="401" t="s">
        <v>7883</v>
      </c>
      <c r="E3490" s="120">
        <v>100</v>
      </c>
      <c r="F3490" s="133" t="s">
        <v>247</v>
      </c>
      <c r="G3490" s="404" t="s">
        <v>7486</v>
      </c>
      <c r="H3490" s="411">
        <v>114</v>
      </c>
      <c r="I3490" s="89">
        <f t="shared" si="675"/>
        <v>-10.26</v>
      </c>
      <c r="J3490" s="391">
        <f t="shared" si="676"/>
        <v>-2.4659999999999997</v>
      </c>
      <c r="K3490" s="90">
        <f t="shared" si="674"/>
        <v>101.274</v>
      </c>
      <c r="L3490" s="131">
        <v>590</v>
      </c>
      <c r="M3490" s="187">
        <v>40.11</v>
      </c>
      <c r="N3490" s="91">
        <f t="shared" si="661"/>
        <v>99.11</v>
      </c>
      <c r="O3490" s="411">
        <f t="shared" si="668"/>
        <v>2.1640000000000015</v>
      </c>
      <c r="P3490" s="132" t="s">
        <v>52</v>
      </c>
      <c r="Q3490" s="232"/>
      <c r="R3490" s="411"/>
      <c r="T3490" s="134" t="s">
        <v>145</v>
      </c>
      <c r="U3490" s="267" t="s">
        <v>7884</v>
      </c>
      <c r="AA3490" s="218"/>
    </row>
    <row r="3491" spans="1:27" ht="24" x14ac:dyDescent="0.25">
      <c r="A3491" s="405">
        <v>3002692</v>
      </c>
      <c r="B3491" s="406">
        <v>42536</v>
      </c>
      <c r="C3491" s="405" t="s">
        <v>5682</v>
      </c>
      <c r="D3491" s="401" t="s">
        <v>6959</v>
      </c>
      <c r="E3491" s="120">
        <v>500</v>
      </c>
      <c r="F3491" s="133" t="s">
        <v>7885</v>
      </c>
      <c r="G3491" s="404" t="s">
        <v>7486</v>
      </c>
      <c r="H3491" s="411">
        <v>148</v>
      </c>
      <c r="I3491" s="89">
        <f t="shared" si="675"/>
        <v>-13.32</v>
      </c>
      <c r="J3491" s="391">
        <f t="shared" si="676"/>
        <v>-3.1119999999999997</v>
      </c>
      <c r="K3491" s="90">
        <f t="shared" si="674"/>
        <v>131.56800000000001</v>
      </c>
      <c r="L3491" s="187">
        <v>98.05</v>
      </c>
      <c r="M3491" s="131">
        <v>19.28</v>
      </c>
      <c r="N3491" s="91">
        <f t="shared" si="661"/>
        <v>68.305000000000007</v>
      </c>
      <c r="O3491" s="411">
        <f t="shared" si="668"/>
        <v>63.263000000000005</v>
      </c>
      <c r="P3491" s="132" t="s">
        <v>183</v>
      </c>
      <c r="Q3491" s="232"/>
      <c r="R3491" s="411"/>
      <c r="T3491" s="134" t="s">
        <v>145</v>
      </c>
      <c r="U3491" s="267" t="s">
        <v>7886</v>
      </c>
      <c r="AA3491" s="218"/>
    </row>
    <row r="3492" spans="1:27" ht="24" x14ac:dyDescent="0.25">
      <c r="A3492" s="405">
        <v>3002693</v>
      </c>
      <c r="B3492" s="406">
        <v>42536</v>
      </c>
      <c r="C3492" s="405" t="s">
        <v>5682</v>
      </c>
      <c r="D3492" s="401" t="s">
        <v>1401</v>
      </c>
      <c r="E3492" s="120">
        <v>500</v>
      </c>
      <c r="F3492" s="133" t="s">
        <v>451</v>
      </c>
      <c r="G3492" s="404" t="s">
        <v>7486</v>
      </c>
      <c r="H3492" s="411">
        <v>305.10000000000002</v>
      </c>
      <c r="I3492" s="89">
        <f t="shared" si="675"/>
        <v>-27.459</v>
      </c>
      <c r="J3492" s="391">
        <f t="shared" si="676"/>
        <v>-6.0968999999999998</v>
      </c>
      <c r="K3492" s="90">
        <f t="shared" si="674"/>
        <v>271.54410000000001</v>
      </c>
      <c r="L3492" s="131">
        <v>300</v>
      </c>
      <c r="M3492" s="187">
        <v>50.06</v>
      </c>
      <c r="N3492" s="91">
        <f t="shared" si="661"/>
        <v>200.06</v>
      </c>
      <c r="O3492" s="411">
        <f t="shared" si="668"/>
        <v>71.484100000000012</v>
      </c>
      <c r="P3492" s="132" t="s">
        <v>52</v>
      </c>
      <c r="Q3492" s="232"/>
      <c r="R3492" s="411"/>
      <c r="T3492" s="134" t="s">
        <v>145</v>
      </c>
      <c r="U3492" s="267" t="s">
        <v>7887</v>
      </c>
      <c r="AA3492" s="218"/>
    </row>
    <row r="3493" spans="1:27" ht="24" x14ac:dyDescent="0.25">
      <c r="A3493" s="405">
        <v>3002694</v>
      </c>
      <c r="B3493" s="406">
        <v>42536</v>
      </c>
      <c r="C3493" s="405" t="s">
        <v>5682</v>
      </c>
      <c r="D3493" s="401" t="s">
        <v>7888</v>
      </c>
      <c r="E3493" s="120">
        <v>200</v>
      </c>
      <c r="F3493" s="133" t="s">
        <v>451</v>
      </c>
      <c r="G3493" s="404" t="s">
        <v>7486</v>
      </c>
      <c r="H3493" s="411">
        <v>140.30000000000001</v>
      </c>
      <c r="I3493" s="89">
        <f t="shared" si="675"/>
        <v>-12.627000000000001</v>
      </c>
      <c r="J3493" s="391">
        <f t="shared" si="676"/>
        <v>-2.9657</v>
      </c>
      <c r="K3493" s="90">
        <f t="shared" si="674"/>
        <v>124.70730000000002</v>
      </c>
      <c r="L3493" s="131">
        <v>300</v>
      </c>
      <c r="M3493" s="187">
        <v>32.200000000000003</v>
      </c>
      <c r="N3493" s="91">
        <f t="shared" si="661"/>
        <v>92.2</v>
      </c>
      <c r="O3493" s="411">
        <f t="shared" si="668"/>
        <v>32.507300000000015</v>
      </c>
      <c r="P3493" s="132" t="s">
        <v>52</v>
      </c>
      <c r="Q3493" s="232"/>
      <c r="R3493" s="411"/>
      <c r="T3493" s="134" t="s">
        <v>145</v>
      </c>
      <c r="U3493" s="267" t="s">
        <v>7889</v>
      </c>
      <c r="AA3493" s="218"/>
    </row>
    <row r="3494" spans="1:27" ht="24" x14ac:dyDescent="0.25">
      <c r="A3494" s="405">
        <v>3002695</v>
      </c>
      <c r="B3494" s="406">
        <v>42536</v>
      </c>
      <c r="C3494" s="405" t="s">
        <v>5682</v>
      </c>
      <c r="D3494" s="401" t="s">
        <v>7890</v>
      </c>
      <c r="E3494" s="120">
        <v>200</v>
      </c>
      <c r="F3494" s="133" t="s">
        <v>2949</v>
      </c>
      <c r="G3494" s="404" t="s">
        <v>7486</v>
      </c>
      <c r="H3494" s="411">
        <v>380</v>
      </c>
      <c r="I3494" s="89">
        <f t="shared" si="675"/>
        <v>-34.199999999999996</v>
      </c>
      <c r="J3494" s="391">
        <f t="shared" si="676"/>
        <v>-7.52</v>
      </c>
      <c r="K3494" s="90">
        <f t="shared" si="674"/>
        <v>338.28000000000003</v>
      </c>
      <c r="M3494" s="187">
        <v>41.22</v>
      </c>
      <c r="N3494" s="91">
        <f t="shared" si="661"/>
        <v>41.22</v>
      </c>
      <c r="O3494" s="411">
        <f t="shared" si="668"/>
        <v>297.06000000000006</v>
      </c>
      <c r="P3494" s="132" t="s">
        <v>52</v>
      </c>
      <c r="Q3494" s="232"/>
      <c r="R3494" s="411"/>
      <c r="T3494" s="134" t="s">
        <v>145</v>
      </c>
      <c r="U3494" s="267" t="s">
        <v>7891</v>
      </c>
      <c r="AA3494" s="218"/>
    </row>
    <row r="3495" spans="1:27" ht="24" x14ac:dyDescent="0.25">
      <c r="A3495" s="405">
        <v>3002696</v>
      </c>
      <c r="B3495" s="406">
        <v>42536</v>
      </c>
      <c r="C3495" s="405" t="s">
        <v>5682</v>
      </c>
      <c r="D3495" s="401" t="s">
        <v>7892</v>
      </c>
      <c r="E3495" s="120">
        <v>150</v>
      </c>
      <c r="F3495" s="133" t="s">
        <v>341</v>
      </c>
      <c r="G3495" s="404" t="s">
        <v>7486</v>
      </c>
      <c r="H3495" s="411">
        <v>235.79</v>
      </c>
      <c r="I3495" s="89">
        <f t="shared" si="675"/>
        <v>-21.2211</v>
      </c>
      <c r="J3495" s="391">
        <f t="shared" si="676"/>
        <v>-4.7800099999999999</v>
      </c>
      <c r="K3495" s="90">
        <f t="shared" si="674"/>
        <v>209.78888999999998</v>
      </c>
      <c r="L3495" s="131">
        <v>698</v>
      </c>
      <c r="M3495" s="187">
        <v>41.44</v>
      </c>
      <c r="N3495" s="91">
        <f t="shared" si="661"/>
        <v>146.13999999999999</v>
      </c>
      <c r="O3495" s="411">
        <f t="shared" si="668"/>
        <v>63.648889999999994</v>
      </c>
      <c r="P3495" s="132" t="s">
        <v>52</v>
      </c>
      <c r="Q3495" s="232"/>
      <c r="R3495" s="411"/>
      <c r="T3495" s="134" t="s">
        <v>145</v>
      </c>
      <c r="U3495" s="267" t="s">
        <v>7893</v>
      </c>
      <c r="AA3495" s="218"/>
    </row>
    <row r="3496" spans="1:27" x14ac:dyDescent="0.25">
      <c r="A3496" s="405">
        <v>3002697</v>
      </c>
      <c r="B3496" s="406">
        <v>42536</v>
      </c>
      <c r="C3496" s="405" t="s">
        <v>5682</v>
      </c>
      <c r="D3496" s="401" t="s">
        <v>7894</v>
      </c>
      <c r="E3496" s="120">
        <v>100</v>
      </c>
      <c r="F3496" s="133" t="s">
        <v>593</v>
      </c>
      <c r="G3496" s="404" t="s">
        <v>7486</v>
      </c>
      <c r="H3496" s="411">
        <v>0</v>
      </c>
      <c r="I3496" s="89">
        <f t="shared" si="675"/>
        <v>0</v>
      </c>
      <c r="J3496" s="391">
        <f t="shared" si="676"/>
        <v>-0.3</v>
      </c>
      <c r="K3496" s="90">
        <f t="shared" si="674"/>
        <v>-0.3</v>
      </c>
      <c r="N3496" s="91">
        <f t="shared" si="661"/>
        <v>0</v>
      </c>
      <c r="O3496" s="411">
        <f t="shared" si="668"/>
        <v>-0.3</v>
      </c>
      <c r="P3496" s="132" t="s">
        <v>1229</v>
      </c>
      <c r="Q3496" s="232"/>
      <c r="R3496" s="411"/>
      <c r="T3496" s="134"/>
      <c r="U3496" s="266"/>
      <c r="V3496" s="133" t="s">
        <v>7895</v>
      </c>
      <c r="AA3496" s="218"/>
    </row>
    <row r="3497" spans="1:27" ht="24" x14ac:dyDescent="0.25">
      <c r="A3497" s="405">
        <v>3002698</v>
      </c>
      <c r="B3497" s="406">
        <v>42536</v>
      </c>
      <c r="C3497" s="405" t="s">
        <v>5682</v>
      </c>
      <c r="D3497" s="401" t="s">
        <v>7896</v>
      </c>
      <c r="E3497" s="120">
        <v>175</v>
      </c>
      <c r="F3497" s="133" t="s">
        <v>227</v>
      </c>
      <c r="G3497" s="404" t="s">
        <v>7486</v>
      </c>
      <c r="H3497" s="411">
        <v>157.72999999999999</v>
      </c>
      <c r="I3497" s="89">
        <f t="shared" si="675"/>
        <v>-14.195699999999999</v>
      </c>
      <c r="J3497" s="391">
        <f t="shared" si="676"/>
        <v>-3.2968699999999997</v>
      </c>
      <c r="K3497" s="90">
        <f t="shared" si="674"/>
        <v>140.23742999999999</v>
      </c>
      <c r="L3497" s="131">
        <v>350</v>
      </c>
      <c r="M3497" s="187">
        <v>29.77</v>
      </c>
      <c r="N3497" s="91">
        <f t="shared" si="661"/>
        <v>91.02000000000001</v>
      </c>
      <c r="O3497" s="411">
        <f t="shared" si="668"/>
        <v>49.217429999999979</v>
      </c>
      <c r="P3497" s="132" t="s">
        <v>52</v>
      </c>
      <c r="Q3497" s="232"/>
      <c r="R3497" s="411"/>
      <c r="T3497" s="134" t="s">
        <v>145</v>
      </c>
      <c r="U3497" s="267" t="s">
        <v>7897</v>
      </c>
      <c r="AA3497" s="218"/>
    </row>
    <row r="3498" spans="1:27" ht="24" x14ac:dyDescent="0.25">
      <c r="A3498" s="405">
        <v>3002699</v>
      </c>
      <c r="B3498" s="406">
        <v>42536</v>
      </c>
      <c r="C3498" s="405" t="s">
        <v>237</v>
      </c>
      <c r="D3498" s="401" t="s">
        <v>7898</v>
      </c>
      <c r="E3498" s="120">
        <v>100</v>
      </c>
      <c r="F3498" s="133" t="s">
        <v>161</v>
      </c>
      <c r="G3498" s="404" t="s">
        <v>7486</v>
      </c>
      <c r="H3498" s="411">
        <v>259.7</v>
      </c>
      <c r="I3498" s="397">
        <f t="shared" ref="I3498:I3500" si="677">-(H3498*0.15)</f>
        <v>-38.954999999999998</v>
      </c>
      <c r="J3498" s="411">
        <v>0</v>
      </c>
      <c r="K3498" s="90">
        <f t="shared" si="674"/>
        <v>220.745</v>
      </c>
      <c r="L3498" s="131">
        <v>1322</v>
      </c>
      <c r="M3498" s="187">
        <v>54.44</v>
      </c>
      <c r="N3498" s="91">
        <f t="shared" si="661"/>
        <v>186.64000000000001</v>
      </c>
      <c r="O3498" s="411">
        <f t="shared" si="668"/>
        <v>34.10499999999999</v>
      </c>
      <c r="P3498" s="132" t="s">
        <v>52</v>
      </c>
      <c r="Q3498" s="232"/>
      <c r="R3498" s="411"/>
      <c r="T3498" s="134" t="s">
        <v>145</v>
      </c>
      <c r="U3498" s="267" t="s">
        <v>7899</v>
      </c>
      <c r="AA3498" s="218"/>
    </row>
    <row r="3499" spans="1:27" x14ac:dyDescent="0.25">
      <c r="A3499" s="405">
        <v>3002700</v>
      </c>
      <c r="B3499" s="406">
        <v>42536</v>
      </c>
      <c r="C3499" s="405" t="s">
        <v>237</v>
      </c>
      <c r="D3499" s="401" t="s">
        <v>7900</v>
      </c>
      <c r="E3499" s="120">
        <v>1000</v>
      </c>
      <c r="F3499" s="133" t="s">
        <v>5217</v>
      </c>
      <c r="G3499" s="404" t="s">
        <v>7486</v>
      </c>
      <c r="H3499" s="411">
        <v>803.05</v>
      </c>
      <c r="I3499" s="397">
        <f t="shared" si="677"/>
        <v>-120.45749999999998</v>
      </c>
      <c r="J3499" s="411">
        <v>0</v>
      </c>
      <c r="K3499" s="90">
        <f t="shared" si="674"/>
        <v>682.59249999999997</v>
      </c>
      <c r="L3499" s="187">
        <v>470</v>
      </c>
      <c r="M3499" s="187">
        <v>67</v>
      </c>
      <c r="N3499" s="91">
        <f t="shared" si="661"/>
        <v>537</v>
      </c>
      <c r="O3499" s="411">
        <f t="shared" si="668"/>
        <v>145.59249999999997</v>
      </c>
      <c r="P3499" s="132" t="s">
        <v>46</v>
      </c>
      <c r="Q3499" s="232"/>
      <c r="R3499" s="411"/>
      <c r="T3499" s="134" t="s">
        <v>463</v>
      </c>
      <c r="U3499" s="267" t="s">
        <v>7901</v>
      </c>
      <c r="AA3499" s="218"/>
    </row>
    <row r="3500" spans="1:27" ht="24" x14ac:dyDescent="0.25">
      <c r="A3500" s="405">
        <v>3002701</v>
      </c>
      <c r="B3500" s="406">
        <v>42536</v>
      </c>
      <c r="C3500" s="405" t="s">
        <v>237</v>
      </c>
      <c r="D3500" s="401" t="s">
        <v>7902</v>
      </c>
      <c r="E3500" s="120">
        <v>75</v>
      </c>
      <c r="F3500" s="133" t="s">
        <v>341</v>
      </c>
      <c r="G3500" s="404" t="s">
        <v>7486</v>
      </c>
      <c r="H3500" s="411">
        <v>125.43</v>
      </c>
      <c r="I3500" s="397">
        <f t="shared" si="677"/>
        <v>-18.814499999999999</v>
      </c>
      <c r="J3500" s="411">
        <v>0</v>
      </c>
      <c r="K3500" s="90">
        <f t="shared" si="674"/>
        <v>106.61550000000001</v>
      </c>
      <c r="M3500" s="187">
        <v>27.84</v>
      </c>
      <c r="N3500" s="91">
        <f t="shared" si="661"/>
        <v>27.84</v>
      </c>
      <c r="O3500" s="411">
        <f t="shared" si="668"/>
        <v>78.775500000000008</v>
      </c>
      <c r="P3500" s="132" t="s">
        <v>52</v>
      </c>
      <c r="Q3500" s="232"/>
      <c r="R3500" s="411"/>
      <c r="T3500" s="134" t="s">
        <v>145</v>
      </c>
      <c r="U3500" s="267" t="s">
        <v>7903</v>
      </c>
      <c r="AA3500" s="218"/>
    </row>
    <row r="3501" spans="1:27" ht="24" x14ac:dyDescent="0.25">
      <c r="A3501" s="405">
        <v>3002702</v>
      </c>
      <c r="B3501" s="406">
        <v>42536</v>
      </c>
      <c r="C3501" s="405" t="s">
        <v>5682</v>
      </c>
      <c r="D3501" s="401" t="s">
        <v>7904</v>
      </c>
      <c r="E3501" s="120">
        <v>50</v>
      </c>
      <c r="F3501" s="133" t="s">
        <v>626</v>
      </c>
      <c r="G3501" s="404" t="s">
        <v>7486</v>
      </c>
      <c r="H3501" s="411">
        <v>167.41</v>
      </c>
      <c r="I3501" s="89">
        <f t="shared" ref="I3501:I3502" si="678">-(H3501*0.09)</f>
        <v>-15.066899999999999</v>
      </c>
      <c r="J3501" s="391">
        <f t="shared" ref="J3501:J3502" si="679">-((H3501*0.019)+0.3)</f>
        <v>-3.4807899999999998</v>
      </c>
      <c r="K3501" s="90">
        <f t="shared" si="674"/>
        <v>148.86230999999998</v>
      </c>
      <c r="N3501" s="91">
        <f t="shared" si="661"/>
        <v>0</v>
      </c>
      <c r="O3501" s="411">
        <f t="shared" si="668"/>
        <v>148.86230999999998</v>
      </c>
      <c r="P3501" s="132" t="s">
        <v>86</v>
      </c>
      <c r="Q3501" s="232"/>
      <c r="R3501" s="411"/>
      <c r="T3501" s="134" t="s">
        <v>145</v>
      </c>
      <c r="U3501" s="267" t="s">
        <v>7905</v>
      </c>
      <c r="AA3501" s="218"/>
    </row>
    <row r="3502" spans="1:27" ht="24" x14ac:dyDescent="0.25">
      <c r="A3502" s="405">
        <v>3002703</v>
      </c>
      <c r="B3502" s="406">
        <v>42536</v>
      </c>
      <c r="C3502" s="405" t="s">
        <v>5682</v>
      </c>
      <c r="D3502" s="401" t="s">
        <v>7906</v>
      </c>
      <c r="E3502" s="120">
        <v>250</v>
      </c>
      <c r="F3502" s="133" t="s">
        <v>7907</v>
      </c>
      <c r="G3502" s="404" t="s">
        <v>7486</v>
      </c>
      <c r="H3502" s="411">
        <v>133</v>
      </c>
      <c r="I3502" s="89">
        <f t="shared" si="678"/>
        <v>-11.969999999999999</v>
      </c>
      <c r="J3502" s="391">
        <f t="shared" si="679"/>
        <v>-2.827</v>
      </c>
      <c r="K3502" s="90">
        <f t="shared" si="674"/>
        <v>118.203</v>
      </c>
      <c r="L3502" s="131">
        <v>210</v>
      </c>
      <c r="M3502" s="187">
        <v>34.11</v>
      </c>
      <c r="N3502" s="91">
        <f t="shared" si="661"/>
        <v>86.61</v>
      </c>
      <c r="O3502" s="411">
        <f t="shared" si="668"/>
        <v>31.593000000000004</v>
      </c>
      <c r="P3502" s="132" t="s">
        <v>52</v>
      </c>
      <c r="Q3502" s="232"/>
      <c r="R3502" s="411"/>
      <c r="T3502" s="134" t="s">
        <v>145</v>
      </c>
      <c r="U3502" s="267" t="s">
        <v>7908</v>
      </c>
      <c r="AA3502" s="218"/>
    </row>
    <row r="3503" spans="1:27" x14ac:dyDescent="0.25">
      <c r="A3503" s="405">
        <v>3002704</v>
      </c>
      <c r="B3503" s="406">
        <v>42536</v>
      </c>
      <c r="C3503" s="405" t="s">
        <v>63</v>
      </c>
      <c r="D3503" s="401" t="s">
        <v>7909</v>
      </c>
      <c r="E3503" s="120">
        <v>1000</v>
      </c>
      <c r="F3503" s="133" t="s">
        <v>247</v>
      </c>
      <c r="G3503" s="404" t="s">
        <v>7486</v>
      </c>
      <c r="H3503" s="411">
        <v>950</v>
      </c>
      <c r="I3503" s="411">
        <v>0</v>
      </c>
      <c r="J3503" s="391">
        <f>-((H3503*0.022)+0.3)</f>
        <v>-21.2</v>
      </c>
      <c r="K3503" s="90">
        <f t="shared" si="674"/>
        <v>928.8</v>
      </c>
      <c r="L3503" s="131">
        <v>590</v>
      </c>
      <c r="M3503" s="187">
        <v>183.17</v>
      </c>
      <c r="N3503" s="91">
        <f t="shared" si="661"/>
        <v>773.17</v>
      </c>
      <c r="O3503" s="411">
        <f t="shared" si="668"/>
        <v>155.63</v>
      </c>
      <c r="P3503" s="132" t="s">
        <v>52</v>
      </c>
      <c r="Q3503" s="232"/>
      <c r="R3503" s="411"/>
      <c r="T3503" s="134" t="s">
        <v>97</v>
      </c>
      <c r="U3503" s="267" t="s">
        <v>7910</v>
      </c>
      <c r="V3503" s="133" t="s">
        <v>55</v>
      </c>
      <c r="W3503" s="153" t="s">
        <v>7911</v>
      </c>
      <c r="AA3503" s="218"/>
    </row>
    <row r="3504" spans="1:27" x14ac:dyDescent="0.25">
      <c r="A3504" s="419">
        <v>3002705</v>
      </c>
      <c r="B3504" s="421">
        <v>42536</v>
      </c>
      <c r="C3504" s="419" t="s">
        <v>63</v>
      </c>
      <c r="D3504" s="417" t="s">
        <v>7912</v>
      </c>
      <c r="E3504" s="120">
        <v>70</v>
      </c>
      <c r="F3504" s="133" t="s">
        <v>7743</v>
      </c>
      <c r="G3504" s="434" t="s">
        <v>7486</v>
      </c>
      <c r="H3504" s="427">
        <v>1239</v>
      </c>
      <c r="I3504" s="427">
        <v>0</v>
      </c>
      <c r="J3504" s="425">
        <f>-((H3504*0.022)+0.3)</f>
        <v>-27.558</v>
      </c>
      <c r="K3504" s="425">
        <f t="shared" si="674"/>
        <v>1211.442</v>
      </c>
      <c r="L3504" s="131">
        <v>2500</v>
      </c>
      <c r="M3504" s="468">
        <v>98.54</v>
      </c>
      <c r="N3504" s="91">
        <f t="shared" si="661"/>
        <v>273.54000000000002</v>
      </c>
      <c r="O3504" s="411">
        <f t="shared" si="668"/>
        <v>937.90200000000004</v>
      </c>
      <c r="P3504" s="132" t="s">
        <v>52</v>
      </c>
      <c r="Q3504" s="232"/>
      <c r="R3504" s="411"/>
      <c r="T3504" s="439" t="s">
        <v>244</v>
      </c>
      <c r="U3504" s="446" t="s">
        <v>7913</v>
      </c>
      <c r="V3504" s="133" t="s">
        <v>55</v>
      </c>
      <c r="W3504" s="153" t="s">
        <v>7914</v>
      </c>
      <c r="AA3504" s="473">
        <v>10</v>
      </c>
    </row>
    <row r="3505" spans="1:27" x14ac:dyDescent="0.25">
      <c r="A3505" s="420"/>
      <c r="B3505" s="422"/>
      <c r="C3505" s="420"/>
      <c r="D3505" s="418"/>
      <c r="E3505" s="120">
        <v>150</v>
      </c>
      <c r="F3505" s="133" t="s">
        <v>7915</v>
      </c>
      <c r="G3505" s="436"/>
      <c r="H3505" s="428"/>
      <c r="I3505" s="428"/>
      <c r="J3505" s="426"/>
      <c r="K3505" s="426"/>
      <c r="L3505" s="131">
        <v>3400</v>
      </c>
      <c r="M3505" s="469"/>
      <c r="N3505" s="91">
        <f t="shared" si="661"/>
        <v>510</v>
      </c>
      <c r="O3505" s="411">
        <f t="shared" si="668"/>
        <v>-510</v>
      </c>
      <c r="P3505" s="132" t="s">
        <v>52</v>
      </c>
      <c r="Q3505" s="232"/>
      <c r="R3505" s="411"/>
      <c r="T3505" s="441"/>
      <c r="U3505" s="447"/>
      <c r="AA3505" s="474"/>
    </row>
    <row r="3506" spans="1:27" x14ac:dyDescent="0.25">
      <c r="A3506" s="419">
        <v>3002706</v>
      </c>
      <c r="B3506" s="421">
        <v>42536</v>
      </c>
      <c r="C3506" s="419" t="s">
        <v>56</v>
      </c>
      <c r="D3506" s="417" t="s">
        <v>1192</v>
      </c>
      <c r="E3506" s="120">
        <v>11000</v>
      </c>
      <c r="F3506" s="133" t="s">
        <v>7916</v>
      </c>
      <c r="G3506" s="434" t="s">
        <v>7486</v>
      </c>
      <c r="H3506" s="427">
        <v>21185</v>
      </c>
      <c r="I3506" s="427">
        <v>0</v>
      </c>
      <c r="J3506" s="427">
        <v>0</v>
      </c>
      <c r="K3506" s="425">
        <f t="shared" si="674"/>
        <v>21185</v>
      </c>
      <c r="L3506" s="187">
        <v>830</v>
      </c>
      <c r="N3506" s="91">
        <f t="shared" si="661"/>
        <v>9130</v>
      </c>
      <c r="O3506" s="411">
        <f t="shared" si="668"/>
        <v>12055</v>
      </c>
      <c r="P3506" s="132" t="s">
        <v>46</v>
      </c>
      <c r="Q3506" s="232"/>
      <c r="R3506" s="411"/>
      <c r="T3506" s="439" t="s">
        <v>260</v>
      </c>
      <c r="U3506" s="446" t="s">
        <v>7917</v>
      </c>
      <c r="V3506" s="133" t="s">
        <v>7918</v>
      </c>
      <c r="W3506" s="153" t="s">
        <v>2090</v>
      </c>
      <c r="AA3506" s="218"/>
    </row>
    <row r="3507" spans="1:27" x14ac:dyDescent="0.25">
      <c r="A3507" s="432"/>
      <c r="B3507" s="433"/>
      <c r="C3507" s="432"/>
      <c r="D3507" s="454"/>
      <c r="E3507" s="120">
        <v>1000</v>
      </c>
      <c r="F3507" s="133" t="s">
        <v>7919</v>
      </c>
      <c r="G3507" s="435"/>
      <c r="H3507" s="438"/>
      <c r="I3507" s="438"/>
      <c r="J3507" s="438"/>
      <c r="K3507" s="437"/>
      <c r="L3507" s="187">
        <v>400</v>
      </c>
      <c r="N3507" s="91">
        <f t="shared" ref="N3507:N3570" si="680">((L3507)*(E3507*0.001))+M3507</f>
        <v>400</v>
      </c>
      <c r="O3507" s="411">
        <f t="shared" si="668"/>
        <v>-400</v>
      </c>
      <c r="P3507" s="132" t="s">
        <v>46</v>
      </c>
      <c r="Q3507" s="232"/>
      <c r="R3507" s="411"/>
      <c r="T3507" s="440"/>
      <c r="U3507" s="447"/>
      <c r="V3507" s="119" t="s">
        <v>7920</v>
      </c>
      <c r="AA3507" s="218"/>
    </row>
    <row r="3508" spans="1:27" x14ac:dyDescent="0.25">
      <c r="A3508" s="420"/>
      <c r="B3508" s="422"/>
      <c r="C3508" s="420"/>
      <c r="D3508" s="418"/>
      <c r="E3508" s="120">
        <v>8500</v>
      </c>
      <c r="F3508" s="133" t="s">
        <v>7921</v>
      </c>
      <c r="G3508" s="436"/>
      <c r="H3508" s="428"/>
      <c r="I3508" s="428"/>
      <c r="J3508" s="428"/>
      <c r="K3508" s="426"/>
      <c r="L3508" s="187">
        <v>470</v>
      </c>
      <c r="N3508" s="91">
        <f t="shared" si="680"/>
        <v>3995</v>
      </c>
      <c r="O3508" s="411">
        <f t="shared" si="668"/>
        <v>-3995</v>
      </c>
      <c r="P3508" s="132" t="s">
        <v>46</v>
      </c>
      <c r="Q3508" s="232"/>
      <c r="R3508" s="411"/>
      <c r="T3508" s="441"/>
      <c r="U3508" s="266">
        <v>4107949016</v>
      </c>
      <c r="V3508" s="133" t="s">
        <v>7922</v>
      </c>
      <c r="AA3508" s="218"/>
    </row>
    <row r="3509" spans="1:27" x14ac:dyDescent="0.25">
      <c r="A3509" s="405">
        <v>3002707</v>
      </c>
      <c r="B3509" s="406">
        <v>42537</v>
      </c>
      <c r="C3509" s="405" t="s">
        <v>78</v>
      </c>
      <c r="D3509" s="401" t="s">
        <v>4006</v>
      </c>
      <c r="E3509" s="120">
        <v>185</v>
      </c>
      <c r="F3509" s="133" t="s">
        <v>4007</v>
      </c>
      <c r="G3509" s="404" t="s">
        <v>7486</v>
      </c>
      <c r="H3509" s="411">
        <v>2127.5</v>
      </c>
      <c r="I3509" s="411">
        <v>0</v>
      </c>
      <c r="J3509" s="391">
        <f t="shared" ref="J3509:J3513" si="681">-((H3509*0.019)+0.3)</f>
        <v>-40.722499999999997</v>
      </c>
      <c r="K3509" s="90">
        <f t="shared" ref="K3509:K3517" si="682">SUM(H3509:J3509)</f>
        <v>2086.7775000000001</v>
      </c>
      <c r="L3509" s="187">
        <v>6420</v>
      </c>
      <c r="N3509" s="91">
        <f t="shared" si="680"/>
        <v>1187.7</v>
      </c>
      <c r="O3509" s="411">
        <f t="shared" si="668"/>
        <v>899.0775000000001</v>
      </c>
      <c r="P3509" s="132" t="s">
        <v>59</v>
      </c>
      <c r="Q3509" s="232"/>
      <c r="R3509" s="411"/>
      <c r="T3509" s="134" t="s">
        <v>364</v>
      </c>
      <c r="U3509" s="267" t="s">
        <v>7923</v>
      </c>
      <c r="W3509" s="153" t="s">
        <v>4009</v>
      </c>
      <c r="AA3509" s="218">
        <v>10</v>
      </c>
    </row>
    <row r="3510" spans="1:27" x14ac:dyDescent="0.25">
      <c r="A3510" s="419">
        <v>3002708</v>
      </c>
      <c r="B3510" s="421">
        <v>42537</v>
      </c>
      <c r="C3510" s="419" t="s">
        <v>78</v>
      </c>
      <c r="D3510" s="417" t="s">
        <v>4006</v>
      </c>
      <c r="E3510" s="120">
        <v>70</v>
      </c>
      <c r="F3510" s="133" t="s">
        <v>7924</v>
      </c>
      <c r="G3510" s="434" t="s">
        <v>7486</v>
      </c>
      <c r="H3510" s="427">
        <v>1470</v>
      </c>
      <c r="I3510" s="427">
        <v>0</v>
      </c>
      <c r="J3510" s="425">
        <f t="shared" si="681"/>
        <v>-28.23</v>
      </c>
      <c r="K3510" s="425">
        <f t="shared" si="682"/>
        <v>1441.77</v>
      </c>
      <c r="L3510" s="187">
        <v>5130</v>
      </c>
      <c r="M3510" s="187">
        <v>40</v>
      </c>
      <c r="N3510" s="91">
        <f t="shared" si="680"/>
        <v>399.1</v>
      </c>
      <c r="O3510" s="411">
        <f t="shared" si="668"/>
        <v>1042.67</v>
      </c>
      <c r="P3510" s="132" t="s">
        <v>183</v>
      </c>
      <c r="Q3510" s="232"/>
      <c r="R3510" s="411"/>
      <c r="T3510" s="439" t="s">
        <v>473</v>
      </c>
      <c r="U3510" s="446" t="s">
        <v>7925</v>
      </c>
      <c r="V3510" s="133" t="s">
        <v>7926</v>
      </c>
      <c r="W3510" s="153" t="s">
        <v>4009</v>
      </c>
      <c r="AA3510" s="218"/>
    </row>
    <row r="3511" spans="1:27" x14ac:dyDescent="0.25">
      <c r="A3511" s="420"/>
      <c r="B3511" s="422"/>
      <c r="C3511" s="420"/>
      <c r="D3511" s="418"/>
      <c r="E3511" s="120">
        <v>140</v>
      </c>
      <c r="F3511" s="133" t="s">
        <v>7924</v>
      </c>
      <c r="G3511" s="436"/>
      <c r="H3511" s="428"/>
      <c r="I3511" s="428"/>
      <c r="J3511" s="426"/>
      <c r="K3511" s="426"/>
      <c r="L3511" s="187">
        <v>5500</v>
      </c>
      <c r="M3511" s="187">
        <v>206.89</v>
      </c>
      <c r="N3511" s="91">
        <f t="shared" si="680"/>
        <v>976.8900000000001</v>
      </c>
      <c r="O3511" s="411">
        <f t="shared" si="668"/>
        <v>-976.8900000000001</v>
      </c>
      <c r="P3511" s="132" t="s">
        <v>183</v>
      </c>
      <c r="Q3511" s="232"/>
      <c r="R3511" s="411"/>
      <c r="T3511" s="441"/>
      <c r="U3511" s="447"/>
      <c r="AA3511" s="218"/>
    </row>
    <row r="3512" spans="1:27" ht="24" x14ac:dyDescent="0.25">
      <c r="A3512" s="405">
        <v>3002709</v>
      </c>
      <c r="B3512" s="406">
        <v>42537</v>
      </c>
      <c r="C3512" s="405" t="s">
        <v>159</v>
      </c>
      <c r="D3512" s="401" t="s">
        <v>7927</v>
      </c>
      <c r="E3512" s="120">
        <v>40</v>
      </c>
      <c r="F3512" s="133" t="s">
        <v>1991</v>
      </c>
      <c r="G3512" s="404" t="s">
        <v>7486</v>
      </c>
      <c r="H3512" s="411">
        <v>202</v>
      </c>
      <c r="I3512" s="411">
        <v>0</v>
      </c>
      <c r="J3512" s="391">
        <f t="shared" si="681"/>
        <v>-4.1379999999999999</v>
      </c>
      <c r="K3512" s="90">
        <f t="shared" si="682"/>
        <v>197.86199999999999</v>
      </c>
      <c r="L3512" s="131">
        <v>3100</v>
      </c>
      <c r="M3512" s="131">
        <v>26.02</v>
      </c>
      <c r="N3512" s="91">
        <f t="shared" si="680"/>
        <v>150.02000000000001</v>
      </c>
      <c r="O3512" s="411">
        <f t="shared" si="668"/>
        <v>47.841999999999985</v>
      </c>
      <c r="P3512" s="132" t="s">
        <v>183</v>
      </c>
      <c r="Q3512" s="232"/>
      <c r="R3512" s="411"/>
      <c r="T3512" s="134" t="s">
        <v>145</v>
      </c>
      <c r="U3512" s="267" t="s">
        <v>7928</v>
      </c>
      <c r="V3512" s="133" t="s">
        <v>6072</v>
      </c>
      <c r="W3512" s="153" t="s">
        <v>7929</v>
      </c>
      <c r="AA3512" s="218"/>
    </row>
    <row r="3513" spans="1:27" ht="24" customHeight="1" x14ac:dyDescent="0.25">
      <c r="A3513" s="419">
        <v>3002710</v>
      </c>
      <c r="B3513" s="421">
        <v>42537</v>
      </c>
      <c r="C3513" s="419" t="s">
        <v>78</v>
      </c>
      <c r="D3513" s="417" t="s">
        <v>7930</v>
      </c>
      <c r="E3513" s="120">
        <v>45</v>
      </c>
      <c r="F3513" s="133" t="s">
        <v>70</v>
      </c>
      <c r="G3513" s="434" t="s">
        <v>7486</v>
      </c>
      <c r="H3513" s="427">
        <v>219.45</v>
      </c>
      <c r="I3513" s="427">
        <v>0</v>
      </c>
      <c r="J3513" s="425">
        <f t="shared" si="681"/>
        <v>-4.4695499999999999</v>
      </c>
      <c r="K3513" s="425">
        <f t="shared" si="682"/>
        <v>214.98044999999999</v>
      </c>
      <c r="L3513" s="131">
        <v>1564</v>
      </c>
      <c r="M3513" s="187">
        <v>37.590000000000003</v>
      </c>
      <c r="N3513" s="91">
        <f t="shared" si="680"/>
        <v>107.97</v>
      </c>
      <c r="O3513" s="411">
        <f t="shared" si="668"/>
        <v>107.01044999999999</v>
      </c>
      <c r="P3513" s="132" t="s">
        <v>52</v>
      </c>
      <c r="Q3513" s="232"/>
      <c r="R3513" s="411"/>
      <c r="T3513" s="470" t="s">
        <v>145</v>
      </c>
      <c r="U3513" s="267" t="s">
        <v>7931</v>
      </c>
      <c r="W3513" s="153" t="s">
        <v>7932</v>
      </c>
      <c r="AA3513" s="218"/>
    </row>
    <row r="3514" spans="1:27" x14ac:dyDescent="0.25">
      <c r="A3514" s="420"/>
      <c r="B3514" s="422"/>
      <c r="C3514" s="420"/>
      <c r="D3514" s="418"/>
      <c r="E3514" s="120">
        <v>80</v>
      </c>
      <c r="F3514" s="133" t="s">
        <v>247</v>
      </c>
      <c r="G3514" s="436"/>
      <c r="H3514" s="428"/>
      <c r="I3514" s="428"/>
      <c r="J3514" s="426"/>
      <c r="K3514" s="426"/>
      <c r="L3514" s="131">
        <v>590</v>
      </c>
      <c r="M3514" s="187">
        <v>27.02</v>
      </c>
      <c r="N3514" s="91">
        <f t="shared" si="680"/>
        <v>74.22</v>
      </c>
      <c r="O3514" s="411">
        <f t="shared" si="668"/>
        <v>-74.22</v>
      </c>
      <c r="P3514" s="132" t="s">
        <v>52</v>
      </c>
      <c r="Q3514" s="232"/>
      <c r="R3514" s="411"/>
      <c r="T3514" s="472"/>
      <c r="U3514" s="267" t="s">
        <v>7933</v>
      </c>
      <c r="AA3514" s="218"/>
    </row>
    <row r="3515" spans="1:27" x14ac:dyDescent="0.25">
      <c r="A3515" s="405">
        <v>3002711</v>
      </c>
      <c r="B3515" s="406">
        <v>42537</v>
      </c>
      <c r="C3515" s="405" t="s">
        <v>555</v>
      </c>
      <c r="D3515" s="401" t="s">
        <v>7934</v>
      </c>
      <c r="E3515" s="120">
        <v>75000</v>
      </c>
      <c r="F3515" s="133" t="s">
        <v>7935</v>
      </c>
      <c r="G3515" s="230" t="s">
        <v>7486</v>
      </c>
      <c r="H3515" s="411">
        <v>0</v>
      </c>
      <c r="I3515" s="411">
        <v>0</v>
      </c>
      <c r="J3515" s="411">
        <v>0</v>
      </c>
      <c r="K3515" s="90">
        <v>0</v>
      </c>
      <c r="L3515" s="131">
        <v>162</v>
      </c>
      <c r="N3515" s="91">
        <f t="shared" si="680"/>
        <v>12150</v>
      </c>
      <c r="O3515" s="411"/>
      <c r="P3515" s="132" t="s">
        <v>638</v>
      </c>
      <c r="Q3515" s="232"/>
      <c r="R3515" s="411"/>
      <c r="V3515" s="133" t="s">
        <v>7936</v>
      </c>
      <c r="AA3515" s="218"/>
    </row>
    <row r="3516" spans="1:27" ht="36" x14ac:dyDescent="0.25">
      <c r="A3516" s="405">
        <v>3002712</v>
      </c>
      <c r="B3516" s="406">
        <v>42537</v>
      </c>
      <c r="C3516" s="405" t="s">
        <v>63</v>
      </c>
      <c r="D3516" s="401" t="s">
        <v>7937</v>
      </c>
      <c r="E3516" s="120">
        <v>500</v>
      </c>
      <c r="F3516" s="133" t="s">
        <v>7938</v>
      </c>
      <c r="G3516" s="404" t="s">
        <v>7486</v>
      </c>
      <c r="H3516" s="411">
        <v>5950</v>
      </c>
      <c r="I3516" s="411">
        <v>0</v>
      </c>
      <c r="J3516" s="391">
        <f>-((H3516*0.022)+0.3)</f>
        <v>-131.20000000000002</v>
      </c>
      <c r="K3516" s="90">
        <f t="shared" si="682"/>
        <v>5818.8</v>
      </c>
      <c r="L3516" s="187">
        <v>9800</v>
      </c>
      <c r="M3516" s="131">
        <v>0</v>
      </c>
      <c r="N3516" s="91">
        <f t="shared" si="680"/>
        <v>4900</v>
      </c>
      <c r="O3516" s="411">
        <f t="shared" si="668"/>
        <v>918.80000000000018</v>
      </c>
      <c r="P3516" s="132" t="s">
        <v>59</v>
      </c>
      <c r="Q3516" s="232"/>
      <c r="R3516" s="411"/>
      <c r="T3516" s="134" t="s">
        <v>7939</v>
      </c>
      <c r="U3516" s="267" t="s">
        <v>7940</v>
      </c>
      <c r="W3516" s="153" t="s">
        <v>7941</v>
      </c>
      <c r="AA3516" s="218">
        <v>25</v>
      </c>
    </row>
    <row r="3517" spans="1:27" ht="24" x14ac:dyDescent="0.25">
      <c r="A3517" s="419">
        <v>3002713</v>
      </c>
      <c r="B3517" s="421">
        <v>42537</v>
      </c>
      <c r="C3517" s="419" t="s">
        <v>56</v>
      </c>
      <c r="D3517" s="417" t="s">
        <v>5278</v>
      </c>
      <c r="E3517" s="120">
        <v>197</v>
      </c>
      <c r="F3517" s="133" t="s">
        <v>7942</v>
      </c>
      <c r="G3517" s="434" t="s">
        <v>7486</v>
      </c>
      <c r="H3517" s="427">
        <v>826.8</v>
      </c>
      <c r="I3517" s="427">
        <v>0</v>
      </c>
      <c r="J3517" s="427">
        <v>0</v>
      </c>
      <c r="K3517" s="425">
        <f t="shared" si="682"/>
        <v>826.8</v>
      </c>
      <c r="L3517" s="187">
        <v>1950</v>
      </c>
      <c r="M3517" s="187">
        <v>13.09</v>
      </c>
      <c r="N3517" s="91">
        <f t="shared" si="680"/>
        <v>397.24</v>
      </c>
      <c r="O3517" s="411">
        <f t="shared" si="668"/>
        <v>429.55999999999995</v>
      </c>
      <c r="P3517" s="132" t="s">
        <v>643</v>
      </c>
      <c r="Q3517" s="232"/>
      <c r="R3517" s="411"/>
      <c r="T3517" s="134" t="s">
        <v>145</v>
      </c>
      <c r="U3517" s="267" t="s">
        <v>7943</v>
      </c>
      <c r="V3517" s="133" t="s">
        <v>6280</v>
      </c>
      <c r="W3517" s="153" t="s">
        <v>5281</v>
      </c>
      <c r="AA3517" s="218"/>
    </row>
    <row r="3518" spans="1:27" x14ac:dyDescent="0.25">
      <c r="A3518" s="432"/>
      <c r="B3518" s="433"/>
      <c r="C3518" s="432"/>
      <c r="D3518" s="454"/>
      <c r="E3518" s="120">
        <v>197</v>
      </c>
      <c r="F3518" s="133" t="s">
        <v>7944</v>
      </c>
      <c r="G3518" s="435"/>
      <c r="H3518" s="438"/>
      <c r="I3518" s="438"/>
      <c r="J3518" s="438"/>
      <c r="K3518" s="437"/>
      <c r="L3518" s="187">
        <v>100</v>
      </c>
      <c r="N3518" s="91">
        <f t="shared" si="680"/>
        <v>19.7</v>
      </c>
      <c r="O3518" s="411">
        <f t="shared" si="668"/>
        <v>-19.7</v>
      </c>
      <c r="P3518" s="132" t="s">
        <v>235</v>
      </c>
      <c r="Q3518" s="232"/>
      <c r="R3518" s="411"/>
      <c r="T3518" s="439" t="s">
        <v>145</v>
      </c>
      <c r="U3518" s="446" t="s">
        <v>7945</v>
      </c>
      <c r="V3518" s="133" t="s">
        <v>7946</v>
      </c>
      <c r="AA3518" s="218"/>
    </row>
    <row r="3519" spans="1:27" x14ac:dyDescent="0.25">
      <c r="A3519" s="420"/>
      <c r="B3519" s="422"/>
      <c r="C3519" s="420"/>
      <c r="D3519" s="418"/>
      <c r="E3519" s="120">
        <v>197</v>
      </c>
      <c r="F3519" s="133" t="s">
        <v>7947</v>
      </c>
      <c r="G3519" s="436"/>
      <c r="H3519" s="428"/>
      <c r="I3519" s="428"/>
      <c r="J3519" s="428"/>
      <c r="K3519" s="426"/>
      <c r="L3519" s="187">
        <v>150</v>
      </c>
      <c r="M3519" s="187">
        <v>8.3800000000000008</v>
      </c>
      <c r="N3519" s="91">
        <f t="shared" si="680"/>
        <v>37.93</v>
      </c>
      <c r="O3519" s="411">
        <f t="shared" si="668"/>
        <v>-37.93</v>
      </c>
      <c r="P3519" s="132" t="s">
        <v>235</v>
      </c>
      <c r="Q3519" s="232"/>
      <c r="R3519" s="411"/>
      <c r="T3519" s="441"/>
      <c r="U3519" s="447"/>
      <c r="V3519" s="133" t="s">
        <v>7946</v>
      </c>
      <c r="AA3519" s="218"/>
    </row>
    <row r="3520" spans="1:27" ht="24" x14ac:dyDescent="0.25">
      <c r="A3520" s="419">
        <v>3002714</v>
      </c>
      <c r="B3520" s="421">
        <v>42537</v>
      </c>
      <c r="C3520" s="419" t="s">
        <v>56</v>
      </c>
      <c r="D3520" s="417" t="s">
        <v>1192</v>
      </c>
      <c r="E3520" s="120">
        <v>15000</v>
      </c>
      <c r="F3520" s="133" t="s">
        <v>7948</v>
      </c>
      <c r="G3520" s="434" t="s">
        <v>7486</v>
      </c>
      <c r="H3520" s="427">
        <v>20246</v>
      </c>
      <c r="I3520" s="427">
        <v>0</v>
      </c>
      <c r="J3520" s="427">
        <v>0</v>
      </c>
      <c r="K3520" s="425">
        <f t="shared" ref="K3520" si="683">SUM(H3520:J3520)</f>
        <v>20246</v>
      </c>
      <c r="L3520" s="187">
        <v>830</v>
      </c>
      <c r="N3520" s="91">
        <f t="shared" si="680"/>
        <v>12450</v>
      </c>
      <c r="O3520" s="411">
        <f t="shared" si="668"/>
        <v>7796</v>
      </c>
      <c r="P3520" s="132" t="s">
        <v>46</v>
      </c>
      <c r="Q3520" s="232"/>
      <c r="R3520" s="411"/>
      <c r="T3520" s="134" t="s">
        <v>314</v>
      </c>
      <c r="U3520" s="266" t="s">
        <v>7949</v>
      </c>
      <c r="V3520" s="133" t="s">
        <v>7950</v>
      </c>
      <c r="W3520" s="153" t="s">
        <v>2090</v>
      </c>
      <c r="AA3520" s="218"/>
    </row>
    <row r="3521" spans="1:27" x14ac:dyDescent="0.25">
      <c r="A3521" s="420"/>
      <c r="B3521" s="422"/>
      <c r="C3521" s="420"/>
      <c r="D3521" s="418"/>
      <c r="E3521" s="120">
        <v>600</v>
      </c>
      <c r="F3521" s="133" t="s">
        <v>7951</v>
      </c>
      <c r="G3521" s="436"/>
      <c r="H3521" s="428"/>
      <c r="I3521" s="428"/>
      <c r="J3521" s="428"/>
      <c r="K3521" s="426"/>
      <c r="L3521" s="187">
        <v>830</v>
      </c>
      <c r="M3521" s="187">
        <v>126.56</v>
      </c>
      <c r="N3521" s="91">
        <f t="shared" si="680"/>
        <v>624.55999999999995</v>
      </c>
      <c r="O3521" s="411">
        <f t="shared" si="668"/>
        <v>-624.55999999999995</v>
      </c>
      <c r="P3521" s="132" t="s">
        <v>52</v>
      </c>
      <c r="Q3521" s="232"/>
      <c r="R3521" s="411"/>
      <c r="T3521" s="134" t="s">
        <v>97</v>
      </c>
      <c r="U3521" s="267" t="s">
        <v>7952</v>
      </c>
      <c r="V3521" s="133" t="s">
        <v>7953</v>
      </c>
      <c r="AA3521" s="218"/>
    </row>
    <row r="3522" spans="1:27" ht="24" x14ac:dyDescent="0.25">
      <c r="A3522" s="405">
        <v>3002715</v>
      </c>
      <c r="B3522" s="406">
        <v>42537</v>
      </c>
      <c r="C3522" s="405" t="s">
        <v>5682</v>
      </c>
      <c r="D3522" s="401" t="s">
        <v>7954</v>
      </c>
      <c r="E3522" s="120">
        <v>150</v>
      </c>
      <c r="F3522" s="133" t="s">
        <v>307</v>
      </c>
      <c r="G3522" s="404" t="s">
        <v>7486</v>
      </c>
      <c r="H3522" s="411">
        <v>187.16</v>
      </c>
      <c r="I3522" s="89">
        <f t="shared" ref="I3522:I3530" si="684">-(H3522*0.09)</f>
        <v>-16.8444</v>
      </c>
      <c r="J3522" s="391">
        <f t="shared" ref="J3522:J3530" si="685">-((H3522*0.019)+0.3)</f>
        <v>-3.8560399999999997</v>
      </c>
      <c r="K3522" s="90">
        <f t="shared" ref="K3522:K3575" si="686">SUM(H3522:J3522)</f>
        <v>166.45955999999998</v>
      </c>
      <c r="L3522" s="131">
        <v>690</v>
      </c>
      <c r="M3522" s="187">
        <v>23.65</v>
      </c>
      <c r="N3522" s="91">
        <f t="shared" si="680"/>
        <v>127.15</v>
      </c>
      <c r="O3522" s="411">
        <f t="shared" si="668"/>
        <v>39.309559999999976</v>
      </c>
      <c r="P3522" s="132" t="s">
        <v>52</v>
      </c>
      <c r="Q3522" s="232"/>
      <c r="R3522" s="411"/>
      <c r="T3522" s="134" t="s">
        <v>145</v>
      </c>
      <c r="U3522" s="267" t="s">
        <v>7955</v>
      </c>
      <c r="AA3522" s="218"/>
    </row>
    <row r="3523" spans="1:27" ht="24" x14ac:dyDescent="0.25">
      <c r="A3523" s="405">
        <v>3002716</v>
      </c>
      <c r="B3523" s="406">
        <v>42537</v>
      </c>
      <c r="C3523" s="405" t="s">
        <v>5682</v>
      </c>
      <c r="D3523" s="401" t="s">
        <v>7956</v>
      </c>
      <c r="E3523" s="120">
        <v>90</v>
      </c>
      <c r="F3523" s="133" t="s">
        <v>300</v>
      </c>
      <c r="G3523" s="404" t="s">
        <v>7486</v>
      </c>
      <c r="H3523" s="411">
        <v>403.75</v>
      </c>
      <c r="I3523" s="89">
        <f t="shared" si="684"/>
        <v>-36.337499999999999</v>
      </c>
      <c r="J3523" s="391">
        <f t="shared" si="685"/>
        <v>-7.9712499999999995</v>
      </c>
      <c r="K3523" s="90">
        <f t="shared" si="686"/>
        <v>359.44125000000003</v>
      </c>
      <c r="L3523" s="131">
        <v>2150</v>
      </c>
      <c r="M3523" s="187">
        <v>40.68</v>
      </c>
      <c r="N3523" s="91">
        <f t="shared" si="680"/>
        <v>234.18</v>
      </c>
      <c r="O3523" s="411">
        <f t="shared" si="668"/>
        <v>125.26125000000002</v>
      </c>
      <c r="P3523" s="132" t="s">
        <v>52</v>
      </c>
      <c r="Q3523" s="232"/>
      <c r="R3523" s="411"/>
      <c r="T3523" s="134" t="s">
        <v>145</v>
      </c>
      <c r="U3523" s="267" t="s">
        <v>7957</v>
      </c>
      <c r="AA3523" s="218"/>
    </row>
    <row r="3524" spans="1:27" ht="24" x14ac:dyDescent="0.25">
      <c r="A3524" s="405">
        <v>3002717</v>
      </c>
      <c r="B3524" s="406">
        <v>42537</v>
      </c>
      <c r="C3524" s="405" t="s">
        <v>5682</v>
      </c>
      <c r="D3524" s="401" t="s">
        <v>7958</v>
      </c>
      <c r="E3524" s="120">
        <v>250</v>
      </c>
      <c r="F3524" s="119" t="s">
        <v>7959</v>
      </c>
      <c r="G3524" s="404" t="s">
        <v>45</v>
      </c>
      <c r="H3524" s="411">
        <v>209</v>
      </c>
      <c r="I3524" s="89">
        <f t="shared" si="684"/>
        <v>-18.809999999999999</v>
      </c>
      <c r="J3524" s="391">
        <f t="shared" si="685"/>
        <v>-4.2709999999999999</v>
      </c>
      <c r="K3524" s="90">
        <f t="shared" si="686"/>
        <v>185.91900000000001</v>
      </c>
      <c r="L3524" s="187">
        <v>448</v>
      </c>
      <c r="M3524" s="187">
        <v>10.17</v>
      </c>
      <c r="N3524" s="91">
        <f t="shared" si="680"/>
        <v>122.17</v>
      </c>
      <c r="O3524" s="411">
        <f t="shared" si="668"/>
        <v>63.749000000000009</v>
      </c>
      <c r="P3524" s="132" t="s">
        <v>643</v>
      </c>
      <c r="Q3524" s="232"/>
      <c r="R3524" s="411"/>
      <c r="T3524" s="134" t="s">
        <v>145</v>
      </c>
      <c r="U3524" s="267" t="s">
        <v>7960</v>
      </c>
      <c r="AA3524" s="218"/>
    </row>
    <row r="3525" spans="1:27" ht="24" x14ac:dyDescent="0.25">
      <c r="A3525" s="405">
        <v>3002718</v>
      </c>
      <c r="B3525" s="406">
        <v>42537</v>
      </c>
      <c r="C3525" s="405" t="s">
        <v>5682</v>
      </c>
      <c r="D3525" s="401" t="s">
        <v>7961</v>
      </c>
      <c r="E3525" s="120">
        <v>100</v>
      </c>
      <c r="F3525" s="133" t="s">
        <v>161</v>
      </c>
      <c r="G3525" s="404" t="s">
        <v>7486</v>
      </c>
      <c r="H3525" s="411">
        <v>253.8</v>
      </c>
      <c r="I3525" s="89">
        <f t="shared" si="684"/>
        <v>-22.841999999999999</v>
      </c>
      <c r="J3525" s="391">
        <f t="shared" si="685"/>
        <v>-5.1222000000000003</v>
      </c>
      <c r="K3525" s="90">
        <f t="shared" si="686"/>
        <v>225.83580000000003</v>
      </c>
      <c r="L3525" s="131">
        <v>1322</v>
      </c>
      <c r="M3525" s="187">
        <v>15</v>
      </c>
      <c r="N3525" s="91">
        <f t="shared" si="680"/>
        <v>147.20000000000002</v>
      </c>
      <c r="O3525" s="411">
        <f t="shared" si="668"/>
        <v>78.635800000000017</v>
      </c>
      <c r="P3525" s="132" t="s">
        <v>52</v>
      </c>
      <c r="Q3525" s="232"/>
      <c r="R3525" s="411">
        <v>18.8</v>
      </c>
      <c r="S3525" s="133" t="s">
        <v>4608</v>
      </c>
      <c r="T3525" s="134" t="s">
        <v>145</v>
      </c>
      <c r="U3525" s="267" t="s">
        <v>7962</v>
      </c>
      <c r="AA3525" s="218"/>
    </row>
    <row r="3526" spans="1:27" ht="24" x14ac:dyDescent="0.25">
      <c r="A3526" s="405">
        <v>3002719</v>
      </c>
      <c r="B3526" s="406">
        <v>42537</v>
      </c>
      <c r="C3526" s="405" t="s">
        <v>5682</v>
      </c>
      <c r="D3526" s="401" t="s">
        <v>7963</v>
      </c>
      <c r="E3526" s="120">
        <v>50</v>
      </c>
      <c r="F3526" s="133" t="s">
        <v>445</v>
      </c>
      <c r="G3526" s="404" t="s">
        <v>7486</v>
      </c>
      <c r="H3526" s="411">
        <v>127.01</v>
      </c>
      <c r="I3526" s="89">
        <f t="shared" si="684"/>
        <v>-11.430899999999999</v>
      </c>
      <c r="J3526" s="391">
        <f t="shared" si="685"/>
        <v>-2.71319</v>
      </c>
      <c r="K3526" s="90">
        <f t="shared" si="686"/>
        <v>112.86591000000001</v>
      </c>
      <c r="M3526" s="187">
        <v>18.47</v>
      </c>
      <c r="N3526" s="91">
        <f t="shared" si="680"/>
        <v>18.47</v>
      </c>
      <c r="O3526" s="411">
        <f t="shared" si="668"/>
        <v>94.395910000000015</v>
      </c>
      <c r="P3526" s="132" t="s">
        <v>52</v>
      </c>
      <c r="Q3526" s="232"/>
      <c r="R3526" s="411">
        <v>9.41</v>
      </c>
      <c r="S3526" s="133" t="s">
        <v>5572</v>
      </c>
      <c r="T3526" s="134" t="s">
        <v>145</v>
      </c>
      <c r="U3526" s="267" t="s">
        <v>7964</v>
      </c>
      <c r="AA3526" s="218"/>
    </row>
    <row r="3527" spans="1:27" ht="24" x14ac:dyDescent="0.25">
      <c r="A3527" s="405">
        <v>3002720</v>
      </c>
      <c r="B3527" s="406">
        <v>42537</v>
      </c>
      <c r="C3527" s="405" t="s">
        <v>5682</v>
      </c>
      <c r="D3527" s="401" t="s">
        <v>7965</v>
      </c>
      <c r="E3527" s="120">
        <v>250</v>
      </c>
      <c r="F3527" s="133" t="s">
        <v>1137</v>
      </c>
      <c r="G3527" s="404" t="s">
        <v>7486</v>
      </c>
      <c r="H3527" s="411">
        <v>126.35</v>
      </c>
      <c r="I3527" s="89">
        <f t="shared" si="684"/>
        <v>-11.371499999999999</v>
      </c>
      <c r="J3527" s="391">
        <f t="shared" si="685"/>
        <v>-2.7006499999999996</v>
      </c>
      <c r="K3527" s="90">
        <f t="shared" si="686"/>
        <v>112.27785</v>
      </c>
      <c r="L3527" s="131">
        <v>220</v>
      </c>
      <c r="M3527" s="187">
        <v>45.38</v>
      </c>
      <c r="N3527" s="91">
        <f t="shared" si="680"/>
        <v>100.38</v>
      </c>
      <c r="O3527" s="411">
        <f t="shared" si="668"/>
        <v>11.897850000000005</v>
      </c>
      <c r="P3527" s="132" t="s">
        <v>52</v>
      </c>
      <c r="Q3527" s="232"/>
      <c r="R3527" s="411"/>
      <c r="T3527" s="134" t="s">
        <v>145</v>
      </c>
      <c r="U3527" s="267" t="s">
        <v>7966</v>
      </c>
      <c r="AA3527" s="218"/>
    </row>
    <row r="3528" spans="1:27" ht="24" x14ac:dyDescent="0.25">
      <c r="A3528" s="405">
        <v>3002721</v>
      </c>
      <c r="B3528" s="406">
        <v>42537</v>
      </c>
      <c r="C3528" s="405" t="s">
        <v>5682</v>
      </c>
      <c r="D3528" s="401" t="s">
        <v>7967</v>
      </c>
      <c r="E3528" s="120">
        <v>50</v>
      </c>
      <c r="F3528" s="133" t="s">
        <v>7968</v>
      </c>
      <c r="G3528" s="404" t="s">
        <v>7486</v>
      </c>
      <c r="H3528" s="411">
        <v>129.78</v>
      </c>
      <c r="I3528" s="89">
        <f t="shared" si="684"/>
        <v>-11.680199999999999</v>
      </c>
      <c r="J3528" s="391">
        <f t="shared" si="685"/>
        <v>-2.7658199999999997</v>
      </c>
      <c r="K3528" s="90">
        <f t="shared" si="686"/>
        <v>115.33398</v>
      </c>
      <c r="L3528" s="187">
        <v>1650</v>
      </c>
      <c r="M3528" s="187">
        <v>16.649999999999999</v>
      </c>
      <c r="N3528" s="91">
        <f t="shared" si="680"/>
        <v>99.15</v>
      </c>
      <c r="O3528" s="411">
        <f t="shared" si="668"/>
        <v>16.183979999999991</v>
      </c>
      <c r="P3528" s="132" t="s">
        <v>235</v>
      </c>
      <c r="Q3528" s="232"/>
      <c r="R3528" s="411"/>
      <c r="T3528" s="134" t="s">
        <v>145</v>
      </c>
      <c r="U3528" s="267" t="s">
        <v>7969</v>
      </c>
      <c r="AA3528" s="218"/>
    </row>
    <row r="3529" spans="1:27" ht="24" x14ac:dyDescent="0.25">
      <c r="A3529" s="405">
        <v>3002722</v>
      </c>
      <c r="B3529" s="406">
        <v>42537</v>
      </c>
      <c r="C3529" s="405" t="s">
        <v>5682</v>
      </c>
      <c r="D3529" s="401" t="s">
        <v>7970</v>
      </c>
      <c r="E3529" s="120">
        <v>110</v>
      </c>
      <c r="F3529" s="133" t="s">
        <v>247</v>
      </c>
      <c r="G3529" s="404" t="s">
        <v>7486</v>
      </c>
      <c r="H3529" s="411">
        <v>124.3</v>
      </c>
      <c r="I3529" s="89">
        <f t="shared" si="684"/>
        <v>-11.186999999999999</v>
      </c>
      <c r="J3529" s="391">
        <f t="shared" si="685"/>
        <v>-2.6616999999999997</v>
      </c>
      <c r="K3529" s="90">
        <f t="shared" si="686"/>
        <v>110.4513</v>
      </c>
      <c r="L3529" s="131">
        <v>590</v>
      </c>
      <c r="M3529" s="187">
        <v>38.72</v>
      </c>
      <c r="N3529" s="91">
        <f t="shared" si="680"/>
        <v>103.62</v>
      </c>
      <c r="O3529" s="411">
        <f t="shared" si="668"/>
        <v>6.8312999999999988</v>
      </c>
      <c r="P3529" s="132" t="s">
        <v>52</v>
      </c>
      <c r="Q3529" s="232"/>
      <c r="R3529" s="411"/>
      <c r="T3529" s="134" t="s">
        <v>145</v>
      </c>
      <c r="U3529" s="267" t="s">
        <v>7971</v>
      </c>
      <c r="AA3529" s="218"/>
    </row>
    <row r="3530" spans="1:27" ht="24" x14ac:dyDescent="0.25">
      <c r="A3530" s="405">
        <v>3002723</v>
      </c>
      <c r="B3530" s="406">
        <v>42537</v>
      </c>
      <c r="C3530" s="405" t="s">
        <v>5682</v>
      </c>
      <c r="D3530" s="401" t="s">
        <v>7972</v>
      </c>
      <c r="E3530" s="120">
        <v>500</v>
      </c>
      <c r="F3530" s="119" t="s">
        <v>7973</v>
      </c>
      <c r="G3530" s="404" t="s">
        <v>7486</v>
      </c>
      <c r="H3530" s="411">
        <v>168</v>
      </c>
      <c r="I3530" s="89">
        <f t="shared" si="684"/>
        <v>-15.12</v>
      </c>
      <c r="J3530" s="391">
        <f t="shared" si="685"/>
        <v>-3.4919999999999995</v>
      </c>
      <c r="K3530" s="90">
        <f t="shared" si="686"/>
        <v>149.38800000000001</v>
      </c>
      <c r="L3530" s="187">
        <v>163</v>
      </c>
      <c r="M3530" s="187">
        <v>8.3000000000000007</v>
      </c>
      <c r="N3530" s="91">
        <f t="shared" si="680"/>
        <v>89.8</v>
      </c>
      <c r="O3530" s="411">
        <f t="shared" si="668"/>
        <v>59.588000000000008</v>
      </c>
      <c r="P3530" s="132" t="s">
        <v>643</v>
      </c>
      <c r="Q3530" s="232"/>
      <c r="R3530" s="411"/>
      <c r="T3530" s="134" t="s">
        <v>145</v>
      </c>
      <c r="U3530" s="267" t="s">
        <v>7974</v>
      </c>
      <c r="AA3530" s="218"/>
    </row>
    <row r="3531" spans="1:27" ht="24" x14ac:dyDescent="0.25">
      <c r="A3531" s="405">
        <v>3002724</v>
      </c>
      <c r="B3531" s="406">
        <v>42538</v>
      </c>
      <c r="C3531" s="405" t="s">
        <v>56</v>
      </c>
      <c r="D3531" s="401" t="s">
        <v>7975</v>
      </c>
      <c r="E3531" s="120">
        <v>2800</v>
      </c>
      <c r="F3531" s="133" t="s">
        <v>7976</v>
      </c>
      <c r="G3531" s="404" t="s">
        <v>7486</v>
      </c>
      <c r="H3531" s="411">
        <v>336</v>
      </c>
      <c r="I3531" s="411">
        <v>0</v>
      </c>
      <c r="J3531" s="411">
        <v>0</v>
      </c>
      <c r="K3531" s="90">
        <f t="shared" si="686"/>
        <v>336</v>
      </c>
      <c r="L3531" s="187">
        <v>74</v>
      </c>
      <c r="N3531" s="91">
        <f t="shared" si="680"/>
        <v>207.20000000000002</v>
      </c>
      <c r="O3531" s="411">
        <f t="shared" si="668"/>
        <v>128.79999999999998</v>
      </c>
      <c r="P3531" s="132" t="s">
        <v>7977</v>
      </c>
      <c r="Q3531" s="232"/>
      <c r="R3531" s="411"/>
      <c r="T3531" s="134" t="s">
        <v>7978</v>
      </c>
      <c r="U3531" s="266"/>
      <c r="V3531" s="133" t="s">
        <v>5426</v>
      </c>
      <c r="AA3531" s="218"/>
    </row>
    <row r="3532" spans="1:27" ht="24" x14ac:dyDescent="0.25">
      <c r="A3532" s="405">
        <v>3002725</v>
      </c>
      <c r="B3532" s="406">
        <v>42538</v>
      </c>
      <c r="C3532" s="405" t="s">
        <v>327</v>
      </c>
      <c r="D3532" s="401" t="s">
        <v>7979</v>
      </c>
      <c r="E3532" s="120">
        <v>1000</v>
      </c>
      <c r="F3532" s="133" t="s">
        <v>451</v>
      </c>
      <c r="G3532" s="404" t="s">
        <v>7486</v>
      </c>
      <c r="H3532" s="411">
        <v>550</v>
      </c>
      <c r="I3532" s="411">
        <v>0</v>
      </c>
      <c r="J3532" s="391">
        <f>-((H3532*0.022)+0.3)</f>
        <v>-12.4</v>
      </c>
      <c r="K3532" s="90">
        <f t="shared" si="686"/>
        <v>537.6</v>
      </c>
      <c r="L3532" s="131">
        <v>300</v>
      </c>
      <c r="M3532" s="187">
        <v>63.56</v>
      </c>
      <c r="N3532" s="91">
        <f t="shared" si="680"/>
        <v>363.56</v>
      </c>
      <c r="O3532" s="411">
        <f t="shared" si="668"/>
        <v>174.04000000000002</v>
      </c>
      <c r="P3532" s="132" t="s">
        <v>52</v>
      </c>
      <c r="Q3532" s="232"/>
      <c r="R3532" s="411"/>
      <c r="T3532" s="134" t="s">
        <v>145</v>
      </c>
      <c r="U3532" s="267" t="s">
        <v>7980</v>
      </c>
      <c r="W3532" s="153" t="s">
        <v>7981</v>
      </c>
      <c r="AA3532" s="218"/>
    </row>
    <row r="3533" spans="1:27" ht="24" x14ac:dyDescent="0.25">
      <c r="A3533" s="405">
        <v>3002726</v>
      </c>
      <c r="B3533" s="406">
        <v>42538</v>
      </c>
      <c r="C3533" s="405" t="s">
        <v>141</v>
      </c>
      <c r="D3533" s="401" t="s">
        <v>7982</v>
      </c>
      <c r="E3533" s="120">
        <v>1000</v>
      </c>
      <c r="F3533" s="119" t="s">
        <v>7983</v>
      </c>
      <c r="G3533" s="404" t="s">
        <v>7486</v>
      </c>
      <c r="H3533" s="411">
        <v>304</v>
      </c>
      <c r="I3533" s="411">
        <v>0</v>
      </c>
      <c r="J3533" s="391">
        <f>-((H3533*0.0325)+0.3)</f>
        <v>-10.180000000000001</v>
      </c>
      <c r="K3533" s="90">
        <f t="shared" si="686"/>
        <v>293.82</v>
      </c>
      <c r="L3533" s="187">
        <v>140</v>
      </c>
      <c r="M3533" s="187">
        <v>17.39</v>
      </c>
      <c r="N3533" s="91">
        <f t="shared" si="680"/>
        <v>157.38999999999999</v>
      </c>
      <c r="O3533" s="411">
        <f t="shared" ref="O3533:O3596" si="687">K3533-N3533</f>
        <v>136.43</v>
      </c>
      <c r="P3533" s="132" t="s">
        <v>183</v>
      </c>
      <c r="Q3533" s="232"/>
      <c r="R3533" s="411"/>
      <c r="T3533" s="134" t="s">
        <v>145</v>
      </c>
      <c r="U3533" s="267" t="s">
        <v>7984</v>
      </c>
      <c r="W3533" s="153" t="s">
        <v>7985</v>
      </c>
      <c r="AA3533" s="218"/>
    </row>
    <row r="3534" spans="1:27" ht="24" customHeight="1" x14ac:dyDescent="0.25">
      <c r="A3534" s="419">
        <v>3002727</v>
      </c>
      <c r="B3534" s="421">
        <v>42538</v>
      </c>
      <c r="C3534" s="419" t="s">
        <v>327</v>
      </c>
      <c r="D3534" s="429" t="s">
        <v>7986</v>
      </c>
      <c r="E3534" s="120">
        <v>300</v>
      </c>
      <c r="F3534" s="133" t="s">
        <v>7987</v>
      </c>
      <c r="G3534" s="434" t="s">
        <v>7486</v>
      </c>
      <c r="H3534" s="427">
        <v>361.25</v>
      </c>
      <c r="I3534" s="427">
        <v>0</v>
      </c>
      <c r="J3534" s="425">
        <f>-((H3534*0.022)+0.3)</f>
        <v>-8.2475000000000005</v>
      </c>
      <c r="K3534" s="425">
        <f t="shared" si="686"/>
        <v>353.0025</v>
      </c>
      <c r="L3534" s="131">
        <v>750</v>
      </c>
      <c r="M3534" s="187">
        <v>54.07</v>
      </c>
      <c r="N3534" s="91">
        <f t="shared" si="680"/>
        <v>279.07</v>
      </c>
      <c r="O3534" s="411">
        <f t="shared" si="687"/>
        <v>73.932500000000005</v>
      </c>
      <c r="P3534" s="132" t="s">
        <v>144</v>
      </c>
      <c r="Q3534" s="232"/>
      <c r="R3534" s="411"/>
      <c r="T3534" s="439" t="s">
        <v>145</v>
      </c>
      <c r="U3534" s="267" t="s">
        <v>7988</v>
      </c>
      <c r="V3534" s="133" t="s">
        <v>7989</v>
      </c>
      <c r="W3534" s="153" t="s">
        <v>7990</v>
      </c>
      <c r="AA3534" s="218"/>
    </row>
    <row r="3535" spans="1:27" x14ac:dyDescent="0.25">
      <c r="A3535" s="420"/>
      <c r="B3535" s="422"/>
      <c r="C3535" s="420"/>
      <c r="D3535" s="431"/>
      <c r="E3535" s="120">
        <v>1</v>
      </c>
      <c r="F3535" s="133" t="s">
        <v>7991</v>
      </c>
      <c r="G3535" s="436"/>
      <c r="H3535" s="428"/>
      <c r="I3535" s="428"/>
      <c r="J3535" s="426"/>
      <c r="K3535" s="426"/>
      <c r="L3535" s="131">
        <v>30000</v>
      </c>
      <c r="M3535" s="187">
        <v>11.42</v>
      </c>
      <c r="N3535" s="91">
        <f t="shared" si="680"/>
        <v>41.42</v>
      </c>
      <c r="O3535" s="411">
        <f t="shared" si="687"/>
        <v>-41.42</v>
      </c>
      <c r="P3535" s="132" t="s">
        <v>144</v>
      </c>
      <c r="Q3535" s="232"/>
      <c r="R3535" s="411"/>
      <c r="T3535" s="441"/>
      <c r="U3535" s="267" t="s">
        <v>7992</v>
      </c>
      <c r="AA3535" s="218"/>
    </row>
    <row r="3536" spans="1:27" ht="72" x14ac:dyDescent="0.25">
      <c r="A3536" s="405">
        <v>3002728</v>
      </c>
      <c r="B3536" s="406">
        <v>42538</v>
      </c>
      <c r="C3536" s="405" t="s">
        <v>56</v>
      </c>
      <c r="D3536" s="401" t="s">
        <v>7993</v>
      </c>
      <c r="E3536" s="120">
        <v>8000</v>
      </c>
      <c r="F3536" s="133" t="s">
        <v>7994</v>
      </c>
      <c r="G3536" s="404" t="s">
        <v>7486</v>
      </c>
      <c r="H3536" s="411">
        <v>2400</v>
      </c>
      <c r="I3536" s="411">
        <v>0</v>
      </c>
      <c r="J3536" s="411">
        <v>0</v>
      </c>
      <c r="K3536" s="90">
        <f t="shared" si="686"/>
        <v>2400</v>
      </c>
      <c r="L3536" s="187">
        <v>245</v>
      </c>
      <c r="M3536" s="187">
        <v>0</v>
      </c>
      <c r="N3536" s="91">
        <f t="shared" si="680"/>
        <v>1960</v>
      </c>
      <c r="O3536" s="411">
        <f t="shared" si="687"/>
        <v>440</v>
      </c>
      <c r="P3536" s="132" t="s">
        <v>183</v>
      </c>
      <c r="Q3536" s="232"/>
      <c r="R3536" s="411"/>
      <c r="T3536" s="134" t="s">
        <v>204</v>
      </c>
      <c r="U3536" s="266" t="s">
        <v>7995</v>
      </c>
      <c r="V3536" s="133" t="s">
        <v>7918</v>
      </c>
      <c r="W3536" s="153" t="s">
        <v>266</v>
      </c>
      <c r="AA3536" s="218"/>
    </row>
    <row r="3537" spans="1:27" ht="24" x14ac:dyDescent="0.25">
      <c r="A3537" s="405">
        <v>3002729</v>
      </c>
      <c r="B3537" s="406">
        <v>42538</v>
      </c>
      <c r="C3537" s="405" t="s">
        <v>5682</v>
      </c>
      <c r="D3537" s="401" t="s">
        <v>7996</v>
      </c>
      <c r="E3537" s="120">
        <v>300</v>
      </c>
      <c r="F3537" s="133" t="s">
        <v>6348</v>
      </c>
      <c r="G3537" s="404" t="s">
        <v>7486</v>
      </c>
      <c r="H3537" s="411">
        <v>203.15</v>
      </c>
      <c r="I3537" s="89">
        <f t="shared" ref="I3537:I3541" si="688">-(H3537*0.09)</f>
        <v>-18.2835</v>
      </c>
      <c r="J3537" s="391">
        <f t="shared" ref="J3537:J3541" si="689">-((H3537*0.019)+0.3)</f>
        <v>-4.1598500000000005</v>
      </c>
      <c r="K3537" s="90">
        <f t="shared" si="686"/>
        <v>180.70665</v>
      </c>
      <c r="M3537" s="187">
        <v>14.74</v>
      </c>
      <c r="N3537" s="91">
        <f t="shared" si="680"/>
        <v>14.74</v>
      </c>
      <c r="O3537" s="411">
        <f t="shared" si="687"/>
        <v>165.96664999999999</v>
      </c>
      <c r="P3537" s="132" t="s">
        <v>86</v>
      </c>
      <c r="Q3537" s="232"/>
      <c r="R3537" s="411"/>
      <c r="T3537" s="134" t="s">
        <v>145</v>
      </c>
      <c r="U3537" s="267" t="s">
        <v>7997</v>
      </c>
      <c r="AA3537" s="218"/>
    </row>
    <row r="3538" spans="1:27" ht="24" x14ac:dyDescent="0.25">
      <c r="A3538" s="405">
        <v>3002730</v>
      </c>
      <c r="B3538" s="406">
        <v>42538</v>
      </c>
      <c r="C3538" s="405" t="s">
        <v>5682</v>
      </c>
      <c r="D3538" s="401" t="s">
        <v>7998</v>
      </c>
      <c r="E3538" s="120">
        <v>250</v>
      </c>
      <c r="F3538" s="133" t="s">
        <v>7999</v>
      </c>
      <c r="G3538" s="404" t="s">
        <v>7486</v>
      </c>
      <c r="H3538" s="411">
        <v>166.25</v>
      </c>
      <c r="I3538" s="89">
        <f t="shared" si="688"/>
        <v>-14.962499999999999</v>
      </c>
      <c r="J3538" s="391">
        <f t="shared" si="689"/>
        <v>-3.4587499999999998</v>
      </c>
      <c r="K3538" s="90">
        <f t="shared" si="686"/>
        <v>147.82874999999999</v>
      </c>
      <c r="L3538" s="187">
        <v>320</v>
      </c>
      <c r="M3538" s="187">
        <v>17.28</v>
      </c>
      <c r="N3538" s="91">
        <f t="shared" si="680"/>
        <v>97.28</v>
      </c>
      <c r="O3538" s="411">
        <f t="shared" si="687"/>
        <v>50.548749999999984</v>
      </c>
      <c r="P3538" s="132" t="s">
        <v>183</v>
      </c>
      <c r="Q3538" s="232"/>
      <c r="R3538" s="411"/>
      <c r="T3538" s="134" t="s">
        <v>145</v>
      </c>
      <c r="U3538" s="267" t="s">
        <v>8000</v>
      </c>
      <c r="AA3538" s="218"/>
    </row>
    <row r="3539" spans="1:27" ht="24" x14ac:dyDescent="0.25">
      <c r="A3539" s="405">
        <v>3002731</v>
      </c>
      <c r="B3539" s="406">
        <v>42538</v>
      </c>
      <c r="C3539" s="405" t="s">
        <v>5682</v>
      </c>
      <c r="D3539" s="401" t="s">
        <v>6663</v>
      </c>
      <c r="E3539" s="120">
        <v>100</v>
      </c>
      <c r="F3539" s="133" t="s">
        <v>161</v>
      </c>
      <c r="G3539" s="404" t="s">
        <v>7486</v>
      </c>
      <c r="H3539" s="411">
        <v>235</v>
      </c>
      <c r="I3539" s="89">
        <f t="shared" si="688"/>
        <v>-21.15</v>
      </c>
      <c r="J3539" s="391">
        <f t="shared" si="689"/>
        <v>-4.7649999999999997</v>
      </c>
      <c r="K3539" s="90">
        <f t="shared" si="686"/>
        <v>209.08500000000001</v>
      </c>
      <c r="L3539" s="131">
        <v>1322</v>
      </c>
      <c r="M3539" s="187">
        <v>41.96</v>
      </c>
      <c r="N3539" s="91">
        <f t="shared" si="680"/>
        <v>174.16000000000003</v>
      </c>
      <c r="O3539" s="411">
        <f t="shared" si="687"/>
        <v>34.924999999999983</v>
      </c>
      <c r="P3539" s="132" t="s">
        <v>52</v>
      </c>
      <c r="Q3539" s="232"/>
      <c r="R3539" s="411"/>
      <c r="T3539" s="134" t="s">
        <v>145</v>
      </c>
      <c r="U3539" s="267" t="s">
        <v>8001</v>
      </c>
      <c r="AA3539" s="218"/>
    </row>
    <row r="3540" spans="1:27" ht="24" x14ac:dyDescent="0.25">
      <c r="A3540" s="405">
        <v>3002732</v>
      </c>
      <c r="B3540" s="406">
        <v>42538</v>
      </c>
      <c r="C3540" s="405" t="s">
        <v>5682</v>
      </c>
      <c r="D3540" s="401" t="s">
        <v>8002</v>
      </c>
      <c r="E3540" s="120">
        <v>50</v>
      </c>
      <c r="F3540" s="133" t="s">
        <v>431</v>
      </c>
      <c r="G3540" s="404" t="s">
        <v>7486</v>
      </c>
      <c r="H3540" s="411">
        <v>130.13999999999999</v>
      </c>
      <c r="I3540" s="89">
        <f t="shared" si="688"/>
        <v>-11.712599999999998</v>
      </c>
      <c r="J3540" s="391">
        <f t="shared" si="689"/>
        <v>-2.7726599999999997</v>
      </c>
      <c r="K3540" s="90">
        <f t="shared" si="686"/>
        <v>115.65473999999999</v>
      </c>
      <c r="L3540" s="131">
        <v>990</v>
      </c>
      <c r="N3540" s="91">
        <f t="shared" si="680"/>
        <v>49.5</v>
      </c>
      <c r="O3540" s="411">
        <f t="shared" si="687"/>
        <v>66.15473999999999</v>
      </c>
      <c r="P3540" s="132" t="s">
        <v>52</v>
      </c>
      <c r="Q3540" s="232"/>
      <c r="R3540" s="411"/>
      <c r="T3540" s="134" t="s">
        <v>145</v>
      </c>
      <c r="U3540" s="267" t="s">
        <v>8003</v>
      </c>
      <c r="AA3540" s="218"/>
    </row>
    <row r="3541" spans="1:27" ht="24" x14ac:dyDescent="0.25">
      <c r="A3541" s="405">
        <v>3002733</v>
      </c>
      <c r="B3541" s="406">
        <v>42538</v>
      </c>
      <c r="C3541" s="405" t="s">
        <v>5682</v>
      </c>
      <c r="D3541" s="401" t="s">
        <v>8004</v>
      </c>
      <c r="E3541" s="120">
        <v>250</v>
      </c>
      <c r="F3541" s="133" t="s">
        <v>1137</v>
      </c>
      <c r="G3541" s="404" t="s">
        <v>7486</v>
      </c>
      <c r="H3541" s="411">
        <v>126.35</v>
      </c>
      <c r="I3541" s="89">
        <f t="shared" si="688"/>
        <v>-11.371499999999999</v>
      </c>
      <c r="J3541" s="391">
        <f t="shared" si="689"/>
        <v>-2.7006499999999996</v>
      </c>
      <c r="K3541" s="90">
        <f t="shared" si="686"/>
        <v>112.27785</v>
      </c>
      <c r="L3541" s="131">
        <v>220</v>
      </c>
      <c r="N3541" s="91">
        <f t="shared" si="680"/>
        <v>55</v>
      </c>
      <c r="O3541" s="411">
        <f t="shared" si="687"/>
        <v>57.277850000000001</v>
      </c>
      <c r="P3541" s="132" t="s">
        <v>52</v>
      </c>
      <c r="Q3541" s="232"/>
      <c r="R3541" s="411"/>
      <c r="T3541" s="134" t="s">
        <v>145</v>
      </c>
      <c r="U3541" s="267" t="s">
        <v>8005</v>
      </c>
      <c r="AA3541" s="218"/>
    </row>
    <row r="3542" spans="1:27" ht="24" x14ac:dyDescent="0.25">
      <c r="A3542" s="405">
        <v>3002734</v>
      </c>
      <c r="B3542" s="406">
        <v>42538</v>
      </c>
      <c r="C3542" s="405" t="s">
        <v>63</v>
      </c>
      <c r="D3542" s="401" t="s">
        <v>8006</v>
      </c>
      <c r="E3542" s="120">
        <v>1500</v>
      </c>
      <c r="F3542" s="133" t="s">
        <v>8007</v>
      </c>
      <c r="G3542" s="404" t="s">
        <v>7486</v>
      </c>
      <c r="H3542" s="411">
        <v>3225</v>
      </c>
      <c r="I3542" s="411">
        <v>0</v>
      </c>
      <c r="J3542" s="391">
        <f>-((H3542*0.022)+0.3)</f>
        <v>-71.25</v>
      </c>
      <c r="K3542" s="90">
        <f t="shared" si="686"/>
        <v>3153.75</v>
      </c>
      <c r="L3542" s="187">
        <v>941.51</v>
      </c>
      <c r="M3542" s="187">
        <v>296.61</v>
      </c>
      <c r="N3542" s="91">
        <f t="shared" si="680"/>
        <v>1708.875</v>
      </c>
      <c r="O3542" s="411">
        <f t="shared" si="687"/>
        <v>1444.875</v>
      </c>
      <c r="P3542" s="132" t="s">
        <v>46</v>
      </c>
      <c r="Q3542" s="232"/>
      <c r="R3542" s="411"/>
      <c r="T3542" s="134" t="s">
        <v>260</v>
      </c>
      <c r="U3542" s="267" t="s">
        <v>8008</v>
      </c>
      <c r="W3542" s="153" t="s">
        <v>8009</v>
      </c>
      <c r="AA3542" s="218">
        <v>10</v>
      </c>
    </row>
    <row r="3543" spans="1:27" ht="24" x14ac:dyDescent="0.25">
      <c r="A3543" s="405">
        <v>3002735</v>
      </c>
      <c r="B3543" s="406">
        <v>42538</v>
      </c>
      <c r="C3543" s="405" t="s">
        <v>327</v>
      </c>
      <c r="D3543" s="401" t="s">
        <v>8010</v>
      </c>
      <c r="E3543" s="120">
        <v>300</v>
      </c>
      <c r="F3543" s="133" t="s">
        <v>247</v>
      </c>
      <c r="G3543" s="404" t="s">
        <v>7486</v>
      </c>
      <c r="H3543" s="411">
        <v>336</v>
      </c>
      <c r="I3543" s="411">
        <v>0</v>
      </c>
      <c r="J3543" s="391">
        <f>-((H3543*0.022)+0.3)</f>
        <v>-7.6919999999999993</v>
      </c>
      <c r="K3543" s="90">
        <f t="shared" si="686"/>
        <v>328.30799999999999</v>
      </c>
      <c r="L3543" s="131">
        <v>590</v>
      </c>
      <c r="M3543" s="187">
        <v>48.69</v>
      </c>
      <c r="N3543" s="91">
        <f t="shared" si="680"/>
        <v>225.69</v>
      </c>
      <c r="O3543" s="411">
        <f t="shared" si="687"/>
        <v>102.61799999999999</v>
      </c>
      <c r="P3543" s="132" t="s">
        <v>52</v>
      </c>
      <c r="Q3543" s="232"/>
      <c r="R3543" s="411"/>
      <c r="T3543" s="172" t="s">
        <v>145</v>
      </c>
      <c r="U3543" s="304" t="s">
        <v>8011</v>
      </c>
      <c r="W3543" s="153" t="s">
        <v>8012</v>
      </c>
      <c r="AA3543" s="218"/>
    </row>
    <row r="3544" spans="1:27" ht="24" x14ac:dyDescent="0.25">
      <c r="A3544" s="419">
        <v>3002736</v>
      </c>
      <c r="B3544" s="421">
        <v>42538</v>
      </c>
      <c r="C3544" s="419" t="s">
        <v>63</v>
      </c>
      <c r="D3544" s="417" t="s">
        <v>8013</v>
      </c>
      <c r="E3544" s="120">
        <v>2000</v>
      </c>
      <c r="F3544" s="133" t="s">
        <v>8014</v>
      </c>
      <c r="G3544" s="434" t="s">
        <v>7486</v>
      </c>
      <c r="H3544" s="427">
        <v>4500</v>
      </c>
      <c r="I3544" s="427">
        <v>0</v>
      </c>
      <c r="J3544" s="425">
        <f>-((H3544*0.022)+0.3)</f>
        <v>-99.3</v>
      </c>
      <c r="K3544" s="425">
        <f t="shared" si="686"/>
        <v>4400.7</v>
      </c>
      <c r="L3544" s="131">
        <v>1296</v>
      </c>
      <c r="M3544" s="187">
        <f>379.06+60</f>
        <v>439.06</v>
      </c>
      <c r="N3544" s="91">
        <f t="shared" si="680"/>
        <v>3031.06</v>
      </c>
      <c r="O3544" s="411">
        <f t="shared" si="687"/>
        <v>1369.6399999999999</v>
      </c>
      <c r="P3544" s="132" t="s">
        <v>52</v>
      </c>
      <c r="Q3544" s="232"/>
      <c r="R3544" s="411"/>
      <c r="T3544" s="134" t="s">
        <v>1209</v>
      </c>
      <c r="U3544" s="267" t="s">
        <v>8015</v>
      </c>
      <c r="V3544" s="133" t="s">
        <v>55</v>
      </c>
      <c r="W3544" s="153" t="s">
        <v>8016</v>
      </c>
      <c r="AA3544" s="595">
        <v>25</v>
      </c>
    </row>
    <row r="3545" spans="1:27" ht="24" x14ac:dyDescent="0.25">
      <c r="A3545" s="420"/>
      <c r="B3545" s="422"/>
      <c r="C3545" s="420"/>
      <c r="D3545" s="418"/>
      <c r="E3545" s="120">
        <v>3000</v>
      </c>
      <c r="F3545" s="133" t="s">
        <v>8017</v>
      </c>
      <c r="G3545" s="436"/>
      <c r="H3545" s="428"/>
      <c r="I3545" s="428"/>
      <c r="J3545" s="426"/>
      <c r="K3545" s="426"/>
      <c r="L3545" s="187">
        <v>200</v>
      </c>
      <c r="M3545" s="187">
        <v>150.52000000000001</v>
      </c>
      <c r="N3545" s="91">
        <f t="shared" si="680"/>
        <v>750.52</v>
      </c>
      <c r="O3545" s="411">
        <f t="shared" si="687"/>
        <v>-750.52</v>
      </c>
      <c r="P3545" s="132" t="s">
        <v>183</v>
      </c>
      <c r="Q3545" s="232"/>
      <c r="R3545" s="411"/>
      <c r="T3545" s="134" t="s">
        <v>3488</v>
      </c>
      <c r="U3545" s="267" t="s">
        <v>8018</v>
      </c>
      <c r="V3545" s="133" t="s">
        <v>8019</v>
      </c>
      <c r="AA3545" s="596"/>
    </row>
    <row r="3546" spans="1:27" ht="24" x14ac:dyDescent="0.25">
      <c r="A3546" s="419">
        <v>3002737</v>
      </c>
      <c r="B3546" s="421">
        <v>42538</v>
      </c>
      <c r="C3546" s="419" t="s">
        <v>63</v>
      </c>
      <c r="D3546" s="417" t="s">
        <v>8020</v>
      </c>
      <c r="E3546" s="120">
        <v>250</v>
      </c>
      <c r="F3546" s="133" t="s">
        <v>1547</v>
      </c>
      <c r="G3546" s="434" t="s">
        <v>7486</v>
      </c>
      <c r="H3546" s="427">
        <v>1237.5</v>
      </c>
      <c r="I3546" s="427">
        <v>0</v>
      </c>
      <c r="J3546" s="425">
        <f>-((H3546*0.022)+0.3)</f>
        <v>-27.524999999999999</v>
      </c>
      <c r="K3546" s="425">
        <f t="shared" si="686"/>
        <v>1209.9749999999999</v>
      </c>
      <c r="L3546" s="131">
        <v>419</v>
      </c>
      <c r="M3546" s="187">
        <v>47.51</v>
      </c>
      <c r="N3546" s="91">
        <f t="shared" si="680"/>
        <v>152.26</v>
      </c>
      <c r="O3546" s="411">
        <f t="shared" si="687"/>
        <v>1057.7149999999999</v>
      </c>
      <c r="P3546" s="132" t="s">
        <v>52</v>
      </c>
      <c r="Q3546" s="232"/>
      <c r="R3546" s="411"/>
      <c r="T3546" s="134" t="s">
        <v>145</v>
      </c>
      <c r="U3546" s="267" t="s">
        <v>8021</v>
      </c>
      <c r="W3546" s="153" t="s">
        <v>8022</v>
      </c>
      <c r="AA3546" s="473">
        <v>10</v>
      </c>
    </row>
    <row r="3547" spans="1:27" x14ac:dyDescent="0.25">
      <c r="A3547" s="420"/>
      <c r="B3547" s="422"/>
      <c r="C3547" s="420"/>
      <c r="D3547" s="418"/>
      <c r="E3547" s="120">
        <v>500</v>
      </c>
      <c r="F3547" s="133" t="s">
        <v>178</v>
      </c>
      <c r="G3547" s="436"/>
      <c r="H3547" s="428"/>
      <c r="I3547" s="428"/>
      <c r="J3547" s="426"/>
      <c r="K3547" s="426"/>
      <c r="L3547" s="187">
        <v>1230</v>
      </c>
      <c r="M3547" s="187">
        <v>72</v>
      </c>
      <c r="N3547" s="91">
        <f t="shared" si="680"/>
        <v>687</v>
      </c>
      <c r="O3547" s="411">
        <f t="shared" si="687"/>
        <v>-687</v>
      </c>
      <c r="P3547" s="132" t="s">
        <v>183</v>
      </c>
      <c r="Q3547" s="232"/>
      <c r="R3547" s="411"/>
      <c r="T3547" s="134" t="s">
        <v>8023</v>
      </c>
      <c r="U3547" s="267" t="s">
        <v>8024</v>
      </c>
      <c r="AA3547" s="474"/>
    </row>
    <row r="3548" spans="1:27" ht="24" x14ac:dyDescent="0.25">
      <c r="A3548" s="405">
        <v>3002738</v>
      </c>
      <c r="B3548" s="406">
        <v>42541</v>
      </c>
      <c r="C3548" s="405" t="s">
        <v>56</v>
      </c>
      <c r="D3548" s="401" t="s">
        <v>4020</v>
      </c>
      <c r="E3548" s="120">
        <v>2000</v>
      </c>
      <c r="F3548" s="133" t="s">
        <v>8025</v>
      </c>
      <c r="G3548" s="404" t="s">
        <v>7486</v>
      </c>
      <c r="H3548" s="411">
        <v>280</v>
      </c>
      <c r="I3548" s="411">
        <v>0</v>
      </c>
      <c r="J3548" s="411">
        <v>0</v>
      </c>
      <c r="K3548" s="90">
        <f t="shared" si="686"/>
        <v>280</v>
      </c>
      <c r="L3548" s="187">
        <v>77</v>
      </c>
      <c r="M3548" s="187">
        <v>16.350000000000001</v>
      </c>
      <c r="N3548" s="91">
        <f t="shared" si="680"/>
        <v>170.35</v>
      </c>
      <c r="O3548" s="411">
        <f t="shared" si="687"/>
        <v>109.65</v>
      </c>
      <c r="P3548" s="132" t="s">
        <v>183</v>
      </c>
      <c r="Q3548" s="232"/>
      <c r="R3548" s="411"/>
      <c r="T3548" s="134" t="s">
        <v>145</v>
      </c>
      <c r="U3548" s="267" t="s">
        <v>8026</v>
      </c>
      <c r="V3548" s="133" t="s">
        <v>8027</v>
      </c>
      <c r="W3548" s="153" t="s">
        <v>298</v>
      </c>
      <c r="AA3548" s="218"/>
    </row>
    <row r="3549" spans="1:27" ht="24" x14ac:dyDescent="0.25">
      <c r="A3549" s="405">
        <v>3002739</v>
      </c>
      <c r="B3549" s="406">
        <v>42541</v>
      </c>
      <c r="C3549" s="405" t="s">
        <v>63</v>
      </c>
      <c r="D3549" s="401" t="s">
        <v>8028</v>
      </c>
      <c r="E3549" s="120">
        <v>180</v>
      </c>
      <c r="F3549" s="133" t="s">
        <v>829</v>
      </c>
      <c r="G3549" s="404" t="s">
        <v>7486</v>
      </c>
      <c r="H3549" s="411">
        <v>184</v>
      </c>
      <c r="I3549" s="411">
        <v>0</v>
      </c>
      <c r="J3549" s="391">
        <f>-((H3549*0.022)+0.3)</f>
        <v>-4.3479999999999999</v>
      </c>
      <c r="K3549" s="90">
        <f t="shared" si="686"/>
        <v>179.65199999999999</v>
      </c>
      <c r="L3549" s="131">
        <v>510</v>
      </c>
      <c r="M3549" s="187">
        <v>40.700000000000003</v>
      </c>
      <c r="N3549" s="91">
        <f t="shared" si="680"/>
        <v>132.5</v>
      </c>
      <c r="O3549" s="411">
        <f t="shared" si="687"/>
        <v>47.151999999999987</v>
      </c>
      <c r="P3549" s="132" t="s">
        <v>52</v>
      </c>
      <c r="Q3549" s="232"/>
      <c r="R3549" s="411"/>
      <c r="T3549" s="134" t="s">
        <v>145</v>
      </c>
      <c r="U3549" s="267" t="s">
        <v>8029</v>
      </c>
      <c r="W3549" s="153" t="s">
        <v>8030</v>
      </c>
      <c r="AA3549" s="218"/>
    </row>
    <row r="3550" spans="1:27" x14ac:dyDescent="0.25">
      <c r="A3550" s="405">
        <v>3002740</v>
      </c>
      <c r="B3550" s="406">
        <v>42541</v>
      </c>
      <c r="C3550" s="405" t="s">
        <v>63</v>
      </c>
      <c r="D3550" s="401" t="s">
        <v>8031</v>
      </c>
      <c r="E3550" s="120">
        <v>2000</v>
      </c>
      <c r="F3550" s="133" t="s">
        <v>8032</v>
      </c>
      <c r="G3550" s="404" t="s">
        <v>7486</v>
      </c>
      <c r="H3550" s="411">
        <v>5600</v>
      </c>
      <c r="I3550" s="411">
        <v>0</v>
      </c>
      <c r="J3550" s="391">
        <f>-((H3550*0.022)+0.3)</f>
        <v>-123.49999999999999</v>
      </c>
      <c r="K3550" s="90">
        <f t="shared" si="686"/>
        <v>5476.5</v>
      </c>
      <c r="L3550" s="187">
        <v>2130</v>
      </c>
      <c r="M3550" s="131">
        <v>0</v>
      </c>
      <c r="N3550" s="91">
        <f t="shared" si="680"/>
        <v>4260</v>
      </c>
      <c r="O3550" s="411">
        <f t="shared" si="687"/>
        <v>1216.5</v>
      </c>
      <c r="P3550" s="132" t="s">
        <v>601</v>
      </c>
      <c r="Q3550" s="232"/>
      <c r="R3550" s="411"/>
      <c r="T3550" s="134" t="s">
        <v>1346</v>
      </c>
      <c r="U3550" s="267" t="s">
        <v>8033</v>
      </c>
      <c r="W3550" s="153" t="s">
        <v>8034</v>
      </c>
      <c r="AA3550" s="218">
        <v>50</v>
      </c>
    </row>
    <row r="3551" spans="1:27" ht="24" x14ac:dyDescent="0.25">
      <c r="A3551" s="405">
        <v>3002741</v>
      </c>
      <c r="B3551" s="406">
        <v>42541</v>
      </c>
      <c r="C3551" s="405" t="s">
        <v>5682</v>
      </c>
      <c r="D3551" s="401" t="s">
        <v>7555</v>
      </c>
      <c r="E3551" s="120">
        <v>150</v>
      </c>
      <c r="F3551" s="133" t="s">
        <v>288</v>
      </c>
      <c r="G3551" s="404" t="s">
        <v>7486</v>
      </c>
      <c r="H3551" s="411">
        <v>310.36</v>
      </c>
      <c r="I3551" s="89">
        <f t="shared" ref="I3551:I3566" si="690">-(H3551*0.09)</f>
        <v>-27.932400000000001</v>
      </c>
      <c r="J3551" s="391">
        <f t="shared" ref="J3551:J3566" si="691">-((H3551*0.019)+0.3)</f>
        <v>-6.1968399999999999</v>
      </c>
      <c r="K3551" s="90">
        <f t="shared" si="686"/>
        <v>276.23075999999998</v>
      </c>
      <c r="L3551" s="131">
        <v>533.33000000000004</v>
      </c>
      <c r="M3551" s="187">
        <v>60.42</v>
      </c>
      <c r="N3551" s="91">
        <f t="shared" si="680"/>
        <v>140.4195</v>
      </c>
      <c r="O3551" s="411">
        <f t="shared" si="687"/>
        <v>135.81125999999998</v>
      </c>
      <c r="P3551" s="132" t="s">
        <v>52</v>
      </c>
      <c r="Q3551" s="232"/>
      <c r="R3551" s="411"/>
      <c r="T3551" s="134" t="s">
        <v>145</v>
      </c>
      <c r="U3551" s="267" t="s">
        <v>8035</v>
      </c>
      <c r="AA3551" s="218"/>
    </row>
    <row r="3552" spans="1:27" ht="24" x14ac:dyDescent="0.25">
      <c r="A3552" s="405">
        <v>3002742</v>
      </c>
      <c r="B3552" s="406">
        <v>42541</v>
      </c>
      <c r="C3552" s="405" t="s">
        <v>5682</v>
      </c>
      <c r="D3552" s="401" t="s">
        <v>8036</v>
      </c>
      <c r="E3552" s="120">
        <v>500</v>
      </c>
      <c r="F3552" s="133" t="s">
        <v>8037</v>
      </c>
      <c r="G3552" s="404" t="s">
        <v>7486</v>
      </c>
      <c r="H3552" s="411">
        <v>221.4</v>
      </c>
      <c r="I3552" s="89">
        <f t="shared" si="690"/>
        <v>-19.925999999999998</v>
      </c>
      <c r="J3552" s="391">
        <f t="shared" si="691"/>
        <v>-4.5065999999999997</v>
      </c>
      <c r="K3552" s="90">
        <f t="shared" si="686"/>
        <v>196.96740000000003</v>
      </c>
      <c r="L3552" s="187">
        <v>170</v>
      </c>
      <c r="M3552" s="187">
        <v>27.2</v>
      </c>
      <c r="N3552" s="91">
        <f t="shared" si="680"/>
        <v>112.2</v>
      </c>
      <c r="O3552" s="411">
        <f t="shared" si="687"/>
        <v>84.767400000000023</v>
      </c>
      <c r="P3552" s="132" t="s">
        <v>1505</v>
      </c>
      <c r="Q3552" s="232"/>
      <c r="R3552" s="411">
        <v>16.399999999999999</v>
      </c>
      <c r="S3552" s="133" t="s">
        <v>5642</v>
      </c>
      <c r="T3552" s="134" t="s">
        <v>145</v>
      </c>
      <c r="U3552" s="267" t="s">
        <v>8038</v>
      </c>
      <c r="AA3552" s="218"/>
    </row>
    <row r="3553" spans="1:27" ht="24" x14ac:dyDescent="0.25">
      <c r="A3553" s="405">
        <v>3002743</v>
      </c>
      <c r="B3553" s="406">
        <v>42541</v>
      </c>
      <c r="C3553" s="405" t="s">
        <v>5682</v>
      </c>
      <c r="D3553" s="401" t="s">
        <v>8039</v>
      </c>
      <c r="E3553" s="120">
        <v>200</v>
      </c>
      <c r="F3553" s="133" t="s">
        <v>247</v>
      </c>
      <c r="G3553" s="404" t="s">
        <v>7486</v>
      </c>
      <c r="H3553" s="411">
        <v>242</v>
      </c>
      <c r="I3553" s="89">
        <f t="shared" si="690"/>
        <v>-21.779999999999998</v>
      </c>
      <c r="J3553" s="391">
        <f t="shared" si="691"/>
        <v>-4.8979999999999997</v>
      </c>
      <c r="K3553" s="90">
        <f t="shared" si="686"/>
        <v>215.322</v>
      </c>
      <c r="L3553" s="131">
        <v>590</v>
      </c>
      <c r="M3553" s="187">
        <v>42.15</v>
      </c>
      <c r="N3553" s="91">
        <f t="shared" si="680"/>
        <v>160.15</v>
      </c>
      <c r="O3553" s="411">
        <f t="shared" si="687"/>
        <v>55.171999999999997</v>
      </c>
      <c r="P3553" s="132" t="s">
        <v>52</v>
      </c>
      <c r="Q3553" s="232"/>
      <c r="R3553" s="411"/>
      <c r="T3553" s="134" t="s">
        <v>145</v>
      </c>
      <c r="U3553" s="267" t="s">
        <v>8040</v>
      </c>
      <c r="AA3553" s="218"/>
    </row>
    <row r="3554" spans="1:27" ht="24" x14ac:dyDescent="0.25">
      <c r="A3554" s="405">
        <v>3002744</v>
      </c>
      <c r="B3554" s="406">
        <v>42541</v>
      </c>
      <c r="C3554" s="405" t="s">
        <v>5682</v>
      </c>
      <c r="D3554" s="401" t="s">
        <v>8041</v>
      </c>
      <c r="E3554" s="120">
        <v>75</v>
      </c>
      <c r="F3554" s="133" t="s">
        <v>288</v>
      </c>
      <c r="G3554" s="404" t="s">
        <v>7486</v>
      </c>
      <c r="H3554" s="411">
        <v>155.18</v>
      </c>
      <c r="I3554" s="89">
        <f t="shared" si="690"/>
        <v>-13.966200000000001</v>
      </c>
      <c r="J3554" s="391">
        <f t="shared" si="691"/>
        <v>-3.2484199999999999</v>
      </c>
      <c r="K3554" s="90">
        <f t="shared" si="686"/>
        <v>137.96537999999998</v>
      </c>
      <c r="L3554" s="131">
        <v>533.33000000000004</v>
      </c>
      <c r="N3554" s="91">
        <f t="shared" si="680"/>
        <v>39.999749999999999</v>
      </c>
      <c r="O3554" s="411">
        <f t="shared" si="687"/>
        <v>97.965629999999976</v>
      </c>
      <c r="P3554" s="132" t="s">
        <v>52</v>
      </c>
      <c r="Q3554" s="232"/>
      <c r="R3554" s="411"/>
      <c r="T3554" s="134" t="s">
        <v>145</v>
      </c>
      <c r="U3554" s="267" t="s">
        <v>8042</v>
      </c>
      <c r="AA3554" s="218"/>
    </row>
    <row r="3555" spans="1:27" ht="24" x14ac:dyDescent="0.25">
      <c r="A3555" s="405">
        <v>3002745</v>
      </c>
      <c r="B3555" s="406">
        <v>42541</v>
      </c>
      <c r="C3555" s="405" t="s">
        <v>5682</v>
      </c>
      <c r="D3555" s="401" t="s">
        <v>8043</v>
      </c>
      <c r="E3555" s="120">
        <v>250</v>
      </c>
      <c r="F3555" s="133" t="s">
        <v>829</v>
      </c>
      <c r="G3555" s="404" t="s">
        <v>7486</v>
      </c>
      <c r="H3555" s="411">
        <v>250.57</v>
      </c>
      <c r="I3555" s="89">
        <f t="shared" si="690"/>
        <v>-22.551299999999998</v>
      </c>
      <c r="J3555" s="391">
        <f t="shared" si="691"/>
        <v>-5.0608299999999993</v>
      </c>
      <c r="K3555" s="90">
        <f t="shared" si="686"/>
        <v>222.95786999999999</v>
      </c>
      <c r="L3555" s="131">
        <v>510</v>
      </c>
      <c r="M3555" s="187">
        <v>49.96</v>
      </c>
      <c r="N3555" s="91">
        <f t="shared" si="680"/>
        <v>177.46</v>
      </c>
      <c r="O3555" s="411">
        <f t="shared" si="687"/>
        <v>45.497869999999978</v>
      </c>
      <c r="P3555" s="132" t="s">
        <v>52</v>
      </c>
      <c r="Q3555" s="232"/>
      <c r="R3555" s="411">
        <v>16.39</v>
      </c>
      <c r="S3555" s="133" t="s">
        <v>8044</v>
      </c>
      <c r="T3555" s="134" t="s">
        <v>145</v>
      </c>
      <c r="U3555" s="267" t="s">
        <v>8045</v>
      </c>
      <c r="AA3555" s="218"/>
    </row>
    <row r="3556" spans="1:27" ht="24" x14ac:dyDescent="0.25">
      <c r="A3556" s="405">
        <v>3002746</v>
      </c>
      <c r="B3556" s="406">
        <v>42541</v>
      </c>
      <c r="C3556" s="405" t="s">
        <v>5682</v>
      </c>
      <c r="D3556" s="401" t="s">
        <v>8046</v>
      </c>
      <c r="E3556" s="120">
        <v>250</v>
      </c>
      <c r="F3556" s="133" t="s">
        <v>2238</v>
      </c>
      <c r="G3556" s="404" t="s">
        <v>7486</v>
      </c>
      <c r="H3556" s="411">
        <v>123.5</v>
      </c>
      <c r="I3556" s="89">
        <f t="shared" si="690"/>
        <v>-11.115</v>
      </c>
      <c r="J3556" s="391">
        <f t="shared" si="691"/>
        <v>-2.6464999999999996</v>
      </c>
      <c r="K3556" s="90">
        <f t="shared" si="686"/>
        <v>109.7385</v>
      </c>
      <c r="L3556" s="131">
        <v>200</v>
      </c>
      <c r="M3556" s="187">
        <v>37.72</v>
      </c>
      <c r="N3556" s="91">
        <f t="shared" si="680"/>
        <v>87.72</v>
      </c>
      <c r="O3556" s="411">
        <f t="shared" si="687"/>
        <v>22.018500000000003</v>
      </c>
      <c r="P3556" s="132" t="s">
        <v>52</v>
      </c>
      <c r="Q3556" s="232"/>
      <c r="R3556" s="411"/>
      <c r="T3556" s="134" t="s">
        <v>145</v>
      </c>
      <c r="U3556" s="267" t="s">
        <v>8047</v>
      </c>
      <c r="AA3556" s="218"/>
    </row>
    <row r="3557" spans="1:27" x14ac:dyDescent="0.25">
      <c r="A3557" s="405">
        <v>3002747</v>
      </c>
      <c r="B3557" s="406">
        <v>42541</v>
      </c>
      <c r="C3557" s="405" t="s">
        <v>141</v>
      </c>
      <c r="D3557" s="401" t="s">
        <v>8048</v>
      </c>
      <c r="E3557" s="120">
        <v>250</v>
      </c>
      <c r="F3557" s="133" t="s">
        <v>1832</v>
      </c>
      <c r="G3557" s="404" t="s">
        <v>7486</v>
      </c>
      <c r="H3557" s="411">
        <v>1380</v>
      </c>
      <c r="I3557" s="411">
        <v>0</v>
      </c>
      <c r="J3557" s="391">
        <f>-((H3557*0.0325)+0.3)</f>
        <v>-45.15</v>
      </c>
      <c r="K3557" s="90">
        <f t="shared" si="686"/>
        <v>1334.85</v>
      </c>
      <c r="L3557" s="187">
        <v>2580</v>
      </c>
      <c r="N3557" s="91">
        <f t="shared" si="680"/>
        <v>645</v>
      </c>
      <c r="O3557" s="411">
        <f t="shared" si="687"/>
        <v>689.84999999999991</v>
      </c>
      <c r="P3557" s="132" t="s">
        <v>643</v>
      </c>
      <c r="Q3557" s="232"/>
      <c r="R3557" s="411"/>
      <c r="T3557" s="134" t="s">
        <v>314</v>
      </c>
      <c r="U3557" s="267" t="s">
        <v>8049</v>
      </c>
      <c r="W3557" s="153" t="s">
        <v>8050</v>
      </c>
      <c r="AA3557" s="218">
        <v>10</v>
      </c>
    </row>
    <row r="3558" spans="1:27" ht="24" x14ac:dyDescent="0.25">
      <c r="A3558" s="405">
        <v>3002748</v>
      </c>
      <c r="B3558" s="406">
        <v>42541</v>
      </c>
      <c r="C3558" s="405" t="s">
        <v>5682</v>
      </c>
      <c r="D3558" s="401" t="s">
        <v>8051</v>
      </c>
      <c r="E3558" s="120">
        <v>125</v>
      </c>
      <c r="F3558" s="133" t="s">
        <v>247</v>
      </c>
      <c r="G3558" s="404" t="s">
        <v>7486</v>
      </c>
      <c r="H3558" s="411">
        <v>154.22999999999999</v>
      </c>
      <c r="I3558" s="89">
        <f t="shared" si="690"/>
        <v>-13.880699999999999</v>
      </c>
      <c r="J3558" s="391">
        <f t="shared" si="691"/>
        <v>-3.2303699999999997</v>
      </c>
      <c r="K3558" s="90">
        <f t="shared" si="686"/>
        <v>137.11893000000001</v>
      </c>
      <c r="L3558" s="131">
        <v>480</v>
      </c>
      <c r="M3558" s="187">
        <v>37.08</v>
      </c>
      <c r="N3558" s="91">
        <f t="shared" si="680"/>
        <v>97.08</v>
      </c>
      <c r="O3558" s="411">
        <f t="shared" si="687"/>
        <v>40.038930000000008</v>
      </c>
      <c r="P3558" s="132" t="s">
        <v>52</v>
      </c>
      <c r="Q3558" s="232"/>
      <c r="R3558" s="411"/>
      <c r="T3558" s="134" t="s">
        <v>145</v>
      </c>
      <c r="U3558" s="267" t="s">
        <v>8052</v>
      </c>
      <c r="AA3558" s="218"/>
    </row>
    <row r="3559" spans="1:27" x14ac:dyDescent="0.25">
      <c r="A3559" s="405">
        <v>3002749</v>
      </c>
      <c r="B3559" s="406">
        <v>42541</v>
      </c>
      <c r="C3559" s="405" t="s">
        <v>5682</v>
      </c>
      <c r="D3559" s="401" t="s">
        <v>8053</v>
      </c>
      <c r="E3559" s="120">
        <v>1000</v>
      </c>
      <c r="F3559" s="133" t="s">
        <v>422</v>
      </c>
      <c r="G3559" s="404" t="s">
        <v>7486</v>
      </c>
      <c r="H3559" s="411">
        <v>1500</v>
      </c>
      <c r="I3559" s="89">
        <f t="shared" si="690"/>
        <v>-135</v>
      </c>
      <c r="J3559" s="391">
        <f t="shared" si="691"/>
        <v>-28.8</v>
      </c>
      <c r="K3559" s="90">
        <f t="shared" si="686"/>
        <v>1336.2</v>
      </c>
      <c r="L3559" s="131">
        <v>710</v>
      </c>
      <c r="M3559" s="187">
        <v>146.93</v>
      </c>
      <c r="N3559" s="91">
        <f t="shared" si="680"/>
        <v>856.93000000000006</v>
      </c>
      <c r="O3559" s="411">
        <f t="shared" si="687"/>
        <v>479.27</v>
      </c>
      <c r="P3559" s="132" t="s">
        <v>52</v>
      </c>
      <c r="Q3559" s="232"/>
      <c r="R3559" s="411"/>
      <c r="T3559" s="134" t="s">
        <v>97</v>
      </c>
      <c r="U3559" s="267" t="s">
        <v>8054</v>
      </c>
      <c r="V3559" s="133" t="s">
        <v>55</v>
      </c>
      <c r="AA3559" s="218"/>
    </row>
    <row r="3560" spans="1:27" ht="24" x14ac:dyDescent="0.25">
      <c r="A3560" s="405">
        <v>3002750</v>
      </c>
      <c r="B3560" s="406">
        <v>42541</v>
      </c>
      <c r="C3560" s="405" t="s">
        <v>5682</v>
      </c>
      <c r="D3560" s="401" t="s">
        <v>8055</v>
      </c>
      <c r="E3560" s="120">
        <v>50</v>
      </c>
      <c r="F3560" s="133" t="s">
        <v>8056</v>
      </c>
      <c r="G3560" s="404" t="s">
        <v>7486</v>
      </c>
      <c r="H3560" s="411">
        <v>117.6</v>
      </c>
      <c r="I3560" s="89">
        <f t="shared" si="690"/>
        <v>-10.584</v>
      </c>
      <c r="J3560" s="391">
        <f t="shared" si="691"/>
        <v>-2.5343999999999998</v>
      </c>
      <c r="K3560" s="90">
        <f t="shared" si="686"/>
        <v>104.48159999999999</v>
      </c>
      <c r="N3560" s="91">
        <f t="shared" si="680"/>
        <v>0</v>
      </c>
      <c r="O3560" s="411">
        <f t="shared" si="687"/>
        <v>104.48159999999999</v>
      </c>
      <c r="P3560" s="132" t="s">
        <v>52</v>
      </c>
      <c r="Q3560" s="232"/>
      <c r="R3560" s="411"/>
      <c r="T3560" s="134" t="s">
        <v>145</v>
      </c>
      <c r="U3560" s="267" t="s">
        <v>8057</v>
      </c>
      <c r="AA3560" s="218"/>
    </row>
    <row r="3561" spans="1:27" ht="24" customHeight="1" x14ac:dyDescent="0.25">
      <c r="A3561" s="419">
        <v>3002751</v>
      </c>
      <c r="B3561" s="421">
        <v>42541</v>
      </c>
      <c r="C3561" s="419" t="s">
        <v>5682</v>
      </c>
      <c r="D3561" s="417" t="s">
        <v>8058</v>
      </c>
      <c r="E3561" s="120">
        <v>225</v>
      </c>
      <c r="F3561" s="133" t="s">
        <v>422</v>
      </c>
      <c r="G3561" s="434" t="s">
        <v>7486</v>
      </c>
      <c r="H3561" s="427">
        <v>570.19000000000005</v>
      </c>
      <c r="I3561" s="452">
        <f t="shared" si="690"/>
        <v>-51.317100000000003</v>
      </c>
      <c r="J3561" s="425">
        <f t="shared" si="691"/>
        <v>-11.133610000000001</v>
      </c>
      <c r="K3561" s="425">
        <f t="shared" si="686"/>
        <v>507.7392900000001</v>
      </c>
      <c r="L3561" s="131">
        <v>710</v>
      </c>
      <c r="M3561" s="468">
        <v>222.72</v>
      </c>
      <c r="N3561" s="91">
        <f t="shared" si="680"/>
        <v>382.47</v>
      </c>
      <c r="O3561" s="411">
        <f t="shared" si="687"/>
        <v>125.26929000000007</v>
      </c>
      <c r="P3561" s="132" t="s">
        <v>52</v>
      </c>
      <c r="Q3561" s="232"/>
      <c r="R3561" s="411"/>
      <c r="T3561" s="439" t="s">
        <v>314</v>
      </c>
      <c r="U3561" s="446" t="s">
        <v>8059</v>
      </c>
      <c r="AA3561" s="218"/>
    </row>
    <row r="3562" spans="1:27" x14ac:dyDescent="0.25">
      <c r="A3562" s="420"/>
      <c r="B3562" s="422"/>
      <c r="C3562" s="420"/>
      <c r="D3562" s="418"/>
      <c r="E3562" s="120">
        <v>200</v>
      </c>
      <c r="F3562" s="133" t="s">
        <v>165</v>
      </c>
      <c r="G3562" s="436"/>
      <c r="H3562" s="428"/>
      <c r="I3562" s="453"/>
      <c r="J3562" s="426"/>
      <c r="K3562" s="426"/>
      <c r="L3562" s="131">
        <v>375</v>
      </c>
      <c r="M3562" s="469"/>
      <c r="N3562" s="91">
        <f t="shared" si="680"/>
        <v>75</v>
      </c>
      <c r="O3562" s="411">
        <f t="shared" si="687"/>
        <v>-75</v>
      </c>
      <c r="P3562" s="132" t="s">
        <v>52</v>
      </c>
      <c r="Q3562" s="232"/>
      <c r="R3562" s="411"/>
      <c r="T3562" s="441"/>
      <c r="U3562" s="447"/>
      <c r="AA3562" s="218"/>
    </row>
    <row r="3563" spans="1:27" ht="24" x14ac:dyDescent="0.25">
      <c r="A3563" s="405">
        <v>3002752</v>
      </c>
      <c r="B3563" s="406">
        <v>42541</v>
      </c>
      <c r="C3563" s="405" t="s">
        <v>5682</v>
      </c>
      <c r="D3563" s="401" t="s">
        <v>8060</v>
      </c>
      <c r="E3563" s="120">
        <v>150</v>
      </c>
      <c r="F3563" s="133" t="s">
        <v>341</v>
      </c>
      <c r="G3563" s="404" t="s">
        <v>7486</v>
      </c>
      <c r="H3563" s="411">
        <v>235.79</v>
      </c>
      <c r="I3563" s="89">
        <f t="shared" si="690"/>
        <v>-21.2211</v>
      </c>
      <c r="J3563" s="391">
        <f t="shared" si="691"/>
        <v>-4.7800099999999999</v>
      </c>
      <c r="K3563" s="90">
        <f t="shared" si="686"/>
        <v>209.78888999999998</v>
      </c>
      <c r="L3563" s="131">
        <v>698</v>
      </c>
      <c r="M3563" s="187">
        <v>32.21</v>
      </c>
      <c r="N3563" s="91">
        <f t="shared" si="680"/>
        <v>136.91</v>
      </c>
      <c r="O3563" s="411">
        <f t="shared" si="687"/>
        <v>72.878889999999984</v>
      </c>
      <c r="P3563" s="132" t="s">
        <v>52</v>
      </c>
      <c r="Q3563" s="232"/>
      <c r="R3563" s="411"/>
      <c r="T3563" s="134" t="s">
        <v>145</v>
      </c>
      <c r="U3563" s="267" t="s">
        <v>8061</v>
      </c>
      <c r="AA3563" s="218"/>
    </row>
    <row r="3564" spans="1:27" x14ac:dyDescent="0.25">
      <c r="A3564" s="405">
        <v>3002753</v>
      </c>
      <c r="B3564" s="406">
        <v>42541</v>
      </c>
      <c r="C3564" s="405" t="s">
        <v>5682</v>
      </c>
      <c r="D3564" s="401" t="s">
        <v>8062</v>
      </c>
      <c r="E3564" s="120">
        <v>225</v>
      </c>
      <c r="F3564" s="133" t="s">
        <v>70</v>
      </c>
      <c r="G3564" s="404" t="s">
        <v>7486</v>
      </c>
      <c r="H3564" s="411">
        <v>603</v>
      </c>
      <c r="I3564" s="89">
        <f t="shared" si="690"/>
        <v>-54.269999999999996</v>
      </c>
      <c r="J3564" s="391">
        <f t="shared" si="691"/>
        <v>-11.757</v>
      </c>
      <c r="K3564" s="90">
        <f t="shared" si="686"/>
        <v>536.97300000000007</v>
      </c>
      <c r="L3564" s="131">
        <v>1200</v>
      </c>
      <c r="M3564" s="187">
        <v>121.5</v>
      </c>
      <c r="N3564" s="91">
        <f t="shared" si="680"/>
        <v>391.5</v>
      </c>
      <c r="O3564" s="411">
        <f t="shared" si="687"/>
        <v>145.47300000000007</v>
      </c>
      <c r="P3564" s="132" t="s">
        <v>86</v>
      </c>
      <c r="Q3564" s="232"/>
      <c r="R3564" s="411"/>
      <c r="T3564" s="134" t="s">
        <v>97</v>
      </c>
      <c r="U3564" s="266">
        <v>3653246542</v>
      </c>
      <c r="V3564" s="133" t="s">
        <v>55</v>
      </c>
      <c r="AA3564" s="218"/>
    </row>
    <row r="3565" spans="1:27" ht="24" x14ac:dyDescent="0.25">
      <c r="A3565" s="405">
        <v>3002754</v>
      </c>
      <c r="B3565" s="406">
        <v>42541</v>
      </c>
      <c r="C3565" s="405" t="s">
        <v>5682</v>
      </c>
      <c r="D3565" s="401" t="s">
        <v>8063</v>
      </c>
      <c r="E3565" s="120">
        <v>230</v>
      </c>
      <c r="F3565" s="133" t="s">
        <v>247</v>
      </c>
      <c r="G3565" s="404" t="s">
        <v>7486</v>
      </c>
      <c r="H3565" s="411">
        <v>246.1</v>
      </c>
      <c r="I3565" s="89">
        <f t="shared" si="690"/>
        <v>-22.148999999999997</v>
      </c>
      <c r="J3565" s="391">
        <f t="shared" si="691"/>
        <v>-4.9758999999999993</v>
      </c>
      <c r="K3565" s="90">
        <f t="shared" si="686"/>
        <v>218.9751</v>
      </c>
      <c r="L3565" s="131">
        <v>480</v>
      </c>
      <c r="M3565" s="187">
        <v>41.92</v>
      </c>
      <c r="N3565" s="91">
        <f t="shared" si="680"/>
        <v>152.32</v>
      </c>
      <c r="O3565" s="411">
        <f t="shared" si="687"/>
        <v>66.655100000000004</v>
      </c>
      <c r="P3565" s="132" t="s">
        <v>52</v>
      </c>
      <c r="Q3565" s="232"/>
      <c r="R3565" s="411"/>
      <c r="T3565" s="134" t="s">
        <v>145</v>
      </c>
      <c r="U3565" s="267" t="s">
        <v>8064</v>
      </c>
      <c r="AA3565" s="218"/>
    </row>
    <row r="3566" spans="1:27" ht="24" x14ac:dyDescent="0.25">
      <c r="A3566" s="405">
        <v>3002755</v>
      </c>
      <c r="B3566" s="406">
        <v>42541</v>
      </c>
      <c r="C3566" s="405" t="s">
        <v>5682</v>
      </c>
      <c r="D3566" s="401" t="s">
        <v>8065</v>
      </c>
      <c r="E3566" s="120">
        <v>100</v>
      </c>
      <c r="F3566" s="133" t="s">
        <v>161</v>
      </c>
      <c r="G3566" s="404" t="s">
        <v>7486</v>
      </c>
      <c r="H3566" s="411">
        <v>230</v>
      </c>
      <c r="I3566" s="89">
        <f t="shared" si="690"/>
        <v>-20.7</v>
      </c>
      <c r="J3566" s="391">
        <f t="shared" si="691"/>
        <v>-4.67</v>
      </c>
      <c r="K3566" s="90">
        <f t="shared" si="686"/>
        <v>204.63000000000002</v>
      </c>
      <c r="L3566" s="131">
        <v>1322</v>
      </c>
      <c r="M3566" s="187">
        <v>42.59</v>
      </c>
      <c r="N3566" s="91">
        <f t="shared" si="680"/>
        <v>174.79000000000002</v>
      </c>
      <c r="O3566" s="411">
        <f t="shared" si="687"/>
        <v>29.840000000000003</v>
      </c>
      <c r="P3566" s="132" t="s">
        <v>52</v>
      </c>
      <c r="Q3566" s="232"/>
      <c r="R3566" s="411"/>
      <c r="T3566" s="134" t="s">
        <v>145</v>
      </c>
      <c r="U3566" s="267" t="s">
        <v>8066</v>
      </c>
      <c r="AA3566" s="218"/>
    </row>
    <row r="3567" spans="1:27" ht="24" x14ac:dyDescent="0.25">
      <c r="A3567" s="405">
        <v>3002756</v>
      </c>
      <c r="B3567" s="406">
        <v>42541</v>
      </c>
      <c r="C3567" s="405" t="s">
        <v>237</v>
      </c>
      <c r="D3567" s="401" t="s">
        <v>8067</v>
      </c>
      <c r="E3567" s="120">
        <v>100</v>
      </c>
      <c r="F3567" s="133" t="s">
        <v>288</v>
      </c>
      <c r="G3567" s="404" t="s">
        <v>7486</v>
      </c>
      <c r="H3567" s="411">
        <v>158.03</v>
      </c>
      <c r="I3567" s="397">
        <f t="shared" ref="I3567:I3570" si="692">-(H3567*0.15)</f>
        <v>-23.704499999999999</v>
      </c>
      <c r="J3567" s="411">
        <v>0</v>
      </c>
      <c r="K3567" s="90">
        <f t="shared" si="686"/>
        <v>134.32550000000001</v>
      </c>
      <c r="L3567" s="131">
        <v>533.33000000000004</v>
      </c>
      <c r="M3567" s="187">
        <v>32.93</v>
      </c>
      <c r="N3567" s="91">
        <f t="shared" si="680"/>
        <v>86.263000000000005</v>
      </c>
      <c r="O3567" s="411">
        <f t="shared" si="687"/>
        <v>48.0625</v>
      </c>
      <c r="P3567" s="132" t="s">
        <v>52</v>
      </c>
      <c r="Q3567" s="232"/>
      <c r="R3567" s="411"/>
      <c r="T3567" s="134" t="s">
        <v>145</v>
      </c>
      <c r="U3567" s="267" t="s">
        <v>8068</v>
      </c>
      <c r="AA3567" s="218"/>
    </row>
    <row r="3568" spans="1:27" ht="24" x14ac:dyDescent="0.25">
      <c r="A3568" s="405">
        <v>3002757</v>
      </c>
      <c r="B3568" s="406">
        <v>42541</v>
      </c>
      <c r="C3568" s="405" t="s">
        <v>237</v>
      </c>
      <c r="D3568" s="401" t="s">
        <v>8069</v>
      </c>
      <c r="E3568" s="120">
        <v>250</v>
      </c>
      <c r="F3568" s="133" t="s">
        <v>1472</v>
      </c>
      <c r="G3568" s="404" t="s">
        <v>7486</v>
      </c>
      <c r="H3568" s="411">
        <v>103.49</v>
      </c>
      <c r="I3568" s="397">
        <f t="shared" si="692"/>
        <v>-15.523499999999999</v>
      </c>
      <c r="J3568" s="411">
        <v>0</v>
      </c>
      <c r="K3568" s="90">
        <f t="shared" si="686"/>
        <v>87.966499999999996</v>
      </c>
      <c r="L3568" s="131">
        <v>210</v>
      </c>
      <c r="M3568" s="187">
        <v>36.65</v>
      </c>
      <c r="N3568" s="91">
        <f t="shared" si="680"/>
        <v>89.15</v>
      </c>
      <c r="O3568" s="411">
        <f t="shared" si="687"/>
        <v>-1.1835000000000093</v>
      </c>
      <c r="P3568" s="132" t="s">
        <v>52</v>
      </c>
      <c r="Q3568" s="232"/>
      <c r="R3568" s="411"/>
      <c r="T3568" s="134" t="s">
        <v>145</v>
      </c>
      <c r="U3568" s="267" t="s">
        <v>8070</v>
      </c>
      <c r="AA3568" s="218"/>
    </row>
    <row r="3569" spans="1:27" x14ac:dyDescent="0.25">
      <c r="A3569" s="405">
        <v>3002758</v>
      </c>
      <c r="B3569" s="406">
        <v>42541</v>
      </c>
      <c r="C3569" s="405" t="s">
        <v>237</v>
      </c>
      <c r="D3569" s="401" t="s">
        <v>8071</v>
      </c>
      <c r="E3569" s="120">
        <v>500</v>
      </c>
      <c r="F3569" s="133" t="s">
        <v>247</v>
      </c>
      <c r="G3569" s="404" t="s">
        <v>7486</v>
      </c>
      <c r="H3569" s="411">
        <v>466.35</v>
      </c>
      <c r="I3569" s="397">
        <f t="shared" si="692"/>
        <v>-69.952500000000001</v>
      </c>
      <c r="J3569" s="411">
        <v>0</v>
      </c>
      <c r="K3569" s="90">
        <f t="shared" si="686"/>
        <v>396.39750000000004</v>
      </c>
      <c r="L3569" s="131">
        <v>480</v>
      </c>
      <c r="M3569" s="187">
        <v>187.77</v>
      </c>
      <c r="N3569" s="91">
        <f t="shared" si="680"/>
        <v>427.77</v>
      </c>
      <c r="O3569" s="411">
        <f t="shared" si="687"/>
        <v>-31.372499999999945</v>
      </c>
      <c r="P3569" s="132" t="s">
        <v>52</v>
      </c>
      <c r="Q3569" s="232"/>
      <c r="R3569" s="411"/>
      <c r="T3569" s="134" t="s">
        <v>1467</v>
      </c>
      <c r="U3569" s="267" t="s">
        <v>8072</v>
      </c>
      <c r="V3569" s="133" t="s">
        <v>55</v>
      </c>
      <c r="AA3569" s="218"/>
    </row>
    <row r="3570" spans="1:27" x14ac:dyDescent="0.25">
      <c r="A3570" s="419">
        <v>3002759</v>
      </c>
      <c r="B3570" s="421">
        <v>42541</v>
      </c>
      <c r="C3570" s="419" t="s">
        <v>237</v>
      </c>
      <c r="D3570" s="417" t="s">
        <v>8073</v>
      </c>
      <c r="E3570" s="120">
        <v>50</v>
      </c>
      <c r="F3570" s="133" t="s">
        <v>3440</v>
      </c>
      <c r="G3570" s="434" t="s">
        <v>7486</v>
      </c>
      <c r="H3570" s="427">
        <v>150</v>
      </c>
      <c r="I3570" s="452">
        <f t="shared" si="692"/>
        <v>-22.5</v>
      </c>
      <c r="J3570" s="427">
        <v>0</v>
      </c>
      <c r="K3570" s="425">
        <f t="shared" si="686"/>
        <v>127.5</v>
      </c>
      <c r="L3570" s="187">
        <v>986</v>
      </c>
      <c r="M3570" s="187">
        <v>21.452000000000002</v>
      </c>
      <c r="N3570" s="91">
        <f t="shared" si="680"/>
        <v>70.75200000000001</v>
      </c>
      <c r="O3570" s="411">
        <f t="shared" si="687"/>
        <v>56.74799999999999</v>
      </c>
      <c r="P3570" s="132" t="s">
        <v>926</v>
      </c>
      <c r="Q3570" s="232"/>
      <c r="R3570" s="411"/>
      <c r="T3570" s="439" t="s">
        <v>314</v>
      </c>
      <c r="U3570" s="446" t="s">
        <v>8074</v>
      </c>
      <c r="AA3570" s="218"/>
    </row>
    <row r="3571" spans="1:27" x14ac:dyDescent="0.25">
      <c r="A3571" s="420"/>
      <c r="B3571" s="422"/>
      <c r="C3571" s="420"/>
      <c r="D3571" s="418"/>
      <c r="E3571" s="120">
        <v>50</v>
      </c>
      <c r="F3571" s="133" t="s">
        <v>3442</v>
      </c>
      <c r="G3571" s="436"/>
      <c r="H3571" s="428"/>
      <c r="I3571" s="453"/>
      <c r="J3571" s="428"/>
      <c r="K3571" s="426"/>
      <c r="L3571" s="187">
        <v>954</v>
      </c>
      <c r="N3571" s="91">
        <f t="shared" ref="N3571:N3635" si="693">((L3571)*(E3571*0.001))+M3571</f>
        <v>47.7</v>
      </c>
      <c r="O3571" s="411">
        <f t="shared" si="687"/>
        <v>-47.7</v>
      </c>
      <c r="P3571" s="132" t="s">
        <v>926</v>
      </c>
      <c r="Q3571" s="232"/>
      <c r="R3571" s="411"/>
      <c r="T3571" s="441"/>
      <c r="U3571" s="447"/>
      <c r="AA3571" s="218"/>
    </row>
    <row r="3572" spans="1:27" x14ac:dyDescent="0.25">
      <c r="A3572" s="405">
        <v>3002760</v>
      </c>
      <c r="B3572" s="406">
        <v>42541</v>
      </c>
      <c r="C3572" s="405" t="s">
        <v>5682</v>
      </c>
      <c r="D3572" s="401" t="s">
        <v>8075</v>
      </c>
      <c r="E3572" s="120">
        <v>1000</v>
      </c>
      <c r="F3572" s="133" t="s">
        <v>307</v>
      </c>
      <c r="G3572" s="404" t="s">
        <v>7486</v>
      </c>
      <c r="H3572" s="411">
        <v>1187.71</v>
      </c>
      <c r="I3572" s="89">
        <f t="shared" ref="I3572" si="694">-(H3572*0.09)</f>
        <v>-106.8939</v>
      </c>
      <c r="J3572" s="391">
        <f t="shared" ref="J3572:J3573" si="695">-((H3572*0.019)+0.3)</f>
        <v>-22.866490000000002</v>
      </c>
      <c r="K3572" s="90">
        <f t="shared" si="686"/>
        <v>1057.9496099999999</v>
      </c>
      <c r="L3572" s="131">
        <v>690</v>
      </c>
      <c r="M3572" s="187">
        <v>254.15</v>
      </c>
      <c r="N3572" s="91">
        <f t="shared" si="693"/>
        <v>944.15</v>
      </c>
      <c r="O3572" s="411">
        <f t="shared" si="687"/>
        <v>113.79960999999992</v>
      </c>
      <c r="P3572" s="132" t="s">
        <v>52</v>
      </c>
      <c r="Q3572" s="232"/>
      <c r="R3572" s="411"/>
      <c r="T3572" s="134" t="s">
        <v>1467</v>
      </c>
      <c r="U3572" s="267" t="s">
        <v>8076</v>
      </c>
      <c r="V3572" s="133" t="s">
        <v>55</v>
      </c>
      <c r="AA3572" s="218"/>
    </row>
    <row r="3573" spans="1:27" ht="24" x14ac:dyDescent="0.25">
      <c r="A3573" s="405">
        <v>3002761</v>
      </c>
      <c r="B3573" s="406">
        <v>42542</v>
      </c>
      <c r="C3573" s="405" t="s">
        <v>159</v>
      </c>
      <c r="D3573" s="401" t="s">
        <v>8077</v>
      </c>
      <c r="E3573" s="120">
        <v>50</v>
      </c>
      <c r="F3573" s="133" t="s">
        <v>1991</v>
      </c>
      <c r="G3573" s="404" t="s">
        <v>7486</v>
      </c>
      <c r="H3573" s="411">
        <v>252.5</v>
      </c>
      <c r="I3573" s="411">
        <v>0</v>
      </c>
      <c r="J3573" s="391">
        <f t="shared" si="695"/>
        <v>-5.0975000000000001</v>
      </c>
      <c r="K3573" s="90">
        <f t="shared" si="686"/>
        <v>247.4025</v>
      </c>
      <c r="L3573" s="187">
        <v>3100</v>
      </c>
      <c r="M3573" s="187">
        <v>38.65</v>
      </c>
      <c r="N3573" s="91">
        <f t="shared" si="693"/>
        <v>193.65</v>
      </c>
      <c r="O3573" s="411">
        <f t="shared" si="687"/>
        <v>53.752499999999998</v>
      </c>
      <c r="P3573" s="132" t="s">
        <v>183</v>
      </c>
      <c r="Q3573" s="232"/>
      <c r="R3573" s="411"/>
      <c r="T3573" s="134" t="s">
        <v>324</v>
      </c>
      <c r="U3573" s="266" t="s">
        <v>8078</v>
      </c>
      <c r="W3573" s="153" t="s">
        <v>8079</v>
      </c>
      <c r="AA3573" s="218"/>
    </row>
    <row r="3574" spans="1:27" ht="24" x14ac:dyDescent="0.25">
      <c r="A3574" s="405">
        <v>3002762</v>
      </c>
      <c r="B3574" s="406">
        <v>42542</v>
      </c>
      <c r="C3574" s="405" t="s">
        <v>327</v>
      </c>
      <c r="D3574" s="401" t="s">
        <v>8080</v>
      </c>
      <c r="E3574" s="120">
        <v>150</v>
      </c>
      <c r="F3574" s="133" t="s">
        <v>2361</v>
      </c>
      <c r="G3574" s="404" t="s">
        <v>7486</v>
      </c>
      <c r="H3574" s="411">
        <v>197</v>
      </c>
      <c r="I3574" s="411">
        <v>0</v>
      </c>
      <c r="J3574" s="391">
        <f>-((H3574*0.022)+0.3)</f>
        <v>-4.6339999999999995</v>
      </c>
      <c r="K3574" s="90">
        <f t="shared" si="686"/>
        <v>192.36600000000001</v>
      </c>
      <c r="M3574" s="187">
        <v>31.51</v>
      </c>
      <c r="N3574" s="91">
        <f t="shared" si="693"/>
        <v>31.51</v>
      </c>
      <c r="O3574" s="411">
        <f t="shared" si="687"/>
        <v>160.85600000000002</v>
      </c>
      <c r="P3574" s="132" t="s">
        <v>86</v>
      </c>
      <c r="Q3574" s="232"/>
      <c r="R3574" s="411"/>
      <c r="T3574" s="134" t="s">
        <v>145</v>
      </c>
      <c r="U3574" s="267" t="s">
        <v>8081</v>
      </c>
      <c r="W3574" s="153" t="s">
        <v>8082</v>
      </c>
      <c r="AA3574" s="218"/>
    </row>
    <row r="3575" spans="1:27" x14ac:dyDescent="0.25">
      <c r="A3575" s="419">
        <v>3002763</v>
      </c>
      <c r="B3575" s="421">
        <v>42542</v>
      </c>
      <c r="C3575" s="419" t="s">
        <v>56</v>
      </c>
      <c r="D3575" s="417" t="s">
        <v>6840</v>
      </c>
      <c r="E3575" s="120">
        <v>500</v>
      </c>
      <c r="F3575" s="133" t="s">
        <v>8083</v>
      </c>
      <c r="G3575" s="434" t="s">
        <v>7486</v>
      </c>
      <c r="H3575" s="427">
        <v>6215</v>
      </c>
      <c r="I3575" s="427">
        <v>0</v>
      </c>
      <c r="J3575" s="427">
        <v>0</v>
      </c>
      <c r="K3575" s="425">
        <f t="shared" si="686"/>
        <v>6215</v>
      </c>
      <c r="L3575" s="187">
        <v>590</v>
      </c>
      <c r="M3575" s="187">
        <v>199.15</v>
      </c>
      <c r="N3575" s="91">
        <f t="shared" si="693"/>
        <v>494.15</v>
      </c>
      <c r="O3575" s="411">
        <f t="shared" si="687"/>
        <v>5720.85</v>
      </c>
      <c r="P3575" s="132" t="s">
        <v>638</v>
      </c>
      <c r="Q3575" s="232"/>
      <c r="R3575" s="411"/>
      <c r="T3575" s="439" t="s">
        <v>717</v>
      </c>
      <c r="U3575" s="446" t="s">
        <v>8084</v>
      </c>
      <c r="V3575" s="133" t="s">
        <v>8027</v>
      </c>
      <c r="W3575" s="153" t="s">
        <v>298</v>
      </c>
      <c r="AA3575" s="218"/>
    </row>
    <row r="3576" spans="1:27" x14ac:dyDescent="0.25">
      <c r="A3576" s="432"/>
      <c r="B3576" s="433"/>
      <c r="C3576" s="432"/>
      <c r="D3576" s="454"/>
      <c r="E3576" s="120">
        <v>2000</v>
      </c>
      <c r="F3576" s="133" t="s">
        <v>8085</v>
      </c>
      <c r="G3576" s="435"/>
      <c r="H3576" s="438"/>
      <c r="I3576" s="438"/>
      <c r="J3576" s="438"/>
      <c r="K3576" s="437"/>
      <c r="L3576" s="187">
        <v>2168</v>
      </c>
      <c r="M3576" s="187"/>
      <c r="N3576" s="91">
        <f t="shared" si="693"/>
        <v>4336</v>
      </c>
      <c r="O3576" s="411">
        <f t="shared" si="687"/>
        <v>-4336</v>
      </c>
      <c r="P3576" s="132" t="s">
        <v>638</v>
      </c>
      <c r="Q3576" s="232"/>
      <c r="R3576" s="411"/>
      <c r="T3576" s="440"/>
      <c r="U3576" s="448"/>
      <c r="AA3576" s="218"/>
    </row>
    <row r="3577" spans="1:27" x14ac:dyDescent="0.25">
      <c r="A3577" s="432"/>
      <c r="B3577" s="433"/>
      <c r="C3577" s="432"/>
      <c r="D3577" s="454"/>
      <c r="E3577" s="120">
        <v>500</v>
      </c>
      <c r="F3577" s="133" t="s">
        <v>8086</v>
      </c>
      <c r="G3577" s="435"/>
      <c r="H3577" s="438"/>
      <c r="I3577" s="438"/>
      <c r="J3577" s="438"/>
      <c r="K3577" s="437"/>
      <c r="L3577" s="187">
        <v>166</v>
      </c>
      <c r="M3577" s="187"/>
      <c r="N3577" s="91">
        <f t="shared" si="693"/>
        <v>83</v>
      </c>
      <c r="O3577" s="411">
        <f t="shared" si="687"/>
        <v>-83</v>
      </c>
      <c r="P3577" s="132" t="s">
        <v>638</v>
      </c>
      <c r="Q3577" s="232"/>
      <c r="R3577" s="411"/>
      <c r="T3577" s="440"/>
      <c r="U3577" s="448"/>
      <c r="AA3577" s="218"/>
    </row>
    <row r="3578" spans="1:27" x14ac:dyDescent="0.25">
      <c r="A3578" s="420"/>
      <c r="B3578" s="422"/>
      <c r="C3578" s="420"/>
      <c r="D3578" s="418"/>
      <c r="E3578" s="120">
        <v>500</v>
      </c>
      <c r="F3578" s="133" t="s">
        <v>8087</v>
      </c>
      <c r="G3578" s="436"/>
      <c r="H3578" s="428"/>
      <c r="I3578" s="428"/>
      <c r="J3578" s="428"/>
      <c r="K3578" s="426"/>
      <c r="L3578" s="187">
        <v>590</v>
      </c>
      <c r="M3578" s="187"/>
      <c r="N3578" s="91">
        <f t="shared" si="693"/>
        <v>295</v>
      </c>
      <c r="O3578" s="411">
        <f t="shared" si="687"/>
        <v>-295</v>
      </c>
      <c r="P3578" s="132" t="s">
        <v>638</v>
      </c>
      <c r="Q3578" s="232"/>
      <c r="R3578" s="411"/>
      <c r="T3578" s="441"/>
      <c r="U3578" s="447"/>
      <c r="AA3578" s="218"/>
    </row>
    <row r="3579" spans="1:27" ht="24" x14ac:dyDescent="0.25">
      <c r="A3579" s="405">
        <v>3002764</v>
      </c>
      <c r="B3579" s="406">
        <v>42542</v>
      </c>
      <c r="C3579" s="405" t="s">
        <v>5682</v>
      </c>
      <c r="D3579" s="401" t="s">
        <v>8088</v>
      </c>
      <c r="E3579" s="120">
        <v>100</v>
      </c>
      <c r="F3579" s="133" t="s">
        <v>829</v>
      </c>
      <c r="G3579" s="404" t="s">
        <v>7486</v>
      </c>
      <c r="H3579" s="411">
        <v>114</v>
      </c>
      <c r="I3579" s="89">
        <f t="shared" ref="I3579:I3583" si="696">-(H3579*0.09)</f>
        <v>-10.26</v>
      </c>
      <c r="J3579" s="391">
        <f t="shared" ref="J3579:J3583" si="697">-((H3579*0.019)+0.3)</f>
        <v>-2.4659999999999997</v>
      </c>
      <c r="K3579" s="90">
        <f t="shared" ref="K3579:K3609" si="698">SUM(H3579:J3579)</f>
        <v>101.274</v>
      </c>
      <c r="L3579" s="131">
        <v>510</v>
      </c>
      <c r="M3579" s="187">
        <v>30.69</v>
      </c>
      <c r="N3579" s="91">
        <f t="shared" si="693"/>
        <v>81.69</v>
      </c>
      <c r="O3579" s="411">
        <f t="shared" si="687"/>
        <v>19.584000000000003</v>
      </c>
      <c r="P3579" s="132" t="s">
        <v>52</v>
      </c>
      <c r="Q3579" s="232"/>
      <c r="R3579" s="411"/>
      <c r="T3579" s="134" t="s">
        <v>145</v>
      </c>
      <c r="U3579" s="267" t="s">
        <v>8089</v>
      </c>
      <c r="AA3579" s="218"/>
    </row>
    <row r="3580" spans="1:27" ht="24" x14ac:dyDescent="0.25">
      <c r="A3580" s="405">
        <v>3002765</v>
      </c>
      <c r="B3580" s="406">
        <v>42542</v>
      </c>
      <c r="C3580" s="405" t="s">
        <v>5682</v>
      </c>
      <c r="D3580" s="401" t="s">
        <v>8090</v>
      </c>
      <c r="E3580" s="120">
        <v>75</v>
      </c>
      <c r="F3580" s="133" t="s">
        <v>288</v>
      </c>
      <c r="G3580" s="404" t="s">
        <v>7486</v>
      </c>
      <c r="H3580" s="411">
        <v>155.18</v>
      </c>
      <c r="I3580" s="89">
        <f t="shared" si="696"/>
        <v>-13.966200000000001</v>
      </c>
      <c r="J3580" s="391">
        <f t="shared" si="697"/>
        <v>-3.2484199999999999</v>
      </c>
      <c r="K3580" s="90">
        <f t="shared" si="698"/>
        <v>137.96537999999998</v>
      </c>
      <c r="L3580" s="131">
        <v>533.33000000000004</v>
      </c>
      <c r="M3580" s="187">
        <v>33.700000000000003</v>
      </c>
      <c r="N3580" s="91">
        <f t="shared" si="693"/>
        <v>73.699749999999995</v>
      </c>
      <c r="O3580" s="411">
        <f t="shared" si="687"/>
        <v>64.265629999999987</v>
      </c>
      <c r="P3580" s="132" t="s">
        <v>52</v>
      </c>
      <c r="Q3580" s="232"/>
      <c r="R3580" s="411"/>
      <c r="T3580" s="134" t="s">
        <v>145</v>
      </c>
      <c r="U3580" s="267" t="s">
        <v>8091</v>
      </c>
      <c r="AA3580" s="218"/>
    </row>
    <row r="3581" spans="1:27" ht="24" x14ac:dyDescent="0.25">
      <c r="A3581" s="405">
        <v>3002766</v>
      </c>
      <c r="B3581" s="406">
        <v>42542</v>
      </c>
      <c r="C3581" s="405" t="s">
        <v>5682</v>
      </c>
      <c r="D3581" s="401" t="s">
        <v>930</v>
      </c>
      <c r="E3581" s="120">
        <v>125</v>
      </c>
      <c r="F3581" s="133" t="s">
        <v>829</v>
      </c>
      <c r="G3581" s="404" t="s">
        <v>7486</v>
      </c>
      <c r="H3581" s="411">
        <v>131.77000000000001</v>
      </c>
      <c r="I3581" s="89">
        <f t="shared" si="696"/>
        <v>-11.859300000000001</v>
      </c>
      <c r="J3581" s="391">
        <f t="shared" si="697"/>
        <v>-2.8036300000000001</v>
      </c>
      <c r="K3581" s="90">
        <f t="shared" si="698"/>
        <v>117.10707000000001</v>
      </c>
      <c r="L3581" s="131">
        <v>510</v>
      </c>
      <c r="M3581" s="187">
        <v>40.82</v>
      </c>
      <c r="N3581" s="91">
        <f t="shared" si="693"/>
        <v>104.57</v>
      </c>
      <c r="O3581" s="411">
        <f t="shared" si="687"/>
        <v>12.537070000000014</v>
      </c>
      <c r="P3581" s="132" t="s">
        <v>52</v>
      </c>
      <c r="Q3581" s="232"/>
      <c r="R3581" s="411"/>
      <c r="T3581" s="134" t="s">
        <v>145</v>
      </c>
      <c r="U3581" s="267" t="s">
        <v>8092</v>
      </c>
      <c r="AA3581" s="218"/>
    </row>
    <row r="3582" spans="1:27" ht="24" x14ac:dyDescent="0.25">
      <c r="A3582" s="405">
        <v>3002767</v>
      </c>
      <c r="B3582" s="406">
        <v>42542</v>
      </c>
      <c r="C3582" s="405" t="s">
        <v>5682</v>
      </c>
      <c r="D3582" s="401" t="s">
        <v>8093</v>
      </c>
      <c r="E3582" s="120">
        <v>100</v>
      </c>
      <c r="F3582" s="133" t="s">
        <v>300</v>
      </c>
      <c r="G3582" s="404" t="s">
        <v>7486</v>
      </c>
      <c r="H3582" s="411">
        <v>427.5</v>
      </c>
      <c r="I3582" s="89">
        <f t="shared" si="696"/>
        <v>-38.475000000000001</v>
      </c>
      <c r="J3582" s="391">
        <f t="shared" si="697"/>
        <v>-8.4225000000000012</v>
      </c>
      <c r="K3582" s="90">
        <f t="shared" si="698"/>
        <v>380.60249999999996</v>
      </c>
      <c r="L3582" s="131">
        <v>2150</v>
      </c>
      <c r="M3582" s="187">
        <v>47.45</v>
      </c>
      <c r="N3582" s="91">
        <f t="shared" si="693"/>
        <v>262.45</v>
      </c>
      <c r="O3582" s="411">
        <f t="shared" si="687"/>
        <v>118.15249999999997</v>
      </c>
      <c r="P3582" s="132" t="s">
        <v>52</v>
      </c>
      <c r="Q3582" s="232"/>
      <c r="R3582" s="411"/>
      <c r="T3582" s="134" t="s">
        <v>145</v>
      </c>
      <c r="U3582" s="267" t="s">
        <v>8094</v>
      </c>
      <c r="AA3582" s="218"/>
    </row>
    <row r="3583" spans="1:27" ht="24" x14ac:dyDescent="0.25">
      <c r="A3583" s="405">
        <v>3002768</v>
      </c>
      <c r="B3583" s="406">
        <v>42542</v>
      </c>
      <c r="C3583" s="405" t="s">
        <v>5682</v>
      </c>
      <c r="D3583" s="401" t="s">
        <v>8095</v>
      </c>
      <c r="E3583" s="120">
        <v>50</v>
      </c>
      <c r="F3583" s="133" t="s">
        <v>8096</v>
      </c>
      <c r="G3583" s="404" t="s">
        <v>7486</v>
      </c>
      <c r="H3583" s="411">
        <v>91</v>
      </c>
      <c r="I3583" s="89">
        <f t="shared" si="696"/>
        <v>-8.19</v>
      </c>
      <c r="J3583" s="391">
        <f t="shared" si="697"/>
        <v>-2.0289999999999999</v>
      </c>
      <c r="K3583" s="90">
        <f t="shared" si="698"/>
        <v>80.781000000000006</v>
      </c>
      <c r="L3583" s="187">
        <v>1000</v>
      </c>
      <c r="M3583" s="187">
        <v>13.72</v>
      </c>
      <c r="N3583" s="91">
        <f t="shared" si="693"/>
        <v>63.72</v>
      </c>
      <c r="O3583" s="411">
        <f t="shared" si="687"/>
        <v>17.061000000000007</v>
      </c>
      <c r="P3583" s="132" t="s">
        <v>183</v>
      </c>
      <c r="Q3583" s="232"/>
      <c r="R3583" s="411"/>
      <c r="T3583" s="134" t="s">
        <v>145</v>
      </c>
      <c r="U3583" s="267" t="s">
        <v>8097</v>
      </c>
      <c r="AA3583" s="218"/>
    </row>
    <row r="3584" spans="1:27" ht="24" x14ac:dyDescent="0.25">
      <c r="A3584" s="405">
        <v>3002769</v>
      </c>
      <c r="B3584" s="406">
        <v>42542</v>
      </c>
      <c r="C3584" s="405" t="s">
        <v>237</v>
      </c>
      <c r="D3584" s="401" t="s">
        <v>8098</v>
      </c>
      <c r="E3584" s="120">
        <v>200</v>
      </c>
      <c r="F3584" s="133" t="s">
        <v>5038</v>
      </c>
      <c r="G3584" s="404" t="s">
        <v>7486</v>
      </c>
      <c r="H3584" s="411">
        <v>316.06</v>
      </c>
      <c r="I3584" s="397">
        <f t="shared" ref="I3584" si="699">-(H3584*0.15)</f>
        <v>-47.408999999999999</v>
      </c>
      <c r="J3584" s="391">
        <v>0</v>
      </c>
      <c r="K3584" s="90">
        <f t="shared" si="698"/>
        <v>268.65100000000001</v>
      </c>
      <c r="L3584" s="131">
        <v>533.33000000000004</v>
      </c>
      <c r="M3584" s="187">
        <v>63.78</v>
      </c>
      <c r="N3584" s="91">
        <f t="shared" si="693"/>
        <v>170.44600000000003</v>
      </c>
      <c r="O3584" s="411">
        <f t="shared" si="687"/>
        <v>98.204999999999984</v>
      </c>
      <c r="P3584" s="132" t="s">
        <v>52</v>
      </c>
      <c r="Q3584" s="232"/>
      <c r="R3584" s="411"/>
      <c r="T3584" s="134" t="s">
        <v>145</v>
      </c>
      <c r="U3584" s="267" t="s">
        <v>8099</v>
      </c>
      <c r="AA3584" s="218"/>
    </row>
    <row r="3585" spans="1:27" x14ac:dyDescent="0.25">
      <c r="A3585" s="419">
        <v>3002770</v>
      </c>
      <c r="B3585" s="421">
        <v>42542</v>
      </c>
      <c r="C3585" s="419" t="s">
        <v>63</v>
      </c>
      <c r="D3585" s="417" t="s">
        <v>8100</v>
      </c>
      <c r="E3585" s="120">
        <v>20000</v>
      </c>
      <c r="F3585" s="133" t="s">
        <v>8101</v>
      </c>
      <c r="G3585" s="434" t="s">
        <v>7486</v>
      </c>
      <c r="H3585" s="427">
        <v>6780</v>
      </c>
      <c r="I3585" s="427">
        <v>0</v>
      </c>
      <c r="J3585" s="425">
        <f>-((H3585*0.022)+0.3)</f>
        <v>-149.46</v>
      </c>
      <c r="K3585" s="425">
        <f t="shared" si="698"/>
        <v>6630.54</v>
      </c>
      <c r="L3585" s="187">
        <v>210</v>
      </c>
      <c r="M3585" s="131">
        <v>0</v>
      </c>
      <c r="N3585" s="91">
        <f t="shared" si="693"/>
        <v>4200</v>
      </c>
      <c r="O3585" s="411">
        <f t="shared" si="687"/>
        <v>2430.54</v>
      </c>
      <c r="P3585" s="132" t="s">
        <v>66</v>
      </c>
      <c r="Q3585" s="232"/>
      <c r="R3585" s="411"/>
      <c r="T3585" s="439" t="s">
        <v>5873</v>
      </c>
      <c r="U3585" s="446" t="s">
        <v>8102</v>
      </c>
      <c r="AA3585" s="218"/>
    </row>
    <row r="3586" spans="1:27" x14ac:dyDescent="0.25">
      <c r="A3586" s="420"/>
      <c r="B3586" s="422"/>
      <c r="C3586" s="420"/>
      <c r="D3586" s="418"/>
      <c r="E3586" s="120">
        <v>1500</v>
      </c>
      <c r="F3586" s="133" t="s">
        <v>8103</v>
      </c>
      <c r="G3586" s="436"/>
      <c r="H3586" s="428"/>
      <c r="I3586" s="428"/>
      <c r="J3586" s="426"/>
      <c r="K3586" s="426"/>
      <c r="L3586" s="187">
        <v>280</v>
      </c>
      <c r="M3586" s="131">
        <v>0</v>
      </c>
      <c r="N3586" s="91">
        <f t="shared" si="693"/>
        <v>420</v>
      </c>
      <c r="O3586" s="411">
        <f t="shared" si="687"/>
        <v>-420</v>
      </c>
      <c r="P3586" s="132" t="s">
        <v>66</v>
      </c>
      <c r="Q3586" s="232"/>
      <c r="R3586" s="411"/>
      <c r="T3586" s="441"/>
      <c r="U3586" s="447"/>
      <c r="AA3586" s="218"/>
    </row>
    <row r="3587" spans="1:27" ht="24" x14ac:dyDescent="0.25">
      <c r="A3587" s="405">
        <v>3002771</v>
      </c>
      <c r="B3587" s="406">
        <v>42542</v>
      </c>
      <c r="C3587" s="405" t="s">
        <v>5682</v>
      </c>
      <c r="D3587" s="401" t="s">
        <v>7998</v>
      </c>
      <c r="E3587" s="120">
        <v>250</v>
      </c>
      <c r="F3587" s="133" t="s">
        <v>8104</v>
      </c>
      <c r="G3587" s="404" t="s">
        <v>7486</v>
      </c>
      <c r="H3587" s="411">
        <v>137.75</v>
      </c>
      <c r="I3587" s="89">
        <f t="shared" ref="I3587" si="700">-(H3587*0.09)</f>
        <v>-12.397499999999999</v>
      </c>
      <c r="J3587" s="391">
        <f t="shared" ref="J3587" si="701">-((H3587*0.019)+0.3)</f>
        <v>-2.9172499999999997</v>
      </c>
      <c r="K3587" s="90">
        <f t="shared" si="698"/>
        <v>122.43525000000001</v>
      </c>
      <c r="L3587" s="187">
        <v>260</v>
      </c>
      <c r="M3587" s="187">
        <v>18.32</v>
      </c>
      <c r="N3587" s="91">
        <f t="shared" si="693"/>
        <v>83.32</v>
      </c>
      <c r="O3587" s="411">
        <f t="shared" si="687"/>
        <v>39.115250000000017</v>
      </c>
      <c r="P3587" s="132" t="s">
        <v>183</v>
      </c>
      <c r="Q3587" s="232"/>
      <c r="R3587" s="411"/>
      <c r="T3587" s="134" t="s">
        <v>145</v>
      </c>
      <c r="U3587" s="267" t="s">
        <v>8105</v>
      </c>
      <c r="AA3587" s="218"/>
    </row>
    <row r="3588" spans="1:27" x14ac:dyDescent="0.25">
      <c r="A3588" s="405">
        <v>3002772</v>
      </c>
      <c r="B3588" s="406">
        <v>42542</v>
      </c>
      <c r="C3588" s="405" t="s">
        <v>63</v>
      </c>
      <c r="D3588" s="401" t="s">
        <v>8106</v>
      </c>
      <c r="E3588" s="120">
        <v>200</v>
      </c>
      <c r="F3588" s="133" t="s">
        <v>8107</v>
      </c>
      <c r="G3588" s="404" t="s">
        <v>7486</v>
      </c>
      <c r="H3588" s="411">
        <v>366</v>
      </c>
      <c r="I3588" s="411">
        <v>0</v>
      </c>
      <c r="J3588" s="391">
        <f>-((H3588*0.022)+0.3)</f>
        <v>-8.3520000000000003</v>
      </c>
      <c r="K3588" s="90">
        <f t="shared" si="698"/>
        <v>357.64800000000002</v>
      </c>
      <c r="L3588" s="187">
        <v>1129</v>
      </c>
      <c r="M3588" s="187">
        <v>105</v>
      </c>
      <c r="N3588" s="91">
        <f t="shared" si="693"/>
        <v>330.8</v>
      </c>
      <c r="O3588" s="411">
        <f t="shared" si="687"/>
        <v>26.848000000000013</v>
      </c>
      <c r="P3588" s="132" t="s">
        <v>183</v>
      </c>
      <c r="Q3588" s="232"/>
      <c r="R3588" s="411"/>
      <c r="T3588" s="134" t="s">
        <v>3598</v>
      </c>
      <c r="U3588" s="267" t="s">
        <v>8108</v>
      </c>
      <c r="W3588" s="153" t="s">
        <v>8109</v>
      </c>
      <c r="AA3588" s="218"/>
    </row>
    <row r="3589" spans="1:27" x14ac:dyDescent="0.25">
      <c r="A3589" s="405">
        <v>3002773</v>
      </c>
      <c r="B3589" s="406">
        <v>42542</v>
      </c>
      <c r="C3589" s="405" t="s">
        <v>56</v>
      </c>
      <c r="D3589" s="401" t="s">
        <v>1251</v>
      </c>
      <c r="E3589" s="120">
        <v>2500</v>
      </c>
      <c r="F3589" s="133" t="s">
        <v>8110</v>
      </c>
      <c r="G3589" s="404" t="s">
        <v>7486</v>
      </c>
      <c r="H3589" s="411">
        <v>2650.5</v>
      </c>
      <c r="I3589" s="411">
        <v>0</v>
      </c>
      <c r="J3589" s="411">
        <v>0</v>
      </c>
      <c r="K3589" s="90">
        <f t="shared" si="698"/>
        <v>2650.5</v>
      </c>
      <c r="L3589" s="131">
        <v>850</v>
      </c>
      <c r="N3589" s="91">
        <f t="shared" si="693"/>
        <v>2125</v>
      </c>
      <c r="O3589" s="411">
        <f t="shared" si="687"/>
        <v>525.5</v>
      </c>
      <c r="P3589" s="132" t="s">
        <v>235</v>
      </c>
      <c r="Q3589" s="232"/>
      <c r="R3589" s="411"/>
      <c r="T3589" s="134" t="s">
        <v>3598</v>
      </c>
      <c r="U3589" s="267" t="s">
        <v>8111</v>
      </c>
      <c r="V3589" s="133" t="s">
        <v>6472</v>
      </c>
      <c r="AA3589" s="218"/>
    </row>
    <row r="3590" spans="1:27" ht="24" x14ac:dyDescent="0.25">
      <c r="A3590" s="405">
        <v>3002774</v>
      </c>
      <c r="B3590" s="406">
        <v>42543</v>
      </c>
      <c r="C3590" s="405" t="s">
        <v>5682</v>
      </c>
      <c r="D3590" s="401" t="s">
        <v>8112</v>
      </c>
      <c r="E3590" s="120">
        <v>130</v>
      </c>
      <c r="F3590" s="133" t="s">
        <v>247</v>
      </c>
      <c r="G3590" s="404" t="s">
        <v>7486</v>
      </c>
      <c r="H3590" s="411">
        <v>136.5</v>
      </c>
      <c r="I3590" s="89">
        <f t="shared" ref="I3590:I3598" si="702">-(H3590*0.09)</f>
        <v>-12.285</v>
      </c>
      <c r="J3590" s="391">
        <f t="shared" ref="J3590:J3598" si="703">-((H3590*0.019)+0.3)</f>
        <v>-2.8935</v>
      </c>
      <c r="K3590" s="90">
        <f t="shared" si="698"/>
        <v>121.3215</v>
      </c>
      <c r="L3590" s="131">
        <v>590</v>
      </c>
      <c r="M3590" s="187">
        <v>44.85</v>
      </c>
      <c r="N3590" s="91">
        <f t="shared" si="693"/>
        <v>121.55000000000001</v>
      </c>
      <c r="O3590" s="411">
        <f t="shared" si="687"/>
        <v>-0.22850000000001103</v>
      </c>
      <c r="P3590" s="132" t="s">
        <v>52</v>
      </c>
      <c r="Q3590" s="232"/>
      <c r="R3590" s="411"/>
      <c r="T3590" s="134" t="s">
        <v>145</v>
      </c>
      <c r="U3590" s="267" t="s">
        <v>8113</v>
      </c>
      <c r="AA3590" s="218"/>
    </row>
    <row r="3591" spans="1:27" ht="24" x14ac:dyDescent="0.25">
      <c r="A3591" s="405">
        <v>3002775</v>
      </c>
      <c r="B3591" s="406">
        <v>42543</v>
      </c>
      <c r="C3591" s="405" t="s">
        <v>78</v>
      </c>
      <c r="D3591" s="401" t="s">
        <v>8114</v>
      </c>
      <c r="E3591" s="120">
        <v>500</v>
      </c>
      <c r="F3591" s="133" t="s">
        <v>6793</v>
      </c>
      <c r="G3591" s="404" t="s">
        <v>7486</v>
      </c>
      <c r="H3591" s="411">
        <v>500</v>
      </c>
      <c r="I3591" s="411">
        <v>0</v>
      </c>
      <c r="J3591" s="391">
        <f t="shared" si="703"/>
        <v>-9.8000000000000007</v>
      </c>
      <c r="K3591" s="90">
        <f t="shared" si="698"/>
        <v>490.2</v>
      </c>
      <c r="M3591" s="187">
        <v>37.18</v>
      </c>
      <c r="N3591" s="91">
        <f t="shared" si="693"/>
        <v>37.18</v>
      </c>
      <c r="O3591" s="411">
        <f t="shared" si="687"/>
        <v>453.02</v>
      </c>
      <c r="P3591" s="132" t="s">
        <v>86</v>
      </c>
      <c r="Q3591" s="232"/>
      <c r="R3591" s="411"/>
      <c r="T3591" s="134" t="s">
        <v>145</v>
      </c>
      <c r="U3591" s="267" t="s">
        <v>8115</v>
      </c>
      <c r="W3591" s="153" t="s">
        <v>8116</v>
      </c>
      <c r="AA3591" s="218"/>
    </row>
    <row r="3592" spans="1:27" ht="24" x14ac:dyDescent="0.25">
      <c r="A3592" s="405">
        <v>3002776</v>
      </c>
      <c r="B3592" s="406">
        <v>42543</v>
      </c>
      <c r="C3592" s="405" t="s">
        <v>5682</v>
      </c>
      <c r="D3592" s="401" t="s">
        <v>8117</v>
      </c>
      <c r="E3592" s="120">
        <v>1000</v>
      </c>
      <c r="F3592" s="119" t="s">
        <v>8118</v>
      </c>
      <c r="G3592" s="404" t="s">
        <v>7486</v>
      </c>
      <c r="H3592" s="411">
        <v>148.18</v>
      </c>
      <c r="I3592" s="89">
        <f t="shared" si="702"/>
        <v>-13.3362</v>
      </c>
      <c r="J3592" s="391">
        <f t="shared" si="703"/>
        <v>-3.1154199999999999</v>
      </c>
      <c r="K3592" s="90">
        <f t="shared" si="698"/>
        <v>131.72838000000002</v>
      </c>
      <c r="L3592" s="187">
        <v>92</v>
      </c>
      <c r="M3592" s="187">
        <v>28.49</v>
      </c>
      <c r="N3592" s="91">
        <f t="shared" si="693"/>
        <v>120.49</v>
      </c>
      <c r="O3592" s="411">
        <f t="shared" si="687"/>
        <v>11.238380000000021</v>
      </c>
      <c r="P3592" s="132" t="s">
        <v>183</v>
      </c>
      <c r="Q3592" s="232"/>
      <c r="R3592" s="411">
        <v>9.69</v>
      </c>
      <c r="S3592" s="133" t="s">
        <v>8119</v>
      </c>
      <c r="T3592" s="134" t="s">
        <v>204</v>
      </c>
      <c r="U3592" s="266" t="s">
        <v>8120</v>
      </c>
      <c r="AA3592" s="218"/>
    </row>
    <row r="3593" spans="1:27" x14ac:dyDescent="0.25">
      <c r="A3593" s="405">
        <v>3002777</v>
      </c>
      <c r="B3593" s="406">
        <v>42543</v>
      </c>
      <c r="C3593" s="405" t="s">
        <v>5682</v>
      </c>
      <c r="D3593" s="401" t="s">
        <v>8121</v>
      </c>
      <c r="E3593" s="120">
        <v>2000</v>
      </c>
      <c r="F3593" s="133" t="s">
        <v>8122</v>
      </c>
      <c r="G3593" s="404" t="s">
        <v>7486</v>
      </c>
      <c r="H3593" s="411">
        <v>1600</v>
      </c>
      <c r="I3593" s="89">
        <f t="shared" si="702"/>
        <v>-144</v>
      </c>
      <c r="J3593" s="391">
        <f t="shared" si="703"/>
        <v>-30.7</v>
      </c>
      <c r="K3593" s="90">
        <f t="shared" si="698"/>
        <v>1425.3</v>
      </c>
      <c r="L3593" s="187">
        <v>449</v>
      </c>
      <c r="M3593" s="187">
        <v>94.87</v>
      </c>
      <c r="N3593" s="91">
        <f t="shared" si="693"/>
        <v>992.87</v>
      </c>
      <c r="O3593" s="411">
        <f t="shared" si="687"/>
        <v>432.42999999999995</v>
      </c>
      <c r="P3593" s="132" t="s">
        <v>638</v>
      </c>
      <c r="Q3593" s="232"/>
      <c r="R3593" s="411"/>
      <c r="T3593" s="134" t="s">
        <v>717</v>
      </c>
      <c r="U3593" s="266">
        <v>25110822</v>
      </c>
      <c r="AA3593" s="218"/>
    </row>
    <row r="3594" spans="1:27" x14ac:dyDescent="0.25">
      <c r="A3594" s="405">
        <v>3002778</v>
      </c>
      <c r="B3594" s="406">
        <v>42543</v>
      </c>
      <c r="C3594" s="405" t="s">
        <v>5682</v>
      </c>
      <c r="D3594" s="401" t="s">
        <v>8123</v>
      </c>
      <c r="E3594" s="120">
        <v>1000</v>
      </c>
      <c r="F3594" s="133" t="s">
        <v>8124</v>
      </c>
      <c r="G3594" s="404" t="s">
        <v>7486</v>
      </c>
      <c r="H3594" s="411">
        <v>436.39</v>
      </c>
      <c r="I3594" s="89">
        <f t="shared" si="702"/>
        <v>-39.275099999999995</v>
      </c>
      <c r="J3594" s="391">
        <f t="shared" si="703"/>
        <v>-8.5914099999999998</v>
      </c>
      <c r="K3594" s="90">
        <f t="shared" si="698"/>
        <v>388.52348999999998</v>
      </c>
      <c r="L3594" s="187">
        <v>207</v>
      </c>
      <c r="M3594" s="187">
        <v>53.05</v>
      </c>
      <c r="N3594" s="91">
        <f t="shared" si="693"/>
        <v>260.05</v>
      </c>
      <c r="O3594" s="411">
        <f t="shared" si="687"/>
        <v>128.47348999999997</v>
      </c>
      <c r="P3594" s="132" t="s">
        <v>638</v>
      </c>
      <c r="Q3594" s="232"/>
      <c r="R3594" s="411"/>
      <c r="T3594" s="134" t="s">
        <v>314</v>
      </c>
      <c r="U3594" s="267" t="s">
        <v>8125</v>
      </c>
      <c r="AA3594" s="218"/>
    </row>
    <row r="3595" spans="1:27" ht="24" x14ac:dyDescent="0.25">
      <c r="A3595" s="405">
        <v>3002779</v>
      </c>
      <c r="B3595" s="406">
        <v>42543</v>
      </c>
      <c r="C3595" s="405" t="s">
        <v>5682</v>
      </c>
      <c r="D3595" s="401" t="s">
        <v>8126</v>
      </c>
      <c r="E3595" s="120">
        <v>250</v>
      </c>
      <c r="F3595" s="119" t="s">
        <v>8127</v>
      </c>
      <c r="G3595" s="404" t="s">
        <v>7486</v>
      </c>
      <c r="H3595" s="411">
        <v>177.13</v>
      </c>
      <c r="I3595" s="89">
        <f t="shared" si="702"/>
        <v>-15.941699999999999</v>
      </c>
      <c r="J3595" s="391">
        <f t="shared" si="703"/>
        <v>-3.6654699999999996</v>
      </c>
      <c r="K3595" s="90">
        <f t="shared" si="698"/>
        <v>157.52283</v>
      </c>
      <c r="L3595" s="187">
        <v>318</v>
      </c>
      <c r="M3595" s="187">
        <v>24.26</v>
      </c>
      <c r="N3595" s="91">
        <f t="shared" si="693"/>
        <v>103.76</v>
      </c>
      <c r="O3595" s="411">
        <f t="shared" si="687"/>
        <v>53.762829999999994</v>
      </c>
      <c r="P3595" s="132" t="s">
        <v>313</v>
      </c>
      <c r="Q3595" s="232"/>
      <c r="R3595" s="411"/>
      <c r="T3595" s="134" t="s">
        <v>314</v>
      </c>
      <c r="U3595" s="267" t="s">
        <v>8128</v>
      </c>
      <c r="AA3595" s="218"/>
    </row>
    <row r="3596" spans="1:27" ht="24" x14ac:dyDescent="0.25">
      <c r="A3596" s="405">
        <v>3002780</v>
      </c>
      <c r="B3596" s="406">
        <v>42543</v>
      </c>
      <c r="C3596" s="405" t="s">
        <v>42</v>
      </c>
      <c r="D3596" s="401" t="s">
        <v>8129</v>
      </c>
      <c r="E3596" s="120">
        <v>50</v>
      </c>
      <c r="F3596" s="133" t="s">
        <v>2180</v>
      </c>
      <c r="G3596" s="404" t="s">
        <v>7486</v>
      </c>
      <c r="H3596" s="411">
        <v>102.41</v>
      </c>
      <c r="I3596" s="89">
        <f t="shared" si="702"/>
        <v>-9.216899999999999</v>
      </c>
      <c r="J3596" s="391">
        <f t="shared" si="703"/>
        <v>-2.24579</v>
      </c>
      <c r="K3596" s="90">
        <f t="shared" si="698"/>
        <v>90.947310000000002</v>
      </c>
      <c r="L3596" s="131">
        <v>533.33000000000004</v>
      </c>
      <c r="N3596" s="91">
        <f t="shared" si="693"/>
        <v>26.666500000000003</v>
      </c>
      <c r="O3596" s="411">
        <f t="shared" si="687"/>
        <v>64.280810000000002</v>
      </c>
      <c r="P3596" s="132" t="s">
        <v>52</v>
      </c>
      <c r="Q3596" s="232"/>
      <c r="R3596" s="411"/>
      <c r="T3596" s="134" t="s">
        <v>145</v>
      </c>
      <c r="U3596" s="267" t="s">
        <v>8130</v>
      </c>
      <c r="AA3596" s="218"/>
    </row>
    <row r="3597" spans="1:27" ht="24" x14ac:dyDescent="0.25">
      <c r="A3597" s="405">
        <v>3002781</v>
      </c>
      <c r="B3597" s="406">
        <v>42543</v>
      </c>
      <c r="C3597" s="405" t="s">
        <v>5682</v>
      </c>
      <c r="D3597" s="401" t="s">
        <v>8131</v>
      </c>
      <c r="E3597" s="120">
        <v>275</v>
      </c>
      <c r="F3597" s="133" t="s">
        <v>605</v>
      </c>
      <c r="G3597" s="404" t="s">
        <v>7486</v>
      </c>
      <c r="H3597" s="411">
        <v>350.25</v>
      </c>
      <c r="I3597" s="89">
        <f t="shared" si="702"/>
        <v>-31.522499999999997</v>
      </c>
      <c r="J3597" s="391">
        <f t="shared" si="703"/>
        <v>-6.9547499999999998</v>
      </c>
      <c r="K3597" s="90">
        <f t="shared" si="698"/>
        <v>311.77275000000003</v>
      </c>
      <c r="L3597" s="131">
        <v>595</v>
      </c>
      <c r="N3597" s="91">
        <f t="shared" si="693"/>
        <v>163.625</v>
      </c>
      <c r="O3597" s="411">
        <f t="shared" ref="O3597:O3660" si="704">K3597-N3597</f>
        <v>148.14775000000003</v>
      </c>
      <c r="P3597" s="132" t="s">
        <v>52</v>
      </c>
      <c r="Q3597" s="232"/>
      <c r="R3597" s="411"/>
      <c r="T3597" s="134" t="s">
        <v>145</v>
      </c>
      <c r="U3597" s="267" t="s">
        <v>8132</v>
      </c>
      <c r="AA3597" s="218"/>
    </row>
    <row r="3598" spans="1:27" ht="24" x14ac:dyDescent="0.25">
      <c r="A3598" s="405">
        <v>3002782</v>
      </c>
      <c r="B3598" s="406">
        <v>42543</v>
      </c>
      <c r="C3598" s="405" t="s">
        <v>5682</v>
      </c>
      <c r="D3598" s="401" t="s">
        <v>8133</v>
      </c>
      <c r="E3598" s="120">
        <v>250</v>
      </c>
      <c r="F3598" s="133" t="s">
        <v>307</v>
      </c>
      <c r="G3598" s="404" t="s">
        <v>7486</v>
      </c>
      <c r="H3598" s="411">
        <v>341.25</v>
      </c>
      <c r="I3598" s="89">
        <f t="shared" si="702"/>
        <v>-30.712499999999999</v>
      </c>
      <c r="J3598" s="391">
        <f t="shared" si="703"/>
        <v>-6.7837499999999995</v>
      </c>
      <c r="K3598" s="90">
        <f t="shared" si="698"/>
        <v>303.75375000000003</v>
      </c>
      <c r="L3598" s="131">
        <v>690</v>
      </c>
      <c r="N3598" s="91">
        <f t="shared" si="693"/>
        <v>172.5</v>
      </c>
      <c r="O3598" s="411">
        <f t="shared" si="704"/>
        <v>131.25375000000003</v>
      </c>
      <c r="P3598" s="132" t="s">
        <v>52</v>
      </c>
      <c r="Q3598" s="232"/>
      <c r="R3598" s="411">
        <v>25.28</v>
      </c>
      <c r="S3598" s="133" t="s">
        <v>8134</v>
      </c>
      <c r="T3598" s="134" t="s">
        <v>145</v>
      </c>
      <c r="U3598" s="267" t="s">
        <v>8135</v>
      </c>
      <c r="AA3598" s="218"/>
    </row>
    <row r="3599" spans="1:27" ht="24" x14ac:dyDescent="0.25">
      <c r="A3599" s="405">
        <v>3002783</v>
      </c>
      <c r="B3599" s="406">
        <v>42543</v>
      </c>
      <c r="C3599" s="405" t="s">
        <v>237</v>
      </c>
      <c r="D3599" s="401" t="s">
        <v>8136</v>
      </c>
      <c r="E3599" s="120">
        <v>275</v>
      </c>
      <c r="F3599" s="133" t="s">
        <v>422</v>
      </c>
      <c r="G3599" s="404" t="s">
        <v>7486</v>
      </c>
      <c r="H3599" s="411">
        <v>401.81</v>
      </c>
      <c r="I3599" s="397">
        <f t="shared" ref="I3599" si="705">-(H3599*0.15)</f>
        <v>-60.271499999999996</v>
      </c>
      <c r="J3599" s="411">
        <v>0</v>
      </c>
      <c r="K3599" s="90">
        <f t="shared" si="698"/>
        <v>341.5385</v>
      </c>
      <c r="L3599" s="131">
        <v>710</v>
      </c>
      <c r="M3599" s="187">
        <v>54.87</v>
      </c>
      <c r="N3599" s="91">
        <f t="shared" si="693"/>
        <v>250.12000000000003</v>
      </c>
      <c r="O3599" s="411">
        <f t="shared" si="704"/>
        <v>91.418499999999966</v>
      </c>
      <c r="P3599" s="132" t="s">
        <v>52</v>
      </c>
      <c r="Q3599" s="232"/>
      <c r="R3599" s="411"/>
      <c r="T3599" s="134" t="s">
        <v>145</v>
      </c>
      <c r="U3599" s="267" t="s">
        <v>8137</v>
      </c>
      <c r="AA3599" s="218"/>
    </row>
    <row r="3600" spans="1:27" x14ac:dyDescent="0.25">
      <c r="A3600" s="405">
        <v>3002784</v>
      </c>
      <c r="B3600" s="406">
        <v>42543</v>
      </c>
      <c r="C3600" s="405" t="s">
        <v>56</v>
      </c>
      <c r="D3600" s="401" t="s">
        <v>1192</v>
      </c>
      <c r="E3600" s="120">
        <v>5000</v>
      </c>
      <c r="F3600" s="133" t="s">
        <v>688</v>
      </c>
      <c r="G3600" s="404" t="s">
        <v>7486</v>
      </c>
      <c r="H3600" s="411">
        <v>4840</v>
      </c>
      <c r="I3600" s="411">
        <v>0</v>
      </c>
      <c r="J3600" s="411">
        <v>0</v>
      </c>
      <c r="K3600" s="90">
        <f t="shared" si="698"/>
        <v>4840</v>
      </c>
      <c r="L3600" s="187">
        <v>830</v>
      </c>
      <c r="M3600" s="131">
        <v>0</v>
      </c>
      <c r="N3600" s="91">
        <f t="shared" si="693"/>
        <v>4150</v>
      </c>
      <c r="O3600" s="411">
        <f t="shared" si="704"/>
        <v>690</v>
      </c>
      <c r="P3600" s="132" t="s">
        <v>46</v>
      </c>
      <c r="Q3600" s="232"/>
      <c r="R3600" s="411"/>
      <c r="T3600" s="134" t="s">
        <v>47</v>
      </c>
      <c r="U3600" s="267" t="s">
        <v>8138</v>
      </c>
      <c r="V3600" s="133" t="s">
        <v>7918</v>
      </c>
      <c r="W3600" s="153" t="s">
        <v>1193</v>
      </c>
      <c r="AA3600" s="218"/>
    </row>
    <row r="3601" spans="1:27" ht="24" x14ac:dyDescent="0.25">
      <c r="A3601" s="405">
        <v>3002785</v>
      </c>
      <c r="B3601" s="406">
        <v>42543</v>
      </c>
      <c r="C3601" s="405" t="s">
        <v>56</v>
      </c>
      <c r="D3601" s="401" t="s">
        <v>5940</v>
      </c>
      <c r="E3601" s="120">
        <v>100</v>
      </c>
      <c r="F3601" s="133" t="s">
        <v>307</v>
      </c>
      <c r="G3601" s="404" t="s">
        <v>7486</v>
      </c>
      <c r="H3601" s="411">
        <v>125</v>
      </c>
      <c r="I3601" s="411">
        <v>0</v>
      </c>
      <c r="J3601" s="411">
        <v>0</v>
      </c>
      <c r="K3601" s="90">
        <f t="shared" si="698"/>
        <v>125</v>
      </c>
      <c r="L3601" s="131">
        <v>690</v>
      </c>
      <c r="M3601" s="187">
        <v>48.56</v>
      </c>
      <c r="N3601" s="91">
        <f t="shared" si="693"/>
        <v>117.56</v>
      </c>
      <c r="O3601" s="411">
        <f t="shared" si="704"/>
        <v>7.4399999999999977</v>
      </c>
      <c r="P3601" s="132" t="s">
        <v>52</v>
      </c>
      <c r="Q3601" s="232"/>
      <c r="R3601" s="411"/>
      <c r="T3601" s="134" t="s">
        <v>145</v>
      </c>
      <c r="U3601" s="267" t="s">
        <v>8139</v>
      </c>
      <c r="V3601" s="133" t="s">
        <v>8140</v>
      </c>
      <c r="AA3601" s="218"/>
    </row>
    <row r="3602" spans="1:27" ht="24" x14ac:dyDescent="0.25">
      <c r="A3602" s="405">
        <v>3002786</v>
      </c>
      <c r="B3602" s="406">
        <v>42543</v>
      </c>
      <c r="C3602" s="405" t="s">
        <v>5682</v>
      </c>
      <c r="D3602" s="401" t="s">
        <v>8141</v>
      </c>
      <c r="E3602" s="120">
        <v>200</v>
      </c>
      <c r="F3602" s="133" t="s">
        <v>8142</v>
      </c>
      <c r="G3602" s="404" t="s">
        <v>7486</v>
      </c>
      <c r="H3602" s="411">
        <v>497.86</v>
      </c>
      <c r="I3602" s="89">
        <f t="shared" ref="I3602:I3603" si="706">-(H3602*0.09)</f>
        <v>-44.807400000000001</v>
      </c>
      <c r="J3602" s="391">
        <f t="shared" ref="J3602:J3603" si="707">-((H3602*0.019)+0.3)</f>
        <v>-9.7593399999999999</v>
      </c>
      <c r="K3602" s="90">
        <f t="shared" si="698"/>
        <v>443.29325999999998</v>
      </c>
      <c r="M3602" s="187">
        <v>31.23</v>
      </c>
      <c r="N3602" s="91">
        <f t="shared" si="693"/>
        <v>31.23</v>
      </c>
      <c r="O3602" s="411">
        <f t="shared" si="704"/>
        <v>412.06325999999996</v>
      </c>
      <c r="P3602" s="132" t="s">
        <v>52</v>
      </c>
      <c r="Q3602" s="232"/>
      <c r="R3602" s="411"/>
      <c r="T3602" s="134" t="s">
        <v>145</v>
      </c>
      <c r="U3602" s="267" t="s">
        <v>8143</v>
      </c>
      <c r="AA3602" s="218"/>
    </row>
    <row r="3603" spans="1:27" x14ac:dyDescent="0.25">
      <c r="A3603" s="405">
        <v>3002787</v>
      </c>
      <c r="B3603" s="406">
        <v>42543</v>
      </c>
      <c r="C3603" s="405" t="s">
        <v>5682</v>
      </c>
      <c r="D3603" s="401" t="s">
        <v>8144</v>
      </c>
      <c r="E3603" s="120">
        <v>500</v>
      </c>
      <c r="F3603" s="133" t="s">
        <v>506</v>
      </c>
      <c r="G3603" s="404" t="s">
        <v>7486</v>
      </c>
      <c r="H3603" s="411">
        <v>627</v>
      </c>
      <c r="I3603" s="89">
        <f t="shared" si="706"/>
        <v>-56.43</v>
      </c>
      <c r="J3603" s="391">
        <f t="shared" si="707"/>
        <v>-12.213000000000001</v>
      </c>
      <c r="K3603" s="90">
        <f t="shared" si="698"/>
        <v>558.35700000000008</v>
      </c>
      <c r="L3603" s="187">
        <v>786</v>
      </c>
      <c r="M3603" s="187">
        <v>216.89</v>
      </c>
      <c r="N3603" s="91">
        <f t="shared" si="693"/>
        <v>609.89</v>
      </c>
      <c r="O3603" s="411">
        <f t="shared" si="704"/>
        <v>-51.532999999999902</v>
      </c>
      <c r="P3603" s="132" t="s">
        <v>638</v>
      </c>
      <c r="Q3603" s="232"/>
      <c r="R3603" s="411"/>
      <c r="T3603" s="134" t="s">
        <v>1743</v>
      </c>
      <c r="U3603" s="267" t="s">
        <v>8145</v>
      </c>
      <c r="V3603" s="133" t="s">
        <v>55</v>
      </c>
      <c r="AA3603" s="218"/>
    </row>
    <row r="3604" spans="1:27" x14ac:dyDescent="0.25">
      <c r="A3604" s="405">
        <v>3002788</v>
      </c>
      <c r="B3604" s="406">
        <v>42543</v>
      </c>
      <c r="C3604" s="405" t="s">
        <v>63</v>
      </c>
      <c r="D3604" s="401" t="s">
        <v>8146</v>
      </c>
      <c r="E3604" s="120">
        <v>4500</v>
      </c>
      <c r="F3604" s="133" t="s">
        <v>8147</v>
      </c>
      <c r="G3604" s="404" t="s">
        <v>7486</v>
      </c>
      <c r="H3604" s="411">
        <v>2100</v>
      </c>
      <c r="I3604" s="411">
        <v>0</v>
      </c>
      <c r="J3604" s="391">
        <f>-((H3604*0.022)+0.3)</f>
        <v>-46.499999999999993</v>
      </c>
      <c r="K3604" s="90">
        <f t="shared" si="698"/>
        <v>2053.5</v>
      </c>
      <c r="L3604" s="187">
        <v>247.22</v>
      </c>
      <c r="M3604" s="187">
        <v>94.74</v>
      </c>
      <c r="N3604" s="91">
        <f t="shared" si="693"/>
        <v>1207.23</v>
      </c>
      <c r="O3604" s="411">
        <f t="shared" si="704"/>
        <v>846.27</v>
      </c>
      <c r="P3604" s="132" t="s">
        <v>46</v>
      </c>
      <c r="Q3604" s="232"/>
      <c r="R3604" s="411"/>
      <c r="T3604" s="134" t="s">
        <v>1346</v>
      </c>
      <c r="U3604" s="267" t="s">
        <v>8148</v>
      </c>
      <c r="W3604" s="153" t="s">
        <v>8149</v>
      </c>
      <c r="AA3604" s="218">
        <v>50</v>
      </c>
    </row>
    <row r="3605" spans="1:27" ht="24" x14ac:dyDescent="0.25">
      <c r="A3605" s="419">
        <v>3002789</v>
      </c>
      <c r="B3605" s="421">
        <v>42543</v>
      </c>
      <c r="C3605" s="419" t="s">
        <v>63</v>
      </c>
      <c r="D3605" s="417" t="s">
        <v>8150</v>
      </c>
      <c r="E3605" s="120">
        <v>400</v>
      </c>
      <c r="F3605" s="119" t="s">
        <v>8151</v>
      </c>
      <c r="G3605" s="434" t="s">
        <v>7486</v>
      </c>
      <c r="H3605" s="427">
        <v>3420</v>
      </c>
      <c r="I3605" s="427">
        <v>0</v>
      </c>
      <c r="J3605" s="498">
        <f>-((H3605*0.022)+0.3)</f>
        <v>-75.539999999999992</v>
      </c>
      <c r="K3605" s="425">
        <f t="shared" si="698"/>
        <v>3344.46</v>
      </c>
      <c r="L3605" s="187">
        <v>2521.54</v>
      </c>
      <c r="M3605" s="187">
        <v>103.18</v>
      </c>
      <c r="N3605" s="91">
        <f t="shared" si="693"/>
        <v>1111.796</v>
      </c>
      <c r="O3605" s="411">
        <f t="shared" si="704"/>
        <v>2232.6639999999998</v>
      </c>
      <c r="P3605" s="132" t="s">
        <v>1793</v>
      </c>
      <c r="Q3605" s="232"/>
      <c r="R3605" s="411"/>
      <c r="T3605" s="134" t="s">
        <v>244</v>
      </c>
      <c r="U3605" s="266" t="s">
        <v>8152</v>
      </c>
      <c r="V3605" s="133" t="s">
        <v>55</v>
      </c>
      <c r="W3605" s="153" t="s">
        <v>8153</v>
      </c>
      <c r="AA3605" s="473">
        <v>10</v>
      </c>
    </row>
    <row r="3606" spans="1:27" x14ac:dyDescent="0.25">
      <c r="A3606" s="420"/>
      <c r="B3606" s="422"/>
      <c r="C3606" s="420"/>
      <c r="D3606" s="418"/>
      <c r="E3606" s="120">
        <v>600</v>
      </c>
      <c r="F3606" s="133" t="s">
        <v>8154</v>
      </c>
      <c r="G3606" s="436"/>
      <c r="H3606" s="428"/>
      <c r="I3606" s="428"/>
      <c r="J3606" s="499"/>
      <c r="K3606" s="426"/>
      <c r="L3606" s="187">
        <v>960</v>
      </c>
      <c r="M3606" s="187">
        <v>105</v>
      </c>
      <c r="N3606" s="91">
        <f t="shared" si="693"/>
        <v>681</v>
      </c>
      <c r="O3606" s="411">
        <f t="shared" si="704"/>
        <v>-681</v>
      </c>
      <c r="P3606" s="132" t="s">
        <v>183</v>
      </c>
      <c r="Q3606" s="232"/>
      <c r="R3606" s="411"/>
      <c r="T3606" s="134" t="s">
        <v>67</v>
      </c>
      <c r="U3606" s="313">
        <v>343697971</v>
      </c>
      <c r="AA3606" s="474"/>
    </row>
    <row r="3607" spans="1:27" ht="24" x14ac:dyDescent="0.25">
      <c r="A3607" s="419">
        <v>3002790</v>
      </c>
      <c r="B3607" s="421">
        <v>42543</v>
      </c>
      <c r="C3607" s="419" t="s">
        <v>327</v>
      </c>
      <c r="D3607" s="417" t="s">
        <v>1521</v>
      </c>
      <c r="E3607" s="120">
        <v>200</v>
      </c>
      <c r="F3607" s="133" t="s">
        <v>1522</v>
      </c>
      <c r="G3607" s="434" t="s">
        <v>7486</v>
      </c>
      <c r="H3607" s="427">
        <v>869.04</v>
      </c>
      <c r="I3607" s="427">
        <v>0</v>
      </c>
      <c r="J3607" s="498">
        <f>-((H3607*0.022)+0.3)</f>
        <v>-19.418879999999998</v>
      </c>
      <c r="K3607" s="425">
        <f t="shared" si="698"/>
        <v>849.62112000000002</v>
      </c>
      <c r="L3607" s="131">
        <v>716</v>
      </c>
      <c r="M3607" s="187">
        <v>43.67</v>
      </c>
      <c r="N3607" s="91">
        <f t="shared" si="693"/>
        <v>186.87</v>
      </c>
      <c r="O3607" s="411">
        <f t="shared" si="704"/>
        <v>662.75112000000001</v>
      </c>
      <c r="P3607" s="132" t="s">
        <v>52</v>
      </c>
      <c r="Q3607" s="232"/>
      <c r="R3607" s="411">
        <v>69.040000000000006</v>
      </c>
      <c r="S3607" s="133" t="s">
        <v>52</v>
      </c>
      <c r="T3607" s="134" t="s">
        <v>145</v>
      </c>
      <c r="U3607" s="314" t="s">
        <v>8155</v>
      </c>
      <c r="W3607" s="153" t="s">
        <v>1524</v>
      </c>
      <c r="AA3607" s="218"/>
    </row>
    <row r="3608" spans="1:27" ht="24" x14ac:dyDescent="0.25">
      <c r="A3608" s="420"/>
      <c r="B3608" s="422"/>
      <c r="C3608" s="420"/>
      <c r="D3608" s="418"/>
      <c r="E3608" s="120">
        <v>150</v>
      </c>
      <c r="F3608" s="133" t="s">
        <v>114</v>
      </c>
      <c r="G3608" s="436"/>
      <c r="H3608" s="428"/>
      <c r="I3608" s="428"/>
      <c r="J3608" s="499"/>
      <c r="K3608" s="426"/>
      <c r="L3608" s="131">
        <v>1770</v>
      </c>
      <c r="M3608" s="187">
        <v>65.25</v>
      </c>
      <c r="N3608" s="91">
        <f t="shared" si="693"/>
        <v>330.75</v>
      </c>
      <c r="O3608" s="411">
        <f t="shared" si="704"/>
        <v>-330.75</v>
      </c>
      <c r="P3608" s="132" t="s">
        <v>52</v>
      </c>
      <c r="Q3608" s="232"/>
      <c r="R3608" s="411"/>
      <c r="T3608" s="134" t="s">
        <v>145</v>
      </c>
      <c r="U3608" s="267" t="s">
        <v>8156</v>
      </c>
      <c r="AA3608" s="218"/>
    </row>
    <row r="3609" spans="1:27" x14ac:dyDescent="0.25">
      <c r="A3609" s="419">
        <v>3002791</v>
      </c>
      <c r="B3609" s="421">
        <v>42574</v>
      </c>
      <c r="C3609" s="419" t="s">
        <v>327</v>
      </c>
      <c r="D3609" s="417" t="s">
        <v>8157</v>
      </c>
      <c r="E3609" s="120">
        <v>140</v>
      </c>
      <c r="F3609" s="133" t="s">
        <v>8158</v>
      </c>
      <c r="G3609" s="434" t="s">
        <v>7486</v>
      </c>
      <c r="H3609" s="427">
        <v>3972</v>
      </c>
      <c r="I3609" s="427">
        <v>0</v>
      </c>
      <c r="J3609" s="425">
        <f>-((H3609*0.022)+0.3)</f>
        <v>-87.683999999999997</v>
      </c>
      <c r="K3609" s="425">
        <f t="shared" si="698"/>
        <v>3884.3159999999998</v>
      </c>
      <c r="L3609" s="187">
        <v>1300</v>
      </c>
      <c r="N3609" s="91">
        <f t="shared" si="693"/>
        <v>182.00000000000003</v>
      </c>
      <c r="O3609" s="411">
        <f t="shared" si="704"/>
        <v>3702.3159999999998</v>
      </c>
      <c r="P3609" s="132" t="s">
        <v>235</v>
      </c>
      <c r="Q3609" s="232"/>
      <c r="R3609" s="411"/>
      <c r="T3609" s="439" t="s">
        <v>565</v>
      </c>
      <c r="U3609" s="446" t="s">
        <v>8159</v>
      </c>
      <c r="AA3609" s="473">
        <v>25</v>
      </c>
    </row>
    <row r="3610" spans="1:27" x14ac:dyDescent="0.25">
      <c r="A3610" s="432"/>
      <c r="B3610" s="433"/>
      <c r="C3610" s="432"/>
      <c r="D3610" s="454"/>
      <c r="E3610" s="120">
        <v>120</v>
      </c>
      <c r="F3610" s="133" t="s">
        <v>8160</v>
      </c>
      <c r="G3610" s="435"/>
      <c r="H3610" s="438"/>
      <c r="I3610" s="438"/>
      <c r="J3610" s="437"/>
      <c r="K3610" s="437"/>
      <c r="L3610" s="187">
        <v>1650</v>
      </c>
      <c r="N3610" s="91">
        <f t="shared" si="693"/>
        <v>198</v>
      </c>
      <c r="O3610" s="411">
        <f t="shared" si="704"/>
        <v>-198</v>
      </c>
      <c r="P3610" s="132" t="s">
        <v>235</v>
      </c>
      <c r="Q3610" s="232"/>
      <c r="R3610" s="411"/>
      <c r="T3610" s="440"/>
      <c r="U3610" s="448"/>
      <c r="W3610" s="153" t="s">
        <v>8161</v>
      </c>
      <c r="AA3610" s="478"/>
    </row>
    <row r="3611" spans="1:27" x14ac:dyDescent="0.25">
      <c r="A3611" s="420"/>
      <c r="B3611" s="422"/>
      <c r="C3611" s="420"/>
      <c r="D3611" s="418"/>
      <c r="E3611" s="120">
        <v>560</v>
      </c>
      <c r="F3611" s="133" t="s">
        <v>4221</v>
      </c>
      <c r="G3611" s="436"/>
      <c r="H3611" s="428"/>
      <c r="I3611" s="428"/>
      <c r="J3611" s="426"/>
      <c r="K3611" s="426"/>
      <c r="L3611" s="187">
        <v>4700</v>
      </c>
      <c r="N3611" s="91">
        <f t="shared" si="693"/>
        <v>2632.0000000000005</v>
      </c>
      <c r="O3611" s="411">
        <f t="shared" si="704"/>
        <v>-2632.0000000000005</v>
      </c>
      <c r="P3611" s="132" t="s">
        <v>235</v>
      </c>
      <c r="Q3611" s="232"/>
      <c r="R3611" s="411"/>
      <c r="T3611" s="441"/>
      <c r="U3611" s="447"/>
      <c r="AA3611" s="474"/>
    </row>
    <row r="3612" spans="1:27" ht="24" x14ac:dyDescent="0.25">
      <c r="A3612" s="405">
        <v>3002792</v>
      </c>
      <c r="B3612" s="406">
        <v>42544</v>
      </c>
      <c r="C3612" s="405" t="s">
        <v>63</v>
      </c>
      <c r="D3612" s="401" t="s">
        <v>1345</v>
      </c>
      <c r="E3612" s="120">
        <v>1699</v>
      </c>
      <c r="F3612" s="133" t="s">
        <v>8162</v>
      </c>
      <c r="G3612" s="404" t="s">
        <v>7486</v>
      </c>
      <c r="H3612" s="411">
        <v>2701.41</v>
      </c>
      <c r="I3612" s="411">
        <v>0</v>
      </c>
      <c r="J3612" s="391">
        <f>-((H3612*0.022)+0.3)</f>
        <v>-59.731019999999994</v>
      </c>
      <c r="K3612" s="90">
        <f t="shared" ref="K3612:K3635" si="708">SUM(H3612:J3612)</f>
        <v>2641.6789799999997</v>
      </c>
      <c r="L3612" s="131">
        <v>533.33000000000004</v>
      </c>
      <c r="M3612" s="187">
        <v>163.32</v>
      </c>
      <c r="N3612" s="91">
        <f t="shared" si="693"/>
        <v>1069.44767</v>
      </c>
      <c r="O3612" s="411">
        <f t="shared" si="704"/>
        <v>1572.2313099999997</v>
      </c>
      <c r="P3612" s="132" t="s">
        <v>52</v>
      </c>
      <c r="Q3612" s="232"/>
      <c r="R3612" s="411"/>
      <c r="T3612" s="134" t="s">
        <v>1209</v>
      </c>
      <c r="U3612" s="267" t="s">
        <v>8163</v>
      </c>
      <c r="V3612" s="133" t="s">
        <v>55</v>
      </c>
      <c r="W3612" s="153" t="s">
        <v>1347</v>
      </c>
      <c r="AA3612" s="218">
        <v>10</v>
      </c>
    </row>
    <row r="3613" spans="1:27" ht="24" x14ac:dyDescent="0.25">
      <c r="A3613" s="405">
        <v>3002793</v>
      </c>
      <c r="B3613" s="406">
        <v>42544</v>
      </c>
      <c r="C3613" s="405" t="s">
        <v>63</v>
      </c>
      <c r="D3613" s="401" t="s">
        <v>8164</v>
      </c>
      <c r="E3613" s="120">
        <v>575</v>
      </c>
      <c r="F3613" s="133" t="s">
        <v>708</v>
      </c>
      <c r="G3613" s="404" t="s">
        <v>7486</v>
      </c>
      <c r="H3613" s="411">
        <v>2179.25</v>
      </c>
      <c r="I3613" s="411">
        <v>0</v>
      </c>
      <c r="J3613" s="391">
        <f>-((H3613*0.022)+0.3)</f>
        <v>-48.243499999999997</v>
      </c>
      <c r="K3613" s="90">
        <f t="shared" si="708"/>
        <v>2131.0065</v>
      </c>
      <c r="L3613" s="131">
        <v>2515</v>
      </c>
      <c r="M3613" s="187">
        <v>262.79000000000002</v>
      </c>
      <c r="N3613" s="91">
        <f t="shared" si="693"/>
        <v>1708.9150000000002</v>
      </c>
      <c r="O3613" s="411">
        <f t="shared" si="704"/>
        <v>422.09149999999977</v>
      </c>
      <c r="P3613" s="132" t="s">
        <v>52</v>
      </c>
      <c r="Q3613" s="232"/>
      <c r="R3613" s="411"/>
      <c r="T3613" s="134" t="s">
        <v>1209</v>
      </c>
      <c r="U3613" s="267" t="s">
        <v>8165</v>
      </c>
      <c r="V3613" s="133" t="s">
        <v>55</v>
      </c>
      <c r="W3613" s="153" t="s">
        <v>8166</v>
      </c>
      <c r="AA3613" s="218">
        <v>10</v>
      </c>
    </row>
    <row r="3614" spans="1:27" x14ac:dyDescent="0.25">
      <c r="A3614" s="405">
        <v>3002794</v>
      </c>
      <c r="B3614" s="406">
        <v>42544</v>
      </c>
      <c r="C3614" s="405" t="s">
        <v>327</v>
      </c>
      <c r="D3614" s="401" t="s">
        <v>8167</v>
      </c>
      <c r="E3614" s="120">
        <v>400</v>
      </c>
      <c r="F3614" s="133" t="s">
        <v>528</v>
      </c>
      <c r="G3614" s="404" t="s">
        <v>7486</v>
      </c>
      <c r="H3614" s="411">
        <v>953</v>
      </c>
      <c r="I3614" s="411">
        <v>0</v>
      </c>
      <c r="J3614" s="391">
        <f>-((H3614*0.022)+0.3)</f>
        <v>-21.265999999999998</v>
      </c>
      <c r="K3614" s="90">
        <f t="shared" si="708"/>
        <v>931.73400000000004</v>
      </c>
      <c r="L3614" s="131">
        <v>1021</v>
      </c>
      <c r="M3614" s="187">
        <v>242.17</v>
      </c>
      <c r="N3614" s="91">
        <f t="shared" si="693"/>
        <v>650.57000000000005</v>
      </c>
      <c r="O3614" s="411">
        <f t="shared" si="704"/>
        <v>281.16399999999999</v>
      </c>
      <c r="P3614" s="132" t="s">
        <v>52</v>
      </c>
      <c r="Q3614" s="232"/>
      <c r="R3614" s="411"/>
      <c r="T3614" s="134" t="s">
        <v>244</v>
      </c>
      <c r="U3614" s="267" t="s">
        <v>8168</v>
      </c>
      <c r="V3614" s="133" t="s">
        <v>55</v>
      </c>
      <c r="W3614" s="153" t="s">
        <v>8169</v>
      </c>
      <c r="AA3614" s="218"/>
    </row>
    <row r="3615" spans="1:27" x14ac:dyDescent="0.25">
      <c r="A3615" s="405">
        <v>3002795</v>
      </c>
      <c r="B3615" s="406">
        <v>42544</v>
      </c>
      <c r="C3615" s="405" t="s">
        <v>63</v>
      </c>
      <c r="D3615" s="401" t="s">
        <v>8170</v>
      </c>
      <c r="E3615" s="120">
        <v>800</v>
      </c>
      <c r="F3615" s="133" t="s">
        <v>8171</v>
      </c>
      <c r="G3615" s="404" t="s">
        <v>7486</v>
      </c>
      <c r="H3615" s="411">
        <v>2440</v>
      </c>
      <c r="I3615" s="411">
        <v>0</v>
      </c>
      <c r="J3615" s="391">
        <f>-((H3615*0.022)+0.3)</f>
        <v>-53.98</v>
      </c>
      <c r="K3615" s="90">
        <f t="shared" si="708"/>
        <v>2386.02</v>
      </c>
      <c r="L3615" s="187">
        <v>2150</v>
      </c>
      <c r="M3615" s="187">
        <v>0</v>
      </c>
      <c r="N3615" s="91">
        <f t="shared" si="693"/>
        <v>1720</v>
      </c>
      <c r="O3615" s="411">
        <f t="shared" si="704"/>
        <v>666.02</v>
      </c>
      <c r="P3615" s="132" t="s">
        <v>926</v>
      </c>
      <c r="Q3615" s="232"/>
      <c r="R3615" s="411"/>
      <c r="T3615" s="134" t="s">
        <v>1743</v>
      </c>
      <c r="U3615" s="267" t="s">
        <v>8172</v>
      </c>
      <c r="W3615" s="153" t="s">
        <v>8173</v>
      </c>
      <c r="AA3615" s="218">
        <v>10</v>
      </c>
    </row>
    <row r="3616" spans="1:27" ht="24" x14ac:dyDescent="0.25">
      <c r="A3616" s="405">
        <v>3002796</v>
      </c>
      <c r="B3616" s="406">
        <v>42544</v>
      </c>
      <c r="C3616" s="405" t="s">
        <v>5682</v>
      </c>
      <c r="D3616" s="401" t="s">
        <v>8174</v>
      </c>
      <c r="E3616" s="120">
        <v>140</v>
      </c>
      <c r="F3616" s="133" t="s">
        <v>51</v>
      </c>
      <c r="G3616" s="404" t="s">
        <v>7486</v>
      </c>
      <c r="H3616" s="411">
        <v>285</v>
      </c>
      <c r="I3616" s="89">
        <f t="shared" ref="I3616:I3626" si="709">-(H3616*0.09)</f>
        <v>-25.65</v>
      </c>
      <c r="J3616" s="391">
        <f t="shared" ref="J3616:J3626" si="710">-((H3616*0.019)+0.3)</f>
        <v>-5.7149999999999999</v>
      </c>
      <c r="K3616" s="90">
        <f t="shared" si="708"/>
        <v>253.63500000000002</v>
      </c>
      <c r="L3616" s="131">
        <v>1015</v>
      </c>
      <c r="M3616" s="187">
        <v>52.92</v>
      </c>
      <c r="N3616" s="91">
        <f t="shared" si="693"/>
        <v>195.02000000000004</v>
      </c>
      <c r="O3616" s="411">
        <f t="shared" si="704"/>
        <v>58.614999999999981</v>
      </c>
      <c r="P3616" s="132" t="s">
        <v>52</v>
      </c>
      <c r="Q3616" s="232"/>
      <c r="R3616" s="411"/>
      <c r="T3616" s="134" t="s">
        <v>145</v>
      </c>
      <c r="U3616" s="267" t="s">
        <v>8175</v>
      </c>
      <c r="AA3616" s="218"/>
    </row>
    <row r="3617" spans="1:27" ht="24" x14ac:dyDescent="0.25">
      <c r="A3617" s="405">
        <v>3002797</v>
      </c>
      <c r="B3617" s="406">
        <v>42544</v>
      </c>
      <c r="C3617" s="405" t="s">
        <v>5682</v>
      </c>
      <c r="D3617" s="401" t="s">
        <v>8176</v>
      </c>
      <c r="E3617" s="120">
        <v>125</v>
      </c>
      <c r="F3617" s="133" t="s">
        <v>288</v>
      </c>
      <c r="G3617" s="404" t="s">
        <v>7486</v>
      </c>
      <c r="H3617" s="411">
        <v>258.39999999999998</v>
      </c>
      <c r="I3617" s="89">
        <f t="shared" si="709"/>
        <v>-23.255999999999997</v>
      </c>
      <c r="J3617" s="391">
        <f t="shared" si="710"/>
        <v>-5.2095999999999991</v>
      </c>
      <c r="K3617" s="90">
        <f t="shared" si="708"/>
        <v>229.93439999999998</v>
      </c>
      <c r="L3617" s="131">
        <v>533.33000000000004</v>
      </c>
      <c r="M3617" s="187">
        <v>27.95</v>
      </c>
      <c r="N3617" s="91">
        <f t="shared" si="693"/>
        <v>94.616250000000008</v>
      </c>
      <c r="O3617" s="411">
        <f t="shared" si="704"/>
        <v>135.31814999999997</v>
      </c>
      <c r="P3617" s="132" t="s">
        <v>52</v>
      </c>
      <c r="Q3617" s="232"/>
      <c r="R3617" s="411"/>
      <c r="T3617" s="134" t="s">
        <v>145</v>
      </c>
      <c r="U3617" s="267" t="s">
        <v>8177</v>
      </c>
      <c r="AA3617" s="218"/>
    </row>
    <row r="3618" spans="1:27" ht="24" x14ac:dyDescent="0.25">
      <c r="A3618" s="405">
        <v>3002798</v>
      </c>
      <c r="B3618" s="406">
        <v>42544</v>
      </c>
      <c r="C3618" s="405" t="s">
        <v>5682</v>
      </c>
      <c r="D3618" s="401" t="s">
        <v>7555</v>
      </c>
      <c r="E3618" s="120">
        <v>100</v>
      </c>
      <c r="F3618" s="133" t="s">
        <v>8178</v>
      </c>
      <c r="G3618" s="404" t="s">
        <v>7486</v>
      </c>
      <c r="H3618" s="411">
        <v>123.5</v>
      </c>
      <c r="I3618" s="89">
        <f t="shared" si="709"/>
        <v>-11.115</v>
      </c>
      <c r="J3618" s="391">
        <f t="shared" si="710"/>
        <v>-2.6464999999999996</v>
      </c>
      <c r="K3618" s="90">
        <f t="shared" si="708"/>
        <v>109.7385</v>
      </c>
      <c r="N3618" s="91">
        <f t="shared" si="693"/>
        <v>0</v>
      </c>
      <c r="O3618" s="411">
        <f t="shared" si="704"/>
        <v>109.7385</v>
      </c>
      <c r="P3618" s="132" t="s">
        <v>52</v>
      </c>
      <c r="Q3618" s="232"/>
      <c r="R3618" s="411"/>
      <c r="T3618" s="134" t="s">
        <v>145</v>
      </c>
      <c r="U3618" s="267" t="s">
        <v>8179</v>
      </c>
      <c r="AA3618" s="218"/>
    </row>
    <row r="3619" spans="1:27" ht="24" x14ac:dyDescent="0.25">
      <c r="A3619" s="405">
        <v>3002799</v>
      </c>
      <c r="B3619" s="406">
        <v>42544</v>
      </c>
      <c r="C3619" s="405" t="s">
        <v>5682</v>
      </c>
      <c r="D3619" s="401" t="s">
        <v>8180</v>
      </c>
      <c r="E3619" s="120">
        <v>100</v>
      </c>
      <c r="F3619" s="133" t="s">
        <v>161</v>
      </c>
      <c r="G3619" s="404" t="s">
        <v>7486</v>
      </c>
      <c r="H3619" s="411">
        <v>230</v>
      </c>
      <c r="I3619" s="89">
        <f t="shared" si="709"/>
        <v>-20.7</v>
      </c>
      <c r="J3619" s="391">
        <f t="shared" si="710"/>
        <v>-4.67</v>
      </c>
      <c r="K3619" s="90">
        <f t="shared" si="708"/>
        <v>204.63000000000002</v>
      </c>
      <c r="L3619" s="131">
        <v>1322</v>
      </c>
      <c r="M3619" s="187">
        <f>27.12+10.22</f>
        <v>37.340000000000003</v>
      </c>
      <c r="N3619" s="91">
        <f t="shared" si="693"/>
        <v>169.54000000000002</v>
      </c>
      <c r="O3619" s="411">
        <f t="shared" si="704"/>
        <v>35.090000000000003</v>
      </c>
      <c r="P3619" s="132" t="s">
        <v>52</v>
      </c>
      <c r="Q3619" s="232"/>
      <c r="R3619" s="411"/>
      <c r="T3619" s="134" t="s">
        <v>145</v>
      </c>
      <c r="U3619" s="267" t="s">
        <v>8181</v>
      </c>
      <c r="AA3619" s="218"/>
    </row>
    <row r="3620" spans="1:27" ht="24" x14ac:dyDescent="0.25">
      <c r="A3620" s="405">
        <v>3002800</v>
      </c>
      <c r="B3620" s="406">
        <v>42544</v>
      </c>
      <c r="C3620" s="405" t="s">
        <v>5682</v>
      </c>
      <c r="D3620" s="401" t="s">
        <v>8182</v>
      </c>
      <c r="E3620" s="120">
        <v>250</v>
      </c>
      <c r="F3620" s="133" t="s">
        <v>593</v>
      </c>
      <c r="G3620" s="404" t="s">
        <v>7486</v>
      </c>
      <c r="H3620" s="411">
        <v>304.72000000000003</v>
      </c>
      <c r="I3620" s="89">
        <f t="shared" si="709"/>
        <v>-27.424800000000001</v>
      </c>
      <c r="J3620" s="391">
        <f t="shared" si="710"/>
        <v>-6.0896800000000004</v>
      </c>
      <c r="K3620" s="90">
        <f t="shared" si="708"/>
        <v>271.20552000000004</v>
      </c>
      <c r="L3620" s="131">
        <v>660</v>
      </c>
      <c r="M3620" s="187">
        <v>49.78</v>
      </c>
      <c r="N3620" s="91">
        <f t="shared" si="693"/>
        <v>214.78</v>
      </c>
      <c r="O3620" s="411">
        <f t="shared" si="704"/>
        <v>56.425520000000034</v>
      </c>
      <c r="P3620" s="132" t="s">
        <v>52</v>
      </c>
      <c r="Q3620" s="232"/>
      <c r="R3620" s="411"/>
      <c r="T3620" s="134" t="s">
        <v>145</v>
      </c>
      <c r="U3620" s="267" t="s">
        <v>8183</v>
      </c>
      <c r="AA3620" s="218"/>
    </row>
    <row r="3621" spans="1:27" ht="24" x14ac:dyDescent="0.25">
      <c r="A3621" s="405">
        <v>3002801</v>
      </c>
      <c r="B3621" s="406">
        <v>42544</v>
      </c>
      <c r="C3621" s="405" t="s">
        <v>5682</v>
      </c>
      <c r="D3621" s="401" t="s">
        <v>8184</v>
      </c>
      <c r="E3621" s="120">
        <v>115</v>
      </c>
      <c r="F3621" s="133" t="s">
        <v>247</v>
      </c>
      <c r="G3621" s="404" t="s">
        <v>7486</v>
      </c>
      <c r="H3621" s="411">
        <v>125.35</v>
      </c>
      <c r="I3621" s="89">
        <f t="shared" si="709"/>
        <v>-11.281499999999999</v>
      </c>
      <c r="J3621" s="391">
        <f t="shared" si="710"/>
        <v>-2.6816499999999999</v>
      </c>
      <c r="K3621" s="90">
        <f t="shared" si="708"/>
        <v>111.38685</v>
      </c>
      <c r="L3621" s="131">
        <v>590</v>
      </c>
      <c r="M3621" s="187">
        <f>27.63+8.77</f>
        <v>36.4</v>
      </c>
      <c r="N3621" s="91">
        <f t="shared" si="693"/>
        <v>104.25</v>
      </c>
      <c r="O3621" s="411">
        <f t="shared" si="704"/>
        <v>7.1368499999999955</v>
      </c>
      <c r="P3621" s="132" t="s">
        <v>52</v>
      </c>
      <c r="Q3621" s="232"/>
      <c r="R3621" s="411"/>
      <c r="T3621" s="134" t="s">
        <v>145</v>
      </c>
      <c r="U3621" s="267" t="s">
        <v>8185</v>
      </c>
      <c r="AA3621" s="218"/>
    </row>
    <row r="3622" spans="1:27" ht="24" x14ac:dyDescent="0.25">
      <c r="A3622" s="405">
        <v>3002802</v>
      </c>
      <c r="B3622" s="406">
        <v>42544</v>
      </c>
      <c r="C3622" s="405" t="s">
        <v>5682</v>
      </c>
      <c r="D3622" s="401" t="s">
        <v>8186</v>
      </c>
      <c r="E3622" s="120">
        <v>200</v>
      </c>
      <c r="F3622" s="133" t="s">
        <v>582</v>
      </c>
      <c r="G3622" s="404" t="s">
        <v>7486</v>
      </c>
      <c r="H3622" s="411">
        <v>187.73</v>
      </c>
      <c r="I3622" s="89">
        <f t="shared" si="709"/>
        <v>-16.895699999999998</v>
      </c>
      <c r="J3622" s="391">
        <f t="shared" si="710"/>
        <v>-3.8668699999999996</v>
      </c>
      <c r="K3622" s="90">
        <f t="shared" si="708"/>
        <v>166.96742999999998</v>
      </c>
      <c r="M3622" s="187">
        <v>31.53</v>
      </c>
      <c r="N3622" s="91">
        <f t="shared" si="693"/>
        <v>31.53</v>
      </c>
      <c r="O3622" s="411">
        <f t="shared" si="704"/>
        <v>135.43742999999998</v>
      </c>
      <c r="P3622" s="132" t="s">
        <v>52</v>
      </c>
      <c r="Q3622" s="232"/>
      <c r="R3622" s="411"/>
      <c r="T3622" s="134" t="s">
        <v>145</v>
      </c>
      <c r="U3622" s="267" t="s">
        <v>8187</v>
      </c>
      <c r="AA3622" s="218"/>
    </row>
    <row r="3623" spans="1:27" ht="24" x14ac:dyDescent="0.25">
      <c r="A3623" s="405">
        <v>3002803</v>
      </c>
      <c r="B3623" s="406">
        <v>42544</v>
      </c>
      <c r="C3623" s="405" t="s">
        <v>5682</v>
      </c>
      <c r="D3623" s="401" t="s">
        <v>8188</v>
      </c>
      <c r="E3623" s="120">
        <v>200</v>
      </c>
      <c r="F3623" s="133" t="s">
        <v>2949</v>
      </c>
      <c r="G3623" s="404" t="s">
        <v>7486</v>
      </c>
      <c r="H3623" s="411">
        <v>380</v>
      </c>
      <c r="I3623" s="89">
        <f t="shared" si="709"/>
        <v>-34.199999999999996</v>
      </c>
      <c r="J3623" s="391">
        <f t="shared" si="710"/>
        <v>-7.52</v>
      </c>
      <c r="K3623" s="90">
        <f t="shared" si="708"/>
        <v>338.28000000000003</v>
      </c>
      <c r="M3623" s="187">
        <v>50.83</v>
      </c>
      <c r="N3623" s="91">
        <f t="shared" si="693"/>
        <v>50.83</v>
      </c>
      <c r="O3623" s="411">
        <f t="shared" si="704"/>
        <v>287.45000000000005</v>
      </c>
      <c r="P3623" s="132" t="s">
        <v>52</v>
      </c>
      <c r="Q3623" s="232"/>
      <c r="R3623" s="411"/>
      <c r="T3623" s="134" t="s">
        <v>145</v>
      </c>
      <c r="U3623" s="267" t="s">
        <v>8189</v>
      </c>
      <c r="AA3623" s="218"/>
    </row>
    <row r="3624" spans="1:27" ht="24" x14ac:dyDescent="0.25">
      <c r="A3624" s="405">
        <v>3002804</v>
      </c>
      <c r="B3624" s="406">
        <v>42544</v>
      </c>
      <c r="C3624" s="405" t="s">
        <v>5682</v>
      </c>
      <c r="D3624" s="401" t="s">
        <v>1570</v>
      </c>
      <c r="E3624" s="120">
        <v>100</v>
      </c>
      <c r="F3624" s="133" t="s">
        <v>431</v>
      </c>
      <c r="G3624" s="404" t="s">
        <v>7486</v>
      </c>
      <c r="H3624" s="411">
        <v>216.11</v>
      </c>
      <c r="I3624" s="89">
        <f t="shared" si="709"/>
        <v>-19.4499</v>
      </c>
      <c r="J3624" s="391">
        <f t="shared" si="710"/>
        <v>-4.4060899999999998</v>
      </c>
      <c r="K3624" s="90">
        <f t="shared" si="708"/>
        <v>192.25400999999999</v>
      </c>
      <c r="L3624" s="131">
        <v>990</v>
      </c>
      <c r="M3624" s="187">
        <v>27.64</v>
      </c>
      <c r="N3624" s="91">
        <f t="shared" si="693"/>
        <v>126.64</v>
      </c>
      <c r="O3624" s="411">
        <f t="shared" si="704"/>
        <v>65.614009999999993</v>
      </c>
      <c r="P3624" s="132" t="s">
        <v>52</v>
      </c>
      <c r="Q3624" s="232"/>
      <c r="R3624" s="411"/>
      <c r="T3624" s="134" t="s">
        <v>145</v>
      </c>
      <c r="U3624" s="267" t="s">
        <v>8190</v>
      </c>
      <c r="AA3624" s="218"/>
    </row>
    <row r="3625" spans="1:27" x14ac:dyDescent="0.25">
      <c r="A3625" s="405">
        <v>3002805</v>
      </c>
      <c r="B3625" s="406">
        <v>42544</v>
      </c>
      <c r="C3625" s="405" t="s">
        <v>5682</v>
      </c>
      <c r="D3625" s="401" t="s">
        <v>8191</v>
      </c>
      <c r="E3625" s="120">
        <v>500</v>
      </c>
      <c r="F3625" s="133" t="s">
        <v>633</v>
      </c>
      <c r="G3625" s="404" t="s">
        <v>7486</v>
      </c>
      <c r="H3625" s="411">
        <v>1119.2</v>
      </c>
      <c r="I3625" s="89">
        <f t="shared" si="709"/>
        <v>-100.72799999999999</v>
      </c>
      <c r="J3625" s="391">
        <f t="shared" si="710"/>
        <v>-21.564800000000002</v>
      </c>
      <c r="K3625" s="90">
        <f t="shared" si="708"/>
        <v>996.9072000000001</v>
      </c>
      <c r="L3625" s="187">
        <v>1518</v>
      </c>
      <c r="M3625" s="187">
        <v>78.52</v>
      </c>
      <c r="N3625" s="91">
        <f t="shared" si="693"/>
        <v>837.52</v>
      </c>
      <c r="O3625" s="411">
        <f t="shared" si="704"/>
        <v>159.38720000000012</v>
      </c>
      <c r="P3625" s="132" t="s">
        <v>638</v>
      </c>
      <c r="Q3625" s="232"/>
      <c r="R3625" s="411"/>
      <c r="T3625" s="134" t="s">
        <v>717</v>
      </c>
      <c r="U3625" s="266">
        <v>25110834</v>
      </c>
      <c r="AA3625" s="218"/>
    </row>
    <row r="3626" spans="1:27" ht="24" x14ac:dyDescent="0.25">
      <c r="A3626" s="405">
        <v>3002806</v>
      </c>
      <c r="B3626" s="406">
        <v>42544</v>
      </c>
      <c r="C3626" s="405" t="s">
        <v>5682</v>
      </c>
      <c r="D3626" s="401" t="s">
        <v>8192</v>
      </c>
      <c r="E3626" s="120">
        <v>125</v>
      </c>
      <c r="F3626" s="133" t="s">
        <v>829</v>
      </c>
      <c r="G3626" s="404" t="s">
        <v>7486</v>
      </c>
      <c r="H3626" s="411">
        <v>131.77000000000001</v>
      </c>
      <c r="I3626" s="89">
        <f t="shared" si="709"/>
        <v>-11.859300000000001</v>
      </c>
      <c r="J3626" s="391">
        <f t="shared" si="710"/>
        <v>-2.8036300000000001</v>
      </c>
      <c r="K3626" s="90">
        <f t="shared" si="708"/>
        <v>117.10707000000001</v>
      </c>
      <c r="L3626" s="131">
        <v>510</v>
      </c>
      <c r="M3626" s="187">
        <v>28.67</v>
      </c>
      <c r="N3626" s="91">
        <f t="shared" si="693"/>
        <v>92.42</v>
      </c>
      <c r="O3626" s="411">
        <f t="shared" si="704"/>
        <v>24.687070000000006</v>
      </c>
      <c r="P3626" s="132" t="s">
        <v>52</v>
      </c>
      <c r="Q3626" s="232"/>
      <c r="R3626" s="411"/>
      <c r="T3626" s="134" t="s">
        <v>145</v>
      </c>
      <c r="U3626" s="267" t="s">
        <v>8193</v>
      </c>
      <c r="AA3626" s="218"/>
    </row>
    <row r="3627" spans="1:27" x14ac:dyDescent="0.25">
      <c r="A3627" s="419">
        <v>3002807</v>
      </c>
      <c r="B3627" s="421">
        <v>42544</v>
      </c>
      <c r="C3627" s="419" t="s">
        <v>237</v>
      </c>
      <c r="D3627" s="417" t="s">
        <v>8194</v>
      </c>
      <c r="E3627" s="120">
        <v>50</v>
      </c>
      <c r="F3627" s="133" t="s">
        <v>3301</v>
      </c>
      <c r="G3627" s="434" t="s">
        <v>7486</v>
      </c>
      <c r="H3627" s="427">
        <v>106.82</v>
      </c>
      <c r="I3627" s="452">
        <f t="shared" ref="I3627" si="711">-(H3627*0.15)</f>
        <v>-16.023</v>
      </c>
      <c r="J3627" s="427">
        <v>0</v>
      </c>
      <c r="K3627" s="425">
        <f t="shared" si="708"/>
        <v>90.796999999999997</v>
      </c>
      <c r="L3627" s="187">
        <v>750</v>
      </c>
      <c r="M3627" s="187">
        <v>26.52</v>
      </c>
      <c r="N3627" s="91">
        <f t="shared" si="693"/>
        <v>64.02</v>
      </c>
      <c r="O3627" s="411">
        <f t="shared" si="704"/>
        <v>26.777000000000001</v>
      </c>
      <c r="P3627" s="132" t="s">
        <v>926</v>
      </c>
      <c r="Q3627" s="232"/>
      <c r="R3627" s="411"/>
      <c r="T3627" s="439" t="s">
        <v>145</v>
      </c>
      <c r="U3627" s="446" t="s">
        <v>8195</v>
      </c>
      <c r="AA3627" s="218"/>
    </row>
    <row r="3628" spans="1:27" x14ac:dyDescent="0.25">
      <c r="A3628" s="420"/>
      <c r="B3628" s="422"/>
      <c r="C3628" s="420"/>
      <c r="D3628" s="418"/>
      <c r="E3628" s="120">
        <v>50</v>
      </c>
      <c r="F3628" s="133" t="s">
        <v>3299</v>
      </c>
      <c r="G3628" s="436"/>
      <c r="H3628" s="428"/>
      <c r="I3628" s="453"/>
      <c r="J3628" s="428"/>
      <c r="K3628" s="426"/>
      <c r="L3628" s="187">
        <v>770</v>
      </c>
      <c r="M3628" s="187"/>
      <c r="N3628" s="91">
        <f t="shared" si="693"/>
        <v>38.5</v>
      </c>
      <c r="O3628" s="411">
        <f t="shared" si="704"/>
        <v>-38.5</v>
      </c>
      <c r="P3628" s="132" t="s">
        <v>926</v>
      </c>
      <c r="Q3628" s="232"/>
      <c r="R3628" s="411"/>
      <c r="T3628" s="441"/>
      <c r="U3628" s="447"/>
      <c r="AA3628" s="218"/>
    </row>
    <row r="3629" spans="1:27" ht="24" x14ac:dyDescent="0.25">
      <c r="A3629" s="419">
        <v>3002808</v>
      </c>
      <c r="B3629" s="421">
        <v>42544</v>
      </c>
      <c r="C3629" s="419" t="s">
        <v>141</v>
      </c>
      <c r="D3629" s="417" t="s">
        <v>8196</v>
      </c>
      <c r="E3629" s="120">
        <v>2500</v>
      </c>
      <c r="F3629" s="133" t="s">
        <v>8197</v>
      </c>
      <c r="G3629" s="434" t="s">
        <v>7486</v>
      </c>
      <c r="H3629" s="427">
        <v>3100</v>
      </c>
      <c r="I3629" s="427">
        <v>0</v>
      </c>
      <c r="J3629" s="425">
        <f>-((H3629*0.0325)+0.3)</f>
        <v>-101.05</v>
      </c>
      <c r="K3629" s="425">
        <f t="shared" si="708"/>
        <v>2998.95</v>
      </c>
      <c r="L3629" s="187">
        <v>415</v>
      </c>
      <c r="M3629" s="187">
        <v>132.12</v>
      </c>
      <c r="N3629" s="91">
        <f t="shared" si="693"/>
        <v>1169.6199999999999</v>
      </c>
      <c r="O3629" s="411">
        <f t="shared" si="704"/>
        <v>1829.33</v>
      </c>
      <c r="P3629" s="132" t="s">
        <v>66</v>
      </c>
      <c r="Q3629" s="232"/>
      <c r="R3629" s="411"/>
      <c r="T3629" s="134" t="s">
        <v>260</v>
      </c>
      <c r="U3629" s="301">
        <v>4106755096</v>
      </c>
      <c r="W3629" s="153" t="s">
        <v>8198</v>
      </c>
      <c r="AA3629" s="218">
        <v>25</v>
      </c>
    </row>
    <row r="3630" spans="1:27" x14ac:dyDescent="0.25">
      <c r="A3630" s="420"/>
      <c r="B3630" s="422"/>
      <c r="C3630" s="420"/>
      <c r="D3630" s="418"/>
      <c r="E3630" s="120">
        <v>1100</v>
      </c>
      <c r="F3630" s="133" t="s">
        <v>8197</v>
      </c>
      <c r="G3630" s="436"/>
      <c r="H3630" s="428"/>
      <c r="I3630" s="428"/>
      <c r="J3630" s="426"/>
      <c r="K3630" s="426"/>
      <c r="L3630" s="187">
        <v>525</v>
      </c>
      <c r="M3630" s="187">
        <v>135.86000000000001</v>
      </c>
      <c r="N3630" s="91">
        <f t="shared" si="693"/>
        <v>713.36</v>
      </c>
      <c r="O3630" s="411">
        <f t="shared" si="704"/>
        <v>-713.36</v>
      </c>
      <c r="P3630" s="132" t="s">
        <v>235</v>
      </c>
      <c r="Q3630" s="232"/>
      <c r="R3630" s="411"/>
      <c r="T3630" s="134" t="s">
        <v>8199</v>
      </c>
      <c r="U3630" s="266" t="s">
        <v>8200</v>
      </c>
      <c r="AA3630" s="218"/>
    </row>
    <row r="3631" spans="1:27" ht="24" x14ac:dyDescent="0.25">
      <c r="A3631" s="405">
        <v>3002809</v>
      </c>
      <c r="B3631" s="406">
        <v>42544</v>
      </c>
      <c r="C3631" s="405" t="s">
        <v>237</v>
      </c>
      <c r="D3631" s="401" t="s">
        <v>8201</v>
      </c>
      <c r="E3631" s="120">
        <v>100</v>
      </c>
      <c r="F3631" s="133" t="s">
        <v>3301</v>
      </c>
      <c r="G3631" s="404" t="s">
        <v>7486</v>
      </c>
      <c r="H3631" s="411">
        <v>106.82</v>
      </c>
      <c r="I3631" s="397">
        <f t="shared" ref="I3631:I3634" si="712">-(H3631*0.15)</f>
        <v>-16.023</v>
      </c>
      <c r="J3631" s="411">
        <v>0</v>
      </c>
      <c r="K3631" s="90">
        <f t="shared" si="708"/>
        <v>90.796999999999997</v>
      </c>
      <c r="L3631" s="187">
        <v>750</v>
      </c>
      <c r="M3631" s="187">
        <v>25.28</v>
      </c>
      <c r="N3631" s="91">
        <f t="shared" si="693"/>
        <v>100.28</v>
      </c>
      <c r="O3631" s="411">
        <f t="shared" si="704"/>
        <v>-9.4830000000000041</v>
      </c>
      <c r="P3631" s="132" t="s">
        <v>926</v>
      </c>
      <c r="Q3631" s="232"/>
      <c r="R3631" s="411"/>
      <c r="T3631" s="134" t="s">
        <v>145</v>
      </c>
      <c r="U3631" s="267" t="s">
        <v>8202</v>
      </c>
      <c r="AA3631" s="218"/>
    </row>
    <row r="3632" spans="1:27" ht="24" x14ac:dyDescent="0.25">
      <c r="A3632" s="405">
        <v>3002810</v>
      </c>
      <c r="B3632" s="406">
        <v>42544</v>
      </c>
      <c r="C3632" s="405" t="s">
        <v>237</v>
      </c>
      <c r="D3632" s="401" t="s">
        <v>8203</v>
      </c>
      <c r="E3632" s="120">
        <v>65</v>
      </c>
      <c r="F3632" s="133" t="s">
        <v>161</v>
      </c>
      <c r="G3632" s="404" t="s">
        <v>7486</v>
      </c>
      <c r="H3632" s="411">
        <v>134.34</v>
      </c>
      <c r="I3632" s="397">
        <f t="shared" si="712"/>
        <v>-20.151</v>
      </c>
      <c r="J3632" s="411">
        <v>0</v>
      </c>
      <c r="K3632" s="90">
        <f t="shared" si="708"/>
        <v>114.18900000000001</v>
      </c>
      <c r="L3632" s="131">
        <v>1322</v>
      </c>
      <c r="M3632" s="187">
        <v>24.69</v>
      </c>
      <c r="N3632" s="91">
        <f t="shared" si="693"/>
        <v>110.62</v>
      </c>
      <c r="O3632" s="411">
        <f t="shared" si="704"/>
        <v>3.5690000000000026</v>
      </c>
      <c r="P3632" s="132" t="s">
        <v>52</v>
      </c>
      <c r="Q3632" s="232"/>
      <c r="R3632" s="411"/>
      <c r="T3632" s="134" t="s">
        <v>145</v>
      </c>
      <c r="U3632" s="267" t="s">
        <v>8204</v>
      </c>
      <c r="AA3632" s="218"/>
    </row>
    <row r="3633" spans="1:31" ht="24" x14ac:dyDescent="0.25">
      <c r="A3633" s="405">
        <v>3002811</v>
      </c>
      <c r="B3633" s="406">
        <v>42544</v>
      </c>
      <c r="C3633" s="405" t="s">
        <v>237</v>
      </c>
      <c r="D3633" s="401" t="s">
        <v>8205</v>
      </c>
      <c r="E3633" s="120">
        <v>275</v>
      </c>
      <c r="F3633" s="133" t="s">
        <v>605</v>
      </c>
      <c r="G3633" s="404" t="s">
        <v>7486</v>
      </c>
      <c r="H3633" s="411">
        <v>390.49</v>
      </c>
      <c r="I3633" s="397">
        <f t="shared" si="712"/>
        <v>-58.573499999999996</v>
      </c>
      <c r="J3633" s="411">
        <v>0</v>
      </c>
      <c r="K3633" s="90">
        <f t="shared" si="708"/>
        <v>331.91650000000004</v>
      </c>
      <c r="L3633" s="131">
        <v>595</v>
      </c>
      <c r="M3633" s="187">
        <v>69.7</v>
      </c>
      <c r="N3633" s="91">
        <f t="shared" si="693"/>
        <v>233.32499999999999</v>
      </c>
      <c r="O3633" s="411">
        <f t="shared" si="704"/>
        <v>98.591500000000053</v>
      </c>
      <c r="P3633" s="132" t="s">
        <v>52</v>
      </c>
      <c r="Q3633" s="232"/>
      <c r="R3633" s="411"/>
      <c r="T3633" s="134" t="s">
        <v>145</v>
      </c>
      <c r="U3633" s="267" t="s">
        <v>8206</v>
      </c>
      <c r="AA3633" s="218"/>
    </row>
    <row r="3634" spans="1:31" ht="24" x14ac:dyDescent="0.25">
      <c r="A3634" s="405">
        <v>3002812</v>
      </c>
      <c r="B3634" s="406">
        <v>42544</v>
      </c>
      <c r="C3634" s="405" t="s">
        <v>237</v>
      </c>
      <c r="D3634" s="401" t="s">
        <v>8207</v>
      </c>
      <c r="E3634" s="120">
        <v>75</v>
      </c>
      <c r="F3634" s="133" t="s">
        <v>5217</v>
      </c>
      <c r="G3634" s="404" t="s">
        <v>7486</v>
      </c>
      <c r="H3634" s="411">
        <v>125.49</v>
      </c>
      <c r="I3634" s="397">
        <f t="shared" si="712"/>
        <v>-18.823499999999999</v>
      </c>
      <c r="J3634" s="411">
        <v>0</v>
      </c>
      <c r="K3634" s="90">
        <f t="shared" si="708"/>
        <v>106.6665</v>
      </c>
      <c r="L3634" s="131">
        <v>800</v>
      </c>
      <c r="M3634" s="187">
        <v>22.41</v>
      </c>
      <c r="N3634" s="91">
        <f t="shared" si="693"/>
        <v>82.41</v>
      </c>
      <c r="O3634" s="411">
        <f t="shared" si="704"/>
        <v>24.256500000000003</v>
      </c>
      <c r="P3634" s="132" t="s">
        <v>52</v>
      </c>
      <c r="Q3634" s="232"/>
      <c r="R3634" s="411"/>
      <c r="T3634" s="134" t="s">
        <v>145</v>
      </c>
      <c r="U3634" s="267" t="s">
        <v>8208</v>
      </c>
      <c r="AA3634" s="218"/>
    </row>
    <row r="3635" spans="1:31" x14ac:dyDescent="0.25">
      <c r="A3635" s="419">
        <v>3002813</v>
      </c>
      <c r="B3635" s="421">
        <v>42544</v>
      </c>
      <c r="C3635" s="419" t="s">
        <v>56</v>
      </c>
      <c r="D3635" s="417" t="s">
        <v>8209</v>
      </c>
      <c r="E3635" s="120">
        <v>5000</v>
      </c>
      <c r="F3635" s="133" t="s">
        <v>8210</v>
      </c>
      <c r="G3635" s="434" t="s">
        <v>7486</v>
      </c>
      <c r="H3635" s="427">
        <v>17475</v>
      </c>
      <c r="I3635" s="427">
        <v>0</v>
      </c>
      <c r="J3635" s="427">
        <v>0</v>
      </c>
      <c r="K3635" s="425">
        <f t="shared" si="708"/>
        <v>17475</v>
      </c>
      <c r="L3635" s="131">
        <v>300</v>
      </c>
      <c r="M3635" s="510">
        <v>695</v>
      </c>
      <c r="N3635" s="91">
        <f t="shared" si="693"/>
        <v>2195</v>
      </c>
      <c r="O3635" s="411">
        <f t="shared" si="704"/>
        <v>15280</v>
      </c>
      <c r="P3635" s="132" t="s">
        <v>86</v>
      </c>
      <c r="Q3635" s="232"/>
      <c r="R3635" s="411"/>
      <c r="T3635" s="439" t="s">
        <v>97</v>
      </c>
      <c r="U3635" s="446" t="s">
        <v>8211</v>
      </c>
      <c r="V3635" s="133" t="s">
        <v>7356</v>
      </c>
      <c r="AA3635" s="218"/>
      <c r="AE3635">
        <v>178675030157910</v>
      </c>
    </row>
    <row r="3636" spans="1:31" x14ac:dyDescent="0.25">
      <c r="A3636" s="432"/>
      <c r="B3636" s="433"/>
      <c r="C3636" s="432"/>
      <c r="D3636" s="454"/>
      <c r="E3636" s="120">
        <v>7500</v>
      </c>
      <c r="F3636" s="133" t="s">
        <v>8212</v>
      </c>
      <c r="G3636" s="435"/>
      <c r="H3636" s="438"/>
      <c r="I3636" s="438"/>
      <c r="J3636" s="438"/>
      <c r="K3636" s="437"/>
      <c r="L3636" s="131">
        <v>400</v>
      </c>
      <c r="M3636" s="511"/>
      <c r="N3636" s="91">
        <f t="shared" ref="N3636:N3699" si="713">((L3636)*(E3636*0.001))+M3636</f>
        <v>3000</v>
      </c>
      <c r="O3636" s="411">
        <f t="shared" si="704"/>
        <v>-3000</v>
      </c>
      <c r="P3636" s="132" t="s">
        <v>86</v>
      </c>
      <c r="Q3636" s="232"/>
      <c r="R3636" s="411"/>
      <c r="T3636" s="440"/>
      <c r="U3636" s="448"/>
      <c r="V3636" s="133" t="s">
        <v>55</v>
      </c>
      <c r="AA3636" s="218"/>
      <c r="AE3636">
        <v>178675030158016</v>
      </c>
    </row>
    <row r="3637" spans="1:31" x14ac:dyDescent="0.25">
      <c r="A3637" s="432"/>
      <c r="B3637" s="433"/>
      <c r="C3637" s="432"/>
      <c r="D3637" s="454"/>
      <c r="E3637" s="120">
        <v>5000</v>
      </c>
      <c r="F3637" s="133" t="s">
        <v>8213</v>
      </c>
      <c r="G3637" s="435"/>
      <c r="H3637" s="438"/>
      <c r="I3637" s="438"/>
      <c r="J3637" s="438"/>
      <c r="K3637" s="437"/>
      <c r="L3637" s="131">
        <v>670</v>
      </c>
      <c r="M3637" s="511"/>
      <c r="N3637" s="91">
        <f t="shared" si="713"/>
        <v>3350</v>
      </c>
      <c r="O3637" s="411">
        <f t="shared" si="704"/>
        <v>-3350</v>
      </c>
      <c r="P3637" s="132" t="s">
        <v>86</v>
      </c>
      <c r="Q3637" s="232"/>
      <c r="R3637" s="411"/>
      <c r="T3637" s="440"/>
      <c r="U3637" s="448"/>
      <c r="AA3637" s="218"/>
      <c r="AE3637">
        <v>178675030158085</v>
      </c>
    </row>
    <row r="3638" spans="1:31" x14ac:dyDescent="0.25">
      <c r="A3638" s="420"/>
      <c r="B3638" s="422"/>
      <c r="C3638" s="420"/>
      <c r="D3638" s="418"/>
      <c r="E3638" s="120">
        <v>2000</v>
      </c>
      <c r="F3638" s="133" t="s">
        <v>8214</v>
      </c>
      <c r="G3638" s="436"/>
      <c r="H3638" s="428"/>
      <c r="I3638" s="428"/>
      <c r="J3638" s="428"/>
      <c r="K3638" s="426"/>
      <c r="L3638" s="131">
        <v>2500</v>
      </c>
      <c r="M3638" s="512"/>
      <c r="N3638" s="91">
        <f t="shared" si="713"/>
        <v>5000</v>
      </c>
      <c r="O3638" s="411">
        <f t="shared" si="704"/>
        <v>-5000</v>
      </c>
      <c r="P3638" s="132" t="s">
        <v>86</v>
      </c>
      <c r="Q3638" s="232"/>
      <c r="R3638" s="411"/>
      <c r="T3638" s="441"/>
      <c r="U3638" s="447"/>
      <c r="AA3638" s="218"/>
    </row>
    <row r="3639" spans="1:31" ht="36" x14ac:dyDescent="0.25">
      <c r="A3639" s="405">
        <v>3002814</v>
      </c>
      <c r="B3639" s="406">
        <v>42544</v>
      </c>
      <c r="C3639" s="405" t="s">
        <v>63</v>
      </c>
      <c r="D3639" s="401" t="s">
        <v>1439</v>
      </c>
      <c r="E3639" s="120">
        <v>6000</v>
      </c>
      <c r="F3639" s="133" t="s">
        <v>8215</v>
      </c>
      <c r="G3639" s="404" t="s">
        <v>7486</v>
      </c>
      <c r="H3639" s="411">
        <v>2100</v>
      </c>
      <c r="I3639" s="411">
        <v>0</v>
      </c>
      <c r="J3639" s="391">
        <f>-((H3639*0.022)+0.3)</f>
        <v>-46.499999999999993</v>
      </c>
      <c r="K3639" s="90">
        <f t="shared" ref="K3639:K3647" si="714">SUM(H3639:J3639)</f>
        <v>2053.5</v>
      </c>
      <c r="L3639" s="187">
        <v>178.45</v>
      </c>
      <c r="M3639" s="187">
        <v>0</v>
      </c>
      <c r="N3639" s="91">
        <f t="shared" si="713"/>
        <v>1070.6999999999998</v>
      </c>
      <c r="O3639" s="411">
        <f t="shared" si="704"/>
        <v>982.80000000000018</v>
      </c>
      <c r="P3639" s="132" t="s">
        <v>46</v>
      </c>
      <c r="Q3639" s="232"/>
      <c r="R3639" s="411"/>
      <c r="T3639" s="134" t="s">
        <v>314</v>
      </c>
      <c r="U3639" s="266" t="s">
        <v>8216</v>
      </c>
      <c r="W3639" s="153" t="s">
        <v>1441</v>
      </c>
      <c r="AA3639" s="218"/>
    </row>
    <row r="3640" spans="1:31" ht="24" x14ac:dyDescent="0.25">
      <c r="A3640" s="405">
        <v>3002815</v>
      </c>
      <c r="B3640" s="406">
        <v>42544</v>
      </c>
      <c r="C3640" s="405" t="s">
        <v>63</v>
      </c>
      <c r="D3640" s="401" t="s">
        <v>8217</v>
      </c>
      <c r="E3640" s="120">
        <v>250</v>
      </c>
      <c r="F3640" s="133" t="s">
        <v>2949</v>
      </c>
      <c r="G3640" s="404" t="s">
        <v>7486</v>
      </c>
      <c r="H3640" s="411">
        <v>400</v>
      </c>
      <c r="I3640" s="411">
        <v>0</v>
      </c>
      <c r="J3640" s="391">
        <f>-((H3640*0.022)+0.3)</f>
        <v>-9.1</v>
      </c>
      <c r="K3640" s="90">
        <f t="shared" si="714"/>
        <v>390.9</v>
      </c>
      <c r="N3640" s="91">
        <f t="shared" si="713"/>
        <v>0</v>
      </c>
      <c r="O3640" s="411">
        <f t="shared" si="704"/>
        <v>390.9</v>
      </c>
      <c r="P3640" s="132" t="s">
        <v>52</v>
      </c>
      <c r="Q3640" s="232"/>
      <c r="R3640" s="411"/>
      <c r="T3640" s="134" t="s">
        <v>8218</v>
      </c>
      <c r="U3640" s="266" t="s">
        <v>8218</v>
      </c>
      <c r="AA3640" s="218"/>
    </row>
    <row r="3641" spans="1:31" x14ac:dyDescent="0.25">
      <c r="A3641" s="405">
        <v>3002816</v>
      </c>
      <c r="B3641" s="406">
        <v>42544</v>
      </c>
      <c r="C3641" s="405" t="s">
        <v>63</v>
      </c>
      <c r="D3641" s="401" t="s">
        <v>1525</v>
      </c>
      <c r="E3641" s="120">
        <v>2200</v>
      </c>
      <c r="F3641" s="133" t="s">
        <v>8219</v>
      </c>
      <c r="G3641" s="404" t="s">
        <v>7486</v>
      </c>
      <c r="H3641" s="411">
        <v>2536</v>
      </c>
      <c r="I3641" s="411">
        <v>0</v>
      </c>
      <c r="J3641" s="391">
        <f>-((H3641*0.022)+0.3)</f>
        <v>-56.091999999999992</v>
      </c>
      <c r="K3641" s="90">
        <f t="shared" si="714"/>
        <v>2479.9079999999999</v>
      </c>
      <c r="L3641" s="187">
        <v>930</v>
      </c>
      <c r="M3641" s="187">
        <v>310.17</v>
      </c>
      <c r="N3641" s="91">
        <f t="shared" si="713"/>
        <v>2356.17</v>
      </c>
      <c r="O3641" s="411">
        <f t="shared" si="704"/>
        <v>123.73799999999983</v>
      </c>
      <c r="P3641" s="132" t="s">
        <v>183</v>
      </c>
      <c r="Q3641" s="232"/>
      <c r="R3641" s="411"/>
      <c r="T3641" s="134" t="s">
        <v>717</v>
      </c>
      <c r="U3641" s="267" t="s">
        <v>8220</v>
      </c>
      <c r="V3641" s="133" t="s">
        <v>8221</v>
      </c>
      <c r="W3641" s="153" t="s">
        <v>8222</v>
      </c>
      <c r="AA3641" s="218">
        <v>25</v>
      </c>
    </row>
    <row r="3642" spans="1:31" ht="24" x14ac:dyDescent="0.25">
      <c r="A3642" s="405">
        <v>3002817</v>
      </c>
      <c r="B3642" s="406">
        <v>42544</v>
      </c>
      <c r="C3642" s="405" t="s">
        <v>141</v>
      </c>
      <c r="D3642" s="401" t="s">
        <v>8223</v>
      </c>
      <c r="E3642" s="120">
        <v>1000</v>
      </c>
      <c r="F3642" s="133" t="s">
        <v>8224</v>
      </c>
      <c r="G3642" s="404" t="s">
        <v>7486</v>
      </c>
      <c r="H3642" s="411">
        <v>379.32</v>
      </c>
      <c r="I3642" s="411">
        <v>0</v>
      </c>
      <c r="J3642" s="391">
        <f>-((H3642*0.0325)+0.3)</f>
        <v>-12.6279</v>
      </c>
      <c r="K3642" s="90">
        <f t="shared" si="714"/>
        <v>366.69209999999998</v>
      </c>
      <c r="L3642" s="187">
        <v>125</v>
      </c>
      <c r="M3642" s="187">
        <f>21.24+21.24</f>
        <v>42.48</v>
      </c>
      <c r="N3642" s="91">
        <f t="shared" si="713"/>
        <v>167.48</v>
      </c>
      <c r="O3642" s="411">
        <f t="shared" si="704"/>
        <v>199.21209999999999</v>
      </c>
      <c r="P3642" s="132" t="s">
        <v>235</v>
      </c>
      <c r="Q3642" s="232"/>
      <c r="R3642" s="411"/>
      <c r="T3642" s="134" t="s">
        <v>145</v>
      </c>
      <c r="U3642" s="266" t="s">
        <v>8225</v>
      </c>
      <c r="W3642" s="153" t="s">
        <v>8226</v>
      </c>
      <c r="AA3642" s="218"/>
    </row>
    <row r="3643" spans="1:31" ht="24" x14ac:dyDescent="0.25">
      <c r="A3643" s="405">
        <v>3002818</v>
      </c>
      <c r="B3643" s="406">
        <v>42544</v>
      </c>
      <c r="C3643" s="405" t="s">
        <v>63</v>
      </c>
      <c r="D3643" s="401" t="s">
        <v>8227</v>
      </c>
      <c r="E3643" s="120">
        <v>225</v>
      </c>
      <c r="F3643" s="133" t="s">
        <v>3856</v>
      </c>
      <c r="G3643" s="404" t="s">
        <v>7486</v>
      </c>
      <c r="H3643" s="411">
        <v>348.75</v>
      </c>
      <c r="I3643" s="411">
        <v>0</v>
      </c>
      <c r="J3643" s="391">
        <f>-((H3643*0.022)+0.3)</f>
        <v>-7.9724999999999993</v>
      </c>
      <c r="K3643" s="90">
        <f t="shared" si="714"/>
        <v>340.77749999999997</v>
      </c>
      <c r="L3643" s="131">
        <v>930</v>
      </c>
      <c r="M3643" s="131">
        <v>0</v>
      </c>
      <c r="N3643" s="91">
        <f t="shared" si="713"/>
        <v>209.25</v>
      </c>
      <c r="O3643" s="411">
        <f t="shared" si="704"/>
        <v>131.52749999999997</v>
      </c>
      <c r="P3643" s="132" t="s">
        <v>52</v>
      </c>
      <c r="Q3643" s="232"/>
      <c r="R3643" s="411"/>
      <c r="T3643" s="134" t="s">
        <v>8228</v>
      </c>
      <c r="U3643" s="266" t="s">
        <v>8228</v>
      </c>
      <c r="W3643" s="153" t="s">
        <v>8229</v>
      </c>
      <c r="AA3643" s="218"/>
    </row>
    <row r="3644" spans="1:31" ht="24" x14ac:dyDescent="0.25">
      <c r="A3644" s="405">
        <v>3002819</v>
      </c>
      <c r="B3644" s="406">
        <v>42545</v>
      </c>
      <c r="C3644" s="405" t="s">
        <v>56</v>
      </c>
      <c r="D3644" s="401" t="s">
        <v>6840</v>
      </c>
      <c r="E3644" s="120">
        <v>500</v>
      </c>
      <c r="F3644" s="133" t="s">
        <v>8230</v>
      </c>
      <c r="G3644" s="404" t="s">
        <v>7486</v>
      </c>
      <c r="H3644" s="411">
        <v>715</v>
      </c>
      <c r="I3644" s="411">
        <v>0</v>
      </c>
      <c r="J3644" s="411">
        <v>0</v>
      </c>
      <c r="K3644" s="90">
        <f t="shared" si="714"/>
        <v>715</v>
      </c>
      <c r="L3644" s="187">
        <v>940.11</v>
      </c>
      <c r="N3644" s="91">
        <f t="shared" si="713"/>
        <v>470.05500000000001</v>
      </c>
      <c r="O3644" s="411">
        <f t="shared" si="704"/>
        <v>244.94499999999999</v>
      </c>
      <c r="P3644" s="132" t="s">
        <v>76</v>
      </c>
      <c r="Q3644" s="232"/>
      <c r="R3644" s="411"/>
      <c r="T3644" s="134" t="s">
        <v>8231</v>
      </c>
      <c r="U3644" s="266" t="s">
        <v>8231</v>
      </c>
      <c r="V3644" s="133" t="s">
        <v>8232</v>
      </c>
      <c r="W3644" s="153" t="s">
        <v>298</v>
      </c>
      <c r="AA3644" s="218"/>
    </row>
    <row r="3645" spans="1:31" ht="24" customHeight="1" x14ac:dyDescent="0.25">
      <c r="A3645" s="419">
        <v>3002820</v>
      </c>
      <c r="B3645" s="421">
        <v>42545</v>
      </c>
      <c r="C3645" s="419" t="s">
        <v>63</v>
      </c>
      <c r="D3645" s="417" t="s">
        <v>4872</v>
      </c>
      <c r="E3645" s="120">
        <v>250</v>
      </c>
      <c r="F3645" s="133" t="s">
        <v>207</v>
      </c>
      <c r="G3645" s="434" t="s">
        <v>7486</v>
      </c>
      <c r="H3645" s="427">
        <v>422.5</v>
      </c>
      <c r="I3645" s="427">
        <v>0</v>
      </c>
      <c r="J3645" s="425">
        <f>-((H3645*0.022)+0.3)</f>
        <v>-9.5950000000000006</v>
      </c>
      <c r="K3645" s="425">
        <f t="shared" si="714"/>
        <v>412.90499999999997</v>
      </c>
      <c r="L3645" s="131">
        <v>570</v>
      </c>
      <c r="M3645" s="187">
        <v>39.950000000000003</v>
      </c>
      <c r="N3645" s="91">
        <f t="shared" si="713"/>
        <v>182.45</v>
      </c>
      <c r="O3645" s="411">
        <f t="shared" si="704"/>
        <v>230.45499999999998</v>
      </c>
      <c r="P3645" s="132" t="s">
        <v>52</v>
      </c>
      <c r="Q3645" s="232"/>
      <c r="R3645" s="411"/>
      <c r="T3645" s="470" t="s">
        <v>145</v>
      </c>
      <c r="U3645" s="267" t="s">
        <v>8233</v>
      </c>
      <c r="W3645" s="153" t="s">
        <v>4874</v>
      </c>
      <c r="AA3645" s="218"/>
    </row>
    <row r="3646" spans="1:31" x14ac:dyDescent="0.25">
      <c r="A3646" s="420"/>
      <c r="B3646" s="422"/>
      <c r="C3646" s="420"/>
      <c r="D3646" s="418"/>
      <c r="E3646" s="120">
        <v>100</v>
      </c>
      <c r="F3646" s="133" t="s">
        <v>431</v>
      </c>
      <c r="G3646" s="436"/>
      <c r="H3646" s="428"/>
      <c r="I3646" s="428"/>
      <c r="J3646" s="426"/>
      <c r="K3646" s="426"/>
      <c r="L3646" s="131">
        <v>990</v>
      </c>
      <c r="M3646" s="187">
        <v>36.630000000000003</v>
      </c>
      <c r="N3646" s="91">
        <f t="shared" si="713"/>
        <v>135.63</v>
      </c>
      <c r="O3646" s="411">
        <f t="shared" si="704"/>
        <v>-135.63</v>
      </c>
      <c r="P3646" s="132" t="s">
        <v>52</v>
      </c>
      <c r="Q3646" s="232"/>
      <c r="R3646" s="411"/>
      <c r="T3646" s="472"/>
      <c r="U3646" s="267" t="s">
        <v>8234</v>
      </c>
      <c r="Y3646" s="245" t="s">
        <v>8235</v>
      </c>
      <c r="AA3646" s="218"/>
    </row>
    <row r="3647" spans="1:31" x14ac:dyDescent="0.25">
      <c r="A3647" s="419">
        <v>3002821</v>
      </c>
      <c r="B3647" s="421">
        <v>42545</v>
      </c>
      <c r="C3647" s="419" t="s">
        <v>555</v>
      </c>
      <c r="D3647" s="417" t="s">
        <v>6811</v>
      </c>
      <c r="E3647" s="120">
        <v>150</v>
      </c>
      <c r="F3647" s="133" t="s">
        <v>8236</v>
      </c>
      <c r="G3647" s="455" t="s">
        <v>7486</v>
      </c>
      <c r="H3647" s="427">
        <v>0</v>
      </c>
      <c r="I3647" s="427">
        <v>0</v>
      </c>
      <c r="J3647" s="427">
        <v>0</v>
      </c>
      <c r="K3647" s="425">
        <f t="shared" si="714"/>
        <v>0</v>
      </c>
      <c r="N3647" s="91">
        <f t="shared" si="713"/>
        <v>0</v>
      </c>
      <c r="O3647" s="411">
        <f t="shared" si="704"/>
        <v>0</v>
      </c>
      <c r="Q3647" s="232"/>
      <c r="R3647" s="411"/>
      <c r="T3647" s="134"/>
      <c r="U3647" s="266"/>
      <c r="V3647" s="133" t="s">
        <v>8237</v>
      </c>
      <c r="AA3647" s="218"/>
    </row>
    <row r="3648" spans="1:31" x14ac:dyDescent="0.25">
      <c r="A3648" s="432"/>
      <c r="B3648" s="433"/>
      <c r="C3648" s="432"/>
      <c r="D3648" s="454"/>
      <c r="E3648" s="120">
        <v>1100</v>
      </c>
      <c r="F3648" s="133" t="s">
        <v>8238</v>
      </c>
      <c r="G3648" s="456"/>
      <c r="H3648" s="438"/>
      <c r="I3648" s="438"/>
      <c r="J3648" s="438"/>
      <c r="K3648" s="437"/>
      <c r="N3648" s="91">
        <f t="shared" si="713"/>
        <v>0</v>
      </c>
      <c r="O3648" s="411">
        <f t="shared" si="704"/>
        <v>0</v>
      </c>
      <c r="Q3648" s="232"/>
      <c r="R3648" s="411"/>
      <c r="T3648" s="134"/>
      <c r="U3648" s="266"/>
      <c r="AA3648" s="218"/>
    </row>
    <row r="3649" spans="1:27" x14ac:dyDescent="0.25">
      <c r="A3649" s="432"/>
      <c r="B3649" s="433"/>
      <c r="C3649" s="432"/>
      <c r="D3649" s="454"/>
      <c r="E3649" s="120">
        <v>9600</v>
      </c>
      <c r="F3649" s="133" t="s">
        <v>8239</v>
      </c>
      <c r="G3649" s="456"/>
      <c r="H3649" s="438"/>
      <c r="I3649" s="438"/>
      <c r="J3649" s="438"/>
      <c r="K3649" s="437"/>
      <c r="N3649" s="91">
        <f t="shared" si="713"/>
        <v>0</v>
      </c>
      <c r="O3649" s="411">
        <f t="shared" si="704"/>
        <v>0</v>
      </c>
      <c r="Q3649" s="232"/>
      <c r="R3649" s="411"/>
      <c r="T3649" s="134"/>
      <c r="U3649" s="266"/>
      <c r="AA3649" s="218"/>
    </row>
    <row r="3650" spans="1:27" x14ac:dyDescent="0.25">
      <c r="A3650" s="432"/>
      <c r="B3650" s="433"/>
      <c r="C3650" s="432"/>
      <c r="D3650" s="454"/>
      <c r="E3650" s="120">
        <v>180</v>
      </c>
      <c r="F3650" s="133" t="s">
        <v>8240</v>
      </c>
      <c r="G3650" s="456"/>
      <c r="H3650" s="438"/>
      <c r="I3650" s="438"/>
      <c r="J3650" s="438"/>
      <c r="K3650" s="437"/>
      <c r="N3650" s="91">
        <f t="shared" si="713"/>
        <v>0</v>
      </c>
      <c r="O3650" s="411">
        <f t="shared" si="704"/>
        <v>0</v>
      </c>
      <c r="Q3650" s="232"/>
      <c r="R3650" s="411"/>
      <c r="T3650" s="134"/>
      <c r="U3650" s="266"/>
      <c r="AA3650" s="218"/>
    </row>
    <row r="3651" spans="1:27" x14ac:dyDescent="0.25">
      <c r="A3651" s="432"/>
      <c r="B3651" s="433"/>
      <c r="C3651" s="432"/>
      <c r="D3651" s="454"/>
      <c r="E3651" s="120">
        <v>250</v>
      </c>
      <c r="F3651" s="133" t="s">
        <v>8241</v>
      </c>
      <c r="G3651" s="456"/>
      <c r="H3651" s="438"/>
      <c r="I3651" s="438"/>
      <c r="J3651" s="438"/>
      <c r="K3651" s="437"/>
      <c r="N3651" s="91">
        <f t="shared" si="713"/>
        <v>0</v>
      </c>
      <c r="O3651" s="411">
        <f t="shared" si="704"/>
        <v>0</v>
      </c>
      <c r="Q3651" s="232"/>
      <c r="R3651" s="411"/>
      <c r="T3651" s="134"/>
      <c r="U3651" s="266"/>
      <c r="AA3651" s="218"/>
    </row>
    <row r="3652" spans="1:27" x14ac:dyDescent="0.25">
      <c r="A3652" s="432"/>
      <c r="B3652" s="433"/>
      <c r="C3652" s="432"/>
      <c r="D3652" s="454"/>
      <c r="E3652" s="120">
        <v>12000</v>
      </c>
      <c r="F3652" s="133" t="s">
        <v>8242</v>
      </c>
      <c r="G3652" s="456"/>
      <c r="H3652" s="438"/>
      <c r="I3652" s="438"/>
      <c r="J3652" s="438"/>
      <c r="K3652" s="437"/>
      <c r="N3652" s="91">
        <f t="shared" si="713"/>
        <v>0</v>
      </c>
      <c r="O3652" s="411">
        <f t="shared" si="704"/>
        <v>0</v>
      </c>
      <c r="Q3652" s="232"/>
      <c r="R3652" s="411"/>
      <c r="T3652" s="134"/>
      <c r="U3652" s="266"/>
      <c r="AA3652" s="218"/>
    </row>
    <row r="3653" spans="1:27" x14ac:dyDescent="0.25">
      <c r="A3653" s="432"/>
      <c r="B3653" s="433"/>
      <c r="C3653" s="432"/>
      <c r="D3653" s="454"/>
      <c r="E3653" s="120">
        <v>20000</v>
      </c>
      <c r="F3653" s="133" t="s">
        <v>8243</v>
      </c>
      <c r="G3653" s="456"/>
      <c r="H3653" s="438"/>
      <c r="I3653" s="438"/>
      <c r="J3653" s="438"/>
      <c r="K3653" s="437"/>
      <c r="N3653" s="91">
        <f t="shared" si="713"/>
        <v>0</v>
      </c>
      <c r="O3653" s="411">
        <f t="shared" si="704"/>
        <v>0</v>
      </c>
      <c r="Q3653" s="232"/>
      <c r="R3653" s="411"/>
      <c r="T3653" s="134"/>
      <c r="U3653" s="266"/>
      <c r="AA3653" s="218"/>
    </row>
    <row r="3654" spans="1:27" x14ac:dyDescent="0.25">
      <c r="A3654" s="432"/>
      <c r="B3654" s="433"/>
      <c r="C3654" s="432"/>
      <c r="D3654" s="454"/>
      <c r="E3654" s="120">
        <v>20000</v>
      </c>
      <c r="F3654" s="133" t="s">
        <v>8244</v>
      </c>
      <c r="G3654" s="456"/>
      <c r="H3654" s="438"/>
      <c r="I3654" s="438"/>
      <c r="J3654" s="438"/>
      <c r="K3654" s="437"/>
      <c r="N3654" s="91">
        <f t="shared" si="713"/>
        <v>0</v>
      </c>
      <c r="O3654" s="411">
        <f t="shared" si="704"/>
        <v>0</v>
      </c>
      <c r="Q3654" s="232"/>
      <c r="R3654" s="411"/>
      <c r="T3654" s="134"/>
      <c r="U3654" s="266"/>
      <c r="AA3654" s="218"/>
    </row>
    <row r="3655" spans="1:27" x14ac:dyDescent="0.25">
      <c r="A3655" s="432"/>
      <c r="B3655" s="433"/>
      <c r="C3655" s="432"/>
      <c r="D3655" s="454"/>
      <c r="E3655" s="120">
        <v>4500</v>
      </c>
      <c r="F3655" s="133" t="s">
        <v>8245</v>
      </c>
      <c r="G3655" s="456"/>
      <c r="H3655" s="438"/>
      <c r="I3655" s="438"/>
      <c r="J3655" s="438"/>
      <c r="K3655" s="437"/>
      <c r="N3655" s="91">
        <f t="shared" si="713"/>
        <v>0</v>
      </c>
      <c r="O3655" s="411">
        <f t="shared" si="704"/>
        <v>0</v>
      </c>
      <c r="Q3655" s="232"/>
      <c r="R3655" s="411"/>
      <c r="T3655" s="134"/>
      <c r="U3655" s="266"/>
      <c r="AA3655" s="218"/>
    </row>
    <row r="3656" spans="1:27" x14ac:dyDescent="0.25">
      <c r="A3656" s="432"/>
      <c r="B3656" s="433"/>
      <c r="C3656" s="432"/>
      <c r="D3656" s="454"/>
      <c r="E3656" s="120">
        <v>6600</v>
      </c>
      <c r="F3656" s="133" t="s">
        <v>8246</v>
      </c>
      <c r="G3656" s="456"/>
      <c r="H3656" s="438"/>
      <c r="I3656" s="438"/>
      <c r="J3656" s="438"/>
      <c r="K3656" s="437"/>
      <c r="N3656" s="91">
        <f t="shared" si="713"/>
        <v>0</v>
      </c>
      <c r="O3656" s="411">
        <f t="shared" si="704"/>
        <v>0</v>
      </c>
      <c r="Q3656" s="232"/>
      <c r="R3656" s="411"/>
      <c r="T3656" s="134"/>
      <c r="U3656" s="266"/>
      <c r="AA3656" s="218"/>
    </row>
    <row r="3657" spans="1:27" x14ac:dyDescent="0.25">
      <c r="A3657" s="432"/>
      <c r="B3657" s="433"/>
      <c r="C3657" s="432"/>
      <c r="D3657" s="454"/>
      <c r="E3657" s="120">
        <v>6000</v>
      </c>
      <c r="F3657" s="133" t="s">
        <v>8247</v>
      </c>
      <c r="G3657" s="456"/>
      <c r="H3657" s="438"/>
      <c r="I3657" s="438"/>
      <c r="J3657" s="438"/>
      <c r="K3657" s="437"/>
      <c r="N3657" s="91">
        <f t="shared" si="713"/>
        <v>0</v>
      </c>
      <c r="O3657" s="411">
        <f t="shared" si="704"/>
        <v>0</v>
      </c>
      <c r="Q3657" s="232"/>
      <c r="R3657" s="411"/>
      <c r="T3657" s="134"/>
      <c r="U3657" s="266"/>
      <c r="AA3657" s="218"/>
    </row>
    <row r="3658" spans="1:27" x14ac:dyDescent="0.25">
      <c r="A3658" s="432"/>
      <c r="B3658" s="433"/>
      <c r="C3658" s="432"/>
      <c r="D3658" s="454"/>
      <c r="E3658" s="120">
        <v>5300</v>
      </c>
      <c r="F3658" s="133" t="s">
        <v>8248</v>
      </c>
      <c r="G3658" s="456"/>
      <c r="H3658" s="438"/>
      <c r="I3658" s="438"/>
      <c r="J3658" s="438"/>
      <c r="K3658" s="437"/>
      <c r="N3658" s="91">
        <f t="shared" si="713"/>
        <v>0</v>
      </c>
      <c r="O3658" s="411">
        <f t="shared" si="704"/>
        <v>0</v>
      </c>
      <c r="Q3658" s="232"/>
      <c r="R3658" s="411"/>
      <c r="T3658" s="134"/>
      <c r="U3658" s="266"/>
      <c r="AA3658" s="218"/>
    </row>
    <row r="3659" spans="1:27" x14ac:dyDescent="0.25">
      <c r="A3659" s="432"/>
      <c r="B3659" s="433"/>
      <c r="C3659" s="432"/>
      <c r="D3659" s="454"/>
      <c r="E3659" s="120">
        <v>3500</v>
      </c>
      <c r="F3659" s="133" t="s">
        <v>8249</v>
      </c>
      <c r="G3659" s="456"/>
      <c r="H3659" s="438"/>
      <c r="I3659" s="438"/>
      <c r="J3659" s="438"/>
      <c r="K3659" s="437"/>
      <c r="N3659" s="91">
        <f t="shared" si="713"/>
        <v>0</v>
      </c>
      <c r="O3659" s="411">
        <f t="shared" si="704"/>
        <v>0</v>
      </c>
      <c r="Q3659" s="232"/>
      <c r="R3659" s="411"/>
      <c r="T3659" s="134"/>
      <c r="U3659" s="266"/>
      <c r="AA3659" s="218"/>
    </row>
    <row r="3660" spans="1:27" x14ac:dyDescent="0.25">
      <c r="A3660" s="432"/>
      <c r="B3660" s="433"/>
      <c r="C3660" s="432"/>
      <c r="D3660" s="454"/>
      <c r="E3660" s="120">
        <v>9000</v>
      </c>
      <c r="F3660" s="133" t="s">
        <v>8250</v>
      </c>
      <c r="G3660" s="456"/>
      <c r="H3660" s="438"/>
      <c r="I3660" s="438"/>
      <c r="J3660" s="438"/>
      <c r="K3660" s="437"/>
      <c r="N3660" s="91">
        <f t="shared" si="713"/>
        <v>0</v>
      </c>
      <c r="O3660" s="411">
        <f t="shared" si="704"/>
        <v>0</v>
      </c>
      <c r="Q3660" s="232"/>
      <c r="R3660" s="411"/>
      <c r="T3660" s="134"/>
      <c r="U3660" s="266"/>
      <c r="AA3660" s="218"/>
    </row>
    <row r="3661" spans="1:27" x14ac:dyDescent="0.25">
      <c r="A3661" s="432"/>
      <c r="B3661" s="433"/>
      <c r="C3661" s="432"/>
      <c r="D3661" s="454"/>
      <c r="E3661" s="120">
        <v>12000</v>
      </c>
      <c r="F3661" s="133" t="s">
        <v>8251</v>
      </c>
      <c r="G3661" s="456"/>
      <c r="H3661" s="438"/>
      <c r="I3661" s="438"/>
      <c r="J3661" s="438"/>
      <c r="K3661" s="437"/>
      <c r="N3661" s="91">
        <f t="shared" si="713"/>
        <v>0</v>
      </c>
      <c r="O3661" s="411">
        <f t="shared" ref="O3661:O3724" si="715">K3661-N3661</f>
        <v>0</v>
      </c>
      <c r="Q3661" s="232"/>
      <c r="R3661" s="411"/>
      <c r="T3661" s="134"/>
      <c r="U3661" s="266"/>
      <c r="AA3661" s="218"/>
    </row>
    <row r="3662" spans="1:27" x14ac:dyDescent="0.25">
      <c r="A3662" s="432"/>
      <c r="B3662" s="433"/>
      <c r="C3662" s="432"/>
      <c r="D3662" s="454"/>
      <c r="E3662" s="120">
        <v>650</v>
      </c>
      <c r="F3662" s="133" t="s">
        <v>8252</v>
      </c>
      <c r="G3662" s="456"/>
      <c r="H3662" s="438"/>
      <c r="I3662" s="438"/>
      <c r="J3662" s="438"/>
      <c r="K3662" s="437"/>
      <c r="N3662" s="91">
        <f t="shared" si="713"/>
        <v>0</v>
      </c>
      <c r="O3662" s="411">
        <f t="shared" si="715"/>
        <v>0</v>
      </c>
      <c r="Q3662" s="232"/>
      <c r="R3662" s="411"/>
      <c r="T3662" s="134"/>
      <c r="U3662" s="266"/>
      <c r="AA3662" s="218"/>
    </row>
    <row r="3663" spans="1:27" x14ac:dyDescent="0.25">
      <c r="A3663" s="420"/>
      <c r="B3663" s="422"/>
      <c r="C3663" s="420"/>
      <c r="D3663" s="418"/>
      <c r="E3663" s="120">
        <v>1300</v>
      </c>
      <c r="F3663" s="133" t="s">
        <v>8253</v>
      </c>
      <c r="G3663" s="457"/>
      <c r="H3663" s="428"/>
      <c r="I3663" s="428"/>
      <c r="J3663" s="428"/>
      <c r="K3663" s="426"/>
      <c r="N3663" s="91">
        <f t="shared" si="713"/>
        <v>0</v>
      </c>
      <c r="O3663" s="411">
        <f t="shared" si="715"/>
        <v>0</v>
      </c>
      <c r="Q3663" s="232"/>
      <c r="R3663" s="411"/>
      <c r="T3663" s="134"/>
      <c r="U3663" s="266"/>
      <c r="AA3663" s="218"/>
    </row>
    <row r="3664" spans="1:27" ht="24" x14ac:dyDescent="0.25">
      <c r="A3664" s="405">
        <v>3002822</v>
      </c>
      <c r="B3664" s="406">
        <v>42545</v>
      </c>
      <c r="C3664" s="405" t="s">
        <v>327</v>
      </c>
      <c r="D3664" s="401" t="s">
        <v>4171</v>
      </c>
      <c r="E3664" s="120">
        <v>40</v>
      </c>
      <c r="F3664" s="133" t="s">
        <v>8254</v>
      </c>
      <c r="G3664" s="404" t="s">
        <v>7486</v>
      </c>
      <c r="H3664" s="411">
        <v>240</v>
      </c>
      <c r="I3664" s="411">
        <v>0</v>
      </c>
      <c r="J3664" s="391">
        <f>-((H3664*0.022)+0.3)</f>
        <v>-5.5799999999999992</v>
      </c>
      <c r="K3664" s="90">
        <f t="shared" ref="K3664:K3691" si="716">SUM(H3664:J3664)</f>
        <v>234.42</v>
      </c>
      <c r="L3664" s="187">
        <v>1500</v>
      </c>
      <c r="M3664" s="187">
        <v>11.29</v>
      </c>
      <c r="N3664" s="91">
        <f t="shared" si="713"/>
        <v>71.289999999999992</v>
      </c>
      <c r="O3664" s="411">
        <f t="shared" si="715"/>
        <v>163.13</v>
      </c>
      <c r="P3664" s="132" t="s">
        <v>235</v>
      </c>
      <c r="Q3664" s="232"/>
      <c r="R3664" s="411"/>
      <c r="T3664" s="134" t="s">
        <v>204</v>
      </c>
      <c r="U3664" s="267" t="s">
        <v>8255</v>
      </c>
      <c r="W3664" s="153" t="s">
        <v>4174</v>
      </c>
      <c r="AA3664" s="218"/>
    </row>
    <row r="3665" spans="1:27" ht="24" x14ac:dyDescent="0.25">
      <c r="A3665" s="405">
        <v>3002823</v>
      </c>
      <c r="B3665" s="406">
        <v>42545</v>
      </c>
      <c r="C3665" s="405" t="s">
        <v>555</v>
      </c>
      <c r="D3665" s="401" t="s">
        <v>8256</v>
      </c>
      <c r="E3665" s="120">
        <v>1000</v>
      </c>
      <c r="F3665" s="133" t="s">
        <v>8257</v>
      </c>
      <c r="G3665" s="404" t="s">
        <v>7486</v>
      </c>
      <c r="H3665" s="411">
        <v>5700</v>
      </c>
      <c r="I3665" s="411">
        <v>0</v>
      </c>
      <c r="J3665" s="411">
        <v>0</v>
      </c>
      <c r="K3665" s="90">
        <f t="shared" si="716"/>
        <v>5700</v>
      </c>
      <c r="L3665" s="187">
        <v>4200</v>
      </c>
      <c r="M3665" s="224">
        <v>259.45999999999998</v>
      </c>
      <c r="N3665" s="91">
        <f t="shared" si="713"/>
        <v>4459.46</v>
      </c>
      <c r="O3665" s="411">
        <f t="shared" si="715"/>
        <v>1240.54</v>
      </c>
      <c r="P3665" s="132" t="s">
        <v>638</v>
      </c>
      <c r="Q3665" s="232"/>
      <c r="R3665" s="411"/>
      <c r="T3665" s="134" t="s">
        <v>3081</v>
      </c>
      <c r="U3665" s="267" t="s">
        <v>8258</v>
      </c>
      <c r="V3665" s="133" t="s">
        <v>55</v>
      </c>
      <c r="W3665" s="153" t="s">
        <v>8259</v>
      </c>
      <c r="AA3665" s="218">
        <v>25</v>
      </c>
    </row>
    <row r="3666" spans="1:27" ht="24" x14ac:dyDescent="0.25">
      <c r="A3666" s="405">
        <v>3002824</v>
      </c>
      <c r="B3666" s="406">
        <v>42545</v>
      </c>
      <c r="C3666" s="405" t="s">
        <v>5682</v>
      </c>
      <c r="D3666" s="401" t="s">
        <v>8260</v>
      </c>
      <c r="E3666" s="120">
        <v>60</v>
      </c>
      <c r="F3666" s="133" t="s">
        <v>1991</v>
      </c>
      <c r="G3666" s="404" t="s">
        <v>7486</v>
      </c>
      <c r="H3666" s="411">
        <v>350.55</v>
      </c>
      <c r="I3666" s="89">
        <f t="shared" ref="I3666:I3678" si="717">-(H3666*0.09)</f>
        <v>-31.549499999999998</v>
      </c>
      <c r="J3666" s="391">
        <f t="shared" ref="J3666:J3678" si="718">-((H3666*0.019)+0.3)</f>
        <v>-6.9604499999999998</v>
      </c>
      <c r="K3666" s="90">
        <f t="shared" si="716"/>
        <v>312.04005000000001</v>
      </c>
      <c r="L3666" s="187">
        <v>3100</v>
      </c>
      <c r="M3666" s="187">
        <v>49.7</v>
      </c>
      <c r="N3666" s="91">
        <f t="shared" si="713"/>
        <v>235.7</v>
      </c>
      <c r="O3666" s="411">
        <f t="shared" si="715"/>
        <v>76.340050000000019</v>
      </c>
      <c r="P3666" s="132" t="s">
        <v>183</v>
      </c>
      <c r="Q3666" s="232"/>
      <c r="R3666" s="411"/>
      <c r="T3666" s="134" t="s">
        <v>324</v>
      </c>
      <c r="U3666" s="266" t="s">
        <v>8261</v>
      </c>
      <c r="AA3666" s="218"/>
    </row>
    <row r="3667" spans="1:27" ht="24" x14ac:dyDescent="0.25">
      <c r="A3667" s="405">
        <v>3002825</v>
      </c>
      <c r="B3667" s="406">
        <v>42545</v>
      </c>
      <c r="C3667" s="405" t="s">
        <v>5682</v>
      </c>
      <c r="D3667" s="401" t="s">
        <v>8262</v>
      </c>
      <c r="E3667" s="120">
        <v>300</v>
      </c>
      <c r="F3667" s="133" t="s">
        <v>2949</v>
      </c>
      <c r="G3667" s="404" t="s">
        <v>7486</v>
      </c>
      <c r="H3667" s="411">
        <v>540</v>
      </c>
      <c r="I3667" s="89">
        <f t="shared" si="717"/>
        <v>-48.6</v>
      </c>
      <c r="J3667" s="391">
        <f t="shared" si="718"/>
        <v>-10.56</v>
      </c>
      <c r="K3667" s="90">
        <f t="shared" si="716"/>
        <v>480.84</v>
      </c>
      <c r="M3667" s="187">
        <v>70.73</v>
      </c>
      <c r="N3667" s="91">
        <f t="shared" si="713"/>
        <v>70.73</v>
      </c>
      <c r="O3667" s="411">
        <f t="shared" si="715"/>
        <v>410.10999999999996</v>
      </c>
      <c r="P3667" s="132" t="s">
        <v>52</v>
      </c>
      <c r="Q3667" s="232"/>
      <c r="R3667" s="411"/>
      <c r="T3667" s="134" t="s">
        <v>145</v>
      </c>
      <c r="U3667" s="267" t="s">
        <v>8263</v>
      </c>
      <c r="AA3667" s="218"/>
    </row>
    <row r="3668" spans="1:27" x14ac:dyDescent="0.25">
      <c r="A3668" s="419">
        <v>3002826</v>
      </c>
      <c r="B3668" s="421">
        <v>42545</v>
      </c>
      <c r="C3668" s="419" t="s">
        <v>5682</v>
      </c>
      <c r="D3668" s="429" t="s">
        <v>8264</v>
      </c>
      <c r="E3668" s="120">
        <v>200</v>
      </c>
      <c r="F3668" s="133" t="s">
        <v>3719</v>
      </c>
      <c r="G3668" s="434" t="s">
        <v>7486</v>
      </c>
      <c r="H3668" s="427">
        <v>748.83</v>
      </c>
      <c r="I3668" s="452">
        <f t="shared" si="717"/>
        <v>-67.3947</v>
      </c>
      <c r="J3668" s="425">
        <f t="shared" si="718"/>
        <v>-14.52777</v>
      </c>
      <c r="K3668" s="425">
        <f t="shared" si="716"/>
        <v>666.90753000000007</v>
      </c>
      <c r="L3668" s="187">
        <v>1190</v>
      </c>
      <c r="N3668" s="91">
        <f t="shared" si="713"/>
        <v>238</v>
      </c>
      <c r="O3668" s="411">
        <f t="shared" si="715"/>
        <v>428.90753000000007</v>
      </c>
      <c r="P3668" s="132" t="s">
        <v>601</v>
      </c>
      <c r="Q3668" s="232"/>
      <c r="R3668" s="411"/>
      <c r="T3668" s="439" t="s">
        <v>3644</v>
      </c>
      <c r="U3668" s="446" t="s">
        <v>8265</v>
      </c>
      <c r="AA3668" s="218"/>
    </row>
    <row r="3669" spans="1:27" ht="21" customHeight="1" x14ac:dyDescent="0.25">
      <c r="A3669" s="420"/>
      <c r="B3669" s="422"/>
      <c r="C3669" s="420"/>
      <c r="D3669" s="431"/>
      <c r="E3669" s="120">
        <v>200</v>
      </c>
      <c r="F3669" s="133" t="s">
        <v>8266</v>
      </c>
      <c r="G3669" s="436"/>
      <c r="H3669" s="428"/>
      <c r="I3669" s="453"/>
      <c r="J3669" s="426"/>
      <c r="K3669" s="426"/>
      <c r="L3669" s="187">
        <v>1190</v>
      </c>
      <c r="M3669" s="131">
        <v>0</v>
      </c>
      <c r="N3669" s="91">
        <f t="shared" si="713"/>
        <v>238</v>
      </c>
      <c r="O3669" s="411">
        <f t="shared" si="715"/>
        <v>-238</v>
      </c>
      <c r="P3669" s="132" t="s">
        <v>601</v>
      </c>
      <c r="Q3669" s="232"/>
      <c r="R3669" s="411"/>
      <c r="T3669" s="441"/>
      <c r="U3669" s="447"/>
      <c r="AA3669" s="218"/>
    </row>
    <row r="3670" spans="1:27" ht="24" x14ac:dyDescent="0.25">
      <c r="A3670" s="419">
        <v>3002827</v>
      </c>
      <c r="B3670" s="421">
        <v>42545</v>
      </c>
      <c r="C3670" s="419" t="s">
        <v>5682</v>
      </c>
      <c r="D3670" s="417" t="s">
        <v>8267</v>
      </c>
      <c r="E3670" s="120">
        <v>85</v>
      </c>
      <c r="F3670" s="133" t="s">
        <v>247</v>
      </c>
      <c r="G3670" s="434" t="s">
        <v>7486</v>
      </c>
      <c r="H3670" s="427">
        <v>245.5</v>
      </c>
      <c r="I3670" s="500">
        <f t="shared" si="717"/>
        <v>-22.094999999999999</v>
      </c>
      <c r="J3670" s="425">
        <f t="shared" si="718"/>
        <v>-4.9645000000000001</v>
      </c>
      <c r="K3670" s="425">
        <f t="shared" si="716"/>
        <v>218.44050000000001</v>
      </c>
      <c r="L3670" s="131">
        <v>480</v>
      </c>
      <c r="M3670" s="187">
        <v>32.83</v>
      </c>
      <c r="N3670" s="91">
        <f t="shared" si="713"/>
        <v>73.63</v>
      </c>
      <c r="O3670" s="411">
        <f t="shared" si="715"/>
        <v>144.81050000000002</v>
      </c>
      <c r="P3670" s="132" t="s">
        <v>52</v>
      </c>
      <c r="Q3670" s="232"/>
      <c r="R3670" s="411"/>
      <c r="T3670" s="134" t="s">
        <v>145</v>
      </c>
      <c r="U3670" s="267" t="s">
        <v>8268</v>
      </c>
      <c r="AA3670" s="218"/>
    </row>
    <row r="3671" spans="1:27" ht="24" x14ac:dyDescent="0.25">
      <c r="A3671" s="420"/>
      <c r="B3671" s="422"/>
      <c r="C3671" s="420"/>
      <c r="D3671" s="418"/>
      <c r="E3671" s="120">
        <v>1000</v>
      </c>
      <c r="F3671" s="119" t="s">
        <v>8269</v>
      </c>
      <c r="G3671" s="436"/>
      <c r="H3671" s="428"/>
      <c r="I3671" s="501"/>
      <c r="J3671" s="426"/>
      <c r="K3671" s="426"/>
      <c r="L3671" s="187">
        <v>86</v>
      </c>
      <c r="M3671" s="187">
        <v>20.22</v>
      </c>
      <c r="N3671" s="91">
        <f t="shared" si="713"/>
        <v>106.22</v>
      </c>
      <c r="O3671" s="411">
        <f t="shared" si="715"/>
        <v>-106.22</v>
      </c>
      <c r="P3671" s="132" t="s">
        <v>183</v>
      </c>
      <c r="Q3671" s="232"/>
      <c r="R3671" s="411"/>
      <c r="T3671" s="134" t="s">
        <v>324</v>
      </c>
      <c r="U3671" s="267" t="s">
        <v>8270</v>
      </c>
      <c r="V3671" s="133" t="s">
        <v>8271</v>
      </c>
      <c r="AA3671" s="218"/>
    </row>
    <row r="3672" spans="1:27" ht="24" x14ac:dyDescent="0.25">
      <c r="A3672" s="405">
        <v>3002828</v>
      </c>
      <c r="B3672" s="406">
        <v>42545</v>
      </c>
      <c r="C3672" s="405" t="s">
        <v>5682</v>
      </c>
      <c r="D3672" s="401" t="s">
        <v>4545</v>
      </c>
      <c r="E3672" s="120">
        <v>1000</v>
      </c>
      <c r="F3672" s="133" t="s">
        <v>972</v>
      </c>
      <c r="G3672" s="404" t="s">
        <v>7486</v>
      </c>
      <c r="H3672" s="411">
        <v>380.94</v>
      </c>
      <c r="I3672" s="89">
        <f t="shared" si="717"/>
        <v>-34.284599999999998</v>
      </c>
      <c r="J3672" s="391">
        <f t="shared" si="718"/>
        <v>-7.5378599999999993</v>
      </c>
      <c r="K3672" s="90">
        <f t="shared" si="716"/>
        <v>339.11753999999996</v>
      </c>
      <c r="L3672" s="131">
        <v>205</v>
      </c>
      <c r="M3672" s="187">
        <v>58.23</v>
      </c>
      <c r="N3672" s="91">
        <f t="shared" si="713"/>
        <v>263.23</v>
      </c>
      <c r="O3672" s="411">
        <f t="shared" si="715"/>
        <v>75.887539999999944</v>
      </c>
      <c r="P3672" s="132" t="s">
        <v>52</v>
      </c>
      <c r="Q3672" s="232"/>
      <c r="R3672" s="411"/>
      <c r="T3672" s="134" t="s">
        <v>145</v>
      </c>
      <c r="U3672" s="267" t="s">
        <v>8272</v>
      </c>
      <c r="AA3672" s="218"/>
    </row>
    <row r="3673" spans="1:27" ht="24" x14ac:dyDescent="0.25">
      <c r="A3673" s="405">
        <v>3002829</v>
      </c>
      <c r="B3673" s="406">
        <v>42545</v>
      </c>
      <c r="C3673" s="405" t="s">
        <v>5682</v>
      </c>
      <c r="D3673" s="401" t="s">
        <v>8273</v>
      </c>
      <c r="E3673" s="120">
        <v>250</v>
      </c>
      <c r="F3673" s="133" t="s">
        <v>1137</v>
      </c>
      <c r="G3673" s="404" t="s">
        <v>7486</v>
      </c>
      <c r="H3673" s="411">
        <v>126.35</v>
      </c>
      <c r="I3673" s="89">
        <f t="shared" si="717"/>
        <v>-11.371499999999999</v>
      </c>
      <c r="J3673" s="391">
        <f t="shared" si="718"/>
        <v>-2.7006499999999996</v>
      </c>
      <c r="K3673" s="90">
        <f t="shared" si="716"/>
        <v>112.27785</v>
      </c>
      <c r="L3673" s="131">
        <v>220</v>
      </c>
      <c r="M3673" s="187">
        <v>30.04</v>
      </c>
      <c r="N3673" s="91">
        <f t="shared" si="713"/>
        <v>85.039999999999992</v>
      </c>
      <c r="O3673" s="411">
        <f t="shared" si="715"/>
        <v>27.237850000000009</v>
      </c>
      <c r="P3673" s="132" t="s">
        <v>52</v>
      </c>
      <c r="Q3673" s="232"/>
      <c r="R3673" s="411"/>
      <c r="T3673" s="134" t="s">
        <v>145</v>
      </c>
      <c r="U3673" s="267" t="s">
        <v>8274</v>
      </c>
      <c r="AA3673" s="218"/>
    </row>
    <row r="3674" spans="1:27" ht="24" x14ac:dyDescent="0.25">
      <c r="A3674" s="405">
        <v>3002830</v>
      </c>
      <c r="B3674" s="406">
        <v>42545</v>
      </c>
      <c r="C3674" s="405" t="s">
        <v>5682</v>
      </c>
      <c r="D3674" s="401" t="s">
        <v>8275</v>
      </c>
      <c r="E3674" s="120">
        <v>50</v>
      </c>
      <c r="F3674" s="133" t="s">
        <v>182</v>
      </c>
      <c r="G3674" s="404" t="s">
        <v>7486</v>
      </c>
      <c r="H3674" s="411">
        <v>102.79</v>
      </c>
      <c r="I3674" s="89">
        <f t="shared" si="717"/>
        <v>-9.251100000000001</v>
      </c>
      <c r="J3674" s="391">
        <f t="shared" si="718"/>
        <v>-2.2530100000000002</v>
      </c>
      <c r="K3674" s="90">
        <f t="shared" si="716"/>
        <v>91.285890000000009</v>
      </c>
      <c r="L3674" s="131">
        <v>1060</v>
      </c>
      <c r="M3674" s="187">
        <v>34.22</v>
      </c>
      <c r="N3674" s="91">
        <f t="shared" si="713"/>
        <v>87.22</v>
      </c>
      <c r="O3674" s="411">
        <f t="shared" si="715"/>
        <v>4.0658900000000102</v>
      </c>
      <c r="P3674" s="132" t="s">
        <v>52</v>
      </c>
      <c r="Q3674" s="232"/>
      <c r="R3674" s="411"/>
      <c r="T3674" s="134" t="s">
        <v>145</v>
      </c>
      <c r="U3674" s="267" t="s">
        <v>8276</v>
      </c>
      <c r="AA3674" s="218"/>
    </row>
    <row r="3675" spans="1:27" ht="24" x14ac:dyDescent="0.25">
      <c r="A3675" s="405">
        <v>3002831</v>
      </c>
      <c r="B3675" s="406">
        <v>42545</v>
      </c>
      <c r="C3675" s="405" t="s">
        <v>5682</v>
      </c>
      <c r="D3675" s="401" t="s">
        <v>8277</v>
      </c>
      <c r="E3675" s="120">
        <v>250</v>
      </c>
      <c r="F3675" s="133" t="s">
        <v>972</v>
      </c>
      <c r="G3675" s="404" t="s">
        <v>7486</v>
      </c>
      <c r="H3675" s="411">
        <v>103.46</v>
      </c>
      <c r="I3675" s="89">
        <f t="shared" si="717"/>
        <v>-9.311399999999999</v>
      </c>
      <c r="J3675" s="391">
        <f t="shared" si="718"/>
        <v>-2.2657399999999996</v>
      </c>
      <c r="K3675" s="90">
        <f t="shared" si="716"/>
        <v>91.882859999999994</v>
      </c>
      <c r="L3675" s="131">
        <v>205</v>
      </c>
      <c r="M3675" s="187">
        <v>28.05</v>
      </c>
      <c r="N3675" s="91">
        <f t="shared" si="713"/>
        <v>79.3</v>
      </c>
      <c r="O3675" s="411">
        <f t="shared" si="715"/>
        <v>12.582859999999997</v>
      </c>
      <c r="P3675" s="132" t="s">
        <v>52</v>
      </c>
      <c r="Q3675" s="232"/>
      <c r="R3675" s="411"/>
      <c r="T3675" s="134" t="s">
        <v>145</v>
      </c>
      <c r="U3675" s="267" t="s">
        <v>8278</v>
      </c>
      <c r="AA3675" s="218"/>
    </row>
    <row r="3676" spans="1:27" ht="24" x14ac:dyDescent="0.25">
      <c r="A3676" s="405">
        <v>3002832</v>
      </c>
      <c r="B3676" s="406">
        <v>42545</v>
      </c>
      <c r="C3676" s="405" t="s">
        <v>5682</v>
      </c>
      <c r="D3676" s="401" t="s">
        <v>8279</v>
      </c>
      <c r="E3676" s="120">
        <v>250</v>
      </c>
      <c r="F3676" s="133" t="s">
        <v>1787</v>
      </c>
      <c r="G3676" s="404" t="s">
        <v>7486</v>
      </c>
      <c r="H3676" s="411">
        <v>152.52000000000001</v>
      </c>
      <c r="I3676" s="89">
        <f t="shared" si="717"/>
        <v>-13.726800000000001</v>
      </c>
      <c r="J3676" s="391">
        <f t="shared" si="718"/>
        <v>-3.1978800000000001</v>
      </c>
      <c r="K3676" s="90">
        <f t="shared" si="716"/>
        <v>135.59532000000002</v>
      </c>
      <c r="M3676" s="187">
        <v>29.08</v>
      </c>
      <c r="N3676" s="91">
        <f t="shared" si="713"/>
        <v>29.08</v>
      </c>
      <c r="O3676" s="411">
        <f t="shared" si="715"/>
        <v>106.51532000000002</v>
      </c>
      <c r="P3676" s="132" t="s">
        <v>52</v>
      </c>
      <c r="Q3676" s="232"/>
      <c r="R3676" s="411"/>
      <c r="T3676" s="134" t="s">
        <v>145</v>
      </c>
      <c r="U3676" s="267" t="s">
        <v>8280</v>
      </c>
      <c r="AA3676" s="218"/>
    </row>
    <row r="3677" spans="1:27" ht="24" x14ac:dyDescent="0.25">
      <c r="A3677" s="405">
        <v>3002833</v>
      </c>
      <c r="B3677" s="406">
        <v>42545</v>
      </c>
      <c r="C3677" s="405" t="s">
        <v>5682</v>
      </c>
      <c r="D3677" s="401" t="s">
        <v>8281</v>
      </c>
      <c r="E3677" s="120">
        <v>200</v>
      </c>
      <c r="F3677" s="133" t="s">
        <v>8282</v>
      </c>
      <c r="G3677" s="404" t="s">
        <v>7486</v>
      </c>
      <c r="H3677" s="411">
        <v>209</v>
      </c>
      <c r="I3677" s="89">
        <f t="shared" si="717"/>
        <v>-18.809999999999999</v>
      </c>
      <c r="J3677" s="391">
        <f t="shared" si="718"/>
        <v>-4.2709999999999999</v>
      </c>
      <c r="K3677" s="90">
        <f t="shared" si="716"/>
        <v>185.91900000000001</v>
      </c>
      <c r="L3677" s="187">
        <v>610.86</v>
      </c>
      <c r="M3677" s="187">
        <v>56.45</v>
      </c>
      <c r="N3677" s="91">
        <f t="shared" si="713"/>
        <v>178.62200000000001</v>
      </c>
      <c r="O3677" s="411">
        <f t="shared" si="715"/>
        <v>7.296999999999997</v>
      </c>
      <c r="P3677" s="132" t="s">
        <v>76</v>
      </c>
      <c r="Q3677" s="232"/>
      <c r="R3677" s="411"/>
      <c r="T3677" s="134" t="s">
        <v>145</v>
      </c>
      <c r="U3677" s="267" t="s">
        <v>8283</v>
      </c>
      <c r="V3677" s="133" t="s">
        <v>8284</v>
      </c>
      <c r="AA3677" s="218"/>
    </row>
    <row r="3678" spans="1:27" ht="24" x14ac:dyDescent="0.25">
      <c r="A3678" s="405">
        <v>3002834</v>
      </c>
      <c r="B3678" s="406">
        <v>42545</v>
      </c>
      <c r="C3678" s="405" t="s">
        <v>5682</v>
      </c>
      <c r="D3678" s="401" t="s">
        <v>7677</v>
      </c>
      <c r="E3678" s="120">
        <v>250</v>
      </c>
      <c r="F3678" s="133" t="s">
        <v>2238</v>
      </c>
      <c r="G3678" s="404" t="s">
        <v>7486</v>
      </c>
      <c r="H3678" s="411">
        <v>123.5</v>
      </c>
      <c r="I3678" s="89">
        <f t="shared" si="717"/>
        <v>-11.115</v>
      </c>
      <c r="J3678" s="391">
        <f t="shared" si="718"/>
        <v>-2.6464999999999996</v>
      </c>
      <c r="K3678" s="90">
        <f t="shared" si="716"/>
        <v>109.7385</v>
      </c>
      <c r="L3678" s="131">
        <v>200</v>
      </c>
      <c r="M3678" s="187">
        <v>17.3</v>
      </c>
      <c r="N3678" s="91">
        <f t="shared" si="713"/>
        <v>67.3</v>
      </c>
      <c r="O3678" s="411">
        <f t="shared" si="715"/>
        <v>42.438500000000005</v>
      </c>
      <c r="P3678" s="132" t="s">
        <v>52</v>
      </c>
      <c r="Q3678" s="232"/>
      <c r="R3678" s="411"/>
      <c r="T3678" s="134" t="s">
        <v>145</v>
      </c>
      <c r="U3678" s="267" t="s">
        <v>8285</v>
      </c>
      <c r="AA3678" s="218"/>
    </row>
    <row r="3679" spans="1:27" ht="24" x14ac:dyDescent="0.25">
      <c r="A3679" s="405">
        <v>3002835</v>
      </c>
      <c r="B3679" s="406">
        <v>42545</v>
      </c>
      <c r="C3679" s="405" t="s">
        <v>237</v>
      </c>
      <c r="D3679" s="401" t="s">
        <v>8286</v>
      </c>
      <c r="E3679" s="120">
        <v>750</v>
      </c>
      <c r="F3679" s="133" t="s">
        <v>51</v>
      </c>
      <c r="G3679" s="404" t="s">
        <v>7486</v>
      </c>
      <c r="H3679" s="411">
        <v>1108.0999999999999</v>
      </c>
      <c r="I3679" s="397">
        <f t="shared" ref="I3679:I3687" si="719">-(H3679*0.15)</f>
        <v>-166.21499999999997</v>
      </c>
      <c r="J3679" s="411">
        <v>0</v>
      </c>
      <c r="K3679" s="90">
        <f t="shared" si="716"/>
        <v>941.88499999999999</v>
      </c>
      <c r="L3679" s="131">
        <v>1015</v>
      </c>
      <c r="M3679" s="187">
        <v>192.8</v>
      </c>
      <c r="N3679" s="91">
        <f t="shared" si="713"/>
        <v>954.05</v>
      </c>
      <c r="O3679" s="411">
        <f t="shared" si="715"/>
        <v>-12.164999999999964</v>
      </c>
      <c r="P3679" s="132" t="s">
        <v>52</v>
      </c>
      <c r="Q3679" s="232"/>
      <c r="R3679" s="411"/>
      <c r="T3679" s="134" t="s">
        <v>1209</v>
      </c>
      <c r="U3679" s="267" t="s">
        <v>8287</v>
      </c>
      <c r="V3679" s="133" t="s">
        <v>55</v>
      </c>
      <c r="AA3679" s="218"/>
    </row>
    <row r="3680" spans="1:27" ht="24" customHeight="1" x14ac:dyDescent="0.25">
      <c r="A3680" s="419">
        <v>3002836</v>
      </c>
      <c r="B3680" s="421">
        <v>42545</v>
      </c>
      <c r="C3680" s="419" t="s">
        <v>237</v>
      </c>
      <c r="D3680" s="417" t="s">
        <v>8288</v>
      </c>
      <c r="E3680" s="120">
        <v>100</v>
      </c>
      <c r="F3680" s="133" t="s">
        <v>3719</v>
      </c>
      <c r="G3680" s="434" t="s">
        <v>7486</v>
      </c>
      <c r="H3680" s="427">
        <v>356</v>
      </c>
      <c r="I3680" s="452">
        <f t="shared" si="719"/>
        <v>-53.4</v>
      </c>
      <c r="J3680" s="427">
        <v>0</v>
      </c>
      <c r="K3680" s="425">
        <f t="shared" si="716"/>
        <v>302.60000000000002</v>
      </c>
      <c r="L3680" s="187">
        <v>1190</v>
      </c>
      <c r="N3680" s="91">
        <f t="shared" si="713"/>
        <v>119</v>
      </c>
      <c r="O3680" s="411">
        <f t="shared" si="715"/>
        <v>183.60000000000002</v>
      </c>
      <c r="P3680" s="132" t="s">
        <v>601</v>
      </c>
      <c r="Q3680" s="232"/>
      <c r="R3680" s="411"/>
      <c r="T3680" s="439" t="s">
        <v>324</v>
      </c>
      <c r="U3680" s="446" t="s">
        <v>8289</v>
      </c>
      <c r="AA3680" s="218"/>
    </row>
    <row r="3681" spans="1:27" x14ac:dyDescent="0.25">
      <c r="A3681" s="420"/>
      <c r="B3681" s="422"/>
      <c r="C3681" s="420"/>
      <c r="D3681" s="418"/>
      <c r="E3681" s="120">
        <v>100</v>
      </c>
      <c r="F3681" s="133" t="s">
        <v>3307</v>
      </c>
      <c r="G3681" s="436"/>
      <c r="H3681" s="428"/>
      <c r="I3681" s="453"/>
      <c r="J3681" s="428"/>
      <c r="K3681" s="426"/>
      <c r="L3681" s="187">
        <v>1190</v>
      </c>
      <c r="N3681" s="91">
        <f t="shared" si="713"/>
        <v>119</v>
      </c>
      <c r="O3681" s="411">
        <f t="shared" si="715"/>
        <v>-119</v>
      </c>
      <c r="P3681" s="132" t="s">
        <v>601</v>
      </c>
      <c r="Q3681" s="232"/>
      <c r="R3681" s="411"/>
      <c r="T3681" s="441"/>
      <c r="U3681" s="447"/>
      <c r="AA3681" s="218"/>
    </row>
    <row r="3682" spans="1:27" ht="24" x14ac:dyDescent="0.25">
      <c r="A3682" s="405">
        <v>3002837</v>
      </c>
      <c r="B3682" s="406">
        <v>42545</v>
      </c>
      <c r="C3682" s="405" t="s">
        <v>237</v>
      </c>
      <c r="D3682" s="401" t="s">
        <v>8290</v>
      </c>
      <c r="E3682" s="120">
        <v>100</v>
      </c>
      <c r="F3682" s="133" t="s">
        <v>161</v>
      </c>
      <c r="G3682" s="404" t="s">
        <v>7486</v>
      </c>
      <c r="H3682" s="411">
        <v>226.37</v>
      </c>
      <c r="I3682" s="397">
        <f t="shared" si="719"/>
        <v>-33.955500000000001</v>
      </c>
      <c r="J3682" s="411">
        <v>0</v>
      </c>
      <c r="K3682" s="90">
        <f t="shared" si="716"/>
        <v>192.4145</v>
      </c>
      <c r="L3682" s="131">
        <v>1322</v>
      </c>
      <c r="M3682" s="187">
        <v>40.15</v>
      </c>
      <c r="N3682" s="91">
        <f t="shared" si="713"/>
        <v>172.35000000000002</v>
      </c>
      <c r="O3682" s="411">
        <f t="shared" si="715"/>
        <v>20.064499999999981</v>
      </c>
      <c r="P3682" s="132" t="s">
        <v>52</v>
      </c>
      <c r="Q3682" s="232"/>
      <c r="R3682" s="411"/>
      <c r="T3682" s="134" t="s">
        <v>145</v>
      </c>
      <c r="U3682" s="267" t="s">
        <v>8291</v>
      </c>
      <c r="AA3682" s="218"/>
    </row>
    <row r="3683" spans="1:27" x14ac:dyDescent="0.25">
      <c r="A3683" s="419">
        <v>3002838</v>
      </c>
      <c r="B3683" s="421">
        <v>42545</v>
      </c>
      <c r="C3683" s="419" t="s">
        <v>237</v>
      </c>
      <c r="D3683" s="417" t="s">
        <v>8292</v>
      </c>
      <c r="E3683" s="120">
        <v>50</v>
      </c>
      <c r="F3683" s="133" t="s">
        <v>2483</v>
      </c>
      <c r="G3683" s="434" t="s">
        <v>7486</v>
      </c>
      <c r="H3683" s="427">
        <v>154.44</v>
      </c>
      <c r="I3683" s="452">
        <f t="shared" si="719"/>
        <v>-23.166</v>
      </c>
      <c r="J3683" s="427">
        <v>0</v>
      </c>
      <c r="K3683" s="425">
        <f t="shared" si="716"/>
        <v>131.274</v>
      </c>
      <c r="L3683" s="187">
        <v>1460</v>
      </c>
      <c r="M3683" s="187">
        <v>15.18</v>
      </c>
      <c r="N3683" s="91">
        <f t="shared" si="713"/>
        <v>88.18</v>
      </c>
      <c r="O3683" s="411">
        <f t="shared" si="715"/>
        <v>43.093999999999994</v>
      </c>
      <c r="P3683" s="132" t="s">
        <v>601</v>
      </c>
      <c r="Q3683" s="232"/>
      <c r="R3683" s="411"/>
      <c r="T3683" s="439" t="s">
        <v>145</v>
      </c>
      <c r="U3683" s="446" t="s">
        <v>8293</v>
      </c>
      <c r="AA3683" s="218"/>
    </row>
    <row r="3684" spans="1:27" x14ac:dyDescent="0.25">
      <c r="A3684" s="420"/>
      <c r="B3684" s="422"/>
      <c r="C3684" s="420"/>
      <c r="D3684" s="418"/>
      <c r="E3684" s="120">
        <v>50</v>
      </c>
      <c r="F3684" s="133" t="s">
        <v>3345</v>
      </c>
      <c r="G3684" s="436"/>
      <c r="H3684" s="428"/>
      <c r="I3684" s="453"/>
      <c r="J3684" s="428"/>
      <c r="K3684" s="426"/>
      <c r="L3684" s="187">
        <v>1460</v>
      </c>
      <c r="M3684" s="187"/>
      <c r="N3684" s="91">
        <f t="shared" si="713"/>
        <v>73</v>
      </c>
      <c r="O3684" s="411">
        <f t="shared" si="715"/>
        <v>-73</v>
      </c>
      <c r="P3684" s="132" t="s">
        <v>601</v>
      </c>
      <c r="Q3684" s="232"/>
      <c r="R3684" s="411"/>
      <c r="T3684" s="441"/>
      <c r="U3684" s="447"/>
      <c r="AA3684" s="218"/>
    </row>
    <row r="3685" spans="1:27" ht="24" x14ac:dyDescent="0.25">
      <c r="A3685" s="405">
        <v>3002839</v>
      </c>
      <c r="B3685" s="406">
        <v>42545</v>
      </c>
      <c r="C3685" s="405" t="s">
        <v>237</v>
      </c>
      <c r="D3685" s="401" t="s">
        <v>8294</v>
      </c>
      <c r="E3685" s="120">
        <v>300</v>
      </c>
      <c r="F3685" s="133" t="s">
        <v>3838</v>
      </c>
      <c r="G3685" s="404" t="s">
        <v>7486</v>
      </c>
      <c r="H3685" s="411">
        <v>282.89</v>
      </c>
      <c r="I3685" s="397">
        <f t="shared" si="719"/>
        <v>-42.433499999999995</v>
      </c>
      <c r="J3685" s="411">
        <v>0</v>
      </c>
      <c r="K3685" s="90">
        <f t="shared" si="716"/>
        <v>240.45650000000001</v>
      </c>
      <c r="L3685" s="131">
        <v>480</v>
      </c>
      <c r="M3685" s="187">
        <v>67.19</v>
      </c>
      <c r="N3685" s="91">
        <f t="shared" si="713"/>
        <v>211.19</v>
      </c>
      <c r="O3685" s="411">
        <f t="shared" si="715"/>
        <v>29.266500000000008</v>
      </c>
      <c r="P3685" s="132" t="s">
        <v>52</v>
      </c>
      <c r="Q3685" s="232"/>
      <c r="R3685" s="411"/>
      <c r="T3685" s="134" t="s">
        <v>145</v>
      </c>
      <c r="U3685" s="267" t="s">
        <v>8295</v>
      </c>
      <c r="AA3685" s="218"/>
    </row>
    <row r="3686" spans="1:27" x14ac:dyDescent="0.25">
      <c r="A3686" s="405">
        <v>3002840</v>
      </c>
      <c r="B3686" s="406">
        <v>42545</v>
      </c>
      <c r="C3686" s="405" t="s">
        <v>237</v>
      </c>
      <c r="D3686" s="401" t="s">
        <v>8296</v>
      </c>
      <c r="E3686" s="120">
        <v>250</v>
      </c>
      <c r="F3686" s="133" t="s">
        <v>633</v>
      </c>
      <c r="G3686" s="404" t="s">
        <v>7486</v>
      </c>
      <c r="H3686" s="411">
        <v>530.15</v>
      </c>
      <c r="I3686" s="397">
        <f t="shared" si="719"/>
        <v>-79.522499999999994</v>
      </c>
      <c r="J3686" s="411">
        <v>0</v>
      </c>
      <c r="K3686" s="90">
        <f t="shared" si="716"/>
        <v>450.6275</v>
      </c>
      <c r="L3686" s="187">
        <v>1640</v>
      </c>
      <c r="M3686" s="187">
        <v>84.25</v>
      </c>
      <c r="N3686" s="91">
        <f t="shared" si="713"/>
        <v>494.25</v>
      </c>
      <c r="O3686" s="411">
        <f t="shared" si="715"/>
        <v>-43.622500000000002</v>
      </c>
      <c r="P3686" s="132" t="s">
        <v>235</v>
      </c>
      <c r="Q3686" s="232"/>
      <c r="R3686" s="411"/>
      <c r="T3686" s="134" t="s">
        <v>565</v>
      </c>
      <c r="U3686" s="267" t="s">
        <v>8297</v>
      </c>
      <c r="AA3686" s="218"/>
    </row>
    <row r="3687" spans="1:27" x14ac:dyDescent="0.25">
      <c r="A3687" s="405">
        <v>3002841</v>
      </c>
      <c r="B3687" s="406">
        <v>42545</v>
      </c>
      <c r="C3687" s="405" t="s">
        <v>237</v>
      </c>
      <c r="D3687" s="401" t="s">
        <v>8298</v>
      </c>
      <c r="E3687" s="120">
        <v>250</v>
      </c>
      <c r="F3687" s="133" t="s">
        <v>528</v>
      </c>
      <c r="G3687" s="404" t="s">
        <v>7486</v>
      </c>
      <c r="H3687" s="411">
        <v>468.12</v>
      </c>
      <c r="I3687" s="397">
        <f t="shared" si="719"/>
        <v>-70.218000000000004</v>
      </c>
      <c r="J3687" s="411">
        <v>0</v>
      </c>
      <c r="K3687" s="90">
        <f t="shared" si="716"/>
        <v>397.90199999999999</v>
      </c>
      <c r="L3687" s="131">
        <v>1021</v>
      </c>
      <c r="M3687" s="187">
        <v>178.12</v>
      </c>
      <c r="N3687" s="91">
        <f t="shared" si="713"/>
        <v>433.37</v>
      </c>
      <c r="O3687" s="411">
        <f t="shared" si="715"/>
        <v>-35.468000000000018</v>
      </c>
      <c r="P3687" s="132" t="s">
        <v>52</v>
      </c>
      <c r="Q3687" s="232"/>
      <c r="R3687" s="411"/>
      <c r="T3687" s="134" t="s">
        <v>244</v>
      </c>
      <c r="U3687" s="267" t="s">
        <v>8299</v>
      </c>
      <c r="V3687" s="133" t="s">
        <v>55</v>
      </c>
      <c r="AA3687" s="218"/>
    </row>
    <row r="3688" spans="1:27" ht="24" x14ac:dyDescent="0.25">
      <c r="A3688" s="405">
        <v>3002842</v>
      </c>
      <c r="B3688" s="406">
        <v>42545</v>
      </c>
      <c r="C3688" s="405" t="s">
        <v>5682</v>
      </c>
      <c r="D3688" s="401" t="s">
        <v>8281</v>
      </c>
      <c r="E3688" s="120">
        <v>200</v>
      </c>
      <c r="F3688" s="133" t="s">
        <v>2524</v>
      </c>
      <c r="G3688" s="404" t="s">
        <v>7486</v>
      </c>
      <c r="H3688" s="411">
        <v>118.75</v>
      </c>
      <c r="I3688" s="89">
        <f t="shared" ref="I3688:I3689" si="720">-(H3688*0.09)</f>
        <v>-10.6875</v>
      </c>
      <c r="J3688" s="391">
        <f t="shared" ref="J3688:J3689" si="721">-((H3688*0.019)+0.3)</f>
        <v>-2.5562499999999999</v>
      </c>
      <c r="K3688" s="90">
        <f t="shared" si="716"/>
        <v>105.50624999999999</v>
      </c>
      <c r="L3688" s="187">
        <v>260.36</v>
      </c>
      <c r="M3688" s="187">
        <v>41.44</v>
      </c>
      <c r="N3688" s="91">
        <f t="shared" si="713"/>
        <v>93.512</v>
      </c>
      <c r="O3688" s="411">
        <f t="shared" si="715"/>
        <v>11.994249999999994</v>
      </c>
      <c r="P3688" s="132" t="s">
        <v>76</v>
      </c>
      <c r="Q3688" s="232"/>
      <c r="R3688" s="411"/>
      <c r="T3688" s="134" t="s">
        <v>145</v>
      </c>
      <c r="U3688" s="267" t="s">
        <v>8300</v>
      </c>
      <c r="V3688" s="133" t="s">
        <v>8284</v>
      </c>
      <c r="AA3688" s="218"/>
    </row>
    <row r="3689" spans="1:27" ht="24" x14ac:dyDescent="0.25">
      <c r="A3689" s="405">
        <v>3002843</v>
      </c>
      <c r="B3689" s="406">
        <v>42545</v>
      </c>
      <c r="C3689" s="405" t="s">
        <v>5682</v>
      </c>
      <c r="D3689" s="401" t="s">
        <v>8301</v>
      </c>
      <c r="E3689" s="120">
        <v>250</v>
      </c>
      <c r="F3689" s="133" t="s">
        <v>1137</v>
      </c>
      <c r="G3689" s="404" t="s">
        <v>7486</v>
      </c>
      <c r="H3689" s="411">
        <v>136.46</v>
      </c>
      <c r="I3689" s="89">
        <f t="shared" si="720"/>
        <v>-12.2814</v>
      </c>
      <c r="J3689" s="391">
        <f t="shared" si="721"/>
        <v>-2.8927399999999999</v>
      </c>
      <c r="K3689" s="90">
        <f t="shared" si="716"/>
        <v>121.28586</v>
      </c>
      <c r="L3689" s="131">
        <v>220</v>
      </c>
      <c r="M3689" s="187">
        <v>21.87</v>
      </c>
      <c r="N3689" s="91">
        <f t="shared" si="713"/>
        <v>76.87</v>
      </c>
      <c r="O3689" s="411">
        <f t="shared" si="715"/>
        <v>44.415859999999995</v>
      </c>
      <c r="P3689" s="132" t="s">
        <v>52</v>
      </c>
      <c r="Q3689" s="232"/>
      <c r="R3689" s="411">
        <v>10.11</v>
      </c>
      <c r="S3689" s="133" t="s">
        <v>8302</v>
      </c>
      <c r="T3689" s="134" t="s">
        <v>145</v>
      </c>
      <c r="U3689" s="267" t="s">
        <v>8303</v>
      </c>
      <c r="AA3689" s="218"/>
    </row>
    <row r="3690" spans="1:27" ht="24" x14ac:dyDescent="0.25">
      <c r="A3690" s="405">
        <v>3002844</v>
      </c>
      <c r="B3690" s="406">
        <v>42545</v>
      </c>
      <c r="C3690" s="405" t="s">
        <v>280</v>
      </c>
      <c r="D3690" s="401" t="s">
        <v>8304</v>
      </c>
      <c r="E3690" s="120">
        <v>10000</v>
      </c>
      <c r="F3690" s="133" t="s">
        <v>8305</v>
      </c>
      <c r="G3690" s="404" t="s">
        <v>7486</v>
      </c>
      <c r="H3690" s="411">
        <v>8200</v>
      </c>
      <c r="I3690" s="89">
        <v>0</v>
      </c>
      <c r="J3690" s="391">
        <f t="shared" ref="J3690:J3733" si="722">-((H3690*0.019)+0.3)</f>
        <v>-156.1</v>
      </c>
      <c r="K3690" s="90">
        <f t="shared" si="716"/>
        <v>8043.9</v>
      </c>
      <c r="L3690" s="131">
        <v>400</v>
      </c>
      <c r="M3690" s="187">
        <v>583.5</v>
      </c>
      <c r="N3690" s="91">
        <f t="shared" si="713"/>
        <v>4583.5</v>
      </c>
      <c r="O3690" s="411">
        <f t="shared" si="715"/>
        <v>3460.3999999999996</v>
      </c>
      <c r="P3690" s="132" t="s">
        <v>86</v>
      </c>
      <c r="Q3690" s="232"/>
      <c r="R3690" s="411"/>
      <c r="T3690" s="134" t="s">
        <v>3081</v>
      </c>
      <c r="U3690" s="267" t="s">
        <v>8306</v>
      </c>
      <c r="V3690" s="133" t="s">
        <v>55</v>
      </c>
      <c r="AA3690" s="218">
        <v>100</v>
      </c>
    </row>
    <row r="3691" spans="1:27" x14ac:dyDescent="0.25">
      <c r="A3691" s="419">
        <v>3002845</v>
      </c>
      <c r="B3691" s="421">
        <v>42545</v>
      </c>
      <c r="C3691" s="419" t="s">
        <v>555</v>
      </c>
      <c r="D3691" s="429" t="s">
        <v>8307</v>
      </c>
      <c r="E3691" s="120">
        <v>6600</v>
      </c>
      <c r="F3691" s="133" t="s">
        <v>8308</v>
      </c>
      <c r="G3691" s="434" t="s">
        <v>7486</v>
      </c>
      <c r="H3691" s="427">
        <v>37527.75</v>
      </c>
      <c r="I3691" s="89">
        <v>0</v>
      </c>
      <c r="J3691" s="391">
        <v>0</v>
      </c>
      <c r="K3691" s="425">
        <f t="shared" si="716"/>
        <v>37527.75</v>
      </c>
      <c r="L3691" s="187">
        <v>4200</v>
      </c>
      <c r="M3691" s="544">
        <v>0</v>
      </c>
      <c r="N3691" s="91">
        <f t="shared" si="713"/>
        <v>27720.000000000004</v>
      </c>
      <c r="O3691" s="411">
        <f t="shared" si="715"/>
        <v>9807.7499999999964</v>
      </c>
      <c r="P3691" s="132" t="s">
        <v>638</v>
      </c>
      <c r="Q3691" s="232"/>
      <c r="R3691" s="411"/>
      <c r="T3691" s="439" t="s">
        <v>2652</v>
      </c>
      <c r="U3691" s="446" t="s">
        <v>8309</v>
      </c>
      <c r="AA3691" s="473"/>
    </row>
    <row r="3692" spans="1:27" x14ac:dyDescent="0.25">
      <c r="A3692" s="432"/>
      <c r="B3692" s="433"/>
      <c r="C3692" s="432"/>
      <c r="D3692" s="430"/>
      <c r="E3692" s="120">
        <v>870</v>
      </c>
      <c r="F3692" s="133" t="s">
        <v>8310</v>
      </c>
      <c r="G3692" s="435"/>
      <c r="H3692" s="438"/>
      <c r="I3692" s="89">
        <f t="shared" ref="I3692:I3723" si="723">-(H3692*0.09)</f>
        <v>0</v>
      </c>
      <c r="J3692" s="391">
        <v>0</v>
      </c>
      <c r="K3692" s="437"/>
      <c r="L3692" s="187">
        <v>2168</v>
      </c>
      <c r="M3692" s="545"/>
      <c r="N3692" s="91">
        <f t="shared" si="713"/>
        <v>1886.16</v>
      </c>
      <c r="O3692" s="411">
        <f t="shared" si="715"/>
        <v>-1886.16</v>
      </c>
      <c r="P3692" s="132" t="s">
        <v>638</v>
      </c>
      <c r="Q3692" s="232"/>
      <c r="R3692" s="411"/>
      <c r="T3692" s="440"/>
      <c r="U3692" s="448"/>
      <c r="AA3692" s="478"/>
    </row>
    <row r="3693" spans="1:27" x14ac:dyDescent="0.25">
      <c r="A3693" s="420"/>
      <c r="B3693" s="422"/>
      <c r="C3693" s="420"/>
      <c r="D3693" s="431"/>
      <c r="E3693" s="120">
        <v>493</v>
      </c>
      <c r="F3693" s="133" t="s">
        <v>8311</v>
      </c>
      <c r="G3693" s="436"/>
      <c r="H3693" s="428"/>
      <c r="I3693" s="89">
        <f t="shared" si="723"/>
        <v>0</v>
      </c>
      <c r="J3693" s="391">
        <v>0</v>
      </c>
      <c r="K3693" s="426"/>
      <c r="L3693" s="187">
        <v>1135</v>
      </c>
      <c r="M3693" s="546"/>
      <c r="N3693" s="91">
        <f t="shared" si="713"/>
        <v>559.55499999999995</v>
      </c>
      <c r="O3693" s="411">
        <f t="shared" si="715"/>
        <v>-559.55499999999995</v>
      </c>
      <c r="P3693" s="132" t="s">
        <v>638</v>
      </c>
      <c r="Q3693" s="232"/>
      <c r="R3693" s="411"/>
      <c r="T3693" s="441"/>
      <c r="U3693" s="447"/>
      <c r="AA3693" s="474"/>
    </row>
    <row r="3694" spans="1:27" x14ac:dyDescent="0.25">
      <c r="A3694" s="405">
        <v>3002846</v>
      </c>
      <c r="B3694" s="406">
        <v>42545</v>
      </c>
      <c r="C3694" s="405" t="s">
        <v>63</v>
      </c>
      <c r="D3694" s="401" t="s">
        <v>8312</v>
      </c>
      <c r="E3694" s="120">
        <v>15000</v>
      </c>
      <c r="F3694" s="133" t="s">
        <v>7535</v>
      </c>
      <c r="G3694" s="404" t="s">
        <v>7486</v>
      </c>
      <c r="H3694" s="392">
        <v>2820</v>
      </c>
      <c r="I3694" s="89">
        <v>0</v>
      </c>
      <c r="J3694" s="391">
        <f t="shared" si="722"/>
        <v>-53.879999999999995</v>
      </c>
      <c r="K3694" s="90">
        <f t="shared" ref="K3694:K3798" si="724">SUM(H3694:J3694)</f>
        <v>2766.12</v>
      </c>
      <c r="L3694" s="187">
        <v>138.76</v>
      </c>
      <c r="N3694" s="91">
        <f t="shared" si="713"/>
        <v>2081.3999999999996</v>
      </c>
      <c r="O3694" s="411">
        <f t="shared" si="715"/>
        <v>684.72000000000025</v>
      </c>
      <c r="P3694" s="132" t="s">
        <v>3359</v>
      </c>
      <c r="Q3694" s="232"/>
      <c r="R3694" s="411"/>
      <c r="T3694" s="134" t="s">
        <v>399</v>
      </c>
      <c r="U3694" s="267" t="s">
        <v>8313</v>
      </c>
      <c r="W3694" s="153" t="s">
        <v>7537</v>
      </c>
      <c r="AA3694" s="218">
        <v>10</v>
      </c>
    </row>
    <row r="3695" spans="1:27" ht="24" x14ac:dyDescent="0.25">
      <c r="A3695" s="405">
        <v>3002847</v>
      </c>
      <c r="B3695" s="406">
        <v>42545</v>
      </c>
      <c r="C3695" s="405" t="s">
        <v>56</v>
      </c>
      <c r="D3695" s="401" t="s">
        <v>7342</v>
      </c>
      <c r="E3695" s="120">
        <v>1000</v>
      </c>
      <c r="F3695" s="133" t="s">
        <v>2796</v>
      </c>
      <c r="G3695" s="404" t="s">
        <v>7486</v>
      </c>
      <c r="H3695" s="392">
        <v>420</v>
      </c>
      <c r="I3695" s="89">
        <v>0</v>
      </c>
      <c r="J3695" s="391">
        <v>0</v>
      </c>
      <c r="K3695" s="90">
        <f t="shared" si="724"/>
        <v>420</v>
      </c>
      <c r="L3695" s="187">
        <v>290</v>
      </c>
      <c r="M3695" s="131">
        <v>0</v>
      </c>
      <c r="N3695" s="91">
        <f t="shared" si="713"/>
        <v>290</v>
      </c>
      <c r="O3695" s="411">
        <f t="shared" si="715"/>
        <v>130</v>
      </c>
      <c r="P3695" s="132" t="s">
        <v>235</v>
      </c>
      <c r="Q3695" s="232"/>
      <c r="R3695" s="411"/>
      <c r="T3695" s="134" t="s">
        <v>204</v>
      </c>
      <c r="U3695" s="267" t="s">
        <v>8314</v>
      </c>
      <c r="V3695" s="133" t="s">
        <v>8140</v>
      </c>
      <c r="W3695" s="153" t="s">
        <v>7346</v>
      </c>
      <c r="AA3695" s="218"/>
    </row>
    <row r="3696" spans="1:27" ht="24" x14ac:dyDescent="0.25">
      <c r="A3696" s="405">
        <v>3002848</v>
      </c>
      <c r="B3696" s="406">
        <v>42545</v>
      </c>
      <c r="C3696" s="405" t="s">
        <v>63</v>
      </c>
      <c r="D3696" s="401" t="s">
        <v>8315</v>
      </c>
      <c r="E3696" s="120">
        <v>3</v>
      </c>
      <c r="F3696" s="133" t="s">
        <v>8316</v>
      </c>
      <c r="G3696" s="404" t="s">
        <v>7486</v>
      </c>
      <c r="H3696" s="392">
        <v>75</v>
      </c>
      <c r="I3696" s="89">
        <v>0</v>
      </c>
      <c r="J3696" s="391">
        <f>-((H3696*0.022)+0.3)</f>
        <v>-1.95</v>
      </c>
      <c r="K3696" s="90">
        <f t="shared" si="724"/>
        <v>73.05</v>
      </c>
      <c r="L3696" s="187">
        <v>10000</v>
      </c>
      <c r="M3696" s="187">
        <v>21.34</v>
      </c>
      <c r="N3696" s="91">
        <f t="shared" si="713"/>
        <v>51.34</v>
      </c>
      <c r="O3696" s="411">
        <f t="shared" si="715"/>
        <v>21.709999999999994</v>
      </c>
      <c r="P3696" s="132" t="s">
        <v>183</v>
      </c>
      <c r="Q3696" s="232"/>
      <c r="R3696" s="411"/>
      <c r="T3696" s="134" t="s">
        <v>324</v>
      </c>
      <c r="U3696" s="267" t="s">
        <v>8317</v>
      </c>
      <c r="W3696" s="153" t="s">
        <v>8318</v>
      </c>
      <c r="AA3696" s="218"/>
    </row>
    <row r="3697" spans="1:27" ht="24" customHeight="1" x14ac:dyDescent="0.25">
      <c r="A3697" s="419">
        <v>3002849</v>
      </c>
      <c r="B3697" s="421">
        <v>42545</v>
      </c>
      <c r="C3697" s="419" t="s">
        <v>694</v>
      </c>
      <c r="D3697" s="417" t="s">
        <v>8319</v>
      </c>
      <c r="E3697" s="120">
        <v>1500</v>
      </c>
      <c r="F3697" s="133" t="s">
        <v>8320</v>
      </c>
      <c r="G3697" s="434" t="s">
        <v>7486</v>
      </c>
      <c r="H3697" s="427">
        <v>3720</v>
      </c>
      <c r="I3697" s="452">
        <v>0</v>
      </c>
      <c r="J3697" s="498">
        <f t="shared" si="722"/>
        <v>-70.97999999999999</v>
      </c>
      <c r="K3697" s="425">
        <f t="shared" si="724"/>
        <v>3649.02</v>
      </c>
      <c r="L3697" s="187">
        <v>1793</v>
      </c>
      <c r="M3697" s="510">
        <v>268.83999999999997</v>
      </c>
      <c r="N3697" s="91">
        <f t="shared" si="713"/>
        <v>2958.34</v>
      </c>
      <c r="O3697" s="411">
        <f t="shared" si="715"/>
        <v>690.67999999999984</v>
      </c>
      <c r="P3697" s="132" t="s">
        <v>638</v>
      </c>
      <c r="Q3697" s="232"/>
      <c r="R3697" s="411"/>
      <c r="T3697" s="470" t="s">
        <v>3081</v>
      </c>
      <c r="U3697" s="446" t="s">
        <v>8321</v>
      </c>
      <c r="W3697" s="153" t="s">
        <v>8322</v>
      </c>
      <c r="AA3697" s="218"/>
    </row>
    <row r="3698" spans="1:27" x14ac:dyDescent="0.25">
      <c r="A3698" s="420"/>
      <c r="B3698" s="422"/>
      <c r="C3698" s="420"/>
      <c r="D3698" s="418"/>
      <c r="E3698" s="120">
        <v>500</v>
      </c>
      <c r="F3698" s="133" t="s">
        <v>8323</v>
      </c>
      <c r="G3698" s="436"/>
      <c r="H3698" s="428"/>
      <c r="I3698" s="453"/>
      <c r="J3698" s="499"/>
      <c r="K3698" s="426"/>
      <c r="L3698" s="187">
        <v>754</v>
      </c>
      <c r="M3698" s="512"/>
      <c r="N3698" s="91">
        <f t="shared" si="713"/>
        <v>377</v>
      </c>
      <c r="O3698" s="411">
        <f t="shared" si="715"/>
        <v>-377</v>
      </c>
      <c r="P3698" s="132" t="s">
        <v>638</v>
      </c>
      <c r="Q3698" s="232"/>
      <c r="R3698" s="411"/>
      <c r="T3698" s="472"/>
      <c r="U3698" s="447"/>
      <c r="AA3698" s="218"/>
    </row>
    <row r="3699" spans="1:27" x14ac:dyDescent="0.25">
      <c r="A3699" s="405">
        <v>3002850</v>
      </c>
      <c r="B3699" s="406">
        <v>42545</v>
      </c>
      <c r="C3699" s="405" t="s">
        <v>56</v>
      </c>
      <c r="D3699" s="401" t="s">
        <v>8324</v>
      </c>
      <c r="E3699" s="120">
        <v>500</v>
      </c>
      <c r="F3699" s="133" t="s">
        <v>8325</v>
      </c>
      <c r="G3699" s="404" t="s">
        <v>7486</v>
      </c>
      <c r="H3699" s="392">
        <v>2640</v>
      </c>
      <c r="I3699" s="89">
        <v>0</v>
      </c>
      <c r="J3699" s="391">
        <v>0</v>
      </c>
      <c r="K3699" s="90">
        <f t="shared" si="724"/>
        <v>2640</v>
      </c>
      <c r="L3699" s="187">
        <v>3769</v>
      </c>
      <c r="M3699" s="187">
        <v>159.16999999999999</v>
      </c>
      <c r="N3699" s="91">
        <f t="shared" si="713"/>
        <v>2043.67</v>
      </c>
      <c r="O3699" s="411">
        <f t="shared" si="715"/>
        <v>596.32999999999993</v>
      </c>
      <c r="P3699" s="132" t="s">
        <v>59</v>
      </c>
      <c r="Q3699" s="232"/>
      <c r="R3699" s="411"/>
      <c r="T3699" s="134" t="s">
        <v>53</v>
      </c>
      <c r="U3699" s="267" t="s">
        <v>8326</v>
      </c>
      <c r="V3699" s="133" t="s">
        <v>55</v>
      </c>
      <c r="W3699" s="153" t="s">
        <v>8327</v>
      </c>
      <c r="AA3699" s="218"/>
    </row>
    <row r="3700" spans="1:27" ht="24" x14ac:dyDescent="0.25">
      <c r="A3700" s="419">
        <v>3002851</v>
      </c>
      <c r="B3700" s="421">
        <v>42545</v>
      </c>
      <c r="C3700" s="419" t="s">
        <v>56</v>
      </c>
      <c r="D3700" s="417" t="s">
        <v>8328</v>
      </c>
      <c r="E3700" s="120">
        <v>500</v>
      </c>
      <c r="F3700" s="133" t="s">
        <v>8329</v>
      </c>
      <c r="G3700" s="434" t="s">
        <v>7486</v>
      </c>
      <c r="H3700" s="427">
        <v>579.36</v>
      </c>
      <c r="I3700" s="452">
        <f>-(H3704*0.09)</f>
        <v>0</v>
      </c>
      <c r="J3700" s="425">
        <v>0</v>
      </c>
      <c r="K3700" s="425">
        <f t="shared" si="724"/>
        <v>579.36</v>
      </c>
      <c r="L3700" s="187">
        <v>200</v>
      </c>
      <c r="M3700" s="187">
        <v>18.440000000000001</v>
      </c>
      <c r="N3700" s="91">
        <f t="shared" ref="N3700:N3763" si="725">((L3700)*(E3700*0.001))+M3700</f>
        <v>118.44</v>
      </c>
      <c r="O3700" s="411">
        <f t="shared" si="715"/>
        <v>460.92</v>
      </c>
      <c r="P3700" s="132" t="s">
        <v>235</v>
      </c>
      <c r="Q3700" s="232"/>
      <c r="R3700" s="411"/>
      <c r="T3700" s="134" t="s">
        <v>145</v>
      </c>
      <c r="U3700" s="267" t="s">
        <v>8330</v>
      </c>
      <c r="V3700" s="133" t="s">
        <v>8331</v>
      </c>
      <c r="AA3700" s="218"/>
    </row>
    <row r="3701" spans="1:27" ht="24" x14ac:dyDescent="0.25">
      <c r="A3701" s="432"/>
      <c r="B3701" s="433"/>
      <c r="C3701" s="432"/>
      <c r="D3701" s="454"/>
      <c r="E3701" s="120">
        <v>500</v>
      </c>
      <c r="F3701" s="133" t="s">
        <v>8332</v>
      </c>
      <c r="G3701" s="435"/>
      <c r="H3701" s="438"/>
      <c r="I3701" s="484"/>
      <c r="J3701" s="437"/>
      <c r="K3701" s="437"/>
      <c r="L3701" s="187">
        <v>75</v>
      </c>
      <c r="M3701" s="187">
        <v>8.7899999999999991</v>
      </c>
      <c r="N3701" s="91">
        <f t="shared" si="725"/>
        <v>46.29</v>
      </c>
      <c r="O3701" s="411">
        <f t="shared" si="715"/>
        <v>-46.29</v>
      </c>
      <c r="P3701" s="132" t="s">
        <v>235</v>
      </c>
      <c r="Q3701" s="232"/>
      <c r="R3701" s="411"/>
      <c r="T3701" s="134" t="s">
        <v>145</v>
      </c>
      <c r="U3701" s="267" t="s">
        <v>8333</v>
      </c>
      <c r="W3701" s="153" t="s">
        <v>8334</v>
      </c>
      <c r="AA3701" s="218"/>
    </row>
    <row r="3702" spans="1:27" x14ac:dyDescent="0.25">
      <c r="A3702" s="432"/>
      <c r="B3702" s="433"/>
      <c r="C3702" s="432"/>
      <c r="D3702" s="454"/>
      <c r="E3702" s="120">
        <v>1000</v>
      </c>
      <c r="F3702" s="133" t="s">
        <v>8335</v>
      </c>
      <c r="G3702" s="435"/>
      <c r="H3702" s="438"/>
      <c r="I3702" s="484"/>
      <c r="J3702" s="437"/>
      <c r="K3702" s="437"/>
      <c r="L3702" s="187">
        <v>35</v>
      </c>
      <c r="M3702" s="187">
        <f>12.17+12.17</f>
        <v>24.34</v>
      </c>
      <c r="N3702" s="91">
        <f t="shared" si="725"/>
        <v>59.34</v>
      </c>
      <c r="O3702" s="411">
        <f t="shared" si="715"/>
        <v>-59.34</v>
      </c>
      <c r="P3702" s="132" t="s">
        <v>313</v>
      </c>
      <c r="Q3702" s="232"/>
      <c r="R3702" s="411"/>
      <c r="T3702" s="439" t="s">
        <v>314</v>
      </c>
      <c r="U3702" s="446" t="s">
        <v>8336</v>
      </c>
      <c r="V3702" s="133" t="s">
        <v>8337</v>
      </c>
      <c r="AA3702" s="218"/>
    </row>
    <row r="3703" spans="1:27" x14ac:dyDescent="0.25">
      <c r="A3703" s="432"/>
      <c r="B3703" s="433"/>
      <c r="C3703" s="432"/>
      <c r="D3703" s="454"/>
      <c r="E3703" s="120">
        <v>1000</v>
      </c>
      <c r="F3703" s="133" t="s">
        <v>8338</v>
      </c>
      <c r="G3703" s="435"/>
      <c r="H3703" s="438"/>
      <c r="I3703" s="484"/>
      <c r="J3703" s="437"/>
      <c r="K3703" s="437"/>
      <c r="L3703" s="187">
        <v>35</v>
      </c>
      <c r="M3703" s="187">
        <v>0</v>
      </c>
      <c r="N3703" s="91">
        <f t="shared" si="725"/>
        <v>35</v>
      </c>
      <c r="O3703" s="411">
        <f t="shared" si="715"/>
        <v>-35</v>
      </c>
      <c r="P3703" s="132" t="s">
        <v>313</v>
      </c>
      <c r="Q3703" s="232"/>
      <c r="R3703" s="411"/>
      <c r="T3703" s="441"/>
      <c r="U3703" s="447"/>
      <c r="V3703" s="133" t="s">
        <v>8337</v>
      </c>
      <c r="AA3703" s="218"/>
    </row>
    <row r="3704" spans="1:27" ht="24" x14ac:dyDescent="0.25">
      <c r="A3704" s="420"/>
      <c r="B3704" s="422"/>
      <c r="C3704" s="420"/>
      <c r="D3704" s="418"/>
      <c r="E3704" s="120">
        <v>1000</v>
      </c>
      <c r="F3704" s="133" t="s">
        <v>8339</v>
      </c>
      <c r="G3704" s="436"/>
      <c r="H3704" s="428"/>
      <c r="I3704" s="453"/>
      <c r="J3704" s="426"/>
      <c r="K3704" s="426"/>
      <c r="L3704" s="187">
        <v>130</v>
      </c>
      <c r="M3704" s="187">
        <v>13.83</v>
      </c>
      <c r="N3704" s="91">
        <f t="shared" si="725"/>
        <v>143.83000000000001</v>
      </c>
      <c r="O3704" s="411">
        <f t="shared" si="715"/>
        <v>-143.83000000000001</v>
      </c>
      <c r="P3704" s="132" t="s">
        <v>235</v>
      </c>
      <c r="Q3704" s="232"/>
      <c r="R3704" s="411"/>
      <c r="T3704" s="134" t="s">
        <v>145</v>
      </c>
      <c r="U3704" s="267" t="s">
        <v>8340</v>
      </c>
      <c r="AA3704" s="218"/>
    </row>
    <row r="3705" spans="1:27" ht="24" x14ac:dyDescent="0.25">
      <c r="A3705" s="405">
        <v>3002852</v>
      </c>
      <c r="B3705" s="406">
        <v>42545</v>
      </c>
      <c r="C3705" s="405" t="s">
        <v>5682</v>
      </c>
      <c r="D3705" s="401" t="s">
        <v>8341</v>
      </c>
      <c r="E3705" s="120">
        <v>1000</v>
      </c>
      <c r="F3705" s="133" t="s">
        <v>51</v>
      </c>
      <c r="G3705" s="404" t="s">
        <v>7486</v>
      </c>
      <c r="H3705" s="392">
        <v>1650</v>
      </c>
      <c r="I3705" s="89">
        <f t="shared" si="723"/>
        <v>-148.5</v>
      </c>
      <c r="J3705" s="391">
        <f t="shared" si="722"/>
        <v>-31.65</v>
      </c>
      <c r="K3705" s="90">
        <f t="shared" si="724"/>
        <v>1469.85</v>
      </c>
      <c r="M3705" s="187">
        <v>210.72</v>
      </c>
      <c r="N3705" s="91">
        <f t="shared" si="725"/>
        <v>210.72</v>
      </c>
      <c r="O3705" s="411">
        <f t="shared" si="715"/>
        <v>1259.1299999999999</v>
      </c>
      <c r="P3705" s="132" t="s">
        <v>52</v>
      </c>
      <c r="Q3705" s="232"/>
      <c r="R3705" s="411"/>
      <c r="T3705" s="134" t="s">
        <v>8342</v>
      </c>
      <c r="U3705" s="267" t="s">
        <v>8343</v>
      </c>
      <c r="V3705" s="133" t="s">
        <v>55</v>
      </c>
      <c r="AA3705" s="218"/>
    </row>
    <row r="3706" spans="1:27" ht="24" x14ac:dyDescent="0.25">
      <c r="A3706" s="405">
        <v>3002853</v>
      </c>
      <c r="B3706" s="406">
        <v>42545</v>
      </c>
      <c r="C3706" s="405" t="s">
        <v>5682</v>
      </c>
      <c r="D3706" s="401" t="s">
        <v>8344</v>
      </c>
      <c r="E3706" s="120">
        <v>250</v>
      </c>
      <c r="F3706" s="133" t="s">
        <v>1472</v>
      </c>
      <c r="G3706" s="404" t="s">
        <v>7486</v>
      </c>
      <c r="H3706" s="392">
        <v>133</v>
      </c>
      <c r="I3706" s="89">
        <f t="shared" si="723"/>
        <v>-11.969999999999999</v>
      </c>
      <c r="J3706" s="391">
        <f t="shared" si="722"/>
        <v>-2.827</v>
      </c>
      <c r="K3706" s="90">
        <f t="shared" si="724"/>
        <v>118.203</v>
      </c>
      <c r="M3706" s="187">
        <v>55.26</v>
      </c>
      <c r="N3706" s="91">
        <f t="shared" si="725"/>
        <v>55.26</v>
      </c>
      <c r="O3706" s="411">
        <f t="shared" si="715"/>
        <v>62.943000000000005</v>
      </c>
      <c r="P3706" s="132" t="s">
        <v>52</v>
      </c>
      <c r="Q3706" s="232"/>
      <c r="R3706" s="411"/>
      <c r="T3706" s="134" t="s">
        <v>145</v>
      </c>
      <c r="U3706" s="267" t="s">
        <v>8345</v>
      </c>
      <c r="AA3706" s="218"/>
    </row>
    <row r="3707" spans="1:27" x14ac:dyDescent="0.25">
      <c r="A3707" s="419">
        <v>3002854</v>
      </c>
      <c r="B3707" s="421">
        <v>42548</v>
      </c>
      <c r="C3707" s="419" t="s">
        <v>977</v>
      </c>
      <c r="D3707" s="417" t="s">
        <v>2461</v>
      </c>
      <c r="E3707" s="120">
        <v>1000</v>
      </c>
      <c r="F3707" s="133" t="s">
        <v>175</v>
      </c>
      <c r="G3707" s="434" t="s">
        <v>7486</v>
      </c>
      <c r="H3707" s="427">
        <v>1360</v>
      </c>
      <c r="I3707" s="452">
        <v>0</v>
      </c>
      <c r="J3707" s="425">
        <f>-((H3707*0.022)+0.3)</f>
        <v>-30.22</v>
      </c>
      <c r="K3707" s="425">
        <f t="shared" si="724"/>
        <v>1329.78</v>
      </c>
      <c r="M3707" s="187">
        <v>150</v>
      </c>
      <c r="N3707" s="91">
        <f t="shared" si="725"/>
        <v>150</v>
      </c>
      <c r="O3707" s="411">
        <f t="shared" si="715"/>
        <v>1179.78</v>
      </c>
      <c r="P3707" s="132" t="s">
        <v>52</v>
      </c>
      <c r="Q3707" s="232"/>
      <c r="R3707" s="411"/>
      <c r="T3707" s="439" t="s">
        <v>760</v>
      </c>
      <c r="U3707" s="446" t="s">
        <v>8346</v>
      </c>
      <c r="W3707" s="153" t="s">
        <v>8347</v>
      </c>
      <c r="AA3707" s="473">
        <v>10</v>
      </c>
    </row>
    <row r="3708" spans="1:27" x14ac:dyDescent="0.25">
      <c r="A3708" s="420"/>
      <c r="B3708" s="422"/>
      <c r="C3708" s="420"/>
      <c r="D3708" s="418"/>
      <c r="E3708" s="120">
        <v>1000</v>
      </c>
      <c r="F3708" s="133" t="s">
        <v>173</v>
      </c>
      <c r="G3708" s="436"/>
      <c r="H3708" s="428"/>
      <c r="I3708" s="453"/>
      <c r="J3708" s="426"/>
      <c r="K3708" s="426"/>
      <c r="L3708" s="131">
        <v>409</v>
      </c>
      <c r="N3708" s="91">
        <f t="shared" si="725"/>
        <v>409</v>
      </c>
      <c r="O3708" s="411">
        <f t="shared" si="715"/>
        <v>-409</v>
      </c>
      <c r="P3708" s="132" t="s">
        <v>52</v>
      </c>
      <c r="Q3708" s="232"/>
      <c r="R3708" s="411"/>
      <c r="T3708" s="441"/>
      <c r="U3708" s="447"/>
      <c r="AA3708" s="474"/>
    </row>
    <row r="3709" spans="1:27" x14ac:dyDescent="0.25">
      <c r="A3709" s="405">
        <v>3002855</v>
      </c>
      <c r="B3709" s="406">
        <v>42548</v>
      </c>
      <c r="C3709" s="405" t="s">
        <v>555</v>
      </c>
      <c r="D3709" s="401" t="s">
        <v>8348</v>
      </c>
      <c r="E3709" s="120">
        <v>2000</v>
      </c>
      <c r="F3709" s="133" t="s">
        <v>8349</v>
      </c>
      <c r="G3709" s="404" t="s">
        <v>7486</v>
      </c>
      <c r="H3709" s="392">
        <v>3700</v>
      </c>
      <c r="I3709" s="89">
        <v>0</v>
      </c>
      <c r="J3709" s="391">
        <v>0</v>
      </c>
      <c r="K3709" s="90">
        <f t="shared" si="724"/>
        <v>3700</v>
      </c>
      <c r="L3709" s="131">
        <v>1150</v>
      </c>
      <c r="N3709" s="91">
        <f t="shared" si="725"/>
        <v>2300</v>
      </c>
      <c r="O3709" s="411">
        <f t="shared" si="715"/>
        <v>1400</v>
      </c>
      <c r="P3709" s="132" t="s">
        <v>46</v>
      </c>
      <c r="Q3709" s="232"/>
      <c r="R3709" s="411"/>
      <c r="T3709" s="134" t="s">
        <v>1852</v>
      </c>
      <c r="U3709" s="267" t="s">
        <v>8350</v>
      </c>
      <c r="AA3709" s="218"/>
    </row>
    <row r="3710" spans="1:27" ht="24" x14ac:dyDescent="0.25">
      <c r="A3710" s="405">
        <v>3002856</v>
      </c>
      <c r="B3710" s="406">
        <v>42548</v>
      </c>
      <c r="C3710" s="405" t="s">
        <v>5682</v>
      </c>
      <c r="D3710" s="401" t="s">
        <v>8351</v>
      </c>
      <c r="E3710" s="120">
        <v>175</v>
      </c>
      <c r="F3710" s="133" t="s">
        <v>2416</v>
      </c>
      <c r="G3710" s="404" t="s">
        <v>7486</v>
      </c>
      <c r="H3710" s="392">
        <v>264.31</v>
      </c>
      <c r="I3710" s="89">
        <f t="shared" si="723"/>
        <v>-23.7879</v>
      </c>
      <c r="J3710" s="391">
        <f t="shared" si="722"/>
        <v>-5.3218899999999998</v>
      </c>
      <c r="K3710" s="90">
        <f t="shared" si="724"/>
        <v>235.20021</v>
      </c>
      <c r="M3710" s="187">
        <v>48.18</v>
      </c>
      <c r="N3710" s="91">
        <f t="shared" si="725"/>
        <v>48.18</v>
      </c>
      <c r="O3710" s="411">
        <f t="shared" si="715"/>
        <v>187.02020999999999</v>
      </c>
      <c r="P3710" s="132" t="s">
        <v>52</v>
      </c>
      <c r="Q3710" s="232"/>
      <c r="R3710" s="411"/>
      <c r="T3710" s="134" t="s">
        <v>145</v>
      </c>
      <c r="U3710" s="267" t="s">
        <v>8352</v>
      </c>
      <c r="AA3710" s="218"/>
    </row>
    <row r="3711" spans="1:27" ht="24" x14ac:dyDescent="0.25">
      <c r="A3711" s="405">
        <v>3002857</v>
      </c>
      <c r="B3711" s="406">
        <v>42548</v>
      </c>
      <c r="C3711" s="405" t="s">
        <v>5682</v>
      </c>
      <c r="D3711" s="401" t="s">
        <v>8353</v>
      </c>
      <c r="E3711" s="120">
        <v>300</v>
      </c>
      <c r="F3711" s="133" t="s">
        <v>8354</v>
      </c>
      <c r="G3711" s="404" t="s">
        <v>7486</v>
      </c>
      <c r="H3711" s="392">
        <v>203.15</v>
      </c>
      <c r="I3711" s="89">
        <f t="shared" si="723"/>
        <v>-18.2835</v>
      </c>
      <c r="J3711" s="391">
        <f t="shared" si="722"/>
        <v>-4.1598500000000005</v>
      </c>
      <c r="K3711" s="90">
        <f t="shared" si="724"/>
        <v>180.70665</v>
      </c>
      <c r="M3711" s="187">
        <v>20.22</v>
      </c>
      <c r="N3711" s="91">
        <f t="shared" si="725"/>
        <v>20.22</v>
      </c>
      <c r="O3711" s="411">
        <f t="shared" si="715"/>
        <v>160.48665</v>
      </c>
      <c r="P3711" s="132" t="s">
        <v>86</v>
      </c>
      <c r="Q3711" s="232"/>
      <c r="R3711" s="411"/>
      <c r="T3711" s="134" t="s">
        <v>145</v>
      </c>
      <c r="U3711" s="267" t="s">
        <v>8355</v>
      </c>
      <c r="AA3711" s="218"/>
    </row>
    <row r="3712" spans="1:27" ht="24" x14ac:dyDescent="0.25">
      <c r="A3712" s="405">
        <v>3002858</v>
      </c>
      <c r="B3712" s="406">
        <v>42548</v>
      </c>
      <c r="C3712" s="405" t="s">
        <v>5682</v>
      </c>
      <c r="D3712" s="401" t="s">
        <v>8356</v>
      </c>
      <c r="E3712" s="120">
        <v>500</v>
      </c>
      <c r="F3712" s="133" t="s">
        <v>288</v>
      </c>
      <c r="G3712" s="404" t="s">
        <v>7486</v>
      </c>
      <c r="H3712" s="392">
        <v>830</v>
      </c>
      <c r="I3712" s="89">
        <f t="shared" si="723"/>
        <v>-74.7</v>
      </c>
      <c r="J3712" s="391">
        <f t="shared" si="722"/>
        <v>-16.07</v>
      </c>
      <c r="K3712" s="90">
        <f t="shared" si="724"/>
        <v>739.2299999999999</v>
      </c>
      <c r="L3712" s="187">
        <v>950</v>
      </c>
      <c r="M3712" s="187">
        <v>221.67</v>
      </c>
      <c r="N3712" s="91">
        <f t="shared" si="725"/>
        <v>696.67</v>
      </c>
      <c r="O3712" s="411">
        <f t="shared" si="715"/>
        <v>42.559999999999945</v>
      </c>
      <c r="P3712" s="132" t="s">
        <v>66</v>
      </c>
      <c r="Q3712" s="232"/>
      <c r="R3712" s="411"/>
      <c r="T3712" s="134" t="s">
        <v>1209</v>
      </c>
      <c r="U3712" s="267" t="s">
        <v>8357</v>
      </c>
      <c r="V3712" s="133" t="s">
        <v>55</v>
      </c>
      <c r="AA3712" s="218"/>
    </row>
    <row r="3713" spans="1:27" ht="24" x14ac:dyDescent="0.25">
      <c r="A3713" s="405">
        <v>3002859</v>
      </c>
      <c r="B3713" s="406">
        <v>42548</v>
      </c>
      <c r="C3713" s="405" t="s">
        <v>5682</v>
      </c>
      <c r="D3713" s="401" t="s">
        <v>8358</v>
      </c>
      <c r="E3713" s="120">
        <v>500</v>
      </c>
      <c r="F3713" s="133" t="s">
        <v>829</v>
      </c>
      <c r="G3713" s="404" t="s">
        <v>7486</v>
      </c>
      <c r="H3713" s="392">
        <v>500.74</v>
      </c>
      <c r="I3713" s="89">
        <f t="shared" si="723"/>
        <v>-45.066600000000001</v>
      </c>
      <c r="J3713" s="391">
        <f t="shared" si="722"/>
        <v>-9.8140600000000013</v>
      </c>
      <c r="K3713" s="90">
        <f t="shared" si="724"/>
        <v>445.85934000000003</v>
      </c>
      <c r="M3713" s="187">
        <v>62.06</v>
      </c>
      <c r="N3713" s="91">
        <f t="shared" si="725"/>
        <v>62.06</v>
      </c>
      <c r="O3713" s="411">
        <f t="shared" si="715"/>
        <v>383.79934000000003</v>
      </c>
      <c r="P3713" s="132" t="s">
        <v>52</v>
      </c>
      <c r="Q3713" s="232"/>
      <c r="R3713" s="411"/>
      <c r="T3713" s="134" t="s">
        <v>145</v>
      </c>
      <c r="U3713" s="267" t="s">
        <v>8359</v>
      </c>
      <c r="AA3713" s="218"/>
    </row>
    <row r="3714" spans="1:27" ht="24" x14ac:dyDescent="0.25">
      <c r="A3714" s="405">
        <v>3002860</v>
      </c>
      <c r="B3714" s="406">
        <v>42548</v>
      </c>
      <c r="C3714" s="405" t="s">
        <v>5682</v>
      </c>
      <c r="D3714" s="401" t="s">
        <v>8360</v>
      </c>
      <c r="E3714" s="120">
        <v>250</v>
      </c>
      <c r="F3714" s="133" t="s">
        <v>312</v>
      </c>
      <c r="G3714" s="404" t="s">
        <v>7486</v>
      </c>
      <c r="H3714" s="392">
        <v>259.72000000000003</v>
      </c>
      <c r="I3714" s="89">
        <f t="shared" si="723"/>
        <v>-23.3748</v>
      </c>
      <c r="J3714" s="391">
        <f t="shared" si="722"/>
        <v>-5.23468</v>
      </c>
      <c r="K3714" s="90">
        <f t="shared" si="724"/>
        <v>231.11052000000004</v>
      </c>
      <c r="L3714" s="187">
        <v>514</v>
      </c>
      <c r="M3714" s="187">
        <v>38.479999999999997</v>
      </c>
      <c r="N3714" s="91">
        <f t="shared" si="725"/>
        <v>166.98</v>
      </c>
      <c r="O3714" s="411">
        <f t="shared" si="715"/>
        <v>64.130520000000047</v>
      </c>
      <c r="P3714" s="132" t="s">
        <v>3597</v>
      </c>
      <c r="Q3714" s="232"/>
      <c r="R3714" s="411"/>
      <c r="T3714" s="134" t="s">
        <v>145</v>
      </c>
      <c r="U3714" s="267" t="s">
        <v>8361</v>
      </c>
      <c r="AA3714" s="218"/>
    </row>
    <row r="3715" spans="1:27" ht="24" x14ac:dyDescent="0.25">
      <c r="A3715" s="405">
        <v>3002861</v>
      </c>
      <c r="B3715" s="406">
        <v>42548</v>
      </c>
      <c r="C3715" s="405" t="s">
        <v>5682</v>
      </c>
      <c r="D3715" s="401" t="s">
        <v>8362</v>
      </c>
      <c r="E3715" s="120">
        <v>500</v>
      </c>
      <c r="F3715" s="133" t="s">
        <v>8363</v>
      </c>
      <c r="G3715" s="404" t="s">
        <v>7486</v>
      </c>
      <c r="H3715" s="411">
        <v>609.44000000000005</v>
      </c>
      <c r="I3715" s="89">
        <f t="shared" si="723"/>
        <v>-54.849600000000002</v>
      </c>
      <c r="J3715" s="391">
        <f t="shared" si="722"/>
        <v>-11.879360000000002</v>
      </c>
      <c r="K3715" s="90">
        <f t="shared" si="724"/>
        <v>542.71104000000003</v>
      </c>
      <c r="M3715" s="187">
        <v>88.05</v>
      </c>
      <c r="N3715" s="91">
        <f t="shared" si="725"/>
        <v>88.05</v>
      </c>
      <c r="O3715" s="411">
        <f t="shared" si="715"/>
        <v>454.66104000000001</v>
      </c>
      <c r="P3715" s="132" t="s">
        <v>52</v>
      </c>
      <c r="Q3715" s="232"/>
      <c r="R3715" s="411"/>
      <c r="T3715" s="134" t="s">
        <v>145</v>
      </c>
      <c r="U3715" s="266" t="s">
        <v>8364</v>
      </c>
      <c r="AA3715" s="218"/>
    </row>
    <row r="3716" spans="1:27" x14ac:dyDescent="0.25">
      <c r="A3716" s="405">
        <v>3002862</v>
      </c>
      <c r="B3716" s="406">
        <v>42548</v>
      </c>
      <c r="C3716" s="405" t="s">
        <v>5682</v>
      </c>
      <c r="D3716" s="401" t="s">
        <v>8365</v>
      </c>
      <c r="E3716" s="120">
        <v>500</v>
      </c>
      <c r="F3716" s="133" t="s">
        <v>247</v>
      </c>
      <c r="G3716" s="404" t="s">
        <v>7486</v>
      </c>
      <c r="H3716" s="411">
        <v>560.09</v>
      </c>
      <c r="I3716" s="89">
        <f t="shared" si="723"/>
        <v>-50.408099999999997</v>
      </c>
      <c r="J3716" s="391">
        <f t="shared" si="722"/>
        <v>-10.94171</v>
      </c>
      <c r="K3716" s="90">
        <f t="shared" si="724"/>
        <v>498.74019000000004</v>
      </c>
      <c r="L3716" s="131">
        <v>480</v>
      </c>
      <c r="M3716" s="187">
        <v>188.13</v>
      </c>
      <c r="N3716" s="91">
        <f t="shared" si="725"/>
        <v>428.13</v>
      </c>
      <c r="O3716" s="411">
        <f t="shared" si="715"/>
        <v>70.610190000000046</v>
      </c>
      <c r="P3716" s="132" t="s">
        <v>52</v>
      </c>
      <c r="Q3716" s="232"/>
      <c r="R3716" s="411"/>
      <c r="T3716" s="134" t="s">
        <v>244</v>
      </c>
      <c r="U3716" s="267" t="s">
        <v>8366</v>
      </c>
      <c r="V3716" s="133" t="s">
        <v>55</v>
      </c>
      <c r="AA3716" s="218"/>
    </row>
    <row r="3717" spans="1:27" ht="24" x14ac:dyDescent="0.25">
      <c r="A3717" s="405">
        <v>3002863</v>
      </c>
      <c r="B3717" s="406">
        <v>42548</v>
      </c>
      <c r="C3717" s="405" t="s">
        <v>5682</v>
      </c>
      <c r="D3717" s="401" t="s">
        <v>8367</v>
      </c>
      <c r="E3717" s="120">
        <v>250</v>
      </c>
      <c r="F3717" s="133" t="s">
        <v>972</v>
      </c>
      <c r="G3717" s="404" t="s">
        <v>7486</v>
      </c>
      <c r="H3717" s="411">
        <v>103.46</v>
      </c>
      <c r="I3717" s="89">
        <f t="shared" si="723"/>
        <v>-9.311399999999999</v>
      </c>
      <c r="J3717" s="391">
        <f t="shared" si="722"/>
        <v>-2.2657399999999996</v>
      </c>
      <c r="K3717" s="90">
        <f t="shared" si="724"/>
        <v>91.882859999999994</v>
      </c>
      <c r="M3717" s="187">
        <v>48.6</v>
      </c>
      <c r="N3717" s="91">
        <f t="shared" si="725"/>
        <v>48.6</v>
      </c>
      <c r="O3717" s="411">
        <f t="shared" si="715"/>
        <v>43.282859999999992</v>
      </c>
      <c r="P3717" s="132" t="s">
        <v>52</v>
      </c>
      <c r="Q3717" s="232"/>
      <c r="R3717" s="411"/>
      <c r="T3717" s="134" t="s">
        <v>145</v>
      </c>
      <c r="U3717" s="267" t="s">
        <v>8368</v>
      </c>
      <c r="AA3717" s="218"/>
    </row>
    <row r="3718" spans="1:27" ht="24" x14ac:dyDescent="0.25">
      <c r="A3718" s="405">
        <v>3002864</v>
      </c>
      <c r="B3718" s="406">
        <v>42548</v>
      </c>
      <c r="C3718" s="405" t="s">
        <v>5682</v>
      </c>
      <c r="D3718" s="401" t="s">
        <v>8369</v>
      </c>
      <c r="E3718" s="120">
        <v>200</v>
      </c>
      <c r="F3718" s="133" t="s">
        <v>877</v>
      </c>
      <c r="G3718" s="404" t="s">
        <v>7486</v>
      </c>
      <c r="H3718" s="411">
        <v>148.9</v>
      </c>
      <c r="I3718" s="89">
        <f t="shared" si="723"/>
        <v>-13.401</v>
      </c>
      <c r="J3718" s="391">
        <f t="shared" si="722"/>
        <v>-3.1290999999999998</v>
      </c>
      <c r="K3718" s="90">
        <f t="shared" si="724"/>
        <v>132.3699</v>
      </c>
      <c r="M3718" s="187">
        <v>38.64</v>
      </c>
      <c r="N3718" s="91">
        <f t="shared" si="725"/>
        <v>38.64</v>
      </c>
      <c r="O3718" s="411">
        <f t="shared" si="715"/>
        <v>93.729900000000001</v>
      </c>
      <c r="P3718" s="132" t="s">
        <v>52</v>
      </c>
      <c r="Q3718" s="232"/>
      <c r="R3718" s="411"/>
      <c r="T3718" s="134" t="s">
        <v>145</v>
      </c>
      <c r="U3718" s="267" t="s">
        <v>8370</v>
      </c>
      <c r="AA3718" s="218"/>
    </row>
    <row r="3719" spans="1:27" ht="24" x14ac:dyDescent="0.25">
      <c r="A3719" s="405">
        <v>3002865</v>
      </c>
      <c r="B3719" s="406">
        <v>42548</v>
      </c>
      <c r="C3719" s="405" t="s">
        <v>5682</v>
      </c>
      <c r="D3719" s="401" t="s">
        <v>8371</v>
      </c>
      <c r="E3719" s="120">
        <v>100</v>
      </c>
      <c r="F3719" s="133" t="s">
        <v>70</v>
      </c>
      <c r="G3719" s="404" t="s">
        <v>7486</v>
      </c>
      <c r="H3719" s="411">
        <v>291.94</v>
      </c>
      <c r="I3719" s="89">
        <f t="shared" si="723"/>
        <v>-26.2746</v>
      </c>
      <c r="J3719" s="391">
        <f t="shared" si="722"/>
        <v>-5.8468599999999995</v>
      </c>
      <c r="K3719" s="90">
        <f t="shared" si="724"/>
        <v>259.81853999999998</v>
      </c>
      <c r="M3719" s="187">
        <v>39.090000000000003</v>
      </c>
      <c r="N3719" s="91">
        <f t="shared" si="725"/>
        <v>39.090000000000003</v>
      </c>
      <c r="O3719" s="411">
        <f t="shared" si="715"/>
        <v>220.72853999999998</v>
      </c>
      <c r="P3719" s="132" t="s">
        <v>52</v>
      </c>
      <c r="Q3719" s="232"/>
      <c r="R3719" s="411"/>
      <c r="T3719" s="134" t="s">
        <v>145</v>
      </c>
      <c r="U3719" s="267" t="s">
        <v>8372</v>
      </c>
      <c r="AA3719" s="218"/>
    </row>
    <row r="3720" spans="1:27" ht="24" x14ac:dyDescent="0.25">
      <c r="A3720" s="405">
        <v>3002866</v>
      </c>
      <c r="B3720" s="406">
        <v>42548</v>
      </c>
      <c r="C3720" s="405" t="s">
        <v>5682</v>
      </c>
      <c r="D3720" s="401" t="s">
        <v>8373</v>
      </c>
      <c r="E3720" s="120">
        <v>100</v>
      </c>
      <c r="F3720" s="133" t="s">
        <v>829</v>
      </c>
      <c r="G3720" s="404" t="s">
        <v>7486</v>
      </c>
      <c r="H3720" s="411">
        <v>114</v>
      </c>
      <c r="I3720" s="89">
        <f t="shared" si="723"/>
        <v>-10.26</v>
      </c>
      <c r="J3720" s="391">
        <f t="shared" si="722"/>
        <v>-2.4659999999999997</v>
      </c>
      <c r="K3720" s="90">
        <f t="shared" si="724"/>
        <v>101.274</v>
      </c>
      <c r="M3720" s="187">
        <v>58.77</v>
      </c>
      <c r="N3720" s="91">
        <f t="shared" si="725"/>
        <v>58.77</v>
      </c>
      <c r="O3720" s="411">
        <f t="shared" si="715"/>
        <v>42.503999999999998</v>
      </c>
      <c r="P3720" s="132" t="s">
        <v>52</v>
      </c>
      <c r="Q3720" s="232"/>
      <c r="R3720" s="411"/>
      <c r="T3720" s="134" t="s">
        <v>145</v>
      </c>
      <c r="U3720" s="267" t="s">
        <v>8374</v>
      </c>
      <c r="AA3720" s="218"/>
    </row>
    <row r="3721" spans="1:27" ht="24" x14ac:dyDescent="0.25">
      <c r="A3721" s="405">
        <v>3002867</v>
      </c>
      <c r="B3721" s="406">
        <v>42548</v>
      </c>
      <c r="C3721" s="405" t="s">
        <v>5682</v>
      </c>
      <c r="D3721" s="401" t="s">
        <v>8375</v>
      </c>
      <c r="E3721" s="120">
        <v>130</v>
      </c>
      <c r="F3721" s="133" t="s">
        <v>222</v>
      </c>
      <c r="G3721" s="404" t="s">
        <v>7486</v>
      </c>
      <c r="H3721" s="411">
        <v>226.5</v>
      </c>
      <c r="I3721" s="89">
        <f t="shared" si="723"/>
        <v>-20.384999999999998</v>
      </c>
      <c r="J3721" s="391">
        <f t="shared" si="722"/>
        <v>-4.6034999999999995</v>
      </c>
      <c r="K3721" s="90">
        <f t="shared" si="724"/>
        <v>201.51150000000001</v>
      </c>
      <c r="M3721" s="187">
        <v>33.130000000000003</v>
      </c>
      <c r="N3721" s="91">
        <f t="shared" si="725"/>
        <v>33.130000000000003</v>
      </c>
      <c r="O3721" s="411">
        <f t="shared" si="715"/>
        <v>168.38150000000002</v>
      </c>
      <c r="P3721" s="132" t="s">
        <v>52</v>
      </c>
      <c r="Q3721" s="232"/>
      <c r="R3721" s="411"/>
      <c r="T3721" s="134" t="s">
        <v>145</v>
      </c>
      <c r="U3721" s="267" t="s">
        <v>8376</v>
      </c>
      <c r="AA3721" s="218"/>
    </row>
    <row r="3722" spans="1:27" ht="24" x14ac:dyDescent="0.25">
      <c r="A3722" s="405">
        <v>3002868</v>
      </c>
      <c r="B3722" s="406">
        <v>42548</v>
      </c>
      <c r="C3722" s="405" t="s">
        <v>5682</v>
      </c>
      <c r="D3722" s="401" t="s">
        <v>8377</v>
      </c>
      <c r="E3722" s="120">
        <v>200</v>
      </c>
      <c r="F3722" s="133" t="s">
        <v>247</v>
      </c>
      <c r="G3722" s="404" t="s">
        <v>7486</v>
      </c>
      <c r="H3722" s="411">
        <v>250.84</v>
      </c>
      <c r="I3722" s="89">
        <f t="shared" si="723"/>
        <v>-22.575599999999998</v>
      </c>
      <c r="J3722" s="391">
        <f t="shared" si="722"/>
        <v>-5.0659599999999996</v>
      </c>
      <c r="K3722" s="90">
        <f t="shared" si="724"/>
        <v>223.19844000000001</v>
      </c>
      <c r="M3722" s="187">
        <v>29.13</v>
      </c>
      <c r="N3722" s="91">
        <f t="shared" si="725"/>
        <v>29.13</v>
      </c>
      <c r="O3722" s="411">
        <f t="shared" si="715"/>
        <v>194.06844000000001</v>
      </c>
      <c r="P3722" s="132" t="s">
        <v>52</v>
      </c>
      <c r="Q3722" s="232"/>
      <c r="R3722" s="411"/>
      <c r="T3722" s="134" t="s">
        <v>145</v>
      </c>
      <c r="U3722" s="267" t="s">
        <v>8378</v>
      </c>
      <c r="AA3722" s="218"/>
    </row>
    <row r="3723" spans="1:27" x14ac:dyDescent="0.25">
      <c r="A3723" s="405">
        <v>3002869</v>
      </c>
      <c r="B3723" s="406">
        <v>42548</v>
      </c>
      <c r="C3723" s="405" t="s">
        <v>5682</v>
      </c>
      <c r="D3723" s="401" t="s">
        <v>8379</v>
      </c>
      <c r="E3723" s="120">
        <v>500</v>
      </c>
      <c r="F3723" s="133" t="s">
        <v>8380</v>
      </c>
      <c r="G3723" s="404" t="s">
        <v>7486</v>
      </c>
      <c r="H3723" s="411">
        <v>660.25</v>
      </c>
      <c r="I3723" s="89">
        <f t="shared" si="723"/>
        <v>-59.422499999999999</v>
      </c>
      <c r="J3723" s="391">
        <f t="shared" si="722"/>
        <v>-12.844750000000001</v>
      </c>
      <c r="K3723" s="90">
        <f t="shared" si="724"/>
        <v>587.98275000000001</v>
      </c>
      <c r="L3723" s="187">
        <v>709</v>
      </c>
      <c r="M3723" s="187">
        <v>195.39</v>
      </c>
      <c r="N3723" s="91">
        <f t="shared" si="725"/>
        <v>549.89</v>
      </c>
      <c r="O3723" s="411">
        <f t="shared" si="715"/>
        <v>38.092750000000024</v>
      </c>
      <c r="P3723" s="132" t="s">
        <v>3597</v>
      </c>
      <c r="Q3723" s="232"/>
      <c r="R3723" s="411"/>
      <c r="T3723" s="134" t="s">
        <v>204</v>
      </c>
      <c r="U3723" s="267" t="s">
        <v>8381</v>
      </c>
      <c r="AA3723" s="218"/>
    </row>
    <row r="3724" spans="1:27" ht="24" x14ac:dyDescent="0.25">
      <c r="A3724" s="405">
        <v>3002870</v>
      </c>
      <c r="B3724" s="406">
        <v>42548</v>
      </c>
      <c r="C3724" s="405" t="s">
        <v>63</v>
      </c>
      <c r="D3724" s="401" t="s">
        <v>8382</v>
      </c>
      <c r="E3724" s="120">
        <v>32</v>
      </c>
      <c r="F3724" s="133" t="s">
        <v>870</v>
      </c>
      <c r="G3724" s="404" t="s">
        <v>7486</v>
      </c>
      <c r="H3724" s="411">
        <v>270</v>
      </c>
      <c r="I3724" s="89">
        <v>0</v>
      </c>
      <c r="J3724" s="391">
        <f t="shared" si="722"/>
        <v>-5.43</v>
      </c>
      <c r="K3724" s="90">
        <f t="shared" si="724"/>
        <v>264.57</v>
      </c>
      <c r="L3724" s="187">
        <v>4350</v>
      </c>
      <c r="M3724" s="187">
        <v>39.65</v>
      </c>
      <c r="N3724" s="91">
        <f t="shared" si="725"/>
        <v>178.85000000000002</v>
      </c>
      <c r="O3724" s="411">
        <f t="shared" si="715"/>
        <v>85.71999999999997</v>
      </c>
      <c r="P3724" s="132" t="s">
        <v>183</v>
      </c>
      <c r="Q3724" s="232"/>
      <c r="R3724" s="411"/>
      <c r="T3724" s="134" t="s">
        <v>324</v>
      </c>
      <c r="U3724" s="267" t="s">
        <v>8383</v>
      </c>
      <c r="V3724" s="133" t="s">
        <v>5863</v>
      </c>
      <c r="W3724" s="153" t="s">
        <v>8384</v>
      </c>
      <c r="AA3724" s="218"/>
    </row>
    <row r="3725" spans="1:27" x14ac:dyDescent="0.25">
      <c r="A3725" s="419">
        <v>3002871</v>
      </c>
      <c r="B3725" s="421">
        <v>42548</v>
      </c>
      <c r="C3725" s="419" t="s">
        <v>63</v>
      </c>
      <c r="D3725" s="417" t="s">
        <v>8385</v>
      </c>
      <c r="E3725" s="120">
        <v>750</v>
      </c>
      <c r="F3725" s="133" t="s">
        <v>8386</v>
      </c>
      <c r="G3725" s="434" t="s">
        <v>7486</v>
      </c>
      <c r="H3725" s="427">
        <v>3852</v>
      </c>
      <c r="I3725" s="452">
        <v>0</v>
      </c>
      <c r="J3725" s="425">
        <f>-((H3725*0.022)+0.3)</f>
        <v>-85.043999999999997</v>
      </c>
      <c r="K3725" s="425">
        <f t="shared" si="724"/>
        <v>3766.9560000000001</v>
      </c>
      <c r="L3725" s="187">
        <v>2100</v>
      </c>
      <c r="N3725" s="91">
        <f t="shared" si="725"/>
        <v>1575</v>
      </c>
      <c r="O3725" s="411">
        <f t="shared" ref="O3725:O3788" si="726">K3725-N3725</f>
        <v>2191.9560000000001</v>
      </c>
      <c r="P3725" s="132" t="s">
        <v>601</v>
      </c>
      <c r="Q3725" s="232"/>
      <c r="R3725" s="411"/>
      <c r="T3725" s="439" t="s">
        <v>473</v>
      </c>
      <c r="U3725" s="446" t="s">
        <v>8387</v>
      </c>
      <c r="AA3725" s="473">
        <v>10</v>
      </c>
    </row>
    <row r="3726" spans="1:27" x14ac:dyDescent="0.25">
      <c r="A3726" s="432"/>
      <c r="B3726" s="433"/>
      <c r="C3726" s="432"/>
      <c r="D3726" s="454"/>
      <c r="E3726" s="120">
        <v>250</v>
      </c>
      <c r="F3726" s="133" t="s">
        <v>8388</v>
      </c>
      <c r="G3726" s="435"/>
      <c r="H3726" s="438"/>
      <c r="I3726" s="484"/>
      <c r="J3726" s="437"/>
      <c r="K3726" s="437"/>
      <c r="L3726" s="187">
        <v>1750</v>
      </c>
      <c r="N3726" s="91">
        <f t="shared" si="725"/>
        <v>437.5</v>
      </c>
      <c r="O3726" s="411">
        <f t="shared" si="726"/>
        <v>-437.5</v>
      </c>
      <c r="P3726" s="132" t="s">
        <v>601</v>
      </c>
      <c r="Q3726" s="232"/>
      <c r="R3726" s="411"/>
      <c r="T3726" s="440"/>
      <c r="U3726" s="448"/>
      <c r="W3726" s="153" t="s">
        <v>8389</v>
      </c>
      <c r="AA3726" s="478"/>
    </row>
    <row r="3727" spans="1:27" x14ac:dyDescent="0.25">
      <c r="A3727" s="432"/>
      <c r="B3727" s="433"/>
      <c r="C3727" s="432"/>
      <c r="D3727" s="454"/>
      <c r="E3727" s="120">
        <v>250</v>
      </c>
      <c r="F3727" s="133" t="s">
        <v>8390</v>
      </c>
      <c r="G3727" s="435"/>
      <c r="H3727" s="438"/>
      <c r="I3727" s="484"/>
      <c r="J3727" s="437"/>
      <c r="K3727" s="437"/>
      <c r="L3727" s="187">
        <v>1150</v>
      </c>
      <c r="N3727" s="91">
        <f t="shared" si="725"/>
        <v>287.5</v>
      </c>
      <c r="O3727" s="411">
        <f t="shared" si="726"/>
        <v>-287.5</v>
      </c>
      <c r="P3727" s="132" t="s">
        <v>601</v>
      </c>
      <c r="Q3727" s="232"/>
      <c r="R3727" s="411"/>
      <c r="T3727" s="441"/>
      <c r="U3727" s="447"/>
      <c r="AA3727" s="478"/>
    </row>
    <row r="3728" spans="1:27" ht="24" x14ac:dyDescent="0.25">
      <c r="A3728" s="420"/>
      <c r="B3728" s="422"/>
      <c r="C3728" s="420"/>
      <c r="D3728" s="418"/>
      <c r="E3728" s="120">
        <v>200</v>
      </c>
      <c r="F3728" s="133" t="s">
        <v>161</v>
      </c>
      <c r="G3728" s="436"/>
      <c r="H3728" s="428"/>
      <c r="I3728" s="453"/>
      <c r="J3728" s="426"/>
      <c r="K3728" s="426"/>
      <c r="L3728" s="131">
        <v>1322</v>
      </c>
      <c r="M3728" s="187">
        <v>64.209999999999994</v>
      </c>
      <c r="N3728" s="91">
        <f t="shared" si="725"/>
        <v>328.61</v>
      </c>
      <c r="O3728" s="411">
        <f t="shared" si="726"/>
        <v>-328.61</v>
      </c>
      <c r="P3728" s="132" t="s">
        <v>52</v>
      </c>
      <c r="Q3728" s="232"/>
      <c r="R3728" s="411"/>
      <c r="T3728" s="134" t="s">
        <v>145</v>
      </c>
      <c r="U3728" s="267" t="s">
        <v>8391</v>
      </c>
      <c r="V3728" s="133" t="s">
        <v>8392</v>
      </c>
      <c r="AA3728" s="474"/>
    </row>
    <row r="3729" spans="1:27" ht="24" x14ac:dyDescent="0.25">
      <c r="A3729" s="405">
        <v>3002872</v>
      </c>
      <c r="B3729" s="406">
        <v>42548</v>
      </c>
      <c r="C3729" s="405" t="s">
        <v>237</v>
      </c>
      <c r="D3729" s="401" t="s">
        <v>8393</v>
      </c>
      <c r="E3729" s="120">
        <v>50</v>
      </c>
      <c r="F3729" s="133" t="s">
        <v>431</v>
      </c>
      <c r="G3729" s="404" t="s">
        <v>7486</v>
      </c>
      <c r="H3729" s="411">
        <v>137.82</v>
      </c>
      <c r="I3729" s="397">
        <f t="shared" ref="I3729:I3731" si="727">-(H3729*0.15)</f>
        <v>-20.672999999999998</v>
      </c>
      <c r="J3729" s="391">
        <v>0</v>
      </c>
      <c r="K3729" s="90">
        <f t="shared" si="724"/>
        <v>117.14699999999999</v>
      </c>
      <c r="M3729" s="187">
        <v>62</v>
      </c>
      <c r="N3729" s="91">
        <f t="shared" si="725"/>
        <v>62</v>
      </c>
      <c r="O3729" s="411">
        <f t="shared" si="726"/>
        <v>55.146999999999991</v>
      </c>
      <c r="P3729" s="132" t="s">
        <v>52</v>
      </c>
      <c r="Q3729" s="232"/>
      <c r="R3729" s="411"/>
      <c r="T3729" s="134" t="s">
        <v>145</v>
      </c>
      <c r="U3729" s="267" t="s">
        <v>8394</v>
      </c>
      <c r="AA3729" s="218"/>
    </row>
    <row r="3730" spans="1:27" x14ac:dyDescent="0.25">
      <c r="A3730" s="405">
        <v>3002873</v>
      </c>
      <c r="B3730" s="406">
        <v>42548</v>
      </c>
      <c r="C3730" s="405" t="s">
        <v>237</v>
      </c>
      <c r="D3730" s="401" t="s">
        <v>8395</v>
      </c>
      <c r="E3730" s="120">
        <v>125</v>
      </c>
      <c r="F3730" s="133" t="s">
        <v>8396</v>
      </c>
      <c r="G3730" s="404" t="s">
        <v>7486</v>
      </c>
      <c r="H3730" s="411">
        <v>194.37</v>
      </c>
      <c r="I3730" s="397">
        <f t="shared" si="727"/>
        <v>-29.1555</v>
      </c>
      <c r="J3730" s="391">
        <v>0</v>
      </c>
      <c r="K3730" s="90">
        <f t="shared" si="724"/>
        <v>165.21450000000002</v>
      </c>
      <c r="L3730" s="187">
        <v>1136.97</v>
      </c>
      <c r="M3730" s="187">
        <v>9.69</v>
      </c>
      <c r="N3730" s="91">
        <f t="shared" si="725"/>
        <v>151.81125</v>
      </c>
      <c r="O3730" s="411">
        <f t="shared" si="726"/>
        <v>13.403250000000014</v>
      </c>
      <c r="P3730" s="132" t="s">
        <v>621</v>
      </c>
      <c r="Q3730" s="232"/>
      <c r="R3730" s="411"/>
      <c r="T3730" s="134" t="s">
        <v>314</v>
      </c>
      <c r="U3730" s="267" t="s">
        <v>8397</v>
      </c>
      <c r="AA3730" s="218"/>
    </row>
    <row r="3731" spans="1:27" x14ac:dyDescent="0.25">
      <c r="A3731" s="405">
        <v>3002874</v>
      </c>
      <c r="B3731" s="406">
        <v>42548</v>
      </c>
      <c r="C3731" s="405" t="s">
        <v>237</v>
      </c>
      <c r="D3731" s="401" t="s">
        <v>8398</v>
      </c>
      <c r="E3731" s="120">
        <v>200</v>
      </c>
      <c r="F3731" s="133" t="s">
        <v>70</v>
      </c>
      <c r="G3731" s="404" t="s">
        <v>7486</v>
      </c>
      <c r="H3731" s="411">
        <v>588.30999999999995</v>
      </c>
      <c r="I3731" s="397">
        <f t="shared" si="727"/>
        <v>-88.246499999999983</v>
      </c>
      <c r="J3731" s="391">
        <v>0</v>
      </c>
      <c r="K3731" s="90">
        <f t="shared" si="724"/>
        <v>500.06349999999998</v>
      </c>
      <c r="L3731" s="131">
        <v>1200</v>
      </c>
      <c r="M3731" s="187">
        <v>188.13</v>
      </c>
      <c r="N3731" s="91">
        <f t="shared" si="725"/>
        <v>428.13</v>
      </c>
      <c r="O3731" s="411">
        <f t="shared" si="726"/>
        <v>71.933499999999981</v>
      </c>
      <c r="P3731" s="132" t="s">
        <v>86</v>
      </c>
      <c r="Q3731" s="232"/>
      <c r="R3731" s="411"/>
      <c r="T3731" s="134" t="s">
        <v>244</v>
      </c>
      <c r="U3731" s="267" t="s">
        <v>8399</v>
      </c>
      <c r="V3731" s="133" t="s">
        <v>55</v>
      </c>
      <c r="AA3731" s="218"/>
    </row>
    <row r="3732" spans="1:27" ht="24" x14ac:dyDescent="0.25">
      <c r="A3732" s="405">
        <v>3002875</v>
      </c>
      <c r="B3732" s="406">
        <v>42549</v>
      </c>
      <c r="C3732" s="405" t="s">
        <v>78</v>
      </c>
      <c r="D3732" s="401" t="s">
        <v>8400</v>
      </c>
      <c r="E3732" s="120">
        <v>100</v>
      </c>
      <c r="F3732" s="133" t="s">
        <v>161</v>
      </c>
      <c r="G3732" s="404" t="s">
        <v>7486</v>
      </c>
      <c r="H3732" s="411">
        <v>228</v>
      </c>
      <c r="I3732" s="411">
        <v>0</v>
      </c>
      <c r="J3732" s="391">
        <f t="shared" si="722"/>
        <v>-4.6319999999999997</v>
      </c>
      <c r="K3732" s="90">
        <f t="shared" si="724"/>
        <v>223.36799999999999</v>
      </c>
      <c r="L3732" s="131">
        <v>1322</v>
      </c>
      <c r="M3732" s="187">
        <v>31.19</v>
      </c>
      <c r="N3732" s="91">
        <f t="shared" si="725"/>
        <v>163.39000000000001</v>
      </c>
      <c r="O3732" s="411">
        <f t="shared" si="726"/>
        <v>59.97799999999998</v>
      </c>
      <c r="P3732" s="132" t="s">
        <v>52</v>
      </c>
      <c r="Q3732" s="232"/>
      <c r="R3732" s="411"/>
      <c r="T3732" s="134" t="s">
        <v>145</v>
      </c>
      <c r="U3732" s="267" t="s">
        <v>8401</v>
      </c>
      <c r="W3732" s="153" t="s">
        <v>2333</v>
      </c>
      <c r="AA3732" s="218"/>
    </row>
    <row r="3733" spans="1:27" x14ac:dyDescent="0.25">
      <c r="A3733" s="405">
        <v>3002876</v>
      </c>
      <c r="B3733" s="406">
        <v>42549</v>
      </c>
      <c r="C3733" s="405" t="s">
        <v>694</v>
      </c>
      <c r="D3733" s="401" t="s">
        <v>8402</v>
      </c>
      <c r="E3733" s="120">
        <v>500</v>
      </c>
      <c r="F3733" s="133" t="s">
        <v>247</v>
      </c>
      <c r="G3733" s="404" t="s">
        <v>7486</v>
      </c>
      <c r="H3733" s="411">
        <v>540</v>
      </c>
      <c r="I3733" s="411">
        <v>0</v>
      </c>
      <c r="J3733" s="391">
        <f t="shared" si="722"/>
        <v>-10.56</v>
      </c>
      <c r="K3733" s="90">
        <f t="shared" si="724"/>
        <v>529.44000000000005</v>
      </c>
      <c r="L3733" s="131">
        <v>480</v>
      </c>
      <c r="M3733" s="187">
        <v>188.14</v>
      </c>
      <c r="N3733" s="91">
        <f t="shared" si="725"/>
        <v>428.14</v>
      </c>
      <c r="O3733" s="411">
        <f t="shared" si="726"/>
        <v>101.30000000000007</v>
      </c>
      <c r="P3733" s="132" t="s">
        <v>52</v>
      </c>
      <c r="Q3733" s="232"/>
      <c r="R3733" s="411"/>
      <c r="T3733" s="134" t="s">
        <v>244</v>
      </c>
      <c r="U3733" s="267" t="s">
        <v>8403</v>
      </c>
      <c r="V3733" s="133" t="s">
        <v>55</v>
      </c>
      <c r="W3733" s="153" t="s">
        <v>8404</v>
      </c>
      <c r="AA3733" s="218"/>
    </row>
    <row r="3734" spans="1:27" ht="24" x14ac:dyDescent="0.25">
      <c r="A3734" s="419">
        <v>3002877</v>
      </c>
      <c r="B3734" s="421">
        <v>42549</v>
      </c>
      <c r="C3734" s="419" t="s">
        <v>327</v>
      </c>
      <c r="D3734" s="417" t="s">
        <v>687</v>
      </c>
      <c r="E3734" s="120">
        <v>550</v>
      </c>
      <c r="F3734" s="133" t="s">
        <v>8405</v>
      </c>
      <c r="G3734" s="434" t="s">
        <v>7486</v>
      </c>
      <c r="H3734" s="427">
        <v>5280</v>
      </c>
      <c r="I3734" s="427">
        <v>0</v>
      </c>
      <c r="J3734" s="425">
        <f>-((H3734*0.022)+0.3)</f>
        <v>-116.46</v>
      </c>
      <c r="K3734" s="425">
        <f t="shared" si="724"/>
        <v>5163.54</v>
      </c>
      <c r="L3734" s="131">
        <v>2500</v>
      </c>
      <c r="M3734" s="187">
        <v>201.45</v>
      </c>
      <c r="N3734" s="91">
        <f t="shared" si="725"/>
        <v>1576.45</v>
      </c>
      <c r="O3734" s="411">
        <f t="shared" si="726"/>
        <v>3587.09</v>
      </c>
      <c r="P3734" s="132" t="s">
        <v>86</v>
      </c>
      <c r="Q3734" s="232"/>
      <c r="R3734" s="411"/>
      <c r="T3734" s="134" t="s">
        <v>1209</v>
      </c>
      <c r="U3734" s="267" t="s">
        <v>8406</v>
      </c>
      <c r="V3734" s="133" t="s">
        <v>55</v>
      </c>
      <c r="W3734" s="153" t="s">
        <v>8407</v>
      </c>
      <c r="AA3734" s="218">
        <v>25</v>
      </c>
    </row>
    <row r="3735" spans="1:27" x14ac:dyDescent="0.25">
      <c r="A3735" s="420"/>
      <c r="B3735" s="422"/>
      <c r="C3735" s="420"/>
      <c r="D3735" s="418"/>
      <c r="E3735" s="120">
        <v>550</v>
      </c>
      <c r="F3735" s="133" t="s">
        <v>8405</v>
      </c>
      <c r="G3735" s="436"/>
      <c r="H3735" s="428"/>
      <c r="I3735" s="428"/>
      <c r="J3735" s="426"/>
      <c r="K3735" s="426"/>
      <c r="L3735" s="187">
        <v>3980</v>
      </c>
      <c r="M3735" s="187">
        <v>178.06</v>
      </c>
      <c r="N3735" s="91">
        <f t="shared" si="725"/>
        <v>2367.06</v>
      </c>
      <c r="O3735" s="411">
        <f t="shared" si="726"/>
        <v>-2367.06</v>
      </c>
      <c r="P3735" s="132" t="s">
        <v>183</v>
      </c>
      <c r="Q3735" s="232"/>
      <c r="R3735" s="411"/>
      <c r="T3735" s="134" t="s">
        <v>8408</v>
      </c>
      <c r="U3735" s="267" t="s">
        <v>8409</v>
      </c>
      <c r="V3735" s="133" t="s">
        <v>8410</v>
      </c>
      <c r="W3735" s="153"/>
      <c r="AA3735" s="218"/>
    </row>
    <row r="3736" spans="1:27" x14ac:dyDescent="0.25">
      <c r="A3736" s="405">
        <v>3002878</v>
      </c>
      <c r="B3736" s="406">
        <v>42549</v>
      </c>
      <c r="C3736" s="405" t="s">
        <v>56</v>
      </c>
      <c r="D3736" s="401" t="s">
        <v>8411</v>
      </c>
      <c r="E3736" s="120">
        <v>365</v>
      </c>
      <c r="F3736" s="133" t="s">
        <v>8412</v>
      </c>
      <c r="G3736" s="404" t="s">
        <v>7486</v>
      </c>
      <c r="H3736" s="411">
        <v>2304.9899999999998</v>
      </c>
      <c r="I3736" s="411">
        <v>0</v>
      </c>
      <c r="J3736" s="411">
        <v>0</v>
      </c>
      <c r="K3736" s="90">
        <f t="shared" si="724"/>
        <v>2304.9899999999998</v>
      </c>
      <c r="L3736" s="187">
        <v>4340</v>
      </c>
      <c r="M3736" s="187">
        <v>318.75</v>
      </c>
      <c r="N3736" s="91">
        <f t="shared" si="725"/>
        <v>1902.85</v>
      </c>
      <c r="O3736" s="411">
        <f t="shared" si="726"/>
        <v>402.13999999999987</v>
      </c>
      <c r="P3736" s="132" t="s">
        <v>59</v>
      </c>
      <c r="Q3736" s="232"/>
      <c r="R3736" s="411">
        <v>187.99</v>
      </c>
      <c r="S3736" s="133" t="s">
        <v>502</v>
      </c>
      <c r="T3736" s="134" t="s">
        <v>7627</v>
      </c>
      <c r="U3736" s="266">
        <v>2926439869</v>
      </c>
      <c r="V3736" s="133" t="s">
        <v>55</v>
      </c>
      <c r="W3736" s="153" t="s">
        <v>8413</v>
      </c>
      <c r="AA3736" s="218">
        <v>10</v>
      </c>
    </row>
    <row r="3737" spans="1:27" ht="24" x14ac:dyDescent="0.25">
      <c r="A3737" s="405">
        <v>3002879</v>
      </c>
      <c r="B3737" s="406">
        <v>42549</v>
      </c>
      <c r="C3737" s="405" t="s">
        <v>63</v>
      </c>
      <c r="D3737" s="401" t="s">
        <v>8414</v>
      </c>
      <c r="E3737" s="120">
        <v>250</v>
      </c>
      <c r="F3737" s="133" t="s">
        <v>247</v>
      </c>
      <c r="G3737" s="404" t="s">
        <v>7486</v>
      </c>
      <c r="H3737" s="411">
        <v>270</v>
      </c>
      <c r="I3737" s="411">
        <v>0</v>
      </c>
      <c r="J3737" s="391">
        <f>-((H3737*0.022)+0.3)</f>
        <v>-6.2399999999999993</v>
      </c>
      <c r="K3737" s="90">
        <f t="shared" si="724"/>
        <v>263.76</v>
      </c>
      <c r="L3737" s="131">
        <v>480</v>
      </c>
      <c r="M3737" s="187">
        <v>54.79</v>
      </c>
      <c r="N3737" s="91">
        <f t="shared" si="725"/>
        <v>174.79</v>
      </c>
      <c r="O3737" s="411">
        <f t="shared" si="726"/>
        <v>88.97</v>
      </c>
      <c r="P3737" s="132" t="s">
        <v>52</v>
      </c>
      <c r="Q3737" s="232"/>
      <c r="R3737" s="411"/>
      <c r="T3737" s="134" t="s">
        <v>145</v>
      </c>
      <c r="U3737" s="267" t="s">
        <v>8415</v>
      </c>
      <c r="W3737" s="153" t="s">
        <v>8416</v>
      </c>
      <c r="AA3737" s="218"/>
    </row>
    <row r="3738" spans="1:27" x14ac:dyDescent="0.25">
      <c r="A3738" s="405">
        <v>3002880</v>
      </c>
      <c r="B3738" s="406">
        <v>42549</v>
      </c>
      <c r="C3738" s="405" t="s">
        <v>78</v>
      </c>
      <c r="D3738" s="401" t="s">
        <v>8417</v>
      </c>
      <c r="E3738" s="120">
        <v>500</v>
      </c>
      <c r="F3738" s="133" t="s">
        <v>8418</v>
      </c>
      <c r="G3738" s="404" t="s">
        <v>7486</v>
      </c>
      <c r="H3738" s="411">
        <v>425</v>
      </c>
      <c r="I3738" s="411">
        <v>0</v>
      </c>
      <c r="J3738" s="391">
        <f t="shared" ref="J3738:J3761" si="728">-((H3738*0.019)+0.3)</f>
        <v>-8.375</v>
      </c>
      <c r="K3738" s="90">
        <f t="shared" si="724"/>
        <v>416.625</v>
      </c>
      <c r="L3738" s="187">
        <v>623.73</v>
      </c>
      <c r="N3738" s="91">
        <f t="shared" si="725"/>
        <v>311.86500000000001</v>
      </c>
      <c r="O3738" s="411">
        <f t="shared" si="726"/>
        <v>104.75999999999999</v>
      </c>
      <c r="P3738" s="132" t="s">
        <v>926</v>
      </c>
      <c r="Q3738" s="212"/>
      <c r="R3738" s="411"/>
      <c r="T3738" s="134" t="s">
        <v>314</v>
      </c>
      <c r="U3738" s="267" t="s">
        <v>8419</v>
      </c>
      <c r="W3738" s="153" t="s">
        <v>8420</v>
      </c>
      <c r="AA3738" s="218"/>
    </row>
    <row r="3739" spans="1:27" ht="24" x14ac:dyDescent="0.25">
      <c r="A3739" s="405">
        <v>3002881</v>
      </c>
      <c r="B3739" s="406">
        <v>42549</v>
      </c>
      <c r="C3739" s="405" t="s">
        <v>5682</v>
      </c>
      <c r="D3739" s="401" t="s">
        <v>8421</v>
      </c>
      <c r="E3739" s="120">
        <v>250</v>
      </c>
      <c r="F3739" s="133" t="s">
        <v>451</v>
      </c>
      <c r="G3739" s="404" t="s">
        <v>7486</v>
      </c>
      <c r="H3739" s="411">
        <v>155.37</v>
      </c>
      <c r="I3739" s="89">
        <f t="shared" ref="I3739:I3752" si="729">-(H3739*0.09)</f>
        <v>-13.9833</v>
      </c>
      <c r="J3739" s="391">
        <f t="shared" si="728"/>
        <v>-3.25203</v>
      </c>
      <c r="K3739" s="90">
        <f t="shared" si="724"/>
        <v>138.13467000000003</v>
      </c>
      <c r="L3739" s="131">
        <v>300</v>
      </c>
      <c r="M3739" s="187">
        <v>34.950000000000003</v>
      </c>
      <c r="N3739" s="91">
        <f t="shared" si="725"/>
        <v>109.95</v>
      </c>
      <c r="O3739" s="411">
        <f t="shared" si="726"/>
        <v>28.184670000000025</v>
      </c>
      <c r="P3739" s="132" t="s">
        <v>52</v>
      </c>
      <c r="Q3739" s="232"/>
      <c r="R3739" s="411"/>
      <c r="T3739" s="134" t="s">
        <v>145</v>
      </c>
      <c r="U3739" s="267" t="s">
        <v>8422</v>
      </c>
      <c r="AA3739" s="218"/>
    </row>
    <row r="3740" spans="1:27" ht="24" x14ac:dyDescent="0.25">
      <c r="A3740" s="405">
        <v>3002882</v>
      </c>
      <c r="B3740" s="406">
        <v>42549</v>
      </c>
      <c r="C3740" s="405" t="s">
        <v>5682</v>
      </c>
      <c r="D3740" s="401" t="s">
        <v>8423</v>
      </c>
      <c r="E3740" s="120">
        <v>100</v>
      </c>
      <c r="F3740" s="133" t="s">
        <v>829</v>
      </c>
      <c r="G3740" s="404" t="s">
        <v>7486</v>
      </c>
      <c r="H3740" s="411">
        <v>114</v>
      </c>
      <c r="I3740" s="89">
        <f t="shared" si="729"/>
        <v>-10.26</v>
      </c>
      <c r="J3740" s="391">
        <f t="shared" si="728"/>
        <v>-2.4659999999999997</v>
      </c>
      <c r="K3740" s="90">
        <f t="shared" si="724"/>
        <v>101.274</v>
      </c>
      <c r="L3740" s="131">
        <v>510</v>
      </c>
      <c r="M3740" s="187">
        <v>41.41</v>
      </c>
      <c r="N3740" s="91">
        <f t="shared" si="725"/>
        <v>92.41</v>
      </c>
      <c r="O3740" s="411">
        <f t="shared" si="726"/>
        <v>8.8640000000000043</v>
      </c>
      <c r="P3740" s="132" t="s">
        <v>52</v>
      </c>
      <c r="Q3740" s="232"/>
      <c r="R3740" s="411"/>
      <c r="T3740" s="134" t="s">
        <v>145</v>
      </c>
      <c r="U3740" s="267" t="s">
        <v>8424</v>
      </c>
      <c r="AA3740" s="218"/>
    </row>
    <row r="3741" spans="1:27" ht="24" x14ac:dyDescent="0.25">
      <c r="A3741" s="405">
        <v>3002883</v>
      </c>
      <c r="B3741" s="406">
        <v>42549</v>
      </c>
      <c r="C3741" s="405" t="s">
        <v>5682</v>
      </c>
      <c r="D3741" s="401" t="s">
        <v>8425</v>
      </c>
      <c r="E3741" s="120">
        <v>90</v>
      </c>
      <c r="F3741" s="133" t="s">
        <v>2416</v>
      </c>
      <c r="G3741" s="404" t="s">
        <v>7486</v>
      </c>
      <c r="H3741" s="411">
        <v>122.7</v>
      </c>
      <c r="I3741" s="89">
        <f t="shared" si="729"/>
        <v>-11.042999999999999</v>
      </c>
      <c r="J3741" s="391">
        <f t="shared" si="728"/>
        <v>-2.6313</v>
      </c>
      <c r="K3741" s="90">
        <f t="shared" si="724"/>
        <v>109.02570000000001</v>
      </c>
      <c r="L3741" s="131">
        <v>595</v>
      </c>
      <c r="M3741" s="187">
        <v>42.53</v>
      </c>
      <c r="N3741" s="91">
        <f t="shared" si="725"/>
        <v>96.08</v>
      </c>
      <c r="O3741" s="411">
        <f t="shared" si="726"/>
        <v>12.945700000000016</v>
      </c>
      <c r="P3741" s="132" t="s">
        <v>52</v>
      </c>
      <c r="Q3741" s="232"/>
      <c r="R3741" s="411"/>
      <c r="T3741" s="134" t="s">
        <v>145</v>
      </c>
      <c r="U3741" s="267" t="s">
        <v>8426</v>
      </c>
      <c r="AA3741" s="218"/>
    </row>
    <row r="3742" spans="1:27" ht="24" x14ac:dyDescent="0.25">
      <c r="A3742" s="405">
        <v>3002884</v>
      </c>
      <c r="B3742" s="406">
        <v>42549</v>
      </c>
      <c r="C3742" s="405" t="s">
        <v>5682</v>
      </c>
      <c r="D3742" s="401" t="s">
        <v>8427</v>
      </c>
      <c r="E3742" s="120">
        <v>100</v>
      </c>
      <c r="F3742" s="133" t="s">
        <v>288</v>
      </c>
      <c r="G3742" s="404" t="s">
        <v>7486</v>
      </c>
      <c r="H3742" s="411">
        <v>195.25</v>
      </c>
      <c r="I3742" s="89">
        <f t="shared" si="729"/>
        <v>-17.572499999999998</v>
      </c>
      <c r="J3742" s="391">
        <f t="shared" si="728"/>
        <v>-4.0097500000000004</v>
      </c>
      <c r="K3742" s="90">
        <f t="shared" si="724"/>
        <v>173.66775000000001</v>
      </c>
      <c r="L3742" s="131">
        <v>533.33000000000004</v>
      </c>
      <c r="M3742" s="187">
        <v>43.01</v>
      </c>
      <c r="N3742" s="91">
        <f t="shared" si="725"/>
        <v>96.343000000000004</v>
      </c>
      <c r="O3742" s="411">
        <f t="shared" si="726"/>
        <v>77.324750000000009</v>
      </c>
      <c r="P3742" s="132" t="s">
        <v>52</v>
      </c>
      <c r="Q3742" s="232"/>
      <c r="R3742" s="411"/>
      <c r="T3742" s="134" t="s">
        <v>145</v>
      </c>
      <c r="U3742" s="267" t="s">
        <v>8428</v>
      </c>
      <c r="AA3742" s="218"/>
    </row>
    <row r="3743" spans="1:27" x14ac:dyDescent="0.25">
      <c r="A3743" s="405">
        <v>3002885</v>
      </c>
      <c r="B3743" s="406">
        <v>42549</v>
      </c>
      <c r="C3743" s="405" t="s">
        <v>5682</v>
      </c>
      <c r="D3743" s="401" t="s">
        <v>8429</v>
      </c>
      <c r="E3743" s="120">
        <v>225</v>
      </c>
      <c r="F3743" s="133" t="s">
        <v>85</v>
      </c>
      <c r="G3743" s="404" t="s">
        <v>7486</v>
      </c>
      <c r="H3743" s="411">
        <v>583.91999999999996</v>
      </c>
      <c r="I3743" s="89">
        <f t="shared" si="729"/>
        <v>-52.552799999999998</v>
      </c>
      <c r="J3743" s="391">
        <f t="shared" si="728"/>
        <v>-11.39448</v>
      </c>
      <c r="K3743" s="90">
        <f t="shared" si="724"/>
        <v>519.97271999999987</v>
      </c>
      <c r="L3743" s="131">
        <v>1296</v>
      </c>
      <c r="M3743" s="187">
        <v>210</v>
      </c>
      <c r="N3743" s="91">
        <f t="shared" si="725"/>
        <v>501.6</v>
      </c>
      <c r="O3743" s="411">
        <f t="shared" si="726"/>
        <v>18.372719999999845</v>
      </c>
      <c r="P3743" s="132" t="s">
        <v>52</v>
      </c>
      <c r="Q3743" s="232"/>
      <c r="R3743" s="411"/>
      <c r="T3743" s="134" t="s">
        <v>244</v>
      </c>
      <c r="U3743" s="266" t="s">
        <v>8430</v>
      </c>
      <c r="V3743" s="133" t="s">
        <v>55</v>
      </c>
      <c r="AA3743" s="218"/>
    </row>
    <row r="3744" spans="1:27" ht="24" x14ac:dyDescent="0.25">
      <c r="A3744" s="405">
        <v>3002886</v>
      </c>
      <c r="B3744" s="406">
        <v>42549</v>
      </c>
      <c r="C3744" s="405" t="s">
        <v>5682</v>
      </c>
      <c r="D3744" s="401" t="s">
        <v>8431</v>
      </c>
      <c r="E3744" s="120">
        <v>100</v>
      </c>
      <c r="F3744" s="133" t="s">
        <v>431</v>
      </c>
      <c r="G3744" s="404" t="s">
        <v>7486</v>
      </c>
      <c r="H3744" s="411">
        <v>216.11</v>
      </c>
      <c r="I3744" s="89">
        <f t="shared" si="729"/>
        <v>-19.4499</v>
      </c>
      <c r="J3744" s="391">
        <f t="shared" si="728"/>
        <v>-4.4060899999999998</v>
      </c>
      <c r="K3744" s="90">
        <f t="shared" si="724"/>
        <v>192.25400999999999</v>
      </c>
      <c r="L3744" s="131">
        <v>1050</v>
      </c>
      <c r="M3744" s="187">
        <v>41.59</v>
      </c>
      <c r="N3744" s="91">
        <f t="shared" si="725"/>
        <v>146.59</v>
      </c>
      <c r="O3744" s="411">
        <f t="shared" si="726"/>
        <v>45.66400999999999</v>
      </c>
      <c r="P3744" s="132" t="s">
        <v>52</v>
      </c>
      <c r="Q3744" s="232"/>
      <c r="R3744" s="411"/>
      <c r="T3744" s="134" t="s">
        <v>145</v>
      </c>
      <c r="U3744" s="267" t="s">
        <v>8432</v>
      </c>
      <c r="AA3744" s="218"/>
    </row>
    <row r="3745" spans="1:27" ht="24" x14ac:dyDescent="0.25">
      <c r="A3745" s="405">
        <v>3002887</v>
      </c>
      <c r="B3745" s="406">
        <v>42549</v>
      </c>
      <c r="C3745" s="405" t="s">
        <v>5682</v>
      </c>
      <c r="D3745" s="401" t="s">
        <v>8433</v>
      </c>
      <c r="E3745" s="120">
        <v>250</v>
      </c>
      <c r="F3745" s="133" t="s">
        <v>307</v>
      </c>
      <c r="G3745" s="404" t="s">
        <v>7486</v>
      </c>
      <c r="H3745" s="411">
        <v>315.97000000000003</v>
      </c>
      <c r="I3745" s="89">
        <f t="shared" si="729"/>
        <v>-28.4373</v>
      </c>
      <c r="J3745" s="391">
        <f t="shared" si="728"/>
        <v>-6.3034300000000005</v>
      </c>
      <c r="K3745" s="90">
        <f t="shared" si="724"/>
        <v>281.22927000000004</v>
      </c>
      <c r="L3745" s="131">
        <v>690</v>
      </c>
      <c r="M3745" s="187">
        <v>48.6</v>
      </c>
      <c r="N3745" s="91">
        <f t="shared" si="725"/>
        <v>221.1</v>
      </c>
      <c r="O3745" s="411">
        <f t="shared" si="726"/>
        <v>60.129270000000048</v>
      </c>
      <c r="P3745" s="132" t="s">
        <v>52</v>
      </c>
      <c r="Q3745" s="232"/>
      <c r="R3745" s="411"/>
      <c r="T3745" s="134" t="s">
        <v>145</v>
      </c>
      <c r="U3745" s="267" t="s">
        <v>8434</v>
      </c>
      <c r="AA3745" s="218"/>
    </row>
    <row r="3746" spans="1:27" ht="24" x14ac:dyDescent="0.25">
      <c r="A3746" s="405">
        <v>3002888</v>
      </c>
      <c r="B3746" s="406">
        <v>42549</v>
      </c>
      <c r="C3746" s="405" t="s">
        <v>5682</v>
      </c>
      <c r="D3746" s="401" t="s">
        <v>8435</v>
      </c>
      <c r="E3746" s="120">
        <v>150</v>
      </c>
      <c r="F3746" s="160" t="s">
        <v>8436</v>
      </c>
      <c r="G3746" s="404" t="s">
        <v>7486</v>
      </c>
      <c r="H3746" s="411">
        <v>498.75</v>
      </c>
      <c r="I3746" s="89">
        <f t="shared" si="729"/>
        <v>-44.887499999999996</v>
      </c>
      <c r="J3746" s="391">
        <f t="shared" si="728"/>
        <v>-9.776250000000001</v>
      </c>
      <c r="K3746" s="90">
        <f t="shared" si="724"/>
        <v>444.08625000000001</v>
      </c>
      <c r="L3746" s="131">
        <v>1750</v>
      </c>
      <c r="M3746" s="187">
        <v>59.79</v>
      </c>
      <c r="N3746" s="91">
        <f t="shared" si="725"/>
        <v>322.29000000000002</v>
      </c>
      <c r="O3746" s="411">
        <f t="shared" si="726"/>
        <v>121.79624999999999</v>
      </c>
      <c r="P3746" s="132" t="s">
        <v>144</v>
      </c>
      <c r="Q3746" s="232"/>
      <c r="R3746" s="411"/>
      <c r="S3746" s="246"/>
      <c r="T3746" s="134" t="s">
        <v>145</v>
      </c>
      <c r="U3746" s="267" t="s">
        <v>8437</v>
      </c>
      <c r="AA3746" s="218"/>
    </row>
    <row r="3747" spans="1:27" ht="24" x14ac:dyDescent="0.25">
      <c r="A3747" s="405">
        <v>3002889</v>
      </c>
      <c r="B3747" s="406">
        <v>42549</v>
      </c>
      <c r="C3747" s="405" t="s">
        <v>5682</v>
      </c>
      <c r="D3747" s="401" t="s">
        <v>8438</v>
      </c>
      <c r="E3747" s="120">
        <v>125</v>
      </c>
      <c r="F3747" s="133" t="s">
        <v>227</v>
      </c>
      <c r="G3747" s="404" t="s">
        <v>7486</v>
      </c>
      <c r="H3747" s="411">
        <v>112.66</v>
      </c>
      <c r="I3747" s="89">
        <f t="shared" si="729"/>
        <v>-10.1394</v>
      </c>
      <c r="J3747" s="391">
        <f t="shared" si="728"/>
        <v>-2.4405399999999995</v>
      </c>
      <c r="K3747" s="90">
        <f t="shared" si="724"/>
        <v>100.08006</v>
      </c>
      <c r="L3747" s="131">
        <v>350</v>
      </c>
      <c r="M3747" s="187">
        <v>42.49</v>
      </c>
      <c r="N3747" s="91">
        <f t="shared" si="725"/>
        <v>86.240000000000009</v>
      </c>
      <c r="O3747" s="411">
        <f t="shared" si="726"/>
        <v>13.840059999999994</v>
      </c>
      <c r="P3747" s="132" t="s">
        <v>52</v>
      </c>
      <c r="Q3747" s="232"/>
      <c r="R3747" s="411"/>
      <c r="T3747" s="134" t="s">
        <v>145</v>
      </c>
      <c r="U3747" s="267" t="s">
        <v>8439</v>
      </c>
      <c r="AA3747" s="218"/>
    </row>
    <row r="3748" spans="1:27" ht="24" x14ac:dyDescent="0.25">
      <c r="A3748" s="405">
        <v>3002890</v>
      </c>
      <c r="B3748" s="406">
        <v>42549</v>
      </c>
      <c r="C3748" s="405" t="s">
        <v>5682</v>
      </c>
      <c r="D3748" s="401" t="s">
        <v>8440</v>
      </c>
      <c r="E3748" s="120">
        <v>160</v>
      </c>
      <c r="F3748" s="133" t="s">
        <v>247</v>
      </c>
      <c r="G3748" s="404" t="s">
        <v>7486</v>
      </c>
      <c r="H3748" s="411">
        <v>188</v>
      </c>
      <c r="I3748" s="89">
        <f t="shared" si="729"/>
        <v>-16.919999999999998</v>
      </c>
      <c r="J3748" s="391">
        <f t="shared" si="728"/>
        <v>-3.8719999999999999</v>
      </c>
      <c r="K3748" s="90">
        <f t="shared" si="724"/>
        <v>167.20800000000003</v>
      </c>
      <c r="L3748" s="131">
        <v>480</v>
      </c>
      <c r="M3748" s="187">
        <v>46.09</v>
      </c>
      <c r="N3748" s="91">
        <f t="shared" si="725"/>
        <v>122.89</v>
      </c>
      <c r="O3748" s="411">
        <f t="shared" si="726"/>
        <v>44.318000000000026</v>
      </c>
      <c r="P3748" s="132" t="s">
        <v>52</v>
      </c>
      <c r="Q3748" s="232"/>
      <c r="R3748" s="411"/>
      <c r="T3748" s="134" t="s">
        <v>145</v>
      </c>
      <c r="U3748" s="267" t="s">
        <v>8441</v>
      </c>
      <c r="AA3748" s="218"/>
    </row>
    <row r="3749" spans="1:27" ht="24" x14ac:dyDescent="0.25">
      <c r="A3749" s="405">
        <v>3002891</v>
      </c>
      <c r="B3749" s="406">
        <v>42549</v>
      </c>
      <c r="C3749" s="405" t="s">
        <v>5682</v>
      </c>
      <c r="D3749" s="401" t="s">
        <v>8442</v>
      </c>
      <c r="E3749" s="120">
        <v>100</v>
      </c>
      <c r="F3749" s="133" t="s">
        <v>939</v>
      </c>
      <c r="G3749" s="404" t="s">
        <v>7486</v>
      </c>
      <c r="H3749" s="411">
        <v>122.14</v>
      </c>
      <c r="I3749" s="89">
        <f t="shared" si="729"/>
        <v>-10.992599999999999</v>
      </c>
      <c r="J3749" s="391">
        <f t="shared" si="728"/>
        <v>-2.62066</v>
      </c>
      <c r="K3749" s="90">
        <f t="shared" si="724"/>
        <v>108.52674</v>
      </c>
      <c r="L3749" s="131">
        <v>445</v>
      </c>
      <c r="M3749" s="187">
        <v>56.29</v>
      </c>
      <c r="N3749" s="91">
        <f t="shared" si="725"/>
        <v>100.78999999999999</v>
      </c>
      <c r="O3749" s="411">
        <f t="shared" si="726"/>
        <v>7.7367400000000117</v>
      </c>
      <c r="P3749" s="132" t="s">
        <v>52</v>
      </c>
      <c r="Q3749" s="232"/>
      <c r="R3749" s="411"/>
      <c r="T3749" s="134" t="s">
        <v>145</v>
      </c>
      <c r="U3749" s="267" t="s">
        <v>8443</v>
      </c>
      <c r="AA3749" s="218"/>
    </row>
    <row r="3750" spans="1:27" ht="24" x14ac:dyDescent="0.25">
      <c r="A3750" s="405">
        <v>3002892</v>
      </c>
      <c r="B3750" s="406">
        <v>42549</v>
      </c>
      <c r="C3750" s="405" t="s">
        <v>5682</v>
      </c>
      <c r="D3750" s="401" t="s">
        <v>8444</v>
      </c>
      <c r="E3750" s="120">
        <v>150</v>
      </c>
      <c r="F3750" s="133" t="s">
        <v>247</v>
      </c>
      <c r="G3750" s="404" t="s">
        <v>7486</v>
      </c>
      <c r="H3750" s="411">
        <v>188.15</v>
      </c>
      <c r="I3750" s="89">
        <f t="shared" si="729"/>
        <v>-16.933499999999999</v>
      </c>
      <c r="J3750" s="391">
        <f t="shared" si="728"/>
        <v>-3.8748499999999999</v>
      </c>
      <c r="K3750" s="90">
        <f t="shared" si="724"/>
        <v>167.34164999999999</v>
      </c>
      <c r="L3750" s="131">
        <v>480</v>
      </c>
      <c r="M3750" s="187">
        <v>29.62</v>
      </c>
      <c r="N3750" s="91">
        <f t="shared" si="725"/>
        <v>101.62</v>
      </c>
      <c r="O3750" s="411">
        <f t="shared" si="726"/>
        <v>65.721649999999983</v>
      </c>
      <c r="P3750" s="132" t="s">
        <v>52</v>
      </c>
      <c r="Q3750" s="232"/>
      <c r="R3750" s="411"/>
      <c r="T3750" s="134" t="s">
        <v>145</v>
      </c>
      <c r="U3750" s="267" t="s">
        <v>8445</v>
      </c>
      <c r="AA3750" s="218"/>
    </row>
    <row r="3751" spans="1:27" x14ac:dyDescent="0.25">
      <c r="A3751" s="405">
        <v>3002893</v>
      </c>
      <c r="B3751" s="406">
        <v>42549</v>
      </c>
      <c r="C3751" s="405" t="s">
        <v>63</v>
      </c>
      <c r="D3751" s="401" t="s">
        <v>8446</v>
      </c>
      <c r="E3751" s="120">
        <v>2500</v>
      </c>
      <c r="F3751" s="133" t="s">
        <v>8447</v>
      </c>
      <c r="G3751" s="404" t="s">
        <v>7486</v>
      </c>
      <c r="H3751" s="411">
        <v>8125</v>
      </c>
      <c r="I3751" s="411">
        <v>0</v>
      </c>
      <c r="J3751" s="391">
        <f>-((H3751*0.022)+0.3)</f>
        <v>-179.05</v>
      </c>
      <c r="K3751" s="90">
        <f t="shared" si="724"/>
        <v>7945.95</v>
      </c>
      <c r="L3751" s="187">
        <v>1991.38</v>
      </c>
      <c r="M3751" s="131">
        <v>0</v>
      </c>
      <c r="N3751" s="91">
        <f t="shared" si="725"/>
        <v>4978.4500000000007</v>
      </c>
      <c r="O3751" s="411">
        <f t="shared" si="726"/>
        <v>2967.4999999999991</v>
      </c>
      <c r="P3751" s="132" t="s">
        <v>46</v>
      </c>
      <c r="Q3751" s="232"/>
      <c r="R3751" s="411"/>
      <c r="T3751" s="134" t="s">
        <v>3847</v>
      </c>
      <c r="U3751" s="267" t="s">
        <v>8448</v>
      </c>
      <c r="W3751" s="153" t="s">
        <v>8449</v>
      </c>
      <c r="AA3751" s="218">
        <v>50</v>
      </c>
    </row>
    <row r="3752" spans="1:27" ht="24" x14ac:dyDescent="0.25">
      <c r="A3752" s="405">
        <v>3002894</v>
      </c>
      <c r="B3752" s="406">
        <v>42549</v>
      </c>
      <c r="C3752" s="405" t="s">
        <v>5682</v>
      </c>
      <c r="D3752" s="401" t="s">
        <v>8450</v>
      </c>
      <c r="E3752" s="120">
        <v>500</v>
      </c>
      <c r="F3752" s="119" t="s">
        <v>8451</v>
      </c>
      <c r="G3752" s="404" t="s">
        <v>7486</v>
      </c>
      <c r="H3752" s="411">
        <v>351.5</v>
      </c>
      <c r="I3752" s="89">
        <f t="shared" si="729"/>
        <v>-31.634999999999998</v>
      </c>
      <c r="J3752" s="391">
        <f t="shared" si="728"/>
        <v>-6.9784999999999995</v>
      </c>
      <c r="K3752" s="90">
        <f t="shared" si="724"/>
        <v>312.88650000000001</v>
      </c>
      <c r="L3752" s="187">
        <v>372.42</v>
      </c>
      <c r="M3752" s="187">
        <v>32.32</v>
      </c>
      <c r="N3752" s="91">
        <f t="shared" si="725"/>
        <v>218.53</v>
      </c>
      <c r="O3752" s="411">
        <f t="shared" si="726"/>
        <v>94.356500000000011</v>
      </c>
      <c r="P3752" s="132" t="s">
        <v>926</v>
      </c>
      <c r="Q3752" s="232"/>
      <c r="R3752" s="411"/>
      <c r="T3752" s="134" t="s">
        <v>145</v>
      </c>
      <c r="U3752" s="267" t="s">
        <v>8452</v>
      </c>
      <c r="AA3752" s="218"/>
    </row>
    <row r="3753" spans="1:27" ht="24" x14ac:dyDescent="0.25">
      <c r="A3753" s="405">
        <v>3002895</v>
      </c>
      <c r="B3753" s="406">
        <v>42550</v>
      </c>
      <c r="C3753" s="405" t="s">
        <v>78</v>
      </c>
      <c r="D3753" s="401" t="s">
        <v>2566</v>
      </c>
      <c r="E3753" s="120">
        <v>2000</v>
      </c>
      <c r="F3753" s="133" t="s">
        <v>8453</v>
      </c>
      <c r="G3753" s="404" t="s">
        <v>7486</v>
      </c>
      <c r="H3753" s="411">
        <v>785.02</v>
      </c>
      <c r="I3753" s="411">
        <v>0</v>
      </c>
      <c r="J3753" s="391">
        <f t="shared" si="728"/>
        <v>-15.21538</v>
      </c>
      <c r="K3753" s="90">
        <f t="shared" si="724"/>
        <v>769.80462</v>
      </c>
      <c r="M3753" s="187">
        <v>49.29</v>
      </c>
      <c r="N3753" s="91">
        <f t="shared" si="725"/>
        <v>49.29</v>
      </c>
      <c r="O3753" s="411">
        <f t="shared" si="726"/>
        <v>720.51462000000004</v>
      </c>
      <c r="P3753" s="132" t="s">
        <v>52</v>
      </c>
      <c r="Q3753" s="232"/>
      <c r="R3753" s="411"/>
      <c r="T3753" s="134" t="s">
        <v>145</v>
      </c>
      <c r="U3753" s="267" t="s">
        <v>8454</v>
      </c>
      <c r="W3753" s="153" t="s">
        <v>8455</v>
      </c>
      <c r="AA3753" s="218"/>
    </row>
    <row r="3754" spans="1:27" ht="24" x14ac:dyDescent="0.25">
      <c r="A3754" s="405">
        <v>3002896</v>
      </c>
      <c r="B3754" s="406">
        <v>42550</v>
      </c>
      <c r="C3754" s="405" t="s">
        <v>327</v>
      </c>
      <c r="D3754" s="401" t="s">
        <v>8456</v>
      </c>
      <c r="E3754" s="120">
        <v>90</v>
      </c>
      <c r="F3754" s="133" t="s">
        <v>51</v>
      </c>
      <c r="G3754" s="404" t="s">
        <v>7486</v>
      </c>
      <c r="H3754" s="411">
        <v>200</v>
      </c>
      <c r="I3754" s="411">
        <v>0</v>
      </c>
      <c r="J3754" s="391">
        <f>-((H3754*0.022)+0.3)</f>
        <v>-4.6999999999999993</v>
      </c>
      <c r="K3754" s="90">
        <f t="shared" si="724"/>
        <v>195.3</v>
      </c>
      <c r="L3754" s="131">
        <v>1015</v>
      </c>
      <c r="M3754" s="187">
        <v>51.51</v>
      </c>
      <c r="N3754" s="91">
        <f t="shared" si="725"/>
        <v>142.85999999999999</v>
      </c>
      <c r="O3754" s="411">
        <f t="shared" si="726"/>
        <v>52.440000000000026</v>
      </c>
      <c r="P3754" s="132" t="s">
        <v>52</v>
      </c>
      <c r="Q3754" s="232"/>
      <c r="R3754" s="411"/>
      <c r="T3754" s="134" t="s">
        <v>145</v>
      </c>
      <c r="U3754" s="267" t="s">
        <v>8457</v>
      </c>
      <c r="W3754" s="153" t="s">
        <v>8458</v>
      </c>
      <c r="AA3754" s="218"/>
    </row>
    <row r="3755" spans="1:27" x14ac:dyDescent="0.25">
      <c r="A3755" s="405">
        <v>3002897</v>
      </c>
      <c r="B3755" s="406">
        <v>42550</v>
      </c>
      <c r="C3755" s="405" t="s">
        <v>5682</v>
      </c>
      <c r="D3755" s="401" t="s">
        <v>8459</v>
      </c>
      <c r="E3755" s="120">
        <v>500</v>
      </c>
      <c r="F3755" s="133" t="s">
        <v>1832</v>
      </c>
      <c r="G3755" s="404" t="s">
        <v>7486</v>
      </c>
      <c r="H3755" s="411">
        <v>1241.22</v>
      </c>
      <c r="I3755" s="89">
        <f t="shared" ref="I3755:I3761" si="730">-(H3755*0.09)</f>
        <v>-111.7098</v>
      </c>
      <c r="J3755" s="391">
        <f t="shared" si="728"/>
        <v>-23.883179999999999</v>
      </c>
      <c r="K3755" s="90">
        <f t="shared" si="724"/>
        <v>1105.6270199999999</v>
      </c>
      <c r="L3755" s="187">
        <v>1630</v>
      </c>
      <c r="M3755" s="131">
        <v>0</v>
      </c>
      <c r="N3755" s="91">
        <f t="shared" si="725"/>
        <v>815</v>
      </c>
      <c r="O3755" s="411">
        <f t="shared" si="726"/>
        <v>290.6270199999999</v>
      </c>
      <c r="P3755" s="132" t="s">
        <v>926</v>
      </c>
      <c r="Q3755" s="232"/>
      <c r="R3755" s="411"/>
      <c r="T3755" s="134" t="s">
        <v>314</v>
      </c>
      <c r="U3755" s="267" t="s">
        <v>8460</v>
      </c>
      <c r="AA3755" s="218"/>
    </row>
    <row r="3756" spans="1:27" ht="24" x14ac:dyDescent="0.25">
      <c r="A3756" s="405">
        <v>3002898</v>
      </c>
      <c r="B3756" s="406">
        <v>42550</v>
      </c>
      <c r="C3756" s="405" t="s">
        <v>5682</v>
      </c>
      <c r="D3756" s="401" t="s">
        <v>8461</v>
      </c>
      <c r="E3756" s="120">
        <v>50</v>
      </c>
      <c r="F3756" s="133" t="s">
        <v>161</v>
      </c>
      <c r="G3756" s="404" t="s">
        <v>7486</v>
      </c>
      <c r="H3756" s="411">
        <v>145.56</v>
      </c>
      <c r="I3756" s="89">
        <f t="shared" si="730"/>
        <v>-13.1004</v>
      </c>
      <c r="J3756" s="391">
        <f t="shared" si="728"/>
        <v>-3.0656399999999997</v>
      </c>
      <c r="K3756" s="90">
        <f t="shared" si="724"/>
        <v>129.39395999999999</v>
      </c>
      <c r="L3756" s="131">
        <v>1322</v>
      </c>
      <c r="M3756" s="187">
        <v>33.97</v>
      </c>
      <c r="N3756" s="91">
        <f t="shared" si="725"/>
        <v>100.07000000000001</v>
      </c>
      <c r="O3756" s="411">
        <f t="shared" si="726"/>
        <v>29.323959999999985</v>
      </c>
      <c r="P3756" s="132" t="s">
        <v>52</v>
      </c>
      <c r="Q3756" s="232"/>
      <c r="R3756" s="411"/>
      <c r="T3756" s="134" t="s">
        <v>145</v>
      </c>
      <c r="U3756" s="267" t="s">
        <v>8462</v>
      </c>
      <c r="AA3756" s="218"/>
    </row>
    <row r="3757" spans="1:27" ht="24" x14ac:dyDescent="0.25">
      <c r="A3757" s="405">
        <v>3002899</v>
      </c>
      <c r="B3757" s="406">
        <v>42550</v>
      </c>
      <c r="C3757" s="405" t="s">
        <v>5682</v>
      </c>
      <c r="D3757" s="401" t="s">
        <v>8463</v>
      </c>
      <c r="E3757" s="120">
        <v>195</v>
      </c>
      <c r="F3757" s="133" t="s">
        <v>247</v>
      </c>
      <c r="G3757" s="404" t="s">
        <v>7486</v>
      </c>
      <c r="H3757" s="411">
        <v>226.5</v>
      </c>
      <c r="I3757" s="89">
        <f t="shared" si="730"/>
        <v>-20.384999999999998</v>
      </c>
      <c r="J3757" s="391">
        <f t="shared" si="728"/>
        <v>-4.6034999999999995</v>
      </c>
      <c r="K3757" s="90">
        <f t="shared" si="724"/>
        <v>201.51150000000001</v>
      </c>
      <c r="L3757" s="131">
        <v>480</v>
      </c>
      <c r="M3757" s="187">
        <v>25.37</v>
      </c>
      <c r="N3757" s="91">
        <f t="shared" si="725"/>
        <v>118.97000000000001</v>
      </c>
      <c r="O3757" s="411">
        <f t="shared" si="726"/>
        <v>82.541499999999999</v>
      </c>
      <c r="P3757" s="132" t="s">
        <v>52</v>
      </c>
      <c r="Q3757" s="232"/>
      <c r="R3757" s="411"/>
      <c r="T3757" s="134" t="s">
        <v>145</v>
      </c>
      <c r="U3757" s="267" t="s">
        <v>8464</v>
      </c>
      <c r="AA3757" s="218"/>
    </row>
    <row r="3758" spans="1:27" ht="24" x14ac:dyDescent="0.25">
      <c r="A3758" s="405">
        <v>3002900</v>
      </c>
      <c r="B3758" s="406">
        <v>42550</v>
      </c>
      <c r="C3758" s="405" t="s">
        <v>5682</v>
      </c>
      <c r="D3758" s="401" t="s">
        <v>7555</v>
      </c>
      <c r="E3758" s="120">
        <v>150</v>
      </c>
      <c r="F3758" s="133" t="s">
        <v>173</v>
      </c>
      <c r="G3758" s="404" t="s">
        <v>7486</v>
      </c>
      <c r="H3758" s="411">
        <v>135.43</v>
      </c>
      <c r="I3758" s="89">
        <f t="shared" si="730"/>
        <v>-12.188700000000001</v>
      </c>
      <c r="J3758" s="391">
        <f t="shared" si="728"/>
        <v>-2.87317</v>
      </c>
      <c r="K3758" s="90">
        <f t="shared" si="724"/>
        <v>120.36813000000001</v>
      </c>
      <c r="L3758" s="131">
        <v>407</v>
      </c>
      <c r="M3758" s="187">
        <v>59.67</v>
      </c>
      <c r="N3758" s="91">
        <f t="shared" si="725"/>
        <v>120.72</v>
      </c>
      <c r="O3758" s="411">
        <f t="shared" si="726"/>
        <v>-0.35186999999999102</v>
      </c>
      <c r="P3758" s="132" t="s">
        <v>52</v>
      </c>
      <c r="Q3758" s="232"/>
      <c r="R3758" s="411"/>
      <c r="T3758" s="134" t="s">
        <v>145</v>
      </c>
      <c r="U3758" s="267" t="s">
        <v>8465</v>
      </c>
      <c r="AA3758" s="218"/>
    </row>
    <row r="3759" spans="1:27" ht="24" x14ac:dyDescent="0.25">
      <c r="A3759" s="405">
        <v>3002901</v>
      </c>
      <c r="B3759" s="406">
        <v>42550</v>
      </c>
      <c r="C3759" s="405" t="s">
        <v>5682</v>
      </c>
      <c r="D3759" s="401" t="s">
        <v>3156</v>
      </c>
      <c r="E3759" s="120">
        <v>60</v>
      </c>
      <c r="F3759" s="133" t="s">
        <v>528</v>
      </c>
      <c r="G3759" s="404" t="s">
        <v>7486</v>
      </c>
      <c r="H3759" s="411">
        <v>150.6</v>
      </c>
      <c r="I3759" s="89">
        <f t="shared" si="730"/>
        <v>-13.553999999999998</v>
      </c>
      <c r="J3759" s="391">
        <f t="shared" si="728"/>
        <v>-3.1613999999999995</v>
      </c>
      <c r="K3759" s="90">
        <f t="shared" si="724"/>
        <v>133.88460000000001</v>
      </c>
      <c r="L3759" s="131">
        <v>1021</v>
      </c>
      <c r="M3759" s="187">
        <v>41.87</v>
      </c>
      <c r="N3759" s="91">
        <f t="shared" si="725"/>
        <v>103.13</v>
      </c>
      <c r="O3759" s="411">
        <f t="shared" si="726"/>
        <v>30.754600000000011</v>
      </c>
      <c r="P3759" s="132" t="s">
        <v>52</v>
      </c>
      <c r="Q3759" s="232"/>
      <c r="R3759" s="411"/>
      <c r="T3759" s="134" t="s">
        <v>145</v>
      </c>
      <c r="U3759" s="267" t="s">
        <v>8466</v>
      </c>
      <c r="AA3759" s="218"/>
    </row>
    <row r="3760" spans="1:27" ht="24" x14ac:dyDescent="0.25">
      <c r="A3760" s="405">
        <v>3002902</v>
      </c>
      <c r="B3760" s="406">
        <v>42550</v>
      </c>
      <c r="C3760" s="405" t="s">
        <v>5682</v>
      </c>
      <c r="D3760" s="401" t="s">
        <v>7750</v>
      </c>
      <c r="E3760" s="120">
        <v>500</v>
      </c>
      <c r="F3760" s="133" t="s">
        <v>451</v>
      </c>
      <c r="G3760" s="404" t="s">
        <v>7486</v>
      </c>
      <c r="H3760" s="411">
        <v>290</v>
      </c>
      <c r="I3760" s="89">
        <f t="shared" si="730"/>
        <v>-26.099999999999998</v>
      </c>
      <c r="J3760" s="391">
        <f t="shared" si="728"/>
        <v>-5.81</v>
      </c>
      <c r="K3760" s="90">
        <f t="shared" si="724"/>
        <v>258.08999999999997</v>
      </c>
      <c r="L3760" s="131">
        <v>300</v>
      </c>
      <c r="M3760" s="187">
        <v>39.619999999999997</v>
      </c>
      <c r="N3760" s="91">
        <f t="shared" si="725"/>
        <v>189.62</v>
      </c>
      <c r="O3760" s="411">
        <f t="shared" si="726"/>
        <v>68.46999999999997</v>
      </c>
      <c r="P3760" s="132" t="s">
        <v>52</v>
      </c>
      <c r="Q3760" s="232"/>
      <c r="R3760" s="411"/>
      <c r="T3760" s="134" t="s">
        <v>145</v>
      </c>
      <c r="U3760" s="267" t="s">
        <v>8467</v>
      </c>
      <c r="AA3760" s="218"/>
    </row>
    <row r="3761" spans="1:28" ht="24" x14ac:dyDescent="0.25">
      <c r="A3761" s="405">
        <v>3002903</v>
      </c>
      <c r="B3761" s="406">
        <v>42550</v>
      </c>
      <c r="C3761" s="405" t="s">
        <v>5682</v>
      </c>
      <c r="D3761" s="401" t="s">
        <v>8468</v>
      </c>
      <c r="E3761" s="120">
        <v>100</v>
      </c>
      <c r="F3761" s="133" t="s">
        <v>207</v>
      </c>
      <c r="G3761" s="404" t="s">
        <v>7486</v>
      </c>
      <c r="H3761" s="411">
        <v>137</v>
      </c>
      <c r="I3761" s="89">
        <f t="shared" si="730"/>
        <v>-12.33</v>
      </c>
      <c r="J3761" s="391">
        <f t="shared" si="728"/>
        <v>-2.9029999999999996</v>
      </c>
      <c r="K3761" s="90">
        <f t="shared" si="724"/>
        <v>121.767</v>
      </c>
      <c r="L3761" s="131">
        <v>570</v>
      </c>
      <c r="M3761" s="187">
        <v>30.08</v>
      </c>
      <c r="N3761" s="91">
        <f t="shared" si="725"/>
        <v>87.08</v>
      </c>
      <c r="O3761" s="411">
        <f t="shared" si="726"/>
        <v>34.686999999999998</v>
      </c>
      <c r="P3761" s="132" t="s">
        <v>52</v>
      </c>
      <c r="Q3761" s="232"/>
      <c r="R3761" s="411">
        <v>10.15</v>
      </c>
      <c r="S3761" s="133" t="s">
        <v>502</v>
      </c>
      <c r="T3761" s="134" t="s">
        <v>145</v>
      </c>
      <c r="U3761" s="267" t="s">
        <v>8469</v>
      </c>
      <c r="AA3761" s="218"/>
    </row>
    <row r="3762" spans="1:28" x14ac:dyDescent="0.25">
      <c r="A3762" s="405">
        <v>3002904</v>
      </c>
      <c r="B3762" s="406">
        <v>42550</v>
      </c>
      <c r="C3762" s="405" t="s">
        <v>237</v>
      </c>
      <c r="D3762" s="401" t="s">
        <v>8470</v>
      </c>
      <c r="E3762" s="120">
        <v>50</v>
      </c>
      <c r="F3762" s="133" t="s">
        <v>431</v>
      </c>
      <c r="G3762" s="193" t="s">
        <v>4</v>
      </c>
      <c r="H3762" s="411">
        <v>0</v>
      </c>
      <c r="I3762" s="397">
        <f t="shared" ref="I3762:I3768" si="731">-(H3762*0.15)</f>
        <v>0</v>
      </c>
      <c r="J3762" s="411">
        <v>0</v>
      </c>
      <c r="K3762" s="90">
        <f t="shared" si="724"/>
        <v>0</v>
      </c>
      <c r="L3762" s="131">
        <v>0</v>
      </c>
      <c r="N3762" s="91">
        <f t="shared" si="725"/>
        <v>0</v>
      </c>
      <c r="O3762" s="411">
        <f t="shared" si="726"/>
        <v>0</v>
      </c>
      <c r="P3762" s="132" t="s">
        <v>1229</v>
      </c>
      <c r="Q3762" s="232"/>
      <c r="R3762" s="411"/>
      <c r="T3762" s="134"/>
      <c r="U3762" s="266"/>
      <c r="AA3762" s="218"/>
    </row>
    <row r="3763" spans="1:28" ht="24" x14ac:dyDescent="0.25">
      <c r="A3763" s="405">
        <v>3002905</v>
      </c>
      <c r="B3763" s="406">
        <v>42550</v>
      </c>
      <c r="C3763" s="405" t="s">
        <v>237</v>
      </c>
      <c r="D3763" s="401" t="s">
        <v>8471</v>
      </c>
      <c r="E3763" s="120">
        <v>300</v>
      </c>
      <c r="F3763" s="133" t="s">
        <v>247</v>
      </c>
      <c r="G3763" s="404" t="s">
        <v>7486</v>
      </c>
      <c r="H3763" s="411">
        <v>282.89</v>
      </c>
      <c r="I3763" s="397">
        <f t="shared" si="731"/>
        <v>-42.433499999999995</v>
      </c>
      <c r="J3763" s="411">
        <v>0</v>
      </c>
      <c r="K3763" s="90">
        <f t="shared" si="724"/>
        <v>240.45650000000001</v>
      </c>
      <c r="L3763" s="131">
        <v>480</v>
      </c>
      <c r="M3763" s="187">
        <v>35.81</v>
      </c>
      <c r="N3763" s="91">
        <f t="shared" si="725"/>
        <v>179.81</v>
      </c>
      <c r="O3763" s="411">
        <f t="shared" si="726"/>
        <v>60.646500000000003</v>
      </c>
      <c r="P3763" s="132" t="s">
        <v>52</v>
      </c>
      <c r="Q3763" s="232"/>
      <c r="R3763" s="411"/>
      <c r="T3763" s="134" t="s">
        <v>145</v>
      </c>
      <c r="U3763" s="267" t="s">
        <v>8472</v>
      </c>
      <c r="AA3763" s="218"/>
    </row>
    <row r="3764" spans="1:28" x14ac:dyDescent="0.25">
      <c r="A3764" s="419">
        <v>3002906</v>
      </c>
      <c r="B3764" s="421">
        <v>42550</v>
      </c>
      <c r="C3764" s="419" t="s">
        <v>237</v>
      </c>
      <c r="D3764" s="417" t="s">
        <v>8473</v>
      </c>
      <c r="E3764" s="120">
        <v>500</v>
      </c>
      <c r="F3764" s="133" t="s">
        <v>8474</v>
      </c>
      <c r="G3764" s="434" t="s">
        <v>7486</v>
      </c>
      <c r="H3764" s="427">
        <v>209.16</v>
      </c>
      <c r="I3764" s="452">
        <f t="shared" si="731"/>
        <v>-31.373999999999999</v>
      </c>
      <c r="J3764" s="427">
        <v>0</v>
      </c>
      <c r="K3764" s="425">
        <f t="shared" si="724"/>
        <v>177.786</v>
      </c>
      <c r="L3764" s="187">
        <v>95</v>
      </c>
      <c r="M3764" s="187">
        <v>19.11</v>
      </c>
      <c r="N3764" s="91">
        <f t="shared" ref="N3764:N3828" si="732">((L3764)*(E3764*0.001))+M3764</f>
        <v>66.61</v>
      </c>
      <c r="O3764" s="411">
        <f t="shared" si="726"/>
        <v>111.176</v>
      </c>
      <c r="P3764" s="132" t="s">
        <v>235</v>
      </c>
      <c r="Q3764" s="232"/>
      <c r="R3764" s="411"/>
      <c r="T3764" s="439" t="s">
        <v>145</v>
      </c>
      <c r="U3764" s="267" t="s">
        <v>8475</v>
      </c>
      <c r="AA3764" s="218"/>
    </row>
    <row r="3765" spans="1:28" x14ac:dyDescent="0.25">
      <c r="A3765" s="420"/>
      <c r="B3765" s="422"/>
      <c r="C3765" s="420"/>
      <c r="D3765" s="418"/>
      <c r="E3765" s="120">
        <v>500</v>
      </c>
      <c r="F3765" s="133" t="s">
        <v>8476</v>
      </c>
      <c r="G3765" s="436"/>
      <c r="H3765" s="428"/>
      <c r="I3765" s="453"/>
      <c r="J3765" s="428"/>
      <c r="K3765" s="426"/>
      <c r="L3765" s="187">
        <v>95</v>
      </c>
      <c r="M3765" s="187">
        <v>17.989999999999998</v>
      </c>
      <c r="N3765" s="91">
        <f t="shared" si="732"/>
        <v>65.489999999999995</v>
      </c>
      <c r="O3765" s="411">
        <f t="shared" si="726"/>
        <v>-65.489999999999995</v>
      </c>
      <c r="P3765" s="132" t="s">
        <v>235</v>
      </c>
      <c r="Q3765" s="232"/>
      <c r="R3765" s="411"/>
      <c r="T3765" s="441"/>
      <c r="U3765" s="267" t="s">
        <v>8477</v>
      </c>
      <c r="AA3765" s="218"/>
    </row>
    <row r="3766" spans="1:28" ht="24" x14ac:dyDescent="0.25">
      <c r="A3766" s="405">
        <v>3002907</v>
      </c>
      <c r="B3766" s="406">
        <v>42550</v>
      </c>
      <c r="C3766" s="405" t="s">
        <v>237</v>
      </c>
      <c r="D3766" s="401" t="s">
        <v>8478</v>
      </c>
      <c r="E3766" s="120">
        <v>500</v>
      </c>
      <c r="F3766" s="133" t="s">
        <v>4665</v>
      </c>
      <c r="G3766" s="404" t="s">
        <v>7486</v>
      </c>
      <c r="H3766" s="411">
        <v>160.53</v>
      </c>
      <c r="I3766" s="397">
        <f t="shared" si="731"/>
        <v>-24.079499999999999</v>
      </c>
      <c r="J3766" s="411">
        <v>0</v>
      </c>
      <c r="K3766" s="90">
        <f t="shared" si="724"/>
        <v>136.45050000000001</v>
      </c>
      <c r="L3766" s="187">
        <v>250</v>
      </c>
      <c r="M3766" s="187">
        <v>41.66</v>
      </c>
      <c r="N3766" s="91">
        <f t="shared" si="732"/>
        <v>166.66</v>
      </c>
      <c r="O3766" s="411">
        <f t="shared" si="726"/>
        <v>-30.209499999999991</v>
      </c>
      <c r="P3766" s="132" t="s">
        <v>183</v>
      </c>
      <c r="Q3766" s="232"/>
      <c r="R3766" s="411"/>
      <c r="T3766" s="134" t="s">
        <v>324</v>
      </c>
      <c r="U3766" s="266" t="s">
        <v>8479</v>
      </c>
      <c r="AA3766" s="218"/>
    </row>
    <row r="3767" spans="1:28" ht="24" x14ac:dyDescent="0.25">
      <c r="A3767" s="405">
        <v>3002908</v>
      </c>
      <c r="B3767" s="406">
        <v>42550</v>
      </c>
      <c r="C3767" s="405" t="s">
        <v>237</v>
      </c>
      <c r="D3767" s="401" t="s">
        <v>8480</v>
      </c>
      <c r="E3767" s="120">
        <v>100</v>
      </c>
      <c r="F3767" s="133" t="s">
        <v>288</v>
      </c>
      <c r="G3767" s="404" t="s">
        <v>7486</v>
      </c>
      <c r="H3767" s="411">
        <v>193.04</v>
      </c>
      <c r="I3767" s="397">
        <f t="shared" si="731"/>
        <v>-28.955999999999996</v>
      </c>
      <c r="J3767" s="411">
        <v>0</v>
      </c>
      <c r="K3767" s="90">
        <f t="shared" si="724"/>
        <v>164.084</v>
      </c>
      <c r="L3767" s="131">
        <v>533.33000000000004</v>
      </c>
      <c r="M3767" s="187">
        <v>34.29</v>
      </c>
      <c r="N3767" s="91">
        <f t="shared" si="732"/>
        <v>87.623000000000005</v>
      </c>
      <c r="O3767" s="411">
        <f t="shared" si="726"/>
        <v>76.460999999999999</v>
      </c>
      <c r="P3767" s="132" t="s">
        <v>52</v>
      </c>
      <c r="Q3767" s="232"/>
      <c r="R3767" s="411"/>
      <c r="T3767" s="134" t="s">
        <v>145</v>
      </c>
      <c r="U3767" s="267" t="s">
        <v>8481</v>
      </c>
      <c r="AA3767" s="218"/>
    </row>
    <row r="3768" spans="1:28" ht="24" x14ac:dyDescent="0.25">
      <c r="A3768" s="405">
        <v>3002909</v>
      </c>
      <c r="B3768" s="406">
        <v>42550</v>
      </c>
      <c r="C3768" s="405" t="s">
        <v>237</v>
      </c>
      <c r="D3768" s="401" t="s">
        <v>8482</v>
      </c>
      <c r="E3768" s="120">
        <v>65</v>
      </c>
      <c r="F3768" s="133" t="s">
        <v>161</v>
      </c>
      <c r="G3768" s="404" t="s">
        <v>7486</v>
      </c>
      <c r="H3768" s="411">
        <v>134.34</v>
      </c>
      <c r="I3768" s="397">
        <f t="shared" si="731"/>
        <v>-20.151</v>
      </c>
      <c r="J3768" s="411">
        <v>0</v>
      </c>
      <c r="K3768" s="90">
        <f t="shared" si="724"/>
        <v>114.18900000000001</v>
      </c>
      <c r="L3768" s="131">
        <v>1322</v>
      </c>
      <c r="M3768" s="187">
        <v>40.700000000000003</v>
      </c>
      <c r="N3768" s="91">
        <f t="shared" si="732"/>
        <v>126.63000000000001</v>
      </c>
      <c r="O3768" s="411">
        <f t="shared" si="726"/>
        <v>-12.441000000000003</v>
      </c>
      <c r="P3768" s="132" t="s">
        <v>52</v>
      </c>
      <c r="Q3768" s="232"/>
      <c r="R3768" s="411"/>
      <c r="T3768" s="134" t="s">
        <v>145</v>
      </c>
      <c r="U3768" s="267" t="s">
        <v>8483</v>
      </c>
      <c r="AA3768" s="218"/>
    </row>
    <row r="3769" spans="1:28" ht="24" x14ac:dyDescent="0.25">
      <c r="A3769" s="405">
        <v>3002910</v>
      </c>
      <c r="B3769" s="406">
        <v>42550</v>
      </c>
      <c r="C3769" s="405" t="s">
        <v>5682</v>
      </c>
      <c r="D3769" s="401" t="s">
        <v>8484</v>
      </c>
      <c r="E3769" s="120">
        <v>250</v>
      </c>
      <c r="F3769" s="133" t="s">
        <v>1472</v>
      </c>
      <c r="G3769" s="404" t="s">
        <v>7486</v>
      </c>
      <c r="H3769" s="411">
        <v>133</v>
      </c>
      <c r="I3769" s="89">
        <f t="shared" ref="I3769:I3771" si="733">-(H3769*0.09)</f>
        <v>-11.969999999999999</v>
      </c>
      <c r="J3769" s="391">
        <f t="shared" ref="J3769:J3771" si="734">-((H3769*0.019)+0.3)</f>
        <v>-2.827</v>
      </c>
      <c r="K3769" s="90">
        <f t="shared" si="724"/>
        <v>118.203</v>
      </c>
      <c r="L3769" s="131">
        <v>210</v>
      </c>
      <c r="M3769" s="187">
        <v>39.58</v>
      </c>
      <c r="N3769" s="91">
        <f t="shared" si="732"/>
        <v>92.08</v>
      </c>
      <c r="O3769" s="411">
        <f t="shared" si="726"/>
        <v>26.123000000000005</v>
      </c>
      <c r="P3769" s="132" t="s">
        <v>52</v>
      </c>
      <c r="Q3769" s="232"/>
      <c r="R3769" s="411"/>
      <c r="T3769" s="134" t="s">
        <v>145</v>
      </c>
      <c r="U3769" s="267" t="s">
        <v>8485</v>
      </c>
      <c r="AA3769" s="218"/>
    </row>
    <row r="3770" spans="1:28" x14ac:dyDescent="0.25">
      <c r="A3770" s="405">
        <v>3002911</v>
      </c>
      <c r="B3770" s="406">
        <v>42550</v>
      </c>
      <c r="C3770" s="405" t="s">
        <v>555</v>
      </c>
      <c r="D3770" s="401" t="s">
        <v>8486</v>
      </c>
      <c r="E3770" s="120">
        <v>330</v>
      </c>
      <c r="F3770" s="133" t="s">
        <v>8487</v>
      </c>
      <c r="G3770" s="404" t="s">
        <v>7486</v>
      </c>
      <c r="H3770" s="411">
        <v>2739</v>
      </c>
      <c r="I3770" s="411">
        <v>0</v>
      </c>
      <c r="J3770" s="411">
        <v>0</v>
      </c>
      <c r="K3770" s="90">
        <f t="shared" si="724"/>
        <v>2739</v>
      </c>
      <c r="L3770" s="187">
        <v>4853.6899999999996</v>
      </c>
      <c r="M3770" s="187">
        <v>211.47</v>
      </c>
      <c r="N3770" s="91">
        <f t="shared" si="732"/>
        <v>1813.1876999999999</v>
      </c>
      <c r="O3770" s="411">
        <f t="shared" si="726"/>
        <v>925.81230000000005</v>
      </c>
      <c r="P3770" s="132" t="s">
        <v>46</v>
      </c>
      <c r="Q3770" s="232"/>
      <c r="R3770" s="411"/>
      <c r="T3770" s="134" t="s">
        <v>244</v>
      </c>
      <c r="U3770" s="266" t="s">
        <v>8488</v>
      </c>
      <c r="V3770" s="133" t="s">
        <v>55</v>
      </c>
      <c r="W3770" s="153" t="s">
        <v>8489</v>
      </c>
      <c r="AA3770" s="218">
        <v>10</v>
      </c>
      <c r="AB3770" s="247"/>
    </row>
    <row r="3771" spans="1:28" ht="24" x14ac:dyDescent="0.25">
      <c r="A3771" s="405">
        <v>3002912</v>
      </c>
      <c r="B3771" s="406">
        <v>42550</v>
      </c>
      <c r="C3771" s="405" t="s">
        <v>5682</v>
      </c>
      <c r="D3771" s="401" t="s">
        <v>8490</v>
      </c>
      <c r="E3771" s="120">
        <v>250</v>
      </c>
      <c r="F3771" s="133" t="s">
        <v>307</v>
      </c>
      <c r="G3771" s="404" t="s">
        <v>7486</v>
      </c>
      <c r="H3771" s="411">
        <v>315.97000000000003</v>
      </c>
      <c r="I3771" s="89">
        <f t="shared" si="733"/>
        <v>-28.4373</v>
      </c>
      <c r="J3771" s="391">
        <f t="shared" si="734"/>
        <v>-6.3034300000000005</v>
      </c>
      <c r="K3771" s="90">
        <f t="shared" si="724"/>
        <v>281.22927000000004</v>
      </c>
      <c r="L3771" s="131">
        <v>690</v>
      </c>
      <c r="M3771" s="187">
        <v>44.52</v>
      </c>
      <c r="N3771" s="91">
        <f t="shared" si="732"/>
        <v>217.02</v>
      </c>
      <c r="O3771" s="411">
        <f t="shared" si="726"/>
        <v>64.209270000000032</v>
      </c>
      <c r="P3771" s="132" t="s">
        <v>52</v>
      </c>
      <c r="Q3771" s="232"/>
      <c r="R3771" s="411"/>
      <c r="T3771" s="134" t="s">
        <v>145</v>
      </c>
      <c r="U3771" s="267" t="s">
        <v>8491</v>
      </c>
      <c r="AA3771" s="218"/>
    </row>
    <row r="3772" spans="1:28" ht="24" x14ac:dyDescent="0.25">
      <c r="A3772" s="405">
        <v>3002913</v>
      </c>
      <c r="B3772" s="406">
        <v>42550</v>
      </c>
      <c r="C3772" s="405" t="s">
        <v>141</v>
      </c>
      <c r="D3772" s="401" t="s">
        <v>8492</v>
      </c>
      <c r="E3772" s="120">
        <v>50</v>
      </c>
      <c r="F3772" s="133" t="s">
        <v>161</v>
      </c>
      <c r="G3772" s="404" t="s">
        <v>7486</v>
      </c>
      <c r="H3772" s="411">
        <v>132</v>
      </c>
      <c r="I3772" s="411">
        <v>0</v>
      </c>
      <c r="J3772" s="391">
        <f>-((H3772*0.0325)+0.3)</f>
        <v>-4.59</v>
      </c>
      <c r="K3772" s="90">
        <f t="shared" si="724"/>
        <v>127.41</v>
      </c>
      <c r="L3772" s="131">
        <v>1322</v>
      </c>
      <c r="M3772" s="187">
        <v>21.18</v>
      </c>
      <c r="N3772" s="91">
        <f t="shared" si="732"/>
        <v>87.28</v>
      </c>
      <c r="O3772" s="411">
        <f t="shared" si="726"/>
        <v>40.129999999999995</v>
      </c>
      <c r="P3772" s="132" t="s">
        <v>52</v>
      </c>
      <c r="Q3772" s="232"/>
      <c r="R3772" s="411"/>
      <c r="T3772" s="134" t="s">
        <v>145</v>
      </c>
      <c r="U3772" s="267" t="s">
        <v>8493</v>
      </c>
      <c r="W3772" s="153" t="s">
        <v>8494</v>
      </c>
      <c r="AA3772" s="218"/>
    </row>
    <row r="3773" spans="1:28" ht="24" x14ac:dyDescent="0.25">
      <c r="A3773" s="405">
        <v>3002914</v>
      </c>
      <c r="B3773" s="406">
        <v>42550</v>
      </c>
      <c r="C3773" s="405" t="s">
        <v>63</v>
      </c>
      <c r="D3773" s="401" t="s">
        <v>8495</v>
      </c>
      <c r="E3773" s="120">
        <v>43</v>
      </c>
      <c r="F3773" s="133" t="s">
        <v>8496</v>
      </c>
      <c r="G3773" s="404" t="s">
        <v>7486</v>
      </c>
      <c r="H3773" s="411">
        <v>1204</v>
      </c>
      <c r="I3773" s="411">
        <v>0</v>
      </c>
      <c r="J3773" s="391">
        <f>-((H3773*0.022)+0.3)</f>
        <v>-26.788</v>
      </c>
      <c r="K3773" s="90">
        <f t="shared" si="724"/>
        <v>1177.212</v>
      </c>
      <c r="L3773" s="187">
        <v>12000</v>
      </c>
      <c r="M3773" s="131">
        <v>0</v>
      </c>
      <c r="N3773" s="91">
        <f t="shared" si="732"/>
        <v>516</v>
      </c>
      <c r="O3773" s="411">
        <f t="shared" si="726"/>
        <v>661.21199999999999</v>
      </c>
      <c r="P3773" s="132" t="s">
        <v>2816</v>
      </c>
      <c r="Q3773" s="232"/>
      <c r="R3773" s="411"/>
      <c r="T3773" s="134" t="s">
        <v>5026</v>
      </c>
      <c r="U3773" s="267" t="s">
        <v>8497</v>
      </c>
      <c r="W3773" s="153" t="s">
        <v>8498</v>
      </c>
      <c r="AA3773" s="218">
        <v>10</v>
      </c>
    </row>
    <row r="3774" spans="1:28" ht="24" x14ac:dyDescent="0.25">
      <c r="A3774" s="405">
        <v>3002915</v>
      </c>
      <c r="B3774" s="406">
        <v>42551</v>
      </c>
      <c r="C3774" s="405" t="s">
        <v>63</v>
      </c>
      <c r="D3774" s="401" t="s">
        <v>8499</v>
      </c>
      <c r="E3774" s="120">
        <v>5</v>
      </c>
      <c r="F3774" s="119" t="s">
        <v>8500</v>
      </c>
      <c r="G3774" s="404" t="s">
        <v>7486</v>
      </c>
      <c r="H3774" s="411">
        <v>869.04</v>
      </c>
      <c r="I3774" s="411">
        <v>0</v>
      </c>
      <c r="J3774" s="391">
        <f>-((H3774*0.022)+0.3)</f>
        <v>-19.418879999999998</v>
      </c>
      <c r="K3774" s="90">
        <f t="shared" si="724"/>
        <v>849.62112000000002</v>
      </c>
      <c r="L3774" s="187">
        <v>84000</v>
      </c>
      <c r="M3774" s="187">
        <v>0</v>
      </c>
      <c r="N3774" s="91">
        <f t="shared" si="732"/>
        <v>420</v>
      </c>
      <c r="O3774" s="411">
        <f t="shared" si="726"/>
        <v>429.62112000000002</v>
      </c>
      <c r="P3774" s="132" t="s">
        <v>601</v>
      </c>
      <c r="Q3774" s="232"/>
      <c r="R3774" s="411">
        <v>69.040000000000006</v>
      </c>
      <c r="S3774" s="133" t="s">
        <v>52</v>
      </c>
      <c r="T3774" s="134" t="s">
        <v>204</v>
      </c>
      <c r="U3774" s="266" t="s">
        <v>8501</v>
      </c>
      <c r="W3774" s="153" t="s">
        <v>8502</v>
      </c>
      <c r="AA3774" s="218"/>
    </row>
    <row r="3775" spans="1:28" ht="24" x14ac:dyDescent="0.25">
      <c r="A3775" s="405">
        <v>3002916</v>
      </c>
      <c r="B3775" s="406">
        <v>42551</v>
      </c>
      <c r="C3775" s="405" t="s">
        <v>63</v>
      </c>
      <c r="D3775" s="401" t="s">
        <v>8503</v>
      </c>
      <c r="E3775" s="120">
        <v>60</v>
      </c>
      <c r="F3775" s="133" t="s">
        <v>431</v>
      </c>
      <c r="G3775" s="404" t="s">
        <v>7486</v>
      </c>
      <c r="H3775" s="411">
        <v>158.76</v>
      </c>
      <c r="I3775" s="411">
        <v>0</v>
      </c>
      <c r="J3775" s="391">
        <f>-((H3775*0.022)+0.3)</f>
        <v>-3.7927199999999992</v>
      </c>
      <c r="K3775" s="90">
        <f t="shared" si="724"/>
        <v>154.96727999999999</v>
      </c>
      <c r="L3775" s="131">
        <v>990</v>
      </c>
      <c r="M3775" s="187">
        <v>35.229999999999997</v>
      </c>
      <c r="N3775" s="91">
        <f t="shared" si="732"/>
        <v>94.63</v>
      </c>
      <c r="O3775" s="411">
        <f t="shared" si="726"/>
        <v>60.337279999999993</v>
      </c>
      <c r="P3775" s="132" t="s">
        <v>52</v>
      </c>
      <c r="Q3775" s="232"/>
      <c r="R3775" s="411"/>
      <c r="T3775" s="134" t="s">
        <v>145</v>
      </c>
      <c r="U3775" s="267" t="s">
        <v>8504</v>
      </c>
      <c r="W3775" s="153" t="s">
        <v>8505</v>
      </c>
      <c r="AA3775" s="218"/>
    </row>
    <row r="3776" spans="1:28" x14ac:dyDescent="0.25">
      <c r="A3776" s="419">
        <v>3002917</v>
      </c>
      <c r="B3776" s="421">
        <v>42551</v>
      </c>
      <c r="C3776" s="419" t="s">
        <v>63</v>
      </c>
      <c r="D3776" s="417" t="s">
        <v>8506</v>
      </c>
      <c r="E3776" s="120">
        <v>1000</v>
      </c>
      <c r="F3776" s="133" t="s">
        <v>300</v>
      </c>
      <c r="G3776" s="434" t="s">
        <v>7486</v>
      </c>
      <c r="H3776" s="427">
        <v>8303.5</v>
      </c>
      <c r="I3776" s="427">
        <v>0</v>
      </c>
      <c r="J3776" s="425">
        <f>-((H3776*0.022)+0.3)</f>
        <v>-182.977</v>
      </c>
      <c r="K3776" s="425">
        <f t="shared" si="724"/>
        <v>8120.5230000000001</v>
      </c>
      <c r="L3776" s="131">
        <v>2150</v>
      </c>
      <c r="M3776" s="468">
        <v>511.22</v>
      </c>
      <c r="N3776" s="91">
        <f t="shared" si="732"/>
        <v>2661.2200000000003</v>
      </c>
      <c r="O3776" s="411">
        <f t="shared" si="726"/>
        <v>5459.3029999999999</v>
      </c>
      <c r="P3776" s="132" t="s">
        <v>52</v>
      </c>
      <c r="Q3776" s="232"/>
      <c r="R3776" s="411"/>
      <c r="T3776" s="439" t="s">
        <v>97</v>
      </c>
      <c r="U3776" s="446" t="s">
        <v>8507</v>
      </c>
      <c r="V3776" s="133" t="s">
        <v>55</v>
      </c>
      <c r="W3776" s="153" t="s">
        <v>8508</v>
      </c>
      <c r="AA3776" s="473">
        <v>50</v>
      </c>
    </row>
    <row r="3777" spans="1:27" x14ac:dyDescent="0.25">
      <c r="A3777" s="420"/>
      <c r="B3777" s="422"/>
      <c r="C3777" s="420"/>
      <c r="D3777" s="418"/>
      <c r="E3777" s="120">
        <v>755</v>
      </c>
      <c r="F3777" s="133" t="s">
        <v>860</v>
      </c>
      <c r="G3777" s="436"/>
      <c r="H3777" s="428"/>
      <c r="I3777" s="428"/>
      <c r="J3777" s="426"/>
      <c r="K3777" s="426"/>
      <c r="L3777" s="131">
        <v>3300</v>
      </c>
      <c r="M3777" s="469"/>
      <c r="N3777" s="91">
        <f t="shared" si="732"/>
        <v>2491.5</v>
      </c>
      <c r="O3777" s="411">
        <f t="shared" si="726"/>
        <v>-2491.5</v>
      </c>
      <c r="P3777" s="132" t="s">
        <v>52</v>
      </c>
      <c r="Q3777" s="232"/>
      <c r="R3777" s="411"/>
      <c r="T3777" s="441"/>
      <c r="U3777" s="447"/>
      <c r="AA3777" s="474"/>
    </row>
    <row r="3778" spans="1:27" ht="24" x14ac:dyDescent="0.25">
      <c r="A3778" s="405">
        <v>3002918</v>
      </c>
      <c r="B3778" s="406">
        <v>42551</v>
      </c>
      <c r="C3778" s="405" t="s">
        <v>5682</v>
      </c>
      <c r="D3778" s="401" t="s">
        <v>8509</v>
      </c>
      <c r="E3778" s="120">
        <v>100</v>
      </c>
      <c r="F3778" s="133" t="s">
        <v>161</v>
      </c>
      <c r="G3778" s="404" t="s">
        <v>7486</v>
      </c>
      <c r="H3778" s="411">
        <v>230</v>
      </c>
      <c r="I3778" s="89">
        <f t="shared" ref="I3778:I3786" si="735">-(H3778*0.09)</f>
        <v>-20.7</v>
      </c>
      <c r="J3778" s="391">
        <f t="shared" ref="J3778:J3786" si="736">-((H3778*0.019)+0.3)</f>
        <v>-4.67</v>
      </c>
      <c r="K3778" s="90">
        <f t="shared" si="724"/>
        <v>204.63000000000002</v>
      </c>
      <c r="L3778" s="131">
        <v>1322</v>
      </c>
      <c r="M3778" s="187">
        <v>30.62</v>
      </c>
      <c r="N3778" s="91">
        <f t="shared" si="732"/>
        <v>162.82000000000002</v>
      </c>
      <c r="O3778" s="411">
        <f t="shared" si="726"/>
        <v>41.81</v>
      </c>
      <c r="P3778" s="132" t="s">
        <v>52</v>
      </c>
      <c r="Q3778" s="232"/>
      <c r="R3778" s="411"/>
      <c r="T3778" s="134" t="s">
        <v>145</v>
      </c>
      <c r="U3778" s="267" t="s">
        <v>8510</v>
      </c>
      <c r="AA3778" s="218"/>
    </row>
    <row r="3779" spans="1:27" ht="24" x14ac:dyDescent="0.25">
      <c r="A3779" s="405">
        <v>3002919</v>
      </c>
      <c r="B3779" s="406">
        <v>42551</v>
      </c>
      <c r="C3779" s="405" t="s">
        <v>5682</v>
      </c>
      <c r="D3779" s="401" t="s">
        <v>8511</v>
      </c>
      <c r="E3779" s="120">
        <v>50</v>
      </c>
      <c r="F3779" s="133" t="s">
        <v>1991</v>
      </c>
      <c r="G3779" s="404" t="s">
        <v>7486</v>
      </c>
      <c r="H3779" s="411">
        <v>292.89999999999998</v>
      </c>
      <c r="I3779" s="89">
        <f t="shared" si="735"/>
        <v>-26.360999999999997</v>
      </c>
      <c r="J3779" s="391">
        <f t="shared" si="736"/>
        <v>-5.8650999999999991</v>
      </c>
      <c r="K3779" s="90">
        <f t="shared" si="724"/>
        <v>260.6739</v>
      </c>
      <c r="L3779" s="187">
        <v>2970</v>
      </c>
      <c r="M3779" s="187">
        <v>29.74</v>
      </c>
      <c r="N3779" s="91">
        <f t="shared" si="732"/>
        <v>178.24</v>
      </c>
      <c r="O3779" s="411">
        <f t="shared" si="726"/>
        <v>82.433899999999994</v>
      </c>
      <c r="P3779" s="132" t="s">
        <v>183</v>
      </c>
      <c r="Q3779" s="232"/>
      <c r="R3779" s="411"/>
      <c r="T3779" s="134" t="s">
        <v>324</v>
      </c>
      <c r="U3779" s="266" t="s">
        <v>8512</v>
      </c>
      <c r="AA3779" s="218"/>
    </row>
    <row r="3780" spans="1:27" ht="24" x14ac:dyDescent="0.25">
      <c r="A3780" s="405">
        <v>3002920</v>
      </c>
      <c r="B3780" s="406">
        <v>42551</v>
      </c>
      <c r="C3780" s="405" t="s">
        <v>5682</v>
      </c>
      <c r="D3780" s="401" t="s">
        <v>8053</v>
      </c>
      <c r="E3780" s="120">
        <v>500</v>
      </c>
      <c r="F3780" s="133" t="s">
        <v>165</v>
      </c>
      <c r="G3780" s="404" t="s">
        <v>7486</v>
      </c>
      <c r="H3780" s="411">
        <v>484.53</v>
      </c>
      <c r="I3780" s="89">
        <f t="shared" si="735"/>
        <v>-43.607699999999994</v>
      </c>
      <c r="J3780" s="391">
        <f t="shared" si="736"/>
        <v>-9.5060699999999994</v>
      </c>
      <c r="K3780" s="90">
        <f t="shared" si="724"/>
        <v>431.41622999999993</v>
      </c>
      <c r="L3780" s="131">
        <v>375</v>
      </c>
      <c r="M3780" s="187">
        <v>45.44</v>
      </c>
      <c r="N3780" s="91">
        <f t="shared" si="732"/>
        <v>232.94</v>
      </c>
      <c r="O3780" s="411">
        <f t="shared" si="726"/>
        <v>198.47622999999993</v>
      </c>
      <c r="P3780" s="132" t="s">
        <v>52</v>
      </c>
      <c r="Q3780" s="232"/>
      <c r="R3780" s="411"/>
      <c r="T3780" s="134" t="s">
        <v>145</v>
      </c>
      <c r="U3780" s="267" t="s">
        <v>8513</v>
      </c>
      <c r="AA3780" s="218"/>
    </row>
    <row r="3781" spans="1:27" ht="24" x14ac:dyDescent="0.25">
      <c r="A3781" s="405">
        <v>3002921</v>
      </c>
      <c r="B3781" s="406">
        <v>42551</v>
      </c>
      <c r="C3781" s="405" t="s">
        <v>5682</v>
      </c>
      <c r="D3781" s="401" t="s">
        <v>8514</v>
      </c>
      <c r="E3781" s="120">
        <v>125</v>
      </c>
      <c r="F3781" s="133" t="s">
        <v>877</v>
      </c>
      <c r="G3781" s="404" t="s">
        <v>7486</v>
      </c>
      <c r="H3781" s="411">
        <v>125.08</v>
      </c>
      <c r="I3781" s="89">
        <f t="shared" si="735"/>
        <v>-11.257199999999999</v>
      </c>
      <c r="J3781" s="391">
        <f t="shared" si="736"/>
        <v>-2.6765199999999996</v>
      </c>
      <c r="K3781" s="90">
        <f t="shared" si="724"/>
        <v>111.14628</v>
      </c>
      <c r="L3781" s="131">
        <v>235</v>
      </c>
      <c r="M3781" s="187">
        <v>21.18</v>
      </c>
      <c r="N3781" s="91">
        <f t="shared" si="732"/>
        <v>50.555</v>
      </c>
      <c r="O3781" s="411">
        <f t="shared" si="726"/>
        <v>60.591280000000005</v>
      </c>
      <c r="P3781" s="132" t="s">
        <v>52</v>
      </c>
      <c r="Q3781" s="232"/>
      <c r="R3781" s="411"/>
      <c r="T3781" s="134" t="s">
        <v>145</v>
      </c>
      <c r="U3781" s="267" t="s">
        <v>8515</v>
      </c>
      <c r="AA3781" s="218"/>
    </row>
    <row r="3782" spans="1:27" ht="24" x14ac:dyDescent="0.25">
      <c r="A3782" s="405">
        <v>3002922</v>
      </c>
      <c r="B3782" s="406">
        <v>42551</v>
      </c>
      <c r="C3782" s="405" t="s">
        <v>5682</v>
      </c>
      <c r="D3782" s="401" t="s">
        <v>8516</v>
      </c>
      <c r="E3782" s="120">
        <v>125</v>
      </c>
      <c r="F3782" s="133" t="s">
        <v>829</v>
      </c>
      <c r="G3782" s="404" t="s">
        <v>7486</v>
      </c>
      <c r="H3782" s="411">
        <v>131.77000000000001</v>
      </c>
      <c r="I3782" s="89">
        <f t="shared" si="735"/>
        <v>-11.859300000000001</v>
      </c>
      <c r="J3782" s="391">
        <f t="shared" si="736"/>
        <v>-2.8036300000000001</v>
      </c>
      <c r="K3782" s="90">
        <f t="shared" si="724"/>
        <v>117.10707000000001</v>
      </c>
      <c r="L3782" s="131">
        <v>510</v>
      </c>
      <c r="M3782" s="187">
        <v>42.44</v>
      </c>
      <c r="N3782" s="91">
        <f t="shared" si="732"/>
        <v>106.19</v>
      </c>
      <c r="O3782" s="411">
        <f t="shared" si="726"/>
        <v>10.91707000000001</v>
      </c>
      <c r="P3782" s="132" t="s">
        <v>52</v>
      </c>
      <c r="Q3782" s="232"/>
      <c r="R3782" s="411"/>
      <c r="T3782" s="134" t="s">
        <v>145</v>
      </c>
      <c r="U3782" s="267" t="s">
        <v>8517</v>
      </c>
      <c r="AA3782" s="218"/>
    </row>
    <row r="3783" spans="1:27" ht="24" x14ac:dyDescent="0.25">
      <c r="A3783" s="405">
        <v>3002923</v>
      </c>
      <c r="B3783" s="406">
        <v>42551</v>
      </c>
      <c r="C3783" s="405" t="s">
        <v>5682</v>
      </c>
      <c r="D3783" s="401" t="s">
        <v>8518</v>
      </c>
      <c r="E3783" s="120">
        <v>50</v>
      </c>
      <c r="F3783" s="133" t="s">
        <v>2949</v>
      </c>
      <c r="G3783" s="404" t="s">
        <v>7486</v>
      </c>
      <c r="H3783" s="411">
        <v>123.5</v>
      </c>
      <c r="I3783" s="89">
        <f t="shared" si="735"/>
        <v>-11.115</v>
      </c>
      <c r="J3783" s="391">
        <f t="shared" si="736"/>
        <v>-2.6464999999999996</v>
      </c>
      <c r="K3783" s="90">
        <f t="shared" si="724"/>
        <v>109.7385</v>
      </c>
      <c r="M3783" s="187">
        <v>30.01</v>
      </c>
      <c r="N3783" s="91">
        <f t="shared" si="732"/>
        <v>30.01</v>
      </c>
      <c r="O3783" s="411">
        <f t="shared" si="726"/>
        <v>79.728499999999997</v>
      </c>
      <c r="P3783" s="132" t="s">
        <v>52</v>
      </c>
      <c r="Q3783" s="232"/>
      <c r="R3783" s="411"/>
      <c r="T3783" s="134" t="s">
        <v>145</v>
      </c>
      <c r="U3783" s="267" t="s">
        <v>8519</v>
      </c>
      <c r="AA3783" s="218"/>
    </row>
    <row r="3784" spans="1:27" ht="24" x14ac:dyDescent="0.25">
      <c r="A3784" s="405">
        <v>3002924</v>
      </c>
      <c r="B3784" s="406">
        <v>42551</v>
      </c>
      <c r="C3784" s="405" t="s">
        <v>5682</v>
      </c>
      <c r="D3784" s="401" t="s">
        <v>8520</v>
      </c>
      <c r="E3784" s="120">
        <v>250</v>
      </c>
      <c r="F3784" s="133" t="s">
        <v>207</v>
      </c>
      <c r="G3784" s="404" t="s">
        <v>7486</v>
      </c>
      <c r="H3784" s="411">
        <v>231.8</v>
      </c>
      <c r="I3784" s="89">
        <f t="shared" si="735"/>
        <v>-20.862000000000002</v>
      </c>
      <c r="J3784" s="391">
        <f t="shared" si="736"/>
        <v>-4.7042000000000002</v>
      </c>
      <c r="K3784" s="90">
        <f t="shared" si="724"/>
        <v>206.23380000000003</v>
      </c>
      <c r="L3784" s="131">
        <v>570</v>
      </c>
      <c r="M3784" s="187">
        <v>43.14</v>
      </c>
      <c r="N3784" s="91">
        <f t="shared" si="732"/>
        <v>185.64</v>
      </c>
      <c r="O3784" s="411">
        <f t="shared" si="726"/>
        <v>20.593800000000044</v>
      </c>
      <c r="P3784" s="132" t="s">
        <v>52</v>
      </c>
      <c r="Q3784" s="232"/>
      <c r="R3784" s="411"/>
      <c r="T3784" s="134" t="s">
        <v>145</v>
      </c>
      <c r="U3784" s="267" t="s">
        <v>8521</v>
      </c>
      <c r="AA3784" s="218"/>
    </row>
    <row r="3785" spans="1:27" ht="24" x14ac:dyDescent="0.25">
      <c r="A3785" s="405">
        <v>3002925</v>
      </c>
      <c r="B3785" s="406">
        <v>42551</v>
      </c>
      <c r="C3785" s="405" t="s">
        <v>5682</v>
      </c>
      <c r="D3785" s="401" t="s">
        <v>8522</v>
      </c>
      <c r="E3785" s="120">
        <v>50</v>
      </c>
      <c r="F3785" s="133" t="s">
        <v>2949</v>
      </c>
      <c r="G3785" s="404" t="s">
        <v>7486</v>
      </c>
      <c r="H3785" s="411">
        <v>123.5</v>
      </c>
      <c r="I3785" s="89">
        <f t="shared" si="735"/>
        <v>-11.115</v>
      </c>
      <c r="J3785" s="391">
        <f t="shared" si="736"/>
        <v>-2.6464999999999996</v>
      </c>
      <c r="K3785" s="90">
        <f t="shared" si="724"/>
        <v>109.7385</v>
      </c>
      <c r="M3785" s="187">
        <v>34.64</v>
      </c>
      <c r="N3785" s="91">
        <f t="shared" si="732"/>
        <v>34.64</v>
      </c>
      <c r="O3785" s="411">
        <f t="shared" si="726"/>
        <v>75.098500000000001</v>
      </c>
      <c r="P3785" s="132" t="s">
        <v>52</v>
      </c>
      <c r="Q3785" s="232"/>
      <c r="R3785" s="411"/>
      <c r="T3785" s="134" t="s">
        <v>145</v>
      </c>
      <c r="U3785" s="267" t="s">
        <v>8523</v>
      </c>
      <c r="AA3785" s="218"/>
    </row>
    <row r="3786" spans="1:27" ht="24" x14ac:dyDescent="0.25">
      <c r="A3786" s="405">
        <v>3002926</v>
      </c>
      <c r="B3786" s="406">
        <v>42551</v>
      </c>
      <c r="C3786" s="405" t="s">
        <v>5682</v>
      </c>
      <c r="D3786" s="401" t="s">
        <v>8524</v>
      </c>
      <c r="E3786" s="120">
        <v>100</v>
      </c>
      <c r="F3786" s="133" t="s">
        <v>161</v>
      </c>
      <c r="G3786" s="404" t="s">
        <v>7486</v>
      </c>
      <c r="H3786" s="411">
        <v>230</v>
      </c>
      <c r="I3786" s="89">
        <f t="shared" si="735"/>
        <v>-20.7</v>
      </c>
      <c r="J3786" s="391">
        <f t="shared" si="736"/>
        <v>-4.67</v>
      </c>
      <c r="K3786" s="90">
        <f t="shared" si="724"/>
        <v>204.63000000000002</v>
      </c>
      <c r="L3786" s="131">
        <v>1322</v>
      </c>
      <c r="M3786" s="187">
        <v>45.57</v>
      </c>
      <c r="N3786" s="91">
        <f t="shared" si="732"/>
        <v>177.77</v>
      </c>
      <c r="O3786" s="411">
        <f t="shared" si="726"/>
        <v>26.860000000000014</v>
      </c>
      <c r="P3786" s="132" t="s">
        <v>52</v>
      </c>
      <c r="Q3786" s="232"/>
      <c r="R3786" s="411"/>
      <c r="T3786" s="134" t="s">
        <v>145</v>
      </c>
      <c r="U3786" s="267" t="s">
        <v>8525</v>
      </c>
      <c r="AA3786" s="218"/>
    </row>
    <row r="3787" spans="1:27" ht="24" x14ac:dyDescent="0.25">
      <c r="A3787" s="405">
        <v>3002927</v>
      </c>
      <c r="B3787" s="406">
        <v>42551</v>
      </c>
      <c r="C3787" s="405" t="s">
        <v>237</v>
      </c>
      <c r="D3787" s="401" t="s">
        <v>8526</v>
      </c>
      <c r="E3787" s="120">
        <v>50</v>
      </c>
      <c r="F3787" s="133" t="s">
        <v>4066</v>
      </c>
      <c r="G3787" s="404" t="s">
        <v>7486</v>
      </c>
      <c r="H3787" s="411">
        <v>100.94</v>
      </c>
      <c r="I3787" s="397">
        <f t="shared" ref="I3787:I3795" si="737">-(H3787*0.15)</f>
        <v>-15.140999999999998</v>
      </c>
      <c r="J3787" s="411">
        <v>0</v>
      </c>
      <c r="K3787" s="90">
        <f t="shared" si="724"/>
        <v>85.799000000000007</v>
      </c>
      <c r="L3787" s="131">
        <v>680</v>
      </c>
      <c r="M3787" s="187">
        <v>17.91</v>
      </c>
      <c r="N3787" s="91">
        <f t="shared" si="732"/>
        <v>51.91</v>
      </c>
      <c r="O3787" s="411">
        <f t="shared" si="726"/>
        <v>33.88900000000001</v>
      </c>
      <c r="P3787" s="132" t="s">
        <v>52</v>
      </c>
      <c r="Q3787" s="232"/>
      <c r="R3787" s="411"/>
      <c r="T3787" s="134" t="s">
        <v>145</v>
      </c>
      <c r="U3787" s="267" t="s">
        <v>8527</v>
      </c>
      <c r="AA3787" s="218"/>
    </row>
    <row r="3788" spans="1:27" ht="24" x14ac:dyDescent="0.25">
      <c r="A3788" s="405">
        <v>3002928</v>
      </c>
      <c r="B3788" s="406">
        <v>42551</v>
      </c>
      <c r="C3788" s="405" t="s">
        <v>237</v>
      </c>
      <c r="D3788" s="401" t="s">
        <v>8528</v>
      </c>
      <c r="E3788" s="120">
        <v>200</v>
      </c>
      <c r="F3788" s="133" t="s">
        <v>2196</v>
      </c>
      <c r="G3788" s="404" t="s">
        <v>7486</v>
      </c>
      <c r="H3788" s="411">
        <v>156.80000000000001</v>
      </c>
      <c r="I3788" s="397">
        <f t="shared" si="737"/>
        <v>-23.52</v>
      </c>
      <c r="J3788" s="411">
        <v>0</v>
      </c>
      <c r="K3788" s="90">
        <f t="shared" si="724"/>
        <v>133.28</v>
      </c>
      <c r="M3788" s="187">
        <v>40.1</v>
      </c>
      <c r="N3788" s="91">
        <f t="shared" si="732"/>
        <v>40.1</v>
      </c>
      <c r="O3788" s="411">
        <f t="shared" si="726"/>
        <v>93.18</v>
      </c>
      <c r="P3788" s="132" t="s">
        <v>52</v>
      </c>
      <c r="Q3788" s="232"/>
      <c r="R3788" s="411"/>
      <c r="T3788" s="134" t="s">
        <v>145</v>
      </c>
      <c r="U3788" s="267" t="s">
        <v>8529</v>
      </c>
      <c r="AA3788" s="218"/>
    </row>
    <row r="3789" spans="1:27" ht="24" x14ac:dyDescent="0.25">
      <c r="A3789" s="405">
        <v>3002929</v>
      </c>
      <c r="B3789" s="406">
        <v>42551</v>
      </c>
      <c r="C3789" s="405" t="s">
        <v>237</v>
      </c>
      <c r="D3789" s="401" t="s">
        <v>8530</v>
      </c>
      <c r="E3789" s="120">
        <v>65</v>
      </c>
      <c r="F3789" s="133" t="s">
        <v>161</v>
      </c>
      <c r="G3789" s="404" t="s">
        <v>7486</v>
      </c>
      <c r="H3789" s="411">
        <v>134.34</v>
      </c>
      <c r="I3789" s="397">
        <f t="shared" si="737"/>
        <v>-20.151</v>
      </c>
      <c r="J3789" s="411">
        <v>0</v>
      </c>
      <c r="K3789" s="90">
        <f t="shared" si="724"/>
        <v>114.18900000000001</v>
      </c>
      <c r="L3789" s="131">
        <v>1322</v>
      </c>
      <c r="M3789" s="187">
        <v>34.700000000000003</v>
      </c>
      <c r="N3789" s="91">
        <f t="shared" si="732"/>
        <v>120.63000000000001</v>
      </c>
      <c r="O3789" s="411">
        <f t="shared" ref="O3789:O3852" si="738">K3789-N3789</f>
        <v>-6.4410000000000025</v>
      </c>
      <c r="P3789" s="132" t="s">
        <v>52</v>
      </c>
      <c r="Q3789" s="232"/>
      <c r="R3789" s="411"/>
      <c r="T3789" s="134" t="s">
        <v>145</v>
      </c>
      <c r="U3789" s="267" t="s">
        <v>8531</v>
      </c>
      <c r="AA3789" s="218"/>
    </row>
    <row r="3790" spans="1:27" ht="24" x14ac:dyDescent="0.25">
      <c r="A3790" s="405">
        <v>3002930</v>
      </c>
      <c r="B3790" s="406">
        <v>42551</v>
      </c>
      <c r="C3790" s="405" t="s">
        <v>237</v>
      </c>
      <c r="D3790" s="401" t="s">
        <v>8532</v>
      </c>
      <c r="E3790" s="120">
        <v>200</v>
      </c>
      <c r="F3790" s="133" t="s">
        <v>3270</v>
      </c>
      <c r="G3790" s="404" t="s">
        <v>7486</v>
      </c>
      <c r="H3790" s="411">
        <v>606.41999999999996</v>
      </c>
      <c r="I3790" s="397">
        <f t="shared" si="737"/>
        <v>-90.962999999999994</v>
      </c>
      <c r="J3790" s="411">
        <v>0</v>
      </c>
      <c r="K3790" s="90">
        <f t="shared" si="724"/>
        <v>515.45699999999999</v>
      </c>
      <c r="L3790" s="131">
        <v>1322</v>
      </c>
      <c r="M3790" s="187">
        <v>81.59</v>
      </c>
      <c r="N3790" s="91">
        <f t="shared" si="732"/>
        <v>345.99</v>
      </c>
      <c r="O3790" s="411">
        <f t="shared" si="738"/>
        <v>169.46699999999998</v>
      </c>
      <c r="P3790" s="132" t="s">
        <v>52</v>
      </c>
      <c r="Q3790" s="232"/>
      <c r="R3790" s="411"/>
      <c r="T3790" s="134" t="s">
        <v>145</v>
      </c>
      <c r="U3790" s="266" t="s">
        <v>8533</v>
      </c>
      <c r="AA3790" s="218"/>
    </row>
    <row r="3791" spans="1:27" ht="24" x14ac:dyDescent="0.25">
      <c r="A3791" s="405">
        <v>3002931</v>
      </c>
      <c r="B3791" s="406">
        <v>42551</v>
      </c>
      <c r="C3791" s="405" t="s">
        <v>237</v>
      </c>
      <c r="D3791" s="401" t="s">
        <v>8534</v>
      </c>
      <c r="E3791" s="120">
        <v>100</v>
      </c>
      <c r="F3791" s="133" t="s">
        <v>247</v>
      </c>
      <c r="G3791" s="404" t="s">
        <v>7486</v>
      </c>
      <c r="H3791" s="411">
        <v>132</v>
      </c>
      <c r="I3791" s="397">
        <f t="shared" si="737"/>
        <v>-19.8</v>
      </c>
      <c r="J3791" s="411">
        <v>0</v>
      </c>
      <c r="K3791" s="90">
        <f t="shared" si="724"/>
        <v>112.2</v>
      </c>
      <c r="L3791" s="131">
        <v>480</v>
      </c>
      <c r="M3791" s="187">
        <v>20.38</v>
      </c>
      <c r="N3791" s="91">
        <f t="shared" si="732"/>
        <v>68.38</v>
      </c>
      <c r="O3791" s="411">
        <f t="shared" si="738"/>
        <v>43.820000000000007</v>
      </c>
      <c r="P3791" s="132" t="s">
        <v>52</v>
      </c>
      <c r="Q3791" s="232"/>
      <c r="R3791" s="411"/>
      <c r="T3791" s="134" t="s">
        <v>145</v>
      </c>
      <c r="U3791" s="267" t="s">
        <v>8535</v>
      </c>
      <c r="AA3791" s="218"/>
    </row>
    <row r="3792" spans="1:27" ht="24" x14ac:dyDescent="0.25">
      <c r="A3792" s="405">
        <v>3002932</v>
      </c>
      <c r="B3792" s="406">
        <v>42551</v>
      </c>
      <c r="C3792" s="405" t="s">
        <v>237</v>
      </c>
      <c r="D3792" s="401" t="s">
        <v>8536</v>
      </c>
      <c r="E3792" s="120">
        <v>250</v>
      </c>
      <c r="F3792" s="133" t="s">
        <v>173</v>
      </c>
      <c r="G3792" s="404" t="s">
        <v>7486</v>
      </c>
      <c r="H3792" s="411">
        <v>322.74</v>
      </c>
      <c r="I3792" s="397">
        <f t="shared" si="737"/>
        <v>-48.411000000000001</v>
      </c>
      <c r="J3792" s="411">
        <v>0</v>
      </c>
      <c r="K3792" s="90">
        <f t="shared" si="724"/>
        <v>274.32900000000001</v>
      </c>
      <c r="L3792" s="131">
        <v>407</v>
      </c>
      <c r="M3792" s="131">
        <v>5</v>
      </c>
      <c r="N3792" s="91">
        <f t="shared" si="732"/>
        <v>106.75</v>
      </c>
      <c r="O3792" s="411">
        <f t="shared" si="738"/>
        <v>167.57900000000001</v>
      </c>
      <c r="P3792" s="132" t="s">
        <v>52</v>
      </c>
      <c r="Q3792" s="232"/>
      <c r="R3792" s="411"/>
      <c r="T3792" s="134" t="s">
        <v>145</v>
      </c>
      <c r="U3792" s="267" t="s">
        <v>8537</v>
      </c>
      <c r="AA3792" s="218"/>
    </row>
    <row r="3793" spans="1:27" ht="24" x14ac:dyDescent="0.25">
      <c r="A3793" s="405">
        <v>3002933</v>
      </c>
      <c r="B3793" s="406">
        <v>42551</v>
      </c>
      <c r="C3793" s="405" t="s">
        <v>237</v>
      </c>
      <c r="D3793" s="401" t="s">
        <v>8538</v>
      </c>
      <c r="E3793" s="120">
        <v>65</v>
      </c>
      <c r="F3793" s="133" t="s">
        <v>217</v>
      </c>
      <c r="G3793" s="404" t="s">
        <v>7486</v>
      </c>
      <c r="H3793" s="411">
        <v>134.34</v>
      </c>
      <c r="I3793" s="397">
        <f t="shared" si="737"/>
        <v>-20.151</v>
      </c>
      <c r="J3793" s="411">
        <v>0</v>
      </c>
      <c r="K3793" s="90">
        <f t="shared" si="724"/>
        <v>114.18900000000001</v>
      </c>
      <c r="L3793" s="131">
        <v>1322</v>
      </c>
      <c r="M3793" s="187">
        <v>25.6</v>
      </c>
      <c r="N3793" s="91">
        <f t="shared" si="732"/>
        <v>111.53</v>
      </c>
      <c r="O3793" s="411">
        <f t="shared" si="738"/>
        <v>2.659000000000006</v>
      </c>
      <c r="P3793" s="132" t="s">
        <v>52</v>
      </c>
      <c r="Q3793" s="232"/>
      <c r="R3793" s="411"/>
      <c r="T3793" s="134" t="s">
        <v>145</v>
      </c>
      <c r="U3793" s="267" t="s">
        <v>8537</v>
      </c>
      <c r="AA3793" s="218"/>
    </row>
    <row r="3794" spans="1:27" ht="24" x14ac:dyDescent="0.25">
      <c r="A3794" s="405">
        <v>3002934</v>
      </c>
      <c r="B3794" s="406">
        <v>42552</v>
      </c>
      <c r="C3794" s="405" t="s">
        <v>237</v>
      </c>
      <c r="D3794" s="401" t="s">
        <v>8539</v>
      </c>
      <c r="E3794" s="120">
        <v>1000</v>
      </c>
      <c r="F3794" s="133" t="s">
        <v>6885</v>
      </c>
      <c r="G3794" s="404" t="s">
        <v>7486</v>
      </c>
      <c r="H3794" s="411">
        <v>425.07</v>
      </c>
      <c r="I3794" s="397">
        <f t="shared" si="737"/>
        <v>-63.760499999999993</v>
      </c>
      <c r="J3794" s="411">
        <v>0</v>
      </c>
      <c r="K3794" s="90">
        <f t="shared" si="724"/>
        <v>361.30950000000001</v>
      </c>
      <c r="M3794" s="187">
        <v>84.44</v>
      </c>
      <c r="N3794" s="91">
        <f t="shared" si="732"/>
        <v>84.44</v>
      </c>
      <c r="O3794" s="411">
        <f t="shared" si="738"/>
        <v>276.86950000000002</v>
      </c>
      <c r="P3794" s="132" t="s">
        <v>52</v>
      </c>
      <c r="Q3794" s="232"/>
      <c r="R3794" s="411"/>
      <c r="T3794" s="134" t="s">
        <v>145</v>
      </c>
      <c r="U3794" s="267" t="s">
        <v>8540</v>
      </c>
      <c r="AA3794" s="218"/>
    </row>
    <row r="3795" spans="1:27" ht="24" x14ac:dyDescent="0.25">
      <c r="A3795" s="405">
        <v>3002935</v>
      </c>
      <c r="B3795" s="406">
        <v>42552</v>
      </c>
      <c r="C3795" s="405" t="s">
        <v>237</v>
      </c>
      <c r="D3795" s="401" t="s">
        <v>8541</v>
      </c>
      <c r="E3795" s="120">
        <v>100</v>
      </c>
      <c r="F3795" s="133" t="s">
        <v>3301</v>
      </c>
      <c r="G3795" s="404" t="s">
        <v>7486</v>
      </c>
      <c r="H3795" s="411">
        <v>108.5</v>
      </c>
      <c r="I3795" s="397">
        <f t="shared" si="737"/>
        <v>-16.274999999999999</v>
      </c>
      <c r="J3795" s="411">
        <v>0</v>
      </c>
      <c r="K3795" s="90">
        <f t="shared" si="724"/>
        <v>92.224999999999994</v>
      </c>
      <c r="L3795" s="187">
        <v>750</v>
      </c>
      <c r="M3795" s="187">
        <v>10.64</v>
      </c>
      <c r="N3795" s="91">
        <f t="shared" si="732"/>
        <v>85.64</v>
      </c>
      <c r="O3795" s="411">
        <f t="shared" si="738"/>
        <v>6.5849999999999937</v>
      </c>
      <c r="P3795" s="132" t="s">
        <v>601</v>
      </c>
      <c r="Q3795" s="232"/>
      <c r="R3795" s="411"/>
      <c r="T3795" s="134" t="s">
        <v>145</v>
      </c>
      <c r="U3795" s="267" t="s">
        <v>8542</v>
      </c>
      <c r="AA3795" s="218"/>
    </row>
    <row r="3796" spans="1:27" ht="24" x14ac:dyDescent="0.25">
      <c r="A3796" s="405">
        <v>3002936</v>
      </c>
      <c r="B3796" s="406">
        <v>42552</v>
      </c>
      <c r="C3796" s="405" t="s">
        <v>159</v>
      </c>
      <c r="D3796" s="401" t="s">
        <v>8543</v>
      </c>
      <c r="E3796" s="120">
        <v>25</v>
      </c>
      <c r="F3796" s="133" t="s">
        <v>1991</v>
      </c>
      <c r="G3796" s="404" t="s">
        <v>7486</v>
      </c>
      <c r="H3796" s="411">
        <v>126.25</v>
      </c>
      <c r="I3796" s="411">
        <v>0</v>
      </c>
      <c r="J3796" s="391">
        <f t="shared" ref="J3796:J3797" si="739">-((H3796*0.019)+0.3)</f>
        <v>-2.69875</v>
      </c>
      <c r="K3796" s="90">
        <f t="shared" si="724"/>
        <v>123.55125</v>
      </c>
      <c r="L3796" s="187">
        <v>3150</v>
      </c>
      <c r="M3796" s="187">
        <v>30.19</v>
      </c>
      <c r="N3796" s="91">
        <f t="shared" si="732"/>
        <v>108.94</v>
      </c>
      <c r="O3796" s="411">
        <f t="shared" si="738"/>
        <v>14.611249999999998</v>
      </c>
      <c r="P3796" s="132" t="s">
        <v>183</v>
      </c>
      <c r="Q3796" s="232"/>
      <c r="R3796" s="411"/>
      <c r="T3796" s="134" t="s">
        <v>324</v>
      </c>
      <c r="U3796" s="266" t="s">
        <v>8544</v>
      </c>
      <c r="V3796" s="133" t="s">
        <v>5863</v>
      </c>
      <c r="W3796" s="153" t="s">
        <v>8545</v>
      </c>
      <c r="AA3796" s="218"/>
    </row>
    <row r="3797" spans="1:27" ht="24" x14ac:dyDescent="0.25">
      <c r="A3797" s="405">
        <v>3002937</v>
      </c>
      <c r="B3797" s="406">
        <v>42552</v>
      </c>
      <c r="C3797" s="405" t="s">
        <v>5682</v>
      </c>
      <c r="D3797" s="401" t="s">
        <v>8546</v>
      </c>
      <c r="E3797" s="120">
        <v>320</v>
      </c>
      <c r="F3797" s="133" t="s">
        <v>247</v>
      </c>
      <c r="G3797" s="404" t="s">
        <v>7486</v>
      </c>
      <c r="H3797" s="411">
        <v>364</v>
      </c>
      <c r="I3797" s="89">
        <f t="shared" ref="I3797" si="740">-(H3797*0.09)</f>
        <v>-32.76</v>
      </c>
      <c r="J3797" s="391">
        <f t="shared" si="739"/>
        <v>-7.2159999999999993</v>
      </c>
      <c r="K3797" s="90">
        <f t="shared" si="724"/>
        <v>324.024</v>
      </c>
      <c r="L3797" s="131">
        <v>480</v>
      </c>
      <c r="M3797" s="187">
        <v>53.8</v>
      </c>
      <c r="N3797" s="91">
        <f t="shared" si="732"/>
        <v>207.39999999999998</v>
      </c>
      <c r="O3797" s="411">
        <f t="shared" si="738"/>
        <v>116.62400000000002</v>
      </c>
      <c r="P3797" s="132" t="s">
        <v>52</v>
      </c>
      <c r="Q3797" s="232"/>
      <c r="R3797" s="411"/>
      <c r="T3797" s="134" t="s">
        <v>145</v>
      </c>
      <c r="U3797" s="267" t="s">
        <v>8547</v>
      </c>
      <c r="AA3797" s="218"/>
    </row>
    <row r="3798" spans="1:27" ht="24" x14ac:dyDescent="0.25">
      <c r="A3798" s="419">
        <v>3002938</v>
      </c>
      <c r="B3798" s="421">
        <v>42552</v>
      </c>
      <c r="C3798" s="419" t="s">
        <v>573</v>
      </c>
      <c r="D3798" s="417" t="s">
        <v>87</v>
      </c>
      <c r="E3798" s="120">
        <v>616</v>
      </c>
      <c r="F3798" s="119" t="s">
        <v>8548</v>
      </c>
      <c r="G3798" s="434" t="s">
        <v>7486</v>
      </c>
      <c r="H3798" s="427">
        <v>39327.86</v>
      </c>
      <c r="I3798" s="427">
        <v>0</v>
      </c>
      <c r="J3798" s="427">
        <v>0</v>
      </c>
      <c r="K3798" s="425">
        <f t="shared" si="724"/>
        <v>39327.86</v>
      </c>
      <c r="L3798" s="131">
        <v>1000</v>
      </c>
      <c r="M3798" s="468">
        <v>755</v>
      </c>
      <c r="N3798" s="91">
        <f t="shared" si="732"/>
        <v>1371</v>
      </c>
      <c r="O3798" s="411">
        <f t="shared" si="738"/>
        <v>37956.86</v>
      </c>
      <c r="P3798" s="132" t="s">
        <v>52</v>
      </c>
      <c r="Q3798" s="232"/>
      <c r="R3798" s="411"/>
      <c r="T3798" s="439" t="s">
        <v>97</v>
      </c>
      <c r="U3798" s="446" t="s">
        <v>8549</v>
      </c>
      <c r="V3798" s="133" t="s">
        <v>8550</v>
      </c>
      <c r="AA3798" s="218"/>
    </row>
    <row r="3799" spans="1:27" x14ac:dyDescent="0.25">
      <c r="A3799" s="432"/>
      <c r="B3799" s="433"/>
      <c r="C3799" s="432"/>
      <c r="D3799" s="454"/>
      <c r="E3799" s="120">
        <v>2365</v>
      </c>
      <c r="F3799" s="119" t="s">
        <v>8551</v>
      </c>
      <c r="G3799" s="435"/>
      <c r="H3799" s="438"/>
      <c r="I3799" s="438"/>
      <c r="J3799" s="438"/>
      <c r="K3799" s="437"/>
      <c r="L3799" s="131">
        <v>375</v>
      </c>
      <c r="M3799" s="491"/>
      <c r="N3799" s="91">
        <f t="shared" si="732"/>
        <v>886.87500000000011</v>
      </c>
      <c r="O3799" s="411">
        <f t="shared" si="738"/>
        <v>-886.87500000000011</v>
      </c>
      <c r="P3799" s="132" t="s">
        <v>52</v>
      </c>
      <c r="Q3799" s="232"/>
      <c r="R3799" s="411"/>
      <c r="T3799" s="440"/>
      <c r="U3799" s="448"/>
      <c r="AA3799" s="218"/>
    </row>
    <row r="3800" spans="1:27" ht="24" x14ac:dyDescent="0.25">
      <c r="A3800" s="432"/>
      <c r="B3800" s="433"/>
      <c r="C3800" s="432"/>
      <c r="D3800" s="454"/>
      <c r="E3800" s="120">
        <v>5560</v>
      </c>
      <c r="F3800" s="119" t="s">
        <v>8552</v>
      </c>
      <c r="G3800" s="435"/>
      <c r="H3800" s="438"/>
      <c r="I3800" s="438"/>
      <c r="J3800" s="438"/>
      <c r="K3800" s="437"/>
      <c r="L3800" s="131">
        <v>480</v>
      </c>
      <c r="M3800" s="491"/>
      <c r="N3800" s="91">
        <f t="shared" si="732"/>
        <v>2668.8</v>
      </c>
      <c r="O3800" s="411">
        <f t="shared" si="738"/>
        <v>-2668.8</v>
      </c>
      <c r="P3800" s="132" t="s">
        <v>52</v>
      </c>
      <c r="Q3800" s="232"/>
      <c r="R3800" s="411"/>
      <c r="T3800" s="440"/>
      <c r="U3800" s="448"/>
      <c r="AA3800" s="218"/>
    </row>
    <row r="3801" spans="1:27" x14ac:dyDescent="0.25">
      <c r="A3801" s="432"/>
      <c r="B3801" s="433"/>
      <c r="C3801" s="432"/>
      <c r="D3801" s="454"/>
      <c r="E3801" s="120">
        <v>5243</v>
      </c>
      <c r="F3801" s="119" t="s">
        <v>8553</v>
      </c>
      <c r="G3801" s="435"/>
      <c r="H3801" s="438"/>
      <c r="I3801" s="438"/>
      <c r="J3801" s="438"/>
      <c r="K3801" s="437"/>
      <c r="L3801" s="131">
        <v>350</v>
      </c>
      <c r="M3801" s="491"/>
      <c r="N3801" s="91">
        <f t="shared" si="732"/>
        <v>1835.0500000000002</v>
      </c>
      <c r="O3801" s="411">
        <f t="shared" si="738"/>
        <v>-1835.0500000000002</v>
      </c>
      <c r="P3801" s="132" t="s">
        <v>52</v>
      </c>
      <c r="Q3801" s="232"/>
      <c r="R3801" s="411"/>
      <c r="T3801" s="440"/>
      <c r="U3801" s="448"/>
      <c r="AA3801" s="218"/>
    </row>
    <row r="3802" spans="1:27" x14ac:dyDescent="0.25">
      <c r="A3802" s="432"/>
      <c r="B3802" s="433"/>
      <c r="C3802" s="432"/>
      <c r="D3802" s="454"/>
      <c r="E3802" s="120">
        <v>5104</v>
      </c>
      <c r="F3802" s="119" t="s">
        <v>8554</v>
      </c>
      <c r="G3802" s="435"/>
      <c r="H3802" s="438"/>
      <c r="I3802" s="438"/>
      <c r="J3802" s="438"/>
      <c r="K3802" s="437"/>
      <c r="L3802" s="131">
        <v>616</v>
      </c>
      <c r="M3802" s="491"/>
      <c r="N3802" s="91">
        <f t="shared" si="732"/>
        <v>3144.0639999999999</v>
      </c>
      <c r="O3802" s="411">
        <f t="shared" si="738"/>
        <v>-3144.0639999999999</v>
      </c>
      <c r="P3802" s="132" t="s">
        <v>52</v>
      </c>
      <c r="Q3802" s="232"/>
      <c r="R3802" s="411"/>
      <c r="T3802" s="440"/>
      <c r="U3802" s="448"/>
      <c r="AA3802" s="218"/>
    </row>
    <row r="3803" spans="1:27" x14ac:dyDescent="0.25">
      <c r="A3803" s="432"/>
      <c r="B3803" s="433"/>
      <c r="C3803" s="432"/>
      <c r="D3803" s="454"/>
      <c r="E3803" s="120">
        <v>4552</v>
      </c>
      <c r="F3803" s="119" t="s">
        <v>8555</v>
      </c>
      <c r="G3803" s="435"/>
      <c r="H3803" s="438"/>
      <c r="I3803" s="438"/>
      <c r="J3803" s="438"/>
      <c r="K3803" s="437"/>
      <c r="L3803" s="131">
        <v>595</v>
      </c>
      <c r="M3803" s="491"/>
      <c r="N3803" s="91">
        <f t="shared" si="732"/>
        <v>2708.4400000000005</v>
      </c>
      <c r="O3803" s="411">
        <f t="shared" si="738"/>
        <v>-2708.4400000000005</v>
      </c>
      <c r="P3803" s="132" t="s">
        <v>52</v>
      </c>
      <c r="Q3803" s="232"/>
      <c r="R3803" s="411"/>
      <c r="T3803" s="440"/>
      <c r="U3803" s="448"/>
      <c r="AA3803" s="218"/>
    </row>
    <row r="3804" spans="1:27" x14ac:dyDescent="0.25">
      <c r="A3804" s="432"/>
      <c r="B3804" s="433"/>
      <c r="C3804" s="432"/>
      <c r="D3804" s="454"/>
      <c r="E3804" s="120">
        <v>2608</v>
      </c>
      <c r="F3804" s="119" t="s">
        <v>8556</v>
      </c>
      <c r="G3804" s="435"/>
      <c r="H3804" s="438"/>
      <c r="I3804" s="438"/>
      <c r="J3804" s="438"/>
      <c r="K3804" s="437"/>
      <c r="L3804" s="131">
        <v>806</v>
      </c>
      <c r="M3804" s="491"/>
      <c r="N3804" s="91">
        <f t="shared" si="732"/>
        <v>2102.0480000000002</v>
      </c>
      <c r="O3804" s="411">
        <f t="shared" si="738"/>
        <v>-2102.0480000000002</v>
      </c>
      <c r="P3804" s="132" t="s">
        <v>52</v>
      </c>
      <c r="Q3804" s="232"/>
      <c r="R3804" s="411"/>
      <c r="T3804" s="440"/>
      <c r="U3804" s="448"/>
      <c r="AA3804" s="218"/>
    </row>
    <row r="3805" spans="1:27" x14ac:dyDescent="0.25">
      <c r="A3805" s="432"/>
      <c r="B3805" s="433"/>
      <c r="C3805" s="432"/>
      <c r="D3805" s="454"/>
      <c r="E3805" s="120">
        <v>169</v>
      </c>
      <c r="F3805" s="119" t="s">
        <v>8557</v>
      </c>
      <c r="G3805" s="435"/>
      <c r="H3805" s="438"/>
      <c r="I3805" s="438"/>
      <c r="J3805" s="438"/>
      <c r="K3805" s="437"/>
      <c r="L3805" s="131">
        <v>710</v>
      </c>
      <c r="M3805" s="491"/>
      <c r="N3805" s="91">
        <f t="shared" si="732"/>
        <v>119.99000000000001</v>
      </c>
      <c r="O3805" s="411">
        <f t="shared" si="738"/>
        <v>-119.99000000000001</v>
      </c>
      <c r="P3805" s="132" t="s">
        <v>52</v>
      </c>
      <c r="Q3805" s="232"/>
      <c r="R3805" s="411"/>
      <c r="T3805" s="440"/>
      <c r="U3805" s="448"/>
      <c r="AA3805" s="218"/>
    </row>
    <row r="3806" spans="1:27" x14ac:dyDescent="0.25">
      <c r="A3806" s="432"/>
      <c r="B3806" s="433"/>
      <c r="C3806" s="432"/>
      <c r="D3806" s="454"/>
      <c r="E3806" s="120">
        <v>3000</v>
      </c>
      <c r="F3806" s="119" t="s">
        <v>8558</v>
      </c>
      <c r="G3806" s="435"/>
      <c r="H3806" s="438"/>
      <c r="I3806" s="438"/>
      <c r="J3806" s="438"/>
      <c r="K3806" s="437"/>
      <c r="L3806" s="131">
        <v>445</v>
      </c>
      <c r="M3806" s="491"/>
      <c r="N3806" s="91">
        <f t="shared" si="732"/>
        <v>1335</v>
      </c>
      <c r="O3806" s="411">
        <f t="shared" si="738"/>
        <v>-1335</v>
      </c>
      <c r="P3806" s="132" t="s">
        <v>52</v>
      </c>
      <c r="Q3806" s="232"/>
      <c r="R3806" s="411"/>
      <c r="T3806" s="440"/>
      <c r="U3806" s="448"/>
      <c r="AA3806" s="218"/>
    </row>
    <row r="3807" spans="1:27" x14ac:dyDescent="0.25">
      <c r="A3807" s="432"/>
      <c r="B3807" s="433"/>
      <c r="C3807" s="432"/>
      <c r="D3807" s="454"/>
      <c r="E3807" s="120">
        <v>5169</v>
      </c>
      <c r="F3807" s="119" t="s">
        <v>8559</v>
      </c>
      <c r="G3807" s="435"/>
      <c r="H3807" s="438"/>
      <c r="I3807" s="438"/>
      <c r="J3807" s="438"/>
      <c r="K3807" s="437"/>
      <c r="L3807" s="131">
        <v>235</v>
      </c>
      <c r="M3807" s="491"/>
      <c r="N3807" s="91">
        <f t="shared" si="732"/>
        <v>1214.7150000000001</v>
      </c>
      <c r="O3807" s="411">
        <f t="shared" si="738"/>
        <v>-1214.7150000000001</v>
      </c>
      <c r="P3807" s="132" t="s">
        <v>52</v>
      </c>
      <c r="Q3807" s="232"/>
      <c r="R3807" s="411"/>
      <c r="T3807" s="440"/>
      <c r="U3807" s="448"/>
      <c r="AA3807" s="218"/>
    </row>
    <row r="3808" spans="1:27" x14ac:dyDescent="0.25">
      <c r="A3808" s="432"/>
      <c r="B3808" s="433"/>
      <c r="C3808" s="432"/>
      <c r="D3808" s="454"/>
      <c r="E3808" s="120">
        <v>3820</v>
      </c>
      <c r="F3808" s="119" t="s">
        <v>8560</v>
      </c>
      <c r="G3808" s="435"/>
      <c r="H3808" s="438"/>
      <c r="I3808" s="438"/>
      <c r="J3808" s="438"/>
      <c r="K3808" s="437"/>
      <c r="L3808" s="131">
        <v>577</v>
      </c>
      <c r="M3808" s="469"/>
      <c r="N3808" s="91">
        <f t="shared" si="732"/>
        <v>2204.1400000000003</v>
      </c>
      <c r="O3808" s="411">
        <f t="shared" si="738"/>
        <v>-2204.1400000000003</v>
      </c>
      <c r="P3808" s="132" t="s">
        <v>52</v>
      </c>
      <c r="Q3808" s="232"/>
      <c r="R3808" s="411"/>
      <c r="T3808" s="441"/>
      <c r="U3808" s="447"/>
      <c r="AA3808" s="218"/>
    </row>
    <row r="3809" spans="1:27" x14ac:dyDescent="0.25">
      <c r="A3809" s="432"/>
      <c r="B3809" s="433"/>
      <c r="C3809" s="432"/>
      <c r="D3809" s="454"/>
      <c r="E3809" s="120">
        <v>2500</v>
      </c>
      <c r="F3809" s="133" t="s">
        <v>8561</v>
      </c>
      <c r="G3809" s="435"/>
      <c r="H3809" s="438"/>
      <c r="I3809" s="438"/>
      <c r="J3809" s="438"/>
      <c r="K3809" s="437"/>
      <c r="L3809" s="131">
        <v>1200</v>
      </c>
      <c r="M3809" s="468">
        <v>417.64</v>
      </c>
      <c r="N3809" s="91">
        <f t="shared" si="732"/>
        <v>3417.64</v>
      </c>
      <c r="O3809" s="411">
        <f t="shared" si="738"/>
        <v>-3417.64</v>
      </c>
      <c r="P3809" s="132" t="s">
        <v>86</v>
      </c>
      <c r="Q3809" s="232"/>
      <c r="R3809" s="411"/>
      <c r="T3809" s="439" t="s">
        <v>89</v>
      </c>
      <c r="U3809" s="446" t="s">
        <v>8562</v>
      </c>
      <c r="V3809" s="133" t="s">
        <v>8563</v>
      </c>
      <c r="AA3809" s="218"/>
    </row>
    <row r="3810" spans="1:27" x14ac:dyDescent="0.25">
      <c r="A3810" s="420"/>
      <c r="B3810" s="422"/>
      <c r="C3810" s="420"/>
      <c r="D3810" s="418"/>
      <c r="E3810" s="120">
        <v>5000</v>
      </c>
      <c r="F3810" s="133" t="s">
        <v>8564</v>
      </c>
      <c r="G3810" s="436"/>
      <c r="H3810" s="428"/>
      <c r="I3810" s="428"/>
      <c r="J3810" s="428"/>
      <c r="K3810" s="426"/>
      <c r="L3810" s="131">
        <v>375</v>
      </c>
      <c r="M3810" s="469"/>
      <c r="N3810" s="91">
        <f t="shared" si="732"/>
        <v>1875</v>
      </c>
      <c r="O3810" s="411">
        <f t="shared" si="738"/>
        <v>-1875</v>
      </c>
      <c r="P3810" s="132" t="s">
        <v>86</v>
      </c>
      <c r="Q3810" s="232"/>
      <c r="R3810" s="411"/>
      <c r="T3810" s="441"/>
      <c r="U3810" s="447"/>
      <c r="V3810" s="133" t="s">
        <v>8563</v>
      </c>
      <c r="AA3810" s="218"/>
    </row>
    <row r="3811" spans="1:27" x14ac:dyDescent="0.25">
      <c r="A3811" s="419">
        <v>3002939</v>
      </c>
      <c r="B3811" s="421">
        <v>42552</v>
      </c>
      <c r="C3811" s="419" t="s">
        <v>573</v>
      </c>
      <c r="D3811" s="417" t="s">
        <v>87</v>
      </c>
      <c r="E3811" s="120">
        <v>2000</v>
      </c>
      <c r="F3811" s="133" t="s">
        <v>537</v>
      </c>
      <c r="G3811" s="434" t="s">
        <v>7486</v>
      </c>
      <c r="H3811" s="427">
        <v>6880</v>
      </c>
      <c r="I3811" s="427">
        <v>0</v>
      </c>
      <c r="J3811" s="427">
        <v>0</v>
      </c>
      <c r="K3811" s="425">
        <f t="shared" ref="K3811" si="741">SUM(H3811:J3811)</f>
        <v>6880</v>
      </c>
      <c r="L3811" s="187">
        <v>130</v>
      </c>
      <c r="N3811" s="91">
        <f t="shared" si="732"/>
        <v>260</v>
      </c>
      <c r="O3811" s="411">
        <f t="shared" si="738"/>
        <v>6620</v>
      </c>
      <c r="P3811" s="132" t="s">
        <v>3597</v>
      </c>
      <c r="Q3811" s="232"/>
      <c r="R3811" s="411"/>
      <c r="T3811" s="439" t="s">
        <v>3598</v>
      </c>
      <c r="U3811" s="446" t="s">
        <v>8565</v>
      </c>
      <c r="V3811" s="133" t="s">
        <v>8550</v>
      </c>
      <c r="AA3811" s="218"/>
    </row>
    <row r="3812" spans="1:27" x14ac:dyDescent="0.25">
      <c r="A3812" s="432"/>
      <c r="B3812" s="433"/>
      <c r="C3812" s="432"/>
      <c r="D3812" s="454"/>
      <c r="E3812" s="120">
        <v>2000</v>
      </c>
      <c r="F3812" s="133" t="s">
        <v>312</v>
      </c>
      <c r="G3812" s="435"/>
      <c r="H3812" s="438"/>
      <c r="I3812" s="438"/>
      <c r="J3812" s="438"/>
      <c r="K3812" s="437"/>
      <c r="L3812" s="187">
        <v>514</v>
      </c>
      <c r="N3812" s="91">
        <f t="shared" si="732"/>
        <v>1028</v>
      </c>
      <c r="O3812" s="411">
        <f t="shared" si="738"/>
        <v>-1028</v>
      </c>
      <c r="P3812" s="132" t="s">
        <v>3597</v>
      </c>
      <c r="Q3812" s="232"/>
      <c r="R3812" s="411"/>
      <c r="T3812" s="440"/>
      <c r="U3812" s="448"/>
      <c r="AA3812" s="218"/>
    </row>
    <row r="3813" spans="1:27" x14ac:dyDescent="0.25">
      <c r="A3813" s="432"/>
      <c r="B3813" s="433"/>
      <c r="C3813" s="432"/>
      <c r="D3813" s="454"/>
      <c r="E3813" s="120">
        <v>2000</v>
      </c>
      <c r="F3813" s="133" t="s">
        <v>1597</v>
      </c>
      <c r="G3813" s="435"/>
      <c r="H3813" s="438"/>
      <c r="I3813" s="438"/>
      <c r="J3813" s="438"/>
      <c r="K3813" s="437"/>
      <c r="L3813" s="187">
        <v>709</v>
      </c>
      <c r="N3813" s="91">
        <f t="shared" si="732"/>
        <v>1418</v>
      </c>
      <c r="O3813" s="411">
        <f t="shared" si="738"/>
        <v>-1418</v>
      </c>
      <c r="P3813" s="132" t="s">
        <v>3597</v>
      </c>
      <c r="Q3813" s="232"/>
      <c r="R3813" s="411"/>
      <c r="T3813" s="441"/>
      <c r="U3813" s="447"/>
      <c r="AA3813" s="218"/>
    </row>
    <row r="3814" spans="1:27" ht="24" x14ac:dyDescent="0.25">
      <c r="A3814" s="420"/>
      <c r="B3814" s="422"/>
      <c r="C3814" s="420"/>
      <c r="D3814" s="418"/>
      <c r="E3814" s="120">
        <v>2000</v>
      </c>
      <c r="F3814" s="133" t="s">
        <v>8566</v>
      </c>
      <c r="G3814" s="436"/>
      <c r="H3814" s="428"/>
      <c r="I3814" s="428"/>
      <c r="J3814" s="428"/>
      <c r="K3814" s="426"/>
      <c r="L3814" s="187">
        <v>964</v>
      </c>
      <c r="M3814" s="187">
        <v>109.25</v>
      </c>
      <c r="N3814" s="91">
        <f t="shared" si="732"/>
        <v>2037.25</v>
      </c>
      <c r="O3814" s="411">
        <f t="shared" si="738"/>
        <v>-2037.25</v>
      </c>
      <c r="P3814" s="132" t="s">
        <v>313</v>
      </c>
      <c r="Q3814" s="232"/>
      <c r="R3814" s="411"/>
      <c r="T3814" s="134" t="s">
        <v>8567</v>
      </c>
      <c r="U3814" s="267" t="s">
        <v>8568</v>
      </c>
      <c r="V3814" s="133" t="s">
        <v>8569</v>
      </c>
      <c r="AA3814" s="218"/>
    </row>
    <row r="3815" spans="1:27" ht="24" x14ac:dyDescent="0.25">
      <c r="A3815" s="405">
        <v>3002940</v>
      </c>
      <c r="B3815" s="406">
        <v>42552</v>
      </c>
      <c r="C3815" s="405" t="s">
        <v>141</v>
      </c>
      <c r="D3815" s="401" t="s">
        <v>8570</v>
      </c>
      <c r="E3815" s="120">
        <v>100</v>
      </c>
      <c r="F3815" s="133" t="s">
        <v>2063</v>
      </c>
      <c r="G3815" s="404" t="s">
        <v>7486</v>
      </c>
      <c r="H3815" s="411">
        <v>300</v>
      </c>
      <c r="I3815" s="411">
        <v>0</v>
      </c>
      <c r="J3815" s="391">
        <f>-((H3815*0.0325)+0.3)</f>
        <v>-10.050000000000001</v>
      </c>
      <c r="K3815" s="90">
        <f t="shared" ref="K3815:K3910" si="742">SUM(H3815:J3815)</f>
        <v>289.95</v>
      </c>
      <c r="L3815" s="187">
        <v>2250</v>
      </c>
      <c r="N3815" s="91">
        <f t="shared" si="732"/>
        <v>225</v>
      </c>
      <c r="O3815" s="411">
        <f t="shared" si="738"/>
        <v>64.949999999999989</v>
      </c>
      <c r="P3815" s="132" t="s">
        <v>601</v>
      </c>
      <c r="Q3815" s="232"/>
      <c r="R3815" s="411"/>
      <c r="T3815" s="134" t="s">
        <v>204</v>
      </c>
      <c r="U3815" s="266" t="s">
        <v>8501</v>
      </c>
      <c r="W3815" s="153" t="s">
        <v>8571</v>
      </c>
      <c r="AA3815" s="218"/>
    </row>
    <row r="3816" spans="1:27" ht="24" x14ac:dyDescent="0.25">
      <c r="A3816" s="405">
        <v>3002941</v>
      </c>
      <c r="B3816" s="406">
        <v>42552</v>
      </c>
      <c r="C3816" s="405" t="s">
        <v>5682</v>
      </c>
      <c r="D3816" s="401" t="s">
        <v>8572</v>
      </c>
      <c r="E3816" s="120">
        <v>100</v>
      </c>
      <c r="F3816" s="133" t="s">
        <v>161</v>
      </c>
      <c r="G3816" s="404" t="s">
        <v>7486</v>
      </c>
      <c r="H3816" s="411">
        <v>230</v>
      </c>
      <c r="I3816" s="89">
        <f t="shared" ref="I3816:I3819" si="743">-(H3816*0.09)</f>
        <v>-20.7</v>
      </c>
      <c r="J3816" s="391">
        <f t="shared" ref="J3816:J3819" si="744">-((H3816*0.019)+0.3)</f>
        <v>-4.67</v>
      </c>
      <c r="K3816" s="90">
        <f t="shared" si="742"/>
        <v>204.63000000000002</v>
      </c>
      <c r="L3816" s="131">
        <v>1322</v>
      </c>
      <c r="M3816" s="187">
        <v>39.51</v>
      </c>
      <c r="N3816" s="91">
        <f t="shared" si="732"/>
        <v>171.71</v>
      </c>
      <c r="O3816" s="411">
        <f t="shared" si="738"/>
        <v>32.920000000000016</v>
      </c>
      <c r="P3816" s="132" t="s">
        <v>52</v>
      </c>
      <c r="Q3816" s="232"/>
      <c r="R3816" s="411"/>
      <c r="T3816" s="134" t="s">
        <v>145</v>
      </c>
      <c r="U3816" s="267" t="s">
        <v>8573</v>
      </c>
      <c r="AA3816" s="218"/>
    </row>
    <row r="3817" spans="1:27" ht="24" x14ac:dyDescent="0.25">
      <c r="A3817" s="405">
        <v>3002942</v>
      </c>
      <c r="B3817" s="406">
        <v>42552</v>
      </c>
      <c r="C3817" s="405" t="s">
        <v>5682</v>
      </c>
      <c r="D3817" s="401" t="s">
        <v>8574</v>
      </c>
      <c r="E3817" s="120">
        <v>250</v>
      </c>
      <c r="F3817" s="133" t="s">
        <v>207</v>
      </c>
      <c r="G3817" s="404" t="s">
        <v>7486</v>
      </c>
      <c r="H3817" s="411">
        <v>275.48</v>
      </c>
      <c r="I3817" s="89">
        <f t="shared" si="743"/>
        <v>-24.793200000000002</v>
      </c>
      <c r="J3817" s="391">
        <f t="shared" si="744"/>
        <v>-5.5341199999999997</v>
      </c>
      <c r="K3817" s="90">
        <f t="shared" si="742"/>
        <v>245.15268</v>
      </c>
      <c r="L3817" s="131">
        <v>570</v>
      </c>
      <c r="M3817" s="187">
        <v>30.07</v>
      </c>
      <c r="N3817" s="91">
        <f t="shared" si="732"/>
        <v>172.57</v>
      </c>
      <c r="O3817" s="411">
        <f t="shared" si="738"/>
        <v>72.582680000000011</v>
      </c>
      <c r="P3817" s="132" t="s">
        <v>52</v>
      </c>
      <c r="Q3817" s="232"/>
      <c r="R3817" s="411"/>
      <c r="T3817" s="134" t="s">
        <v>145</v>
      </c>
      <c r="U3817" s="267" t="s">
        <v>8575</v>
      </c>
      <c r="AA3817" s="218"/>
    </row>
    <row r="3818" spans="1:27" ht="24" x14ac:dyDescent="0.25">
      <c r="A3818" s="405">
        <v>3002943</v>
      </c>
      <c r="B3818" s="406">
        <v>42552</v>
      </c>
      <c r="C3818" s="405" t="s">
        <v>5682</v>
      </c>
      <c r="D3818" s="401" t="s">
        <v>8576</v>
      </c>
      <c r="E3818" s="120">
        <v>250</v>
      </c>
      <c r="F3818" s="133" t="s">
        <v>8577</v>
      </c>
      <c r="G3818" s="404" t="s">
        <v>7486</v>
      </c>
      <c r="H3818" s="411">
        <v>250.79</v>
      </c>
      <c r="I3818" s="89">
        <f t="shared" si="743"/>
        <v>-22.571099999999998</v>
      </c>
      <c r="J3818" s="391">
        <f t="shared" si="744"/>
        <v>-5.0650099999999991</v>
      </c>
      <c r="K3818" s="90">
        <f t="shared" si="742"/>
        <v>223.15388999999999</v>
      </c>
      <c r="L3818" s="131">
        <v>577</v>
      </c>
      <c r="M3818" s="187">
        <v>45.98</v>
      </c>
      <c r="N3818" s="91">
        <f t="shared" si="732"/>
        <v>190.23</v>
      </c>
      <c r="O3818" s="411">
        <f t="shared" si="738"/>
        <v>32.92389</v>
      </c>
      <c r="P3818" s="132" t="s">
        <v>52</v>
      </c>
      <c r="Q3818" s="232"/>
      <c r="R3818" s="411"/>
      <c r="T3818" s="134" t="s">
        <v>145</v>
      </c>
      <c r="U3818" s="267" t="s">
        <v>8578</v>
      </c>
      <c r="AA3818" s="218"/>
    </row>
    <row r="3819" spans="1:27" ht="24" x14ac:dyDescent="0.25">
      <c r="A3819" s="405">
        <v>3002944</v>
      </c>
      <c r="B3819" s="406">
        <v>42552</v>
      </c>
      <c r="C3819" s="405" t="s">
        <v>5682</v>
      </c>
      <c r="D3819" s="401" t="s">
        <v>8579</v>
      </c>
      <c r="E3819" s="120">
        <v>500</v>
      </c>
      <c r="F3819" s="133" t="s">
        <v>451</v>
      </c>
      <c r="G3819" s="404" t="s">
        <v>7486</v>
      </c>
      <c r="H3819" s="411">
        <v>290</v>
      </c>
      <c r="I3819" s="89">
        <f t="shared" si="743"/>
        <v>-26.099999999999998</v>
      </c>
      <c r="J3819" s="391">
        <f t="shared" si="744"/>
        <v>-5.81</v>
      </c>
      <c r="K3819" s="90">
        <f t="shared" si="742"/>
        <v>258.08999999999997</v>
      </c>
      <c r="L3819" s="131">
        <v>300</v>
      </c>
      <c r="M3819" s="187">
        <v>35.229999999999997</v>
      </c>
      <c r="N3819" s="91">
        <f t="shared" si="732"/>
        <v>185.23</v>
      </c>
      <c r="O3819" s="411">
        <f t="shared" si="738"/>
        <v>72.859999999999985</v>
      </c>
      <c r="P3819" s="132" t="s">
        <v>52</v>
      </c>
      <c r="Q3819" s="232"/>
      <c r="R3819" s="411"/>
      <c r="T3819" s="134" t="s">
        <v>145</v>
      </c>
      <c r="U3819" s="267" t="s">
        <v>8580</v>
      </c>
      <c r="AA3819" s="218"/>
    </row>
    <row r="3820" spans="1:27" ht="24" x14ac:dyDescent="0.25">
      <c r="A3820" s="405">
        <v>3002945</v>
      </c>
      <c r="B3820" s="406">
        <v>42552</v>
      </c>
      <c r="C3820" s="405" t="s">
        <v>63</v>
      </c>
      <c r="D3820" s="401" t="s">
        <v>8581</v>
      </c>
      <c r="E3820" s="120">
        <v>1500</v>
      </c>
      <c r="F3820" s="178" t="s">
        <v>8582</v>
      </c>
      <c r="G3820" s="404" t="s">
        <v>7486</v>
      </c>
      <c r="H3820" s="411">
        <v>2475</v>
      </c>
      <c r="I3820" s="411">
        <v>0</v>
      </c>
      <c r="J3820" s="391">
        <f>-((H3820*0.022)+0.3)</f>
        <v>-54.749999999999993</v>
      </c>
      <c r="K3820" s="90">
        <f t="shared" si="742"/>
        <v>2420.25</v>
      </c>
      <c r="L3820" s="187">
        <v>1230</v>
      </c>
      <c r="M3820" s="131">
        <v>0</v>
      </c>
      <c r="N3820" s="91">
        <f t="shared" si="732"/>
        <v>1845</v>
      </c>
      <c r="O3820" s="411">
        <f t="shared" si="738"/>
        <v>575.25</v>
      </c>
      <c r="P3820" s="132" t="s">
        <v>183</v>
      </c>
      <c r="Q3820" s="232"/>
      <c r="R3820" s="411"/>
      <c r="T3820" s="134" t="s">
        <v>756</v>
      </c>
      <c r="U3820" s="266" t="s">
        <v>756</v>
      </c>
      <c r="W3820" s="153" t="s">
        <v>6899</v>
      </c>
      <c r="AA3820" s="218">
        <v>10</v>
      </c>
    </row>
    <row r="3821" spans="1:27" x14ac:dyDescent="0.25">
      <c r="A3821" s="405">
        <v>3002946</v>
      </c>
      <c r="B3821" s="406">
        <v>42552</v>
      </c>
      <c r="C3821" s="405" t="s">
        <v>63</v>
      </c>
      <c r="D3821" s="401" t="s">
        <v>74</v>
      </c>
      <c r="E3821" s="120">
        <v>5160</v>
      </c>
      <c r="F3821" s="133" t="s">
        <v>8583</v>
      </c>
      <c r="G3821" s="404" t="s">
        <v>7486</v>
      </c>
      <c r="H3821" s="411">
        <v>5160</v>
      </c>
      <c r="I3821" s="411">
        <v>0</v>
      </c>
      <c r="J3821" s="391">
        <f>-((H3821*0.022)+0.3)</f>
        <v>-113.82</v>
      </c>
      <c r="K3821" s="90">
        <f t="shared" si="742"/>
        <v>5046.18</v>
      </c>
      <c r="L3821" s="187">
        <v>600</v>
      </c>
      <c r="M3821" s="158">
        <v>302.55</v>
      </c>
      <c r="N3821" s="91">
        <f t="shared" si="732"/>
        <v>3398.55</v>
      </c>
      <c r="O3821" s="411">
        <f t="shared" si="738"/>
        <v>1647.63</v>
      </c>
      <c r="P3821" s="132" t="s">
        <v>5735</v>
      </c>
      <c r="Q3821" s="232"/>
      <c r="R3821" s="411"/>
      <c r="T3821" s="134" t="s">
        <v>244</v>
      </c>
      <c r="U3821" s="266" t="s">
        <v>8584</v>
      </c>
      <c r="V3821" s="133" t="s">
        <v>55</v>
      </c>
      <c r="W3821" s="153" t="s">
        <v>77</v>
      </c>
      <c r="AA3821" s="218">
        <v>25</v>
      </c>
    </row>
    <row r="3822" spans="1:27" ht="36" x14ac:dyDescent="0.25">
      <c r="A3822" s="405">
        <v>3002947</v>
      </c>
      <c r="B3822" s="406">
        <v>42552</v>
      </c>
      <c r="C3822" s="405" t="s">
        <v>573</v>
      </c>
      <c r="D3822" s="401" t="s">
        <v>8585</v>
      </c>
      <c r="E3822" s="120">
        <v>1400</v>
      </c>
      <c r="F3822" s="119" t="s">
        <v>8586</v>
      </c>
      <c r="G3822" s="404" t="s">
        <v>7486</v>
      </c>
      <c r="H3822" s="411">
        <v>28700</v>
      </c>
      <c r="I3822" s="411">
        <v>0</v>
      </c>
      <c r="J3822" s="411">
        <v>0</v>
      </c>
      <c r="K3822" s="90">
        <f t="shared" si="742"/>
        <v>28700</v>
      </c>
      <c r="L3822" s="187">
        <v>16500</v>
      </c>
      <c r="M3822" s="131">
        <v>0</v>
      </c>
      <c r="N3822" s="91">
        <f t="shared" si="732"/>
        <v>23100.000000000004</v>
      </c>
      <c r="O3822" s="411"/>
      <c r="P3822" s="132" t="s">
        <v>59</v>
      </c>
      <c r="Q3822" s="232"/>
      <c r="R3822" s="411"/>
      <c r="T3822" s="134" t="s">
        <v>389</v>
      </c>
      <c r="U3822" s="267" t="s">
        <v>8587</v>
      </c>
      <c r="V3822" s="133" t="s">
        <v>8588</v>
      </c>
      <c r="W3822" s="153" t="s">
        <v>8589</v>
      </c>
      <c r="AA3822" s="218"/>
    </row>
    <row r="3823" spans="1:27" ht="24" x14ac:dyDescent="0.25">
      <c r="A3823" s="405">
        <v>3002948</v>
      </c>
      <c r="B3823" s="406">
        <v>42552</v>
      </c>
      <c r="C3823" s="405" t="s">
        <v>5682</v>
      </c>
      <c r="D3823" s="401" t="s">
        <v>8590</v>
      </c>
      <c r="E3823" s="120">
        <v>250</v>
      </c>
      <c r="F3823" s="133" t="s">
        <v>161</v>
      </c>
      <c r="G3823" s="404" t="s">
        <v>7486</v>
      </c>
      <c r="H3823" s="411">
        <v>641.25</v>
      </c>
      <c r="I3823" s="89">
        <f t="shared" ref="I3823:I3825" si="745">-(H3823*0.09)</f>
        <v>-57.712499999999999</v>
      </c>
      <c r="J3823" s="391">
        <f t="shared" ref="J3823:J3825" si="746">-((H3823*0.019)+0.3)</f>
        <v>-12.483750000000001</v>
      </c>
      <c r="K3823" s="90">
        <f t="shared" si="742"/>
        <v>571.05375000000004</v>
      </c>
      <c r="L3823" s="131">
        <v>1322</v>
      </c>
      <c r="M3823" s="187">
        <v>59.93</v>
      </c>
      <c r="N3823" s="91">
        <f t="shared" si="732"/>
        <v>390.43</v>
      </c>
      <c r="O3823" s="411">
        <f t="shared" si="738"/>
        <v>180.62375000000003</v>
      </c>
      <c r="P3823" s="132" t="s">
        <v>52</v>
      </c>
      <c r="Q3823" s="232"/>
      <c r="R3823" s="411"/>
      <c r="T3823" s="134" t="s">
        <v>145</v>
      </c>
      <c r="U3823" s="267" t="s">
        <v>8591</v>
      </c>
      <c r="AA3823" s="218"/>
    </row>
    <row r="3824" spans="1:27" ht="24" x14ac:dyDescent="0.25">
      <c r="A3824" s="405">
        <v>3002949</v>
      </c>
      <c r="B3824" s="406">
        <v>42552</v>
      </c>
      <c r="C3824" s="405" t="s">
        <v>5682</v>
      </c>
      <c r="D3824" s="401" t="s">
        <v>8592</v>
      </c>
      <c r="E3824" s="120">
        <v>50</v>
      </c>
      <c r="F3824" s="133" t="s">
        <v>2408</v>
      </c>
      <c r="G3824" s="404" t="s">
        <v>7486</v>
      </c>
      <c r="H3824" s="411">
        <v>122.5</v>
      </c>
      <c r="I3824" s="89">
        <f t="shared" si="745"/>
        <v>-11.025</v>
      </c>
      <c r="J3824" s="391">
        <f t="shared" si="746"/>
        <v>-2.6274999999999999</v>
      </c>
      <c r="K3824" s="90">
        <f t="shared" si="742"/>
        <v>108.8475</v>
      </c>
      <c r="L3824" s="187">
        <v>1450</v>
      </c>
      <c r="M3824" s="187">
        <v>23.72</v>
      </c>
      <c r="N3824" s="91">
        <f t="shared" si="732"/>
        <v>96.22</v>
      </c>
      <c r="O3824" s="411">
        <f t="shared" si="738"/>
        <v>12.627499999999998</v>
      </c>
      <c r="P3824" s="132" t="s">
        <v>601</v>
      </c>
      <c r="Q3824" s="232"/>
      <c r="R3824" s="411"/>
      <c r="T3824" s="134" t="s">
        <v>145</v>
      </c>
      <c r="U3824" s="267" t="s">
        <v>8593</v>
      </c>
      <c r="AA3824" s="218"/>
    </row>
    <row r="3825" spans="1:27" ht="24" x14ac:dyDescent="0.25">
      <c r="A3825" s="405">
        <v>3002950</v>
      </c>
      <c r="B3825" s="406">
        <v>42552</v>
      </c>
      <c r="C3825" s="405" t="s">
        <v>5682</v>
      </c>
      <c r="D3825" s="401" t="s">
        <v>8594</v>
      </c>
      <c r="E3825" s="120">
        <v>250</v>
      </c>
      <c r="F3825" s="133" t="s">
        <v>451</v>
      </c>
      <c r="G3825" s="404" t="s">
        <v>7486</v>
      </c>
      <c r="H3825" s="411">
        <v>155.37</v>
      </c>
      <c r="I3825" s="89">
        <f t="shared" si="745"/>
        <v>-13.9833</v>
      </c>
      <c r="J3825" s="391">
        <f t="shared" si="746"/>
        <v>-3.25203</v>
      </c>
      <c r="K3825" s="90">
        <f t="shared" si="742"/>
        <v>138.13467000000003</v>
      </c>
      <c r="L3825" s="131">
        <v>300</v>
      </c>
      <c r="M3825" s="187">
        <v>45.37</v>
      </c>
      <c r="N3825" s="91">
        <f t="shared" si="732"/>
        <v>120.37</v>
      </c>
      <c r="O3825" s="411">
        <f t="shared" si="738"/>
        <v>17.764670000000024</v>
      </c>
      <c r="P3825" s="132" t="s">
        <v>52</v>
      </c>
      <c r="Q3825" s="232"/>
      <c r="R3825" s="411"/>
      <c r="T3825" s="134" t="s">
        <v>145</v>
      </c>
      <c r="U3825" s="267" t="s">
        <v>8595</v>
      </c>
      <c r="AA3825" s="218"/>
    </row>
    <row r="3826" spans="1:27" ht="24" x14ac:dyDescent="0.25">
      <c r="A3826" s="405">
        <v>3002951</v>
      </c>
      <c r="B3826" s="406">
        <v>42552</v>
      </c>
      <c r="C3826" s="405" t="s">
        <v>237</v>
      </c>
      <c r="D3826" s="401" t="s">
        <v>8596</v>
      </c>
      <c r="E3826" s="120">
        <v>50</v>
      </c>
      <c r="F3826" s="133" t="s">
        <v>4380</v>
      </c>
      <c r="G3826" s="404" t="s">
        <v>7486</v>
      </c>
      <c r="H3826" s="411">
        <v>357.75</v>
      </c>
      <c r="I3826" s="397">
        <f t="shared" ref="I3826:I3838" si="747">-(H3826*0.15)</f>
        <v>-53.662500000000001</v>
      </c>
      <c r="J3826" s="411">
        <v>0</v>
      </c>
      <c r="K3826" s="90">
        <f t="shared" si="742"/>
        <v>304.08749999999998</v>
      </c>
      <c r="L3826" s="131">
        <v>2567</v>
      </c>
      <c r="M3826" s="187">
        <v>31.07</v>
      </c>
      <c r="N3826" s="91">
        <f t="shared" si="732"/>
        <v>159.41999999999999</v>
      </c>
      <c r="O3826" s="411">
        <f t="shared" si="738"/>
        <v>144.66749999999999</v>
      </c>
      <c r="P3826" s="132" t="s">
        <v>52</v>
      </c>
      <c r="Q3826" s="232"/>
      <c r="R3826" s="411"/>
      <c r="T3826" s="134" t="s">
        <v>145</v>
      </c>
      <c r="U3826" s="267" t="s">
        <v>8597</v>
      </c>
      <c r="AA3826" s="218"/>
    </row>
    <row r="3827" spans="1:27" ht="24" x14ac:dyDescent="0.25">
      <c r="A3827" s="405">
        <v>3002952</v>
      </c>
      <c r="B3827" s="406">
        <v>42552</v>
      </c>
      <c r="C3827" s="405" t="s">
        <v>237</v>
      </c>
      <c r="D3827" s="401" t="s">
        <v>8598</v>
      </c>
      <c r="E3827" s="120">
        <v>250</v>
      </c>
      <c r="F3827" s="133" t="s">
        <v>1472</v>
      </c>
      <c r="G3827" s="404" t="s">
        <v>7486</v>
      </c>
      <c r="H3827" s="411">
        <v>103.49</v>
      </c>
      <c r="I3827" s="397">
        <f t="shared" si="747"/>
        <v>-15.523499999999999</v>
      </c>
      <c r="J3827" s="411">
        <v>0</v>
      </c>
      <c r="K3827" s="90">
        <f t="shared" si="742"/>
        <v>87.966499999999996</v>
      </c>
      <c r="L3827" s="131">
        <v>210</v>
      </c>
      <c r="M3827" s="187">
        <v>28.25</v>
      </c>
      <c r="N3827" s="91">
        <f t="shared" si="732"/>
        <v>80.75</v>
      </c>
      <c r="O3827" s="411">
        <f t="shared" si="738"/>
        <v>7.2164999999999964</v>
      </c>
      <c r="P3827" s="132" t="s">
        <v>52</v>
      </c>
      <c r="Q3827" s="232"/>
      <c r="R3827" s="411"/>
      <c r="T3827" s="134" t="s">
        <v>145</v>
      </c>
      <c r="U3827" s="267" t="s">
        <v>8599</v>
      </c>
      <c r="AA3827" s="218"/>
    </row>
    <row r="3828" spans="1:27" ht="24" x14ac:dyDescent="0.25">
      <c r="A3828" s="405">
        <v>3002953</v>
      </c>
      <c r="B3828" s="406">
        <v>42552</v>
      </c>
      <c r="C3828" s="405" t="s">
        <v>237</v>
      </c>
      <c r="D3828" s="401" t="s">
        <v>8600</v>
      </c>
      <c r="E3828" s="120">
        <v>100</v>
      </c>
      <c r="F3828" s="133" t="s">
        <v>161</v>
      </c>
      <c r="G3828" s="404" t="s">
        <v>7486</v>
      </c>
      <c r="H3828" s="411">
        <v>260</v>
      </c>
      <c r="I3828" s="397">
        <f t="shared" si="747"/>
        <v>-39</v>
      </c>
      <c r="J3828" s="411">
        <v>0</v>
      </c>
      <c r="K3828" s="90">
        <f t="shared" si="742"/>
        <v>221</v>
      </c>
      <c r="L3828" s="131">
        <v>1322</v>
      </c>
      <c r="M3828" s="187">
        <v>26.83</v>
      </c>
      <c r="N3828" s="91">
        <f t="shared" si="732"/>
        <v>159.03000000000003</v>
      </c>
      <c r="O3828" s="411">
        <f t="shared" si="738"/>
        <v>61.96999999999997</v>
      </c>
      <c r="P3828" s="132" t="s">
        <v>52</v>
      </c>
      <c r="Q3828" s="232"/>
      <c r="R3828" s="411"/>
      <c r="T3828" s="134" t="s">
        <v>145</v>
      </c>
      <c r="U3828" s="267" t="s">
        <v>8601</v>
      </c>
      <c r="AA3828" s="218"/>
    </row>
    <row r="3829" spans="1:27" ht="36" x14ac:dyDescent="0.25">
      <c r="A3829" s="405">
        <v>3002954</v>
      </c>
      <c r="B3829" s="406">
        <v>42552</v>
      </c>
      <c r="C3829" s="405" t="s">
        <v>237</v>
      </c>
      <c r="D3829" s="401" t="s">
        <v>8602</v>
      </c>
      <c r="E3829" s="120">
        <v>300</v>
      </c>
      <c r="F3829" s="119" t="s">
        <v>8603</v>
      </c>
      <c r="G3829" s="404" t="s">
        <v>7486</v>
      </c>
      <c r="H3829" s="411">
        <v>159.37</v>
      </c>
      <c r="I3829" s="397">
        <f t="shared" si="747"/>
        <v>-23.9055</v>
      </c>
      <c r="J3829" s="411">
        <v>0</v>
      </c>
      <c r="K3829" s="90">
        <f t="shared" si="742"/>
        <v>135.46450000000002</v>
      </c>
      <c r="L3829" s="187">
        <v>255</v>
      </c>
      <c r="M3829" s="187">
        <v>13.1</v>
      </c>
      <c r="N3829" s="91">
        <f t="shared" ref="N3829:N3896" si="748">((L3829)*(E3829*0.001))+M3829</f>
        <v>89.6</v>
      </c>
      <c r="O3829" s="411">
        <f t="shared" si="738"/>
        <v>45.864500000000021</v>
      </c>
      <c r="P3829" s="132" t="s">
        <v>4288</v>
      </c>
      <c r="Q3829" s="232"/>
      <c r="R3829" s="411"/>
      <c r="T3829" s="134" t="s">
        <v>145</v>
      </c>
      <c r="U3829" s="267" t="s">
        <v>8604</v>
      </c>
      <c r="AA3829" s="218"/>
    </row>
    <row r="3830" spans="1:27" ht="24" x14ac:dyDescent="0.25">
      <c r="A3830" s="405">
        <v>3002955</v>
      </c>
      <c r="B3830" s="406">
        <v>42552</v>
      </c>
      <c r="C3830" s="405" t="s">
        <v>237</v>
      </c>
      <c r="D3830" s="401" t="s">
        <v>8605</v>
      </c>
      <c r="E3830" s="120">
        <v>100</v>
      </c>
      <c r="F3830" s="133" t="s">
        <v>161</v>
      </c>
      <c r="G3830" s="404" t="s">
        <v>7486</v>
      </c>
      <c r="H3830" s="411">
        <v>260</v>
      </c>
      <c r="I3830" s="397">
        <f t="shared" si="747"/>
        <v>-39</v>
      </c>
      <c r="J3830" s="411">
        <v>0</v>
      </c>
      <c r="K3830" s="90">
        <f t="shared" si="742"/>
        <v>221</v>
      </c>
      <c r="L3830" s="131">
        <v>1322</v>
      </c>
      <c r="M3830" s="187">
        <v>48.47</v>
      </c>
      <c r="N3830" s="91">
        <f t="shared" si="748"/>
        <v>180.67000000000002</v>
      </c>
      <c r="O3830" s="411">
        <f t="shared" si="738"/>
        <v>40.329999999999984</v>
      </c>
      <c r="P3830" s="132" t="s">
        <v>52</v>
      </c>
      <c r="Q3830" s="232"/>
      <c r="R3830" s="411"/>
      <c r="T3830" s="134" t="s">
        <v>145</v>
      </c>
      <c r="U3830" s="267" t="s">
        <v>8606</v>
      </c>
      <c r="AA3830" s="218"/>
    </row>
    <row r="3831" spans="1:27" x14ac:dyDescent="0.25">
      <c r="A3831" s="405">
        <v>3002956</v>
      </c>
      <c r="B3831" s="406">
        <v>42552</v>
      </c>
      <c r="C3831" s="405" t="s">
        <v>237</v>
      </c>
      <c r="D3831" s="401" t="s">
        <v>8607</v>
      </c>
      <c r="E3831" s="120">
        <v>225</v>
      </c>
      <c r="F3831" s="133" t="s">
        <v>874</v>
      </c>
      <c r="G3831" s="404" t="s">
        <v>7486</v>
      </c>
      <c r="H3831" s="411">
        <v>845.71</v>
      </c>
      <c r="I3831" s="397">
        <f t="shared" si="747"/>
        <v>-126.8565</v>
      </c>
      <c r="J3831" s="411">
        <v>0</v>
      </c>
      <c r="K3831" s="90">
        <f t="shared" si="742"/>
        <v>718.85350000000005</v>
      </c>
      <c r="L3831" s="131">
        <v>1750</v>
      </c>
      <c r="M3831" s="187">
        <v>157.86000000000001</v>
      </c>
      <c r="N3831" s="91">
        <f t="shared" si="748"/>
        <v>551.61</v>
      </c>
      <c r="O3831" s="411">
        <f t="shared" si="738"/>
        <v>167.24350000000004</v>
      </c>
      <c r="P3831" s="132" t="s">
        <v>52</v>
      </c>
      <c r="Q3831" s="232"/>
      <c r="R3831" s="411"/>
      <c r="T3831" s="134" t="s">
        <v>97</v>
      </c>
      <c r="U3831" s="267" t="s">
        <v>8608</v>
      </c>
      <c r="V3831" s="133" t="s">
        <v>55</v>
      </c>
      <c r="AA3831" s="218"/>
    </row>
    <row r="3832" spans="1:27" ht="24" x14ac:dyDescent="0.25">
      <c r="A3832" s="405">
        <v>3002957</v>
      </c>
      <c r="B3832" s="406">
        <v>42552</v>
      </c>
      <c r="C3832" s="405" t="s">
        <v>237</v>
      </c>
      <c r="D3832" s="401" t="s">
        <v>8609</v>
      </c>
      <c r="E3832" s="120">
        <v>250</v>
      </c>
      <c r="F3832" s="133" t="s">
        <v>3301</v>
      </c>
      <c r="G3832" s="404" t="s">
        <v>7486</v>
      </c>
      <c r="H3832" s="411">
        <v>294</v>
      </c>
      <c r="I3832" s="397">
        <f t="shared" si="747"/>
        <v>-44.1</v>
      </c>
      <c r="J3832" s="411">
        <v>0</v>
      </c>
      <c r="K3832" s="90">
        <f t="shared" si="742"/>
        <v>249.9</v>
      </c>
      <c r="L3832" s="187">
        <v>750</v>
      </c>
      <c r="M3832" s="187">
        <v>16.14</v>
      </c>
      <c r="N3832" s="91">
        <f t="shared" si="748"/>
        <v>203.64</v>
      </c>
      <c r="O3832" s="411">
        <f t="shared" si="738"/>
        <v>46.260000000000019</v>
      </c>
      <c r="P3832" s="132" t="s">
        <v>601</v>
      </c>
      <c r="Q3832" s="232"/>
      <c r="R3832" s="411"/>
      <c r="T3832" s="134" t="s">
        <v>145</v>
      </c>
      <c r="U3832" s="267" t="s">
        <v>8610</v>
      </c>
      <c r="AA3832" s="218"/>
    </row>
    <row r="3833" spans="1:27" x14ac:dyDescent="0.25">
      <c r="A3833" s="419">
        <v>3002958</v>
      </c>
      <c r="B3833" s="421">
        <v>42552</v>
      </c>
      <c r="C3833" s="419" t="s">
        <v>237</v>
      </c>
      <c r="D3833" s="417" t="s">
        <v>8611</v>
      </c>
      <c r="E3833" s="120">
        <v>100</v>
      </c>
      <c r="F3833" s="133" t="s">
        <v>3345</v>
      </c>
      <c r="G3833" s="434" t="s">
        <v>7486</v>
      </c>
      <c r="H3833" s="427">
        <v>595.84</v>
      </c>
      <c r="I3833" s="452">
        <f t="shared" si="747"/>
        <v>-89.376000000000005</v>
      </c>
      <c r="J3833" s="427">
        <v>0</v>
      </c>
      <c r="K3833" s="425">
        <f t="shared" si="742"/>
        <v>506.46400000000006</v>
      </c>
      <c r="L3833" s="187">
        <v>1450</v>
      </c>
      <c r="M3833" s="468">
        <v>45.32</v>
      </c>
      <c r="N3833" s="91">
        <f t="shared" si="748"/>
        <v>190.32</v>
      </c>
      <c r="O3833" s="411">
        <f t="shared" si="738"/>
        <v>316.14400000000006</v>
      </c>
      <c r="P3833" s="132" t="s">
        <v>601</v>
      </c>
      <c r="Q3833" s="232"/>
      <c r="R3833" s="411"/>
      <c r="T3833" s="439" t="s">
        <v>145</v>
      </c>
      <c r="U3833" s="446" t="s">
        <v>8612</v>
      </c>
      <c r="AA3833" s="218"/>
    </row>
    <row r="3834" spans="1:27" x14ac:dyDescent="0.25">
      <c r="A3834" s="420"/>
      <c r="B3834" s="422"/>
      <c r="C3834" s="420"/>
      <c r="D3834" s="418"/>
      <c r="E3834" s="120">
        <v>100</v>
      </c>
      <c r="F3834" s="133" t="s">
        <v>2483</v>
      </c>
      <c r="G3834" s="436"/>
      <c r="H3834" s="428"/>
      <c r="I3834" s="453"/>
      <c r="J3834" s="428"/>
      <c r="K3834" s="426"/>
      <c r="L3834" s="187">
        <v>1450</v>
      </c>
      <c r="M3834" s="469"/>
      <c r="N3834" s="91">
        <f t="shared" si="748"/>
        <v>145</v>
      </c>
      <c r="O3834" s="411">
        <f t="shared" si="738"/>
        <v>-145</v>
      </c>
      <c r="P3834" s="132" t="s">
        <v>601</v>
      </c>
      <c r="Q3834" s="232"/>
      <c r="R3834" s="411"/>
      <c r="T3834" s="441"/>
      <c r="U3834" s="447"/>
      <c r="AA3834" s="218"/>
    </row>
    <row r="3835" spans="1:27" ht="24" x14ac:dyDescent="0.25">
      <c r="A3835" s="405">
        <v>3002959</v>
      </c>
      <c r="B3835" s="406">
        <v>42552</v>
      </c>
      <c r="C3835" s="405" t="s">
        <v>237</v>
      </c>
      <c r="D3835" s="401" t="s">
        <v>8613</v>
      </c>
      <c r="E3835" s="120">
        <v>100</v>
      </c>
      <c r="F3835" s="133" t="s">
        <v>161</v>
      </c>
      <c r="G3835" s="404" t="s">
        <v>7486</v>
      </c>
      <c r="H3835" s="411">
        <v>240</v>
      </c>
      <c r="I3835" s="397">
        <f t="shared" si="747"/>
        <v>-36</v>
      </c>
      <c r="J3835" s="411">
        <v>0</v>
      </c>
      <c r="K3835" s="90">
        <f t="shared" si="742"/>
        <v>204</v>
      </c>
      <c r="L3835" s="131">
        <v>1322</v>
      </c>
      <c r="M3835" s="187">
        <v>44.99</v>
      </c>
      <c r="N3835" s="91">
        <f t="shared" si="748"/>
        <v>177.19000000000003</v>
      </c>
      <c r="O3835" s="411">
        <f t="shared" si="738"/>
        <v>26.809999999999974</v>
      </c>
      <c r="P3835" s="132" t="s">
        <v>52</v>
      </c>
      <c r="Q3835" s="232"/>
      <c r="R3835" s="411"/>
      <c r="T3835" s="134" t="s">
        <v>145</v>
      </c>
      <c r="U3835" s="267" t="s">
        <v>8614</v>
      </c>
      <c r="AA3835" s="218"/>
    </row>
    <row r="3836" spans="1:27" ht="24" x14ac:dyDescent="0.25">
      <c r="A3836" s="405">
        <v>3002960</v>
      </c>
      <c r="B3836" s="406">
        <v>42552</v>
      </c>
      <c r="C3836" s="405" t="s">
        <v>237</v>
      </c>
      <c r="D3836" s="401" t="s">
        <v>8615</v>
      </c>
      <c r="E3836" s="120">
        <v>150</v>
      </c>
      <c r="F3836" s="133" t="s">
        <v>247</v>
      </c>
      <c r="G3836" s="404" t="s">
        <v>7486</v>
      </c>
      <c r="H3836" s="411">
        <v>159.87</v>
      </c>
      <c r="I3836" s="397">
        <f t="shared" si="747"/>
        <v>-23.980499999999999</v>
      </c>
      <c r="J3836" s="411">
        <v>0</v>
      </c>
      <c r="K3836" s="90">
        <f t="shared" si="742"/>
        <v>135.8895</v>
      </c>
      <c r="L3836" s="131">
        <v>480</v>
      </c>
      <c r="M3836" s="187">
        <v>49.75</v>
      </c>
      <c r="N3836" s="91">
        <f t="shared" si="748"/>
        <v>121.75</v>
      </c>
      <c r="O3836" s="411">
        <f t="shared" si="738"/>
        <v>14.139499999999998</v>
      </c>
      <c r="P3836" s="132" t="s">
        <v>52</v>
      </c>
      <c r="Q3836" s="232"/>
      <c r="R3836" s="411"/>
      <c r="T3836" s="134" t="s">
        <v>145</v>
      </c>
      <c r="U3836" s="267" t="s">
        <v>8616</v>
      </c>
      <c r="AA3836" s="218"/>
    </row>
    <row r="3837" spans="1:27" ht="24" x14ac:dyDescent="0.25">
      <c r="A3837" s="405">
        <v>3002961</v>
      </c>
      <c r="B3837" s="406">
        <v>42552</v>
      </c>
      <c r="C3837" s="405" t="s">
        <v>237</v>
      </c>
      <c r="D3837" s="401" t="s">
        <v>8617</v>
      </c>
      <c r="E3837" s="120">
        <v>1000</v>
      </c>
      <c r="F3837" s="133" t="s">
        <v>6885</v>
      </c>
      <c r="G3837" s="404" t="s">
        <v>7486</v>
      </c>
      <c r="H3837" s="411">
        <v>425.07</v>
      </c>
      <c r="I3837" s="397">
        <f t="shared" si="747"/>
        <v>-63.760499999999993</v>
      </c>
      <c r="J3837" s="411">
        <v>0</v>
      </c>
      <c r="K3837" s="90">
        <f t="shared" si="742"/>
        <v>361.30950000000001</v>
      </c>
      <c r="M3837" s="187">
        <v>68.650000000000006</v>
      </c>
      <c r="N3837" s="91">
        <f t="shared" si="748"/>
        <v>68.650000000000006</v>
      </c>
      <c r="O3837" s="411">
        <f t="shared" si="738"/>
        <v>292.65949999999998</v>
      </c>
      <c r="P3837" s="132" t="s">
        <v>52</v>
      </c>
      <c r="Q3837" s="232"/>
      <c r="R3837" s="411"/>
      <c r="T3837" s="134" t="s">
        <v>145</v>
      </c>
      <c r="U3837" s="267" t="s">
        <v>8618</v>
      </c>
      <c r="AA3837" s="218"/>
    </row>
    <row r="3838" spans="1:27" ht="24" x14ac:dyDescent="0.25">
      <c r="A3838" s="405">
        <v>3002962</v>
      </c>
      <c r="B3838" s="406">
        <v>42552</v>
      </c>
      <c r="C3838" s="405" t="s">
        <v>237</v>
      </c>
      <c r="D3838" s="401" t="s">
        <v>8619</v>
      </c>
      <c r="E3838" s="120">
        <v>150</v>
      </c>
      <c r="F3838" s="133" t="s">
        <v>247</v>
      </c>
      <c r="G3838" s="404" t="s">
        <v>7486</v>
      </c>
      <c r="H3838" s="411">
        <v>159.87</v>
      </c>
      <c r="I3838" s="397">
        <f t="shared" si="747"/>
        <v>-23.980499999999999</v>
      </c>
      <c r="J3838" s="411">
        <v>0</v>
      </c>
      <c r="K3838" s="90">
        <f t="shared" si="742"/>
        <v>135.8895</v>
      </c>
      <c r="L3838" s="131">
        <v>480</v>
      </c>
      <c r="M3838" s="187">
        <v>27.68</v>
      </c>
      <c r="N3838" s="91">
        <f t="shared" si="748"/>
        <v>99.68</v>
      </c>
      <c r="O3838" s="411">
        <f t="shared" si="738"/>
        <v>36.209499999999991</v>
      </c>
      <c r="P3838" s="132" t="s">
        <v>52</v>
      </c>
      <c r="Q3838" s="232"/>
      <c r="R3838" s="411"/>
      <c r="T3838" s="134" t="s">
        <v>145</v>
      </c>
      <c r="U3838" s="267" t="s">
        <v>8620</v>
      </c>
      <c r="AA3838" s="218"/>
    </row>
    <row r="3839" spans="1:27" ht="24" x14ac:dyDescent="0.25">
      <c r="A3839" s="405">
        <v>3002963</v>
      </c>
      <c r="B3839" s="406">
        <v>42552</v>
      </c>
      <c r="C3839" s="405" t="s">
        <v>5682</v>
      </c>
      <c r="D3839" s="401" t="s">
        <v>8621</v>
      </c>
      <c r="E3839" s="120">
        <v>100</v>
      </c>
      <c r="F3839" s="133" t="s">
        <v>70</v>
      </c>
      <c r="G3839" s="404" t="s">
        <v>7486</v>
      </c>
      <c r="H3839" s="411">
        <v>291.94</v>
      </c>
      <c r="I3839" s="89">
        <f t="shared" ref="I3839" si="749">-(H3839*0.09)</f>
        <v>-26.2746</v>
      </c>
      <c r="J3839" s="391">
        <f t="shared" ref="J3839" si="750">-((H3839*0.019)+0.3)</f>
        <v>-5.8468599999999995</v>
      </c>
      <c r="K3839" s="90">
        <f t="shared" si="742"/>
        <v>259.81853999999998</v>
      </c>
      <c r="L3839" s="131">
        <v>1200</v>
      </c>
      <c r="M3839" s="187">
        <v>45.73</v>
      </c>
      <c r="N3839" s="91">
        <f t="shared" si="748"/>
        <v>165.73</v>
      </c>
      <c r="O3839" s="411">
        <f t="shared" si="738"/>
        <v>94.088539999999995</v>
      </c>
      <c r="P3839" s="132" t="s">
        <v>86</v>
      </c>
      <c r="Q3839" s="232"/>
      <c r="R3839" s="411"/>
      <c r="T3839" s="134" t="s">
        <v>145</v>
      </c>
      <c r="U3839" s="267" t="s">
        <v>8622</v>
      </c>
      <c r="AA3839" s="218"/>
    </row>
    <row r="3840" spans="1:27" ht="24" x14ac:dyDescent="0.25">
      <c r="A3840" s="405">
        <v>3002964</v>
      </c>
      <c r="B3840" s="406">
        <v>42552</v>
      </c>
      <c r="C3840" s="405" t="s">
        <v>327</v>
      </c>
      <c r="D3840" s="401" t="s">
        <v>8623</v>
      </c>
      <c r="E3840" s="120">
        <v>130</v>
      </c>
      <c r="F3840" s="133" t="s">
        <v>70</v>
      </c>
      <c r="G3840" s="404" t="s">
        <v>7486</v>
      </c>
      <c r="H3840" s="411">
        <v>273</v>
      </c>
      <c r="I3840" s="411">
        <v>0</v>
      </c>
      <c r="J3840" s="391">
        <f>-((H3840*0.022)+0.3)</f>
        <v>-6.3059999999999992</v>
      </c>
      <c r="K3840" s="90">
        <f t="shared" si="742"/>
        <v>266.69400000000002</v>
      </c>
      <c r="L3840" s="131">
        <v>1200</v>
      </c>
      <c r="M3840" s="187">
        <v>57.12</v>
      </c>
      <c r="N3840" s="91">
        <f t="shared" si="748"/>
        <v>213.12</v>
      </c>
      <c r="O3840" s="411">
        <f t="shared" si="738"/>
        <v>53.574000000000012</v>
      </c>
      <c r="P3840" s="132" t="s">
        <v>86</v>
      </c>
      <c r="Q3840" s="232"/>
      <c r="R3840" s="411"/>
      <c r="T3840" s="134" t="s">
        <v>145</v>
      </c>
      <c r="U3840" s="267" t="s">
        <v>8624</v>
      </c>
      <c r="W3840" s="153" t="s">
        <v>8625</v>
      </c>
      <c r="AA3840" s="218"/>
    </row>
    <row r="3841" spans="1:27" ht="24" customHeight="1" x14ac:dyDescent="0.25">
      <c r="A3841" s="419">
        <v>3002965</v>
      </c>
      <c r="B3841" s="421">
        <v>42556</v>
      </c>
      <c r="C3841" s="419" t="s">
        <v>555</v>
      </c>
      <c r="D3841" s="417" t="s">
        <v>79</v>
      </c>
      <c r="E3841" s="120">
        <v>2000</v>
      </c>
      <c r="F3841" s="133" t="s">
        <v>708</v>
      </c>
      <c r="G3841" s="434" t="s">
        <v>7486</v>
      </c>
      <c r="H3841" s="427">
        <v>9100</v>
      </c>
      <c r="I3841" s="427">
        <v>0</v>
      </c>
      <c r="J3841" s="427">
        <v>0</v>
      </c>
      <c r="K3841" s="425">
        <f t="shared" si="742"/>
        <v>9100</v>
      </c>
      <c r="L3841" s="131">
        <v>2515</v>
      </c>
      <c r="M3841" s="187">
        <v>400</v>
      </c>
      <c r="N3841" s="91">
        <f t="shared" si="748"/>
        <v>5430</v>
      </c>
      <c r="O3841" s="411">
        <f t="shared" si="738"/>
        <v>3670</v>
      </c>
      <c r="P3841" s="132" t="s">
        <v>52</v>
      </c>
      <c r="Q3841" s="232"/>
      <c r="R3841" s="411"/>
      <c r="T3841" s="439" t="s">
        <v>8626</v>
      </c>
      <c r="U3841" s="505" t="s">
        <v>8627</v>
      </c>
      <c r="V3841" s="133" t="s">
        <v>55</v>
      </c>
      <c r="W3841" s="153" t="s">
        <v>81</v>
      </c>
      <c r="AA3841" s="473">
        <v>50</v>
      </c>
    </row>
    <row r="3842" spans="1:27" x14ac:dyDescent="0.25">
      <c r="A3842" s="420"/>
      <c r="B3842" s="422"/>
      <c r="C3842" s="420"/>
      <c r="D3842" s="418"/>
      <c r="E3842" s="120">
        <v>700</v>
      </c>
      <c r="F3842" s="133" t="s">
        <v>85</v>
      </c>
      <c r="G3842" s="436"/>
      <c r="H3842" s="428"/>
      <c r="I3842" s="428"/>
      <c r="J3842" s="428"/>
      <c r="K3842" s="426"/>
      <c r="L3842" s="131">
        <v>1296</v>
      </c>
      <c r="N3842" s="91">
        <f t="shared" si="748"/>
        <v>907.2</v>
      </c>
      <c r="O3842" s="411">
        <f t="shared" si="738"/>
        <v>-907.2</v>
      </c>
      <c r="P3842" s="132" t="s">
        <v>52</v>
      </c>
      <c r="Q3842" s="232"/>
      <c r="R3842" s="411"/>
      <c r="T3842" s="441"/>
      <c r="U3842" s="490"/>
      <c r="AA3842" s="474"/>
    </row>
    <row r="3843" spans="1:27" ht="24" customHeight="1" x14ac:dyDescent="0.25">
      <c r="A3843" s="419">
        <v>3002966</v>
      </c>
      <c r="B3843" s="421">
        <v>42556</v>
      </c>
      <c r="C3843" s="419" t="s">
        <v>237</v>
      </c>
      <c r="D3843" s="417" t="s">
        <v>8628</v>
      </c>
      <c r="E3843" s="120">
        <v>50</v>
      </c>
      <c r="F3843" s="133" t="s">
        <v>288</v>
      </c>
      <c r="G3843" s="434" t="s">
        <v>7486</v>
      </c>
      <c r="H3843" s="427">
        <v>355.77</v>
      </c>
      <c r="I3843" s="452">
        <f t="shared" ref="I3843" si="751">-(H3843*0.15)</f>
        <v>-53.365499999999997</v>
      </c>
      <c r="J3843" s="427">
        <v>0</v>
      </c>
      <c r="K3843" s="425">
        <f t="shared" si="742"/>
        <v>302.40449999999998</v>
      </c>
      <c r="L3843" s="131">
        <v>950</v>
      </c>
      <c r="M3843" s="187">
        <v>30.06</v>
      </c>
      <c r="N3843" s="91">
        <f t="shared" si="748"/>
        <v>77.56</v>
      </c>
      <c r="O3843" s="411">
        <f t="shared" si="738"/>
        <v>224.84449999999998</v>
      </c>
      <c r="P3843" s="132" t="s">
        <v>52</v>
      </c>
      <c r="Q3843" s="232"/>
      <c r="R3843" s="411"/>
      <c r="T3843" s="439" t="s">
        <v>145</v>
      </c>
      <c r="U3843" s="267" t="s">
        <v>8629</v>
      </c>
      <c r="AA3843" s="218"/>
    </row>
    <row r="3844" spans="1:27" x14ac:dyDescent="0.25">
      <c r="A3844" s="420"/>
      <c r="B3844" s="422"/>
      <c r="C3844" s="420"/>
      <c r="D3844" s="418"/>
      <c r="E3844" s="120">
        <v>100</v>
      </c>
      <c r="F3844" s="133" t="s">
        <v>161</v>
      </c>
      <c r="G3844" s="436"/>
      <c r="H3844" s="428"/>
      <c r="I3844" s="453"/>
      <c r="J3844" s="428"/>
      <c r="K3844" s="426"/>
      <c r="L3844" s="131">
        <v>1322</v>
      </c>
      <c r="M3844" s="187">
        <v>20.83</v>
      </c>
      <c r="N3844" s="91">
        <f t="shared" si="748"/>
        <v>153.03000000000003</v>
      </c>
      <c r="O3844" s="411">
        <f t="shared" si="738"/>
        <v>-153.03000000000003</v>
      </c>
      <c r="P3844" s="132" t="s">
        <v>52</v>
      </c>
      <c r="Q3844" s="232"/>
      <c r="R3844" s="411"/>
      <c r="T3844" s="441"/>
      <c r="U3844" s="267" t="s">
        <v>8630</v>
      </c>
      <c r="AA3844" s="218"/>
    </row>
    <row r="3845" spans="1:27" x14ac:dyDescent="0.25">
      <c r="A3845" s="405">
        <v>3002967</v>
      </c>
      <c r="B3845" s="381">
        <v>42556</v>
      </c>
      <c r="C3845" s="405" t="s">
        <v>237</v>
      </c>
      <c r="D3845" s="401" t="s">
        <v>8631</v>
      </c>
      <c r="E3845" s="120">
        <v>100</v>
      </c>
      <c r="F3845" s="133" t="s">
        <v>341</v>
      </c>
      <c r="G3845" s="404" t="s">
        <v>7486</v>
      </c>
      <c r="H3845" s="411">
        <v>179.18</v>
      </c>
      <c r="I3845" s="397">
        <f t="shared" ref="I3845:I3846" si="752">-(H3845*0.15)</f>
        <v>-26.876999999999999</v>
      </c>
      <c r="J3845" s="411">
        <v>0</v>
      </c>
      <c r="K3845" s="396">
        <f t="shared" si="742"/>
        <v>152.303</v>
      </c>
      <c r="L3845" s="131">
        <v>698</v>
      </c>
      <c r="M3845" s="187">
        <v>35.94</v>
      </c>
      <c r="N3845" s="91">
        <f t="shared" si="748"/>
        <v>105.74</v>
      </c>
      <c r="O3845" s="411">
        <f t="shared" si="738"/>
        <v>46.563000000000002</v>
      </c>
      <c r="P3845" s="132" t="s">
        <v>52</v>
      </c>
      <c r="Q3845" s="232"/>
      <c r="R3845" s="411"/>
      <c r="T3845" s="134">
        <v>300</v>
      </c>
      <c r="U3845" s="267" t="s">
        <v>8632</v>
      </c>
      <c r="AA3845" s="218"/>
    </row>
    <row r="3846" spans="1:27" ht="24" x14ac:dyDescent="0.25">
      <c r="A3846" s="405">
        <v>3002968</v>
      </c>
      <c r="B3846" s="381">
        <v>42556</v>
      </c>
      <c r="C3846" s="405" t="s">
        <v>237</v>
      </c>
      <c r="D3846" s="401" t="s">
        <v>8633</v>
      </c>
      <c r="E3846" s="120">
        <v>175</v>
      </c>
      <c r="F3846" s="133" t="s">
        <v>247</v>
      </c>
      <c r="G3846" s="404" t="s">
        <v>7486</v>
      </c>
      <c r="H3846" s="411">
        <v>205.26</v>
      </c>
      <c r="I3846" s="397">
        <f t="shared" si="752"/>
        <v>-30.788999999999998</v>
      </c>
      <c r="J3846" s="411">
        <v>0</v>
      </c>
      <c r="K3846" s="396">
        <f t="shared" si="742"/>
        <v>174.471</v>
      </c>
      <c r="L3846" s="131">
        <v>480</v>
      </c>
      <c r="M3846" s="131">
        <v>35.99</v>
      </c>
      <c r="N3846" s="91">
        <f t="shared" si="748"/>
        <v>119.99000000000001</v>
      </c>
      <c r="O3846" s="411">
        <f t="shared" si="738"/>
        <v>54.480999999999995</v>
      </c>
      <c r="P3846" s="132" t="s">
        <v>52</v>
      </c>
      <c r="Q3846" s="232"/>
      <c r="R3846" s="411"/>
      <c r="T3846" s="134" t="s">
        <v>145</v>
      </c>
      <c r="U3846" s="267" t="s">
        <v>8634</v>
      </c>
      <c r="AA3846" s="218"/>
    </row>
    <row r="3847" spans="1:27" x14ac:dyDescent="0.25">
      <c r="A3847" s="405">
        <v>3002969</v>
      </c>
      <c r="B3847" s="381">
        <v>42556</v>
      </c>
      <c r="C3847" s="405" t="s">
        <v>63</v>
      </c>
      <c r="D3847" s="401" t="s">
        <v>1525</v>
      </c>
      <c r="E3847" s="120">
        <v>2200</v>
      </c>
      <c r="F3847" s="133" t="s">
        <v>8219</v>
      </c>
      <c r="G3847" s="404" t="s">
        <v>7486</v>
      </c>
      <c r="H3847" s="411">
        <v>2536</v>
      </c>
      <c r="I3847" s="411">
        <v>0</v>
      </c>
      <c r="J3847" s="391">
        <f>-((H3847*0.022)+0.3)</f>
        <v>-56.091999999999992</v>
      </c>
      <c r="K3847" s="396">
        <f t="shared" si="742"/>
        <v>2479.9079999999999</v>
      </c>
      <c r="L3847" s="187">
        <v>930</v>
      </c>
      <c r="M3847" s="187">
        <f>163.55+80</f>
        <v>243.55</v>
      </c>
      <c r="N3847" s="91">
        <f t="shared" si="748"/>
        <v>2289.5500000000002</v>
      </c>
      <c r="O3847" s="411">
        <f t="shared" si="738"/>
        <v>190.35799999999972</v>
      </c>
      <c r="P3847" s="132" t="s">
        <v>183</v>
      </c>
      <c r="Q3847" s="232"/>
      <c r="R3847" s="411"/>
      <c r="T3847" s="134" t="s">
        <v>97</v>
      </c>
      <c r="U3847" s="266">
        <v>3706641956</v>
      </c>
      <c r="V3847" s="133" t="s">
        <v>8635</v>
      </c>
      <c r="W3847" s="153" t="s">
        <v>8636</v>
      </c>
      <c r="AA3847" s="218">
        <v>25</v>
      </c>
    </row>
    <row r="3848" spans="1:27" x14ac:dyDescent="0.25">
      <c r="A3848" s="405">
        <v>3002970</v>
      </c>
      <c r="B3848" s="381">
        <v>42556</v>
      </c>
      <c r="C3848" s="405" t="s">
        <v>5682</v>
      </c>
      <c r="D3848" s="401" t="s">
        <v>8637</v>
      </c>
      <c r="E3848" s="120">
        <v>2000</v>
      </c>
      <c r="F3848" s="405" t="s">
        <v>8638</v>
      </c>
      <c r="G3848" s="404" t="s">
        <v>7486</v>
      </c>
      <c r="H3848" s="411">
        <v>1300</v>
      </c>
      <c r="I3848" s="89">
        <f t="shared" ref="I3848" si="753">-(H3848*0.09)</f>
        <v>-117</v>
      </c>
      <c r="J3848" s="391">
        <f t="shared" ref="J3848" si="754">-((H3848*0.019)+0.3)</f>
        <v>-25</v>
      </c>
      <c r="K3848" s="396">
        <f t="shared" si="742"/>
        <v>1158</v>
      </c>
      <c r="L3848" s="187">
        <v>447</v>
      </c>
      <c r="M3848" s="187">
        <v>68.87</v>
      </c>
      <c r="N3848" s="91">
        <f t="shared" si="748"/>
        <v>962.87</v>
      </c>
      <c r="O3848" s="411">
        <f t="shared" si="738"/>
        <v>195.13</v>
      </c>
      <c r="P3848" s="132" t="s">
        <v>638</v>
      </c>
      <c r="Q3848" s="232"/>
      <c r="R3848" s="411"/>
      <c r="T3848" s="134" t="s">
        <v>8639</v>
      </c>
      <c r="U3848" s="267" t="s">
        <v>8640</v>
      </c>
      <c r="AA3848" s="218"/>
    </row>
    <row r="3849" spans="1:27" x14ac:dyDescent="0.25">
      <c r="A3849" s="405">
        <v>3002971</v>
      </c>
      <c r="B3849" s="406">
        <v>42556</v>
      </c>
      <c r="C3849" s="405" t="s">
        <v>63</v>
      </c>
      <c r="D3849" s="401" t="s">
        <v>8641</v>
      </c>
      <c r="E3849" s="120">
        <v>250</v>
      </c>
      <c r="F3849" s="133" t="s">
        <v>860</v>
      </c>
      <c r="G3849" s="404" t="s">
        <v>7486</v>
      </c>
      <c r="H3849" s="411">
        <v>1625</v>
      </c>
      <c r="I3849" s="411">
        <v>0</v>
      </c>
      <c r="J3849" s="391">
        <f>-((H3849*0.022)+0.3)</f>
        <v>-36.049999999999997</v>
      </c>
      <c r="K3849" s="396">
        <f t="shared" si="742"/>
        <v>1588.95</v>
      </c>
      <c r="L3849" s="131">
        <v>3300</v>
      </c>
      <c r="M3849" s="187">
        <f>166.32+125</f>
        <v>291.32</v>
      </c>
      <c r="N3849" s="91">
        <f t="shared" si="748"/>
        <v>1116.32</v>
      </c>
      <c r="O3849" s="411">
        <f t="shared" si="738"/>
        <v>472.63000000000011</v>
      </c>
      <c r="P3849" s="132" t="s">
        <v>52</v>
      </c>
      <c r="Q3849" s="232"/>
      <c r="R3849" s="411"/>
      <c r="T3849" s="134" t="s">
        <v>7627</v>
      </c>
      <c r="U3849" s="267" t="s">
        <v>8642</v>
      </c>
      <c r="V3849" s="133" t="s">
        <v>55</v>
      </c>
      <c r="AA3849" s="218"/>
    </row>
    <row r="3850" spans="1:27" x14ac:dyDescent="0.25">
      <c r="A3850" s="419">
        <v>3002972</v>
      </c>
      <c r="B3850" s="421">
        <v>42556</v>
      </c>
      <c r="C3850" s="419" t="s">
        <v>327</v>
      </c>
      <c r="D3850" s="417" t="s">
        <v>8643</v>
      </c>
      <c r="E3850" s="120">
        <v>500</v>
      </c>
      <c r="F3850" s="133" t="s">
        <v>8644</v>
      </c>
      <c r="G3850" s="434" t="s">
        <v>7486</v>
      </c>
      <c r="H3850" s="427">
        <v>645</v>
      </c>
      <c r="I3850" s="427">
        <v>0</v>
      </c>
      <c r="J3850" s="425">
        <f>-((H3850*0.022)+0.3)</f>
        <v>-14.49</v>
      </c>
      <c r="K3850" s="425">
        <f t="shared" si="742"/>
        <v>630.51</v>
      </c>
      <c r="L3850" s="187">
        <v>670</v>
      </c>
      <c r="M3850" s="211">
        <v>51.28</v>
      </c>
      <c r="N3850" s="91">
        <f t="shared" si="748"/>
        <v>386.28</v>
      </c>
      <c r="O3850" s="411">
        <f t="shared" si="738"/>
        <v>244.23000000000002</v>
      </c>
      <c r="P3850" s="132" t="s">
        <v>235</v>
      </c>
      <c r="Q3850" s="232"/>
      <c r="R3850" s="411"/>
      <c r="T3850" s="439" t="s">
        <v>145</v>
      </c>
      <c r="U3850" s="267" t="s">
        <v>8645</v>
      </c>
      <c r="W3850" s="153" t="s">
        <v>8646</v>
      </c>
      <c r="AA3850" s="218"/>
    </row>
    <row r="3851" spans="1:27" x14ac:dyDescent="0.25">
      <c r="A3851" s="420"/>
      <c r="B3851" s="422"/>
      <c r="C3851" s="420"/>
      <c r="D3851" s="418"/>
      <c r="E3851" s="120">
        <v>150</v>
      </c>
      <c r="F3851" s="133" t="s">
        <v>2984</v>
      </c>
      <c r="G3851" s="436"/>
      <c r="H3851" s="428"/>
      <c r="I3851" s="428"/>
      <c r="J3851" s="426"/>
      <c r="K3851" s="426"/>
      <c r="L3851" s="187">
        <v>460</v>
      </c>
      <c r="M3851" s="187">
        <v>23.16</v>
      </c>
      <c r="N3851" s="91">
        <f t="shared" si="748"/>
        <v>92.16</v>
      </c>
      <c r="O3851" s="411">
        <f t="shared" si="738"/>
        <v>-92.16</v>
      </c>
      <c r="P3851" s="132" t="s">
        <v>235</v>
      </c>
      <c r="Q3851" s="232"/>
      <c r="R3851" s="411"/>
      <c r="T3851" s="441"/>
      <c r="U3851" s="267" t="s">
        <v>8647</v>
      </c>
      <c r="AA3851" s="218"/>
    </row>
    <row r="3852" spans="1:27" ht="36" x14ac:dyDescent="0.25">
      <c r="A3852" s="405">
        <v>3002973</v>
      </c>
      <c r="B3852" s="406">
        <v>42556</v>
      </c>
      <c r="C3852" s="405">
        <v>3</v>
      </c>
      <c r="D3852" s="401" t="s">
        <v>8648</v>
      </c>
      <c r="E3852" s="120">
        <v>197</v>
      </c>
      <c r="F3852" s="119" t="s">
        <v>8649</v>
      </c>
      <c r="G3852" s="404" t="s">
        <v>7486</v>
      </c>
      <c r="H3852" s="411">
        <v>600</v>
      </c>
      <c r="I3852" s="411">
        <v>0</v>
      </c>
      <c r="J3852" s="411">
        <v>0</v>
      </c>
      <c r="K3852" s="396">
        <f t="shared" si="742"/>
        <v>600</v>
      </c>
      <c r="L3852" s="187">
        <v>1750</v>
      </c>
      <c r="M3852" s="131">
        <v>0</v>
      </c>
      <c r="N3852" s="91">
        <f t="shared" si="748"/>
        <v>344.75</v>
      </c>
      <c r="O3852" s="411">
        <f t="shared" si="738"/>
        <v>255.25</v>
      </c>
      <c r="P3852" s="132" t="s">
        <v>144</v>
      </c>
      <c r="Q3852" s="232"/>
      <c r="R3852" s="411"/>
      <c r="T3852" s="134" t="s">
        <v>1229</v>
      </c>
      <c r="U3852" s="266" t="s">
        <v>1229</v>
      </c>
      <c r="W3852" s="153" t="s">
        <v>8650</v>
      </c>
      <c r="AA3852" s="218"/>
    </row>
    <row r="3853" spans="1:27" ht="24" x14ac:dyDescent="0.25">
      <c r="A3853" s="405">
        <v>3002974</v>
      </c>
      <c r="B3853" s="406">
        <v>42556</v>
      </c>
      <c r="C3853" s="405" t="s">
        <v>159</v>
      </c>
      <c r="D3853" s="401" t="s">
        <v>8651</v>
      </c>
      <c r="E3853" s="120">
        <v>40</v>
      </c>
      <c r="F3853" s="133" t="s">
        <v>1991</v>
      </c>
      <c r="G3853" s="404" t="s">
        <v>7486</v>
      </c>
      <c r="H3853" s="411">
        <v>202</v>
      </c>
      <c r="I3853" s="411">
        <v>0</v>
      </c>
      <c r="J3853" s="391">
        <f t="shared" ref="J3853" si="755">-((H3853*0.019)+0.3)</f>
        <v>-4.1379999999999999</v>
      </c>
      <c r="K3853" s="396">
        <f t="shared" si="742"/>
        <v>197.86199999999999</v>
      </c>
      <c r="L3853" s="187">
        <v>3100</v>
      </c>
      <c r="M3853" s="187">
        <v>22.86</v>
      </c>
      <c r="N3853" s="91">
        <f t="shared" si="748"/>
        <v>146.86000000000001</v>
      </c>
      <c r="O3853" s="411">
        <f t="shared" ref="O3853:O3916" si="756">K3853-N3853</f>
        <v>51.001999999999981</v>
      </c>
      <c r="P3853" s="132" t="s">
        <v>183</v>
      </c>
      <c r="Q3853" s="232"/>
      <c r="R3853" s="411"/>
      <c r="T3853" s="134" t="s">
        <v>324</v>
      </c>
      <c r="U3853" s="266" t="s">
        <v>8652</v>
      </c>
      <c r="W3853" s="153" t="s">
        <v>8653</v>
      </c>
      <c r="AA3853" s="218"/>
    </row>
    <row r="3854" spans="1:27" ht="24" x14ac:dyDescent="0.25">
      <c r="A3854" s="405">
        <v>3002975</v>
      </c>
      <c r="B3854" s="406">
        <v>42556</v>
      </c>
      <c r="C3854" s="405" t="s">
        <v>63</v>
      </c>
      <c r="D3854" s="401" t="s">
        <v>8654</v>
      </c>
      <c r="E3854" s="120">
        <v>74</v>
      </c>
      <c r="F3854" s="133" t="s">
        <v>4063</v>
      </c>
      <c r="G3854" s="404" t="s">
        <v>7486</v>
      </c>
      <c r="H3854" s="411">
        <v>230</v>
      </c>
      <c r="I3854" s="411">
        <v>0</v>
      </c>
      <c r="J3854" s="391">
        <f>-((H3854*0.022)+0.3)</f>
        <v>-5.3599999999999994</v>
      </c>
      <c r="K3854" s="396">
        <f t="shared" si="742"/>
        <v>224.64</v>
      </c>
      <c r="L3854" s="187">
        <v>1521</v>
      </c>
      <c r="M3854" s="187">
        <v>67.75</v>
      </c>
      <c r="N3854" s="91">
        <f t="shared" si="748"/>
        <v>180.30399999999997</v>
      </c>
      <c r="O3854" s="411">
        <f t="shared" si="756"/>
        <v>44.336000000000013</v>
      </c>
      <c r="P3854" s="132" t="s">
        <v>183</v>
      </c>
      <c r="Q3854" s="232"/>
      <c r="R3854" s="411"/>
      <c r="T3854" s="134" t="s">
        <v>324</v>
      </c>
      <c r="U3854" s="266" t="s">
        <v>8655</v>
      </c>
      <c r="W3854" s="153" t="s">
        <v>8656</v>
      </c>
      <c r="AA3854" s="218"/>
    </row>
    <row r="3855" spans="1:27" x14ac:dyDescent="0.25">
      <c r="A3855" s="405">
        <v>3002976</v>
      </c>
      <c r="B3855" s="406">
        <v>42556</v>
      </c>
      <c r="C3855" s="405" t="s">
        <v>1227</v>
      </c>
      <c r="D3855" s="401" t="s">
        <v>8657</v>
      </c>
      <c r="E3855" s="120">
        <v>100</v>
      </c>
      <c r="F3855" s="133" t="s">
        <v>8658</v>
      </c>
      <c r="G3855" s="404" t="s">
        <v>7486</v>
      </c>
      <c r="H3855" s="411">
        <v>360</v>
      </c>
      <c r="I3855" s="411">
        <v>0</v>
      </c>
      <c r="J3855" s="411">
        <v>0</v>
      </c>
      <c r="K3855" s="396">
        <f t="shared" si="742"/>
        <v>360</v>
      </c>
      <c r="L3855" s="187">
        <v>1490</v>
      </c>
      <c r="M3855" s="131">
        <v>0</v>
      </c>
      <c r="N3855" s="91">
        <f t="shared" si="748"/>
        <v>149</v>
      </c>
      <c r="O3855" s="411">
        <f t="shared" si="756"/>
        <v>211</v>
      </c>
      <c r="P3855" s="132" t="s">
        <v>643</v>
      </c>
      <c r="Q3855" s="232"/>
      <c r="R3855" s="411"/>
      <c r="T3855" s="134" t="s">
        <v>755</v>
      </c>
      <c r="U3855" s="266" t="s">
        <v>8659</v>
      </c>
      <c r="AA3855" s="218"/>
    </row>
    <row r="3856" spans="1:27" ht="24" x14ac:dyDescent="0.25">
      <c r="A3856" s="405">
        <v>3002977</v>
      </c>
      <c r="B3856" s="406">
        <v>42556</v>
      </c>
      <c r="C3856" s="405" t="s">
        <v>5682</v>
      </c>
      <c r="D3856" s="401" t="s">
        <v>8660</v>
      </c>
      <c r="E3856" s="120">
        <v>1000</v>
      </c>
      <c r="F3856" s="133" t="s">
        <v>8661</v>
      </c>
      <c r="G3856" s="404" t="s">
        <v>7486</v>
      </c>
      <c r="H3856" s="411">
        <v>609.84</v>
      </c>
      <c r="I3856" s="89">
        <f t="shared" ref="I3856:I3880" si="757">-(H3856*0.09)</f>
        <v>-54.885600000000004</v>
      </c>
      <c r="J3856" s="391">
        <f t="shared" ref="J3856:J3880" si="758">-((H3856*0.019)+0.3)</f>
        <v>-11.88696</v>
      </c>
      <c r="K3856" s="396">
        <f t="shared" si="742"/>
        <v>543.06744000000003</v>
      </c>
      <c r="L3856" s="187">
        <v>277.58</v>
      </c>
      <c r="M3856" s="187">
        <v>56.44</v>
      </c>
      <c r="N3856" s="91">
        <f t="shared" si="748"/>
        <v>334.02</v>
      </c>
      <c r="O3856" s="411">
        <f t="shared" si="756"/>
        <v>209.04744000000005</v>
      </c>
      <c r="P3856" s="132" t="s">
        <v>76</v>
      </c>
      <c r="Q3856" s="232"/>
      <c r="R3856" s="411"/>
      <c r="S3856" s="246"/>
      <c r="T3856" s="134" t="s">
        <v>145</v>
      </c>
      <c r="U3856" s="267" t="s">
        <v>8662</v>
      </c>
      <c r="AA3856" s="218"/>
    </row>
    <row r="3857" spans="1:27" ht="24" x14ac:dyDescent="0.25">
      <c r="A3857" s="405">
        <v>3002978</v>
      </c>
      <c r="B3857" s="406">
        <v>42556</v>
      </c>
      <c r="C3857" s="405" t="s">
        <v>5682</v>
      </c>
      <c r="D3857" s="401" t="s">
        <v>8663</v>
      </c>
      <c r="E3857" s="120">
        <v>100</v>
      </c>
      <c r="F3857" s="133" t="s">
        <v>161</v>
      </c>
      <c r="G3857" s="404" t="s">
        <v>7486</v>
      </c>
      <c r="H3857" s="411">
        <v>230</v>
      </c>
      <c r="I3857" s="89">
        <f t="shared" si="757"/>
        <v>-20.7</v>
      </c>
      <c r="J3857" s="391">
        <f t="shared" si="758"/>
        <v>-4.67</v>
      </c>
      <c r="K3857" s="396">
        <f t="shared" si="742"/>
        <v>204.63000000000002</v>
      </c>
      <c r="L3857" s="131">
        <v>1322</v>
      </c>
      <c r="M3857" s="187">
        <v>36.19</v>
      </c>
      <c r="N3857" s="91">
        <f t="shared" si="748"/>
        <v>168.39000000000001</v>
      </c>
      <c r="O3857" s="411">
        <f t="shared" si="756"/>
        <v>36.240000000000009</v>
      </c>
      <c r="P3857" s="132" t="s">
        <v>52</v>
      </c>
      <c r="Q3857" s="232"/>
      <c r="R3857" s="411"/>
      <c r="T3857" s="134" t="s">
        <v>145</v>
      </c>
      <c r="U3857" s="267" t="s">
        <v>8664</v>
      </c>
      <c r="AA3857" s="218"/>
    </row>
    <row r="3858" spans="1:27" ht="24" x14ac:dyDescent="0.25">
      <c r="A3858" s="405">
        <v>3002979</v>
      </c>
      <c r="B3858" s="406">
        <v>42556</v>
      </c>
      <c r="C3858" s="405" t="s">
        <v>5682</v>
      </c>
      <c r="D3858" s="401" t="s">
        <v>8592</v>
      </c>
      <c r="E3858" s="120">
        <v>50</v>
      </c>
      <c r="F3858" s="133" t="s">
        <v>2483</v>
      </c>
      <c r="G3858" s="404" t="s">
        <v>7486</v>
      </c>
      <c r="H3858" s="411">
        <v>117.6</v>
      </c>
      <c r="I3858" s="89">
        <f t="shared" si="757"/>
        <v>-10.584</v>
      </c>
      <c r="J3858" s="391">
        <f t="shared" si="758"/>
        <v>-2.5343999999999998</v>
      </c>
      <c r="K3858" s="396">
        <f t="shared" si="742"/>
        <v>104.48159999999999</v>
      </c>
      <c r="N3858" s="91">
        <f t="shared" si="748"/>
        <v>0</v>
      </c>
      <c r="O3858" s="411">
        <f t="shared" si="756"/>
        <v>104.48159999999999</v>
      </c>
      <c r="P3858" s="132" t="s">
        <v>52</v>
      </c>
      <c r="Q3858" s="232"/>
      <c r="R3858" s="411"/>
      <c r="T3858" s="134" t="s">
        <v>145</v>
      </c>
      <c r="U3858" s="267" t="s">
        <v>8665</v>
      </c>
      <c r="AA3858" s="218"/>
    </row>
    <row r="3859" spans="1:27" ht="24" x14ac:dyDescent="0.25">
      <c r="A3859" s="405">
        <v>3002980</v>
      </c>
      <c r="B3859" s="406">
        <v>42556</v>
      </c>
      <c r="C3859" s="405" t="s">
        <v>5682</v>
      </c>
      <c r="D3859" s="401" t="s">
        <v>8666</v>
      </c>
      <c r="E3859" s="120">
        <v>300</v>
      </c>
      <c r="F3859" s="133" t="s">
        <v>8667</v>
      </c>
      <c r="G3859" s="404" t="s">
        <v>7486</v>
      </c>
      <c r="H3859" s="411">
        <v>668.97</v>
      </c>
      <c r="I3859" s="89">
        <f t="shared" si="757"/>
        <v>-60.207300000000004</v>
      </c>
      <c r="J3859" s="391">
        <f t="shared" si="758"/>
        <v>-13.010430000000001</v>
      </c>
      <c r="K3859" s="396">
        <f t="shared" si="742"/>
        <v>595.75226999999995</v>
      </c>
      <c r="L3859" s="131">
        <v>1322</v>
      </c>
      <c r="M3859" s="187">
        <f>49.18+65.9</f>
        <v>115.08000000000001</v>
      </c>
      <c r="N3859" s="91">
        <f t="shared" si="748"/>
        <v>511.67999999999995</v>
      </c>
      <c r="O3859" s="411">
        <f t="shared" si="756"/>
        <v>84.072270000000003</v>
      </c>
      <c r="P3859" s="132" t="s">
        <v>52</v>
      </c>
      <c r="Q3859" s="232"/>
      <c r="R3859" s="411"/>
      <c r="T3859" s="134" t="s">
        <v>145</v>
      </c>
      <c r="U3859" s="266" t="s">
        <v>8668</v>
      </c>
      <c r="AA3859" s="218"/>
    </row>
    <row r="3860" spans="1:27" ht="24" x14ac:dyDescent="0.25">
      <c r="A3860" s="405">
        <v>3002981</v>
      </c>
      <c r="B3860" s="406">
        <v>42556</v>
      </c>
      <c r="C3860" s="405" t="s">
        <v>5682</v>
      </c>
      <c r="D3860" s="401" t="s">
        <v>8669</v>
      </c>
      <c r="E3860" s="120">
        <v>200</v>
      </c>
      <c r="F3860" s="133" t="s">
        <v>217</v>
      </c>
      <c r="G3860" s="404" t="s">
        <v>7486</v>
      </c>
      <c r="H3860" s="411">
        <v>447.02</v>
      </c>
      <c r="I3860" s="89">
        <f t="shared" si="757"/>
        <v>-40.2318</v>
      </c>
      <c r="J3860" s="391">
        <f t="shared" si="758"/>
        <v>-8.7933800000000009</v>
      </c>
      <c r="K3860" s="396">
        <f t="shared" si="742"/>
        <v>397.99481999999995</v>
      </c>
      <c r="L3860" s="131">
        <v>1322</v>
      </c>
      <c r="M3860" s="187">
        <v>51.19</v>
      </c>
      <c r="N3860" s="91">
        <f t="shared" si="748"/>
        <v>315.59000000000003</v>
      </c>
      <c r="O3860" s="411">
        <f t="shared" si="756"/>
        <v>82.404819999999916</v>
      </c>
      <c r="P3860" s="132" t="s">
        <v>52</v>
      </c>
      <c r="Q3860" s="232"/>
      <c r="R3860" s="411"/>
      <c r="T3860" s="134" t="s">
        <v>145</v>
      </c>
      <c r="U3860" s="267" t="s">
        <v>8670</v>
      </c>
      <c r="AA3860" s="218"/>
    </row>
    <row r="3861" spans="1:27" ht="24" x14ac:dyDescent="0.25">
      <c r="A3861" s="405">
        <v>3002982</v>
      </c>
      <c r="B3861" s="406">
        <v>42556</v>
      </c>
      <c r="C3861" s="405" t="s">
        <v>5682</v>
      </c>
      <c r="D3861" s="401" t="s">
        <v>8671</v>
      </c>
      <c r="E3861" s="120">
        <v>100</v>
      </c>
      <c r="F3861" s="133" t="s">
        <v>161</v>
      </c>
      <c r="G3861" s="404" t="s">
        <v>7486</v>
      </c>
      <c r="H3861" s="411">
        <v>230</v>
      </c>
      <c r="I3861" s="89">
        <f t="shared" si="757"/>
        <v>-20.7</v>
      </c>
      <c r="J3861" s="391">
        <f t="shared" si="758"/>
        <v>-4.67</v>
      </c>
      <c r="K3861" s="396">
        <f t="shared" si="742"/>
        <v>204.63000000000002</v>
      </c>
      <c r="L3861" s="131">
        <v>1322</v>
      </c>
      <c r="M3861" s="187">
        <v>42.21</v>
      </c>
      <c r="N3861" s="91">
        <f t="shared" si="748"/>
        <v>174.41000000000003</v>
      </c>
      <c r="O3861" s="411">
        <f t="shared" si="756"/>
        <v>30.22</v>
      </c>
      <c r="P3861" s="132" t="s">
        <v>52</v>
      </c>
      <c r="Q3861" s="232"/>
      <c r="R3861" s="411"/>
      <c r="T3861" s="134" t="s">
        <v>145</v>
      </c>
      <c r="U3861" s="267" t="s">
        <v>8672</v>
      </c>
      <c r="AA3861" s="218"/>
    </row>
    <row r="3862" spans="1:27" ht="24" x14ac:dyDescent="0.25">
      <c r="A3862" s="405">
        <v>3002983</v>
      </c>
      <c r="B3862" s="406">
        <v>42556</v>
      </c>
      <c r="C3862" s="405" t="s">
        <v>5682</v>
      </c>
      <c r="D3862" s="401" t="s">
        <v>8673</v>
      </c>
      <c r="E3862" s="120">
        <v>150</v>
      </c>
      <c r="F3862" s="133" t="s">
        <v>307</v>
      </c>
      <c r="G3862" s="404" t="s">
        <v>7486</v>
      </c>
      <c r="H3862" s="411">
        <v>230.05</v>
      </c>
      <c r="I3862" s="89">
        <f t="shared" si="757"/>
        <v>-20.704499999999999</v>
      </c>
      <c r="J3862" s="391">
        <f t="shared" si="758"/>
        <v>-4.6709499999999995</v>
      </c>
      <c r="K3862" s="396">
        <f t="shared" si="742"/>
        <v>204.67455000000001</v>
      </c>
      <c r="L3862" s="131">
        <v>690</v>
      </c>
      <c r="M3862" s="187">
        <v>31.09</v>
      </c>
      <c r="N3862" s="91">
        <f t="shared" si="748"/>
        <v>134.59</v>
      </c>
      <c r="O3862" s="411">
        <f t="shared" si="756"/>
        <v>70.084550000000007</v>
      </c>
      <c r="P3862" s="132" t="s">
        <v>52</v>
      </c>
      <c r="Q3862" s="232"/>
      <c r="R3862" s="411">
        <v>15.05</v>
      </c>
      <c r="S3862" s="133" t="s">
        <v>8674</v>
      </c>
      <c r="T3862" s="134" t="s">
        <v>145</v>
      </c>
      <c r="U3862" s="267" t="s">
        <v>8675</v>
      </c>
      <c r="AA3862" s="218"/>
    </row>
    <row r="3863" spans="1:27" ht="24" x14ac:dyDescent="0.25">
      <c r="A3863" s="405">
        <v>3002984</v>
      </c>
      <c r="B3863" s="406">
        <v>42556</v>
      </c>
      <c r="C3863" s="405" t="s">
        <v>5682</v>
      </c>
      <c r="D3863" s="401" t="s">
        <v>8676</v>
      </c>
      <c r="E3863" s="120">
        <v>250</v>
      </c>
      <c r="F3863" s="133" t="s">
        <v>4102</v>
      </c>
      <c r="G3863" s="404" t="s">
        <v>7486</v>
      </c>
      <c r="H3863" s="411">
        <v>251.58</v>
      </c>
      <c r="I3863" s="89">
        <f t="shared" si="757"/>
        <v>-22.642199999999999</v>
      </c>
      <c r="J3863" s="391">
        <f t="shared" si="758"/>
        <v>-5.0800200000000002</v>
      </c>
      <c r="K3863" s="396">
        <f t="shared" si="742"/>
        <v>223.85778000000002</v>
      </c>
      <c r="L3863" s="187">
        <v>440</v>
      </c>
      <c r="M3863" s="187">
        <v>41.73</v>
      </c>
      <c r="N3863" s="91">
        <f t="shared" si="748"/>
        <v>151.72999999999999</v>
      </c>
      <c r="O3863" s="411">
        <f t="shared" si="756"/>
        <v>72.12778000000003</v>
      </c>
      <c r="P3863" s="132" t="s">
        <v>3597</v>
      </c>
      <c r="Q3863" s="232"/>
      <c r="R3863" s="411"/>
      <c r="T3863" s="134" t="s">
        <v>145</v>
      </c>
      <c r="U3863" s="267" t="s">
        <v>8677</v>
      </c>
      <c r="AA3863" s="218"/>
    </row>
    <row r="3864" spans="1:27" ht="24" x14ac:dyDescent="0.25">
      <c r="A3864" s="405">
        <v>3002985</v>
      </c>
      <c r="B3864" s="406">
        <v>42556</v>
      </c>
      <c r="C3864" s="405" t="s">
        <v>5682</v>
      </c>
      <c r="D3864" s="401" t="s">
        <v>8678</v>
      </c>
      <c r="E3864" s="120">
        <v>200</v>
      </c>
      <c r="F3864" s="133" t="s">
        <v>227</v>
      </c>
      <c r="G3864" s="404" t="s">
        <v>7486</v>
      </c>
      <c r="H3864" s="411">
        <v>180.26</v>
      </c>
      <c r="I3864" s="89">
        <f t="shared" si="757"/>
        <v>-16.223399999999998</v>
      </c>
      <c r="J3864" s="391">
        <f t="shared" si="758"/>
        <v>-3.7249399999999997</v>
      </c>
      <c r="K3864" s="90">
        <f t="shared" si="742"/>
        <v>160.31165999999999</v>
      </c>
      <c r="L3864" s="131">
        <v>350</v>
      </c>
      <c r="M3864" s="187">
        <v>20.7</v>
      </c>
      <c r="N3864" s="91">
        <f t="shared" si="748"/>
        <v>90.7</v>
      </c>
      <c r="O3864" s="411">
        <f t="shared" si="756"/>
        <v>69.611659999999986</v>
      </c>
      <c r="P3864" s="132" t="s">
        <v>52</v>
      </c>
      <c r="Q3864" s="232"/>
      <c r="R3864" s="411"/>
      <c r="T3864" s="134" t="s">
        <v>145</v>
      </c>
      <c r="U3864" s="267" t="s">
        <v>8679</v>
      </c>
      <c r="AA3864" s="218"/>
    </row>
    <row r="3865" spans="1:27" ht="24" x14ac:dyDescent="0.25">
      <c r="A3865" s="405">
        <v>3002986</v>
      </c>
      <c r="B3865" s="406">
        <v>42556</v>
      </c>
      <c r="C3865" s="405" t="s">
        <v>5682</v>
      </c>
      <c r="D3865" s="401" t="s">
        <v>8680</v>
      </c>
      <c r="E3865" s="120">
        <v>250</v>
      </c>
      <c r="F3865" s="119" t="s">
        <v>8681</v>
      </c>
      <c r="G3865" s="404" t="s">
        <v>7486</v>
      </c>
      <c r="H3865" s="411">
        <v>109.82</v>
      </c>
      <c r="I3865" s="89">
        <f t="shared" si="757"/>
        <v>-9.883799999999999</v>
      </c>
      <c r="J3865" s="391">
        <f t="shared" si="758"/>
        <v>-2.3865799999999995</v>
      </c>
      <c r="K3865" s="90">
        <f t="shared" si="742"/>
        <v>97.549620000000004</v>
      </c>
      <c r="L3865" s="187">
        <v>229</v>
      </c>
      <c r="M3865" s="187">
        <v>11.47</v>
      </c>
      <c r="N3865" s="91">
        <f t="shared" si="748"/>
        <v>68.72</v>
      </c>
      <c r="O3865" s="411">
        <f t="shared" si="756"/>
        <v>28.829620000000006</v>
      </c>
      <c r="P3865" s="132" t="s">
        <v>313</v>
      </c>
      <c r="Q3865" s="232"/>
      <c r="R3865" s="411"/>
      <c r="T3865" s="134" t="s">
        <v>314</v>
      </c>
      <c r="U3865" s="267" t="s">
        <v>8682</v>
      </c>
      <c r="AA3865" s="218"/>
    </row>
    <row r="3866" spans="1:27" ht="24" x14ac:dyDescent="0.25">
      <c r="A3866" s="405">
        <v>3002987</v>
      </c>
      <c r="B3866" s="406">
        <v>42556</v>
      </c>
      <c r="C3866" s="405" t="s">
        <v>5682</v>
      </c>
      <c r="D3866" s="401" t="s">
        <v>8683</v>
      </c>
      <c r="E3866" s="120">
        <v>100</v>
      </c>
      <c r="F3866" s="133" t="s">
        <v>431</v>
      </c>
      <c r="G3866" s="404" t="s">
        <v>7486</v>
      </c>
      <c r="H3866" s="411">
        <v>216.11</v>
      </c>
      <c r="I3866" s="89">
        <f t="shared" si="757"/>
        <v>-19.4499</v>
      </c>
      <c r="J3866" s="391">
        <f t="shared" si="758"/>
        <v>-4.4060899999999998</v>
      </c>
      <c r="K3866" s="90">
        <f t="shared" si="742"/>
        <v>192.25400999999999</v>
      </c>
      <c r="L3866" s="131">
        <v>990</v>
      </c>
      <c r="M3866" s="187">
        <v>50.99</v>
      </c>
      <c r="N3866" s="91">
        <f t="shared" si="748"/>
        <v>149.99</v>
      </c>
      <c r="O3866" s="411">
        <f t="shared" si="756"/>
        <v>42.264009999999985</v>
      </c>
      <c r="P3866" s="132" t="s">
        <v>52</v>
      </c>
      <c r="Q3866" s="232"/>
      <c r="R3866" s="411"/>
      <c r="T3866" s="134" t="s">
        <v>145</v>
      </c>
      <c r="U3866" s="267" t="s">
        <v>8684</v>
      </c>
      <c r="AA3866" s="218"/>
    </row>
    <row r="3867" spans="1:27" x14ac:dyDescent="0.25">
      <c r="A3867" s="405">
        <v>3002988</v>
      </c>
      <c r="B3867" s="406">
        <v>42556</v>
      </c>
      <c r="C3867" s="405" t="s">
        <v>5682</v>
      </c>
      <c r="D3867" s="401" t="s">
        <v>8685</v>
      </c>
      <c r="E3867" s="120">
        <v>200</v>
      </c>
      <c r="F3867" s="133" t="s">
        <v>114</v>
      </c>
      <c r="G3867" s="404" t="s">
        <v>7486</v>
      </c>
      <c r="H3867" s="411">
        <v>662.62</v>
      </c>
      <c r="I3867" s="89">
        <f t="shared" si="757"/>
        <v>-59.635799999999996</v>
      </c>
      <c r="J3867" s="391">
        <f t="shared" si="758"/>
        <v>-12.88978</v>
      </c>
      <c r="K3867" s="90">
        <f t="shared" si="742"/>
        <v>590.09442000000001</v>
      </c>
      <c r="L3867" s="131">
        <v>1770</v>
      </c>
      <c r="M3867" s="187">
        <v>201.3</v>
      </c>
      <c r="N3867" s="91">
        <f t="shared" si="748"/>
        <v>555.29999999999995</v>
      </c>
      <c r="O3867" s="411">
        <f t="shared" si="756"/>
        <v>34.794420000000059</v>
      </c>
      <c r="P3867" s="132" t="s">
        <v>52</v>
      </c>
      <c r="Q3867" s="232"/>
      <c r="R3867" s="411"/>
      <c r="T3867" s="134" t="s">
        <v>244</v>
      </c>
      <c r="U3867" s="267" t="s">
        <v>8686</v>
      </c>
      <c r="V3867" s="133" t="s">
        <v>55</v>
      </c>
      <c r="AA3867" s="218"/>
    </row>
    <row r="3868" spans="1:27" ht="24" x14ac:dyDescent="0.25">
      <c r="A3868" s="405">
        <v>3002989</v>
      </c>
      <c r="B3868" s="406">
        <v>42556</v>
      </c>
      <c r="C3868" s="405" t="s">
        <v>5682</v>
      </c>
      <c r="D3868" s="401" t="s">
        <v>8687</v>
      </c>
      <c r="E3868" s="120">
        <v>260</v>
      </c>
      <c r="F3868" s="133" t="s">
        <v>247</v>
      </c>
      <c r="G3868" s="404" t="s">
        <v>7486</v>
      </c>
      <c r="H3868" s="411">
        <v>275.60000000000002</v>
      </c>
      <c r="I3868" s="89">
        <f t="shared" si="757"/>
        <v>-24.804000000000002</v>
      </c>
      <c r="J3868" s="391">
        <f t="shared" si="758"/>
        <v>-5.5364000000000004</v>
      </c>
      <c r="K3868" s="90">
        <f t="shared" si="742"/>
        <v>245.25960000000003</v>
      </c>
      <c r="L3868" s="131">
        <v>480</v>
      </c>
      <c r="M3868" s="187">
        <v>56.39</v>
      </c>
      <c r="N3868" s="91">
        <f t="shared" si="748"/>
        <v>181.19</v>
      </c>
      <c r="O3868" s="411">
        <f t="shared" si="756"/>
        <v>64.069600000000037</v>
      </c>
      <c r="P3868" s="132" t="s">
        <v>52</v>
      </c>
      <c r="Q3868" s="232"/>
      <c r="R3868" s="411"/>
      <c r="T3868" s="134" t="s">
        <v>145</v>
      </c>
      <c r="U3868" s="267" t="s">
        <v>8688</v>
      </c>
      <c r="AA3868" s="218"/>
    </row>
    <row r="3869" spans="1:27" ht="24" x14ac:dyDescent="0.25">
      <c r="A3869" s="405">
        <v>3002990</v>
      </c>
      <c r="B3869" s="406">
        <v>42556</v>
      </c>
      <c r="C3869" s="405" t="s">
        <v>5682</v>
      </c>
      <c r="D3869" s="401" t="s">
        <v>8689</v>
      </c>
      <c r="E3869" s="120">
        <v>150</v>
      </c>
      <c r="F3869" s="133" t="s">
        <v>829</v>
      </c>
      <c r="G3869" s="404" t="s">
        <v>7486</v>
      </c>
      <c r="H3869" s="411">
        <v>170.67</v>
      </c>
      <c r="I3869" s="89">
        <f t="shared" si="757"/>
        <v>-15.360299999999999</v>
      </c>
      <c r="J3869" s="391">
        <f t="shared" si="758"/>
        <v>-3.5427299999999997</v>
      </c>
      <c r="K3869" s="90">
        <f t="shared" si="742"/>
        <v>151.76696999999999</v>
      </c>
      <c r="L3869" s="131">
        <v>510</v>
      </c>
      <c r="M3869" s="187">
        <v>25.5</v>
      </c>
      <c r="N3869" s="91">
        <f t="shared" si="748"/>
        <v>102</v>
      </c>
      <c r="O3869" s="411">
        <f t="shared" si="756"/>
        <v>49.766969999999986</v>
      </c>
      <c r="P3869" s="132" t="s">
        <v>52</v>
      </c>
      <c r="Q3869" s="232"/>
      <c r="R3869" s="411">
        <v>12.64</v>
      </c>
      <c r="S3869" s="133" t="s">
        <v>8302</v>
      </c>
      <c r="T3869" s="134" t="s">
        <v>145</v>
      </c>
      <c r="U3869" s="267" t="s">
        <v>8690</v>
      </c>
      <c r="AA3869" s="218"/>
    </row>
    <row r="3870" spans="1:27" ht="24" x14ac:dyDescent="0.25">
      <c r="A3870" s="405">
        <v>3002991</v>
      </c>
      <c r="B3870" s="406">
        <v>42556</v>
      </c>
      <c r="C3870" s="405" t="s">
        <v>5682</v>
      </c>
      <c r="D3870" s="401" t="s">
        <v>8691</v>
      </c>
      <c r="E3870" s="120">
        <v>100</v>
      </c>
      <c r="F3870" s="133" t="s">
        <v>2949</v>
      </c>
      <c r="G3870" s="404" t="s">
        <v>7486</v>
      </c>
      <c r="H3870" s="411">
        <v>247</v>
      </c>
      <c r="I3870" s="89">
        <f t="shared" si="757"/>
        <v>-22.23</v>
      </c>
      <c r="J3870" s="391">
        <f t="shared" si="758"/>
        <v>-4.9929999999999994</v>
      </c>
      <c r="K3870" s="90">
        <f t="shared" si="742"/>
        <v>219.77700000000002</v>
      </c>
      <c r="M3870" s="187">
        <v>37.15</v>
      </c>
      <c r="N3870" s="91">
        <f t="shared" si="748"/>
        <v>37.15</v>
      </c>
      <c r="O3870" s="411">
        <f t="shared" si="756"/>
        <v>182.62700000000001</v>
      </c>
      <c r="P3870" s="132" t="s">
        <v>52</v>
      </c>
      <c r="Q3870" s="232"/>
      <c r="R3870" s="411"/>
      <c r="T3870" s="134" t="s">
        <v>145</v>
      </c>
      <c r="U3870" s="267" t="s">
        <v>8692</v>
      </c>
      <c r="AA3870" s="218"/>
    </row>
    <row r="3871" spans="1:27" ht="24" x14ac:dyDescent="0.25">
      <c r="A3871" s="405">
        <v>3002992</v>
      </c>
      <c r="B3871" s="406">
        <v>42556</v>
      </c>
      <c r="C3871" s="405" t="s">
        <v>5682</v>
      </c>
      <c r="D3871" s="401" t="s">
        <v>8693</v>
      </c>
      <c r="E3871" s="120">
        <v>75</v>
      </c>
      <c r="F3871" s="133" t="s">
        <v>247</v>
      </c>
      <c r="G3871" s="404" t="s">
        <v>7486</v>
      </c>
      <c r="H3871" s="411">
        <v>91.5</v>
      </c>
      <c r="I3871" s="89">
        <f t="shared" si="757"/>
        <v>-8.2349999999999994</v>
      </c>
      <c r="J3871" s="391">
        <f t="shared" si="758"/>
        <v>-2.0385</v>
      </c>
      <c r="K3871" s="90">
        <f t="shared" si="742"/>
        <v>81.226500000000001</v>
      </c>
      <c r="L3871" s="131">
        <v>480</v>
      </c>
      <c r="M3871" s="187">
        <v>33.94</v>
      </c>
      <c r="N3871" s="91">
        <f t="shared" si="748"/>
        <v>69.94</v>
      </c>
      <c r="O3871" s="411">
        <f t="shared" si="756"/>
        <v>11.286500000000004</v>
      </c>
      <c r="P3871" s="132" t="s">
        <v>52</v>
      </c>
      <c r="Q3871" s="232"/>
      <c r="R3871" s="411"/>
      <c r="T3871" s="134" t="s">
        <v>145</v>
      </c>
      <c r="U3871" s="267" t="s">
        <v>8694</v>
      </c>
      <c r="AA3871" s="218"/>
    </row>
    <row r="3872" spans="1:27" ht="24" x14ac:dyDescent="0.25">
      <c r="A3872" s="405">
        <v>3002993</v>
      </c>
      <c r="B3872" s="406">
        <v>42556</v>
      </c>
      <c r="C3872" s="405" t="s">
        <v>5682</v>
      </c>
      <c r="D3872" s="401" t="s">
        <v>8695</v>
      </c>
      <c r="E3872" s="120">
        <v>500</v>
      </c>
      <c r="F3872" s="133" t="s">
        <v>119</v>
      </c>
      <c r="G3872" s="404" t="s">
        <v>7486</v>
      </c>
      <c r="H3872" s="411">
        <v>342</v>
      </c>
      <c r="I3872" s="89">
        <f t="shared" si="757"/>
        <v>-30.779999999999998</v>
      </c>
      <c r="J3872" s="391">
        <f t="shared" si="758"/>
        <v>-6.798</v>
      </c>
      <c r="K3872" s="90">
        <f t="shared" si="742"/>
        <v>304.42200000000003</v>
      </c>
      <c r="L3872" s="187">
        <v>319</v>
      </c>
      <c r="M3872" s="187">
        <v>50.78</v>
      </c>
      <c r="N3872" s="91">
        <f t="shared" si="748"/>
        <v>210.28</v>
      </c>
      <c r="O3872" s="411">
        <f t="shared" si="756"/>
        <v>94.142000000000024</v>
      </c>
      <c r="P3872" s="132" t="s">
        <v>3597</v>
      </c>
      <c r="Q3872" s="232"/>
      <c r="R3872" s="411"/>
      <c r="T3872" s="134" t="s">
        <v>145</v>
      </c>
      <c r="U3872" s="267" t="s">
        <v>8696</v>
      </c>
      <c r="AA3872" s="218"/>
    </row>
    <row r="3873" spans="1:27" ht="24" customHeight="1" x14ac:dyDescent="0.25">
      <c r="A3873" s="419">
        <v>3002994</v>
      </c>
      <c r="B3873" s="421">
        <v>42556</v>
      </c>
      <c r="C3873" s="419" t="s">
        <v>5682</v>
      </c>
      <c r="D3873" s="417" t="s">
        <v>8697</v>
      </c>
      <c r="E3873" s="120">
        <v>50</v>
      </c>
      <c r="F3873" s="133" t="s">
        <v>300</v>
      </c>
      <c r="G3873" s="434" t="s">
        <v>7486</v>
      </c>
      <c r="H3873" s="427">
        <v>338.51</v>
      </c>
      <c r="I3873" s="452">
        <f t="shared" si="757"/>
        <v>-30.465899999999998</v>
      </c>
      <c r="J3873" s="425">
        <f t="shared" si="758"/>
        <v>-6.7316899999999995</v>
      </c>
      <c r="K3873" s="425">
        <f t="shared" si="742"/>
        <v>301.31241</v>
      </c>
      <c r="L3873" s="131">
        <v>2150</v>
      </c>
      <c r="M3873" s="187">
        <v>37.450000000000003</v>
      </c>
      <c r="N3873" s="91">
        <f t="shared" si="748"/>
        <v>144.94999999999999</v>
      </c>
      <c r="O3873" s="411">
        <f t="shared" si="756"/>
        <v>156.36241000000001</v>
      </c>
      <c r="P3873" s="132" t="s">
        <v>52</v>
      </c>
      <c r="Q3873" s="232"/>
      <c r="R3873" s="411"/>
      <c r="T3873" s="470" t="s">
        <v>145</v>
      </c>
      <c r="U3873" s="267" t="s">
        <v>8698</v>
      </c>
      <c r="AA3873" s="218"/>
    </row>
    <row r="3874" spans="1:27" x14ac:dyDescent="0.25">
      <c r="A3874" s="420"/>
      <c r="B3874" s="422"/>
      <c r="C3874" s="420"/>
      <c r="D3874" s="418"/>
      <c r="E3874" s="120">
        <v>150</v>
      </c>
      <c r="F3874" s="133" t="s">
        <v>173</v>
      </c>
      <c r="G3874" s="436"/>
      <c r="H3874" s="428"/>
      <c r="I3874" s="453"/>
      <c r="J3874" s="426"/>
      <c r="K3874" s="426"/>
      <c r="L3874" s="131">
        <v>407</v>
      </c>
      <c r="M3874" s="187">
        <v>31.68</v>
      </c>
      <c r="N3874" s="91">
        <f t="shared" si="748"/>
        <v>92.72999999999999</v>
      </c>
      <c r="O3874" s="411">
        <f t="shared" si="756"/>
        <v>-92.72999999999999</v>
      </c>
      <c r="P3874" s="132" t="s">
        <v>52</v>
      </c>
      <c r="Q3874" s="232"/>
      <c r="R3874" s="411"/>
      <c r="T3874" s="472"/>
      <c r="U3874" s="267" t="s">
        <v>8699</v>
      </c>
      <c r="AA3874" s="218"/>
    </row>
    <row r="3875" spans="1:27" x14ac:dyDescent="0.25">
      <c r="A3875" s="405">
        <v>3002995</v>
      </c>
      <c r="B3875" s="406">
        <v>42556</v>
      </c>
      <c r="C3875" s="405" t="s">
        <v>5682</v>
      </c>
      <c r="D3875" s="401" t="s">
        <v>8700</v>
      </c>
      <c r="E3875" s="120">
        <v>800</v>
      </c>
      <c r="F3875" s="133" t="s">
        <v>247</v>
      </c>
      <c r="G3875" s="404" t="s">
        <v>7486</v>
      </c>
      <c r="H3875" s="411">
        <v>828.55</v>
      </c>
      <c r="I3875" s="89">
        <f t="shared" si="757"/>
        <v>-74.569499999999991</v>
      </c>
      <c r="J3875" s="391">
        <f t="shared" si="758"/>
        <v>-16.042449999999999</v>
      </c>
      <c r="K3875" s="90">
        <f t="shared" si="742"/>
        <v>737.93804999999998</v>
      </c>
      <c r="L3875" s="131">
        <v>480</v>
      </c>
      <c r="M3875" s="187">
        <v>156.59</v>
      </c>
      <c r="N3875" s="91">
        <f t="shared" si="748"/>
        <v>540.59</v>
      </c>
      <c r="O3875" s="411">
        <f t="shared" si="756"/>
        <v>197.34804999999994</v>
      </c>
      <c r="P3875" s="132" t="s">
        <v>52</v>
      </c>
      <c r="Q3875" s="232"/>
      <c r="R3875" s="411"/>
      <c r="T3875" s="134" t="s">
        <v>97</v>
      </c>
      <c r="U3875" s="267" t="s">
        <v>8701</v>
      </c>
      <c r="V3875" s="133" t="s">
        <v>55</v>
      </c>
      <c r="AA3875" s="218"/>
    </row>
    <row r="3876" spans="1:27" ht="24" x14ac:dyDescent="0.25">
      <c r="A3876" s="405">
        <v>3002996</v>
      </c>
      <c r="B3876" s="406">
        <v>42556</v>
      </c>
      <c r="C3876" s="405" t="s">
        <v>5682</v>
      </c>
      <c r="D3876" s="401" t="s">
        <v>8702</v>
      </c>
      <c r="E3876" s="120">
        <v>100</v>
      </c>
      <c r="F3876" s="133" t="s">
        <v>161</v>
      </c>
      <c r="G3876" s="404" t="s">
        <v>7486</v>
      </c>
      <c r="H3876" s="411">
        <v>230</v>
      </c>
      <c r="I3876" s="89">
        <f t="shared" si="757"/>
        <v>-20.7</v>
      </c>
      <c r="J3876" s="391">
        <f t="shared" si="758"/>
        <v>-4.67</v>
      </c>
      <c r="K3876" s="90">
        <f t="shared" si="742"/>
        <v>204.63000000000002</v>
      </c>
      <c r="L3876" s="131">
        <v>1322</v>
      </c>
      <c r="M3876" s="187">
        <v>31.71</v>
      </c>
      <c r="N3876" s="91">
        <f t="shared" si="748"/>
        <v>163.91000000000003</v>
      </c>
      <c r="O3876" s="411">
        <f t="shared" si="756"/>
        <v>40.72</v>
      </c>
      <c r="P3876" s="132" t="s">
        <v>52</v>
      </c>
      <c r="Q3876" s="232"/>
      <c r="R3876" s="411"/>
      <c r="T3876" s="134" t="s">
        <v>145</v>
      </c>
      <c r="U3876" s="267" t="s">
        <v>8703</v>
      </c>
      <c r="V3876" s="133">
        <v>3002966</v>
      </c>
      <c r="AA3876" s="218"/>
    </row>
    <row r="3877" spans="1:27" ht="24" x14ac:dyDescent="0.25">
      <c r="A3877" s="405">
        <v>3002997</v>
      </c>
      <c r="B3877" s="406">
        <v>42556</v>
      </c>
      <c r="C3877" s="405" t="s">
        <v>5682</v>
      </c>
      <c r="D3877" s="401" t="s">
        <v>7765</v>
      </c>
      <c r="E3877" s="120">
        <v>25</v>
      </c>
      <c r="F3877" s="133" t="s">
        <v>8704</v>
      </c>
      <c r="G3877" s="404" t="s">
        <v>7486</v>
      </c>
      <c r="H3877" s="411">
        <v>264.81</v>
      </c>
      <c r="I3877" s="89">
        <f t="shared" si="757"/>
        <v>-23.832899999999999</v>
      </c>
      <c r="J3877" s="391">
        <f t="shared" si="758"/>
        <v>-5.3313899999999999</v>
      </c>
      <c r="K3877" s="90">
        <f t="shared" si="742"/>
        <v>235.64571000000001</v>
      </c>
      <c r="L3877" s="187">
        <v>5460</v>
      </c>
      <c r="M3877" s="187">
        <v>59.73</v>
      </c>
      <c r="N3877" s="91">
        <f t="shared" si="748"/>
        <v>196.23</v>
      </c>
      <c r="O3877" s="411">
        <f t="shared" si="756"/>
        <v>39.415710000000018</v>
      </c>
      <c r="P3877" s="132" t="s">
        <v>183</v>
      </c>
      <c r="Q3877" s="232"/>
      <c r="R3877" s="411"/>
      <c r="T3877" s="134" t="s">
        <v>324</v>
      </c>
      <c r="U3877" s="266" t="s">
        <v>8705</v>
      </c>
      <c r="AA3877" s="218"/>
    </row>
    <row r="3878" spans="1:27" ht="24" x14ac:dyDescent="0.25">
      <c r="A3878" s="405">
        <v>3002998</v>
      </c>
      <c r="B3878" s="406">
        <v>42556</v>
      </c>
      <c r="C3878" s="405" t="s">
        <v>5682</v>
      </c>
      <c r="D3878" s="401" t="s">
        <v>8706</v>
      </c>
      <c r="E3878" s="120">
        <v>300</v>
      </c>
      <c r="F3878" s="133" t="s">
        <v>247</v>
      </c>
      <c r="G3878" s="404" t="s">
        <v>7486</v>
      </c>
      <c r="H3878" s="411">
        <v>330</v>
      </c>
      <c r="I3878" s="89">
        <f t="shared" si="757"/>
        <v>-29.7</v>
      </c>
      <c r="J3878" s="391">
        <f t="shared" si="758"/>
        <v>-6.5699999999999994</v>
      </c>
      <c r="K3878" s="90">
        <f t="shared" si="742"/>
        <v>293.73</v>
      </c>
      <c r="L3878" s="131">
        <v>480</v>
      </c>
      <c r="M3878" s="187">
        <v>50.81</v>
      </c>
      <c r="N3878" s="91">
        <f t="shared" si="748"/>
        <v>194.81</v>
      </c>
      <c r="O3878" s="411">
        <f t="shared" si="756"/>
        <v>98.920000000000016</v>
      </c>
      <c r="P3878" s="132" t="s">
        <v>52</v>
      </c>
      <c r="Q3878" s="232"/>
      <c r="R3878" s="411"/>
      <c r="T3878" s="134" t="s">
        <v>145</v>
      </c>
      <c r="U3878" s="267" t="s">
        <v>8707</v>
      </c>
      <c r="AA3878" s="218"/>
    </row>
    <row r="3879" spans="1:27" ht="24" x14ac:dyDescent="0.25">
      <c r="A3879" s="405">
        <v>3002999</v>
      </c>
      <c r="B3879" s="406">
        <v>42556</v>
      </c>
      <c r="C3879" s="405" t="s">
        <v>5682</v>
      </c>
      <c r="D3879" s="401" t="s">
        <v>8708</v>
      </c>
      <c r="E3879" s="120">
        <v>200</v>
      </c>
      <c r="F3879" s="133" t="s">
        <v>161</v>
      </c>
      <c r="G3879" s="404" t="s">
        <v>7486</v>
      </c>
      <c r="H3879" s="411">
        <v>447.02</v>
      </c>
      <c r="I3879" s="89">
        <f t="shared" si="757"/>
        <v>-40.2318</v>
      </c>
      <c r="J3879" s="391">
        <f t="shared" si="758"/>
        <v>-8.7933800000000009</v>
      </c>
      <c r="K3879" s="90">
        <f t="shared" si="742"/>
        <v>397.99481999999995</v>
      </c>
      <c r="L3879" s="131">
        <v>1322</v>
      </c>
      <c r="M3879" s="187">
        <v>67.28</v>
      </c>
      <c r="N3879" s="91">
        <f t="shared" si="748"/>
        <v>331.68000000000006</v>
      </c>
      <c r="O3879" s="411">
        <f t="shared" si="756"/>
        <v>66.314819999999884</v>
      </c>
      <c r="P3879" s="132" t="s">
        <v>52</v>
      </c>
      <c r="Q3879" s="232"/>
      <c r="R3879" s="411"/>
      <c r="T3879" s="134" t="s">
        <v>145</v>
      </c>
      <c r="U3879" s="267" t="s">
        <v>8709</v>
      </c>
      <c r="AA3879" s="218"/>
    </row>
    <row r="3880" spans="1:27" ht="24" x14ac:dyDescent="0.25">
      <c r="A3880" s="405">
        <v>3003000</v>
      </c>
      <c r="B3880" s="406">
        <v>42556</v>
      </c>
      <c r="C3880" s="405" t="s">
        <v>5682</v>
      </c>
      <c r="D3880" s="401" t="s">
        <v>8710</v>
      </c>
      <c r="E3880" s="120">
        <v>100</v>
      </c>
      <c r="F3880" s="133" t="s">
        <v>8711</v>
      </c>
      <c r="G3880" s="404" t="s">
        <v>7486</v>
      </c>
      <c r="H3880" s="411">
        <v>338.58</v>
      </c>
      <c r="I3880" s="89">
        <f t="shared" si="757"/>
        <v>-30.472199999999997</v>
      </c>
      <c r="J3880" s="391">
        <f t="shared" si="758"/>
        <v>-6.7330199999999998</v>
      </c>
      <c r="K3880" s="90">
        <f t="shared" si="742"/>
        <v>301.37477999999999</v>
      </c>
      <c r="L3880" s="187">
        <v>1574</v>
      </c>
      <c r="M3880" s="187">
        <v>20.72</v>
      </c>
      <c r="N3880" s="91">
        <f t="shared" si="748"/>
        <v>178.12</v>
      </c>
      <c r="O3880" s="411">
        <f t="shared" si="756"/>
        <v>123.25477999999998</v>
      </c>
      <c r="P3880" s="132" t="s">
        <v>926</v>
      </c>
      <c r="Q3880" s="232"/>
      <c r="R3880" s="411"/>
      <c r="T3880" s="134" t="s">
        <v>145</v>
      </c>
      <c r="U3880" s="267" t="s">
        <v>8712</v>
      </c>
      <c r="AA3880" s="218"/>
    </row>
    <row r="3881" spans="1:27" x14ac:dyDescent="0.25">
      <c r="A3881" s="405">
        <v>3003001</v>
      </c>
      <c r="B3881" s="406">
        <v>42556</v>
      </c>
      <c r="C3881" s="405" t="s">
        <v>280</v>
      </c>
      <c r="D3881" s="401" t="s">
        <v>8713</v>
      </c>
      <c r="E3881" s="120">
        <v>1000</v>
      </c>
      <c r="F3881" s="133" t="s">
        <v>247</v>
      </c>
      <c r="G3881" s="404" t="s">
        <v>7486</v>
      </c>
      <c r="H3881" s="411">
        <v>950</v>
      </c>
      <c r="I3881" s="411">
        <v>0</v>
      </c>
      <c r="J3881" s="391">
        <f>-((H3881*0.022)+0.3)</f>
        <v>-21.2</v>
      </c>
      <c r="K3881" s="90">
        <f t="shared" si="742"/>
        <v>928.8</v>
      </c>
      <c r="L3881" s="131">
        <v>590</v>
      </c>
      <c r="M3881" s="187">
        <v>117.35</v>
      </c>
      <c r="N3881" s="91">
        <f t="shared" si="748"/>
        <v>707.35</v>
      </c>
      <c r="O3881" s="411">
        <f t="shared" si="756"/>
        <v>221.44999999999993</v>
      </c>
      <c r="P3881" s="132" t="s">
        <v>52</v>
      </c>
      <c r="Q3881" s="232"/>
      <c r="R3881" s="411"/>
      <c r="T3881" s="134" t="s">
        <v>97</v>
      </c>
      <c r="U3881" s="267" t="s">
        <v>8714</v>
      </c>
      <c r="V3881" s="133" t="s">
        <v>55</v>
      </c>
      <c r="W3881" s="153" t="s">
        <v>8715</v>
      </c>
      <c r="AA3881" s="218"/>
    </row>
    <row r="3882" spans="1:27" ht="24" x14ac:dyDescent="0.25">
      <c r="A3882" s="405">
        <v>3003002</v>
      </c>
      <c r="B3882" s="406">
        <v>42556</v>
      </c>
      <c r="C3882" s="405" t="s">
        <v>327</v>
      </c>
      <c r="D3882" s="401" t="s">
        <v>8716</v>
      </c>
      <c r="E3882" s="120">
        <v>125</v>
      </c>
      <c r="F3882" s="133" t="s">
        <v>8717</v>
      </c>
      <c r="G3882" s="404" t="s">
        <v>7486</v>
      </c>
      <c r="H3882" s="411">
        <v>600</v>
      </c>
      <c r="I3882" s="411">
        <v>0</v>
      </c>
      <c r="J3882" s="391">
        <f>-((H3882*0.022)+0.3)</f>
        <v>-13.5</v>
      </c>
      <c r="K3882" s="90">
        <f t="shared" si="742"/>
        <v>586.5</v>
      </c>
      <c r="L3882" s="131">
        <v>3400</v>
      </c>
      <c r="M3882" s="187">
        <v>60.54</v>
      </c>
      <c r="N3882" s="91">
        <f t="shared" si="748"/>
        <v>485.54</v>
      </c>
      <c r="O3882" s="411">
        <f t="shared" si="756"/>
        <v>100.95999999999998</v>
      </c>
      <c r="P3882" s="132" t="s">
        <v>52</v>
      </c>
      <c r="Q3882" s="232"/>
      <c r="R3882" s="411"/>
      <c r="T3882" s="134" t="s">
        <v>145</v>
      </c>
      <c r="U3882" s="267" t="s">
        <v>8718</v>
      </c>
      <c r="W3882" s="153" t="s">
        <v>8719</v>
      </c>
      <c r="AA3882" s="218"/>
    </row>
    <row r="3883" spans="1:27" ht="24" x14ac:dyDescent="0.25">
      <c r="A3883" s="405">
        <v>3003003</v>
      </c>
      <c r="B3883" s="406">
        <v>42556</v>
      </c>
      <c r="C3883" s="405" t="s">
        <v>237</v>
      </c>
      <c r="D3883" s="401" t="s">
        <v>8720</v>
      </c>
      <c r="E3883" s="120">
        <v>250</v>
      </c>
      <c r="F3883" s="133" t="s">
        <v>829</v>
      </c>
      <c r="G3883" s="404" t="s">
        <v>7486</v>
      </c>
      <c r="H3883" s="411">
        <v>244.51</v>
      </c>
      <c r="I3883" s="397">
        <f t="shared" ref="I3883:I3905" si="759">-(H3883*0.15)</f>
        <v>-36.676499999999997</v>
      </c>
      <c r="J3883" s="411">
        <v>0</v>
      </c>
      <c r="K3883" s="90">
        <f t="shared" si="742"/>
        <v>207.83349999999999</v>
      </c>
      <c r="L3883" s="131">
        <v>510</v>
      </c>
      <c r="M3883" s="187">
        <v>41.35</v>
      </c>
      <c r="N3883" s="91">
        <f t="shared" si="748"/>
        <v>168.85</v>
      </c>
      <c r="O3883" s="411">
        <f t="shared" si="756"/>
        <v>38.983499999999992</v>
      </c>
      <c r="P3883" s="132" t="s">
        <v>52</v>
      </c>
      <c r="Q3883" s="232"/>
      <c r="R3883" s="411"/>
      <c r="T3883" s="134" t="s">
        <v>145</v>
      </c>
      <c r="U3883" s="267" t="s">
        <v>8721</v>
      </c>
      <c r="AA3883" s="218"/>
    </row>
    <row r="3884" spans="1:27" x14ac:dyDescent="0.25">
      <c r="A3884" s="419">
        <v>3003004</v>
      </c>
      <c r="B3884" s="421">
        <v>42556</v>
      </c>
      <c r="C3884" s="419" t="s">
        <v>237</v>
      </c>
      <c r="D3884" s="417" t="s">
        <v>8722</v>
      </c>
      <c r="E3884" s="120">
        <v>50</v>
      </c>
      <c r="F3884" s="133" t="s">
        <v>3301</v>
      </c>
      <c r="G3884" s="434" t="s">
        <v>7486</v>
      </c>
      <c r="H3884" s="427">
        <v>106.82</v>
      </c>
      <c r="I3884" s="452">
        <f t="shared" si="759"/>
        <v>-16.023</v>
      </c>
      <c r="J3884" s="427">
        <v>0</v>
      </c>
      <c r="K3884" s="425">
        <f t="shared" si="742"/>
        <v>90.796999999999997</v>
      </c>
      <c r="L3884" s="187">
        <v>746</v>
      </c>
      <c r="M3884" s="187">
        <v>23.5</v>
      </c>
      <c r="N3884" s="91">
        <f t="shared" si="748"/>
        <v>60.800000000000004</v>
      </c>
      <c r="O3884" s="411">
        <f t="shared" si="756"/>
        <v>29.996999999999993</v>
      </c>
      <c r="P3884" s="132" t="s">
        <v>601</v>
      </c>
      <c r="Q3884" s="232"/>
      <c r="R3884" s="411"/>
      <c r="T3884" s="439" t="s">
        <v>145</v>
      </c>
      <c r="U3884" s="446" t="s">
        <v>8723</v>
      </c>
      <c r="AA3884" s="218"/>
    </row>
    <row r="3885" spans="1:27" x14ac:dyDescent="0.25">
      <c r="A3885" s="420"/>
      <c r="B3885" s="422"/>
      <c r="C3885" s="420"/>
      <c r="D3885" s="418"/>
      <c r="E3885" s="120">
        <v>50</v>
      </c>
      <c r="F3885" s="133" t="s">
        <v>3299</v>
      </c>
      <c r="G3885" s="436"/>
      <c r="H3885" s="428"/>
      <c r="I3885" s="453"/>
      <c r="J3885" s="428"/>
      <c r="K3885" s="426"/>
      <c r="L3885" s="187">
        <v>746</v>
      </c>
      <c r="M3885" s="187"/>
      <c r="N3885" s="91">
        <f t="shared" si="748"/>
        <v>37.300000000000004</v>
      </c>
      <c r="O3885" s="411">
        <f t="shared" si="756"/>
        <v>-37.300000000000004</v>
      </c>
      <c r="P3885" s="132" t="s">
        <v>601</v>
      </c>
      <c r="Q3885" s="232"/>
      <c r="R3885" s="411"/>
      <c r="T3885" s="441"/>
      <c r="U3885" s="447"/>
      <c r="AA3885" s="218"/>
    </row>
    <row r="3886" spans="1:27" ht="24" x14ac:dyDescent="0.25">
      <c r="A3886" s="405">
        <v>3003005</v>
      </c>
      <c r="B3886" s="406">
        <v>42556</v>
      </c>
      <c r="C3886" s="405" t="s">
        <v>237</v>
      </c>
      <c r="D3886" s="401" t="s">
        <v>8724</v>
      </c>
      <c r="E3886" s="120">
        <v>100</v>
      </c>
      <c r="F3886" s="133" t="s">
        <v>590</v>
      </c>
      <c r="G3886" s="404" t="s">
        <v>7486</v>
      </c>
      <c r="H3886" s="411">
        <v>119.54</v>
      </c>
      <c r="I3886" s="397">
        <f t="shared" si="759"/>
        <v>-17.931000000000001</v>
      </c>
      <c r="J3886" s="411">
        <v>0</v>
      </c>
      <c r="K3886" s="90">
        <f t="shared" si="742"/>
        <v>101.60900000000001</v>
      </c>
      <c r="L3886" s="131">
        <v>577</v>
      </c>
      <c r="M3886" s="187">
        <v>34.200000000000003</v>
      </c>
      <c r="N3886" s="91">
        <f t="shared" si="748"/>
        <v>91.9</v>
      </c>
      <c r="O3886" s="411">
        <f t="shared" si="756"/>
        <v>9.7090000000000032</v>
      </c>
      <c r="P3886" s="132" t="s">
        <v>52</v>
      </c>
      <c r="Q3886" s="232"/>
      <c r="R3886" s="411"/>
      <c r="T3886" s="134" t="s">
        <v>145</v>
      </c>
      <c r="U3886" s="267" t="s">
        <v>8725</v>
      </c>
      <c r="AA3886" s="218"/>
    </row>
    <row r="3887" spans="1:27" ht="24" x14ac:dyDescent="0.25">
      <c r="A3887" s="405">
        <v>3003006</v>
      </c>
      <c r="B3887" s="406">
        <v>42556</v>
      </c>
      <c r="C3887" s="405" t="s">
        <v>237</v>
      </c>
      <c r="D3887" s="401" t="s">
        <v>8726</v>
      </c>
      <c r="E3887" s="120">
        <v>100</v>
      </c>
      <c r="F3887" s="133" t="s">
        <v>590</v>
      </c>
      <c r="G3887" s="404" t="s">
        <v>7486</v>
      </c>
      <c r="H3887" s="411">
        <v>119.54</v>
      </c>
      <c r="I3887" s="397">
        <f t="shared" si="759"/>
        <v>-17.931000000000001</v>
      </c>
      <c r="J3887" s="411">
        <v>0</v>
      </c>
      <c r="K3887" s="90">
        <f t="shared" si="742"/>
        <v>101.60900000000001</v>
      </c>
      <c r="L3887" s="131">
        <v>577</v>
      </c>
      <c r="M3887" s="187">
        <v>36.22</v>
      </c>
      <c r="N3887" s="91">
        <f t="shared" si="748"/>
        <v>93.92</v>
      </c>
      <c r="O3887" s="411">
        <f t="shared" si="756"/>
        <v>7.6890000000000072</v>
      </c>
      <c r="P3887" s="132" t="s">
        <v>52</v>
      </c>
      <c r="Q3887" s="232"/>
      <c r="R3887" s="411"/>
      <c r="T3887" s="134" t="s">
        <v>145</v>
      </c>
      <c r="U3887" s="267" t="s">
        <v>8727</v>
      </c>
      <c r="AA3887" s="218"/>
    </row>
    <row r="3888" spans="1:27" ht="24" x14ac:dyDescent="0.25">
      <c r="A3888" s="405">
        <v>3003007</v>
      </c>
      <c r="B3888" s="406">
        <v>42556</v>
      </c>
      <c r="C3888" s="405" t="s">
        <v>237</v>
      </c>
      <c r="D3888" s="401" t="s">
        <v>8728</v>
      </c>
      <c r="E3888" s="120">
        <v>100</v>
      </c>
      <c r="F3888" s="133" t="s">
        <v>590</v>
      </c>
      <c r="G3888" s="404" t="s">
        <v>7486</v>
      </c>
      <c r="H3888" s="411">
        <v>119.54</v>
      </c>
      <c r="I3888" s="397">
        <f t="shared" si="759"/>
        <v>-17.931000000000001</v>
      </c>
      <c r="J3888" s="411">
        <v>0</v>
      </c>
      <c r="K3888" s="90">
        <f t="shared" si="742"/>
        <v>101.60900000000001</v>
      </c>
      <c r="L3888" s="131">
        <v>577</v>
      </c>
      <c r="M3888" s="187">
        <v>19.54</v>
      </c>
      <c r="N3888" s="91">
        <f t="shared" si="748"/>
        <v>77.240000000000009</v>
      </c>
      <c r="O3888" s="411">
        <f t="shared" si="756"/>
        <v>24.369</v>
      </c>
      <c r="P3888" s="132" t="s">
        <v>52</v>
      </c>
      <c r="Q3888" s="232"/>
      <c r="R3888" s="411"/>
      <c r="T3888" s="134" t="s">
        <v>145</v>
      </c>
      <c r="U3888" s="267" t="s">
        <v>8729</v>
      </c>
      <c r="AA3888" s="218"/>
    </row>
    <row r="3889" spans="1:27" ht="24" x14ac:dyDescent="0.25">
      <c r="A3889" s="405">
        <v>3003008</v>
      </c>
      <c r="B3889" s="406">
        <v>42556</v>
      </c>
      <c r="C3889" s="405" t="s">
        <v>237</v>
      </c>
      <c r="D3889" s="401" t="s">
        <v>8730</v>
      </c>
      <c r="E3889" s="120">
        <v>100</v>
      </c>
      <c r="F3889" s="133" t="s">
        <v>590</v>
      </c>
      <c r="G3889" s="404" t="s">
        <v>7486</v>
      </c>
      <c r="H3889" s="411">
        <v>119.54</v>
      </c>
      <c r="I3889" s="397">
        <f t="shared" si="759"/>
        <v>-17.931000000000001</v>
      </c>
      <c r="J3889" s="411">
        <v>0</v>
      </c>
      <c r="K3889" s="90">
        <f t="shared" si="742"/>
        <v>101.60900000000001</v>
      </c>
      <c r="L3889" s="131">
        <v>577</v>
      </c>
      <c r="M3889" s="187">
        <v>33.26</v>
      </c>
      <c r="N3889" s="91">
        <f t="shared" si="748"/>
        <v>90.960000000000008</v>
      </c>
      <c r="O3889" s="411">
        <f t="shared" si="756"/>
        <v>10.649000000000001</v>
      </c>
      <c r="P3889" s="132" t="s">
        <v>52</v>
      </c>
      <c r="Q3889" s="232"/>
      <c r="R3889" s="411"/>
      <c r="T3889" s="134" t="s">
        <v>145</v>
      </c>
      <c r="U3889" s="267" t="s">
        <v>8731</v>
      </c>
      <c r="AA3889" s="218"/>
    </row>
    <row r="3890" spans="1:27" ht="24" x14ac:dyDescent="0.25">
      <c r="A3890" s="405">
        <v>3003009</v>
      </c>
      <c r="B3890" s="406">
        <v>42556</v>
      </c>
      <c r="C3890" s="405" t="s">
        <v>237</v>
      </c>
      <c r="D3890" s="401" t="s">
        <v>8732</v>
      </c>
      <c r="E3890" s="120">
        <v>250</v>
      </c>
      <c r="F3890" s="133" t="s">
        <v>8733</v>
      </c>
      <c r="G3890" s="404" t="s">
        <v>7486</v>
      </c>
      <c r="H3890" s="411">
        <v>388.25</v>
      </c>
      <c r="I3890" s="397">
        <f t="shared" si="759"/>
        <v>-58.237499999999997</v>
      </c>
      <c r="J3890" s="411">
        <v>0</v>
      </c>
      <c r="K3890" s="90">
        <f t="shared" si="742"/>
        <v>330.01249999999999</v>
      </c>
      <c r="L3890" s="187">
        <v>1075</v>
      </c>
      <c r="M3890" s="187">
        <v>42.65</v>
      </c>
      <c r="N3890" s="91">
        <f t="shared" si="748"/>
        <v>311.39999999999998</v>
      </c>
      <c r="O3890" s="411">
        <f t="shared" si="756"/>
        <v>18.612500000000011</v>
      </c>
      <c r="P3890" s="132" t="s">
        <v>235</v>
      </c>
      <c r="Q3890" s="232"/>
      <c r="R3890" s="411"/>
      <c r="T3890" s="134" t="s">
        <v>145</v>
      </c>
      <c r="U3890" s="267" t="s">
        <v>8734</v>
      </c>
      <c r="AA3890" s="218"/>
    </row>
    <row r="3891" spans="1:27" ht="24" x14ac:dyDescent="0.25">
      <c r="A3891" s="405">
        <v>3003010</v>
      </c>
      <c r="B3891" s="406">
        <v>42556</v>
      </c>
      <c r="C3891" s="405" t="s">
        <v>237</v>
      </c>
      <c r="D3891" s="401" t="s">
        <v>8735</v>
      </c>
      <c r="E3891" s="120">
        <v>100</v>
      </c>
      <c r="F3891" s="133" t="s">
        <v>877</v>
      </c>
      <c r="G3891" s="404" t="s">
        <v>7486</v>
      </c>
      <c r="H3891" s="411">
        <v>115.93</v>
      </c>
      <c r="I3891" s="397">
        <f t="shared" si="759"/>
        <v>-17.389500000000002</v>
      </c>
      <c r="J3891" s="411">
        <v>0</v>
      </c>
      <c r="K3891" s="90">
        <f t="shared" si="742"/>
        <v>98.540500000000009</v>
      </c>
      <c r="L3891" s="131">
        <v>235</v>
      </c>
      <c r="M3891" s="187">
        <v>46.01</v>
      </c>
      <c r="N3891" s="91">
        <f t="shared" si="748"/>
        <v>69.509999999999991</v>
      </c>
      <c r="O3891" s="411">
        <f t="shared" si="756"/>
        <v>29.030500000000018</v>
      </c>
      <c r="P3891" s="132" t="s">
        <v>52</v>
      </c>
      <c r="Q3891" s="232"/>
      <c r="R3891" s="411"/>
      <c r="T3891" s="134" t="s">
        <v>145</v>
      </c>
      <c r="U3891" s="267" t="s">
        <v>8736</v>
      </c>
      <c r="AA3891" s="218"/>
    </row>
    <row r="3892" spans="1:27" ht="24" x14ac:dyDescent="0.25">
      <c r="A3892" s="405">
        <v>3003011</v>
      </c>
      <c r="B3892" s="406">
        <v>42556</v>
      </c>
      <c r="C3892" s="405" t="s">
        <v>237</v>
      </c>
      <c r="D3892" s="401" t="s">
        <v>8737</v>
      </c>
      <c r="E3892" s="120">
        <v>50</v>
      </c>
      <c r="F3892" s="133" t="s">
        <v>288</v>
      </c>
      <c r="G3892" s="404" t="s">
        <v>7486</v>
      </c>
      <c r="H3892" s="411">
        <v>115.77</v>
      </c>
      <c r="I3892" s="397">
        <f t="shared" si="759"/>
        <v>-17.365499999999997</v>
      </c>
      <c r="J3892" s="411">
        <v>0</v>
      </c>
      <c r="K3892" s="90">
        <f t="shared" si="742"/>
        <v>98.404499999999999</v>
      </c>
      <c r="L3892" s="131">
        <v>950</v>
      </c>
      <c r="M3892" s="187">
        <v>26.21</v>
      </c>
      <c r="N3892" s="91">
        <f t="shared" si="748"/>
        <v>73.710000000000008</v>
      </c>
      <c r="O3892" s="411">
        <f t="shared" si="756"/>
        <v>24.694499999999991</v>
      </c>
      <c r="P3892" s="132" t="s">
        <v>52</v>
      </c>
      <c r="Q3892" s="232"/>
      <c r="R3892" s="411"/>
      <c r="T3892" s="134" t="s">
        <v>145</v>
      </c>
      <c r="U3892" s="267" t="s">
        <v>8738</v>
      </c>
      <c r="AA3892" s="218"/>
    </row>
    <row r="3893" spans="1:27" ht="24" x14ac:dyDescent="0.25">
      <c r="A3893" s="405">
        <v>3003012</v>
      </c>
      <c r="B3893" s="406">
        <v>42556</v>
      </c>
      <c r="C3893" s="405" t="s">
        <v>237</v>
      </c>
      <c r="D3893" s="401" t="s">
        <v>8739</v>
      </c>
      <c r="E3893" s="120">
        <v>150</v>
      </c>
      <c r="F3893" s="133" t="s">
        <v>247</v>
      </c>
      <c r="G3893" s="404" t="s">
        <v>7486</v>
      </c>
      <c r="H3893" s="411">
        <v>159.87</v>
      </c>
      <c r="I3893" s="397">
        <f t="shared" si="759"/>
        <v>-23.980499999999999</v>
      </c>
      <c r="J3893" s="411">
        <v>0</v>
      </c>
      <c r="K3893" s="90">
        <f t="shared" si="742"/>
        <v>135.8895</v>
      </c>
      <c r="L3893" s="131">
        <v>480</v>
      </c>
      <c r="M3893" s="187">
        <v>33.659999999999997</v>
      </c>
      <c r="N3893" s="91">
        <f t="shared" si="748"/>
        <v>105.66</v>
      </c>
      <c r="O3893" s="411">
        <f t="shared" si="756"/>
        <v>30.229500000000002</v>
      </c>
      <c r="P3893" s="132" t="s">
        <v>52</v>
      </c>
      <c r="Q3893" s="232"/>
      <c r="R3893" s="411"/>
      <c r="T3893" s="134" t="s">
        <v>145</v>
      </c>
      <c r="U3893" s="267" t="s">
        <v>8740</v>
      </c>
      <c r="AA3893" s="218"/>
    </row>
    <row r="3894" spans="1:27" ht="24" x14ac:dyDescent="0.25">
      <c r="A3894" s="405">
        <v>3003013</v>
      </c>
      <c r="B3894" s="406">
        <v>42556</v>
      </c>
      <c r="C3894" s="405" t="s">
        <v>237</v>
      </c>
      <c r="D3894" s="401" t="s">
        <v>8741</v>
      </c>
      <c r="E3894" s="120">
        <v>100</v>
      </c>
      <c r="F3894" s="133" t="s">
        <v>590</v>
      </c>
      <c r="G3894" s="404" t="s">
        <v>7486</v>
      </c>
      <c r="H3894" s="411">
        <v>119.54</v>
      </c>
      <c r="I3894" s="397">
        <f t="shared" si="759"/>
        <v>-17.931000000000001</v>
      </c>
      <c r="J3894" s="411">
        <v>0</v>
      </c>
      <c r="K3894" s="90">
        <f t="shared" si="742"/>
        <v>101.60900000000001</v>
      </c>
      <c r="L3894" s="131">
        <v>577</v>
      </c>
      <c r="M3894" s="187">
        <v>39.51</v>
      </c>
      <c r="N3894" s="91">
        <f t="shared" si="748"/>
        <v>97.210000000000008</v>
      </c>
      <c r="O3894" s="411">
        <f t="shared" si="756"/>
        <v>4.3990000000000009</v>
      </c>
      <c r="P3894" s="132" t="s">
        <v>52</v>
      </c>
      <c r="Q3894" s="232"/>
      <c r="R3894" s="411"/>
      <c r="T3894" s="134" t="s">
        <v>145</v>
      </c>
      <c r="U3894" s="267" t="s">
        <v>8742</v>
      </c>
      <c r="AA3894" s="218"/>
    </row>
    <row r="3895" spans="1:27" ht="24" x14ac:dyDescent="0.25">
      <c r="A3895" s="405">
        <v>3003014</v>
      </c>
      <c r="B3895" s="406">
        <v>42556</v>
      </c>
      <c r="C3895" s="405" t="s">
        <v>237</v>
      </c>
      <c r="D3895" s="401" t="s">
        <v>8743</v>
      </c>
      <c r="E3895" s="120">
        <v>250</v>
      </c>
      <c r="F3895" s="133" t="s">
        <v>2949</v>
      </c>
      <c r="G3895" s="404" t="s">
        <v>7486</v>
      </c>
      <c r="H3895" s="411">
        <v>544.98</v>
      </c>
      <c r="I3895" s="397">
        <f t="shared" si="759"/>
        <v>-81.747</v>
      </c>
      <c r="J3895" s="411">
        <v>0</v>
      </c>
      <c r="K3895" s="90">
        <f t="shared" si="742"/>
        <v>463.233</v>
      </c>
      <c r="M3895" s="187">
        <v>56.64</v>
      </c>
      <c r="N3895" s="91">
        <f t="shared" ref="N3895" si="760">((L3895)*(E3895*0.001))+M3895</f>
        <v>56.64</v>
      </c>
      <c r="O3895" s="411">
        <f t="shared" si="756"/>
        <v>406.59300000000002</v>
      </c>
      <c r="P3895" s="132" t="s">
        <v>52</v>
      </c>
      <c r="Q3895" s="232"/>
      <c r="R3895" s="411"/>
      <c r="T3895" s="134" t="s">
        <v>145</v>
      </c>
      <c r="U3895" s="267" t="s">
        <v>8744</v>
      </c>
      <c r="AA3895" s="218"/>
    </row>
    <row r="3896" spans="1:27" ht="24" x14ac:dyDescent="0.25">
      <c r="A3896" s="405">
        <v>3003015</v>
      </c>
      <c r="B3896" s="406">
        <v>42556</v>
      </c>
      <c r="C3896" s="405" t="s">
        <v>237</v>
      </c>
      <c r="D3896" s="401" t="s">
        <v>8745</v>
      </c>
      <c r="E3896" s="120">
        <v>150</v>
      </c>
      <c r="F3896" s="133" t="s">
        <v>829</v>
      </c>
      <c r="G3896" s="404" t="s">
        <v>7486</v>
      </c>
      <c r="H3896" s="411">
        <v>131.15</v>
      </c>
      <c r="I3896" s="397">
        <f t="shared" si="759"/>
        <v>-19.672499999999999</v>
      </c>
      <c r="J3896" s="411">
        <v>0</v>
      </c>
      <c r="K3896" s="90">
        <f t="shared" si="742"/>
        <v>111.47750000000001</v>
      </c>
      <c r="L3896" s="131">
        <v>510</v>
      </c>
      <c r="M3896" s="187">
        <v>37.99</v>
      </c>
      <c r="N3896" s="91">
        <f t="shared" si="748"/>
        <v>114.49000000000001</v>
      </c>
      <c r="O3896" s="411">
        <f t="shared" si="756"/>
        <v>-3.0125000000000028</v>
      </c>
      <c r="P3896" s="132" t="s">
        <v>52</v>
      </c>
      <c r="Q3896" s="232"/>
      <c r="R3896" s="411"/>
      <c r="T3896" s="134" t="s">
        <v>145</v>
      </c>
      <c r="U3896" s="267" t="s">
        <v>8746</v>
      </c>
      <c r="AA3896" s="218"/>
    </row>
    <row r="3897" spans="1:27" ht="24" x14ac:dyDescent="0.25">
      <c r="A3897" s="405">
        <v>3003016</v>
      </c>
      <c r="B3897" s="406">
        <v>42556</v>
      </c>
      <c r="C3897" s="405" t="s">
        <v>237</v>
      </c>
      <c r="D3897" s="401" t="s">
        <v>8747</v>
      </c>
      <c r="E3897" s="120">
        <v>100</v>
      </c>
      <c r="F3897" s="133" t="s">
        <v>8748</v>
      </c>
      <c r="G3897" s="404" t="s">
        <v>7486</v>
      </c>
      <c r="H3897" s="411">
        <v>178.36</v>
      </c>
      <c r="I3897" s="397">
        <f t="shared" si="759"/>
        <v>-26.754000000000001</v>
      </c>
      <c r="J3897" s="411">
        <v>0</v>
      </c>
      <c r="K3897" s="90">
        <f t="shared" si="742"/>
        <v>151.60600000000002</v>
      </c>
      <c r="M3897" s="187">
        <v>37.200000000000003</v>
      </c>
      <c r="N3897" s="91">
        <f t="shared" ref="N3897:N3960" si="761">((L3897)*(E3897*0.001))+M3897</f>
        <v>37.200000000000003</v>
      </c>
      <c r="O3897" s="411">
        <f t="shared" si="756"/>
        <v>114.40600000000002</v>
      </c>
      <c r="P3897" s="132" t="s">
        <v>52</v>
      </c>
      <c r="Q3897" s="232"/>
      <c r="R3897" s="411"/>
      <c r="T3897" s="134" t="s">
        <v>145</v>
      </c>
      <c r="U3897" s="267" t="s">
        <v>8749</v>
      </c>
      <c r="AA3897" s="218"/>
    </row>
    <row r="3898" spans="1:27" ht="24" x14ac:dyDescent="0.25">
      <c r="A3898" s="405">
        <v>3003017</v>
      </c>
      <c r="B3898" s="406">
        <v>42556</v>
      </c>
      <c r="C3898" s="405" t="s">
        <v>237</v>
      </c>
      <c r="D3898" s="401" t="s">
        <v>8750</v>
      </c>
      <c r="E3898" s="120">
        <v>1000</v>
      </c>
      <c r="F3898" s="133" t="s">
        <v>8751</v>
      </c>
      <c r="G3898" s="404" t="s">
        <v>7486</v>
      </c>
      <c r="H3898" s="411">
        <v>341.78</v>
      </c>
      <c r="I3898" s="397">
        <f t="shared" si="759"/>
        <v>-51.266999999999996</v>
      </c>
      <c r="J3898" s="411">
        <v>0</v>
      </c>
      <c r="K3898" s="90">
        <f t="shared" si="742"/>
        <v>290.51299999999998</v>
      </c>
      <c r="L3898" s="187">
        <v>200</v>
      </c>
      <c r="M3898" s="187">
        <v>49.54</v>
      </c>
      <c r="N3898" s="91">
        <f t="shared" si="761"/>
        <v>249.54</v>
      </c>
      <c r="O3898" s="411">
        <f t="shared" si="756"/>
        <v>40.972999999999985</v>
      </c>
      <c r="P3898" s="132" t="s">
        <v>183</v>
      </c>
      <c r="Q3898" s="232"/>
      <c r="R3898" s="411"/>
      <c r="T3898" s="134" t="s">
        <v>145</v>
      </c>
      <c r="U3898" s="266" t="s">
        <v>8752</v>
      </c>
      <c r="AA3898" s="218"/>
    </row>
    <row r="3899" spans="1:27" ht="24" x14ac:dyDescent="0.25">
      <c r="A3899" s="405">
        <v>3003018</v>
      </c>
      <c r="B3899" s="406">
        <v>42556</v>
      </c>
      <c r="C3899" s="405" t="s">
        <v>237</v>
      </c>
      <c r="D3899" s="401" t="s">
        <v>8753</v>
      </c>
      <c r="E3899" s="120">
        <v>50</v>
      </c>
      <c r="F3899" s="133" t="s">
        <v>341</v>
      </c>
      <c r="G3899" s="404" t="s">
        <v>7486</v>
      </c>
      <c r="H3899" s="411">
        <v>116.62</v>
      </c>
      <c r="I3899" s="397">
        <f t="shared" si="759"/>
        <v>-17.492999999999999</v>
      </c>
      <c r="J3899" s="411">
        <v>0</v>
      </c>
      <c r="K3899" s="90">
        <f t="shared" si="742"/>
        <v>99.12700000000001</v>
      </c>
      <c r="L3899" s="131">
        <v>698</v>
      </c>
      <c r="M3899" s="187">
        <v>25.72</v>
      </c>
      <c r="N3899" s="91">
        <f t="shared" si="761"/>
        <v>60.62</v>
      </c>
      <c r="O3899" s="411">
        <f t="shared" si="756"/>
        <v>38.507000000000012</v>
      </c>
      <c r="P3899" s="132" t="s">
        <v>52</v>
      </c>
      <c r="Q3899" s="232"/>
      <c r="R3899" s="411"/>
      <c r="T3899" s="134" t="s">
        <v>145</v>
      </c>
      <c r="U3899" s="267" t="s">
        <v>8754</v>
      </c>
      <c r="AA3899" s="218"/>
    </row>
    <row r="3900" spans="1:27" x14ac:dyDescent="0.25">
      <c r="A3900" s="405">
        <v>3003019</v>
      </c>
      <c r="B3900" s="406">
        <v>42556</v>
      </c>
      <c r="C3900" s="405" t="s">
        <v>237</v>
      </c>
      <c r="D3900" s="401" t="s">
        <v>8755</v>
      </c>
      <c r="E3900" s="120">
        <v>500</v>
      </c>
      <c r="F3900" s="133" t="s">
        <v>829</v>
      </c>
      <c r="G3900" s="404" t="s">
        <v>7486</v>
      </c>
      <c r="H3900" s="411">
        <v>465.57</v>
      </c>
      <c r="I3900" s="397">
        <f t="shared" si="759"/>
        <v>-69.835499999999996</v>
      </c>
      <c r="J3900" s="411">
        <v>0</v>
      </c>
      <c r="K3900" s="90">
        <f t="shared" si="742"/>
        <v>395.73450000000003</v>
      </c>
      <c r="L3900" s="131">
        <v>510</v>
      </c>
      <c r="M3900" s="187">
        <v>220.07</v>
      </c>
      <c r="N3900" s="91">
        <f t="shared" si="761"/>
        <v>475.07</v>
      </c>
      <c r="O3900" s="411">
        <f t="shared" si="756"/>
        <v>-79.335499999999968</v>
      </c>
      <c r="P3900" s="132" t="s">
        <v>52</v>
      </c>
      <c r="Q3900" s="232"/>
      <c r="R3900" s="411"/>
      <c r="T3900" s="134" t="s">
        <v>1743</v>
      </c>
      <c r="U3900" s="267" t="s">
        <v>8756</v>
      </c>
      <c r="AA3900" s="218"/>
    </row>
    <row r="3901" spans="1:27" ht="24" x14ac:dyDescent="0.25">
      <c r="A3901" s="405">
        <v>3003020</v>
      </c>
      <c r="B3901" s="406">
        <v>42556</v>
      </c>
      <c r="C3901" s="405" t="s">
        <v>237</v>
      </c>
      <c r="D3901" s="401" t="s">
        <v>8757</v>
      </c>
      <c r="E3901" s="120">
        <v>100</v>
      </c>
      <c r="F3901" s="133" t="s">
        <v>161</v>
      </c>
      <c r="G3901" s="404" t="s">
        <v>7486</v>
      </c>
      <c r="H3901" s="411">
        <v>260</v>
      </c>
      <c r="I3901" s="397">
        <f t="shared" si="759"/>
        <v>-39</v>
      </c>
      <c r="J3901" s="411">
        <v>0</v>
      </c>
      <c r="K3901" s="90">
        <f t="shared" si="742"/>
        <v>221</v>
      </c>
      <c r="L3901" s="131">
        <v>1322</v>
      </c>
      <c r="M3901" s="187">
        <v>28.02</v>
      </c>
      <c r="N3901" s="91">
        <f t="shared" si="761"/>
        <v>160.22000000000003</v>
      </c>
      <c r="O3901" s="411">
        <f t="shared" si="756"/>
        <v>60.779999999999973</v>
      </c>
      <c r="P3901" s="132" t="s">
        <v>52</v>
      </c>
      <c r="Q3901" s="232"/>
      <c r="R3901" s="411"/>
      <c r="T3901" s="134" t="s">
        <v>145</v>
      </c>
      <c r="U3901" s="267" t="s">
        <v>8758</v>
      </c>
      <c r="AA3901" s="218"/>
    </row>
    <row r="3902" spans="1:27" ht="24" x14ac:dyDescent="0.25">
      <c r="A3902" s="405">
        <v>3003021</v>
      </c>
      <c r="B3902" s="406">
        <v>42556</v>
      </c>
      <c r="C3902" s="405" t="s">
        <v>237</v>
      </c>
      <c r="D3902" s="401" t="s">
        <v>8759</v>
      </c>
      <c r="E3902" s="120">
        <v>175</v>
      </c>
      <c r="F3902" s="133" t="s">
        <v>247</v>
      </c>
      <c r="G3902" s="404" t="s">
        <v>7486</v>
      </c>
      <c r="H3902" s="411">
        <v>205.26</v>
      </c>
      <c r="I3902" s="397">
        <f t="shared" si="759"/>
        <v>-30.788999999999998</v>
      </c>
      <c r="J3902" s="411">
        <v>0</v>
      </c>
      <c r="K3902" s="90">
        <f t="shared" si="742"/>
        <v>174.471</v>
      </c>
      <c r="L3902" s="131">
        <v>480</v>
      </c>
      <c r="M3902" s="187">
        <v>59.91</v>
      </c>
      <c r="N3902" s="91">
        <f t="shared" si="761"/>
        <v>143.91000000000003</v>
      </c>
      <c r="O3902" s="411">
        <f t="shared" si="756"/>
        <v>30.560999999999979</v>
      </c>
      <c r="P3902" s="132" t="s">
        <v>52</v>
      </c>
      <c r="Q3902" s="232"/>
      <c r="R3902" s="411"/>
      <c r="T3902" s="134" t="s">
        <v>145</v>
      </c>
      <c r="U3902" s="267" t="s">
        <v>8760</v>
      </c>
      <c r="AA3902" s="218"/>
    </row>
    <row r="3903" spans="1:27" ht="24" x14ac:dyDescent="0.25">
      <c r="A3903" s="405">
        <v>3003022</v>
      </c>
      <c r="B3903" s="406">
        <v>42556</v>
      </c>
      <c r="C3903" s="405" t="s">
        <v>237</v>
      </c>
      <c r="D3903" s="401" t="s">
        <v>8761</v>
      </c>
      <c r="E3903" s="120">
        <v>150</v>
      </c>
      <c r="F3903" s="133" t="s">
        <v>247</v>
      </c>
      <c r="G3903" s="404" t="s">
        <v>7486</v>
      </c>
      <c r="H3903" s="411">
        <v>159.87</v>
      </c>
      <c r="I3903" s="397">
        <f t="shared" si="759"/>
        <v>-23.980499999999999</v>
      </c>
      <c r="J3903" s="411">
        <v>0</v>
      </c>
      <c r="K3903" s="90">
        <f t="shared" si="742"/>
        <v>135.8895</v>
      </c>
      <c r="L3903" s="131">
        <v>480</v>
      </c>
      <c r="M3903" s="187">
        <v>47.43</v>
      </c>
      <c r="N3903" s="91">
        <f t="shared" si="761"/>
        <v>119.43</v>
      </c>
      <c r="O3903" s="411">
        <f t="shared" si="756"/>
        <v>16.459499999999991</v>
      </c>
      <c r="P3903" s="132" t="s">
        <v>52</v>
      </c>
      <c r="Q3903" s="232"/>
      <c r="R3903" s="411"/>
      <c r="T3903" s="134" t="s">
        <v>145</v>
      </c>
      <c r="U3903" s="267" t="s">
        <v>8762</v>
      </c>
      <c r="AA3903" s="218"/>
    </row>
    <row r="3904" spans="1:27" ht="24" x14ac:dyDescent="0.25">
      <c r="A3904" s="405">
        <v>3003023</v>
      </c>
      <c r="B3904" s="406">
        <v>42556</v>
      </c>
      <c r="C3904" s="405" t="s">
        <v>237</v>
      </c>
      <c r="D3904" s="401" t="s">
        <v>8763</v>
      </c>
      <c r="E3904" s="120">
        <v>200</v>
      </c>
      <c r="F3904" s="133" t="s">
        <v>1293</v>
      </c>
      <c r="G3904" s="404" t="s">
        <v>7486</v>
      </c>
      <c r="H3904" s="411">
        <v>209.56</v>
      </c>
      <c r="I3904" s="397">
        <f t="shared" si="759"/>
        <v>-31.433999999999997</v>
      </c>
      <c r="J3904" s="411">
        <v>0</v>
      </c>
      <c r="K3904" s="90">
        <f t="shared" si="742"/>
        <v>178.126</v>
      </c>
      <c r="L3904" s="131">
        <v>513</v>
      </c>
      <c r="M3904" s="187">
        <v>52.57</v>
      </c>
      <c r="N3904" s="91">
        <f t="shared" si="761"/>
        <v>155.17000000000002</v>
      </c>
      <c r="O3904" s="411">
        <f t="shared" si="756"/>
        <v>22.955999999999989</v>
      </c>
      <c r="P3904" s="132" t="s">
        <v>52</v>
      </c>
      <c r="Q3904" s="232"/>
      <c r="R3904" s="411"/>
      <c r="T3904" s="134" t="s">
        <v>145</v>
      </c>
      <c r="U3904" s="267" t="s">
        <v>8764</v>
      </c>
      <c r="AA3904" s="218"/>
    </row>
    <row r="3905" spans="1:27" x14ac:dyDescent="0.25">
      <c r="A3905" s="419">
        <v>3003024</v>
      </c>
      <c r="B3905" s="421">
        <v>42557</v>
      </c>
      <c r="C3905" s="419" t="s">
        <v>237</v>
      </c>
      <c r="D3905" s="417" t="s">
        <v>8765</v>
      </c>
      <c r="E3905" s="120">
        <v>4000</v>
      </c>
      <c r="F3905" s="133" t="s">
        <v>8766</v>
      </c>
      <c r="G3905" s="434" t="s">
        <v>7486</v>
      </c>
      <c r="H3905" s="427">
        <v>504.91</v>
      </c>
      <c r="I3905" s="452">
        <f t="shared" si="759"/>
        <v>-75.736500000000007</v>
      </c>
      <c r="J3905" s="427">
        <v>0</v>
      </c>
      <c r="K3905" s="425">
        <f t="shared" si="742"/>
        <v>429.17349999999999</v>
      </c>
      <c r="L3905" s="187">
        <v>35.25</v>
      </c>
      <c r="M3905" s="187">
        <f>20.16+20.16</f>
        <v>40.32</v>
      </c>
      <c r="N3905" s="91">
        <f t="shared" si="761"/>
        <v>181.32</v>
      </c>
      <c r="O3905" s="411">
        <f t="shared" si="756"/>
        <v>247.8535</v>
      </c>
      <c r="P3905" s="132" t="s">
        <v>1428</v>
      </c>
      <c r="Q3905" s="232"/>
      <c r="R3905" s="411"/>
      <c r="T3905" s="439" t="s">
        <v>145</v>
      </c>
      <c r="U3905" s="446" t="s">
        <v>8767</v>
      </c>
      <c r="AA3905" s="218"/>
    </row>
    <row r="3906" spans="1:27" x14ac:dyDescent="0.25">
      <c r="A3906" s="420"/>
      <c r="B3906" s="422"/>
      <c r="C3906" s="420"/>
      <c r="D3906" s="418"/>
      <c r="E3906" s="120">
        <v>500</v>
      </c>
      <c r="F3906" s="133" t="s">
        <v>8768</v>
      </c>
      <c r="G3906" s="436"/>
      <c r="H3906" s="428"/>
      <c r="I3906" s="453"/>
      <c r="J3906" s="428"/>
      <c r="K3906" s="426"/>
      <c r="L3906" s="187">
        <v>182.71</v>
      </c>
      <c r="M3906" s="187">
        <v>22.91</v>
      </c>
      <c r="N3906" s="91">
        <f t="shared" si="761"/>
        <v>114.265</v>
      </c>
      <c r="O3906" s="411">
        <f t="shared" si="756"/>
        <v>-114.265</v>
      </c>
      <c r="P3906" s="132" t="s">
        <v>1428</v>
      </c>
      <c r="Q3906" s="232"/>
      <c r="R3906" s="411"/>
      <c r="T3906" s="441"/>
      <c r="U3906" s="447"/>
      <c r="AA3906" s="218"/>
    </row>
    <row r="3907" spans="1:27" x14ac:dyDescent="0.25">
      <c r="A3907" s="419">
        <v>3003025</v>
      </c>
      <c r="B3907" s="421">
        <v>42557</v>
      </c>
      <c r="C3907" s="419" t="s">
        <v>327</v>
      </c>
      <c r="D3907" s="417" t="s">
        <v>2540</v>
      </c>
      <c r="E3907" s="120">
        <v>4</v>
      </c>
      <c r="F3907" s="133" t="s">
        <v>8769</v>
      </c>
      <c r="G3907" s="434" t="s">
        <v>7486</v>
      </c>
      <c r="H3907" s="427">
        <v>406</v>
      </c>
      <c r="I3907" s="427">
        <v>0</v>
      </c>
      <c r="J3907" s="425">
        <f>-((H3907*0.022)+0.3)</f>
        <v>-9.2319999999999993</v>
      </c>
      <c r="K3907" s="425">
        <f t="shared" si="742"/>
        <v>396.76800000000003</v>
      </c>
      <c r="L3907" s="187">
        <v>1000</v>
      </c>
      <c r="M3907" s="187">
        <f>7.2+89.99</f>
        <v>97.19</v>
      </c>
      <c r="N3907" s="91">
        <f t="shared" si="761"/>
        <v>101.19</v>
      </c>
      <c r="O3907" s="411">
        <f t="shared" si="756"/>
        <v>295.57800000000003</v>
      </c>
      <c r="P3907" s="132" t="s">
        <v>235</v>
      </c>
      <c r="Q3907" s="232"/>
      <c r="R3907" s="411"/>
      <c r="T3907" s="439" t="s">
        <v>145</v>
      </c>
      <c r="U3907" s="444" t="s">
        <v>8770</v>
      </c>
      <c r="W3907" s="153" t="s">
        <v>2544</v>
      </c>
      <c r="AA3907" s="218"/>
    </row>
    <row r="3908" spans="1:27" x14ac:dyDescent="0.25">
      <c r="A3908" s="420"/>
      <c r="B3908" s="422"/>
      <c r="C3908" s="420"/>
      <c r="D3908" s="418"/>
      <c r="E3908" s="120">
        <v>4</v>
      </c>
      <c r="F3908" s="133" t="s">
        <v>8771</v>
      </c>
      <c r="G3908" s="436"/>
      <c r="H3908" s="428"/>
      <c r="I3908" s="428"/>
      <c r="J3908" s="426"/>
      <c r="K3908" s="426"/>
      <c r="L3908" s="187">
        <v>1000</v>
      </c>
      <c r="M3908" s="224">
        <v>43.85</v>
      </c>
      <c r="N3908" s="91">
        <f t="shared" si="761"/>
        <v>47.85</v>
      </c>
      <c r="O3908" s="411">
        <f t="shared" si="756"/>
        <v>-47.85</v>
      </c>
      <c r="P3908" s="132" t="s">
        <v>235</v>
      </c>
      <c r="Q3908" s="232"/>
      <c r="R3908" s="411"/>
      <c r="T3908" s="441"/>
      <c r="U3908" s="445"/>
      <c r="AA3908" s="218"/>
    </row>
    <row r="3909" spans="1:27" ht="36" x14ac:dyDescent="0.25">
      <c r="A3909" s="405">
        <v>3003026</v>
      </c>
      <c r="B3909" s="406">
        <v>42557</v>
      </c>
      <c r="C3909" s="405" t="s">
        <v>78</v>
      </c>
      <c r="D3909" s="401" t="s">
        <v>8772</v>
      </c>
      <c r="E3909" s="120">
        <v>350</v>
      </c>
      <c r="F3909" s="133" t="s">
        <v>8773</v>
      </c>
      <c r="G3909" s="404" t="s">
        <v>7486</v>
      </c>
      <c r="H3909" s="411">
        <v>650</v>
      </c>
      <c r="I3909" s="411">
        <v>0</v>
      </c>
      <c r="J3909" s="391">
        <f t="shared" ref="J3909" si="762">-((H3909*0.019)+0.3)</f>
        <v>-12.65</v>
      </c>
      <c r="K3909" s="90">
        <f t="shared" si="742"/>
        <v>637.35</v>
      </c>
      <c r="L3909" s="187">
        <v>1079</v>
      </c>
      <c r="M3909" s="187">
        <v>0</v>
      </c>
      <c r="N3909" s="91">
        <f t="shared" si="761"/>
        <v>377.65000000000003</v>
      </c>
      <c r="O3909" s="411">
        <f t="shared" si="756"/>
        <v>259.7</v>
      </c>
      <c r="P3909" s="132" t="s">
        <v>59</v>
      </c>
      <c r="Q3909" s="232"/>
      <c r="R3909" s="411"/>
      <c r="T3909" s="134" t="s">
        <v>60</v>
      </c>
      <c r="U3909" s="267" t="s">
        <v>8774</v>
      </c>
      <c r="W3909" s="153" t="s">
        <v>8775</v>
      </c>
      <c r="AA3909" s="218"/>
    </row>
    <row r="3910" spans="1:27" x14ac:dyDescent="0.25">
      <c r="A3910" s="419">
        <v>3003027</v>
      </c>
      <c r="B3910" s="421">
        <v>42557</v>
      </c>
      <c r="C3910" s="419" t="s">
        <v>63</v>
      </c>
      <c r="D3910" s="429" t="s">
        <v>8776</v>
      </c>
      <c r="E3910" s="120">
        <v>100</v>
      </c>
      <c r="F3910" s="133" t="s">
        <v>8777</v>
      </c>
      <c r="G3910" s="434" t="s">
        <v>7486</v>
      </c>
      <c r="H3910" s="427">
        <v>3175</v>
      </c>
      <c r="I3910" s="427">
        <v>0</v>
      </c>
      <c r="J3910" s="425">
        <f>-((H3910*0.022)+0.3)</f>
        <v>-70.149999999999991</v>
      </c>
      <c r="K3910" s="425">
        <f t="shared" si="742"/>
        <v>3104.85</v>
      </c>
      <c r="L3910" s="187">
        <v>10740</v>
      </c>
      <c r="M3910" s="131">
        <v>0</v>
      </c>
      <c r="N3910" s="91">
        <f t="shared" si="761"/>
        <v>1074</v>
      </c>
      <c r="O3910" s="411">
        <f t="shared" si="756"/>
        <v>2030.85</v>
      </c>
      <c r="P3910" s="132" t="s">
        <v>66</v>
      </c>
      <c r="Q3910" s="232"/>
      <c r="R3910" s="411"/>
      <c r="T3910" s="134" t="s">
        <v>67</v>
      </c>
      <c r="U3910" s="267" t="s">
        <v>8778</v>
      </c>
      <c r="W3910" s="153" t="s">
        <v>8779</v>
      </c>
      <c r="AA3910" s="473">
        <v>25</v>
      </c>
    </row>
    <row r="3911" spans="1:27" x14ac:dyDescent="0.25">
      <c r="A3911" s="432"/>
      <c r="B3911" s="433"/>
      <c r="C3911" s="432"/>
      <c r="D3911" s="430"/>
      <c r="E3911" s="120">
        <v>100</v>
      </c>
      <c r="F3911" s="133" t="s">
        <v>2200</v>
      </c>
      <c r="G3911" s="435"/>
      <c r="H3911" s="438"/>
      <c r="I3911" s="438"/>
      <c r="J3911" s="437"/>
      <c r="K3911" s="437"/>
      <c r="L3911" s="131">
        <v>386</v>
      </c>
      <c r="M3911" s="510">
        <v>111.69</v>
      </c>
      <c r="N3911" s="91">
        <f t="shared" si="761"/>
        <v>150.29</v>
      </c>
      <c r="O3911" s="411">
        <f t="shared" si="756"/>
        <v>-150.29</v>
      </c>
      <c r="P3911" s="132" t="s">
        <v>52</v>
      </c>
      <c r="Q3911" s="232"/>
      <c r="R3911" s="411"/>
      <c r="T3911" s="439" t="s">
        <v>244</v>
      </c>
      <c r="U3911" s="446" t="s">
        <v>8780</v>
      </c>
      <c r="V3911" s="133" t="s">
        <v>8781</v>
      </c>
      <c r="AA3911" s="478"/>
    </row>
    <row r="3912" spans="1:27" x14ac:dyDescent="0.25">
      <c r="A3912" s="432"/>
      <c r="B3912" s="433"/>
      <c r="C3912" s="432"/>
      <c r="D3912" s="430"/>
      <c r="E3912" s="120">
        <v>100</v>
      </c>
      <c r="F3912" s="133" t="s">
        <v>860</v>
      </c>
      <c r="G3912" s="435"/>
      <c r="H3912" s="438"/>
      <c r="I3912" s="438"/>
      <c r="J3912" s="437"/>
      <c r="K3912" s="437"/>
      <c r="L3912" s="131">
        <v>3300</v>
      </c>
      <c r="M3912" s="511"/>
      <c r="N3912" s="91">
        <f t="shared" si="761"/>
        <v>330</v>
      </c>
      <c r="O3912" s="411">
        <f t="shared" si="756"/>
        <v>-330</v>
      </c>
      <c r="P3912" s="132" t="s">
        <v>52</v>
      </c>
      <c r="Q3912" s="232"/>
      <c r="R3912" s="411"/>
      <c r="T3912" s="440"/>
      <c r="U3912" s="448"/>
      <c r="V3912" s="133" t="s">
        <v>8782</v>
      </c>
      <c r="AA3912" s="478"/>
    </row>
    <row r="3913" spans="1:27" x14ac:dyDescent="0.25">
      <c r="A3913" s="432"/>
      <c r="B3913" s="433"/>
      <c r="C3913" s="432"/>
      <c r="D3913" s="430"/>
      <c r="E3913" s="120">
        <v>100</v>
      </c>
      <c r="F3913" s="133" t="s">
        <v>161</v>
      </c>
      <c r="G3913" s="435"/>
      <c r="H3913" s="438"/>
      <c r="I3913" s="438"/>
      <c r="J3913" s="437"/>
      <c r="K3913" s="437"/>
      <c r="L3913" s="131">
        <v>1322</v>
      </c>
      <c r="M3913" s="511"/>
      <c r="N3913" s="91">
        <f t="shared" si="761"/>
        <v>132.20000000000002</v>
      </c>
      <c r="O3913" s="411">
        <f t="shared" si="756"/>
        <v>-132.20000000000002</v>
      </c>
      <c r="P3913" s="132" t="s">
        <v>52</v>
      </c>
      <c r="Q3913" s="232"/>
      <c r="R3913" s="411"/>
      <c r="T3913" s="440"/>
      <c r="U3913" s="448"/>
      <c r="V3913" s="133" t="s">
        <v>8782</v>
      </c>
      <c r="AA3913" s="478"/>
    </row>
    <row r="3914" spans="1:27" x14ac:dyDescent="0.25">
      <c r="A3914" s="420"/>
      <c r="B3914" s="422"/>
      <c r="C3914" s="420"/>
      <c r="D3914" s="431"/>
      <c r="E3914" s="120">
        <v>300</v>
      </c>
      <c r="F3914" s="133" t="s">
        <v>4803</v>
      </c>
      <c r="G3914" s="436"/>
      <c r="H3914" s="428"/>
      <c r="I3914" s="428"/>
      <c r="J3914" s="426"/>
      <c r="K3914" s="426"/>
      <c r="L3914" s="131">
        <v>280</v>
      </c>
      <c r="M3914" s="512"/>
      <c r="N3914" s="91">
        <f t="shared" si="761"/>
        <v>84</v>
      </c>
      <c r="O3914" s="411">
        <f t="shared" si="756"/>
        <v>-84</v>
      </c>
      <c r="P3914" s="132" t="s">
        <v>52</v>
      </c>
      <c r="Q3914" s="232"/>
      <c r="R3914" s="411"/>
      <c r="T3914" s="441"/>
      <c r="U3914" s="447"/>
      <c r="V3914" s="133" t="s">
        <v>8782</v>
      </c>
      <c r="AA3914" s="474"/>
    </row>
    <row r="3915" spans="1:27" ht="24" x14ac:dyDescent="0.25">
      <c r="A3915" s="405">
        <v>3003028</v>
      </c>
      <c r="B3915" s="406">
        <v>42557</v>
      </c>
      <c r="C3915" s="405" t="s">
        <v>5682</v>
      </c>
      <c r="D3915" s="401" t="s">
        <v>8783</v>
      </c>
      <c r="E3915" s="120">
        <v>250</v>
      </c>
      <c r="F3915" s="133" t="s">
        <v>119</v>
      </c>
      <c r="G3915" s="404" t="s">
        <v>7486</v>
      </c>
      <c r="H3915" s="411">
        <v>213.75</v>
      </c>
      <c r="I3915" s="89">
        <f t="shared" ref="I3915:I3918" si="763">-(H3915*0.09)</f>
        <v>-19.237500000000001</v>
      </c>
      <c r="J3915" s="391">
        <f t="shared" ref="J3915:J3918" si="764">-((H3915*0.019)+0.3)</f>
        <v>-4.3612500000000001</v>
      </c>
      <c r="K3915" s="90">
        <f t="shared" ref="K3915:K3971" si="765">SUM(H3915:J3915)</f>
        <v>190.15124999999998</v>
      </c>
      <c r="L3915" s="187">
        <v>319</v>
      </c>
      <c r="M3915" s="187">
        <v>44.04</v>
      </c>
      <c r="N3915" s="91">
        <f t="shared" si="761"/>
        <v>123.78999999999999</v>
      </c>
      <c r="O3915" s="411">
        <f t="shared" si="756"/>
        <v>66.361249999999984</v>
      </c>
      <c r="P3915" s="132" t="s">
        <v>3597</v>
      </c>
      <c r="Q3915" s="232"/>
      <c r="R3915" s="411"/>
      <c r="T3915" s="134" t="s">
        <v>145</v>
      </c>
      <c r="U3915" s="267" t="s">
        <v>8784</v>
      </c>
      <c r="AA3915" s="218"/>
    </row>
    <row r="3916" spans="1:27" ht="24" x14ac:dyDescent="0.25">
      <c r="A3916" s="405">
        <v>3003029</v>
      </c>
      <c r="B3916" s="406">
        <v>42557</v>
      </c>
      <c r="C3916" s="405" t="s">
        <v>5682</v>
      </c>
      <c r="D3916" s="401" t="s">
        <v>8785</v>
      </c>
      <c r="E3916" s="120">
        <v>200</v>
      </c>
      <c r="F3916" s="133" t="s">
        <v>227</v>
      </c>
      <c r="G3916" s="404" t="s">
        <v>7486</v>
      </c>
      <c r="H3916" s="411">
        <v>180.26</v>
      </c>
      <c r="I3916" s="89">
        <f t="shared" si="763"/>
        <v>-16.223399999999998</v>
      </c>
      <c r="J3916" s="391">
        <f t="shared" si="764"/>
        <v>-3.7249399999999997</v>
      </c>
      <c r="K3916" s="90">
        <f t="shared" si="765"/>
        <v>160.31165999999999</v>
      </c>
      <c r="L3916" s="131">
        <v>350</v>
      </c>
      <c r="M3916" s="187">
        <v>55.72</v>
      </c>
      <c r="N3916" s="91">
        <f t="shared" si="761"/>
        <v>125.72</v>
      </c>
      <c r="O3916" s="411">
        <f t="shared" si="756"/>
        <v>34.59165999999999</v>
      </c>
      <c r="P3916" s="132" t="s">
        <v>52</v>
      </c>
      <c r="Q3916" s="232"/>
      <c r="R3916" s="411"/>
      <c r="T3916" s="134" t="s">
        <v>145</v>
      </c>
      <c r="U3916" s="267" t="s">
        <v>8786</v>
      </c>
      <c r="AA3916" s="218"/>
    </row>
    <row r="3917" spans="1:27" ht="24" x14ac:dyDescent="0.25">
      <c r="A3917" s="405">
        <v>3003030</v>
      </c>
      <c r="B3917" s="406">
        <v>42557</v>
      </c>
      <c r="C3917" s="405" t="s">
        <v>5682</v>
      </c>
      <c r="D3917" s="401" t="s">
        <v>8787</v>
      </c>
      <c r="E3917" s="120">
        <v>100</v>
      </c>
      <c r="F3917" s="133" t="s">
        <v>1991</v>
      </c>
      <c r="G3917" s="404" t="s">
        <v>7486</v>
      </c>
      <c r="H3917" s="411">
        <v>576.65</v>
      </c>
      <c r="I3917" s="89">
        <f t="shared" si="763"/>
        <v>-51.898499999999999</v>
      </c>
      <c r="J3917" s="391">
        <f t="shared" si="764"/>
        <v>-11.256349999999999</v>
      </c>
      <c r="K3917" s="90">
        <f t="shared" si="765"/>
        <v>513.49514999999997</v>
      </c>
      <c r="L3917" s="187">
        <v>3100</v>
      </c>
      <c r="M3917" s="187">
        <f>35.06+10</f>
        <v>45.06</v>
      </c>
      <c r="N3917" s="91">
        <f t="shared" si="761"/>
        <v>355.06</v>
      </c>
      <c r="O3917" s="411">
        <f t="shared" ref="O3917:O3971" si="766">K3917-N3917</f>
        <v>158.43514999999996</v>
      </c>
      <c r="P3917" s="132" t="s">
        <v>183</v>
      </c>
      <c r="Q3917" s="232"/>
      <c r="R3917" s="411"/>
      <c r="T3917" s="134" t="s">
        <v>145</v>
      </c>
      <c r="U3917" s="267" t="s">
        <v>8788</v>
      </c>
      <c r="V3917" s="133" t="s">
        <v>8789</v>
      </c>
      <c r="AA3917" s="218"/>
    </row>
    <row r="3918" spans="1:27" ht="24" x14ac:dyDescent="0.25">
      <c r="A3918" s="405">
        <v>3003031</v>
      </c>
      <c r="B3918" s="406">
        <v>42557</v>
      </c>
      <c r="C3918" s="405" t="s">
        <v>5682</v>
      </c>
      <c r="D3918" s="401" t="s">
        <v>8790</v>
      </c>
      <c r="E3918" s="120">
        <v>500</v>
      </c>
      <c r="F3918" s="119" t="s">
        <v>8791</v>
      </c>
      <c r="G3918" s="404" t="s">
        <v>7486</v>
      </c>
      <c r="H3918" s="411">
        <v>101.53</v>
      </c>
      <c r="I3918" s="89">
        <f t="shared" si="763"/>
        <v>-9.1377000000000006</v>
      </c>
      <c r="J3918" s="391">
        <f t="shared" si="764"/>
        <v>-2.2290700000000001</v>
      </c>
      <c r="K3918" s="90">
        <f t="shared" si="765"/>
        <v>90.163229999999999</v>
      </c>
      <c r="L3918" s="187">
        <v>103</v>
      </c>
      <c r="M3918" s="187">
        <v>16.78</v>
      </c>
      <c r="N3918" s="91">
        <f t="shared" si="761"/>
        <v>68.28</v>
      </c>
      <c r="O3918" s="411">
        <f t="shared" si="766"/>
        <v>21.883229999999998</v>
      </c>
      <c r="P3918" s="132" t="s">
        <v>183</v>
      </c>
      <c r="Q3918" s="232"/>
      <c r="R3918" s="411"/>
      <c r="T3918" s="134" t="s">
        <v>324</v>
      </c>
      <c r="U3918" s="266" t="s">
        <v>8792</v>
      </c>
      <c r="AA3918" s="218"/>
    </row>
    <row r="3919" spans="1:27" ht="24" x14ac:dyDescent="0.25">
      <c r="A3919" s="405">
        <v>3003032</v>
      </c>
      <c r="B3919" s="406">
        <v>42557</v>
      </c>
      <c r="C3919" s="405" t="s">
        <v>237</v>
      </c>
      <c r="D3919" s="401" t="s">
        <v>8793</v>
      </c>
      <c r="E3919" s="120">
        <v>200</v>
      </c>
      <c r="F3919" s="133" t="s">
        <v>8794</v>
      </c>
      <c r="G3919" s="404" t="s">
        <v>7486</v>
      </c>
      <c r="H3919" s="411">
        <v>386.08</v>
      </c>
      <c r="I3919" s="397">
        <f t="shared" ref="I3919:I3920" si="767">-(H3919*0.15)</f>
        <v>-57.911999999999992</v>
      </c>
      <c r="J3919" s="411">
        <v>0</v>
      </c>
      <c r="K3919" s="90">
        <f t="shared" si="765"/>
        <v>328.16800000000001</v>
      </c>
      <c r="L3919" s="131">
        <v>950</v>
      </c>
      <c r="M3919" s="187">
        <v>42.17</v>
      </c>
      <c r="N3919" s="91">
        <f t="shared" si="761"/>
        <v>232.17000000000002</v>
      </c>
      <c r="O3919" s="411">
        <f t="shared" si="766"/>
        <v>95.99799999999999</v>
      </c>
      <c r="P3919" s="132" t="s">
        <v>52</v>
      </c>
      <c r="Q3919" s="232"/>
      <c r="R3919" s="411"/>
      <c r="T3919" s="134" t="s">
        <v>145</v>
      </c>
      <c r="U3919" s="267" t="s">
        <v>8795</v>
      </c>
      <c r="AA3919" s="218"/>
    </row>
    <row r="3920" spans="1:27" ht="24" x14ac:dyDescent="0.25">
      <c r="A3920" s="405">
        <v>3003033</v>
      </c>
      <c r="B3920" s="406">
        <v>42557</v>
      </c>
      <c r="C3920" s="405" t="s">
        <v>237</v>
      </c>
      <c r="D3920" s="401" t="s">
        <v>8796</v>
      </c>
      <c r="E3920" s="120">
        <v>100</v>
      </c>
      <c r="F3920" s="133" t="s">
        <v>288</v>
      </c>
      <c r="G3920" s="404" t="s">
        <v>7486</v>
      </c>
      <c r="H3920" s="411">
        <v>193.04</v>
      </c>
      <c r="I3920" s="397">
        <f t="shared" si="767"/>
        <v>-28.955999999999996</v>
      </c>
      <c r="J3920" s="411">
        <v>0</v>
      </c>
      <c r="K3920" s="90">
        <f t="shared" si="765"/>
        <v>164.084</v>
      </c>
      <c r="L3920" s="131">
        <v>950</v>
      </c>
      <c r="M3920" s="187">
        <v>25.62</v>
      </c>
      <c r="N3920" s="91">
        <f t="shared" si="761"/>
        <v>120.62</v>
      </c>
      <c r="O3920" s="411">
        <f t="shared" si="766"/>
        <v>43.463999999999999</v>
      </c>
      <c r="P3920" s="132" t="s">
        <v>52</v>
      </c>
      <c r="Q3920" s="232"/>
      <c r="R3920" s="411"/>
      <c r="T3920" s="134" t="s">
        <v>145</v>
      </c>
      <c r="U3920" s="267" t="s">
        <v>8797</v>
      </c>
      <c r="AA3920" s="218"/>
    </row>
    <row r="3921" spans="1:27" ht="24" x14ac:dyDescent="0.25">
      <c r="A3921" s="405">
        <v>3003034</v>
      </c>
      <c r="B3921" s="406">
        <v>42557</v>
      </c>
      <c r="C3921" s="405" t="s">
        <v>63</v>
      </c>
      <c r="D3921" s="401" t="s">
        <v>8798</v>
      </c>
      <c r="E3921" s="120">
        <v>70</v>
      </c>
      <c r="F3921" s="133" t="s">
        <v>8799</v>
      </c>
      <c r="G3921" s="404" t="s">
        <v>7486</v>
      </c>
      <c r="H3921" s="411">
        <v>483</v>
      </c>
      <c r="I3921" s="411">
        <v>0</v>
      </c>
      <c r="J3921" s="391">
        <f>-((H3921*0.022)+0.3)</f>
        <v>-10.926</v>
      </c>
      <c r="K3921" s="90">
        <f t="shared" si="765"/>
        <v>472.07400000000001</v>
      </c>
      <c r="L3921" s="187">
        <v>3600</v>
      </c>
      <c r="M3921" s="187">
        <f>28.31+10</f>
        <v>38.31</v>
      </c>
      <c r="N3921" s="91">
        <f t="shared" si="761"/>
        <v>290.31000000000006</v>
      </c>
      <c r="O3921" s="411">
        <f t="shared" si="766"/>
        <v>181.76399999999995</v>
      </c>
      <c r="P3921" s="132" t="s">
        <v>183</v>
      </c>
      <c r="Q3921" s="232"/>
      <c r="R3921" s="411"/>
      <c r="T3921" s="134" t="s">
        <v>324</v>
      </c>
      <c r="U3921" s="266" t="s">
        <v>8800</v>
      </c>
      <c r="V3921" s="133" t="s">
        <v>8789</v>
      </c>
      <c r="W3921" s="153" t="s">
        <v>8801</v>
      </c>
      <c r="AA3921" s="218"/>
    </row>
    <row r="3922" spans="1:27" ht="55.5" customHeight="1" x14ac:dyDescent="0.25">
      <c r="A3922" s="405">
        <v>3003035</v>
      </c>
      <c r="B3922" s="406">
        <v>42557</v>
      </c>
      <c r="C3922" s="405" t="s">
        <v>63</v>
      </c>
      <c r="D3922" s="401" t="s">
        <v>8802</v>
      </c>
      <c r="E3922" s="120">
        <v>750</v>
      </c>
      <c r="F3922" s="119" t="s">
        <v>8803</v>
      </c>
      <c r="G3922" s="404" t="s">
        <v>7486</v>
      </c>
      <c r="H3922" s="411">
        <v>359.8</v>
      </c>
      <c r="I3922" s="411">
        <v>0</v>
      </c>
      <c r="J3922" s="391">
        <f>-((H3922*0.022)+0.3)</f>
        <v>-8.2156000000000002</v>
      </c>
      <c r="K3922" s="90">
        <f t="shared" si="765"/>
        <v>351.58440000000002</v>
      </c>
      <c r="L3922" s="187">
        <v>300</v>
      </c>
      <c r="M3922" s="187">
        <v>45.96</v>
      </c>
      <c r="N3922" s="91">
        <f t="shared" si="761"/>
        <v>270.95999999999998</v>
      </c>
      <c r="O3922" s="411">
        <f t="shared" si="766"/>
        <v>80.624400000000037</v>
      </c>
      <c r="P3922" s="132" t="s">
        <v>183</v>
      </c>
      <c r="Q3922" s="232"/>
      <c r="R3922" s="411"/>
      <c r="T3922" s="134" t="s">
        <v>324</v>
      </c>
      <c r="U3922" s="266" t="s">
        <v>8804</v>
      </c>
      <c r="W3922" s="153" t="s">
        <v>8805</v>
      </c>
      <c r="AA3922" s="218"/>
    </row>
    <row r="3923" spans="1:27" x14ac:dyDescent="0.25">
      <c r="A3923" s="405">
        <v>3003036</v>
      </c>
      <c r="B3923" s="406">
        <v>42557</v>
      </c>
      <c r="C3923" s="405" t="s">
        <v>237</v>
      </c>
      <c r="D3923" s="401" t="s">
        <v>8806</v>
      </c>
      <c r="E3923" s="120">
        <v>200</v>
      </c>
      <c r="F3923" s="133" t="s">
        <v>8807</v>
      </c>
      <c r="G3923" s="404" t="s">
        <v>7486</v>
      </c>
      <c r="H3923" s="411">
        <v>146.6</v>
      </c>
      <c r="I3923" s="397">
        <f t="shared" ref="I3923:I3924" si="768">-(H3923*0.15)</f>
        <v>-21.99</v>
      </c>
      <c r="J3923" s="411">
        <v>0</v>
      </c>
      <c r="K3923" s="90">
        <f t="shared" si="765"/>
        <v>124.61</v>
      </c>
      <c r="L3923" s="187">
        <v>383</v>
      </c>
      <c r="M3923" s="187">
        <v>16.399999999999999</v>
      </c>
      <c r="N3923" s="91">
        <f t="shared" si="761"/>
        <v>93</v>
      </c>
      <c r="O3923" s="411">
        <f t="shared" si="766"/>
        <v>31.61</v>
      </c>
      <c r="P3923" s="132" t="s">
        <v>313</v>
      </c>
      <c r="Q3923" s="232"/>
      <c r="R3923" s="411"/>
      <c r="T3923" s="134" t="s">
        <v>314</v>
      </c>
      <c r="U3923" s="267" t="s">
        <v>8808</v>
      </c>
      <c r="AA3923" s="218"/>
    </row>
    <row r="3924" spans="1:27" ht="24" x14ac:dyDescent="0.25">
      <c r="A3924" s="405">
        <v>3003037</v>
      </c>
      <c r="B3924" s="406">
        <v>42557</v>
      </c>
      <c r="C3924" s="405" t="s">
        <v>237</v>
      </c>
      <c r="D3924" s="401" t="s">
        <v>806</v>
      </c>
      <c r="E3924" s="120">
        <v>200</v>
      </c>
      <c r="F3924" s="133" t="s">
        <v>807</v>
      </c>
      <c r="G3924" s="404" t="s">
        <v>7486</v>
      </c>
      <c r="H3924" s="411">
        <v>182.48</v>
      </c>
      <c r="I3924" s="397">
        <f t="shared" si="768"/>
        <v>-27.371999999999996</v>
      </c>
      <c r="J3924" s="411">
        <v>0</v>
      </c>
      <c r="K3924" s="90">
        <f t="shared" si="765"/>
        <v>155.108</v>
      </c>
      <c r="L3924" s="187">
        <v>360</v>
      </c>
      <c r="M3924" s="187">
        <v>18.46</v>
      </c>
      <c r="N3924" s="91">
        <f t="shared" si="761"/>
        <v>90.460000000000008</v>
      </c>
      <c r="O3924" s="411">
        <f t="shared" si="766"/>
        <v>64.647999999999996</v>
      </c>
      <c r="P3924" s="132" t="s">
        <v>235</v>
      </c>
      <c r="Q3924" s="232"/>
      <c r="R3924" s="411"/>
      <c r="T3924" s="134" t="s">
        <v>145</v>
      </c>
      <c r="U3924" s="267" t="s">
        <v>8809</v>
      </c>
      <c r="AA3924" s="218"/>
    </row>
    <row r="3925" spans="1:27" ht="24" x14ac:dyDescent="0.25">
      <c r="A3925" s="405">
        <v>3003038</v>
      </c>
      <c r="B3925" s="406">
        <v>42557</v>
      </c>
      <c r="C3925" s="405" t="s">
        <v>5682</v>
      </c>
      <c r="D3925" s="401" t="s">
        <v>8810</v>
      </c>
      <c r="E3925" s="120">
        <v>200</v>
      </c>
      <c r="F3925" s="133" t="s">
        <v>2949</v>
      </c>
      <c r="G3925" s="404" t="s">
        <v>7486</v>
      </c>
      <c r="H3925" s="411">
        <v>380</v>
      </c>
      <c r="I3925" s="89">
        <f t="shared" ref="I3925" si="769">-(H3925*0.09)</f>
        <v>-34.199999999999996</v>
      </c>
      <c r="J3925" s="391">
        <f t="shared" ref="J3925" si="770">-((H3925*0.019)+0.3)</f>
        <v>-7.52</v>
      </c>
      <c r="K3925" s="90">
        <f t="shared" si="765"/>
        <v>338.28000000000003</v>
      </c>
      <c r="M3925" s="187">
        <v>46.25</v>
      </c>
      <c r="N3925" s="91">
        <f t="shared" si="761"/>
        <v>46.25</v>
      </c>
      <c r="O3925" s="411">
        <f t="shared" si="766"/>
        <v>292.03000000000003</v>
      </c>
      <c r="P3925" s="132" t="s">
        <v>52</v>
      </c>
      <c r="Q3925" s="232"/>
      <c r="R3925" s="411"/>
      <c r="T3925" s="134" t="s">
        <v>145</v>
      </c>
      <c r="U3925" s="267" t="s">
        <v>8811</v>
      </c>
      <c r="AA3925" s="218"/>
    </row>
    <row r="3926" spans="1:27" ht="24" x14ac:dyDescent="0.25">
      <c r="A3926" s="405">
        <v>3003039</v>
      </c>
      <c r="B3926" s="406">
        <v>42557</v>
      </c>
      <c r="C3926" s="405" t="s">
        <v>63</v>
      </c>
      <c r="D3926" s="401" t="s">
        <v>8812</v>
      </c>
      <c r="E3926" s="120">
        <v>20</v>
      </c>
      <c r="F3926" s="133" t="s">
        <v>1085</v>
      </c>
      <c r="G3926" s="404" t="s">
        <v>7486</v>
      </c>
      <c r="H3926" s="411">
        <v>196</v>
      </c>
      <c r="I3926" s="411">
        <v>0</v>
      </c>
      <c r="J3926" s="391">
        <f>-((H3926*0.022)+0.3)</f>
        <v>-4.6119999999999992</v>
      </c>
      <c r="K3926" s="90">
        <f t="shared" si="765"/>
        <v>191.38800000000001</v>
      </c>
      <c r="L3926" s="187">
        <v>4350</v>
      </c>
      <c r="M3926" s="187">
        <f>27.19+10</f>
        <v>37.19</v>
      </c>
      <c r="N3926" s="91">
        <f t="shared" si="761"/>
        <v>124.19</v>
      </c>
      <c r="O3926" s="411">
        <f t="shared" si="766"/>
        <v>67.198000000000008</v>
      </c>
      <c r="P3926" s="132" t="s">
        <v>183</v>
      </c>
      <c r="Q3926" s="232"/>
      <c r="R3926" s="411"/>
      <c r="T3926" s="134" t="s">
        <v>145</v>
      </c>
      <c r="U3926" s="267" t="s">
        <v>8813</v>
      </c>
      <c r="V3926" s="133" t="s">
        <v>8789</v>
      </c>
      <c r="W3926" s="153" t="s">
        <v>8814</v>
      </c>
      <c r="AA3926" s="218"/>
    </row>
    <row r="3927" spans="1:27" x14ac:dyDescent="0.25">
      <c r="A3927" s="419">
        <v>3003040</v>
      </c>
      <c r="B3927" s="421">
        <v>42557</v>
      </c>
      <c r="C3927" s="419" t="s">
        <v>56</v>
      </c>
      <c r="D3927" s="417" t="s">
        <v>8815</v>
      </c>
      <c r="E3927" s="120">
        <v>1000</v>
      </c>
      <c r="F3927" s="133" t="s">
        <v>165</v>
      </c>
      <c r="G3927" s="434" t="s">
        <v>7486</v>
      </c>
      <c r="H3927" s="427">
        <v>2040</v>
      </c>
      <c r="I3927" s="427">
        <v>0</v>
      </c>
      <c r="J3927" s="427">
        <v>0</v>
      </c>
      <c r="K3927" s="425">
        <f t="shared" si="765"/>
        <v>2040</v>
      </c>
      <c r="L3927" s="131">
        <v>300</v>
      </c>
      <c r="M3927" s="510">
        <v>90</v>
      </c>
      <c r="N3927" s="91">
        <f t="shared" si="761"/>
        <v>390</v>
      </c>
      <c r="O3927" s="411">
        <f t="shared" si="766"/>
        <v>1650</v>
      </c>
      <c r="P3927" s="132" t="s">
        <v>86</v>
      </c>
      <c r="Q3927" s="232"/>
      <c r="R3927" s="411"/>
      <c r="T3927" s="439" t="s">
        <v>875</v>
      </c>
      <c r="U3927" s="446" t="s">
        <v>8816</v>
      </c>
      <c r="V3927" s="133" t="s">
        <v>55</v>
      </c>
      <c r="AA3927" s="218"/>
    </row>
    <row r="3928" spans="1:27" x14ac:dyDescent="0.25">
      <c r="A3928" s="420"/>
      <c r="B3928" s="422"/>
      <c r="C3928" s="420"/>
      <c r="D3928" s="418"/>
      <c r="E3928" s="120">
        <v>3000</v>
      </c>
      <c r="F3928" s="133" t="s">
        <v>877</v>
      </c>
      <c r="G3928" s="436"/>
      <c r="H3928" s="428"/>
      <c r="I3928" s="428"/>
      <c r="J3928" s="428"/>
      <c r="K3928" s="426"/>
      <c r="L3928" s="131">
        <v>175</v>
      </c>
      <c r="M3928" s="512"/>
      <c r="N3928" s="91">
        <f t="shared" si="761"/>
        <v>525</v>
      </c>
      <c r="O3928" s="411">
        <f t="shared" si="766"/>
        <v>-525</v>
      </c>
      <c r="P3928" s="132" t="s">
        <v>86</v>
      </c>
      <c r="Q3928" s="232"/>
      <c r="R3928" s="411"/>
      <c r="T3928" s="441"/>
      <c r="U3928" s="447"/>
      <c r="V3928" s="133" t="s">
        <v>8817</v>
      </c>
      <c r="AA3928" s="218"/>
    </row>
    <row r="3929" spans="1:27" x14ac:dyDescent="0.25">
      <c r="A3929" s="419">
        <v>3003041</v>
      </c>
      <c r="B3929" s="421">
        <v>42557</v>
      </c>
      <c r="C3929" s="419" t="s">
        <v>63</v>
      </c>
      <c r="D3929" s="417" t="s">
        <v>7158</v>
      </c>
      <c r="E3929" s="120">
        <v>110</v>
      </c>
      <c r="F3929" s="133" t="s">
        <v>7159</v>
      </c>
      <c r="G3929" s="434" t="s">
        <v>7486</v>
      </c>
      <c r="H3929" s="427">
        <v>725.65</v>
      </c>
      <c r="I3929" s="427">
        <v>0</v>
      </c>
      <c r="J3929" s="425">
        <f>-((H3929*0.022)+0.3)</f>
        <v>-16.264299999999999</v>
      </c>
      <c r="K3929" s="425">
        <f t="shared" si="765"/>
        <v>709.38569999999993</v>
      </c>
      <c r="L3929" s="131">
        <v>3580</v>
      </c>
      <c r="N3929" s="91">
        <f t="shared" si="761"/>
        <v>393.8</v>
      </c>
      <c r="O3929" s="411">
        <f t="shared" si="766"/>
        <v>315.58569999999992</v>
      </c>
      <c r="P3929" s="132" t="s">
        <v>313</v>
      </c>
      <c r="Q3929" s="232"/>
      <c r="R3929" s="411"/>
      <c r="T3929" s="439" t="s">
        <v>1229</v>
      </c>
      <c r="U3929" s="444" t="s">
        <v>1229</v>
      </c>
      <c r="W3929" s="153" t="s">
        <v>7160</v>
      </c>
      <c r="AA3929" s="218"/>
    </row>
    <row r="3930" spans="1:27" x14ac:dyDescent="0.25">
      <c r="A3930" s="420"/>
      <c r="B3930" s="422"/>
      <c r="C3930" s="420"/>
      <c r="D3930" s="418"/>
      <c r="E3930" s="120">
        <v>110</v>
      </c>
      <c r="F3930" s="133" t="s">
        <v>8818</v>
      </c>
      <c r="G3930" s="436"/>
      <c r="H3930" s="428"/>
      <c r="I3930" s="428"/>
      <c r="J3930" s="426"/>
      <c r="K3930" s="426"/>
      <c r="L3930" s="131">
        <v>1400</v>
      </c>
      <c r="M3930" s="131">
        <v>0</v>
      </c>
      <c r="N3930" s="91">
        <f t="shared" si="761"/>
        <v>154</v>
      </c>
      <c r="O3930" s="411">
        <f t="shared" si="766"/>
        <v>-154</v>
      </c>
      <c r="P3930" s="132" t="s">
        <v>313</v>
      </c>
      <c r="Q3930" s="232"/>
      <c r="R3930" s="411"/>
      <c r="T3930" s="441"/>
      <c r="U3930" s="445"/>
      <c r="AA3930" s="218"/>
    </row>
    <row r="3931" spans="1:27" ht="24" x14ac:dyDescent="0.25">
      <c r="A3931" s="405">
        <v>3003042</v>
      </c>
      <c r="B3931" s="406">
        <v>42557</v>
      </c>
      <c r="C3931" s="405" t="s">
        <v>78</v>
      </c>
      <c r="D3931" s="401" t="s">
        <v>8819</v>
      </c>
      <c r="E3931" s="120">
        <v>1258</v>
      </c>
      <c r="F3931" s="119" t="s">
        <v>8820</v>
      </c>
      <c r="G3931" s="404" t="s">
        <v>7486</v>
      </c>
      <c r="H3931" s="411">
        <v>3421.76</v>
      </c>
      <c r="I3931" s="411">
        <v>0</v>
      </c>
      <c r="J3931" s="391">
        <f t="shared" ref="J3931" si="771">-((H3931*0.019)+0.3)</f>
        <v>-65.31344</v>
      </c>
      <c r="K3931" s="90">
        <f t="shared" si="765"/>
        <v>3356.4465600000003</v>
      </c>
      <c r="M3931" s="187">
        <v>166.34</v>
      </c>
      <c r="N3931" s="91">
        <f t="shared" si="761"/>
        <v>166.34</v>
      </c>
      <c r="O3931" s="411">
        <f t="shared" si="766"/>
        <v>3190.1065600000002</v>
      </c>
      <c r="P3931" s="132" t="s">
        <v>52</v>
      </c>
      <c r="Q3931" s="232"/>
      <c r="R3931" s="411"/>
      <c r="T3931" s="134" t="s">
        <v>1209</v>
      </c>
      <c r="U3931" s="267">
        <v>336933122</v>
      </c>
      <c r="V3931" s="133" t="s">
        <v>55</v>
      </c>
      <c r="W3931" s="153" t="s">
        <v>8821</v>
      </c>
      <c r="AA3931" s="218">
        <v>25</v>
      </c>
    </row>
    <row r="3932" spans="1:27" ht="24" customHeight="1" x14ac:dyDescent="0.25">
      <c r="A3932" s="419">
        <v>3003043</v>
      </c>
      <c r="B3932" s="421">
        <v>42558</v>
      </c>
      <c r="C3932" s="419" t="s">
        <v>56</v>
      </c>
      <c r="D3932" s="417" t="s">
        <v>2166</v>
      </c>
      <c r="E3932" s="120">
        <v>3000</v>
      </c>
      <c r="F3932" s="133" t="s">
        <v>8822</v>
      </c>
      <c r="G3932" s="434" t="s">
        <v>7486</v>
      </c>
      <c r="H3932" s="427">
        <v>2160</v>
      </c>
      <c r="I3932" s="427">
        <v>0</v>
      </c>
      <c r="J3932" s="427">
        <v>0</v>
      </c>
      <c r="K3932" s="425">
        <f t="shared" si="765"/>
        <v>2160</v>
      </c>
      <c r="L3932" s="187">
        <v>134.88</v>
      </c>
      <c r="M3932" s="177">
        <v>50</v>
      </c>
      <c r="N3932" s="91">
        <f t="shared" si="761"/>
        <v>454.64</v>
      </c>
      <c r="O3932" s="411">
        <f t="shared" si="766"/>
        <v>1705.3600000000001</v>
      </c>
      <c r="P3932" s="132" t="s">
        <v>3175</v>
      </c>
      <c r="Q3932" s="232"/>
      <c r="R3932" s="411"/>
      <c r="T3932" s="439" t="s">
        <v>204</v>
      </c>
      <c r="U3932" s="444" t="s">
        <v>8823</v>
      </c>
      <c r="V3932" s="119" t="s">
        <v>8824</v>
      </c>
      <c r="W3932" s="153" t="s">
        <v>2170</v>
      </c>
      <c r="AA3932" s="218"/>
    </row>
    <row r="3933" spans="1:27" x14ac:dyDescent="0.25">
      <c r="A3933" s="420"/>
      <c r="B3933" s="422"/>
      <c r="C3933" s="420"/>
      <c r="D3933" s="418"/>
      <c r="E3933" s="120">
        <v>3000</v>
      </c>
      <c r="F3933" s="133" t="s">
        <v>8825</v>
      </c>
      <c r="G3933" s="436"/>
      <c r="H3933" s="428"/>
      <c r="I3933" s="428"/>
      <c r="J3933" s="428"/>
      <c r="K3933" s="426"/>
      <c r="L3933" s="187">
        <v>134.88</v>
      </c>
      <c r="M3933" s="131">
        <v>0</v>
      </c>
      <c r="N3933" s="91">
        <f t="shared" si="761"/>
        <v>404.64</v>
      </c>
      <c r="O3933" s="411">
        <f t="shared" si="766"/>
        <v>-404.64</v>
      </c>
      <c r="P3933" s="132" t="s">
        <v>3175</v>
      </c>
      <c r="Q3933" s="232"/>
      <c r="R3933" s="411"/>
      <c r="T3933" s="441"/>
      <c r="U3933" s="445"/>
      <c r="AA3933" s="218"/>
    </row>
    <row r="3934" spans="1:27" ht="24" x14ac:dyDescent="0.25">
      <c r="A3934" s="405">
        <v>3003044</v>
      </c>
      <c r="B3934" s="406">
        <v>42558</v>
      </c>
      <c r="C3934" s="405" t="s">
        <v>159</v>
      </c>
      <c r="D3934" s="401" t="s">
        <v>8826</v>
      </c>
      <c r="E3934" s="120">
        <v>15</v>
      </c>
      <c r="F3934" s="133" t="s">
        <v>1991</v>
      </c>
      <c r="G3934" s="404" t="s">
        <v>7486</v>
      </c>
      <c r="H3934" s="411">
        <v>75.75</v>
      </c>
      <c r="I3934" s="411">
        <v>0</v>
      </c>
      <c r="J3934" s="391">
        <f t="shared" ref="J3934:J3941" si="772">-((H3934*0.019)+0.3)</f>
        <v>-1.73925</v>
      </c>
      <c r="K3934" s="90">
        <f t="shared" si="765"/>
        <v>74.010750000000002</v>
      </c>
      <c r="L3934" s="187">
        <v>3150</v>
      </c>
      <c r="M3934" s="187">
        <v>22.27</v>
      </c>
      <c r="N3934" s="91">
        <f t="shared" si="761"/>
        <v>69.52</v>
      </c>
      <c r="O3934" s="411">
        <f t="shared" si="766"/>
        <v>4.4907500000000056</v>
      </c>
      <c r="P3934" s="132" t="s">
        <v>183</v>
      </c>
      <c r="Q3934" s="232"/>
      <c r="R3934" s="411"/>
      <c r="T3934" s="134" t="s">
        <v>324</v>
      </c>
      <c r="U3934" s="267" t="s">
        <v>8827</v>
      </c>
      <c r="V3934" s="133" t="s">
        <v>8789</v>
      </c>
      <c r="W3934" s="153" t="s">
        <v>8828</v>
      </c>
      <c r="AA3934" s="218"/>
    </row>
    <row r="3935" spans="1:27" ht="24" x14ac:dyDescent="0.25">
      <c r="A3935" s="405">
        <v>3003045</v>
      </c>
      <c r="B3935" s="406">
        <v>42558</v>
      </c>
      <c r="C3935" s="405" t="s">
        <v>5682</v>
      </c>
      <c r="D3935" s="401" t="s">
        <v>8829</v>
      </c>
      <c r="E3935" s="120">
        <v>500</v>
      </c>
      <c r="F3935" s="133" t="s">
        <v>210</v>
      </c>
      <c r="G3935" s="404" t="s">
        <v>7486</v>
      </c>
      <c r="H3935" s="411">
        <v>551</v>
      </c>
      <c r="I3935" s="89">
        <f t="shared" ref="I3935:I3941" si="773">-(H3935*0.09)</f>
        <v>-49.589999999999996</v>
      </c>
      <c r="J3935" s="391">
        <f t="shared" si="772"/>
        <v>-10.769</v>
      </c>
      <c r="K3935" s="90">
        <f t="shared" si="765"/>
        <v>490.64100000000002</v>
      </c>
      <c r="L3935" s="187">
        <v>670</v>
      </c>
      <c r="M3935" s="187">
        <v>47.69</v>
      </c>
      <c r="N3935" s="91">
        <f t="shared" si="761"/>
        <v>382.69</v>
      </c>
      <c r="O3935" s="411">
        <f t="shared" si="766"/>
        <v>107.95100000000002</v>
      </c>
      <c r="P3935" s="132" t="s">
        <v>235</v>
      </c>
      <c r="Q3935" s="232"/>
      <c r="R3935" s="411"/>
      <c r="T3935" s="134" t="s">
        <v>145</v>
      </c>
      <c r="U3935" s="267" t="s">
        <v>8830</v>
      </c>
      <c r="AA3935" s="218"/>
    </row>
    <row r="3936" spans="1:27" ht="24" x14ac:dyDescent="0.25">
      <c r="A3936" s="405">
        <v>3003046</v>
      </c>
      <c r="B3936" s="406">
        <v>42558</v>
      </c>
      <c r="C3936" s="405" t="s">
        <v>5682</v>
      </c>
      <c r="D3936" s="401" t="s">
        <v>8831</v>
      </c>
      <c r="E3936" s="120">
        <v>200</v>
      </c>
      <c r="F3936" s="133" t="s">
        <v>832</v>
      </c>
      <c r="G3936" s="404" t="s">
        <v>7486</v>
      </c>
      <c r="H3936" s="411">
        <v>202.55</v>
      </c>
      <c r="I3936" s="89">
        <f t="shared" si="773"/>
        <v>-18.229500000000002</v>
      </c>
      <c r="J3936" s="391">
        <f t="shared" si="772"/>
        <v>-4.1484500000000004</v>
      </c>
      <c r="K3936" s="90">
        <f t="shared" si="765"/>
        <v>180.17205000000001</v>
      </c>
      <c r="L3936" s="187">
        <v>560</v>
      </c>
      <c r="M3936" s="187">
        <v>21.25</v>
      </c>
      <c r="N3936" s="91">
        <f t="shared" si="761"/>
        <v>133.25</v>
      </c>
      <c r="O3936" s="411">
        <f t="shared" si="766"/>
        <v>46.922050000000013</v>
      </c>
      <c r="P3936" s="132" t="s">
        <v>235</v>
      </c>
      <c r="Q3936" s="232"/>
      <c r="R3936" s="411"/>
      <c r="T3936" s="134" t="s">
        <v>145</v>
      </c>
      <c r="U3936" s="267" t="s">
        <v>8832</v>
      </c>
      <c r="AA3936" s="218"/>
    </row>
    <row r="3937" spans="1:27" ht="24" x14ac:dyDescent="0.25">
      <c r="A3937" s="405">
        <v>3003047</v>
      </c>
      <c r="B3937" s="406">
        <v>42558</v>
      </c>
      <c r="C3937" s="405" t="s">
        <v>5682</v>
      </c>
      <c r="D3937" s="401" t="s">
        <v>8833</v>
      </c>
      <c r="E3937" s="120">
        <v>250</v>
      </c>
      <c r="F3937" s="119" t="s">
        <v>7052</v>
      </c>
      <c r="G3937" s="404" t="s">
        <v>7486</v>
      </c>
      <c r="H3937" s="411">
        <v>159.5</v>
      </c>
      <c r="I3937" s="89">
        <f t="shared" si="773"/>
        <v>-14.354999999999999</v>
      </c>
      <c r="J3937" s="391">
        <f t="shared" si="772"/>
        <v>-3.3304999999999998</v>
      </c>
      <c r="K3937" s="90">
        <f t="shared" si="765"/>
        <v>141.81450000000001</v>
      </c>
      <c r="L3937" s="187">
        <v>370</v>
      </c>
      <c r="M3937" s="187">
        <v>19.18</v>
      </c>
      <c r="N3937" s="91">
        <f t="shared" si="761"/>
        <v>111.68</v>
      </c>
      <c r="O3937" s="411">
        <f t="shared" si="766"/>
        <v>30.134500000000003</v>
      </c>
      <c r="P3937" s="132" t="s">
        <v>313</v>
      </c>
      <c r="Q3937" s="232"/>
      <c r="R3937" s="411"/>
      <c r="T3937" s="134" t="s">
        <v>314</v>
      </c>
      <c r="U3937" s="267" t="s">
        <v>8834</v>
      </c>
      <c r="AA3937" s="218"/>
    </row>
    <row r="3938" spans="1:27" ht="24" x14ac:dyDescent="0.25">
      <c r="A3938" s="405">
        <v>3003048</v>
      </c>
      <c r="B3938" s="406">
        <v>42558</v>
      </c>
      <c r="C3938" s="405" t="s">
        <v>5682</v>
      </c>
      <c r="D3938" s="401" t="s">
        <v>8835</v>
      </c>
      <c r="E3938" s="120">
        <v>100</v>
      </c>
      <c r="F3938" s="133" t="s">
        <v>431</v>
      </c>
      <c r="G3938" s="404" t="s">
        <v>7486</v>
      </c>
      <c r="H3938" s="411">
        <v>216.11</v>
      </c>
      <c r="I3938" s="89">
        <f t="shared" si="773"/>
        <v>-19.4499</v>
      </c>
      <c r="J3938" s="391">
        <f t="shared" si="772"/>
        <v>-4.4060899999999998</v>
      </c>
      <c r="K3938" s="90">
        <f t="shared" si="765"/>
        <v>192.25400999999999</v>
      </c>
      <c r="L3938" s="131">
        <v>990</v>
      </c>
      <c r="M3938" s="187">
        <v>53.77</v>
      </c>
      <c r="N3938" s="91">
        <f t="shared" si="761"/>
        <v>152.77000000000001</v>
      </c>
      <c r="O3938" s="411">
        <f t="shared" si="766"/>
        <v>39.484009999999984</v>
      </c>
      <c r="P3938" s="132" t="s">
        <v>52</v>
      </c>
      <c r="Q3938" s="232"/>
      <c r="R3938" s="411"/>
      <c r="T3938" s="134" t="s">
        <v>145</v>
      </c>
      <c r="U3938" s="267" t="s">
        <v>8836</v>
      </c>
      <c r="AA3938" s="218"/>
    </row>
    <row r="3939" spans="1:27" ht="24" x14ac:dyDescent="0.25">
      <c r="A3939" s="405">
        <v>3003049</v>
      </c>
      <c r="B3939" s="406">
        <v>42558</v>
      </c>
      <c r="C3939" s="405" t="s">
        <v>5682</v>
      </c>
      <c r="D3939" s="401" t="s">
        <v>8837</v>
      </c>
      <c r="E3939" s="120">
        <v>150</v>
      </c>
      <c r="F3939" s="133" t="s">
        <v>173</v>
      </c>
      <c r="G3939" s="404" t="s">
        <v>7486</v>
      </c>
      <c r="H3939" s="411">
        <v>135.43</v>
      </c>
      <c r="I3939" s="89">
        <f t="shared" si="773"/>
        <v>-12.188700000000001</v>
      </c>
      <c r="J3939" s="391">
        <f t="shared" si="772"/>
        <v>-2.87317</v>
      </c>
      <c r="K3939" s="90">
        <f t="shared" si="765"/>
        <v>120.36813000000001</v>
      </c>
      <c r="L3939" s="131">
        <v>407</v>
      </c>
      <c r="M3939" s="187">
        <v>39.57</v>
      </c>
      <c r="N3939" s="91">
        <f t="shared" si="761"/>
        <v>100.62</v>
      </c>
      <c r="O3939" s="411">
        <f t="shared" si="766"/>
        <v>19.748130000000003</v>
      </c>
      <c r="P3939" s="132" t="s">
        <v>52</v>
      </c>
      <c r="Q3939" s="232"/>
      <c r="R3939" s="411"/>
      <c r="T3939" s="134" t="s">
        <v>145</v>
      </c>
      <c r="U3939" s="267" t="s">
        <v>8838</v>
      </c>
      <c r="AA3939" s="218"/>
    </row>
    <row r="3940" spans="1:27" ht="24" x14ac:dyDescent="0.25">
      <c r="A3940" s="405">
        <v>3003050</v>
      </c>
      <c r="B3940" s="406">
        <v>42558</v>
      </c>
      <c r="C3940" s="405" t="s">
        <v>5682</v>
      </c>
      <c r="D3940" s="401" t="s">
        <v>8839</v>
      </c>
      <c r="E3940" s="120">
        <v>250</v>
      </c>
      <c r="F3940" s="133" t="s">
        <v>1137</v>
      </c>
      <c r="G3940" s="404" t="s">
        <v>7486</v>
      </c>
      <c r="H3940" s="411">
        <v>126.35</v>
      </c>
      <c r="I3940" s="89">
        <f t="shared" si="773"/>
        <v>-11.371499999999999</v>
      </c>
      <c r="J3940" s="391">
        <f t="shared" si="772"/>
        <v>-2.7006499999999996</v>
      </c>
      <c r="K3940" s="90">
        <f t="shared" si="765"/>
        <v>112.27785</v>
      </c>
      <c r="L3940" s="131">
        <v>220</v>
      </c>
      <c r="M3940" s="187">
        <v>18.46</v>
      </c>
      <c r="N3940" s="91">
        <f t="shared" si="761"/>
        <v>73.460000000000008</v>
      </c>
      <c r="O3940" s="411">
        <f t="shared" si="766"/>
        <v>38.817849999999993</v>
      </c>
      <c r="P3940" s="132" t="s">
        <v>52</v>
      </c>
      <c r="Q3940" s="232"/>
      <c r="R3940" s="411"/>
      <c r="T3940" s="134" t="s">
        <v>145</v>
      </c>
      <c r="U3940" s="267" t="s">
        <v>8840</v>
      </c>
      <c r="AA3940" s="218"/>
    </row>
    <row r="3941" spans="1:27" ht="24" x14ac:dyDescent="0.25">
      <c r="A3941" s="405">
        <v>3003051</v>
      </c>
      <c r="B3941" s="406">
        <v>42558</v>
      </c>
      <c r="C3941" s="405" t="s">
        <v>5682</v>
      </c>
      <c r="D3941" s="401" t="s">
        <v>8841</v>
      </c>
      <c r="E3941" s="120">
        <v>500</v>
      </c>
      <c r="F3941" s="133" t="s">
        <v>1137</v>
      </c>
      <c r="G3941" s="404" t="s">
        <v>7486</v>
      </c>
      <c r="H3941" s="411">
        <v>218.5</v>
      </c>
      <c r="I3941" s="89">
        <f t="shared" si="773"/>
        <v>-19.664999999999999</v>
      </c>
      <c r="J3941" s="391">
        <f t="shared" si="772"/>
        <v>-4.4514999999999993</v>
      </c>
      <c r="K3941" s="90">
        <f t="shared" si="765"/>
        <v>194.3835</v>
      </c>
      <c r="L3941" s="131">
        <v>220</v>
      </c>
      <c r="M3941" s="187">
        <v>46.79</v>
      </c>
      <c r="N3941" s="91">
        <f t="shared" si="761"/>
        <v>156.79</v>
      </c>
      <c r="O3941" s="411">
        <f t="shared" si="766"/>
        <v>37.593500000000006</v>
      </c>
      <c r="P3941" s="132" t="s">
        <v>52</v>
      </c>
      <c r="Q3941" s="232"/>
      <c r="R3941" s="411"/>
      <c r="T3941" s="134" t="s">
        <v>145</v>
      </c>
      <c r="U3941" s="267" t="s">
        <v>8842</v>
      </c>
      <c r="AA3941" s="218"/>
    </row>
    <row r="3942" spans="1:27" ht="24" x14ac:dyDescent="0.25">
      <c r="A3942" s="405">
        <v>3003052</v>
      </c>
      <c r="B3942" s="406">
        <v>42558</v>
      </c>
      <c r="C3942" s="405" t="s">
        <v>237</v>
      </c>
      <c r="D3942" s="401" t="s">
        <v>8843</v>
      </c>
      <c r="E3942" s="120">
        <v>250</v>
      </c>
      <c r="F3942" s="133" t="s">
        <v>173</v>
      </c>
      <c r="G3942" s="404" t="s">
        <v>7486</v>
      </c>
      <c r="H3942" s="411">
        <v>161.16</v>
      </c>
      <c r="I3942" s="397">
        <f t="shared" ref="I3942" si="774">-(H3942*0.15)</f>
        <v>-24.173999999999999</v>
      </c>
      <c r="J3942" s="411">
        <v>0</v>
      </c>
      <c r="K3942" s="90">
        <f t="shared" si="765"/>
        <v>136.98599999999999</v>
      </c>
      <c r="L3942" s="131">
        <v>407</v>
      </c>
      <c r="M3942" s="187">
        <v>24.48</v>
      </c>
      <c r="N3942" s="91">
        <f t="shared" si="761"/>
        <v>126.23</v>
      </c>
      <c r="O3942" s="411">
        <f t="shared" si="766"/>
        <v>10.755999999999986</v>
      </c>
      <c r="P3942" s="132" t="s">
        <v>52</v>
      </c>
      <c r="Q3942" s="232"/>
      <c r="R3942" s="411"/>
      <c r="T3942" s="134" t="s">
        <v>145</v>
      </c>
      <c r="U3942" s="267" t="s">
        <v>8844</v>
      </c>
      <c r="AA3942" s="218"/>
    </row>
    <row r="3943" spans="1:27" x14ac:dyDescent="0.25">
      <c r="A3943" s="405">
        <v>3003053</v>
      </c>
      <c r="B3943" s="406">
        <v>42558</v>
      </c>
      <c r="C3943" s="405" t="s">
        <v>327</v>
      </c>
      <c r="D3943" s="401" t="s">
        <v>8845</v>
      </c>
      <c r="E3943" s="120">
        <v>800</v>
      </c>
      <c r="F3943" s="133" t="s">
        <v>247</v>
      </c>
      <c r="G3943" s="404" t="s">
        <v>7486</v>
      </c>
      <c r="H3943" s="411">
        <v>800</v>
      </c>
      <c r="I3943" s="411">
        <v>0</v>
      </c>
      <c r="J3943" s="391">
        <f>-((H3943*0.022)+0.3)</f>
        <v>-17.899999999999999</v>
      </c>
      <c r="K3943" s="90">
        <f t="shared" si="765"/>
        <v>782.1</v>
      </c>
      <c r="L3943" s="131">
        <v>480</v>
      </c>
      <c r="M3943" s="187">
        <v>225.51</v>
      </c>
      <c r="N3943" s="91">
        <f t="shared" si="761"/>
        <v>609.51</v>
      </c>
      <c r="O3943" s="411">
        <f t="shared" si="766"/>
        <v>172.59000000000003</v>
      </c>
      <c r="P3943" s="132" t="s">
        <v>52</v>
      </c>
      <c r="Q3943" s="232"/>
      <c r="R3943" s="411"/>
      <c r="T3943" s="134" t="s">
        <v>97</v>
      </c>
      <c r="U3943" s="267" t="s">
        <v>8846</v>
      </c>
      <c r="V3943" s="133" t="s">
        <v>55</v>
      </c>
      <c r="W3943" s="153" t="s">
        <v>8847</v>
      </c>
      <c r="AA3943" s="218"/>
    </row>
    <row r="3944" spans="1:27" x14ac:dyDescent="0.25">
      <c r="A3944" s="405">
        <v>3003054</v>
      </c>
      <c r="B3944" s="406">
        <v>42558</v>
      </c>
      <c r="C3944" s="405" t="s">
        <v>5682</v>
      </c>
      <c r="D3944" s="401" t="s">
        <v>8848</v>
      </c>
      <c r="E3944" s="120">
        <v>275</v>
      </c>
      <c r="F3944" s="133" t="s">
        <v>85</v>
      </c>
      <c r="G3944" s="404" t="s">
        <v>7486</v>
      </c>
      <c r="H3944" s="411">
        <v>694.22</v>
      </c>
      <c r="I3944" s="89">
        <f t="shared" ref="I3944:I3947" si="775">-(H3944*0.09)</f>
        <v>-62.479799999999997</v>
      </c>
      <c r="J3944" s="391">
        <f t="shared" ref="J3944:J3947" si="776">-((H3944*0.019)+0.3)</f>
        <v>-13.490180000000001</v>
      </c>
      <c r="K3944" s="90">
        <f t="shared" si="765"/>
        <v>618.25002000000006</v>
      </c>
      <c r="L3944" s="131">
        <v>1296</v>
      </c>
      <c r="M3944" s="187">
        <v>201.28</v>
      </c>
      <c r="N3944" s="91">
        <f t="shared" si="761"/>
        <v>557.68000000000006</v>
      </c>
      <c r="O3944" s="411">
        <f t="shared" si="766"/>
        <v>60.57002</v>
      </c>
      <c r="P3944" s="132" t="s">
        <v>52</v>
      </c>
      <c r="Q3944" s="232"/>
      <c r="R3944" s="411">
        <v>45.42</v>
      </c>
      <c r="S3944" s="133" t="s">
        <v>8849</v>
      </c>
      <c r="T3944" s="134" t="s">
        <v>244</v>
      </c>
      <c r="U3944" s="267" t="s">
        <v>8850</v>
      </c>
      <c r="V3944" s="133" t="s">
        <v>55</v>
      </c>
      <c r="AA3944" s="218"/>
    </row>
    <row r="3945" spans="1:27" ht="24" x14ac:dyDescent="0.25">
      <c r="A3945" s="405">
        <v>3003055</v>
      </c>
      <c r="B3945" s="406">
        <v>42558</v>
      </c>
      <c r="C3945" s="405" t="s">
        <v>5682</v>
      </c>
      <c r="D3945" s="401" t="s">
        <v>8851</v>
      </c>
      <c r="E3945" s="120">
        <v>500</v>
      </c>
      <c r="F3945" s="133" t="s">
        <v>451</v>
      </c>
      <c r="G3945" s="404" t="s">
        <v>7486</v>
      </c>
      <c r="H3945" s="411">
        <v>290</v>
      </c>
      <c r="I3945" s="89">
        <f t="shared" si="775"/>
        <v>-26.099999999999998</v>
      </c>
      <c r="J3945" s="391">
        <f t="shared" si="776"/>
        <v>-5.81</v>
      </c>
      <c r="K3945" s="90">
        <f t="shared" si="765"/>
        <v>258.08999999999997</v>
      </c>
      <c r="L3945" s="131">
        <v>300</v>
      </c>
      <c r="M3945" s="187">
        <v>42.65</v>
      </c>
      <c r="N3945" s="91">
        <f t="shared" si="761"/>
        <v>192.65</v>
      </c>
      <c r="O3945" s="411">
        <f t="shared" si="766"/>
        <v>65.439999999999969</v>
      </c>
      <c r="P3945" s="132" t="s">
        <v>52</v>
      </c>
      <c r="Q3945" s="232"/>
      <c r="R3945" s="411"/>
      <c r="T3945" s="134" t="s">
        <v>145</v>
      </c>
      <c r="U3945" s="267" t="s">
        <v>8852</v>
      </c>
      <c r="AA3945" s="218"/>
    </row>
    <row r="3946" spans="1:27" ht="24" x14ac:dyDescent="0.25">
      <c r="A3946" s="405">
        <v>3003056</v>
      </c>
      <c r="B3946" s="406">
        <v>42558</v>
      </c>
      <c r="C3946" s="405" t="s">
        <v>5682</v>
      </c>
      <c r="D3946" s="401" t="s">
        <v>8853</v>
      </c>
      <c r="E3946" s="120">
        <v>250</v>
      </c>
      <c r="F3946" s="133" t="s">
        <v>1472</v>
      </c>
      <c r="G3946" s="404" t="s">
        <v>7486</v>
      </c>
      <c r="H3946" s="411">
        <v>133</v>
      </c>
      <c r="I3946" s="89">
        <f t="shared" si="775"/>
        <v>-11.969999999999999</v>
      </c>
      <c r="J3946" s="391">
        <f t="shared" si="776"/>
        <v>-2.827</v>
      </c>
      <c r="K3946" s="90">
        <f t="shared" si="765"/>
        <v>118.203</v>
      </c>
      <c r="L3946" s="131">
        <v>210</v>
      </c>
      <c r="M3946" s="187">
        <v>35.659999999999997</v>
      </c>
      <c r="N3946" s="91">
        <f t="shared" si="761"/>
        <v>88.16</v>
      </c>
      <c r="O3946" s="411">
        <f t="shared" si="766"/>
        <v>30.043000000000006</v>
      </c>
      <c r="P3946" s="132" t="s">
        <v>52</v>
      </c>
      <c r="Q3946" s="232"/>
      <c r="R3946" s="411"/>
      <c r="T3946" s="134" t="s">
        <v>145</v>
      </c>
      <c r="U3946" s="267" t="s">
        <v>8854</v>
      </c>
      <c r="AA3946" s="218"/>
    </row>
    <row r="3947" spans="1:27" ht="24" x14ac:dyDescent="0.25">
      <c r="A3947" s="405">
        <v>3003057</v>
      </c>
      <c r="B3947" s="406">
        <v>42558</v>
      </c>
      <c r="C3947" s="405" t="s">
        <v>5682</v>
      </c>
      <c r="D3947" s="401" t="s">
        <v>8855</v>
      </c>
      <c r="E3947" s="120">
        <v>200</v>
      </c>
      <c r="F3947" s="133" t="s">
        <v>3307</v>
      </c>
      <c r="G3947" s="404" t="s">
        <v>7486</v>
      </c>
      <c r="H3947" s="411">
        <v>374.22</v>
      </c>
      <c r="I3947" s="89">
        <f t="shared" si="775"/>
        <v>-33.6798</v>
      </c>
      <c r="J3947" s="391">
        <f t="shared" si="776"/>
        <v>-7.4101800000000004</v>
      </c>
      <c r="K3947" s="90">
        <f t="shared" si="765"/>
        <v>333.13002</v>
      </c>
      <c r="L3947" s="187">
        <v>1170</v>
      </c>
      <c r="M3947" s="187">
        <v>55.84</v>
      </c>
      <c r="N3947" s="91">
        <f t="shared" si="761"/>
        <v>289.84000000000003</v>
      </c>
      <c r="O3947" s="411">
        <f t="shared" si="766"/>
        <v>43.29001999999997</v>
      </c>
      <c r="P3947" s="132" t="s">
        <v>601</v>
      </c>
      <c r="Q3947" s="232"/>
      <c r="R3947" s="411"/>
      <c r="T3947" s="134" t="s">
        <v>145</v>
      </c>
      <c r="U3947" s="267" t="s">
        <v>8856</v>
      </c>
      <c r="AA3947" s="218"/>
    </row>
    <row r="3948" spans="1:27" ht="24" customHeight="1" x14ac:dyDescent="0.25">
      <c r="A3948" s="419">
        <v>3003058</v>
      </c>
      <c r="B3948" s="421">
        <v>42558</v>
      </c>
      <c r="C3948" s="419" t="s">
        <v>63</v>
      </c>
      <c r="D3948" s="417" t="s">
        <v>8857</v>
      </c>
      <c r="E3948" s="120">
        <v>500</v>
      </c>
      <c r="F3948" s="133" t="s">
        <v>8858</v>
      </c>
      <c r="G3948" s="434" t="s">
        <v>7486</v>
      </c>
      <c r="H3948" s="427">
        <v>2360</v>
      </c>
      <c r="I3948" s="427">
        <v>0</v>
      </c>
      <c r="J3948" s="425">
        <f>-((H3948*0.022)+0.3)</f>
        <v>-52.219999999999992</v>
      </c>
      <c r="K3948" s="425">
        <f t="shared" si="765"/>
        <v>2307.7800000000002</v>
      </c>
      <c r="L3948" s="187">
        <v>1071.46</v>
      </c>
      <c r="M3948" s="177"/>
      <c r="N3948" s="91">
        <f t="shared" si="761"/>
        <v>535.73</v>
      </c>
      <c r="O3948" s="411">
        <f t="shared" si="766"/>
        <v>1772.0500000000002</v>
      </c>
      <c r="P3948" s="132" t="s">
        <v>46</v>
      </c>
      <c r="Q3948" s="232"/>
      <c r="R3948" s="411"/>
      <c r="T3948" s="439" t="s">
        <v>1229</v>
      </c>
      <c r="U3948" s="444" t="s">
        <v>8859</v>
      </c>
      <c r="W3948" s="153" t="s">
        <v>8860</v>
      </c>
      <c r="AA3948" s="526">
        <v>10</v>
      </c>
    </row>
    <row r="3949" spans="1:27" x14ac:dyDescent="0.25">
      <c r="A3949" s="420"/>
      <c r="B3949" s="422"/>
      <c r="C3949" s="420"/>
      <c r="D3949" s="418"/>
      <c r="E3949" s="120">
        <v>500</v>
      </c>
      <c r="F3949" s="133" t="s">
        <v>8861</v>
      </c>
      <c r="G3949" s="436"/>
      <c r="H3949" s="428"/>
      <c r="I3949" s="428"/>
      <c r="J3949" s="426"/>
      <c r="K3949" s="426"/>
      <c r="L3949" s="187">
        <v>2438.2800000000002</v>
      </c>
      <c r="N3949" s="91">
        <f t="shared" si="761"/>
        <v>1219.1400000000001</v>
      </c>
      <c r="O3949" s="411">
        <f t="shared" si="766"/>
        <v>-1219.1400000000001</v>
      </c>
      <c r="P3949" s="132" t="s">
        <v>46</v>
      </c>
      <c r="Q3949" s="232"/>
      <c r="R3949" s="411"/>
      <c r="T3949" s="441"/>
      <c r="U3949" s="445"/>
      <c r="AA3949" s="527"/>
    </row>
    <row r="3950" spans="1:27" x14ac:dyDescent="0.25">
      <c r="A3950" s="405">
        <v>3003059</v>
      </c>
      <c r="B3950" s="406">
        <v>42559</v>
      </c>
      <c r="C3950" s="405" t="s">
        <v>63</v>
      </c>
      <c r="D3950" s="401" t="s">
        <v>8862</v>
      </c>
      <c r="E3950" s="120">
        <v>1000</v>
      </c>
      <c r="F3950" s="133" t="s">
        <v>8863</v>
      </c>
      <c r="G3950" s="404" t="s">
        <v>7486</v>
      </c>
      <c r="H3950" s="411">
        <v>1035</v>
      </c>
      <c r="I3950" s="411">
        <v>0</v>
      </c>
      <c r="J3950" s="391">
        <f>-((H3950*0.022)+0.3)</f>
        <v>-23.07</v>
      </c>
      <c r="K3950" s="90">
        <f t="shared" si="765"/>
        <v>1011.93</v>
      </c>
      <c r="L3950" s="187">
        <v>660</v>
      </c>
      <c r="M3950" s="187">
        <v>0</v>
      </c>
      <c r="N3950" s="91">
        <f t="shared" si="761"/>
        <v>660</v>
      </c>
      <c r="O3950" s="411">
        <f t="shared" si="766"/>
        <v>351.92999999999995</v>
      </c>
      <c r="P3950" s="132" t="s">
        <v>59</v>
      </c>
      <c r="Q3950" s="232"/>
      <c r="R3950" s="411"/>
      <c r="T3950" s="134" t="s">
        <v>314</v>
      </c>
      <c r="U3950" s="267" t="s">
        <v>8864</v>
      </c>
      <c r="W3950" s="153" t="s">
        <v>8865</v>
      </c>
      <c r="AA3950" s="218"/>
    </row>
    <row r="3951" spans="1:27" ht="24" x14ac:dyDescent="0.25">
      <c r="A3951" s="405">
        <v>3003060</v>
      </c>
      <c r="B3951" s="406">
        <v>42559</v>
      </c>
      <c r="C3951" s="405" t="s">
        <v>5682</v>
      </c>
      <c r="D3951" s="401" t="s">
        <v>8866</v>
      </c>
      <c r="E3951" s="120">
        <v>100</v>
      </c>
      <c r="F3951" s="133" t="s">
        <v>288</v>
      </c>
      <c r="G3951" s="404" t="s">
        <v>7486</v>
      </c>
      <c r="H3951" s="411">
        <v>195.25</v>
      </c>
      <c r="I3951" s="89">
        <f t="shared" ref="I3951:I3952" si="777">-(H3951*0.09)</f>
        <v>-17.572499999999998</v>
      </c>
      <c r="J3951" s="391">
        <f t="shared" ref="J3951:J3952" si="778">-((H3951*0.019)+0.3)</f>
        <v>-4.0097500000000004</v>
      </c>
      <c r="K3951" s="90">
        <f t="shared" si="765"/>
        <v>173.66775000000001</v>
      </c>
      <c r="L3951" s="131">
        <v>950</v>
      </c>
      <c r="M3951" s="187">
        <v>34.65</v>
      </c>
      <c r="N3951" s="91">
        <f t="shared" si="761"/>
        <v>129.65</v>
      </c>
      <c r="O3951" s="411">
        <f t="shared" si="766"/>
        <v>44.017750000000007</v>
      </c>
      <c r="P3951" s="132" t="s">
        <v>52</v>
      </c>
      <c r="Q3951" s="232"/>
      <c r="R3951" s="411"/>
      <c r="T3951" s="134" t="s">
        <v>145</v>
      </c>
      <c r="U3951" s="267" t="s">
        <v>8867</v>
      </c>
      <c r="AA3951" s="218"/>
    </row>
    <row r="3952" spans="1:27" ht="24" x14ac:dyDescent="0.25">
      <c r="A3952" s="405">
        <v>3003061</v>
      </c>
      <c r="B3952" s="406">
        <v>42559</v>
      </c>
      <c r="C3952" s="405" t="s">
        <v>5682</v>
      </c>
      <c r="D3952" s="401" t="s">
        <v>8868</v>
      </c>
      <c r="E3952" s="120">
        <v>100</v>
      </c>
      <c r="F3952" s="133" t="s">
        <v>161</v>
      </c>
      <c r="G3952" s="404" t="s">
        <v>7486</v>
      </c>
      <c r="H3952" s="411">
        <v>230</v>
      </c>
      <c r="I3952" s="89">
        <f t="shared" si="777"/>
        <v>-20.7</v>
      </c>
      <c r="J3952" s="391">
        <f t="shared" si="778"/>
        <v>-4.67</v>
      </c>
      <c r="K3952" s="90">
        <f t="shared" si="765"/>
        <v>204.63000000000002</v>
      </c>
      <c r="L3952" s="131">
        <v>1322</v>
      </c>
      <c r="M3952" s="187">
        <v>19.05</v>
      </c>
      <c r="N3952" s="91">
        <f t="shared" si="761"/>
        <v>151.25000000000003</v>
      </c>
      <c r="O3952" s="411">
        <f t="shared" si="766"/>
        <v>53.379999999999995</v>
      </c>
      <c r="P3952" s="132" t="s">
        <v>52</v>
      </c>
      <c r="Q3952" s="232"/>
      <c r="R3952" s="411"/>
      <c r="T3952" s="134" t="s">
        <v>145</v>
      </c>
      <c r="U3952" s="267" t="s">
        <v>8869</v>
      </c>
      <c r="AA3952" s="218"/>
    </row>
    <row r="3953" spans="1:27" x14ac:dyDescent="0.25">
      <c r="A3953" s="419">
        <v>3003062</v>
      </c>
      <c r="B3953" s="421">
        <v>42559</v>
      </c>
      <c r="C3953" s="419" t="s">
        <v>63</v>
      </c>
      <c r="D3953" s="429" t="s">
        <v>7439</v>
      </c>
      <c r="E3953" s="120">
        <v>1200</v>
      </c>
      <c r="F3953" s="133" t="s">
        <v>8870</v>
      </c>
      <c r="G3953" s="434" t="s">
        <v>7486</v>
      </c>
      <c r="H3953" s="427">
        <v>3293.96</v>
      </c>
      <c r="I3953" s="427">
        <v>0</v>
      </c>
      <c r="J3953" s="425">
        <f>-((H3953*0.022)+0.3)</f>
        <v>-72.767119999999991</v>
      </c>
      <c r="K3953" s="425">
        <f t="shared" si="765"/>
        <v>3221.1928800000001</v>
      </c>
      <c r="L3953" s="131">
        <v>1740</v>
      </c>
      <c r="M3953" s="187">
        <v>165</v>
      </c>
      <c r="N3953" s="91">
        <f t="shared" si="761"/>
        <v>2253</v>
      </c>
      <c r="O3953" s="411">
        <f t="shared" si="766"/>
        <v>968.19288000000006</v>
      </c>
      <c r="P3953" s="132" t="s">
        <v>52</v>
      </c>
      <c r="Q3953" s="232"/>
      <c r="R3953" s="411"/>
      <c r="T3953" s="439" t="s">
        <v>3793</v>
      </c>
      <c r="U3953" s="446" t="s">
        <v>8871</v>
      </c>
      <c r="W3953" s="153" t="s">
        <v>7442</v>
      </c>
      <c r="AA3953" s="473">
        <v>25</v>
      </c>
    </row>
    <row r="3954" spans="1:27" x14ac:dyDescent="0.25">
      <c r="A3954" s="420"/>
      <c r="B3954" s="422"/>
      <c r="C3954" s="420"/>
      <c r="D3954" s="431"/>
      <c r="E3954" s="120">
        <v>82</v>
      </c>
      <c r="F3954" s="133" t="s">
        <v>8872</v>
      </c>
      <c r="G3954" s="436"/>
      <c r="H3954" s="428"/>
      <c r="I3954" s="428"/>
      <c r="J3954" s="426"/>
      <c r="K3954" s="426"/>
      <c r="L3954" s="131">
        <v>2200</v>
      </c>
      <c r="M3954" s="187"/>
      <c r="N3954" s="91">
        <f t="shared" si="761"/>
        <v>180.4</v>
      </c>
      <c r="O3954" s="411">
        <f t="shared" si="766"/>
        <v>-180.4</v>
      </c>
      <c r="P3954" s="132" t="s">
        <v>52</v>
      </c>
      <c r="Q3954" s="232"/>
      <c r="R3954" s="411"/>
      <c r="T3954" s="441"/>
      <c r="U3954" s="447"/>
      <c r="AA3954" s="474"/>
    </row>
    <row r="3955" spans="1:27" ht="24" x14ac:dyDescent="0.25">
      <c r="A3955" s="405">
        <v>3003063</v>
      </c>
      <c r="B3955" s="406">
        <v>42559</v>
      </c>
      <c r="C3955" s="405" t="s">
        <v>5682</v>
      </c>
      <c r="D3955" s="401" t="s">
        <v>8873</v>
      </c>
      <c r="E3955" s="120">
        <v>50</v>
      </c>
      <c r="F3955" s="133" t="s">
        <v>2483</v>
      </c>
      <c r="G3955" s="404" t="s">
        <v>7486</v>
      </c>
      <c r="H3955" s="411">
        <v>117.6</v>
      </c>
      <c r="I3955" s="89">
        <f t="shared" ref="I3955:I3964" si="779">-(H3955*0.09)</f>
        <v>-10.584</v>
      </c>
      <c r="J3955" s="391">
        <f t="shared" ref="J3955:J3964" si="780">-((H3955*0.019)+0.3)</f>
        <v>-2.5343999999999998</v>
      </c>
      <c r="K3955" s="90">
        <f t="shared" si="765"/>
        <v>104.48159999999999</v>
      </c>
      <c r="M3955" s="187">
        <v>27.09</v>
      </c>
      <c r="N3955" s="91">
        <f t="shared" si="761"/>
        <v>27.09</v>
      </c>
      <c r="O3955" s="411">
        <f t="shared" si="766"/>
        <v>77.391599999999983</v>
      </c>
      <c r="P3955" s="132" t="s">
        <v>52</v>
      </c>
      <c r="Q3955" s="232"/>
      <c r="R3955" s="411"/>
      <c r="T3955" s="134" t="s">
        <v>145</v>
      </c>
      <c r="U3955" s="267" t="s">
        <v>8874</v>
      </c>
      <c r="AA3955" s="218"/>
    </row>
    <row r="3956" spans="1:27" ht="24" x14ac:dyDescent="0.25">
      <c r="A3956" s="405">
        <v>3003064</v>
      </c>
      <c r="B3956" s="406">
        <v>42559</v>
      </c>
      <c r="C3956" s="405" t="s">
        <v>5682</v>
      </c>
      <c r="D3956" s="401" t="s">
        <v>8875</v>
      </c>
      <c r="E3956" s="120">
        <v>375</v>
      </c>
      <c r="F3956" s="133" t="s">
        <v>877</v>
      </c>
      <c r="G3956" s="404" t="s">
        <v>7486</v>
      </c>
      <c r="H3956" s="411">
        <v>277.33999999999997</v>
      </c>
      <c r="I3956" s="89">
        <f t="shared" si="779"/>
        <v>-24.960599999999996</v>
      </c>
      <c r="J3956" s="391">
        <f t="shared" si="780"/>
        <v>-5.5694599999999994</v>
      </c>
      <c r="K3956" s="90">
        <f t="shared" si="765"/>
        <v>246.80993999999998</v>
      </c>
      <c r="L3956" s="131">
        <v>235</v>
      </c>
      <c r="M3956" s="187">
        <v>39.299999999999997</v>
      </c>
      <c r="N3956" s="91">
        <f t="shared" si="761"/>
        <v>127.425</v>
      </c>
      <c r="O3956" s="411">
        <f t="shared" si="766"/>
        <v>119.38493999999999</v>
      </c>
      <c r="P3956" s="132" t="s">
        <v>52</v>
      </c>
      <c r="Q3956" s="232"/>
      <c r="R3956" s="411"/>
      <c r="T3956" s="134" t="s">
        <v>145</v>
      </c>
      <c r="U3956" s="267" t="s">
        <v>8876</v>
      </c>
      <c r="AA3956" s="218"/>
    </row>
    <row r="3957" spans="1:27" ht="24" x14ac:dyDescent="0.25">
      <c r="A3957" s="405">
        <v>3003065</v>
      </c>
      <c r="B3957" s="406">
        <v>42559</v>
      </c>
      <c r="C3957" s="405" t="s">
        <v>5682</v>
      </c>
      <c r="D3957" s="401" t="s">
        <v>8877</v>
      </c>
      <c r="E3957" s="120">
        <v>100</v>
      </c>
      <c r="F3957" s="133" t="s">
        <v>288</v>
      </c>
      <c r="G3957" s="404" t="s">
        <v>7486</v>
      </c>
      <c r="H3957" s="411">
        <v>195.25</v>
      </c>
      <c r="I3957" s="89">
        <f t="shared" si="779"/>
        <v>-17.572499999999998</v>
      </c>
      <c r="J3957" s="391">
        <f t="shared" si="780"/>
        <v>-4.0097500000000004</v>
      </c>
      <c r="K3957" s="90">
        <f t="shared" si="765"/>
        <v>173.66775000000001</v>
      </c>
      <c r="L3957" s="131">
        <v>950</v>
      </c>
      <c r="M3957" s="187">
        <v>44.61</v>
      </c>
      <c r="N3957" s="91">
        <f t="shared" si="761"/>
        <v>139.61000000000001</v>
      </c>
      <c r="O3957" s="411">
        <f t="shared" si="766"/>
        <v>34.057749999999999</v>
      </c>
      <c r="P3957" s="132" t="s">
        <v>52</v>
      </c>
      <c r="Q3957" s="232"/>
      <c r="R3957" s="411"/>
      <c r="T3957" s="134" t="s">
        <v>145</v>
      </c>
      <c r="U3957" s="267" t="s">
        <v>8878</v>
      </c>
      <c r="AA3957" s="218"/>
    </row>
    <row r="3958" spans="1:27" ht="24" x14ac:dyDescent="0.25">
      <c r="A3958" s="405">
        <v>3003066</v>
      </c>
      <c r="B3958" s="406">
        <v>42559</v>
      </c>
      <c r="C3958" s="405" t="s">
        <v>5682</v>
      </c>
      <c r="D3958" s="401" t="s">
        <v>8879</v>
      </c>
      <c r="E3958" s="120">
        <v>300</v>
      </c>
      <c r="F3958" s="133" t="s">
        <v>227</v>
      </c>
      <c r="G3958" s="404" t="s">
        <v>7486</v>
      </c>
      <c r="H3958" s="411">
        <v>270.41000000000003</v>
      </c>
      <c r="I3958" s="89">
        <f t="shared" si="779"/>
        <v>-24.3369</v>
      </c>
      <c r="J3958" s="391">
        <f t="shared" si="780"/>
        <v>-5.4377900000000006</v>
      </c>
      <c r="K3958" s="90">
        <f t="shared" si="765"/>
        <v>240.63531</v>
      </c>
      <c r="L3958" s="131">
        <v>350</v>
      </c>
      <c r="M3958" s="187">
        <v>36.74</v>
      </c>
      <c r="N3958" s="91">
        <f t="shared" si="761"/>
        <v>141.74</v>
      </c>
      <c r="O3958" s="411">
        <f t="shared" si="766"/>
        <v>98.895309999999995</v>
      </c>
      <c r="P3958" s="132" t="s">
        <v>52</v>
      </c>
      <c r="Q3958" s="232"/>
      <c r="R3958" s="411"/>
      <c r="T3958" s="134" t="s">
        <v>145</v>
      </c>
      <c r="U3958" s="267" t="s">
        <v>8880</v>
      </c>
      <c r="AA3958" s="218"/>
    </row>
    <row r="3959" spans="1:27" ht="24" x14ac:dyDescent="0.25">
      <c r="A3959" s="405">
        <v>3003067</v>
      </c>
      <c r="B3959" s="406">
        <v>42559</v>
      </c>
      <c r="C3959" s="405" t="s">
        <v>5682</v>
      </c>
      <c r="D3959" s="401" t="s">
        <v>8881</v>
      </c>
      <c r="E3959" s="120">
        <v>100</v>
      </c>
      <c r="F3959" s="133" t="s">
        <v>431</v>
      </c>
      <c r="G3959" s="404" t="s">
        <v>7486</v>
      </c>
      <c r="H3959" s="411">
        <v>216.11</v>
      </c>
      <c r="I3959" s="89">
        <f t="shared" si="779"/>
        <v>-19.4499</v>
      </c>
      <c r="J3959" s="391">
        <f t="shared" si="780"/>
        <v>-4.4060899999999998</v>
      </c>
      <c r="K3959" s="90">
        <f t="shared" si="765"/>
        <v>192.25400999999999</v>
      </c>
      <c r="L3959" s="131">
        <v>990</v>
      </c>
      <c r="M3959" s="187">
        <v>41.22</v>
      </c>
      <c r="N3959" s="91">
        <f t="shared" si="761"/>
        <v>140.22</v>
      </c>
      <c r="O3959" s="411">
        <f t="shared" si="766"/>
        <v>52.034009999999995</v>
      </c>
      <c r="P3959" s="132" t="s">
        <v>52</v>
      </c>
      <c r="Q3959" s="232"/>
      <c r="R3959" s="411"/>
      <c r="T3959" s="134" t="s">
        <v>145</v>
      </c>
      <c r="U3959" s="267" t="s">
        <v>8882</v>
      </c>
      <c r="AA3959" s="218"/>
    </row>
    <row r="3960" spans="1:27" ht="24" x14ac:dyDescent="0.25">
      <c r="A3960" s="405">
        <v>3003068</v>
      </c>
      <c r="B3960" s="406">
        <v>42559</v>
      </c>
      <c r="C3960" s="405" t="s">
        <v>5682</v>
      </c>
      <c r="D3960" s="401" t="s">
        <v>8883</v>
      </c>
      <c r="E3960" s="120">
        <v>74</v>
      </c>
      <c r="F3960" s="133" t="s">
        <v>70</v>
      </c>
      <c r="G3960" s="404" t="s">
        <v>7486</v>
      </c>
      <c r="H3960" s="411">
        <v>210.32</v>
      </c>
      <c r="I3960" s="89">
        <f t="shared" si="779"/>
        <v>-18.928799999999999</v>
      </c>
      <c r="J3960" s="391">
        <f t="shared" si="780"/>
        <v>-4.2960799999999999</v>
      </c>
      <c r="K3960" s="90">
        <f t="shared" si="765"/>
        <v>187.09512000000001</v>
      </c>
      <c r="L3960" s="131">
        <v>1200</v>
      </c>
      <c r="M3960" s="187">
        <v>47.52</v>
      </c>
      <c r="N3960" s="91">
        <f t="shared" si="761"/>
        <v>136.32</v>
      </c>
      <c r="O3960" s="411">
        <f t="shared" si="766"/>
        <v>50.775120000000015</v>
      </c>
      <c r="P3960" s="132" t="s">
        <v>86</v>
      </c>
      <c r="Q3960" s="232"/>
      <c r="R3960" s="411"/>
      <c r="T3960" s="134" t="s">
        <v>145</v>
      </c>
      <c r="U3960" s="267" t="s">
        <v>8884</v>
      </c>
      <c r="AA3960" s="218"/>
    </row>
    <row r="3961" spans="1:27" ht="24" x14ac:dyDescent="0.25">
      <c r="A3961" s="405">
        <v>3003069</v>
      </c>
      <c r="B3961" s="406">
        <v>42559</v>
      </c>
      <c r="C3961" s="405" t="s">
        <v>5682</v>
      </c>
      <c r="D3961" s="401" t="s">
        <v>8885</v>
      </c>
      <c r="E3961" s="120">
        <v>250</v>
      </c>
      <c r="F3961" s="133" t="s">
        <v>2949</v>
      </c>
      <c r="G3961" s="404" t="s">
        <v>7486</v>
      </c>
      <c r="H3961" s="411">
        <v>438.76</v>
      </c>
      <c r="I3961" s="89">
        <f t="shared" si="779"/>
        <v>-39.488399999999999</v>
      </c>
      <c r="J3961" s="391">
        <f t="shared" si="780"/>
        <v>-8.6364400000000003</v>
      </c>
      <c r="K3961" s="90">
        <f t="shared" si="765"/>
        <v>390.63515999999998</v>
      </c>
      <c r="L3961" s="131">
        <v>660</v>
      </c>
      <c r="M3961" s="187">
        <v>51.96</v>
      </c>
      <c r="N3961" s="91">
        <f t="shared" ref="N3961:N4024" si="781">((L3961)*(E3961*0.001))+M3961</f>
        <v>216.96</v>
      </c>
      <c r="O3961" s="411">
        <f t="shared" si="766"/>
        <v>173.67515999999998</v>
      </c>
      <c r="P3961" s="132" t="s">
        <v>52</v>
      </c>
      <c r="Q3961" s="232"/>
      <c r="R3961" s="411">
        <v>28.7</v>
      </c>
      <c r="S3961" s="133" t="s">
        <v>8886</v>
      </c>
      <c r="T3961" s="134" t="s">
        <v>145</v>
      </c>
      <c r="U3961" s="267" t="s">
        <v>8887</v>
      </c>
      <c r="AA3961" s="218"/>
    </row>
    <row r="3962" spans="1:27" ht="24" x14ac:dyDescent="0.25">
      <c r="A3962" s="405">
        <v>3003070</v>
      </c>
      <c r="B3962" s="406">
        <v>42559</v>
      </c>
      <c r="C3962" s="405" t="s">
        <v>42</v>
      </c>
      <c r="D3962" s="401" t="s">
        <v>8888</v>
      </c>
      <c r="E3962" s="120">
        <v>150</v>
      </c>
      <c r="F3962" s="133" t="s">
        <v>1547</v>
      </c>
      <c r="G3962" s="404" t="s">
        <v>7486</v>
      </c>
      <c r="H3962" s="411">
        <v>158.13</v>
      </c>
      <c r="I3962" s="89">
        <f t="shared" si="779"/>
        <v>-14.231699999999998</v>
      </c>
      <c r="J3962" s="391">
        <f t="shared" si="780"/>
        <v>-3.3044699999999998</v>
      </c>
      <c r="K3962" s="90">
        <f t="shared" si="765"/>
        <v>140.59383</v>
      </c>
      <c r="L3962" s="131">
        <v>419</v>
      </c>
      <c r="M3962" s="187">
        <v>35.79</v>
      </c>
      <c r="N3962" s="91">
        <f t="shared" si="781"/>
        <v>98.639999999999986</v>
      </c>
      <c r="O3962" s="411">
        <f t="shared" si="766"/>
        <v>41.953830000000011</v>
      </c>
      <c r="P3962" s="132" t="s">
        <v>52</v>
      </c>
      <c r="Q3962" s="232"/>
      <c r="R3962" s="411"/>
      <c r="T3962" s="134" t="s">
        <v>145</v>
      </c>
      <c r="U3962" s="267" t="s">
        <v>8889</v>
      </c>
      <c r="AA3962" s="218"/>
    </row>
    <row r="3963" spans="1:27" ht="24" x14ac:dyDescent="0.25">
      <c r="A3963" s="405">
        <v>3003071</v>
      </c>
      <c r="B3963" s="406">
        <v>42559</v>
      </c>
      <c r="C3963" s="405" t="s">
        <v>42</v>
      </c>
      <c r="D3963" s="401" t="s">
        <v>8890</v>
      </c>
      <c r="E3963" s="120">
        <v>180</v>
      </c>
      <c r="F3963" s="133" t="s">
        <v>247</v>
      </c>
      <c r="G3963" s="404" t="s">
        <v>7486</v>
      </c>
      <c r="H3963" s="411">
        <v>202.8</v>
      </c>
      <c r="I3963" s="89">
        <f t="shared" si="779"/>
        <v>-18.251999999999999</v>
      </c>
      <c r="J3963" s="391">
        <f t="shared" si="780"/>
        <v>-4.1532</v>
      </c>
      <c r="K3963" s="90">
        <f t="shared" si="765"/>
        <v>180.3948</v>
      </c>
      <c r="L3963" s="131">
        <v>480</v>
      </c>
      <c r="M3963" s="187">
        <v>31.73</v>
      </c>
      <c r="N3963" s="91">
        <f t="shared" si="781"/>
        <v>118.13</v>
      </c>
      <c r="O3963" s="411">
        <f t="shared" si="766"/>
        <v>62.264800000000008</v>
      </c>
      <c r="P3963" s="132" t="s">
        <v>52</v>
      </c>
      <c r="Q3963" s="232"/>
      <c r="R3963" s="411"/>
      <c r="T3963" s="134" t="s">
        <v>145</v>
      </c>
      <c r="U3963" s="267" t="s">
        <v>8891</v>
      </c>
      <c r="AA3963" s="218"/>
    </row>
    <row r="3964" spans="1:27" ht="24" x14ac:dyDescent="0.25">
      <c r="A3964" s="405">
        <v>3003072</v>
      </c>
      <c r="B3964" s="406">
        <v>42559</v>
      </c>
      <c r="C3964" s="405" t="s">
        <v>5682</v>
      </c>
      <c r="D3964" s="401" t="s">
        <v>8892</v>
      </c>
      <c r="E3964" s="120">
        <v>425</v>
      </c>
      <c r="F3964" s="133" t="s">
        <v>165</v>
      </c>
      <c r="G3964" s="404" t="s">
        <v>7486</v>
      </c>
      <c r="H3964" s="411">
        <v>411.85</v>
      </c>
      <c r="I3964" s="89">
        <f t="shared" si="779"/>
        <v>-37.066499999999998</v>
      </c>
      <c r="J3964" s="391">
        <f t="shared" si="780"/>
        <v>-8.1251499999999997</v>
      </c>
      <c r="K3964" s="90">
        <f t="shared" si="765"/>
        <v>366.65834999999998</v>
      </c>
      <c r="L3964" s="131">
        <v>375</v>
      </c>
      <c r="M3964" s="187">
        <v>53.31</v>
      </c>
      <c r="N3964" s="91">
        <f t="shared" si="781"/>
        <v>212.685</v>
      </c>
      <c r="O3964" s="411">
        <f t="shared" si="766"/>
        <v>153.97334999999998</v>
      </c>
      <c r="P3964" s="132" t="s">
        <v>52</v>
      </c>
      <c r="Q3964" s="232"/>
      <c r="R3964" s="411"/>
      <c r="T3964" s="134" t="s">
        <v>145</v>
      </c>
      <c r="U3964" s="267" t="s">
        <v>8893</v>
      </c>
      <c r="AA3964" s="218"/>
    </row>
    <row r="3965" spans="1:27" ht="24" x14ac:dyDescent="0.25">
      <c r="A3965" s="405">
        <v>3003073</v>
      </c>
      <c r="B3965" s="406">
        <v>42559</v>
      </c>
      <c r="C3965" s="405" t="s">
        <v>63</v>
      </c>
      <c r="D3965" s="401" t="s">
        <v>8894</v>
      </c>
      <c r="E3965" s="120">
        <v>100</v>
      </c>
      <c r="F3965" s="133" t="s">
        <v>6960</v>
      </c>
      <c r="G3965" s="404" t="s">
        <v>7486</v>
      </c>
      <c r="H3965" s="411">
        <v>100</v>
      </c>
      <c r="I3965" s="411">
        <v>0</v>
      </c>
      <c r="J3965" s="391">
        <f>-((H3965*0.022)+0.3)</f>
        <v>-2.4999999999999996</v>
      </c>
      <c r="K3965" s="90">
        <f t="shared" si="765"/>
        <v>97.5</v>
      </c>
      <c r="L3965" s="187">
        <v>380</v>
      </c>
      <c r="M3965" s="187">
        <v>11.99</v>
      </c>
      <c r="N3965" s="91">
        <f t="shared" si="781"/>
        <v>49.99</v>
      </c>
      <c r="O3965" s="411">
        <f t="shared" si="766"/>
        <v>47.51</v>
      </c>
      <c r="P3965" s="132" t="s">
        <v>235</v>
      </c>
      <c r="Q3965" s="232"/>
      <c r="R3965" s="411"/>
      <c r="T3965" s="134" t="s">
        <v>145</v>
      </c>
      <c r="U3965" s="267" t="s">
        <v>8895</v>
      </c>
      <c r="W3965" s="153" t="s">
        <v>8896</v>
      </c>
      <c r="AA3965" s="218"/>
    </row>
    <row r="3966" spans="1:27" x14ac:dyDescent="0.25">
      <c r="A3966" s="405">
        <v>3003074</v>
      </c>
      <c r="B3966" s="406">
        <v>42559</v>
      </c>
      <c r="C3966" s="405" t="s">
        <v>327</v>
      </c>
      <c r="D3966" s="401" t="s">
        <v>8897</v>
      </c>
      <c r="E3966" s="120">
        <v>500</v>
      </c>
      <c r="F3966" s="133" t="s">
        <v>445</v>
      </c>
      <c r="G3966" s="404" t="s">
        <v>7486</v>
      </c>
      <c r="H3966" s="411">
        <v>1040</v>
      </c>
      <c r="I3966" s="411">
        <v>0</v>
      </c>
      <c r="J3966" s="391">
        <f>-((H3966*0.022)+0.3)</f>
        <v>-23.18</v>
      </c>
      <c r="K3966" s="90">
        <f t="shared" si="765"/>
        <v>1016.82</v>
      </c>
      <c r="L3966" s="131">
        <v>1400</v>
      </c>
      <c r="M3966" s="131">
        <v>0</v>
      </c>
      <c r="N3966" s="91">
        <f t="shared" si="781"/>
        <v>700</v>
      </c>
      <c r="O3966" s="411">
        <f t="shared" si="766"/>
        <v>316.82000000000005</v>
      </c>
      <c r="P3966" s="132" t="s">
        <v>601</v>
      </c>
      <c r="Q3966" s="232"/>
      <c r="R3966" s="411"/>
      <c r="T3966" s="134" t="s">
        <v>1346</v>
      </c>
      <c r="U3966" s="267" t="s">
        <v>8898</v>
      </c>
      <c r="W3966" s="153" t="s">
        <v>8899</v>
      </c>
      <c r="AA3966" s="218">
        <v>10</v>
      </c>
    </row>
    <row r="3967" spans="1:27" x14ac:dyDescent="0.25">
      <c r="A3967" s="405">
        <v>3003075</v>
      </c>
      <c r="B3967" s="406">
        <v>42559</v>
      </c>
      <c r="C3967" s="405" t="s">
        <v>63</v>
      </c>
      <c r="D3967" s="401" t="s">
        <v>5346</v>
      </c>
      <c r="E3967" s="120">
        <v>500</v>
      </c>
      <c r="F3967" s="133" t="s">
        <v>5347</v>
      </c>
      <c r="G3967" s="404" t="s">
        <v>7486</v>
      </c>
      <c r="H3967" s="411">
        <v>6450</v>
      </c>
      <c r="I3967" s="411">
        <v>0</v>
      </c>
      <c r="J3967" s="391">
        <f>-((H3967*0.022)+0.3)</f>
        <v>-142.20000000000002</v>
      </c>
      <c r="K3967" s="90">
        <f t="shared" si="765"/>
        <v>6307.8</v>
      </c>
      <c r="L3967" s="187">
        <v>10230</v>
      </c>
      <c r="M3967" s="131">
        <v>0</v>
      </c>
      <c r="N3967" s="91">
        <f t="shared" si="781"/>
        <v>5115</v>
      </c>
      <c r="O3967" s="411">
        <f t="shared" si="766"/>
        <v>1192.8000000000002</v>
      </c>
      <c r="P3967" s="132" t="s">
        <v>66</v>
      </c>
      <c r="Q3967" s="232"/>
      <c r="R3967" s="411"/>
      <c r="T3967" s="134" t="s">
        <v>8900</v>
      </c>
      <c r="U3967" s="266">
        <v>1.2006822999999999E-3</v>
      </c>
      <c r="W3967" s="153" t="s">
        <v>8901</v>
      </c>
      <c r="AA3967" s="218">
        <v>75</v>
      </c>
    </row>
    <row r="3968" spans="1:27" ht="24" x14ac:dyDescent="0.25">
      <c r="A3968" s="405">
        <v>3003076</v>
      </c>
      <c r="B3968" s="406">
        <v>42559</v>
      </c>
      <c r="C3968" s="405" t="s">
        <v>5682</v>
      </c>
      <c r="D3968" s="401" t="s">
        <v>8902</v>
      </c>
      <c r="E3968" s="120">
        <v>100</v>
      </c>
      <c r="F3968" s="133" t="s">
        <v>161</v>
      </c>
      <c r="G3968" s="404" t="s">
        <v>7486</v>
      </c>
      <c r="H3968" s="411">
        <v>230</v>
      </c>
      <c r="I3968" s="89">
        <f t="shared" ref="I3968" si="782">-(H3968*0.09)</f>
        <v>-20.7</v>
      </c>
      <c r="J3968" s="391">
        <f t="shared" ref="J3968:J3969" si="783">-((H3968*0.019)+0.3)</f>
        <v>-4.67</v>
      </c>
      <c r="K3968" s="90">
        <f t="shared" si="765"/>
        <v>204.63000000000002</v>
      </c>
      <c r="L3968" s="131">
        <v>1322</v>
      </c>
      <c r="M3968" s="187">
        <v>25.31</v>
      </c>
      <c r="N3968" s="91">
        <f t="shared" si="781"/>
        <v>157.51000000000002</v>
      </c>
      <c r="O3968" s="411">
        <f t="shared" si="766"/>
        <v>47.120000000000005</v>
      </c>
      <c r="P3968" s="132" t="s">
        <v>52</v>
      </c>
      <c r="Q3968" s="232"/>
      <c r="R3968" s="411"/>
      <c r="T3968" s="134" t="s">
        <v>145</v>
      </c>
      <c r="U3968" s="267" t="s">
        <v>8903</v>
      </c>
      <c r="AA3968" s="218"/>
    </row>
    <row r="3969" spans="1:27" ht="24" x14ac:dyDescent="0.25">
      <c r="A3969" s="419">
        <v>3003077</v>
      </c>
      <c r="B3969" s="421">
        <v>42559</v>
      </c>
      <c r="C3969" s="419" t="s">
        <v>78</v>
      </c>
      <c r="D3969" s="429" t="s">
        <v>4006</v>
      </c>
      <c r="E3969" s="120">
        <v>6800</v>
      </c>
      <c r="F3969" s="119" t="s">
        <v>8904</v>
      </c>
      <c r="G3969" s="434" t="s">
        <v>7486</v>
      </c>
      <c r="H3969" s="510">
        <v>3624</v>
      </c>
      <c r="I3969" s="516">
        <v>0</v>
      </c>
      <c r="J3969" s="498">
        <f t="shared" si="783"/>
        <v>-69.155999999999992</v>
      </c>
      <c r="K3969" s="425">
        <f t="shared" si="765"/>
        <v>3554.8440000000001</v>
      </c>
      <c r="L3969" s="187">
        <v>320</v>
      </c>
      <c r="M3969" s="187">
        <v>195.45</v>
      </c>
      <c r="N3969" s="91">
        <f t="shared" si="781"/>
        <v>2371.4499999999998</v>
      </c>
      <c r="O3969" s="411">
        <f t="shared" si="766"/>
        <v>1183.3940000000002</v>
      </c>
      <c r="P3969" s="132" t="s">
        <v>2895</v>
      </c>
      <c r="Q3969" s="232"/>
      <c r="R3969" s="411"/>
      <c r="T3969" s="134" t="s">
        <v>1209</v>
      </c>
      <c r="U3969" s="267" t="s">
        <v>8905</v>
      </c>
      <c r="V3969" s="133" t="s">
        <v>55</v>
      </c>
      <c r="W3969" s="153" t="s">
        <v>4009</v>
      </c>
      <c r="AA3969" s="473">
        <v>25</v>
      </c>
    </row>
    <row r="3970" spans="1:27" x14ac:dyDescent="0.25">
      <c r="A3970" s="420"/>
      <c r="B3970" s="422"/>
      <c r="C3970" s="420"/>
      <c r="D3970" s="431"/>
      <c r="E3970" s="120">
        <v>750</v>
      </c>
      <c r="F3970" s="133" t="s">
        <v>8906</v>
      </c>
      <c r="G3970" s="436"/>
      <c r="H3970" s="512"/>
      <c r="I3970" s="518"/>
      <c r="J3970" s="499"/>
      <c r="K3970" s="426"/>
      <c r="M3970" s="187">
        <v>135</v>
      </c>
      <c r="N3970" s="91">
        <f t="shared" si="781"/>
        <v>135</v>
      </c>
      <c r="O3970" s="411">
        <f t="shared" si="766"/>
        <v>-135</v>
      </c>
      <c r="P3970" s="132" t="s">
        <v>52</v>
      </c>
      <c r="Q3970" s="232"/>
      <c r="R3970" s="411"/>
      <c r="T3970" s="134" t="s">
        <v>270</v>
      </c>
      <c r="U3970" s="267" t="s">
        <v>8905</v>
      </c>
      <c r="AA3970" s="474"/>
    </row>
    <row r="3971" spans="1:27" ht="24" x14ac:dyDescent="0.25">
      <c r="A3971" s="419">
        <v>3003078</v>
      </c>
      <c r="B3971" s="421">
        <v>42559</v>
      </c>
      <c r="C3971" s="419" t="s">
        <v>555</v>
      </c>
      <c r="D3971" s="417" t="s">
        <v>6811</v>
      </c>
      <c r="E3971" s="120">
        <v>150</v>
      </c>
      <c r="F3971" s="119" t="s">
        <v>8907</v>
      </c>
      <c r="G3971" s="434" t="s">
        <v>7486</v>
      </c>
      <c r="H3971" s="427">
        <v>225693.8</v>
      </c>
      <c r="I3971" s="427">
        <v>0</v>
      </c>
      <c r="J3971" s="427">
        <v>0</v>
      </c>
      <c r="K3971" s="425">
        <f t="shared" si="765"/>
        <v>225693.8</v>
      </c>
      <c r="L3971" s="187">
        <v>4490</v>
      </c>
      <c r="M3971" s="131">
        <v>60</v>
      </c>
      <c r="N3971" s="91">
        <f t="shared" si="781"/>
        <v>733.5</v>
      </c>
      <c r="O3971" s="411">
        <f t="shared" si="766"/>
        <v>224960.3</v>
      </c>
      <c r="P3971" s="132" t="s">
        <v>8908</v>
      </c>
      <c r="Q3971" s="232"/>
      <c r="R3971" s="411"/>
      <c r="S3971" s="133" t="s">
        <v>8909</v>
      </c>
      <c r="T3971" s="535" t="s">
        <v>639</v>
      </c>
      <c r="U3971" s="259" t="s">
        <v>8910</v>
      </c>
      <c r="V3971" s="133" t="s">
        <v>8911</v>
      </c>
      <c r="W3971" s="541"/>
      <c r="AA3971" s="218"/>
    </row>
    <row r="3972" spans="1:27" x14ac:dyDescent="0.25">
      <c r="A3972" s="432"/>
      <c r="B3972" s="433"/>
      <c r="C3972" s="432"/>
      <c r="D3972" s="454"/>
      <c r="E3972" s="120">
        <v>1100</v>
      </c>
      <c r="F3972" s="119" t="s">
        <v>8912</v>
      </c>
      <c r="G3972" s="435"/>
      <c r="H3972" s="438"/>
      <c r="I3972" s="438"/>
      <c r="J3972" s="438"/>
      <c r="K3972" s="437"/>
      <c r="L3972" s="187">
        <v>1209</v>
      </c>
      <c r="M3972" s="131">
        <v>0</v>
      </c>
      <c r="N3972" s="91">
        <f t="shared" si="781"/>
        <v>1329.9</v>
      </c>
      <c r="O3972" s="411">
        <f t="shared" ref="O3972:O4035" si="784">K3972-N3972</f>
        <v>-1329.9</v>
      </c>
      <c r="P3972" s="132" t="s">
        <v>8908</v>
      </c>
      <c r="Q3972" s="232"/>
      <c r="R3972" s="411"/>
      <c r="S3972" s="133" t="s">
        <v>8909</v>
      </c>
      <c r="T3972" s="599"/>
      <c r="U3972" s="259" t="s">
        <v>8913</v>
      </c>
      <c r="V3972" s="133" t="s">
        <v>8914</v>
      </c>
      <c r="W3972" s="542"/>
      <c r="AA3972" s="218"/>
    </row>
    <row r="3973" spans="1:27" ht="24" x14ac:dyDescent="0.25">
      <c r="A3973" s="432"/>
      <c r="B3973" s="433"/>
      <c r="C3973" s="432"/>
      <c r="D3973" s="454"/>
      <c r="E3973" s="120">
        <v>9600</v>
      </c>
      <c r="F3973" s="119" t="s">
        <v>8915</v>
      </c>
      <c r="G3973" s="435"/>
      <c r="H3973" s="438"/>
      <c r="I3973" s="438"/>
      <c r="J3973" s="438"/>
      <c r="K3973" s="437"/>
      <c r="L3973" s="187">
        <v>1900</v>
      </c>
      <c r="M3973" s="131">
        <v>0</v>
      </c>
      <c r="N3973" s="91">
        <f t="shared" si="781"/>
        <v>18240</v>
      </c>
      <c r="O3973" s="411">
        <f t="shared" si="784"/>
        <v>-18240</v>
      </c>
      <c r="P3973" s="132" t="s">
        <v>8908</v>
      </c>
      <c r="Q3973" s="232"/>
      <c r="R3973" s="411"/>
      <c r="S3973" s="133" t="s">
        <v>8909</v>
      </c>
      <c r="T3973" s="536"/>
      <c r="U3973" s="259" t="s">
        <v>8916</v>
      </c>
      <c r="W3973" s="543"/>
      <c r="AA3973" s="218"/>
    </row>
    <row r="3974" spans="1:27" ht="24" x14ac:dyDescent="0.25">
      <c r="A3974" s="432"/>
      <c r="B3974" s="433"/>
      <c r="C3974" s="432"/>
      <c r="D3974" s="454"/>
      <c r="E3974" s="120">
        <v>180</v>
      </c>
      <c r="F3974" s="119" t="s">
        <v>8917</v>
      </c>
      <c r="G3974" s="435"/>
      <c r="H3974" s="438"/>
      <c r="I3974" s="438"/>
      <c r="J3974" s="438"/>
      <c r="K3974" s="437"/>
      <c r="L3974" s="187">
        <v>2870</v>
      </c>
      <c r="M3974" s="131">
        <v>0</v>
      </c>
      <c r="N3974" s="91">
        <f t="shared" si="781"/>
        <v>516.6</v>
      </c>
      <c r="O3974" s="411">
        <f t="shared" si="784"/>
        <v>-516.6</v>
      </c>
      <c r="P3974" s="132" t="s">
        <v>59</v>
      </c>
      <c r="Q3974" s="232"/>
      <c r="R3974" s="411"/>
      <c r="S3974" s="133" t="s">
        <v>8918</v>
      </c>
      <c r="T3974" s="134" t="s">
        <v>8919</v>
      </c>
      <c r="U3974" s="266">
        <v>10418355086</v>
      </c>
      <c r="V3974" s="133" t="s">
        <v>8920</v>
      </c>
      <c r="AA3974" s="218"/>
    </row>
    <row r="3975" spans="1:27" ht="24" x14ac:dyDescent="0.25">
      <c r="A3975" s="432"/>
      <c r="B3975" s="433"/>
      <c r="C3975" s="432"/>
      <c r="D3975" s="454"/>
      <c r="E3975" s="120">
        <v>250</v>
      </c>
      <c r="F3975" s="119" t="s">
        <v>8921</v>
      </c>
      <c r="G3975" s="435"/>
      <c r="H3975" s="438"/>
      <c r="I3975" s="438"/>
      <c r="J3975" s="438"/>
      <c r="K3975" s="437"/>
      <c r="L3975" s="187">
        <v>3690</v>
      </c>
      <c r="M3975" s="131">
        <v>0</v>
      </c>
      <c r="N3975" s="91">
        <f t="shared" si="781"/>
        <v>922.5</v>
      </c>
      <c r="O3975" s="411">
        <f t="shared" si="784"/>
        <v>-922.5</v>
      </c>
      <c r="P3975" s="132" t="s">
        <v>59</v>
      </c>
      <c r="Q3975" s="232"/>
      <c r="R3975" s="411"/>
      <c r="S3975" s="133" t="s">
        <v>8918</v>
      </c>
      <c r="T3975" s="134" t="s">
        <v>8919</v>
      </c>
      <c r="U3975" s="266">
        <v>10418355086</v>
      </c>
      <c r="V3975" s="133" t="s">
        <v>8920</v>
      </c>
      <c r="AA3975" s="218"/>
    </row>
    <row r="3976" spans="1:27" ht="24" x14ac:dyDescent="0.25">
      <c r="A3976" s="432"/>
      <c r="B3976" s="433"/>
      <c r="C3976" s="432"/>
      <c r="D3976" s="454"/>
      <c r="E3976" s="120">
        <v>8500</v>
      </c>
      <c r="F3976" s="119" t="s">
        <v>8922</v>
      </c>
      <c r="G3976" s="435"/>
      <c r="H3976" s="438"/>
      <c r="I3976" s="438"/>
      <c r="J3976" s="438"/>
      <c r="K3976" s="437"/>
      <c r="L3976" s="187">
        <v>982</v>
      </c>
      <c r="M3976" s="131">
        <v>0</v>
      </c>
      <c r="N3976" s="91">
        <f t="shared" si="781"/>
        <v>8347</v>
      </c>
      <c r="O3976" s="411">
        <f t="shared" si="784"/>
        <v>-8347</v>
      </c>
      <c r="P3976" s="132" t="s">
        <v>59</v>
      </c>
      <c r="Q3976" s="232"/>
      <c r="R3976" s="411"/>
      <c r="S3976" s="133" t="s">
        <v>8918</v>
      </c>
      <c r="T3976" s="134" t="s">
        <v>8919</v>
      </c>
      <c r="U3976" s="266">
        <v>10418355086</v>
      </c>
      <c r="V3976" s="133" t="s">
        <v>8920</v>
      </c>
      <c r="AA3976" s="218"/>
    </row>
    <row r="3977" spans="1:27" ht="24" x14ac:dyDescent="0.25">
      <c r="A3977" s="432"/>
      <c r="B3977" s="433"/>
      <c r="C3977" s="432"/>
      <c r="D3977" s="454"/>
      <c r="E3977" s="120">
        <v>23000</v>
      </c>
      <c r="F3977" s="119" t="s">
        <v>8923</v>
      </c>
      <c r="G3977" s="435"/>
      <c r="H3977" s="438"/>
      <c r="I3977" s="438"/>
      <c r="J3977" s="438"/>
      <c r="K3977" s="437"/>
      <c r="L3977" s="187">
        <v>1275</v>
      </c>
      <c r="M3977" s="187">
        <v>2000</v>
      </c>
      <c r="N3977" s="91">
        <f t="shared" si="781"/>
        <v>31325</v>
      </c>
      <c r="O3977" s="411">
        <f t="shared" si="784"/>
        <v>-31325</v>
      </c>
      <c r="P3977" s="132" t="s">
        <v>59</v>
      </c>
      <c r="Q3977" s="232"/>
      <c r="R3977" s="411"/>
      <c r="S3977" s="133" t="s">
        <v>8924</v>
      </c>
      <c r="T3977" s="134" t="s">
        <v>8919</v>
      </c>
      <c r="U3977" s="261">
        <v>80991854490</v>
      </c>
      <c r="V3977" s="133" t="s">
        <v>8920</v>
      </c>
      <c r="AA3977" s="218"/>
    </row>
    <row r="3978" spans="1:27" ht="24" x14ac:dyDescent="0.25">
      <c r="A3978" s="432"/>
      <c r="B3978" s="433"/>
      <c r="C3978" s="432"/>
      <c r="D3978" s="454"/>
      <c r="E3978" s="120">
        <v>20000</v>
      </c>
      <c r="F3978" s="119" t="s">
        <v>8925</v>
      </c>
      <c r="G3978" s="435"/>
      <c r="H3978" s="438"/>
      <c r="I3978" s="438"/>
      <c r="J3978" s="438"/>
      <c r="K3978" s="437"/>
      <c r="L3978" s="187">
        <v>750</v>
      </c>
      <c r="M3978" s="131">
        <v>0</v>
      </c>
      <c r="N3978" s="91">
        <f t="shared" si="781"/>
        <v>15000</v>
      </c>
      <c r="O3978" s="411">
        <f t="shared" si="784"/>
        <v>-15000</v>
      </c>
      <c r="P3978" s="132" t="s">
        <v>59</v>
      </c>
      <c r="Q3978" s="232"/>
      <c r="R3978" s="411"/>
      <c r="S3978" s="133" t="s">
        <v>8926</v>
      </c>
      <c r="T3978" s="134" t="s">
        <v>8919</v>
      </c>
      <c r="U3978" s="266" t="s">
        <v>8927</v>
      </c>
      <c r="V3978" s="133" t="s">
        <v>8920</v>
      </c>
      <c r="AA3978" s="218"/>
    </row>
    <row r="3979" spans="1:27" ht="24" x14ac:dyDescent="0.25">
      <c r="A3979" s="432"/>
      <c r="B3979" s="433"/>
      <c r="C3979" s="432"/>
      <c r="D3979" s="454"/>
      <c r="E3979" s="120">
        <v>4500</v>
      </c>
      <c r="F3979" s="119" t="s">
        <v>8928</v>
      </c>
      <c r="G3979" s="435"/>
      <c r="H3979" s="438"/>
      <c r="I3979" s="438"/>
      <c r="J3979" s="438"/>
      <c r="K3979" s="437"/>
      <c r="L3979" s="187">
        <v>1400</v>
      </c>
      <c r="M3979" s="131">
        <v>0</v>
      </c>
      <c r="N3979" s="91">
        <f t="shared" si="781"/>
        <v>6300</v>
      </c>
      <c r="O3979" s="411">
        <f t="shared" si="784"/>
        <v>-6300</v>
      </c>
      <c r="P3979" s="132" t="s">
        <v>59</v>
      </c>
      <c r="Q3979" s="232"/>
      <c r="R3979" s="411"/>
      <c r="S3979" s="133" t="s">
        <v>8918</v>
      </c>
      <c r="T3979" s="134" t="s">
        <v>8919</v>
      </c>
      <c r="U3979" s="266">
        <v>10418355086</v>
      </c>
      <c r="V3979" s="133" t="s">
        <v>8920</v>
      </c>
      <c r="AA3979" s="218"/>
    </row>
    <row r="3980" spans="1:27" ht="24" x14ac:dyDescent="0.25">
      <c r="A3980" s="432"/>
      <c r="B3980" s="433"/>
      <c r="C3980" s="432"/>
      <c r="D3980" s="454"/>
      <c r="E3980" s="120">
        <v>5000</v>
      </c>
      <c r="F3980" s="119" t="s">
        <v>8929</v>
      </c>
      <c r="G3980" s="435"/>
      <c r="H3980" s="438"/>
      <c r="I3980" s="438"/>
      <c r="J3980" s="438"/>
      <c r="K3980" s="437"/>
      <c r="L3980" s="187">
        <v>1667</v>
      </c>
      <c r="M3980" s="131">
        <v>0</v>
      </c>
      <c r="N3980" s="91">
        <f t="shared" si="781"/>
        <v>8335</v>
      </c>
      <c r="O3980" s="411">
        <f t="shared" si="784"/>
        <v>-8335</v>
      </c>
      <c r="P3980" s="132" t="s">
        <v>59</v>
      </c>
      <c r="Q3980" s="232"/>
      <c r="R3980" s="411"/>
      <c r="S3980" s="133" t="s">
        <v>8909</v>
      </c>
      <c r="T3980" s="134" t="s">
        <v>8919</v>
      </c>
      <c r="U3980" s="266">
        <v>14203326674</v>
      </c>
      <c r="V3980" s="133" t="s">
        <v>8920</v>
      </c>
      <c r="AA3980" s="218"/>
    </row>
    <row r="3981" spans="1:27" ht="24" x14ac:dyDescent="0.25">
      <c r="A3981" s="432"/>
      <c r="B3981" s="433"/>
      <c r="C3981" s="432"/>
      <c r="D3981" s="454"/>
      <c r="E3981" s="120">
        <f>2100+2500+3034</f>
        <v>7634</v>
      </c>
      <c r="F3981" s="119" t="s">
        <v>8930</v>
      </c>
      <c r="G3981" s="435"/>
      <c r="H3981" s="438"/>
      <c r="I3981" s="438"/>
      <c r="J3981" s="438"/>
      <c r="K3981" s="437"/>
      <c r="L3981" s="187">
        <v>3468</v>
      </c>
      <c r="M3981" s="131">
        <v>0</v>
      </c>
      <c r="N3981" s="91">
        <f t="shared" si="781"/>
        <v>26474.712</v>
      </c>
      <c r="O3981" s="411">
        <f t="shared" si="784"/>
        <v>-26474.712</v>
      </c>
      <c r="P3981" s="132" t="s">
        <v>183</v>
      </c>
      <c r="Q3981" s="232"/>
      <c r="R3981" s="411"/>
      <c r="S3981" s="133" t="s">
        <v>8931</v>
      </c>
      <c r="T3981" s="134" t="s">
        <v>8932</v>
      </c>
      <c r="U3981" s="267" t="s">
        <v>8933</v>
      </c>
      <c r="V3981" s="133" t="s">
        <v>8934</v>
      </c>
      <c r="AA3981" s="218"/>
    </row>
    <row r="3982" spans="1:27" ht="48" x14ac:dyDescent="0.25">
      <c r="A3982" s="432"/>
      <c r="B3982" s="433"/>
      <c r="C3982" s="432"/>
      <c r="D3982" s="454"/>
      <c r="E3982" s="120">
        <v>5420</v>
      </c>
      <c r="F3982" s="119" t="s">
        <v>8935</v>
      </c>
      <c r="G3982" s="435"/>
      <c r="H3982" s="438"/>
      <c r="I3982" s="438"/>
      <c r="J3982" s="438"/>
      <c r="K3982" s="437"/>
      <c r="L3982" s="187">
        <v>1533</v>
      </c>
      <c r="M3982" s="187">
        <v>612.55999999999995</v>
      </c>
      <c r="N3982" s="91">
        <f t="shared" si="781"/>
        <v>8921.42</v>
      </c>
      <c r="O3982" s="411">
        <f t="shared" si="784"/>
        <v>-8921.42</v>
      </c>
      <c r="P3982" s="132" t="s">
        <v>2816</v>
      </c>
      <c r="Q3982" s="232"/>
      <c r="R3982" s="411"/>
      <c r="T3982" s="407" t="s">
        <v>53</v>
      </c>
      <c r="U3982" s="266">
        <v>821033765</v>
      </c>
      <c r="V3982" s="248" t="s">
        <v>8936</v>
      </c>
      <c r="AA3982" s="218"/>
    </row>
    <row r="3983" spans="1:27" ht="24" x14ac:dyDescent="0.25">
      <c r="A3983" s="432"/>
      <c r="B3983" s="433"/>
      <c r="C3983" s="432"/>
      <c r="D3983" s="454"/>
      <c r="E3983" s="120">
        <v>3600</v>
      </c>
      <c r="F3983" s="119" t="s">
        <v>8937</v>
      </c>
      <c r="G3983" s="435"/>
      <c r="H3983" s="438"/>
      <c r="I3983" s="438"/>
      <c r="J3983" s="438"/>
      <c r="K3983" s="437"/>
      <c r="L3983" s="187">
        <v>2194</v>
      </c>
      <c r="M3983" s="187">
        <v>488.53</v>
      </c>
      <c r="N3983" s="91">
        <f t="shared" si="781"/>
        <v>8386.93</v>
      </c>
      <c r="O3983" s="411">
        <f t="shared" si="784"/>
        <v>-8386.93</v>
      </c>
      <c r="P3983" s="132" t="s">
        <v>2816</v>
      </c>
      <c r="Q3983" s="232"/>
      <c r="R3983" s="411"/>
      <c r="S3983" s="119" t="s">
        <v>8938</v>
      </c>
      <c r="T3983" s="407" t="s">
        <v>2652</v>
      </c>
      <c r="U3983" s="266" t="s">
        <v>8939</v>
      </c>
      <c r="V3983" s="133" t="s">
        <v>8940</v>
      </c>
      <c r="AA3983" s="218"/>
    </row>
    <row r="3984" spans="1:27" ht="24" x14ac:dyDescent="0.25">
      <c r="A3984" s="432"/>
      <c r="B3984" s="433"/>
      <c r="C3984" s="432"/>
      <c r="D3984" s="454"/>
      <c r="E3984" s="120">
        <v>9330</v>
      </c>
      <c r="F3984" s="119" t="s">
        <v>8941</v>
      </c>
      <c r="G3984" s="435"/>
      <c r="H3984" s="438"/>
      <c r="I3984" s="438"/>
      <c r="J3984" s="438"/>
      <c r="K3984" s="437"/>
      <c r="L3984" s="187">
        <v>1039</v>
      </c>
      <c r="N3984" s="91">
        <f t="shared" si="781"/>
        <v>9693.8700000000008</v>
      </c>
      <c r="O3984" s="411">
        <f t="shared" si="784"/>
        <v>-9693.8700000000008</v>
      </c>
      <c r="P3984" s="132" t="s">
        <v>2816</v>
      </c>
      <c r="Q3984" s="232"/>
      <c r="R3984" s="411"/>
      <c r="T3984" s="408" t="s">
        <v>53</v>
      </c>
      <c r="U3984" s="266">
        <v>821033765</v>
      </c>
      <c r="V3984" s="133" t="s">
        <v>8940</v>
      </c>
      <c r="AA3984" s="218"/>
    </row>
    <row r="3985" spans="1:27" ht="24" x14ac:dyDescent="0.25">
      <c r="A3985" s="432"/>
      <c r="B3985" s="433"/>
      <c r="C3985" s="432"/>
      <c r="D3985" s="454"/>
      <c r="E3985" s="120">
        <v>12000</v>
      </c>
      <c r="F3985" s="119" t="s">
        <v>8942</v>
      </c>
      <c r="G3985" s="435"/>
      <c r="H3985" s="438"/>
      <c r="I3985" s="438"/>
      <c r="J3985" s="438"/>
      <c r="K3985" s="437"/>
      <c r="L3985" s="187">
        <v>1576</v>
      </c>
      <c r="M3985" s="187">
        <v>611.45000000000005</v>
      </c>
      <c r="N3985" s="91">
        <f t="shared" si="781"/>
        <v>19523.45</v>
      </c>
      <c r="O3985" s="411">
        <f t="shared" si="784"/>
        <v>-19523.45</v>
      </c>
      <c r="P3985" s="132" t="s">
        <v>2816</v>
      </c>
      <c r="Q3985" s="232"/>
      <c r="R3985" s="411"/>
      <c r="T3985" s="408" t="s">
        <v>53</v>
      </c>
      <c r="U3985" s="266" t="s">
        <v>8943</v>
      </c>
      <c r="V3985" s="133" t="s">
        <v>8940</v>
      </c>
      <c r="AA3985" s="218"/>
    </row>
    <row r="3986" spans="1:27" x14ac:dyDescent="0.25">
      <c r="A3986" s="432"/>
      <c r="B3986" s="433"/>
      <c r="C3986" s="432"/>
      <c r="D3986" s="454"/>
      <c r="E3986" s="120">
        <v>650</v>
      </c>
      <c r="F3986" s="119" t="s">
        <v>8944</v>
      </c>
      <c r="G3986" s="435"/>
      <c r="H3986" s="438"/>
      <c r="I3986" s="438"/>
      <c r="J3986" s="438"/>
      <c r="K3986" s="437"/>
      <c r="L3986" s="187">
        <v>706</v>
      </c>
      <c r="M3986" s="131">
        <v>0</v>
      </c>
      <c r="N3986" s="91">
        <f t="shared" si="781"/>
        <v>458.90000000000003</v>
      </c>
      <c r="O3986" s="411">
        <f t="shared" si="784"/>
        <v>-458.90000000000003</v>
      </c>
      <c r="P3986" s="132" t="s">
        <v>59</v>
      </c>
      <c r="Q3986" s="232"/>
      <c r="R3986" s="411"/>
      <c r="S3986" s="133" t="s">
        <v>8918</v>
      </c>
      <c r="T3986" s="134" t="s">
        <v>8919</v>
      </c>
      <c r="U3986" s="266">
        <v>10418355086</v>
      </c>
      <c r="V3986" s="133" t="s">
        <v>8920</v>
      </c>
      <c r="AA3986" s="218"/>
    </row>
    <row r="3987" spans="1:27" ht="24" x14ac:dyDescent="0.25">
      <c r="A3987" s="420"/>
      <c r="B3987" s="422"/>
      <c r="C3987" s="420"/>
      <c r="D3987" s="418"/>
      <c r="E3987" s="120">
        <v>1300</v>
      </c>
      <c r="F3987" s="119" t="s">
        <v>8945</v>
      </c>
      <c r="G3987" s="436"/>
      <c r="H3987" s="428"/>
      <c r="I3987" s="428"/>
      <c r="J3987" s="428"/>
      <c r="K3987" s="426"/>
      <c r="L3987" s="187">
        <v>1100</v>
      </c>
      <c r="M3987" s="131">
        <v>0</v>
      </c>
      <c r="N3987" s="91">
        <f t="shared" si="781"/>
        <v>1430</v>
      </c>
      <c r="O3987" s="411">
        <f t="shared" si="784"/>
        <v>-1430</v>
      </c>
      <c r="P3987" s="132" t="s">
        <v>59</v>
      </c>
      <c r="Q3987" s="232"/>
      <c r="R3987" s="411"/>
      <c r="S3987" s="133" t="s">
        <v>8918</v>
      </c>
      <c r="T3987" s="134" t="s">
        <v>8919</v>
      </c>
      <c r="U3987" s="266">
        <v>10418355086</v>
      </c>
      <c r="V3987" s="133" t="s">
        <v>8920</v>
      </c>
      <c r="AA3987" s="218"/>
    </row>
    <row r="3988" spans="1:27" x14ac:dyDescent="0.25">
      <c r="A3988" s="419">
        <v>3003079</v>
      </c>
      <c r="B3988" s="421">
        <v>42562</v>
      </c>
      <c r="C3988" s="419" t="s">
        <v>327</v>
      </c>
      <c r="D3988" s="417" t="s">
        <v>8946</v>
      </c>
      <c r="E3988" s="120">
        <v>50</v>
      </c>
      <c r="F3988" s="133" t="s">
        <v>3643</v>
      </c>
      <c r="G3988" s="434" t="s">
        <v>7486</v>
      </c>
      <c r="H3988" s="427">
        <v>1730</v>
      </c>
      <c r="I3988" s="427">
        <v>0</v>
      </c>
      <c r="J3988" s="425">
        <f>-((H3988*0.022)+0.3)</f>
        <v>-38.359999999999992</v>
      </c>
      <c r="K3988" s="425">
        <f t="shared" ref="K3988:K3990" si="785">SUM(H3988:J3988)</f>
        <v>1691.64</v>
      </c>
      <c r="L3988" s="187">
        <v>4500</v>
      </c>
      <c r="M3988" s="187">
        <v>128.47999999999999</v>
      </c>
      <c r="N3988" s="91">
        <f t="shared" si="781"/>
        <v>353.48</v>
      </c>
      <c r="O3988" s="411">
        <f t="shared" si="784"/>
        <v>1338.16</v>
      </c>
      <c r="P3988" s="132" t="s">
        <v>183</v>
      </c>
      <c r="Q3988" s="232"/>
      <c r="R3988" s="411"/>
      <c r="T3988" s="134" t="s">
        <v>717</v>
      </c>
      <c r="U3988" s="267" t="s">
        <v>8947</v>
      </c>
      <c r="W3988" s="153" t="s">
        <v>8948</v>
      </c>
      <c r="AA3988" s="473">
        <v>10</v>
      </c>
    </row>
    <row r="3989" spans="1:27" x14ac:dyDescent="0.25">
      <c r="A3989" s="420"/>
      <c r="B3989" s="422"/>
      <c r="C3989" s="420"/>
      <c r="D3989" s="418"/>
      <c r="E3989" s="120">
        <v>500</v>
      </c>
      <c r="F3989" s="133" t="s">
        <v>528</v>
      </c>
      <c r="G3989" s="436"/>
      <c r="H3989" s="428"/>
      <c r="I3989" s="428"/>
      <c r="J3989" s="426"/>
      <c r="K3989" s="426"/>
      <c r="L3989" s="131">
        <v>1021</v>
      </c>
      <c r="M3989" s="187">
        <v>142.75</v>
      </c>
      <c r="N3989" s="91">
        <f t="shared" si="781"/>
        <v>653.25</v>
      </c>
      <c r="O3989" s="411">
        <f t="shared" si="784"/>
        <v>-653.25</v>
      </c>
      <c r="P3989" s="132" t="s">
        <v>52</v>
      </c>
      <c r="Q3989" s="232"/>
      <c r="R3989" s="411"/>
      <c r="T3989" s="134" t="s">
        <v>760</v>
      </c>
      <c r="U3989" s="267" t="s">
        <v>8949</v>
      </c>
      <c r="V3989" s="133" t="s">
        <v>8950</v>
      </c>
      <c r="AA3989" s="474"/>
    </row>
    <row r="3990" spans="1:27" x14ac:dyDescent="0.25">
      <c r="A3990" s="419">
        <v>3003080</v>
      </c>
      <c r="B3990" s="421">
        <v>42562</v>
      </c>
      <c r="C3990" s="419" t="s">
        <v>141</v>
      </c>
      <c r="D3990" s="429" t="s">
        <v>4160</v>
      </c>
      <c r="E3990" s="120">
        <v>60</v>
      </c>
      <c r="F3990" s="133" t="s">
        <v>8951</v>
      </c>
      <c r="G3990" s="434" t="s">
        <v>7486</v>
      </c>
      <c r="H3990" s="427">
        <v>750</v>
      </c>
      <c r="I3990" s="427">
        <v>0</v>
      </c>
      <c r="J3990" s="425">
        <f>-((H3990*0.0325)+0.3)</f>
        <v>-24.675000000000001</v>
      </c>
      <c r="K3990" s="425">
        <f t="shared" si="785"/>
        <v>725.32500000000005</v>
      </c>
      <c r="L3990" s="187">
        <v>4800</v>
      </c>
      <c r="M3990" s="187">
        <v>55.04</v>
      </c>
      <c r="N3990" s="91">
        <f t="shared" si="781"/>
        <v>343.04</v>
      </c>
      <c r="O3990" s="411">
        <f t="shared" si="784"/>
        <v>382.28500000000003</v>
      </c>
      <c r="P3990" s="132" t="s">
        <v>183</v>
      </c>
      <c r="Q3990" s="232"/>
      <c r="R3990" s="411"/>
      <c r="T3990" s="439" t="s">
        <v>145</v>
      </c>
      <c r="U3990" s="267" t="s">
        <v>8952</v>
      </c>
      <c r="W3990" s="153" t="s">
        <v>4163</v>
      </c>
      <c r="AA3990" s="218"/>
    </row>
    <row r="3991" spans="1:27" x14ac:dyDescent="0.25">
      <c r="A3991" s="420"/>
      <c r="B3991" s="422"/>
      <c r="C3991" s="420"/>
      <c r="D3991" s="431"/>
      <c r="E3991" s="120">
        <v>30</v>
      </c>
      <c r="F3991" s="133" t="s">
        <v>8953</v>
      </c>
      <c r="G3991" s="436"/>
      <c r="H3991" s="428"/>
      <c r="I3991" s="428"/>
      <c r="J3991" s="426"/>
      <c r="K3991" s="426"/>
      <c r="L3991" s="187">
        <v>3840</v>
      </c>
      <c r="M3991" s="187"/>
      <c r="N3991" s="91">
        <f t="shared" si="781"/>
        <v>115.19999999999999</v>
      </c>
      <c r="O3991" s="411">
        <f t="shared" si="784"/>
        <v>-115.19999999999999</v>
      </c>
      <c r="P3991" s="132" t="s">
        <v>183</v>
      </c>
      <c r="Q3991" s="232"/>
      <c r="R3991" s="411"/>
      <c r="T3991" s="441"/>
      <c r="U3991" s="267" t="s">
        <v>8954</v>
      </c>
      <c r="AA3991" s="218"/>
    </row>
    <row r="3992" spans="1:27" ht="24" x14ac:dyDescent="0.25">
      <c r="A3992" s="405">
        <v>3003081</v>
      </c>
      <c r="B3992" s="406">
        <v>42562</v>
      </c>
      <c r="C3992" s="405" t="s">
        <v>78</v>
      </c>
      <c r="D3992" s="401" t="s">
        <v>8182</v>
      </c>
      <c r="E3992" s="120">
        <v>250</v>
      </c>
      <c r="F3992" s="133" t="s">
        <v>288</v>
      </c>
      <c r="G3992" s="404" t="s">
        <v>7486</v>
      </c>
      <c r="H3992" s="411">
        <v>470</v>
      </c>
      <c r="I3992" s="411">
        <v>0</v>
      </c>
      <c r="J3992" s="391">
        <f t="shared" ref="J3992:J4008" si="786">-((H3992*0.019)+0.3)</f>
        <v>-9.23</v>
      </c>
      <c r="K3992" s="90">
        <f t="shared" ref="K3992:K4018" si="787">SUM(H3992:J3992)</f>
        <v>460.77</v>
      </c>
      <c r="L3992" s="131">
        <v>950</v>
      </c>
      <c r="M3992" s="187">
        <v>58.49</v>
      </c>
      <c r="N3992" s="91">
        <f t="shared" si="781"/>
        <v>295.99</v>
      </c>
      <c r="O3992" s="411">
        <f t="shared" si="784"/>
        <v>164.77999999999997</v>
      </c>
      <c r="P3992" s="132" t="s">
        <v>52</v>
      </c>
      <c r="Q3992" s="232"/>
      <c r="R3992" s="411"/>
      <c r="T3992" s="134" t="s">
        <v>145</v>
      </c>
      <c r="U3992" s="267" t="s">
        <v>8955</v>
      </c>
      <c r="W3992" s="153" t="s">
        <v>8956</v>
      </c>
      <c r="AA3992" s="218"/>
    </row>
    <row r="3993" spans="1:27" ht="24" x14ac:dyDescent="0.25">
      <c r="A3993" s="405">
        <v>3003082</v>
      </c>
      <c r="B3993" s="406">
        <v>42562</v>
      </c>
      <c r="C3993" s="405" t="s">
        <v>5682</v>
      </c>
      <c r="D3993" s="401" t="s">
        <v>8957</v>
      </c>
      <c r="E3993" s="120">
        <v>200</v>
      </c>
      <c r="F3993" s="133" t="s">
        <v>2949</v>
      </c>
      <c r="G3993" s="404" t="s">
        <v>7486</v>
      </c>
      <c r="H3993" s="411">
        <v>380</v>
      </c>
      <c r="I3993" s="89">
        <f t="shared" ref="I3993:I4008" si="788">-(H3993*0.09)</f>
        <v>-34.199999999999996</v>
      </c>
      <c r="J3993" s="391">
        <f t="shared" si="786"/>
        <v>-7.52</v>
      </c>
      <c r="K3993" s="90">
        <f t="shared" si="787"/>
        <v>338.28000000000003</v>
      </c>
      <c r="M3993" s="187">
        <v>44.16</v>
      </c>
      <c r="N3993" s="91">
        <f t="shared" si="781"/>
        <v>44.16</v>
      </c>
      <c r="O3993" s="411">
        <f t="shared" si="784"/>
        <v>294.12</v>
      </c>
      <c r="P3993" s="132" t="s">
        <v>52</v>
      </c>
      <c r="Q3993" s="232"/>
      <c r="R3993" s="411"/>
      <c r="T3993" s="134" t="s">
        <v>145</v>
      </c>
      <c r="U3993" s="267" t="s">
        <v>8958</v>
      </c>
      <c r="AA3993" s="218"/>
    </row>
    <row r="3994" spans="1:27" ht="24" x14ac:dyDescent="0.25">
      <c r="A3994" s="405">
        <v>3003083</v>
      </c>
      <c r="B3994" s="406">
        <v>42562</v>
      </c>
      <c r="C3994" s="405" t="s">
        <v>5682</v>
      </c>
      <c r="D3994" s="401" t="s">
        <v>8959</v>
      </c>
      <c r="E3994" s="120">
        <v>150</v>
      </c>
      <c r="F3994" s="133" t="s">
        <v>227</v>
      </c>
      <c r="G3994" s="404" t="s">
        <v>7486</v>
      </c>
      <c r="H3994" s="411">
        <v>135.19999999999999</v>
      </c>
      <c r="I3994" s="89">
        <f t="shared" si="788"/>
        <v>-12.167999999999999</v>
      </c>
      <c r="J3994" s="391">
        <f t="shared" si="786"/>
        <v>-2.8687999999999994</v>
      </c>
      <c r="K3994" s="90">
        <f t="shared" si="787"/>
        <v>120.16319999999999</v>
      </c>
      <c r="L3994" s="131">
        <v>350</v>
      </c>
      <c r="M3994" s="187">
        <v>36.71</v>
      </c>
      <c r="N3994" s="91">
        <f t="shared" si="781"/>
        <v>89.210000000000008</v>
      </c>
      <c r="O3994" s="411">
        <f t="shared" si="784"/>
        <v>30.953199999999981</v>
      </c>
      <c r="P3994" s="132" t="s">
        <v>52</v>
      </c>
      <c r="Q3994" s="232"/>
      <c r="R3994" s="411"/>
      <c r="T3994" s="134" t="s">
        <v>145</v>
      </c>
      <c r="U3994" s="267" t="s">
        <v>8960</v>
      </c>
      <c r="AA3994" s="218"/>
    </row>
    <row r="3995" spans="1:27" ht="24" x14ac:dyDescent="0.25">
      <c r="A3995" s="405">
        <v>3003084</v>
      </c>
      <c r="B3995" s="406">
        <v>42562</v>
      </c>
      <c r="C3995" s="405" t="s">
        <v>5682</v>
      </c>
      <c r="D3995" s="401" t="s">
        <v>8961</v>
      </c>
      <c r="E3995" s="120">
        <v>250</v>
      </c>
      <c r="F3995" s="133" t="s">
        <v>2949</v>
      </c>
      <c r="G3995" s="404" t="s">
        <v>7486</v>
      </c>
      <c r="H3995" s="411">
        <v>410.06</v>
      </c>
      <c r="I3995" s="89">
        <f t="shared" si="788"/>
        <v>-36.9054</v>
      </c>
      <c r="J3995" s="391">
        <f t="shared" si="786"/>
        <v>-8.0911399999999993</v>
      </c>
      <c r="K3995" s="90">
        <f t="shared" si="787"/>
        <v>365.06346000000002</v>
      </c>
      <c r="M3995" s="187">
        <v>60.55</v>
      </c>
      <c r="N3995" s="91">
        <f t="shared" si="781"/>
        <v>60.55</v>
      </c>
      <c r="O3995" s="411">
        <f t="shared" si="784"/>
        <v>304.51346000000001</v>
      </c>
      <c r="P3995" s="132" t="s">
        <v>52</v>
      </c>
      <c r="Q3995" s="232"/>
      <c r="R3995" s="411"/>
      <c r="T3995" s="134" t="s">
        <v>145</v>
      </c>
      <c r="U3995" s="267" t="s">
        <v>8962</v>
      </c>
      <c r="AA3995" s="218"/>
    </row>
    <row r="3996" spans="1:27" ht="24" x14ac:dyDescent="0.25">
      <c r="A3996" s="405">
        <v>3003085</v>
      </c>
      <c r="B3996" s="406">
        <v>42562</v>
      </c>
      <c r="C3996" s="405" t="s">
        <v>5682</v>
      </c>
      <c r="D3996" s="401" t="s">
        <v>8963</v>
      </c>
      <c r="E3996" s="120">
        <v>120</v>
      </c>
      <c r="F3996" s="133" t="s">
        <v>247</v>
      </c>
      <c r="G3996" s="404" t="s">
        <v>7486</v>
      </c>
      <c r="H3996" s="411">
        <v>138</v>
      </c>
      <c r="I3996" s="89">
        <f t="shared" si="788"/>
        <v>-12.42</v>
      </c>
      <c r="J3996" s="391">
        <f t="shared" si="786"/>
        <v>-2.9219999999999997</v>
      </c>
      <c r="K3996" s="90">
        <f t="shared" si="787"/>
        <v>122.658</v>
      </c>
      <c r="L3996" s="131">
        <v>480</v>
      </c>
      <c r="M3996" s="187">
        <v>22.97</v>
      </c>
      <c r="N3996" s="91">
        <f t="shared" si="781"/>
        <v>80.569999999999993</v>
      </c>
      <c r="O3996" s="411">
        <f t="shared" si="784"/>
        <v>42.088000000000008</v>
      </c>
      <c r="P3996" s="132" t="s">
        <v>52</v>
      </c>
      <c r="Q3996" s="232"/>
      <c r="R3996" s="411"/>
      <c r="T3996" s="134" t="s">
        <v>145</v>
      </c>
      <c r="U3996" s="267" t="s">
        <v>8964</v>
      </c>
      <c r="AA3996" s="218"/>
    </row>
    <row r="3997" spans="1:27" ht="24" x14ac:dyDescent="0.25">
      <c r="A3997" s="419">
        <v>3003086</v>
      </c>
      <c r="B3997" s="421">
        <v>42562</v>
      </c>
      <c r="C3997" s="419" t="s">
        <v>5682</v>
      </c>
      <c r="D3997" s="417" t="s">
        <v>8965</v>
      </c>
      <c r="E3997" s="120">
        <v>250</v>
      </c>
      <c r="F3997" s="133" t="s">
        <v>290</v>
      </c>
      <c r="G3997" s="434" t="s">
        <v>7486</v>
      </c>
      <c r="H3997" s="427">
        <v>474.89</v>
      </c>
      <c r="I3997" s="500">
        <f t="shared" si="788"/>
        <v>-42.740099999999998</v>
      </c>
      <c r="J3997" s="498">
        <f t="shared" si="786"/>
        <v>-9.3229100000000003</v>
      </c>
      <c r="K3997" s="425">
        <f t="shared" si="787"/>
        <v>422.82699000000002</v>
      </c>
      <c r="L3997" s="187">
        <v>390</v>
      </c>
      <c r="M3997" s="187">
        <v>16.66</v>
      </c>
      <c r="N3997" s="91">
        <f t="shared" si="781"/>
        <v>114.16</v>
      </c>
      <c r="O3997" s="411">
        <f t="shared" si="784"/>
        <v>308.66699000000006</v>
      </c>
      <c r="P3997" s="132" t="s">
        <v>235</v>
      </c>
      <c r="Q3997" s="232"/>
      <c r="R3997" s="411"/>
      <c r="T3997" s="134" t="s">
        <v>145</v>
      </c>
      <c r="U3997" s="267" t="s">
        <v>8966</v>
      </c>
      <c r="AA3997" s="218"/>
    </row>
    <row r="3998" spans="1:27" ht="24" x14ac:dyDescent="0.25">
      <c r="A3998" s="420"/>
      <c r="B3998" s="422"/>
      <c r="C3998" s="420"/>
      <c r="D3998" s="418"/>
      <c r="E3998" s="120">
        <v>400</v>
      </c>
      <c r="F3998" s="133" t="s">
        <v>292</v>
      </c>
      <c r="G3998" s="436"/>
      <c r="H3998" s="428"/>
      <c r="I3998" s="501"/>
      <c r="J3998" s="499"/>
      <c r="K3998" s="426"/>
      <c r="L3998" s="131">
        <v>506.78</v>
      </c>
      <c r="M3998" s="187">
        <v>53.49</v>
      </c>
      <c r="N3998" s="91">
        <f t="shared" si="781"/>
        <v>256.202</v>
      </c>
      <c r="O3998" s="411">
        <f t="shared" si="784"/>
        <v>-256.202</v>
      </c>
      <c r="P3998" s="132" t="s">
        <v>52</v>
      </c>
      <c r="Q3998" s="232"/>
      <c r="R3998" s="411"/>
      <c r="T3998" s="134" t="s">
        <v>145</v>
      </c>
      <c r="U3998" s="267" t="s">
        <v>8967</v>
      </c>
      <c r="V3998" s="133" t="s">
        <v>8968</v>
      </c>
      <c r="AA3998" s="218"/>
    </row>
    <row r="3999" spans="1:27" ht="24" x14ac:dyDescent="0.25">
      <c r="A3999" s="405">
        <v>3003087</v>
      </c>
      <c r="B3999" s="406">
        <v>42562</v>
      </c>
      <c r="C3999" s="405" t="s">
        <v>5682</v>
      </c>
      <c r="D3999" s="401" t="s">
        <v>8969</v>
      </c>
      <c r="E3999" s="120">
        <v>100</v>
      </c>
      <c r="F3999" s="133" t="s">
        <v>161</v>
      </c>
      <c r="G3999" s="404" t="s">
        <v>7486</v>
      </c>
      <c r="H3999" s="411">
        <v>230</v>
      </c>
      <c r="I3999" s="89">
        <f t="shared" si="788"/>
        <v>-20.7</v>
      </c>
      <c r="J3999" s="391">
        <f t="shared" si="786"/>
        <v>-4.67</v>
      </c>
      <c r="K3999" s="90">
        <f t="shared" si="787"/>
        <v>204.63000000000002</v>
      </c>
      <c r="L3999" s="131">
        <v>1322</v>
      </c>
      <c r="M3999" s="187">
        <v>36.08</v>
      </c>
      <c r="N3999" s="91">
        <f t="shared" si="781"/>
        <v>168.28000000000003</v>
      </c>
      <c r="O3999" s="411">
        <f t="shared" si="784"/>
        <v>36.349999999999994</v>
      </c>
      <c r="P3999" s="132" t="s">
        <v>52</v>
      </c>
      <c r="Q3999" s="232"/>
      <c r="R3999" s="411"/>
      <c r="T3999" s="134" t="s">
        <v>145</v>
      </c>
      <c r="U3999" s="267" t="s">
        <v>8970</v>
      </c>
      <c r="AA3999" s="218"/>
    </row>
    <row r="4000" spans="1:27" ht="24" x14ac:dyDescent="0.25">
      <c r="A4000" s="405">
        <v>3003088</v>
      </c>
      <c r="B4000" s="406">
        <v>42562</v>
      </c>
      <c r="C4000" s="405" t="s">
        <v>5682</v>
      </c>
      <c r="D4000" s="401" t="s">
        <v>8971</v>
      </c>
      <c r="E4000" s="120">
        <v>250</v>
      </c>
      <c r="F4000" s="133" t="s">
        <v>609</v>
      </c>
      <c r="G4000" s="404" t="s">
        <v>7486</v>
      </c>
      <c r="H4000" s="411">
        <v>158.26</v>
      </c>
      <c r="I4000" s="89">
        <f t="shared" si="788"/>
        <v>-14.243399999999999</v>
      </c>
      <c r="J4000" s="391">
        <f t="shared" si="786"/>
        <v>-3.3069399999999995</v>
      </c>
      <c r="K4000" s="90">
        <f t="shared" si="787"/>
        <v>140.70965999999999</v>
      </c>
      <c r="L4000" s="131">
        <v>280</v>
      </c>
      <c r="M4000" s="187">
        <v>27.94</v>
      </c>
      <c r="N4000" s="91">
        <f t="shared" si="781"/>
        <v>97.94</v>
      </c>
      <c r="O4000" s="411">
        <f t="shared" si="784"/>
        <v>42.769659999999988</v>
      </c>
      <c r="P4000" s="132" t="s">
        <v>52</v>
      </c>
      <c r="Q4000" s="232"/>
      <c r="R4000" s="411"/>
      <c r="T4000" s="134" t="s">
        <v>145</v>
      </c>
      <c r="U4000" s="267" t="s">
        <v>8972</v>
      </c>
      <c r="AA4000" s="218"/>
    </row>
    <row r="4001" spans="1:27" ht="24" x14ac:dyDescent="0.25">
      <c r="A4001" s="405">
        <v>3003089</v>
      </c>
      <c r="B4001" s="406">
        <v>42562</v>
      </c>
      <c r="C4001" s="405" t="s">
        <v>5682</v>
      </c>
      <c r="D4001" s="401" t="s">
        <v>8973</v>
      </c>
      <c r="E4001" s="120">
        <v>150</v>
      </c>
      <c r="F4001" s="133" t="s">
        <v>877</v>
      </c>
      <c r="G4001" s="404" t="s">
        <v>7486</v>
      </c>
      <c r="H4001" s="411">
        <v>131.04</v>
      </c>
      <c r="I4001" s="89">
        <f t="shared" si="788"/>
        <v>-11.7936</v>
      </c>
      <c r="J4001" s="391">
        <f t="shared" si="786"/>
        <v>-2.7897599999999998</v>
      </c>
      <c r="K4001" s="90">
        <f t="shared" si="787"/>
        <v>116.45663999999999</v>
      </c>
      <c r="L4001" s="131">
        <v>235</v>
      </c>
      <c r="M4001" s="187">
        <v>33.65</v>
      </c>
      <c r="N4001" s="91">
        <f t="shared" si="781"/>
        <v>68.900000000000006</v>
      </c>
      <c r="O4001" s="411">
        <f t="shared" si="784"/>
        <v>47.556639999999987</v>
      </c>
      <c r="P4001" s="132" t="s">
        <v>52</v>
      </c>
      <c r="Q4001" s="232"/>
      <c r="R4001" s="411"/>
      <c r="T4001" s="134" t="s">
        <v>145</v>
      </c>
      <c r="U4001" s="267" t="s">
        <v>8974</v>
      </c>
      <c r="AA4001" s="218"/>
    </row>
    <row r="4002" spans="1:27" ht="24" customHeight="1" x14ac:dyDescent="0.25">
      <c r="A4002" s="419">
        <v>3003090</v>
      </c>
      <c r="B4002" s="421">
        <v>42562</v>
      </c>
      <c r="C4002" s="419" t="s">
        <v>5682</v>
      </c>
      <c r="D4002" s="429" t="s">
        <v>8975</v>
      </c>
      <c r="E4002" s="120">
        <v>100</v>
      </c>
      <c r="F4002" s="133" t="s">
        <v>161</v>
      </c>
      <c r="G4002" s="434" t="s">
        <v>7486</v>
      </c>
      <c r="H4002" s="427">
        <v>425.25</v>
      </c>
      <c r="I4002" s="452">
        <f t="shared" si="788"/>
        <v>-38.272500000000001</v>
      </c>
      <c r="J4002" s="498">
        <f t="shared" si="786"/>
        <v>-8.3797500000000014</v>
      </c>
      <c r="K4002" s="425">
        <f t="shared" si="787"/>
        <v>378.59775000000002</v>
      </c>
      <c r="L4002" s="131">
        <v>1322</v>
      </c>
      <c r="M4002" s="187">
        <v>27.24</v>
      </c>
      <c r="N4002" s="91">
        <f t="shared" si="781"/>
        <v>159.44000000000003</v>
      </c>
      <c r="O4002" s="411">
        <f t="shared" si="784"/>
        <v>219.15774999999999</v>
      </c>
      <c r="P4002" s="132" t="s">
        <v>52</v>
      </c>
      <c r="Q4002" s="232"/>
      <c r="R4002" s="411"/>
      <c r="T4002" s="470" t="s">
        <v>145</v>
      </c>
      <c r="U4002" s="267" t="s">
        <v>8976</v>
      </c>
      <c r="AA4002" s="218"/>
    </row>
    <row r="4003" spans="1:27" x14ac:dyDescent="0.25">
      <c r="A4003" s="420"/>
      <c r="B4003" s="422"/>
      <c r="C4003" s="420"/>
      <c r="D4003" s="431"/>
      <c r="E4003" s="120">
        <v>100</v>
      </c>
      <c r="F4003" s="133" t="s">
        <v>288</v>
      </c>
      <c r="G4003" s="436"/>
      <c r="H4003" s="428"/>
      <c r="I4003" s="453"/>
      <c r="J4003" s="499"/>
      <c r="K4003" s="426"/>
      <c r="L4003" s="131">
        <v>950</v>
      </c>
      <c r="M4003" s="187">
        <v>28.33</v>
      </c>
      <c r="N4003" s="91">
        <f t="shared" si="781"/>
        <v>123.33</v>
      </c>
      <c r="O4003" s="411">
        <f t="shared" si="784"/>
        <v>-123.33</v>
      </c>
      <c r="P4003" s="132" t="s">
        <v>52</v>
      </c>
      <c r="Q4003" s="232"/>
      <c r="R4003" s="411"/>
      <c r="T4003" s="472"/>
      <c r="U4003" s="267" t="s">
        <v>8977</v>
      </c>
      <c r="AA4003" s="218"/>
    </row>
    <row r="4004" spans="1:27" ht="24" x14ac:dyDescent="0.25">
      <c r="A4004" s="405">
        <v>3003091</v>
      </c>
      <c r="B4004" s="406">
        <v>42562</v>
      </c>
      <c r="C4004" s="405" t="s">
        <v>5682</v>
      </c>
      <c r="D4004" s="401" t="s">
        <v>8978</v>
      </c>
      <c r="E4004" s="120">
        <v>200</v>
      </c>
      <c r="F4004" s="133" t="s">
        <v>2949</v>
      </c>
      <c r="G4004" s="404" t="s">
        <v>7486</v>
      </c>
      <c r="H4004" s="411">
        <v>380</v>
      </c>
      <c r="I4004" s="89">
        <f t="shared" si="788"/>
        <v>-34.199999999999996</v>
      </c>
      <c r="J4004" s="391">
        <f t="shared" si="786"/>
        <v>-7.52</v>
      </c>
      <c r="K4004" s="90">
        <f t="shared" si="787"/>
        <v>338.28000000000003</v>
      </c>
      <c r="M4004" s="187">
        <v>46.37</v>
      </c>
      <c r="N4004" s="91">
        <f t="shared" si="781"/>
        <v>46.37</v>
      </c>
      <c r="O4004" s="411">
        <f t="shared" si="784"/>
        <v>291.91000000000003</v>
      </c>
      <c r="P4004" s="132" t="s">
        <v>52</v>
      </c>
      <c r="Q4004" s="232"/>
      <c r="R4004" s="411"/>
      <c r="T4004" s="134" t="s">
        <v>145</v>
      </c>
      <c r="U4004" s="267" t="s">
        <v>8979</v>
      </c>
      <c r="AA4004" s="218"/>
    </row>
    <row r="4005" spans="1:27" ht="24" x14ac:dyDescent="0.25">
      <c r="A4005" s="405">
        <v>3003092</v>
      </c>
      <c r="B4005" s="406">
        <v>42562</v>
      </c>
      <c r="C4005" s="405" t="s">
        <v>5682</v>
      </c>
      <c r="D4005" s="401" t="s">
        <v>8980</v>
      </c>
      <c r="E4005" s="120">
        <v>200</v>
      </c>
      <c r="F4005" s="133" t="s">
        <v>605</v>
      </c>
      <c r="G4005" s="404" t="s">
        <v>7486</v>
      </c>
      <c r="H4005" s="411">
        <v>340.23</v>
      </c>
      <c r="I4005" s="89">
        <f t="shared" si="788"/>
        <v>-30.620699999999999</v>
      </c>
      <c r="J4005" s="391">
        <f t="shared" si="786"/>
        <v>-6.7643700000000004</v>
      </c>
      <c r="K4005" s="90">
        <f t="shared" si="787"/>
        <v>302.84493000000003</v>
      </c>
      <c r="L4005" s="131">
        <v>595</v>
      </c>
      <c r="M4005" s="187">
        <v>44.31</v>
      </c>
      <c r="N4005" s="91">
        <f t="shared" si="781"/>
        <v>163.31</v>
      </c>
      <c r="O4005" s="411">
        <f t="shared" si="784"/>
        <v>139.53493000000003</v>
      </c>
      <c r="P4005" s="132" t="s">
        <v>52</v>
      </c>
      <c r="Q4005" s="232"/>
      <c r="R4005" s="411"/>
      <c r="T4005" s="134" t="s">
        <v>145</v>
      </c>
      <c r="U4005" s="267" t="s">
        <v>8981</v>
      </c>
      <c r="AA4005" s="218"/>
    </row>
    <row r="4006" spans="1:27" ht="24" x14ac:dyDescent="0.25">
      <c r="A4006" s="405">
        <v>3003093</v>
      </c>
      <c r="B4006" s="406">
        <v>42562</v>
      </c>
      <c r="C4006" s="405" t="s">
        <v>5682</v>
      </c>
      <c r="D4006" s="401" t="s">
        <v>8982</v>
      </c>
      <c r="E4006" s="120">
        <v>150</v>
      </c>
      <c r="F4006" s="133" t="s">
        <v>3442</v>
      </c>
      <c r="G4006" s="404" t="s">
        <v>7486</v>
      </c>
      <c r="H4006" s="411">
        <v>225.3</v>
      </c>
      <c r="I4006" s="89">
        <f t="shared" si="788"/>
        <v>-20.277000000000001</v>
      </c>
      <c r="J4006" s="391">
        <f t="shared" si="786"/>
        <v>-4.5807000000000002</v>
      </c>
      <c r="K4006" s="90">
        <f t="shared" si="787"/>
        <v>200.44230000000002</v>
      </c>
      <c r="L4006" s="187">
        <v>935</v>
      </c>
      <c r="M4006" s="187">
        <v>32.22</v>
      </c>
      <c r="N4006" s="91">
        <f t="shared" si="781"/>
        <v>172.47</v>
      </c>
      <c r="O4006" s="411">
        <f t="shared" si="784"/>
        <v>27.972300000000018</v>
      </c>
      <c r="P4006" s="132" t="s">
        <v>601</v>
      </c>
      <c r="Q4006" s="232"/>
      <c r="R4006" s="411"/>
      <c r="T4006" s="134" t="s">
        <v>145</v>
      </c>
      <c r="U4006" s="267" t="s">
        <v>8983</v>
      </c>
      <c r="AA4006" s="218"/>
    </row>
    <row r="4007" spans="1:27" ht="24" x14ac:dyDescent="0.25">
      <c r="A4007" s="405">
        <v>3003094</v>
      </c>
      <c r="B4007" s="406">
        <v>42562</v>
      </c>
      <c r="C4007" s="405" t="s">
        <v>5682</v>
      </c>
      <c r="D4007" s="401" t="s">
        <v>8984</v>
      </c>
      <c r="E4007" s="120">
        <v>100</v>
      </c>
      <c r="F4007" s="133" t="s">
        <v>161</v>
      </c>
      <c r="G4007" s="404" t="s">
        <v>7486</v>
      </c>
      <c r="H4007" s="411">
        <v>230</v>
      </c>
      <c r="I4007" s="89">
        <f t="shared" si="788"/>
        <v>-20.7</v>
      </c>
      <c r="J4007" s="391">
        <f t="shared" si="786"/>
        <v>-4.67</v>
      </c>
      <c r="K4007" s="90">
        <f t="shared" si="787"/>
        <v>204.63000000000002</v>
      </c>
      <c r="L4007" s="131">
        <v>1322</v>
      </c>
      <c r="M4007" s="187">
        <v>23.16</v>
      </c>
      <c r="N4007" s="91">
        <f t="shared" si="781"/>
        <v>155.36000000000001</v>
      </c>
      <c r="O4007" s="411">
        <f t="shared" si="784"/>
        <v>49.27000000000001</v>
      </c>
      <c r="P4007" s="132" t="s">
        <v>52</v>
      </c>
      <c r="Q4007" s="232"/>
      <c r="R4007" s="411"/>
      <c r="T4007" s="134" t="s">
        <v>145</v>
      </c>
      <c r="U4007" s="267" t="s">
        <v>8985</v>
      </c>
      <c r="AA4007" s="218"/>
    </row>
    <row r="4008" spans="1:27" ht="24" x14ac:dyDescent="0.25">
      <c r="A4008" s="405">
        <v>3003095</v>
      </c>
      <c r="B4008" s="406">
        <v>42562</v>
      </c>
      <c r="C4008" s="405" t="s">
        <v>5682</v>
      </c>
      <c r="D4008" s="401" t="s">
        <v>8986</v>
      </c>
      <c r="E4008" s="120">
        <v>1000</v>
      </c>
      <c r="F4008" s="133" t="s">
        <v>6348</v>
      </c>
      <c r="G4008" s="404" t="s">
        <v>7486</v>
      </c>
      <c r="H4008" s="411">
        <v>630</v>
      </c>
      <c r="I4008" s="89">
        <f t="shared" si="788"/>
        <v>-56.699999999999996</v>
      </c>
      <c r="J4008" s="391">
        <f t="shared" si="786"/>
        <v>-12.27</v>
      </c>
      <c r="K4008" s="90">
        <f t="shared" si="787"/>
        <v>561.03</v>
      </c>
      <c r="L4008" s="187">
        <v>340.35</v>
      </c>
      <c r="M4008" s="187">
        <v>75.400000000000006</v>
      </c>
      <c r="N4008" s="91">
        <f t="shared" si="781"/>
        <v>415.75</v>
      </c>
      <c r="O4008" s="411">
        <f t="shared" si="784"/>
        <v>145.27999999999997</v>
      </c>
      <c r="P4008" s="132" t="s">
        <v>76</v>
      </c>
      <c r="Q4008" s="232"/>
      <c r="R4008" s="411"/>
      <c r="T4008" s="134" t="s">
        <v>145</v>
      </c>
      <c r="U4008" s="267" t="s">
        <v>8987</v>
      </c>
      <c r="AA4008" s="218"/>
    </row>
    <row r="4009" spans="1:27" ht="24" x14ac:dyDescent="0.25">
      <c r="A4009" s="405">
        <v>3003096</v>
      </c>
      <c r="B4009" s="406">
        <v>42562</v>
      </c>
      <c r="C4009" s="405" t="s">
        <v>237</v>
      </c>
      <c r="D4009" s="401" t="s">
        <v>8988</v>
      </c>
      <c r="E4009" s="120">
        <v>250</v>
      </c>
      <c r="F4009" s="133" t="s">
        <v>939</v>
      </c>
      <c r="G4009" s="404" t="s">
        <v>7486</v>
      </c>
      <c r="H4009" s="411">
        <v>252.24</v>
      </c>
      <c r="I4009" s="397">
        <f t="shared" ref="I4009:I4018" si="789">-(H4009*0.15)</f>
        <v>-37.835999999999999</v>
      </c>
      <c r="J4009" s="411">
        <v>0</v>
      </c>
      <c r="K4009" s="90">
        <f t="shared" si="787"/>
        <v>214.404</v>
      </c>
      <c r="L4009" s="131">
        <v>445</v>
      </c>
      <c r="M4009" s="187">
        <v>56.66</v>
      </c>
      <c r="N4009" s="91">
        <f t="shared" si="781"/>
        <v>167.91</v>
      </c>
      <c r="O4009" s="411">
        <f t="shared" si="784"/>
        <v>46.494</v>
      </c>
      <c r="P4009" s="132" t="s">
        <v>52</v>
      </c>
      <c r="Q4009" s="232"/>
      <c r="R4009" s="411"/>
      <c r="T4009" s="134" t="s">
        <v>145</v>
      </c>
      <c r="U4009" s="267" t="s">
        <v>8989</v>
      </c>
      <c r="AA4009" s="218"/>
    </row>
    <row r="4010" spans="1:27" ht="24" x14ac:dyDescent="0.25">
      <c r="A4010" s="405">
        <v>3003097</v>
      </c>
      <c r="B4010" s="406">
        <v>42562</v>
      </c>
      <c r="C4010" s="405" t="s">
        <v>237</v>
      </c>
      <c r="D4010" s="401" t="s">
        <v>8990</v>
      </c>
      <c r="E4010" s="120">
        <v>100</v>
      </c>
      <c r="F4010" s="133" t="s">
        <v>3299</v>
      </c>
      <c r="G4010" s="404" t="s">
        <v>7486</v>
      </c>
      <c r="H4010" s="411">
        <v>106.82</v>
      </c>
      <c r="I4010" s="397">
        <f t="shared" si="789"/>
        <v>-16.023</v>
      </c>
      <c r="J4010" s="411">
        <v>0</v>
      </c>
      <c r="K4010" s="90">
        <f t="shared" si="787"/>
        <v>90.796999999999997</v>
      </c>
      <c r="L4010" s="187">
        <v>746</v>
      </c>
      <c r="M4010" s="187">
        <v>26.48</v>
      </c>
      <c r="N4010" s="91">
        <f t="shared" si="781"/>
        <v>101.08000000000001</v>
      </c>
      <c r="O4010" s="411">
        <f t="shared" si="784"/>
        <v>-10.283000000000015</v>
      </c>
      <c r="P4010" s="132" t="s">
        <v>601</v>
      </c>
      <c r="Q4010" s="232"/>
      <c r="R4010" s="411"/>
      <c r="T4010" s="134" t="s">
        <v>145</v>
      </c>
      <c r="U4010" s="267" t="s">
        <v>8991</v>
      </c>
      <c r="AA4010" s="218"/>
    </row>
    <row r="4011" spans="1:27" ht="24" x14ac:dyDescent="0.25">
      <c r="A4011" s="405">
        <v>3003098</v>
      </c>
      <c r="B4011" s="406">
        <v>42562</v>
      </c>
      <c r="C4011" s="405" t="s">
        <v>237</v>
      </c>
      <c r="D4011" s="401" t="s">
        <v>8992</v>
      </c>
      <c r="E4011" s="120">
        <v>75</v>
      </c>
      <c r="F4011" s="119" t="s">
        <v>8993</v>
      </c>
      <c r="G4011" s="404" t="s">
        <v>7486</v>
      </c>
      <c r="H4011" s="411">
        <v>110.48</v>
      </c>
      <c r="I4011" s="397">
        <f t="shared" si="789"/>
        <v>-16.571999999999999</v>
      </c>
      <c r="J4011" s="411">
        <v>0</v>
      </c>
      <c r="K4011" s="90">
        <f t="shared" si="787"/>
        <v>93.908000000000001</v>
      </c>
      <c r="L4011" s="187">
        <v>900</v>
      </c>
      <c r="M4011" s="187">
        <v>12.45</v>
      </c>
      <c r="N4011" s="91">
        <f t="shared" si="781"/>
        <v>79.95</v>
      </c>
      <c r="O4011" s="411">
        <f t="shared" si="784"/>
        <v>13.957999999999998</v>
      </c>
      <c r="P4011" s="132" t="s">
        <v>235</v>
      </c>
      <c r="Q4011" s="232"/>
      <c r="R4011" s="411"/>
      <c r="T4011" s="134" t="s">
        <v>145</v>
      </c>
      <c r="U4011" s="267" t="s">
        <v>8994</v>
      </c>
      <c r="AA4011" s="218"/>
    </row>
    <row r="4012" spans="1:27" x14ac:dyDescent="0.25">
      <c r="A4012" s="405">
        <v>3003099</v>
      </c>
      <c r="B4012" s="406">
        <v>42562</v>
      </c>
      <c r="C4012" s="405" t="s">
        <v>237</v>
      </c>
      <c r="D4012" s="401" t="s">
        <v>8995</v>
      </c>
      <c r="E4012" s="120">
        <v>500</v>
      </c>
      <c r="F4012" s="133" t="s">
        <v>2361</v>
      </c>
      <c r="G4012" s="404" t="s">
        <v>7486</v>
      </c>
      <c r="H4012" s="411">
        <v>657.84</v>
      </c>
      <c r="I4012" s="397">
        <f t="shared" si="789"/>
        <v>-98.676000000000002</v>
      </c>
      <c r="J4012" s="411">
        <v>0</v>
      </c>
      <c r="K4012" s="90">
        <f t="shared" si="787"/>
        <v>559.16399999999999</v>
      </c>
      <c r="L4012" s="187">
        <v>760</v>
      </c>
      <c r="M4012" s="177"/>
      <c r="N4012" s="91">
        <f t="shared" si="781"/>
        <v>380</v>
      </c>
      <c r="O4012" s="411">
        <f t="shared" si="784"/>
        <v>179.16399999999999</v>
      </c>
      <c r="P4012" s="132" t="s">
        <v>330</v>
      </c>
      <c r="Q4012" s="232"/>
      <c r="R4012" s="411"/>
      <c r="T4012" s="134" t="s">
        <v>331</v>
      </c>
      <c r="U4012" s="266">
        <v>307278747</v>
      </c>
      <c r="V4012" s="133" t="s">
        <v>55</v>
      </c>
      <c r="AA4012" s="218"/>
    </row>
    <row r="4013" spans="1:27" ht="15" customHeight="1" x14ac:dyDescent="0.25">
      <c r="A4013" s="405">
        <v>3003100</v>
      </c>
      <c r="B4013" s="406">
        <v>42562</v>
      </c>
      <c r="C4013" s="405" t="s">
        <v>237</v>
      </c>
      <c r="D4013" s="401" t="s">
        <v>8996</v>
      </c>
      <c r="E4013" s="120">
        <v>200</v>
      </c>
      <c r="F4013" s="133" t="s">
        <v>4083</v>
      </c>
      <c r="G4013" s="404" t="s">
        <v>7486</v>
      </c>
      <c r="H4013" s="411">
        <v>213.64</v>
      </c>
      <c r="I4013" s="397">
        <f t="shared" si="789"/>
        <v>-32.045999999999999</v>
      </c>
      <c r="J4013" s="411">
        <v>0</v>
      </c>
      <c r="K4013" s="90">
        <f t="shared" si="787"/>
        <v>181.59399999999999</v>
      </c>
      <c r="L4013" s="187">
        <v>746</v>
      </c>
      <c r="M4013" s="187">
        <v>22.48</v>
      </c>
      <c r="N4013" s="91">
        <f t="shared" si="781"/>
        <v>171.68</v>
      </c>
      <c r="O4013" s="411">
        <f t="shared" si="784"/>
        <v>9.9139999999999873</v>
      </c>
      <c r="P4013" s="132" t="s">
        <v>601</v>
      </c>
      <c r="Q4013" s="232"/>
      <c r="R4013" s="411"/>
      <c r="T4013" s="407" t="s">
        <v>145</v>
      </c>
      <c r="U4013" s="308" t="s">
        <v>8997</v>
      </c>
      <c r="AA4013" s="218"/>
    </row>
    <row r="4014" spans="1:27" ht="24" customHeight="1" x14ac:dyDescent="0.25">
      <c r="A4014" s="419">
        <v>3003101</v>
      </c>
      <c r="B4014" s="421">
        <v>42562</v>
      </c>
      <c r="C4014" s="419" t="s">
        <v>237</v>
      </c>
      <c r="D4014" s="417" t="s">
        <v>8998</v>
      </c>
      <c r="E4014" s="120">
        <v>50</v>
      </c>
      <c r="F4014" s="133" t="s">
        <v>3301</v>
      </c>
      <c r="G4014" s="434" t="s">
        <v>7486</v>
      </c>
      <c r="H4014" s="427">
        <v>106.82</v>
      </c>
      <c r="I4014" s="452">
        <f t="shared" si="789"/>
        <v>-16.023</v>
      </c>
      <c r="J4014" s="427">
        <v>0</v>
      </c>
      <c r="K4014" s="425">
        <f t="shared" si="787"/>
        <v>90.796999999999997</v>
      </c>
      <c r="L4014" s="187">
        <v>746</v>
      </c>
      <c r="M4014" s="187">
        <v>18.579999999999998</v>
      </c>
      <c r="N4014" s="91">
        <f t="shared" si="781"/>
        <v>55.88</v>
      </c>
      <c r="O4014" s="411">
        <f t="shared" si="784"/>
        <v>34.916999999999994</v>
      </c>
      <c r="P4014" s="132" t="s">
        <v>601</v>
      </c>
      <c r="Q4014" s="232"/>
      <c r="R4014" s="411"/>
      <c r="T4014" s="440" t="s">
        <v>145</v>
      </c>
      <c r="U4014" s="448" t="s">
        <v>8999</v>
      </c>
      <c r="AA4014" s="218"/>
    </row>
    <row r="4015" spans="1:27" x14ac:dyDescent="0.25">
      <c r="A4015" s="420"/>
      <c r="B4015" s="422"/>
      <c r="C4015" s="420"/>
      <c r="D4015" s="418"/>
      <c r="E4015" s="120">
        <v>50</v>
      </c>
      <c r="F4015" s="133" t="s">
        <v>3299</v>
      </c>
      <c r="G4015" s="436"/>
      <c r="H4015" s="428"/>
      <c r="I4015" s="453"/>
      <c r="J4015" s="428"/>
      <c r="K4015" s="426"/>
      <c r="L4015" s="187">
        <v>746</v>
      </c>
      <c r="M4015" s="187"/>
      <c r="N4015" s="91">
        <f t="shared" si="781"/>
        <v>37.300000000000004</v>
      </c>
      <c r="O4015" s="411">
        <f t="shared" si="784"/>
        <v>-37.300000000000004</v>
      </c>
      <c r="P4015" s="132" t="s">
        <v>601</v>
      </c>
      <c r="Q4015" s="232"/>
      <c r="R4015" s="411"/>
      <c r="T4015" s="441"/>
      <c r="U4015" s="447"/>
      <c r="AA4015" s="218"/>
    </row>
    <row r="4016" spans="1:27" ht="24" x14ac:dyDescent="0.25">
      <c r="A4016" s="405">
        <v>3003102</v>
      </c>
      <c r="B4016" s="406">
        <v>42562</v>
      </c>
      <c r="C4016" s="405" t="s">
        <v>237</v>
      </c>
      <c r="D4016" s="401" t="s">
        <v>9000</v>
      </c>
      <c r="E4016" s="120">
        <v>200</v>
      </c>
      <c r="F4016" s="133" t="s">
        <v>1293</v>
      </c>
      <c r="G4016" s="404" t="s">
        <v>7486</v>
      </c>
      <c r="H4016" s="411">
        <v>209.56</v>
      </c>
      <c r="I4016" s="397">
        <f t="shared" si="789"/>
        <v>-31.433999999999997</v>
      </c>
      <c r="J4016" s="411">
        <v>0</v>
      </c>
      <c r="K4016" s="90">
        <f t="shared" si="787"/>
        <v>178.126</v>
      </c>
      <c r="L4016" s="131">
        <v>513</v>
      </c>
      <c r="M4016" s="187">
        <v>28.24</v>
      </c>
      <c r="N4016" s="91">
        <f t="shared" si="781"/>
        <v>130.84</v>
      </c>
      <c r="O4016" s="411">
        <f t="shared" si="784"/>
        <v>47.286000000000001</v>
      </c>
      <c r="P4016" s="132" t="s">
        <v>52</v>
      </c>
      <c r="Q4016" s="232"/>
      <c r="R4016" s="411"/>
      <c r="T4016" s="134" t="s">
        <v>145</v>
      </c>
      <c r="U4016" s="267" t="s">
        <v>9001</v>
      </c>
      <c r="AA4016" s="218"/>
    </row>
    <row r="4017" spans="1:27" ht="24" x14ac:dyDescent="0.25">
      <c r="A4017" s="405">
        <v>3003103</v>
      </c>
      <c r="B4017" s="406">
        <v>42562</v>
      </c>
      <c r="C4017" s="405" t="s">
        <v>237</v>
      </c>
      <c r="D4017" s="401" t="s">
        <v>9002</v>
      </c>
      <c r="E4017" s="120">
        <v>100</v>
      </c>
      <c r="F4017" s="133" t="s">
        <v>161</v>
      </c>
      <c r="G4017" s="404" t="s">
        <v>7486</v>
      </c>
      <c r="H4017" s="411">
        <v>245.21</v>
      </c>
      <c r="I4017" s="397">
        <f t="shared" si="789"/>
        <v>-36.781500000000001</v>
      </c>
      <c r="J4017" s="411">
        <v>0</v>
      </c>
      <c r="K4017" s="90">
        <f t="shared" si="787"/>
        <v>208.42850000000001</v>
      </c>
      <c r="L4017" s="131">
        <v>1322</v>
      </c>
      <c r="M4017" s="187">
        <v>19.670000000000002</v>
      </c>
      <c r="N4017" s="91">
        <f t="shared" si="781"/>
        <v>151.87</v>
      </c>
      <c r="O4017" s="411">
        <f t="shared" si="784"/>
        <v>56.558500000000009</v>
      </c>
      <c r="P4017" s="132" t="s">
        <v>52</v>
      </c>
      <c r="Q4017" s="232"/>
      <c r="R4017" s="411"/>
      <c r="T4017" s="134" t="s">
        <v>145</v>
      </c>
      <c r="U4017" s="267" t="s">
        <v>9003</v>
      </c>
      <c r="AA4017" s="218"/>
    </row>
    <row r="4018" spans="1:27" ht="24" x14ac:dyDescent="0.25">
      <c r="A4018" s="419">
        <v>3003104</v>
      </c>
      <c r="B4018" s="421">
        <v>42562</v>
      </c>
      <c r="C4018" s="419" t="s">
        <v>237</v>
      </c>
      <c r="D4018" s="417" t="s">
        <v>9004</v>
      </c>
      <c r="E4018" s="120">
        <v>250</v>
      </c>
      <c r="F4018" s="133" t="s">
        <v>173</v>
      </c>
      <c r="G4018" s="434" t="s">
        <v>7486</v>
      </c>
      <c r="H4018" s="427">
        <v>403.83</v>
      </c>
      <c r="I4018" s="452">
        <f t="shared" si="789"/>
        <v>-60.574499999999993</v>
      </c>
      <c r="J4018" s="427">
        <v>0</v>
      </c>
      <c r="K4018" s="425">
        <f t="shared" si="787"/>
        <v>343.25549999999998</v>
      </c>
      <c r="L4018" s="131">
        <v>407</v>
      </c>
      <c r="M4018" s="187">
        <v>25.79</v>
      </c>
      <c r="N4018" s="91">
        <f t="shared" si="781"/>
        <v>127.53999999999999</v>
      </c>
      <c r="O4018" s="411">
        <f t="shared" si="784"/>
        <v>215.71549999999999</v>
      </c>
      <c r="P4018" s="132" t="s">
        <v>52</v>
      </c>
      <c r="Q4018" s="232"/>
      <c r="R4018" s="411"/>
      <c r="T4018" s="134" t="s">
        <v>145</v>
      </c>
      <c r="U4018" s="267" t="s">
        <v>9005</v>
      </c>
      <c r="AA4018" s="218"/>
    </row>
    <row r="4019" spans="1:27" x14ac:dyDescent="0.25">
      <c r="A4019" s="432"/>
      <c r="B4019" s="433"/>
      <c r="C4019" s="432"/>
      <c r="D4019" s="454"/>
      <c r="E4019" s="120">
        <v>100</v>
      </c>
      <c r="F4019" s="133" t="s">
        <v>3299</v>
      </c>
      <c r="G4019" s="435"/>
      <c r="H4019" s="438"/>
      <c r="I4019" s="484"/>
      <c r="J4019" s="438"/>
      <c r="K4019" s="437"/>
      <c r="L4019" s="187">
        <v>746</v>
      </c>
      <c r="M4019" s="187">
        <v>10.01</v>
      </c>
      <c r="N4019" s="91">
        <f t="shared" si="781"/>
        <v>84.610000000000014</v>
      </c>
      <c r="O4019" s="411">
        <f t="shared" si="784"/>
        <v>-84.610000000000014</v>
      </c>
      <c r="P4019" s="132" t="s">
        <v>601</v>
      </c>
      <c r="Q4019" s="232"/>
      <c r="R4019" s="411"/>
      <c r="T4019" s="439" t="s">
        <v>145</v>
      </c>
      <c r="U4019" s="446" t="s">
        <v>9006</v>
      </c>
      <c r="V4019" s="133" t="s">
        <v>9007</v>
      </c>
      <c r="AA4019" s="218"/>
    </row>
    <row r="4020" spans="1:27" x14ac:dyDescent="0.25">
      <c r="A4020" s="420"/>
      <c r="B4020" s="422"/>
      <c r="C4020" s="420"/>
      <c r="D4020" s="418"/>
      <c r="E4020" s="120">
        <v>100</v>
      </c>
      <c r="F4020" s="133" t="s">
        <v>3301</v>
      </c>
      <c r="G4020" s="436"/>
      <c r="H4020" s="428"/>
      <c r="I4020" s="453"/>
      <c r="J4020" s="428"/>
      <c r="K4020" s="426"/>
      <c r="L4020" s="187">
        <v>746</v>
      </c>
      <c r="M4020" s="187"/>
      <c r="N4020" s="91">
        <f t="shared" si="781"/>
        <v>74.600000000000009</v>
      </c>
      <c r="O4020" s="411">
        <f t="shared" si="784"/>
        <v>-74.600000000000009</v>
      </c>
      <c r="P4020" s="132" t="s">
        <v>601</v>
      </c>
      <c r="Q4020" s="232"/>
      <c r="R4020" s="411"/>
      <c r="T4020" s="441"/>
      <c r="U4020" s="447"/>
      <c r="V4020" s="133" t="s">
        <v>9007</v>
      </c>
      <c r="AA4020" s="218"/>
    </row>
    <row r="4021" spans="1:27" ht="24" x14ac:dyDescent="0.25">
      <c r="A4021" s="405">
        <v>3003105</v>
      </c>
      <c r="B4021" s="406">
        <v>42562</v>
      </c>
      <c r="C4021" s="405" t="s">
        <v>63</v>
      </c>
      <c r="D4021" s="401" t="s">
        <v>9008</v>
      </c>
      <c r="E4021" s="120">
        <v>250</v>
      </c>
      <c r="F4021" s="133" t="s">
        <v>877</v>
      </c>
      <c r="G4021" s="404" t="s">
        <v>7486</v>
      </c>
      <c r="H4021" s="411">
        <v>179.34</v>
      </c>
      <c r="I4021" s="411">
        <v>0</v>
      </c>
      <c r="J4021" s="391">
        <f>-((H4021*0.022)+0.3)</f>
        <v>-4.2454799999999997</v>
      </c>
      <c r="K4021" s="90">
        <f t="shared" ref="K4021:K4024" si="790">SUM(H4021:J4021)</f>
        <v>175.09452000000002</v>
      </c>
      <c r="L4021" s="131">
        <v>235</v>
      </c>
      <c r="M4021" s="187">
        <v>41.04</v>
      </c>
      <c r="N4021" s="91">
        <f t="shared" si="781"/>
        <v>99.789999999999992</v>
      </c>
      <c r="O4021" s="411">
        <f t="shared" si="784"/>
        <v>75.304520000000025</v>
      </c>
      <c r="P4021" s="132" t="s">
        <v>52</v>
      </c>
      <c r="Q4021" s="232"/>
      <c r="R4021" s="411"/>
      <c r="T4021" s="134" t="s">
        <v>145</v>
      </c>
      <c r="U4021" s="267" t="s">
        <v>9009</v>
      </c>
      <c r="W4021" s="153" t="s">
        <v>9010</v>
      </c>
      <c r="AA4021" s="218"/>
    </row>
    <row r="4022" spans="1:27" x14ac:dyDescent="0.25">
      <c r="A4022" s="405">
        <v>3003106</v>
      </c>
      <c r="B4022" s="406">
        <v>42562</v>
      </c>
      <c r="C4022" s="405" t="s">
        <v>327</v>
      </c>
      <c r="D4022" s="401" t="s">
        <v>9011</v>
      </c>
      <c r="E4022" s="120">
        <v>125</v>
      </c>
      <c r="F4022" s="133" t="s">
        <v>70</v>
      </c>
      <c r="G4022" s="404" t="s">
        <v>7486</v>
      </c>
      <c r="H4022" s="411">
        <v>385.93</v>
      </c>
      <c r="I4022" s="411">
        <v>0</v>
      </c>
      <c r="J4022" s="391">
        <f>-((H4022*0.022)+0.3)</f>
        <v>-8.7904599999999995</v>
      </c>
      <c r="K4022" s="90">
        <f t="shared" si="790"/>
        <v>377.13954000000001</v>
      </c>
      <c r="L4022" s="131">
        <v>1000</v>
      </c>
      <c r="M4022" s="187">
        <v>153.1</v>
      </c>
      <c r="N4022" s="91">
        <f t="shared" si="781"/>
        <v>278.10000000000002</v>
      </c>
      <c r="O4022" s="411">
        <f t="shared" si="784"/>
        <v>99.039539999999988</v>
      </c>
      <c r="P4022" s="132" t="s">
        <v>86</v>
      </c>
      <c r="Q4022" s="232"/>
      <c r="R4022" s="411"/>
      <c r="T4022" s="134" t="s">
        <v>1743</v>
      </c>
      <c r="U4022" s="267" t="s">
        <v>9012</v>
      </c>
      <c r="W4022" s="153" t="s">
        <v>9013</v>
      </c>
      <c r="AA4022" s="218"/>
    </row>
    <row r="4023" spans="1:27" ht="24" x14ac:dyDescent="0.25">
      <c r="A4023" s="405">
        <v>3003107</v>
      </c>
      <c r="B4023" s="406">
        <v>42562</v>
      </c>
      <c r="C4023" s="405" t="s">
        <v>78</v>
      </c>
      <c r="D4023" s="401" t="s">
        <v>9014</v>
      </c>
      <c r="E4023" s="120">
        <v>122</v>
      </c>
      <c r="F4023" s="133" t="s">
        <v>489</v>
      </c>
      <c r="G4023" s="404" t="s">
        <v>7486</v>
      </c>
      <c r="H4023" s="411">
        <v>180</v>
      </c>
      <c r="I4023" s="411">
        <v>0</v>
      </c>
      <c r="J4023" s="391">
        <f t="shared" ref="J4023" si="791">-((H4023*0.019)+0.3)</f>
        <v>-3.7199999999999998</v>
      </c>
      <c r="K4023" s="90">
        <f t="shared" si="790"/>
        <v>176.28</v>
      </c>
      <c r="L4023" s="187">
        <v>827</v>
      </c>
      <c r="M4023" s="187">
        <v>28.81</v>
      </c>
      <c r="N4023" s="91">
        <f t="shared" si="781"/>
        <v>129.70399999999998</v>
      </c>
      <c r="O4023" s="411">
        <f t="shared" si="784"/>
        <v>46.576000000000022</v>
      </c>
      <c r="P4023" s="132" t="s">
        <v>183</v>
      </c>
      <c r="Q4023" s="232"/>
      <c r="R4023" s="411"/>
      <c r="T4023" s="134" t="s">
        <v>145</v>
      </c>
      <c r="U4023" s="267" t="s">
        <v>9015</v>
      </c>
      <c r="W4023" s="153" t="s">
        <v>9016</v>
      </c>
      <c r="AA4023" s="218"/>
    </row>
    <row r="4024" spans="1:27" x14ac:dyDescent="0.25">
      <c r="A4024" s="419">
        <v>3003108</v>
      </c>
      <c r="B4024" s="421">
        <v>42562</v>
      </c>
      <c r="C4024" s="419" t="s">
        <v>56</v>
      </c>
      <c r="D4024" s="417" t="s">
        <v>1303</v>
      </c>
      <c r="E4024" s="120">
        <v>4000</v>
      </c>
      <c r="F4024" s="133" t="s">
        <v>4590</v>
      </c>
      <c r="G4024" s="434" t="s">
        <v>7486</v>
      </c>
      <c r="H4024" s="427">
        <v>6757.18</v>
      </c>
      <c r="I4024" s="427">
        <v>0</v>
      </c>
      <c r="J4024" s="427">
        <v>0</v>
      </c>
      <c r="K4024" s="425">
        <f t="shared" si="790"/>
        <v>6757.18</v>
      </c>
      <c r="L4024" s="187">
        <v>550</v>
      </c>
      <c r="M4024" s="187">
        <v>105</v>
      </c>
      <c r="N4024" s="91">
        <f t="shared" si="781"/>
        <v>2305</v>
      </c>
      <c r="O4024" s="411">
        <f t="shared" si="784"/>
        <v>4452.18</v>
      </c>
      <c r="P4024" s="132" t="s">
        <v>183</v>
      </c>
      <c r="Q4024" s="232"/>
      <c r="R4024" s="411"/>
      <c r="T4024" s="134" t="s">
        <v>67</v>
      </c>
      <c r="U4024" s="267" t="s">
        <v>9017</v>
      </c>
      <c r="V4024" s="133" t="s">
        <v>6280</v>
      </c>
      <c r="W4024" s="153" t="s">
        <v>1796</v>
      </c>
      <c r="AA4024" s="218"/>
    </row>
    <row r="4025" spans="1:27" x14ac:dyDescent="0.25">
      <c r="A4025" s="432"/>
      <c r="B4025" s="433"/>
      <c r="C4025" s="432"/>
      <c r="D4025" s="454"/>
      <c r="E4025" s="120">
        <v>750</v>
      </c>
      <c r="F4025" s="133" t="s">
        <v>2634</v>
      </c>
      <c r="G4025" s="435"/>
      <c r="H4025" s="438"/>
      <c r="I4025" s="438"/>
      <c r="J4025" s="438"/>
      <c r="K4025" s="437"/>
      <c r="L4025" s="187">
        <v>1452.16</v>
      </c>
      <c r="N4025" s="91">
        <f t="shared" ref="N4025:N4088" si="792">((L4025)*(E4025*0.001))+M4025</f>
        <v>1089.1200000000001</v>
      </c>
      <c r="O4025" s="411">
        <f t="shared" si="784"/>
        <v>-1089.1200000000001</v>
      </c>
      <c r="P4025" s="132" t="s">
        <v>46</v>
      </c>
      <c r="Q4025" s="232"/>
      <c r="R4025" s="411"/>
      <c r="T4025" s="134" t="s">
        <v>47</v>
      </c>
      <c r="U4025" s="267" t="s">
        <v>9018</v>
      </c>
      <c r="V4025" s="133" t="s">
        <v>9019</v>
      </c>
      <c r="AA4025" s="218"/>
    </row>
    <row r="4026" spans="1:27" ht="24" x14ac:dyDescent="0.25">
      <c r="A4026" s="432"/>
      <c r="B4026" s="433"/>
      <c r="C4026" s="432"/>
      <c r="D4026" s="454"/>
      <c r="E4026" s="120">
        <v>1000</v>
      </c>
      <c r="F4026" s="133" t="s">
        <v>9020</v>
      </c>
      <c r="G4026" s="435"/>
      <c r="H4026" s="438"/>
      <c r="I4026" s="438"/>
      <c r="J4026" s="438"/>
      <c r="K4026" s="437"/>
      <c r="L4026" s="187">
        <v>55</v>
      </c>
      <c r="M4026" s="187">
        <v>12.02</v>
      </c>
      <c r="N4026" s="91">
        <f t="shared" si="792"/>
        <v>67.02</v>
      </c>
      <c r="O4026" s="411">
        <f t="shared" si="784"/>
        <v>-67.02</v>
      </c>
      <c r="P4026" s="132" t="s">
        <v>235</v>
      </c>
      <c r="Q4026" s="232"/>
      <c r="R4026" s="411"/>
      <c r="T4026" s="134" t="s">
        <v>145</v>
      </c>
      <c r="U4026" s="267" t="s">
        <v>9021</v>
      </c>
      <c r="V4026" s="133" t="s">
        <v>9022</v>
      </c>
      <c r="AA4026" s="218"/>
    </row>
    <row r="4027" spans="1:27" ht="24" x14ac:dyDescent="0.25">
      <c r="A4027" s="432"/>
      <c r="B4027" s="433"/>
      <c r="C4027" s="432"/>
      <c r="D4027" s="454"/>
      <c r="E4027" s="120">
        <v>500</v>
      </c>
      <c r="F4027" s="133" t="s">
        <v>9023</v>
      </c>
      <c r="G4027" s="435"/>
      <c r="H4027" s="438"/>
      <c r="I4027" s="438"/>
      <c r="J4027" s="438"/>
      <c r="K4027" s="437"/>
      <c r="L4027" s="187">
        <v>40</v>
      </c>
      <c r="M4027" s="187">
        <v>15.88</v>
      </c>
      <c r="N4027" s="91">
        <f t="shared" si="792"/>
        <v>35.880000000000003</v>
      </c>
      <c r="O4027" s="411">
        <f t="shared" si="784"/>
        <v>-35.880000000000003</v>
      </c>
      <c r="P4027" s="132" t="s">
        <v>313</v>
      </c>
      <c r="Q4027" s="232"/>
      <c r="R4027" s="411"/>
      <c r="T4027" s="134" t="s">
        <v>145</v>
      </c>
      <c r="U4027" s="267" t="s">
        <v>9024</v>
      </c>
      <c r="V4027" s="133" t="s">
        <v>9025</v>
      </c>
      <c r="AA4027" s="218"/>
    </row>
    <row r="4028" spans="1:27" x14ac:dyDescent="0.25">
      <c r="A4028" s="420"/>
      <c r="B4028" s="422"/>
      <c r="C4028" s="420"/>
      <c r="D4028" s="418"/>
      <c r="E4028" s="120">
        <v>1000</v>
      </c>
      <c r="F4028" s="133" t="s">
        <v>9026</v>
      </c>
      <c r="G4028" s="436"/>
      <c r="H4028" s="428"/>
      <c r="I4028" s="428"/>
      <c r="J4028" s="428"/>
      <c r="K4028" s="426"/>
      <c r="L4028" s="187">
        <v>645</v>
      </c>
      <c r="N4028" s="91">
        <f t="shared" si="792"/>
        <v>645</v>
      </c>
      <c r="O4028" s="411">
        <f t="shared" si="784"/>
        <v>-645</v>
      </c>
      <c r="P4028" s="132" t="s">
        <v>183</v>
      </c>
      <c r="Q4028" s="232"/>
      <c r="R4028" s="411"/>
      <c r="T4028" s="134" t="s">
        <v>67</v>
      </c>
      <c r="U4028" s="267" t="s">
        <v>9017</v>
      </c>
      <c r="AA4028" s="218"/>
    </row>
    <row r="4029" spans="1:27" x14ac:dyDescent="0.25">
      <c r="A4029" s="405">
        <v>3003109</v>
      </c>
      <c r="B4029" s="406">
        <v>42563</v>
      </c>
      <c r="C4029" s="405" t="s">
        <v>78</v>
      </c>
      <c r="D4029" s="401" t="s">
        <v>9027</v>
      </c>
      <c r="E4029" s="120">
        <v>350</v>
      </c>
      <c r="F4029" s="133" t="s">
        <v>300</v>
      </c>
      <c r="G4029" s="404" t="s">
        <v>7486</v>
      </c>
      <c r="H4029" s="411">
        <v>1300</v>
      </c>
      <c r="I4029" s="411">
        <v>0</v>
      </c>
      <c r="J4029" s="391">
        <f t="shared" ref="J4029:J4030" si="793">-((H4029*0.019)+0.3)</f>
        <v>-25</v>
      </c>
      <c r="K4029" s="90">
        <f t="shared" ref="K4029:K4055" si="794">SUM(H4029:J4029)</f>
        <v>1275</v>
      </c>
      <c r="L4029" s="131">
        <v>2150</v>
      </c>
      <c r="M4029" s="187">
        <f>123.62+48.25</f>
        <v>171.87</v>
      </c>
      <c r="N4029" s="91">
        <f t="shared" si="792"/>
        <v>924.37000000000012</v>
      </c>
      <c r="O4029" s="411">
        <f t="shared" si="784"/>
        <v>350.62999999999988</v>
      </c>
      <c r="P4029" s="132" t="s">
        <v>52</v>
      </c>
      <c r="Q4029" s="232"/>
      <c r="R4029" s="411"/>
      <c r="T4029" s="134" t="s">
        <v>244</v>
      </c>
      <c r="U4029" s="267" t="s">
        <v>9028</v>
      </c>
      <c r="V4029" s="133" t="s">
        <v>55</v>
      </c>
      <c r="W4029" s="153" t="s">
        <v>9029</v>
      </c>
      <c r="AA4029" s="218">
        <v>10</v>
      </c>
    </row>
    <row r="4030" spans="1:27" ht="24" customHeight="1" x14ac:dyDescent="0.25">
      <c r="A4030" s="419">
        <v>3003110</v>
      </c>
      <c r="B4030" s="421">
        <v>42563</v>
      </c>
      <c r="C4030" s="419" t="s">
        <v>78</v>
      </c>
      <c r="D4030" s="417" t="s">
        <v>9030</v>
      </c>
      <c r="E4030" s="120">
        <v>125</v>
      </c>
      <c r="F4030" s="133" t="s">
        <v>300</v>
      </c>
      <c r="G4030" s="434" t="s">
        <v>7486</v>
      </c>
      <c r="H4030" s="427">
        <v>530</v>
      </c>
      <c r="I4030" s="427">
        <v>0</v>
      </c>
      <c r="J4030" s="425">
        <f t="shared" si="793"/>
        <v>-10.370000000000001</v>
      </c>
      <c r="K4030" s="425">
        <f t="shared" si="794"/>
        <v>519.63</v>
      </c>
      <c r="L4030" s="131">
        <v>2150</v>
      </c>
      <c r="M4030" s="187">
        <v>50.45</v>
      </c>
      <c r="N4030" s="91">
        <f t="shared" si="792"/>
        <v>319.2</v>
      </c>
      <c r="O4030" s="411">
        <f t="shared" si="784"/>
        <v>200.43</v>
      </c>
      <c r="P4030" s="132" t="s">
        <v>52</v>
      </c>
      <c r="Q4030" s="232"/>
      <c r="R4030" s="411"/>
      <c r="T4030" s="470" t="s">
        <v>145</v>
      </c>
      <c r="U4030" s="446" t="s">
        <v>9031</v>
      </c>
      <c r="W4030" s="153" t="s">
        <v>9032</v>
      </c>
      <c r="AA4030" s="218"/>
    </row>
    <row r="4031" spans="1:27" x14ac:dyDescent="0.25">
      <c r="A4031" s="420"/>
      <c r="B4031" s="422"/>
      <c r="C4031" s="420"/>
      <c r="D4031" s="418"/>
      <c r="E4031" s="120">
        <v>1</v>
      </c>
      <c r="F4031" s="133" t="s">
        <v>9033</v>
      </c>
      <c r="G4031" s="436"/>
      <c r="H4031" s="428"/>
      <c r="I4031" s="428"/>
      <c r="J4031" s="426"/>
      <c r="K4031" s="426"/>
      <c r="L4031" s="187">
        <v>58.8</v>
      </c>
      <c r="M4031" s="187"/>
      <c r="N4031" s="91">
        <f t="shared" si="792"/>
        <v>5.8799999999999998E-2</v>
      </c>
      <c r="O4031" s="411">
        <f t="shared" si="784"/>
        <v>-5.8799999999999998E-2</v>
      </c>
      <c r="P4031" s="132" t="s">
        <v>52</v>
      </c>
      <c r="Q4031" s="232"/>
      <c r="R4031" s="411"/>
      <c r="T4031" s="472"/>
      <c r="U4031" s="447"/>
      <c r="AA4031" s="218"/>
    </row>
    <row r="4032" spans="1:27" x14ac:dyDescent="0.25">
      <c r="A4032" s="405">
        <v>3003111</v>
      </c>
      <c r="B4032" s="406">
        <v>42563</v>
      </c>
      <c r="C4032" s="405" t="s">
        <v>63</v>
      </c>
      <c r="D4032" s="401" t="s">
        <v>7439</v>
      </c>
      <c r="E4032" s="120">
        <v>1070</v>
      </c>
      <c r="F4032" s="133" t="s">
        <v>9034</v>
      </c>
      <c r="G4032" s="404" t="s">
        <v>7486</v>
      </c>
      <c r="H4032" s="411">
        <v>2591.6</v>
      </c>
      <c r="I4032" s="411">
        <v>0</v>
      </c>
      <c r="J4032" s="391">
        <f>-((H4032*0.022)+0.3)</f>
        <v>-57.31519999999999</v>
      </c>
      <c r="K4032" s="90">
        <f t="shared" si="794"/>
        <v>2534.2847999999999</v>
      </c>
      <c r="L4032" s="187">
        <v>1680</v>
      </c>
      <c r="M4032" s="224">
        <v>328.55</v>
      </c>
      <c r="N4032" s="91">
        <f t="shared" si="792"/>
        <v>2126.15</v>
      </c>
      <c r="O4032" s="411">
        <f t="shared" si="784"/>
        <v>408.13479999999981</v>
      </c>
      <c r="P4032" s="132" t="s">
        <v>3401</v>
      </c>
      <c r="Q4032" s="232"/>
      <c r="R4032" s="411"/>
      <c r="T4032" s="134" t="s">
        <v>7627</v>
      </c>
      <c r="U4032" s="267" t="s">
        <v>9035</v>
      </c>
      <c r="V4032" s="133" t="s">
        <v>55</v>
      </c>
      <c r="W4032" s="153" t="s">
        <v>7442</v>
      </c>
      <c r="AA4032" s="218">
        <v>10</v>
      </c>
    </row>
    <row r="4033" spans="1:27" x14ac:dyDescent="0.25">
      <c r="A4033" s="419">
        <v>3003112</v>
      </c>
      <c r="B4033" s="421">
        <v>42563</v>
      </c>
      <c r="C4033" s="419" t="s">
        <v>141</v>
      </c>
      <c r="D4033" s="417" t="s">
        <v>9036</v>
      </c>
      <c r="E4033" s="120">
        <v>160</v>
      </c>
      <c r="F4033" s="133" t="s">
        <v>9037</v>
      </c>
      <c r="G4033" s="434" t="s">
        <v>7486</v>
      </c>
      <c r="H4033" s="427">
        <v>1472</v>
      </c>
      <c r="I4033" s="427">
        <v>0</v>
      </c>
      <c r="J4033" s="425">
        <f>-((H4033*0.0325)+0.3)</f>
        <v>-48.14</v>
      </c>
      <c r="K4033" s="425">
        <f t="shared" si="794"/>
        <v>1423.86</v>
      </c>
      <c r="L4033" s="187">
        <v>5990</v>
      </c>
      <c r="M4033" s="187">
        <v>217.18</v>
      </c>
      <c r="N4033" s="91">
        <f t="shared" si="792"/>
        <v>1175.58</v>
      </c>
      <c r="O4033" s="411">
        <f t="shared" si="784"/>
        <v>248.27999999999997</v>
      </c>
      <c r="P4033" s="132" t="s">
        <v>183</v>
      </c>
      <c r="Q4033" s="232"/>
      <c r="R4033" s="411"/>
      <c r="T4033" s="439" t="s">
        <v>314</v>
      </c>
      <c r="U4033" s="446" t="s">
        <v>9038</v>
      </c>
      <c r="W4033" s="153" t="s">
        <v>9039</v>
      </c>
      <c r="AA4033" s="473">
        <v>10</v>
      </c>
    </row>
    <row r="4034" spans="1:27" x14ac:dyDescent="0.25">
      <c r="A4034" s="420"/>
      <c r="B4034" s="422"/>
      <c r="C4034" s="420"/>
      <c r="D4034" s="418"/>
      <c r="E4034" s="120">
        <v>45</v>
      </c>
      <c r="F4034" s="133" t="s">
        <v>590</v>
      </c>
      <c r="G4034" s="436"/>
      <c r="H4034" s="428"/>
      <c r="I4034" s="428"/>
      <c r="J4034" s="426"/>
      <c r="K4034" s="426"/>
      <c r="L4034" s="187">
        <v>688</v>
      </c>
      <c r="M4034" s="187"/>
      <c r="N4034" s="91">
        <f t="shared" si="792"/>
        <v>30.959999999999997</v>
      </c>
      <c r="O4034" s="411">
        <f t="shared" si="784"/>
        <v>-30.959999999999997</v>
      </c>
      <c r="P4034" s="132" t="s">
        <v>183</v>
      </c>
      <c r="Q4034" s="232"/>
      <c r="R4034" s="411"/>
      <c r="T4034" s="441"/>
      <c r="U4034" s="447"/>
      <c r="AA4034" s="474"/>
    </row>
    <row r="4035" spans="1:27" ht="24" x14ac:dyDescent="0.25">
      <c r="A4035" s="405">
        <v>3003113</v>
      </c>
      <c r="B4035" s="406">
        <v>42563</v>
      </c>
      <c r="C4035" s="405" t="s">
        <v>5682</v>
      </c>
      <c r="D4035" s="401" t="s">
        <v>9040</v>
      </c>
      <c r="E4035" s="120">
        <v>200</v>
      </c>
      <c r="F4035" s="133" t="s">
        <v>506</v>
      </c>
      <c r="G4035" s="404" t="s">
        <v>7486</v>
      </c>
      <c r="H4035" s="411">
        <v>275.5</v>
      </c>
      <c r="I4035" s="89">
        <f t="shared" ref="I4035:I4041" si="795">-(H4035*0.09)</f>
        <v>-24.794999999999998</v>
      </c>
      <c r="J4035" s="391">
        <f t="shared" ref="J4035:J4041" si="796">-((H4035*0.019)+0.3)</f>
        <v>-5.5344999999999995</v>
      </c>
      <c r="K4035" s="90">
        <f t="shared" si="794"/>
        <v>245.1705</v>
      </c>
      <c r="L4035" s="131">
        <v>731</v>
      </c>
      <c r="M4035" s="187">
        <v>38.67</v>
      </c>
      <c r="N4035" s="91">
        <f t="shared" si="792"/>
        <v>184.87</v>
      </c>
      <c r="O4035" s="411">
        <f t="shared" si="784"/>
        <v>60.3005</v>
      </c>
      <c r="P4035" s="132" t="s">
        <v>52</v>
      </c>
      <c r="Q4035" s="232"/>
      <c r="R4035" s="411"/>
      <c r="T4035" s="134" t="s">
        <v>145</v>
      </c>
      <c r="U4035" s="267" t="s">
        <v>9041</v>
      </c>
      <c r="AA4035" s="218"/>
    </row>
    <row r="4036" spans="1:27" ht="24" x14ac:dyDescent="0.25">
      <c r="A4036" s="405">
        <v>3003114</v>
      </c>
      <c r="B4036" s="406">
        <v>42563</v>
      </c>
      <c r="C4036" s="405" t="s">
        <v>5682</v>
      </c>
      <c r="D4036" s="401" t="s">
        <v>9042</v>
      </c>
      <c r="E4036" s="120">
        <v>100</v>
      </c>
      <c r="F4036" s="133" t="s">
        <v>5466</v>
      </c>
      <c r="G4036" s="404" t="s">
        <v>7486</v>
      </c>
      <c r="H4036" s="411">
        <v>249.9</v>
      </c>
      <c r="I4036" s="89">
        <f t="shared" si="795"/>
        <v>-22.491</v>
      </c>
      <c r="J4036" s="391">
        <f t="shared" si="796"/>
        <v>-5.0480999999999998</v>
      </c>
      <c r="K4036" s="90">
        <f t="shared" si="794"/>
        <v>222.36089999999999</v>
      </c>
      <c r="L4036" s="187">
        <v>1430</v>
      </c>
      <c r="M4036" s="187">
        <v>30.89</v>
      </c>
      <c r="N4036" s="91">
        <f t="shared" si="792"/>
        <v>173.89</v>
      </c>
      <c r="O4036" s="411">
        <f t="shared" ref="O4036:O4099" si="797">K4036-N4036</f>
        <v>48.4709</v>
      </c>
      <c r="P4036" s="132" t="s">
        <v>601</v>
      </c>
      <c r="Q4036" s="232"/>
      <c r="R4036" s="411"/>
      <c r="T4036" s="134" t="s">
        <v>145</v>
      </c>
      <c r="U4036" s="267" t="s">
        <v>9043</v>
      </c>
      <c r="AA4036" s="218"/>
    </row>
    <row r="4037" spans="1:27" ht="24" x14ac:dyDescent="0.25">
      <c r="A4037" s="405">
        <v>3003115</v>
      </c>
      <c r="B4037" s="406">
        <v>42563</v>
      </c>
      <c r="C4037" s="405" t="s">
        <v>5682</v>
      </c>
      <c r="D4037" s="401" t="s">
        <v>9044</v>
      </c>
      <c r="E4037" s="120">
        <v>100</v>
      </c>
      <c r="F4037" s="133" t="s">
        <v>300</v>
      </c>
      <c r="G4037" s="404" t="s">
        <v>7486</v>
      </c>
      <c r="H4037" s="411">
        <v>450</v>
      </c>
      <c r="I4037" s="89">
        <f t="shared" si="795"/>
        <v>-40.5</v>
      </c>
      <c r="J4037" s="391">
        <f t="shared" si="796"/>
        <v>-8.85</v>
      </c>
      <c r="K4037" s="90">
        <f t="shared" si="794"/>
        <v>400.65</v>
      </c>
      <c r="L4037" s="131">
        <v>2150</v>
      </c>
      <c r="M4037" s="187">
        <v>44.59</v>
      </c>
      <c r="N4037" s="91">
        <f t="shared" si="792"/>
        <v>259.59000000000003</v>
      </c>
      <c r="O4037" s="411">
        <f t="shared" si="797"/>
        <v>141.05999999999995</v>
      </c>
      <c r="P4037" s="132" t="s">
        <v>52</v>
      </c>
      <c r="Q4037" s="232"/>
      <c r="R4037" s="411"/>
      <c r="T4037" s="134" t="s">
        <v>145</v>
      </c>
      <c r="U4037" s="267" t="s">
        <v>9045</v>
      </c>
      <c r="AA4037" s="218"/>
    </row>
    <row r="4038" spans="1:27" ht="24" x14ac:dyDescent="0.25">
      <c r="A4038" s="405">
        <v>3003116</v>
      </c>
      <c r="B4038" s="406">
        <v>42563</v>
      </c>
      <c r="C4038" s="405" t="s">
        <v>5682</v>
      </c>
      <c r="D4038" s="401" t="s">
        <v>9046</v>
      </c>
      <c r="E4038" s="120">
        <v>100</v>
      </c>
      <c r="F4038" s="119" t="s">
        <v>9047</v>
      </c>
      <c r="G4038" s="404" t="s">
        <v>7486</v>
      </c>
      <c r="H4038" s="411">
        <v>541.44000000000005</v>
      </c>
      <c r="I4038" s="89">
        <f t="shared" si="795"/>
        <v>-48.729600000000005</v>
      </c>
      <c r="J4038" s="391">
        <f t="shared" si="796"/>
        <v>-10.587360000000002</v>
      </c>
      <c r="K4038" s="90">
        <f t="shared" si="794"/>
        <v>482.12304000000006</v>
      </c>
      <c r="L4038" s="187">
        <v>2841</v>
      </c>
      <c r="M4038" s="187">
        <v>85.26</v>
      </c>
      <c r="N4038" s="91">
        <f t="shared" si="792"/>
        <v>369.36</v>
      </c>
      <c r="O4038" s="411">
        <f t="shared" si="797"/>
        <v>112.76304000000005</v>
      </c>
      <c r="P4038" s="132" t="s">
        <v>46</v>
      </c>
      <c r="Q4038" s="232"/>
      <c r="R4038" s="411"/>
      <c r="T4038" s="134" t="s">
        <v>324</v>
      </c>
      <c r="U4038" s="266" t="s">
        <v>9048</v>
      </c>
      <c r="AA4038" s="218"/>
    </row>
    <row r="4039" spans="1:27" ht="24" x14ac:dyDescent="0.25">
      <c r="A4039" s="405">
        <v>3003117</v>
      </c>
      <c r="B4039" s="406">
        <v>42563</v>
      </c>
      <c r="C4039" s="405" t="s">
        <v>5682</v>
      </c>
      <c r="D4039" s="401" t="s">
        <v>9049</v>
      </c>
      <c r="E4039" s="120">
        <v>250</v>
      </c>
      <c r="F4039" s="133" t="s">
        <v>2949</v>
      </c>
      <c r="G4039" s="404" t="s">
        <v>7486</v>
      </c>
      <c r="H4039" s="411">
        <v>466.17</v>
      </c>
      <c r="I4039" s="89">
        <f t="shared" si="795"/>
        <v>-41.955300000000001</v>
      </c>
      <c r="J4039" s="391">
        <f t="shared" si="796"/>
        <v>-9.1572300000000002</v>
      </c>
      <c r="K4039" s="90">
        <f t="shared" si="794"/>
        <v>415.05746999999997</v>
      </c>
      <c r="M4039" s="187">
        <v>47.44</v>
      </c>
      <c r="N4039" s="91">
        <f t="shared" si="792"/>
        <v>47.44</v>
      </c>
      <c r="O4039" s="411">
        <f t="shared" si="797"/>
        <v>367.61746999999997</v>
      </c>
      <c r="P4039" s="132" t="s">
        <v>52</v>
      </c>
      <c r="Q4039" s="232"/>
      <c r="R4039" s="411">
        <v>34.53</v>
      </c>
      <c r="S4039" s="133" t="s">
        <v>4608</v>
      </c>
      <c r="T4039" s="134" t="s">
        <v>145</v>
      </c>
      <c r="U4039" s="267" t="s">
        <v>9050</v>
      </c>
      <c r="AA4039" s="218"/>
    </row>
    <row r="4040" spans="1:27" ht="24" x14ac:dyDescent="0.25">
      <c r="A4040" s="405">
        <v>3003118</v>
      </c>
      <c r="B4040" s="406">
        <v>42563</v>
      </c>
      <c r="C4040" s="405" t="s">
        <v>5682</v>
      </c>
      <c r="D4040" s="401" t="s">
        <v>9051</v>
      </c>
      <c r="E4040" s="120">
        <v>375</v>
      </c>
      <c r="F4040" s="133" t="s">
        <v>198</v>
      </c>
      <c r="G4040" s="404" t="s">
        <v>7486</v>
      </c>
      <c r="H4040" s="411">
        <v>1075</v>
      </c>
      <c r="I4040" s="89">
        <f t="shared" si="795"/>
        <v>-96.75</v>
      </c>
      <c r="J4040" s="391">
        <f t="shared" si="796"/>
        <v>-20.725000000000001</v>
      </c>
      <c r="K4040" s="90">
        <f t="shared" si="794"/>
        <v>957.52499999999998</v>
      </c>
      <c r="L4040" s="131">
        <v>1693</v>
      </c>
      <c r="M4040" s="187">
        <v>210.71</v>
      </c>
      <c r="N4040" s="91">
        <f t="shared" si="792"/>
        <v>845.58500000000004</v>
      </c>
      <c r="O4040" s="411">
        <f t="shared" si="797"/>
        <v>111.93999999999994</v>
      </c>
      <c r="P4040" s="132" t="s">
        <v>52</v>
      </c>
      <c r="Q4040" s="232"/>
      <c r="R4040" s="411"/>
      <c r="T4040" s="134" t="s">
        <v>1209</v>
      </c>
      <c r="U4040" s="267" t="s">
        <v>9052</v>
      </c>
      <c r="V4040" s="133" t="s">
        <v>55</v>
      </c>
      <c r="AA4040" s="218"/>
    </row>
    <row r="4041" spans="1:27" x14ac:dyDescent="0.25">
      <c r="A4041" s="405">
        <v>3003119</v>
      </c>
      <c r="B4041" s="406">
        <v>42563</v>
      </c>
      <c r="C4041" s="405" t="s">
        <v>5682</v>
      </c>
      <c r="D4041" s="401" t="s">
        <v>9053</v>
      </c>
      <c r="E4041" s="120">
        <v>1004</v>
      </c>
      <c r="F4041" s="133" t="s">
        <v>9054</v>
      </c>
      <c r="G4041" s="404" t="s">
        <v>7486</v>
      </c>
      <c r="H4041" s="411">
        <v>687.21</v>
      </c>
      <c r="I4041" s="89">
        <f t="shared" si="795"/>
        <v>-61.8489</v>
      </c>
      <c r="J4041" s="391">
        <f t="shared" si="796"/>
        <v>-13.356990000000001</v>
      </c>
      <c r="K4041" s="90">
        <f t="shared" si="794"/>
        <v>612.00411000000008</v>
      </c>
      <c r="L4041" s="131">
        <v>210</v>
      </c>
      <c r="M4041" s="131">
        <v>105</v>
      </c>
      <c r="N4041" s="91">
        <f t="shared" si="792"/>
        <v>315.84000000000003</v>
      </c>
      <c r="O4041" s="411">
        <f t="shared" si="797"/>
        <v>296.16411000000005</v>
      </c>
      <c r="P4041" s="132" t="s">
        <v>183</v>
      </c>
      <c r="Q4041" s="232"/>
      <c r="R4041" s="411"/>
      <c r="T4041" s="134" t="s">
        <v>576</v>
      </c>
      <c r="U4041" s="267" t="s">
        <v>9055</v>
      </c>
      <c r="AA4041" s="218"/>
    </row>
    <row r="4042" spans="1:27" x14ac:dyDescent="0.25">
      <c r="A4042" s="405">
        <v>3003120</v>
      </c>
      <c r="B4042" s="406">
        <v>42563</v>
      </c>
      <c r="C4042" s="405" t="s">
        <v>141</v>
      </c>
      <c r="D4042" s="401" t="s">
        <v>9056</v>
      </c>
      <c r="E4042" s="120">
        <v>500</v>
      </c>
      <c r="F4042" s="133" t="s">
        <v>9057</v>
      </c>
      <c r="G4042" s="404" t="s">
        <v>7486</v>
      </c>
      <c r="H4042" s="411">
        <v>0</v>
      </c>
      <c r="I4042" s="411">
        <v>0</v>
      </c>
      <c r="J4042" s="391">
        <f>-((H4042*0.0325)+0.3)</f>
        <v>-0.3</v>
      </c>
      <c r="K4042" s="90">
        <f t="shared" si="794"/>
        <v>-0.3</v>
      </c>
      <c r="M4042" s="131">
        <v>0</v>
      </c>
      <c r="N4042" s="91">
        <f t="shared" si="792"/>
        <v>0</v>
      </c>
      <c r="O4042" s="411">
        <f t="shared" si="797"/>
        <v>-0.3</v>
      </c>
      <c r="P4042" s="132" t="s">
        <v>183</v>
      </c>
      <c r="Q4042" s="232"/>
      <c r="R4042" s="411"/>
      <c r="T4042" s="134" t="s">
        <v>1229</v>
      </c>
      <c r="U4042" s="266" t="s">
        <v>1229</v>
      </c>
      <c r="W4042" s="153" t="s">
        <v>9058</v>
      </c>
      <c r="AA4042" s="218"/>
    </row>
    <row r="4043" spans="1:27" ht="24" x14ac:dyDescent="0.25">
      <c r="A4043" s="405">
        <v>3003121</v>
      </c>
      <c r="B4043" s="406">
        <v>42563</v>
      </c>
      <c r="C4043" s="405" t="s">
        <v>141</v>
      </c>
      <c r="D4043" s="401" t="s">
        <v>9059</v>
      </c>
      <c r="E4043" s="120">
        <v>250</v>
      </c>
      <c r="F4043" s="133" t="s">
        <v>4803</v>
      </c>
      <c r="G4043" s="404" t="s">
        <v>7486</v>
      </c>
      <c r="H4043" s="411">
        <v>220.04</v>
      </c>
      <c r="I4043" s="411">
        <v>0</v>
      </c>
      <c r="J4043" s="391">
        <f>-((H4043*0.0325)+0.3)</f>
        <v>-7.4512999999999998</v>
      </c>
      <c r="K4043" s="90">
        <f t="shared" si="794"/>
        <v>212.58869999999999</v>
      </c>
      <c r="L4043" s="187">
        <v>407</v>
      </c>
      <c r="M4043" s="187">
        <v>24.22</v>
      </c>
      <c r="N4043" s="91">
        <f t="shared" si="792"/>
        <v>125.97</v>
      </c>
      <c r="O4043" s="411">
        <f t="shared" si="797"/>
        <v>86.61869999999999</v>
      </c>
      <c r="P4043" s="132" t="s">
        <v>183</v>
      </c>
      <c r="Q4043" s="232"/>
      <c r="R4043" s="411"/>
      <c r="T4043" s="134" t="s">
        <v>324</v>
      </c>
      <c r="U4043" s="266" t="s">
        <v>9060</v>
      </c>
      <c r="W4043" s="153" t="s">
        <v>9061</v>
      </c>
      <c r="AA4043" s="218"/>
    </row>
    <row r="4044" spans="1:27" x14ac:dyDescent="0.25">
      <c r="A4044" s="405">
        <v>3003122</v>
      </c>
      <c r="B4044" s="406">
        <v>42563</v>
      </c>
      <c r="C4044" s="405" t="s">
        <v>237</v>
      </c>
      <c r="D4044" s="401" t="s">
        <v>9062</v>
      </c>
      <c r="E4044" s="120">
        <v>1000</v>
      </c>
      <c r="F4044" s="133" t="s">
        <v>1550</v>
      </c>
      <c r="G4044" s="404" t="s">
        <v>7486</v>
      </c>
      <c r="H4044" s="411">
        <v>1075.0999999999999</v>
      </c>
      <c r="I4044" s="397">
        <f t="shared" ref="I4044:I4050" si="798">-(H4044*0.15)</f>
        <v>-161.26499999999999</v>
      </c>
      <c r="J4044" s="411">
        <v>0</v>
      </c>
      <c r="K4044" s="90">
        <f t="shared" si="794"/>
        <v>913.83499999999992</v>
      </c>
      <c r="M4044" s="187">
        <v>170.51</v>
      </c>
      <c r="N4044" s="91">
        <f t="shared" si="792"/>
        <v>170.51</v>
      </c>
      <c r="O4044" s="411">
        <f t="shared" si="797"/>
        <v>743.32499999999993</v>
      </c>
      <c r="P4044" s="132" t="s">
        <v>52</v>
      </c>
      <c r="Q4044" s="232"/>
      <c r="R4044" s="411"/>
      <c r="T4044" s="134" t="s">
        <v>97</v>
      </c>
      <c r="U4044" s="267" t="s">
        <v>9063</v>
      </c>
      <c r="V4044" s="133" t="s">
        <v>55</v>
      </c>
      <c r="AA4044" s="218"/>
    </row>
    <row r="4045" spans="1:27" ht="36" x14ac:dyDescent="0.25">
      <c r="A4045" s="405">
        <v>3003123</v>
      </c>
      <c r="B4045" s="406">
        <v>42563</v>
      </c>
      <c r="C4045" s="405" t="s">
        <v>237</v>
      </c>
      <c r="D4045" s="401" t="s">
        <v>9064</v>
      </c>
      <c r="E4045" s="120">
        <v>300</v>
      </c>
      <c r="F4045" s="133" t="s">
        <v>9065</v>
      </c>
      <c r="G4045" s="404" t="s">
        <v>7486</v>
      </c>
      <c r="H4045" s="411">
        <v>579.12</v>
      </c>
      <c r="I4045" s="397">
        <f t="shared" si="798"/>
        <v>-86.867999999999995</v>
      </c>
      <c r="J4045" s="411">
        <v>0</v>
      </c>
      <c r="K4045" s="90">
        <f t="shared" si="794"/>
        <v>492.25200000000001</v>
      </c>
      <c r="L4045" s="131">
        <v>950</v>
      </c>
      <c r="M4045" s="187">
        <f>35.68+36.89+36.89</f>
        <v>109.46</v>
      </c>
      <c r="N4045" s="91">
        <f t="shared" si="792"/>
        <v>394.46</v>
      </c>
      <c r="O4045" s="411">
        <f t="shared" si="797"/>
        <v>97.79200000000003</v>
      </c>
      <c r="P4045" s="132" t="s">
        <v>52</v>
      </c>
      <c r="Q4045" s="232"/>
      <c r="R4045" s="411"/>
      <c r="T4045" s="134" t="s">
        <v>145</v>
      </c>
      <c r="U4045" s="266" t="s">
        <v>9066</v>
      </c>
      <c r="AA4045" s="218"/>
    </row>
    <row r="4046" spans="1:27" ht="24" x14ac:dyDescent="0.25">
      <c r="A4046" s="405">
        <v>3003124</v>
      </c>
      <c r="B4046" s="406">
        <v>42563</v>
      </c>
      <c r="C4046" s="405" t="s">
        <v>237</v>
      </c>
      <c r="D4046" s="401" t="s">
        <v>9067</v>
      </c>
      <c r="E4046" s="120">
        <v>500</v>
      </c>
      <c r="F4046" s="133" t="s">
        <v>451</v>
      </c>
      <c r="G4046" s="404" t="s">
        <v>7486</v>
      </c>
      <c r="H4046" s="411">
        <v>300.70999999999998</v>
      </c>
      <c r="I4046" s="397">
        <f t="shared" si="798"/>
        <v>-45.106499999999997</v>
      </c>
      <c r="J4046" s="411">
        <v>0</v>
      </c>
      <c r="K4046" s="90">
        <f t="shared" si="794"/>
        <v>255.6035</v>
      </c>
      <c r="L4046" s="131">
        <v>300</v>
      </c>
      <c r="M4046" s="187">
        <v>53.37</v>
      </c>
      <c r="N4046" s="91">
        <f t="shared" si="792"/>
        <v>203.37</v>
      </c>
      <c r="O4046" s="411">
        <f t="shared" si="797"/>
        <v>52.233499999999992</v>
      </c>
      <c r="P4046" s="132" t="s">
        <v>52</v>
      </c>
      <c r="Q4046" s="232"/>
      <c r="R4046" s="411"/>
      <c r="T4046" s="134" t="s">
        <v>145</v>
      </c>
      <c r="U4046" s="267" t="s">
        <v>9068</v>
      </c>
      <c r="AA4046" s="218"/>
    </row>
    <row r="4047" spans="1:27" x14ac:dyDescent="0.25">
      <c r="A4047" s="405">
        <v>3003125</v>
      </c>
      <c r="B4047" s="406">
        <v>42563</v>
      </c>
      <c r="C4047" s="405" t="s">
        <v>237</v>
      </c>
      <c r="D4047" s="401" t="s">
        <v>9069</v>
      </c>
      <c r="E4047" s="120">
        <v>250</v>
      </c>
      <c r="F4047" s="133" t="s">
        <v>51</v>
      </c>
      <c r="G4047" s="404" t="s">
        <v>7486</v>
      </c>
      <c r="H4047" s="411">
        <v>400.95</v>
      </c>
      <c r="I4047" s="397">
        <f t="shared" si="798"/>
        <v>-60.142499999999998</v>
      </c>
      <c r="J4047" s="411">
        <v>0</v>
      </c>
      <c r="K4047" s="90">
        <f t="shared" si="794"/>
        <v>340.8075</v>
      </c>
      <c r="L4047" s="131">
        <v>1015</v>
      </c>
      <c r="M4047" s="187">
        <v>201.29</v>
      </c>
      <c r="N4047" s="91">
        <f t="shared" si="792"/>
        <v>455.03999999999996</v>
      </c>
      <c r="O4047" s="411">
        <f t="shared" si="797"/>
        <v>-114.23249999999996</v>
      </c>
      <c r="P4047" s="132" t="s">
        <v>52</v>
      </c>
      <c r="Q4047" s="232"/>
      <c r="R4047" s="411"/>
      <c r="T4047" s="134" t="s">
        <v>244</v>
      </c>
      <c r="U4047" s="266" t="s">
        <v>9070</v>
      </c>
      <c r="V4047" s="133" t="s">
        <v>55</v>
      </c>
      <c r="AA4047" s="218"/>
    </row>
    <row r="4048" spans="1:27" ht="24" x14ac:dyDescent="0.25">
      <c r="A4048" s="405">
        <v>3003126</v>
      </c>
      <c r="B4048" s="406">
        <v>42563</v>
      </c>
      <c r="C4048" s="405" t="s">
        <v>237</v>
      </c>
      <c r="D4048" s="401" t="s">
        <v>9071</v>
      </c>
      <c r="E4048" s="120">
        <v>50</v>
      </c>
      <c r="F4048" s="133" t="s">
        <v>431</v>
      </c>
      <c r="G4048" s="404" t="s">
        <v>7486</v>
      </c>
      <c r="H4048" s="411">
        <v>111.25</v>
      </c>
      <c r="I4048" s="397">
        <f t="shared" si="798"/>
        <v>-16.6875</v>
      </c>
      <c r="J4048" s="411">
        <v>0</v>
      </c>
      <c r="K4048" s="90">
        <f t="shared" si="794"/>
        <v>94.5625</v>
      </c>
      <c r="L4048" s="131">
        <v>990</v>
      </c>
      <c r="M4048" s="187">
        <v>40.79</v>
      </c>
      <c r="N4048" s="91">
        <f t="shared" si="792"/>
        <v>90.289999999999992</v>
      </c>
      <c r="O4048" s="411">
        <f t="shared" si="797"/>
        <v>4.272500000000008</v>
      </c>
      <c r="P4048" s="132" t="s">
        <v>52</v>
      </c>
      <c r="Q4048" s="232"/>
      <c r="R4048" s="411"/>
      <c r="T4048" s="134" t="s">
        <v>145</v>
      </c>
      <c r="U4048" s="267" t="s">
        <v>9072</v>
      </c>
      <c r="AA4048" s="218"/>
    </row>
    <row r="4049" spans="1:27" ht="24" x14ac:dyDescent="0.25">
      <c r="A4049" s="405">
        <v>3003127</v>
      </c>
      <c r="B4049" s="406">
        <v>42563</v>
      </c>
      <c r="C4049" s="405" t="s">
        <v>237</v>
      </c>
      <c r="D4049" s="401" t="s">
        <v>9073</v>
      </c>
      <c r="E4049" s="120">
        <v>100</v>
      </c>
      <c r="F4049" s="133" t="s">
        <v>2180</v>
      </c>
      <c r="G4049" s="404" t="s">
        <v>7486</v>
      </c>
      <c r="H4049" s="411">
        <v>193.04</v>
      </c>
      <c r="I4049" s="397">
        <f t="shared" si="798"/>
        <v>-28.955999999999996</v>
      </c>
      <c r="J4049" s="411">
        <v>0</v>
      </c>
      <c r="K4049" s="90">
        <f t="shared" si="794"/>
        <v>164.084</v>
      </c>
      <c r="L4049" s="131">
        <v>950</v>
      </c>
      <c r="M4049" s="187">
        <v>28.87</v>
      </c>
      <c r="N4049" s="91">
        <f t="shared" si="792"/>
        <v>123.87</v>
      </c>
      <c r="O4049" s="411">
        <f t="shared" si="797"/>
        <v>40.213999999999999</v>
      </c>
      <c r="P4049" s="132" t="s">
        <v>52</v>
      </c>
      <c r="Q4049" s="232"/>
      <c r="R4049" s="411"/>
      <c r="T4049" s="134" t="s">
        <v>145</v>
      </c>
      <c r="U4049" s="267" t="s">
        <v>9074</v>
      </c>
      <c r="AA4049" s="218"/>
    </row>
    <row r="4050" spans="1:27" ht="24" x14ac:dyDescent="0.25">
      <c r="A4050" s="405">
        <v>3003128</v>
      </c>
      <c r="B4050" s="406">
        <v>42563</v>
      </c>
      <c r="C4050" s="405" t="s">
        <v>237</v>
      </c>
      <c r="D4050" s="401" t="s">
        <v>9075</v>
      </c>
      <c r="E4050" s="120">
        <v>250</v>
      </c>
      <c r="F4050" s="133" t="s">
        <v>175</v>
      </c>
      <c r="G4050" s="404" t="s">
        <v>7486</v>
      </c>
      <c r="H4050" s="411">
        <v>159.54</v>
      </c>
      <c r="I4050" s="397">
        <f t="shared" si="798"/>
        <v>-23.930999999999997</v>
      </c>
      <c r="J4050" s="411">
        <v>0</v>
      </c>
      <c r="K4050" s="90">
        <f t="shared" si="794"/>
        <v>135.60899999999998</v>
      </c>
      <c r="L4050" s="131">
        <v>250</v>
      </c>
      <c r="M4050" s="187">
        <v>31.78</v>
      </c>
      <c r="N4050" s="91">
        <f t="shared" si="792"/>
        <v>94.28</v>
      </c>
      <c r="O4050" s="411">
        <f t="shared" si="797"/>
        <v>41.328999999999979</v>
      </c>
      <c r="P4050" s="132" t="s">
        <v>52</v>
      </c>
      <c r="Q4050" s="232"/>
      <c r="R4050" s="411"/>
      <c r="T4050" s="134" t="s">
        <v>145</v>
      </c>
      <c r="U4050" s="267" t="s">
        <v>9076</v>
      </c>
      <c r="AA4050" s="218"/>
    </row>
    <row r="4051" spans="1:27" x14ac:dyDescent="0.25">
      <c r="A4051" s="419">
        <v>3003129</v>
      </c>
      <c r="B4051" s="421">
        <v>42563</v>
      </c>
      <c r="C4051" s="419" t="s">
        <v>56</v>
      </c>
      <c r="D4051" s="429" t="s">
        <v>9077</v>
      </c>
      <c r="E4051" s="120">
        <v>1249</v>
      </c>
      <c r="F4051" s="133" t="s">
        <v>9078</v>
      </c>
      <c r="G4051" s="460" t="s">
        <v>7486</v>
      </c>
      <c r="H4051" s="427">
        <v>5007</v>
      </c>
      <c r="I4051" s="427">
        <v>0</v>
      </c>
      <c r="J4051" s="427">
        <v>0</v>
      </c>
      <c r="K4051" s="425">
        <f t="shared" si="794"/>
        <v>5007</v>
      </c>
      <c r="L4051" s="187">
        <v>700</v>
      </c>
      <c r="M4051" s="187">
        <v>120</v>
      </c>
      <c r="N4051" s="91">
        <f t="shared" si="792"/>
        <v>994.30000000000007</v>
      </c>
      <c r="O4051" s="411">
        <f t="shared" si="797"/>
        <v>4012.7</v>
      </c>
      <c r="P4051" s="132" t="s">
        <v>2846</v>
      </c>
      <c r="Q4051" s="232"/>
      <c r="R4051" s="411"/>
      <c r="T4051" s="134" t="s">
        <v>9079</v>
      </c>
      <c r="U4051" s="267" t="s">
        <v>9080</v>
      </c>
      <c r="V4051" s="133" t="s">
        <v>9081</v>
      </c>
      <c r="W4051" s="153" t="s">
        <v>9082</v>
      </c>
      <c r="AA4051" s="218"/>
    </row>
    <row r="4052" spans="1:27" x14ac:dyDescent="0.25">
      <c r="A4052" s="420"/>
      <c r="B4052" s="422"/>
      <c r="C4052" s="420"/>
      <c r="D4052" s="431"/>
      <c r="E4052" s="120">
        <v>1000</v>
      </c>
      <c r="F4052" s="133" t="s">
        <v>9083</v>
      </c>
      <c r="G4052" s="462"/>
      <c r="H4052" s="428"/>
      <c r="I4052" s="428"/>
      <c r="J4052" s="428"/>
      <c r="K4052" s="426"/>
      <c r="L4052" s="187">
        <v>700</v>
      </c>
      <c r="M4052" s="187">
        <v>100</v>
      </c>
      <c r="N4052" s="91">
        <f t="shared" si="792"/>
        <v>800</v>
      </c>
      <c r="O4052" s="411">
        <f t="shared" si="797"/>
        <v>-800</v>
      </c>
      <c r="P4052" s="132" t="s">
        <v>2846</v>
      </c>
      <c r="Q4052" s="232"/>
      <c r="R4052" s="411"/>
      <c r="T4052" s="134" t="s">
        <v>9084</v>
      </c>
      <c r="U4052" s="266"/>
      <c r="AA4052" s="218"/>
    </row>
    <row r="4053" spans="1:27" x14ac:dyDescent="0.25">
      <c r="A4053" s="419">
        <v>3003130</v>
      </c>
      <c r="B4053" s="421">
        <v>42563</v>
      </c>
      <c r="C4053" s="419" t="s">
        <v>63</v>
      </c>
      <c r="D4053" s="417" t="s">
        <v>9085</v>
      </c>
      <c r="E4053" s="120">
        <v>740</v>
      </c>
      <c r="F4053" s="133" t="s">
        <v>198</v>
      </c>
      <c r="G4053" s="434" t="s">
        <v>7486</v>
      </c>
      <c r="H4053" s="427">
        <v>2038.7</v>
      </c>
      <c r="I4053" s="427">
        <v>0</v>
      </c>
      <c r="J4053" s="425">
        <f>-((H4053*0.022)+0.3)</f>
        <v>-45.151399999999995</v>
      </c>
      <c r="K4053" s="425">
        <f t="shared" si="794"/>
        <v>1993.5486000000001</v>
      </c>
      <c r="L4053" s="131">
        <v>1693</v>
      </c>
      <c r="M4053" s="201">
        <v>177.2</v>
      </c>
      <c r="N4053" s="91">
        <f t="shared" si="792"/>
        <v>1430.02</v>
      </c>
      <c r="O4053" s="411">
        <f t="shared" si="797"/>
        <v>563.5286000000001</v>
      </c>
      <c r="P4053" s="132" t="s">
        <v>52</v>
      </c>
      <c r="Q4053" s="232"/>
      <c r="R4053" s="411"/>
      <c r="T4053" s="134" t="s">
        <v>875</v>
      </c>
      <c r="U4053" s="267" t="s">
        <v>9086</v>
      </c>
      <c r="V4053" s="133" t="s">
        <v>55</v>
      </c>
      <c r="W4053" s="153" t="s">
        <v>9087</v>
      </c>
      <c r="AA4053" s="473">
        <v>10</v>
      </c>
    </row>
    <row r="4054" spans="1:27" ht="24" x14ac:dyDescent="0.25">
      <c r="A4054" s="420"/>
      <c r="B4054" s="422"/>
      <c r="C4054" s="420"/>
      <c r="D4054" s="418"/>
      <c r="E4054" s="120">
        <v>370</v>
      </c>
      <c r="F4054" s="133" t="s">
        <v>7846</v>
      </c>
      <c r="G4054" s="436"/>
      <c r="H4054" s="428"/>
      <c r="I4054" s="428"/>
      <c r="J4054" s="426"/>
      <c r="K4054" s="426"/>
      <c r="L4054" s="187">
        <v>370</v>
      </c>
      <c r="M4054" s="202">
        <v>43.67</v>
      </c>
      <c r="N4054" s="91">
        <f t="shared" si="792"/>
        <v>180.57</v>
      </c>
      <c r="O4054" s="411">
        <f t="shared" si="797"/>
        <v>-180.57</v>
      </c>
      <c r="P4054" s="132" t="s">
        <v>183</v>
      </c>
      <c r="Q4054" s="232"/>
      <c r="R4054" s="411"/>
      <c r="T4054" s="134" t="s">
        <v>145</v>
      </c>
      <c r="U4054" s="267" t="s">
        <v>9088</v>
      </c>
      <c r="V4054" s="133" t="s">
        <v>9089</v>
      </c>
      <c r="AA4054" s="474"/>
    </row>
    <row r="4055" spans="1:27" ht="24" x14ac:dyDescent="0.25">
      <c r="A4055" s="419">
        <v>3003131</v>
      </c>
      <c r="B4055" s="421">
        <v>42563</v>
      </c>
      <c r="C4055" s="419" t="s">
        <v>63</v>
      </c>
      <c r="D4055" s="429" t="s">
        <v>9090</v>
      </c>
      <c r="E4055" s="120">
        <v>5062</v>
      </c>
      <c r="F4055" s="119" t="s">
        <v>9091</v>
      </c>
      <c r="G4055" s="434" t="s">
        <v>7486</v>
      </c>
      <c r="H4055" s="427">
        <v>29717</v>
      </c>
      <c r="I4055" s="427">
        <v>0</v>
      </c>
      <c r="J4055" s="425">
        <f>-((H4055*0.022)+0.3)</f>
        <v>-654.07399999999996</v>
      </c>
      <c r="K4055" s="425">
        <f t="shared" si="794"/>
        <v>29062.925999999999</v>
      </c>
      <c r="L4055" s="187">
        <v>2070</v>
      </c>
      <c r="M4055" s="131">
        <v>0</v>
      </c>
      <c r="N4055" s="91">
        <f t="shared" si="792"/>
        <v>10478.34</v>
      </c>
      <c r="O4055" s="411">
        <f t="shared" si="797"/>
        <v>18584.585999999999</v>
      </c>
      <c r="P4055" s="132" t="s">
        <v>59</v>
      </c>
      <c r="Q4055" s="232"/>
      <c r="R4055" s="411"/>
      <c r="T4055" s="250" t="s">
        <v>9092</v>
      </c>
      <c r="W4055" s="153" t="s">
        <v>7150</v>
      </c>
      <c r="AA4055" s="526">
        <v>100</v>
      </c>
    </row>
    <row r="4056" spans="1:27" ht="24" x14ac:dyDescent="0.25">
      <c r="A4056" s="432"/>
      <c r="B4056" s="433"/>
      <c r="C4056" s="432"/>
      <c r="D4056" s="430"/>
      <c r="E4056" s="120">
        <v>1000</v>
      </c>
      <c r="F4056" s="119" t="s">
        <v>9093</v>
      </c>
      <c r="G4056" s="435"/>
      <c r="H4056" s="438"/>
      <c r="I4056" s="438"/>
      <c r="J4056" s="437"/>
      <c r="K4056" s="437"/>
      <c r="L4056" s="187">
        <v>1630</v>
      </c>
      <c r="M4056" s="187">
        <v>101.09</v>
      </c>
      <c r="N4056" s="91">
        <f t="shared" si="792"/>
        <v>1731.09</v>
      </c>
      <c r="O4056" s="411">
        <f t="shared" si="797"/>
        <v>-1731.09</v>
      </c>
      <c r="P4056" s="132" t="s">
        <v>2816</v>
      </c>
      <c r="Q4056" s="232"/>
      <c r="R4056" s="411"/>
      <c r="T4056" s="135" t="s">
        <v>2652</v>
      </c>
      <c r="U4056" s="306" t="s">
        <v>9094</v>
      </c>
      <c r="AA4056" s="540"/>
    </row>
    <row r="4057" spans="1:27" x14ac:dyDescent="0.25">
      <c r="A4057" s="420"/>
      <c r="B4057" s="422"/>
      <c r="C4057" s="420"/>
      <c r="D4057" s="431"/>
      <c r="E4057" s="120">
        <v>1108</v>
      </c>
      <c r="F4057" s="133" t="s">
        <v>9095</v>
      </c>
      <c r="G4057" s="436"/>
      <c r="H4057" s="428"/>
      <c r="I4057" s="428"/>
      <c r="J4057" s="426"/>
      <c r="K4057" s="426"/>
      <c r="L4057" s="187">
        <v>12380</v>
      </c>
      <c r="M4057" s="131">
        <v>0</v>
      </c>
      <c r="N4057" s="91">
        <f t="shared" si="792"/>
        <v>13717.04</v>
      </c>
      <c r="O4057" s="411">
        <f t="shared" si="797"/>
        <v>-13717.04</v>
      </c>
      <c r="P4057" s="132" t="s">
        <v>66</v>
      </c>
      <c r="Q4057" s="232"/>
      <c r="R4057" s="411"/>
      <c r="T4057" s="134" t="s">
        <v>9096</v>
      </c>
      <c r="U4057" s="266" t="s">
        <v>9097</v>
      </c>
      <c r="AA4057" s="527"/>
    </row>
    <row r="4058" spans="1:27" ht="24" x14ac:dyDescent="0.25">
      <c r="A4058" s="405">
        <v>3003132</v>
      </c>
      <c r="B4058" s="406">
        <v>42564</v>
      </c>
      <c r="C4058" s="405" t="s">
        <v>63</v>
      </c>
      <c r="D4058" s="401" t="s">
        <v>9098</v>
      </c>
      <c r="E4058" s="120">
        <v>100</v>
      </c>
      <c r="F4058" s="133" t="s">
        <v>9099</v>
      </c>
      <c r="G4058" s="404" t="s">
        <v>7486</v>
      </c>
      <c r="H4058" s="411">
        <v>600</v>
      </c>
      <c r="I4058" s="411">
        <v>0</v>
      </c>
      <c r="J4058" s="391">
        <f>-((H4058*0.022)+0.3)</f>
        <v>-13.5</v>
      </c>
      <c r="K4058" s="90">
        <f t="shared" ref="K4058:K4102" si="799">SUM(H4058:J4058)</f>
        <v>586.5</v>
      </c>
      <c r="L4058" s="187">
        <v>2500</v>
      </c>
      <c r="M4058" s="187">
        <v>27.13</v>
      </c>
      <c r="N4058" s="91">
        <f t="shared" si="792"/>
        <v>277.13</v>
      </c>
      <c r="O4058" s="411">
        <f t="shared" si="797"/>
        <v>309.37</v>
      </c>
      <c r="P4058" s="132" t="s">
        <v>183</v>
      </c>
      <c r="Q4058" s="232"/>
      <c r="R4058" s="411"/>
      <c r="T4058" s="134" t="s">
        <v>145</v>
      </c>
      <c r="U4058" s="267" t="s">
        <v>9100</v>
      </c>
      <c r="W4058" s="153" t="s">
        <v>9101</v>
      </c>
      <c r="AA4058" s="218"/>
    </row>
    <row r="4059" spans="1:27" ht="24" customHeight="1" x14ac:dyDescent="0.25">
      <c r="A4059" s="419">
        <v>3003133</v>
      </c>
      <c r="B4059" s="421">
        <v>42564</v>
      </c>
      <c r="C4059" s="419" t="s">
        <v>141</v>
      </c>
      <c r="D4059" s="417" t="s">
        <v>9102</v>
      </c>
      <c r="E4059" s="120">
        <v>350</v>
      </c>
      <c r="F4059" s="133" t="s">
        <v>307</v>
      </c>
      <c r="G4059" s="434" t="s">
        <v>7486</v>
      </c>
      <c r="H4059" s="427">
        <v>917.5</v>
      </c>
      <c r="I4059" s="427">
        <v>0</v>
      </c>
      <c r="J4059" s="425">
        <f>-((H4059*0.0325)+0.3)</f>
        <v>-30.118750000000002</v>
      </c>
      <c r="K4059" s="425">
        <f t="shared" si="799"/>
        <v>887.38125000000002</v>
      </c>
      <c r="L4059" s="131">
        <v>690</v>
      </c>
      <c r="M4059" s="510">
        <v>91.27</v>
      </c>
      <c r="N4059" s="91">
        <f t="shared" si="792"/>
        <v>332.77000000000004</v>
      </c>
      <c r="O4059" s="411">
        <f t="shared" si="797"/>
        <v>554.61124999999993</v>
      </c>
      <c r="P4059" s="132" t="s">
        <v>52</v>
      </c>
      <c r="Q4059" s="232"/>
      <c r="R4059" s="411"/>
      <c r="T4059" s="470" t="s">
        <v>2093</v>
      </c>
      <c r="U4059" s="446" t="s">
        <v>9103</v>
      </c>
      <c r="W4059" s="153" t="s">
        <v>9104</v>
      </c>
      <c r="AA4059" s="218"/>
    </row>
    <row r="4060" spans="1:27" x14ac:dyDescent="0.25">
      <c r="A4060" s="420"/>
      <c r="B4060" s="422"/>
      <c r="C4060" s="420"/>
      <c r="D4060" s="418"/>
      <c r="E4060" s="120">
        <v>250</v>
      </c>
      <c r="F4060" s="133" t="s">
        <v>161</v>
      </c>
      <c r="G4060" s="436"/>
      <c r="H4060" s="428"/>
      <c r="I4060" s="428"/>
      <c r="J4060" s="426"/>
      <c r="K4060" s="426"/>
      <c r="L4060" s="131">
        <v>1322</v>
      </c>
      <c r="M4060" s="512"/>
      <c r="N4060" s="91">
        <f t="shared" si="792"/>
        <v>330.5</v>
      </c>
      <c r="O4060" s="411">
        <f t="shared" si="797"/>
        <v>-330.5</v>
      </c>
      <c r="P4060" s="132" t="s">
        <v>52</v>
      </c>
      <c r="Q4060" s="232"/>
      <c r="R4060" s="411"/>
      <c r="T4060" s="472"/>
      <c r="U4060" s="447"/>
      <c r="AA4060" s="218"/>
    </row>
    <row r="4061" spans="1:27" x14ac:dyDescent="0.25">
      <c r="A4061" s="405">
        <v>3003134</v>
      </c>
      <c r="B4061" s="406">
        <v>42564</v>
      </c>
      <c r="C4061" s="405" t="s">
        <v>78</v>
      </c>
      <c r="D4061" s="401" t="s">
        <v>4006</v>
      </c>
      <c r="E4061" s="120">
        <v>1000</v>
      </c>
      <c r="F4061" s="133" t="s">
        <v>9105</v>
      </c>
      <c r="G4061" s="404" t="s">
        <v>7486</v>
      </c>
      <c r="H4061" s="411">
        <v>1380</v>
      </c>
      <c r="I4061" s="411">
        <v>0</v>
      </c>
      <c r="J4061" s="391">
        <f t="shared" ref="J4061:J4065" si="800">-((H4061*0.019)+0.3)</f>
        <v>-26.52</v>
      </c>
      <c r="K4061" s="90">
        <f t="shared" si="799"/>
        <v>1353.48</v>
      </c>
      <c r="L4061" s="187">
        <v>986</v>
      </c>
      <c r="M4061" s="187">
        <v>105</v>
      </c>
      <c r="N4061" s="91">
        <f t="shared" si="792"/>
        <v>1091</v>
      </c>
      <c r="O4061" s="411">
        <f t="shared" si="797"/>
        <v>262.48</v>
      </c>
      <c r="P4061" s="132" t="s">
        <v>183</v>
      </c>
      <c r="Q4061" s="232"/>
      <c r="R4061" s="411"/>
      <c r="T4061" s="134" t="s">
        <v>576</v>
      </c>
      <c r="U4061" s="267" t="s">
        <v>9106</v>
      </c>
      <c r="W4061" s="153" t="s">
        <v>4009</v>
      </c>
      <c r="AA4061" s="218"/>
    </row>
    <row r="4062" spans="1:27" ht="24" x14ac:dyDescent="0.25">
      <c r="A4062" s="405">
        <v>3003135</v>
      </c>
      <c r="B4062" s="406">
        <v>42564</v>
      </c>
      <c r="C4062" s="405" t="s">
        <v>5682</v>
      </c>
      <c r="D4062" s="401" t="s">
        <v>8273</v>
      </c>
      <c r="E4062" s="120">
        <v>500</v>
      </c>
      <c r="F4062" s="133" t="s">
        <v>1137</v>
      </c>
      <c r="G4062" s="404" t="s">
        <v>7486</v>
      </c>
      <c r="H4062" s="411">
        <v>230</v>
      </c>
      <c r="I4062" s="89">
        <f t="shared" ref="I4062:I4065" si="801">-(H4062*0.09)</f>
        <v>-20.7</v>
      </c>
      <c r="J4062" s="391">
        <f t="shared" si="800"/>
        <v>-4.67</v>
      </c>
      <c r="K4062" s="90">
        <f t="shared" si="799"/>
        <v>204.63000000000002</v>
      </c>
      <c r="L4062" s="131">
        <v>220</v>
      </c>
      <c r="M4062" s="187">
        <v>37.479999999999997</v>
      </c>
      <c r="N4062" s="91">
        <f t="shared" si="792"/>
        <v>147.47999999999999</v>
      </c>
      <c r="O4062" s="411">
        <f t="shared" si="797"/>
        <v>57.150000000000034</v>
      </c>
      <c r="P4062" s="132" t="s">
        <v>52</v>
      </c>
      <c r="Q4062" s="232"/>
      <c r="R4062" s="411"/>
      <c r="T4062" s="134" t="s">
        <v>145</v>
      </c>
      <c r="U4062" s="267" t="s">
        <v>9107</v>
      </c>
      <c r="AA4062" s="218"/>
    </row>
    <row r="4063" spans="1:27" ht="24" x14ac:dyDescent="0.25">
      <c r="A4063" s="405">
        <v>3003136</v>
      </c>
      <c r="B4063" s="406">
        <v>42564</v>
      </c>
      <c r="C4063" s="405" t="s">
        <v>5682</v>
      </c>
      <c r="D4063" s="401" t="s">
        <v>9108</v>
      </c>
      <c r="E4063" s="120">
        <v>125</v>
      </c>
      <c r="F4063" s="133" t="s">
        <v>247</v>
      </c>
      <c r="G4063" s="404" t="s">
        <v>7486</v>
      </c>
      <c r="H4063" s="411">
        <v>154.22999999999999</v>
      </c>
      <c r="I4063" s="89">
        <f t="shared" si="801"/>
        <v>-13.880699999999999</v>
      </c>
      <c r="J4063" s="391">
        <f t="shared" si="800"/>
        <v>-3.2303699999999997</v>
      </c>
      <c r="K4063" s="90">
        <f t="shared" si="799"/>
        <v>137.11893000000001</v>
      </c>
      <c r="L4063" s="131">
        <v>480</v>
      </c>
      <c r="M4063" s="187">
        <v>37.46</v>
      </c>
      <c r="N4063" s="91">
        <f t="shared" si="792"/>
        <v>97.460000000000008</v>
      </c>
      <c r="O4063" s="411">
        <f t="shared" si="797"/>
        <v>39.658929999999998</v>
      </c>
      <c r="P4063" s="132" t="s">
        <v>52</v>
      </c>
      <c r="Q4063" s="232"/>
      <c r="R4063" s="411"/>
      <c r="T4063" s="134" t="s">
        <v>145</v>
      </c>
      <c r="U4063" s="267" t="s">
        <v>9109</v>
      </c>
      <c r="AA4063" s="218"/>
    </row>
    <row r="4064" spans="1:27" ht="24" x14ac:dyDescent="0.25">
      <c r="A4064" s="405">
        <v>3003137</v>
      </c>
      <c r="B4064" s="406">
        <v>42564</v>
      </c>
      <c r="C4064" s="405" t="s">
        <v>5682</v>
      </c>
      <c r="D4064" s="401" t="s">
        <v>9110</v>
      </c>
      <c r="E4064" s="120">
        <v>250</v>
      </c>
      <c r="F4064" s="133" t="s">
        <v>2408</v>
      </c>
      <c r="G4064" s="404" t="s">
        <v>7486</v>
      </c>
      <c r="H4064" s="411">
        <v>511.83</v>
      </c>
      <c r="I4064" s="89">
        <f t="shared" si="801"/>
        <v>-46.064699999999995</v>
      </c>
      <c r="J4064" s="391">
        <f t="shared" si="800"/>
        <v>-10.02477</v>
      </c>
      <c r="K4064" s="90">
        <f t="shared" si="799"/>
        <v>455.74052999999998</v>
      </c>
      <c r="L4064" s="224" t="s">
        <v>9111</v>
      </c>
      <c r="M4064" s="131">
        <v>0</v>
      </c>
      <c r="N4064" s="91" t="e">
        <f t="shared" si="792"/>
        <v>#VALUE!</v>
      </c>
      <c r="O4064" s="411" t="e">
        <f t="shared" si="797"/>
        <v>#VALUE!</v>
      </c>
      <c r="P4064" s="132" t="s">
        <v>601</v>
      </c>
      <c r="Q4064" s="232"/>
      <c r="R4064" s="411"/>
      <c r="T4064" s="134" t="s">
        <v>260</v>
      </c>
      <c r="U4064" s="267" t="s">
        <v>9112</v>
      </c>
      <c r="AA4064" s="218"/>
    </row>
    <row r="4065" spans="1:27" ht="24" x14ac:dyDescent="0.25">
      <c r="A4065" s="405">
        <v>3003138</v>
      </c>
      <c r="B4065" s="406">
        <v>42564</v>
      </c>
      <c r="C4065" s="405" t="s">
        <v>5682</v>
      </c>
      <c r="D4065" s="401" t="s">
        <v>9113</v>
      </c>
      <c r="E4065" s="120">
        <v>100</v>
      </c>
      <c r="F4065" s="133" t="s">
        <v>9114</v>
      </c>
      <c r="G4065" s="404" t="s">
        <v>7486</v>
      </c>
      <c r="H4065" s="411">
        <v>264.68</v>
      </c>
      <c r="I4065" s="89">
        <f t="shared" si="801"/>
        <v>-23.821200000000001</v>
      </c>
      <c r="J4065" s="391">
        <f t="shared" si="800"/>
        <v>-5.3289200000000001</v>
      </c>
      <c r="K4065" s="90">
        <f t="shared" si="799"/>
        <v>235.52987999999999</v>
      </c>
      <c r="L4065" s="187">
        <v>1980</v>
      </c>
      <c r="M4065" s="187">
        <v>27.76</v>
      </c>
      <c r="N4065" s="91">
        <f t="shared" si="792"/>
        <v>225.76</v>
      </c>
      <c r="O4065" s="411">
        <f t="shared" si="797"/>
        <v>9.7698800000000006</v>
      </c>
      <c r="P4065" s="132" t="s">
        <v>183</v>
      </c>
      <c r="Q4065" s="232"/>
      <c r="R4065" s="411"/>
      <c r="T4065" s="134" t="s">
        <v>145</v>
      </c>
      <c r="U4065" s="267" t="s">
        <v>9115</v>
      </c>
      <c r="AA4065" s="218"/>
    </row>
    <row r="4066" spans="1:27" x14ac:dyDescent="0.25">
      <c r="A4066" s="405">
        <v>3003139</v>
      </c>
      <c r="B4066" s="406">
        <v>42564</v>
      </c>
      <c r="C4066" s="405" t="s">
        <v>237</v>
      </c>
      <c r="D4066" s="401" t="s">
        <v>9116</v>
      </c>
      <c r="E4066" s="120">
        <v>750</v>
      </c>
      <c r="F4066" s="133" t="s">
        <v>51</v>
      </c>
      <c r="G4066" s="404" t="s">
        <v>7486</v>
      </c>
      <c r="H4066" s="411">
        <v>1108.0999999999999</v>
      </c>
      <c r="I4066" s="397">
        <f t="shared" ref="I4066:I4075" si="802">-(H4066*0.15)</f>
        <v>-166.21499999999997</v>
      </c>
      <c r="J4066" s="411">
        <v>0</v>
      </c>
      <c r="K4066" s="90">
        <f t="shared" si="799"/>
        <v>941.88499999999999</v>
      </c>
      <c r="L4066" s="131">
        <v>1015</v>
      </c>
      <c r="M4066" s="187">
        <v>314.04000000000002</v>
      </c>
      <c r="N4066" s="91">
        <f t="shared" si="792"/>
        <v>1075.29</v>
      </c>
      <c r="O4066" s="411">
        <f t="shared" si="797"/>
        <v>-133.40499999999997</v>
      </c>
      <c r="P4066" s="132" t="s">
        <v>52</v>
      </c>
      <c r="Q4066" s="232"/>
      <c r="R4066" s="411"/>
      <c r="T4066" s="134" t="s">
        <v>9117</v>
      </c>
      <c r="U4066" s="267" t="s">
        <v>9118</v>
      </c>
      <c r="V4066" s="133" t="s">
        <v>55</v>
      </c>
      <c r="AA4066" s="218"/>
    </row>
    <row r="4067" spans="1:27" ht="24" x14ac:dyDescent="0.25">
      <c r="A4067" s="405">
        <v>3003140</v>
      </c>
      <c r="B4067" s="406">
        <v>42564</v>
      </c>
      <c r="C4067" s="405" t="s">
        <v>237</v>
      </c>
      <c r="D4067" s="401" t="s">
        <v>9119</v>
      </c>
      <c r="E4067" s="120">
        <v>100</v>
      </c>
      <c r="F4067" s="133" t="s">
        <v>161</v>
      </c>
      <c r="G4067" s="404" t="s">
        <v>7486</v>
      </c>
      <c r="H4067" s="411">
        <v>228.45</v>
      </c>
      <c r="I4067" s="397">
        <f t="shared" si="802"/>
        <v>-34.267499999999998</v>
      </c>
      <c r="J4067" s="411">
        <v>0</v>
      </c>
      <c r="K4067" s="90">
        <f t="shared" si="799"/>
        <v>194.1825</v>
      </c>
      <c r="L4067" s="131">
        <v>1322</v>
      </c>
      <c r="M4067" s="187">
        <f>52.07+5</f>
        <v>57.07</v>
      </c>
      <c r="N4067" s="91">
        <f t="shared" si="792"/>
        <v>189.27</v>
      </c>
      <c r="O4067" s="411">
        <f t="shared" si="797"/>
        <v>4.9124999999999943</v>
      </c>
      <c r="P4067" s="132" t="s">
        <v>52</v>
      </c>
      <c r="Q4067" s="232"/>
      <c r="R4067" s="411"/>
      <c r="T4067" s="134" t="s">
        <v>145</v>
      </c>
      <c r="U4067" s="267" t="s">
        <v>9120</v>
      </c>
      <c r="AA4067" s="218"/>
    </row>
    <row r="4068" spans="1:27" ht="24" x14ac:dyDescent="0.25">
      <c r="A4068" s="405">
        <v>3003141</v>
      </c>
      <c r="B4068" s="406">
        <v>42564</v>
      </c>
      <c r="C4068" s="405" t="s">
        <v>237</v>
      </c>
      <c r="D4068" s="401" t="s">
        <v>9121</v>
      </c>
      <c r="E4068" s="120">
        <v>500</v>
      </c>
      <c r="F4068" s="133" t="s">
        <v>7193</v>
      </c>
      <c r="G4068" s="404" t="s">
        <v>7486</v>
      </c>
      <c r="H4068" s="411">
        <v>322.32</v>
      </c>
      <c r="I4068" s="397">
        <f t="shared" si="802"/>
        <v>-48.347999999999999</v>
      </c>
      <c r="J4068" s="411">
        <v>0</v>
      </c>
      <c r="K4068" s="90">
        <f t="shared" si="799"/>
        <v>273.97199999999998</v>
      </c>
      <c r="L4068" s="131">
        <v>407</v>
      </c>
      <c r="M4068" s="187">
        <f>17.23+114.13+5+5</f>
        <v>141.35999999999999</v>
      </c>
      <c r="N4068" s="91">
        <f t="shared" si="792"/>
        <v>344.86</v>
      </c>
      <c r="O4068" s="411">
        <f t="shared" si="797"/>
        <v>-70.888000000000034</v>
      </c>
      <c r="P4068" s="132" t="s">
        <v>52</v>
      </c>
      <c r="Q4068" s="232"/>
      <c r="R4068" s="411"/>
      <c r="T4068" s="134" t="s">
        <v>145</v>
      </c>
      <c r="U4068" s="266" t="s">
        <v>9122</v>
      </c>
      <c r="AA4068" s="218"/>
    </row>
    <row r="4069" spans="1:27" ht="24" x14ac:dyDescent="0.25">
      <c r="A4069" s="405">
        <v>3003142</v>
      </c>
      <c r="B4069" s="406">
        <v>42564</v>
      </c>
      <c r="C4069" s="405" t="s">
        <v>237</v>
      </c>
      <c r="D4069" s="401" t="s">
        <v>9123</v>
      </c>
      <c r="E4069" s="120">
        <v>150</v>
      </c>
      <c r="F4069" s="133" t="s">
        <v>829</v>
      </c>
      <c r="G4069" s="404" t="s">
        <v>7486</v>
      </c>
      <c r="H4069" s="411">
        <v>126.01</v>
      </c>
      <c r="I4069" s="397">
        <f t="shared" si="802"/>
        <v>-18.901499999999999</v>
      </c>
      <c r="J4069" s="411">
        <v>0</v>
      </c>
      <c r="K4069" s="90">
        <f t="shared" si="799"/>
        <v>107.10850000000001</v>
      </c>
      <c r="L4069" s="131">
        <v>510</v>
      </c>
      <c r="M4069" s="187">
        <v>36.049999999999997</v>
      </c>
      <c r="N4069" s="91">
        <f t="shared" si="792"/>
        <v>112.55</v>
      </c>
      <c r="O4069" s="411">
        <f t="shared" si="797"/>
        <v>-5.4414999999999907</v>
      </c>
      <c r="P4069" s="132" t="s">
        <v>52</v>
      </c>
      <c r="Q4069" s="232"/>
      <c r="R4069" s="411"/>
      <c r="T4069" s="134" t="s">
        <v>145</v>
      </c>
      <c r="U4069" s="267" t="s">
        <v>9124</v>
      </c>
      <c r="AA4069" s="218"/>
    </row>
    <row r="4070" spans="1:27" ht="24" x14ac:dyDescent="0.25">
      <c r="A4070" s="405">
        <v>3003143</v>
      </c>
      <c r="B4070" s="406">
        <v>42564</v>
      </c>
      <c r="C4070" s="405" t="s">
        <v>237</v>
      </c>
      <c r="D4070" s="401" t="s">
        <v>9125</v>
      </c>
      <c r="E4070" s="120">
        <v>75</v>
      </c>
      <c r="F4070" s="133" t="s">
        <v>165</v>
      </c>
      <c r="G4070" s="404" t="s">
        <v>7486</v>
      </c>
      <c r="H4070" s="411">
        <v>164.73</v>
      </c>
      <c r="I4070" s="397">
        <f t="shared" si="802"/>
        <v>-24.709499999999998</v>
      </c>
      <c r="J4070" s="411">
        <v>0</v>
      </c>
      <c r="K4070" s="90">
        <f t="shared" si="799"/>
        <v>140.0205</v>
      </c>
      <c r="L4070" s="131">
        <v>375</v>
      </c>
      <c r="M4070" s="187">
        <f>15.66+5</f>
        <v>20.66</v>
      </c>
      <c r="N4070" s="91">
        <f t="shared" si="792"/>
        <v>48.784999999999997</v>
      </c>
      <c r="O4070" s="411">
        <f t="shared" si="797"/>
        <v>91.235500000000002</v>
      </c>
      <c r="P4070" s="132" t="s">
        <v>52</v>
      </c>
      <c r="Q4070" s="232"/>
      <c r="R4070" s="411"/>
      <c r="T4070" s="134" t="s">
        <v>145</v>
      </c>
      <c r="U4070" s="267" t="s">
        <v>9126</v>
      </c>
      <c r="AA4070" s="218"/>
    </row>
    <row r="4071" spans="1:27" ht="24" x14ac:dyDescent="0.25">
      <c r="A4071" s="405">
        <v>3003144</v>
      </c>
      <c r="B4071" s="406">
        <v>42564</v>
      </c>
      <c r="C4071" s="405" t="s">
        <v>237</v>
      </c>
      <c r="D4071" s="401" t="s">
        <v>9127</v>
      </c>
      <c r="E4071" s="120">
        <v>200</v>
      </c>
      <c r="F4071" s="133" t="s">
        <v>9128</v>
      </c>
      <c r="G4071" s="404" t="s">
        <v>7486</v>
      </c>
      <c r="H4071" s="411">
        <v>104.64</v>
      </c>
      <c r="I4071" s="397">
        <f t="shared" si="802"/>
        <v>-15.696</v>
      </c>
      <c r="J4071" s="411">
        <v>0</v>
      </c>
      <c r="K4071" s="90">
        <f t="shared" si="799"/>
        <v>88.944000000000003</v>
      </c>
      <c r="L4071" s="187">
        <v>230</v>
      </c>
      <c r="M4071" s="187">
        <v>12.92</v>
      </c>
      <c r="N4071" s="91">
        <f t="shared" si="792"/>
        <v>58.92</v>
      </c>
      <c r="O4071" s="411">
        <f t="shared" si="797"/>
        <v>30.024000000000001</v>
      </c>
      <c r="P4071" s="132" t="s">
        <v>235</v>
      </c>
      <c r="Q4071" s="232"/>
      <c r="R4071" s="411"/>
      <c r="T4071" s="134" t="s">
        <v>145</v>
      </c>
      <c r="U4071" s="267" t="s">
        <v>9129</v>
      </c>
      <c r="AA4071" s="218"/>
    </row>
    <row r="4072" spans="1:27" x14ac:dyDescent="0.25">
      <c r="A4072" s="405">
        <v>3003145</v>
      </c>
      <c r="B4072" s="406">
        <v>42564</v>
      </c>
      <c r="C4072" s="405" t="s">
        <v>237</v>
      </c>
      <c r="D4072" s="401" t="s">
        <v>9130</v>
      </c>
      <c r="E4072" s="120">
        <v>125</v>
      </c>
      <c r="F4072" s="133" t="s">
        <v>9131</v>
      </c>
      <c r="G4072" s="404" t="s">
        <v>7486</v>
      </c>
      <c r="H4072" s="411">
        <v>210</v>
      </c>
      <c r="I4072" s="397">
        <f t="shared" si="802"/>
        <v>-31.5</v>
      </c>
      <c r="J4072" s="411">
        <v>0</v>
      </c>
      <c r="K4072" s="90">
        <f t="shared" si="799"/>
        <v>178.5</v>
      </c>
      <c r="L4072" s="187">
        <v>1231.72</v>
      </c>
      <c r="M4072" s="187">
        <v>10.38</v>
      </c>
      <c r="N4072" s="91">
        <f t="shared" si="792"/>
        <v>164.345</v>
      </c>
      <c r="O4072" s="411">
        <f t="shared" si="797"/>
        <v>14.155000000000001</v>
      </c>
      <c r="P4072" s="132" t="s">
        <v>621</v>
      </c>
      <c r="Q4072" s="232"/>
      <c r="R4072" s="411"/>
      <c r="T4072" s="134" t="s">
        <v>314</v>
      </c>
      <c r="U4072" s="267" t="s">
        <v>9132</v>
      </c>
      <c r="AA4072" s="218"/>
    </row>
    <row r="4073" spans="1:27" ht="24" x14ac:dyDescent="0.25">
      <c r="A4073" s="405">
        <v>3003146</v>
      </c>
      <c r="B4073" s="406">
        <v>42564</v>
      </c>
      <c r="C4073" s="405" t="s">
        <v>237</v>
      </c>
      <c r="D4073" s="401" t="s">
        <v>9133</v>
      </c>
      <c r="E4073" s="120">
        <v>100</v>
      </c>
      <c r="F4073" s="133" t="s">
        <v>247</v>
      </c>
      <c r="G4073" s="404" t="s">
        <v>7486</v>
      </c>
      <c r="H4073" s="411">
        <v>112.46</v>
      </c>
      <c r="I4073" s="397">
        <f t="shared" si="802"/>
        <v>-16.869</v>
      </c>
      <c r="J4073" s="411">
        <v>0</v>
      </c>
      <c r="K4073" s="90">
        <f t="shared" si="799"/>
        <v>95.590999999999994</v>
      </c>
      <c r="L4073" s="131">
        <v>480</v>
      </c>
      <c r="N4073" s="91">
        <f t="shared" si="792"/>
        <v>48</v>
      </c>
      <c r="O4073" s="411">
        <f t="shared" si="797"/>
        <v>47.590999999999994</v>
      </c>
      <c r="P4073" s="132" t="s">
        <v>52</v>
      </c>
      <c r="Q4073" s="232"/>
      <c r="R4073" s="411"/>
      <c r="T4073" s="134" t="s">
        <v>145</v>
      </c>
      <c r="U4073" s="267" t="s">
        <v>9134</v>
      </c>
      <c r="AA4073" s="218"/>
    </row>
    <row r="4074" spans="1:27" ht="24" x14ac:dyDescent="0.25">
      <c r="A4074" s="405">
        <v>3003147</v>
      </c>
      <c r="B4074" s="406">
        <v>42564</v>
      </c>
      <c r="C4074" s="405" t="s">
        <v>237</v>
      </c>
      <c r="D4074" s="401" t="s">
        <v>9135</v>
      </c>
      <c r="E4074" s="120">
        <v>100</v>
      </c>
      <c r="F4074" s="133" t="s">
        <v>161</v>
      </c>
      <c r="G4074" s="404" t="s">
        <v>7486</v>
      </c>
      <c r="H4074" s="411">
        <v>226.11</v>
      </c>
      <c r="I4074" s="397">
        <f t="shared" si="802"/>
        <v>-33.916499999999999</v>
      </c>
      <c r="J4074" s="411">
        <v>0</v>
      </c>
      <c r="K4074" s="90">
        <f t="shared" si="799"/>
        <v>192.19350000000003</v>
      </c>
      <c r="L4074" s="131">
        <v>1322</v>
      </c>
      <c r="M4074" s="187">
        <f>57.03+5</f>
        <v>62.03</v>
      </c>
      <c r="N4074" s="91">
        <f t="shared" si="792"/>
        <v>194.23000000000002</v>
      </c>
      <c r="O4074" s="411">
        <f t="shared" si="797"/>
        <v>-2.0364999999999895</v>
      </c>
      <c r="P4074" s="132" t="s">
        <v>52</v>
      </c>
      <c r="Q4074" s="232"/>
      <c r="R4074" s="411"/>
      <c r="T4074" s="134" t="s">
        <v>145</v>
      </c>
      <c r="U4074" s="267" t="s">
        <v>9136</v>
      </c>
      <c r="AA4074" s="218"/>
    </row>
    <row r="4075" spans="1:27" ht="24" x14ac:dyDescent="0.25">
      <c r="A4075" s="405">
        <v>3003148</v>
      </c>
      <c r="B4075" s="406">
        <v>42564</v>
      </c>
      <c r="C4075" s="405" t="s">
        <v>5682</v>
      </c>
      <c r="D4075" s="401" t="s">
        <v>9137</v>
      </c>
      <c r="E4075" s="120">
        <v>140</v>
      </c>
      <c r="F4075" s="133" t="s">
        <v>829</v>
      </c>
      <c r="G4075" s="404" t="s">
        <v>7486</v>
      </c>
      <c r="H4075" s="411">
        <v>147.58000000000001</v>
      </c>
      <c r="I4075" s="397">
        <f t="shared" si="802"/>
        <v>-22.137</v>
      </c>
      <c r="J4075" s="411">
        <v>0</v>
      </c>
      <c r="K4075" s="90">
        <f t="shared" si="799"/>
        <v>125.44300000000001</v>
      </c>
      <c r="L4075" s="131">
        <v>375</v>
      </c>
      <c r="M4075" s="187">
        <v>29.57</v>
      </c>
      <c r="N4075" s="91">
        <f t="shared" si="792"/>
        <v>82.070000000000007</v>
      </c>
      <c r="O4075" s="411">
        <f t="shared" si="797"/>
        <v>43.373000000000005</v>
      </c>
      <c r="P4075" s="132" t="s">
        <v>52</v>
      </c>
      <c r="Q4075" s="232"/>
      <c r="R4075" s="411"/>
      <c r="T4075" s="134" t="s">
        <v>145</v>
      </c>
      <c r="U4075" s="267" t="s">
        <v>9138</v>
      </c>
      <c r="AA4075" s="218"/>
    </row>
    <row r="4076" spans="1:27" x14ac:dyDescent="0.25">
      <c r="A4076" s="419">
        <v>3003149</v>
      </c>
      <c r="B4076" s="421">
        <v>42564</v>
      </c>
      <c r="C4076" s="419" t="s">
        <v>56</v>
      </c>
      <c r="D4076" s="429" t="s">
        <v>9139</v>
      </c>
      <c r="E4076" s="120">
        <v>1000</v>
      </c>
      <c r="F4076" s="133" t="s">
        <v>9140</v>
      </c>
      <c r="G4076" s="434" t="s">
        <v>7486</v>
      </c>
      <c r="H4076" s="427">
        <v>5050</v>
      </c>
      <c r="I4076" s="427">
        <v>0</v>
      </c>
      <c r="J4076" s="427">
        <v>0</v>
      </c>
      <c r="K4076" s="425">
        <f t="shared" si="799"/>
        <v>5050</v>
      </c>
      <c r="L4076" s="187">
        <v>1583.44</v>
      </c>
      <c r="M4076" s="131">
        <v>0</v>
      </c>
      <c r="N4076" s="91">
        <f t="shared" si="792"/>
        <v>1583.44</v>
      </c>
      <c r="O4076" s="411">
        <f t="shared" si="797"/>
        <v>3466.56</v>
      </c>
      <c r="P4076" s="132" t="s">
        <v>46</v>
      </c>
      <c r="Q4076" s="232"/>
      <c r="R4076" s="411"/>
      <c r="T4076" s="439" t="s">
        <v>463</v>
      </c>
      <c r="U4076" s="446" t="s">
        <v>9141</v>
      </c>
      <c r="V4076" s="133" t="s">
        <v>9142</v>
      </c>
      <c r="W4076" s="153" t="s">
        <v>9143</v>
      </c>
      <c r="AA4076" s="218"/>
    </row>
    <row r="4077" spans="1:27" x14ac:dyDescent="0.25">
      <c r="A4077" s="420"/>
      <c r="B4077" s="422"/>
      <c r="C4077" s="420"/>
      <c r="D4077" s="431"/>
      <c r="E4077" s="120">
        <v>1000</v>
      </c>
      <c r="F4077" s="133" t="s">
        <v>9144</v>
      </c>
      <c r="G4077" s="436"/>
      <c r="H4077" s="428"/>
      <c r="I4077" s="428"/>
      <c r="J4077" s="428"/>
      <c r="K4077" s="426"/>
      <c r="L4077" s="187">
        <v>1772.69</v>
      </c>
      <c r="N4077" s="91">
        <f t="shared" si="792"/>
        <v>1772.69</v>
      </c>
      <c r="O4077" s="411">
        <f t="shared" si="797"/>
        <v>-1772.69</v>
      </c>
      <c r="P4077" s="132" t="s">
        <v>46</v>
      </c>
      <c r="Q4077" s="232"/>
      <c r="R4077" s="411"/>
      <c r="T4077" s="441"/>
      <c r="U4077" s="447"/>
      <c r="AA4077" s="218"/>
    </row>
    <row r="4078" spans="1:27" x14ac:dyDescent="0.25">
      <c r="A4078" s="405">
        <v>3003150</v>
      </c>
      <c r="B4078" s="406">
        <v>42564</v>
      </c>
      <c r="C4078" s="405" t="s">
        <v>56</v>
      </c>
      <c r="D4078" s="401" t="s">
        <v>8815</v>
      </c>
      <c r="E4078" s="120">
        <v>1000</v>
      </c>
      <c r="F4078" s="133" t="s">
        <v>227</v>
      </c>
      <c r="G4078" s="404" t="s">
        <v>7486</v>
      </c>
      <c r="H4078" s="411">
        <v>590</v>
      </c>
      <c r="I4078" s="411">
        <v>0</v>
      </c>
      <c r="J4078" s="411">
        <v>0</v>
      </c>
      <c r="K4078" s="90">
        <f t="shared" si="799"/>
        <v>590</v>
      </c>
      <c r="L4078" s="131">
        <v>235</v>
      </c>
      <c r="M4078" s="187">
        <v>98.52</v>
      </c>
      <c r="N4078" s="91">
        <f t="shared" si="792"/>
        <v>333.52</v>
      </c>
      <c r="O4078" s="411">
        <f t="shared" si="797"/>
        <v>256.48</v>
      </c>
      <c r="P4078" s="132" t="s">
        <v>86</v>
      </c>
      <c r="Q4078" s="232"/>
      <c r="R4078" s="411"/>
      <c r="T4078" s="134" t="s">
        <v>244</v>
      </c>
      <c r="U4078" s="267" t="s">
        <v>9145</v>
      </c>
      <c r="V4078" s="133" t="s">
        <v>9146</v>
      </c>
      <c r="AA4078" s="218"/>
    </row>
    <row r="4079" spans="1:27" ht="24" x14ac:dyDescent="0.25">
      <c r="A4079" s="405">
        <v>3003151</v>
      </c>
      <c r="B4079" s="406">
        <v>42565</v>
      </c>
      <c r="C4079" s="405" t="s">
        <v>327</v>
      </c>
      <c r="D4079" s="401" t="s">
        <v>9147</v>
      </c>
      <c r="E4079" s="120">
        <v>60</v>
      </c>
      <c r="F4079" s="133" t="s">
        <v>70</v>
      </c>
      <c r="G4079" s="404" t="s">
        <v>7486</v>
      </c>
      <c r="H4079" s="411">
        <v>150</v>
      </c>
      <c r="I4079" s="411">
        <v>0</v>
      </c>
      <c r="J4079" s="391">
        <f>-((H4079*0.022)+0.3)</f>
        <v>-3.5999999999999996</v>
      </c>
      <c r="K4079" s="90">
        <f t="shared" si="799"/>
        <v>146.4</v>
      </c>
      <c r="L4079" s="131">
        <v>1000</v>
      </c>
      <c r="M4079" s="187">
        <v>51.2</v>
      </c>
      <c r="N4079" s="91">
        <f t="shared" si="792"/>
        <v>111.2</v>
      </c>
      <c r="O4079" s="411">
        <f t="shared" si="797"/>
        <v>35.200000000000003</v>
      </c>
      <c r="P4079" s="132" t="s">
        <v>86</v>
      </c>
      <c r="Q4079" s="232"/>
      <c r="R4079" s="411"/>
      <c r="T4079" s="134" t="s">
        <v>145</v>
      </c>
      <c r="U4079" s="267" t="s">
        <v>9148</v>
      </c>
      <c r="W4079" s="153" t="s">
        <v>9149</v>
      </c>
      <c r="AA4079" s="218"/>
    </row>
    <row r="4080" spans="1:27" ht="24" x14ac:dyDescent="0.25">
      <c r="A4080" s="405">
        <v>3003152</v>
      </c>
      <c r="B4080" s="406">
        <v>42565</v>
      </c>
      <c r="C4080" s="405" t="s">
        <v>5682</v>
      </c>
      <c r="D4080" s="401" t="s">
        <v>9150</v>
      </c>
      <c r="E4080" s="120">
        <v>100</v>
      </c>
      <c r="F4080" s="133" t="s">
        <v>176</v>
      </c>
      <c r="G4080" s="404" t="s">
        <v>7486</v>
      </c>
      <c r="H4080" s="411">
        <v>343</v>
      </c>
      <c r="I4080" s="89">
        <f t="shared" ref="I4080:I4091" si="803">-(H4080*0.09)</f>
        <v>-30.869999999999997</v>
      </c>
      <c r="J4080" s="391">
        <f t="shared" ref="J4080:J4091" si="804">-((H4080*0.019)+0.3)</f>
        <v>-6.8169999999999993</v>
      </c>
      <c r="K4080" s="90">
        <f t="shared" si="799"/>
        <v>305.31299999999999</v>
      </c>
      <c r="L4080" s="131">
        <v>1693</v>
      </c>
      <c r="M4080" s="187">
        <v>42.11</v>
      </c>
      <c r="N4080" s="91">
        <f t="shared" si="792"/>
        <v>211.41000000000003</v>
      </c>
      <c r="O4080" s="411">
        <f t="shared" si="797"/>
        <v>93.902999999999963</v>
      </c>
      <c r="P4080" s="132" t="s">
        <v>52</v>
      </c>
      <c r="Q4080" s="232"/>
      <c r="R4080" s="411"/>
      <c r="T4080" s="134" t="s">
        <v>145</v>
      </c>
      <c r="U4080" s="267" t="s">
        <v>9151</v>
      </c>
      <c r="AA4080" s="218"/>
    </row>
    <row r="4081" spans="1:27" ht="24" x14ac:dyDescent="0.25">
      <c r="A4081" s="405">
        <v>3003153</v>
      </c>
      <c r="B4081" s="406">
        <v>42565</v>
      </c>
      <c r="C4081" s="405" t="s">
        <v>5682</v>
      </c>
      <c r="D4081" s="401" t="s">
        <v>9152</v>
      </c>
      <c r="E4081" s="120">
        <v>150</v>
      </c>
      <c r="F4081" s="133" t="s">
        <v>341</v>
      </c>
      <c r="G4081" s="404" t="s">
        <v>7486</v>
      </c>
      <c r="H4081" s="411">
        <v>248.2</v>
      </c>
      <c r="I4081" s="89">
        <f t="shared" si="803"/>
        <v>-22.337999999999997</v>
      </c>
      <c r="J4081" s="391">
        <f t="shared" si="804"/>
        <v>-5.0157999999999996</v>
      </c>
      <c r="K4081" s="90">
        <f t="shared" si="799"/>
        <v>220.84619999999998</v>
      </c>
      <c r="L4081" s="131">
        <v>698</v>
      </c>
      <c r="M4081" s="187">
        <v>45.93</v>
      </c>
      <c r="N4081" s="91">
        <f t="shared" si="792"/>
        <v>150.63</v>
      </c>
      <c r="O4081" s="411">
        <f t="shared" si="797"/>
        <v>70.216199999999986</v>
      </c>
      <c r="P4081" s="132" t="s">
        <v>52</v>
      </c>
      <c r="Q4081" s="232"/>
      <c r="R4081" s="411"/>
      <c r="T4081" s="134" t="s">
        <v>145</v>
      </c>
      <c r="U4081" s="267" t="s">
        <v>9153</v>
      </c>
      <c r="AA4081" s="218"/>
    </row>
    <row r="4082" spans="1:27" x14ac:dyDescent="0.25">
      <c r="A4082" s="405">
        <v>3003154</v>
      </c>
      <c r="B4082" s="406">
        <v>42565</v>
      </c>
      <c r="C4082" s="405" t="s">
        <v>5682</v>
      </c>
      <c r="D4082" s="401" t="s">
        <v>9154</v>
      </c>
      <c r="E4082" s="120">
        <v>500</v>
      </c>
      <c r="F4082" s="133" t="s">
        <v>2435</v>
      </c>
      <c r="G4082" s="404" t="s">
        <v>7486</v>
      </c>
      <c r="H4082" s="411">
        <v>910</v>
      </c>
      <c r="I4082" s="89">
        <f t="shared" si="803"/>
        <v>-81.899999999999991</v>
      </c>
      <c r="J4082" s="391">
        <f t="shared" si="804"/>
        <v>-17.59</v>
      </c>
      <c r="K4082" s="90">
        <f t="shared" si="799"/>
        <v>810.51</v>
      </c>
      <c r="L4082" s="187">
        <v>1300</v>
      </c>
      <c r="M4082" s="187">
        <v>87.91</v>
      </c>
      <c r="N4082" s="91">
        <f t="shared" si="792"/>
        <v>737.91</v>
      </c>
      <c r="O4082" s="411">
        <f t="shared" si="797"/>
        <v>72.600000000000023</v>
      </c>
      <c r="P4082" s="132" t="s">
        <v>235</v>
      </c>
      <c r="Q4082" s="232"/>
      <c r="R4082" s="411"/>
      <c r="T4082" s="134" t="s">
        <v>364</v>
      </c>
      <c r="U4082" s="267" t="s">
        <v>9155</v>
      </c>
      <c r="V4082" s="133" t="s">
        <v>55</v>
      </c>
      <c r="AA4082" s="218"/>
    </row>
    <row r="4083" spans="1:27" ht="24" x14ac:dyDescent="0.25">
      <c r="A4083" s="405">
        <v>3003155</v>
      </c>
      <c r="B4083" s="406">
        <v>42565</v>
      </c>
      <c r="C4083" s="405" t="s">
        <v>5682</v>
      </c>
      <c r="D4083" s="401" t="s">
        <v>2973</v>
      </c>
      <c r="E4083" s="120">
        <v>150</v>
      </c>
      <c r="F4083" s="133" t="s">
        <v>431</v>
      </c>
      <c r="G4083" s="404" t="s">
        <v>7486</v>
      </c>
      <c r="H4083" s="411">
        <v>324</v>
      </c>
      <c r="I4083" s="89">
        <f t="shared" si="803"/>
        <v>-29.16</v>
      </c>
      <c r="J4083" s="391">
        <f t="shared" si="804"/>
        <v>-6.4559999999999995</v>
      </c>
      <c r="K4083" s="90">
        <f t="shared" si="799"/>
        <v>288.38399999999996</v>
      </c>
      <c r="L4083" s="131">
        <v>990</v>
      </c>
      <c r="M4083" s="187">
        <f>30.29+5</f>
        <v>35.29</v>
      </c>
      <c r="N4083" s="91">
        <f t="shared" si="792"/>
        <v>183.79</v>
      </c>
      <c r="O4083" s="411">
        <f t="shared" si="797"/>
        <v>104.59399999999997</v>
      </c>
      <c r="P4083" s="132" t="s">
        <v>52</v>
      </c>
      <c r="Q4083" s="232"/>
      <c r="R4083" s="411"/>
      <c r="T4083" s="134" t="s">
        <v>145</v>
      </c>
      <c r="U4083" s="267" t="s">
        <v>9156</v>
      </c>
      <c r="AA4083" s="218"/>
    </row>
    <row r="4084" spans="1:27" ht="24" x14ac:dyDescent="0.25">
      <c r="A4084" s="405">
        <v>3003156</v>
      </c>
      <c r="B4084" s="406">
        <v>42565</v>
      </c>
      <c r="C4084" s="405" t="s">
        <v>5682</v>
      </c>
      <c r="D4084" s="401" t="s">
        <v>8267</v>
      </c>
      <c r="E4084" s="120">
        <v>250</v>
      </c>
      <c r="F4084" s="133" t="s">
        <v>9157</v>
      </c>
      <c r="G4084" s="404" t="s">
        <v>7486</v>
      </c>
      <c r="H4084" s="411">
        <v>67.27</v>
      </c>
      <c r="I4084" s="89">
        <f t="shared" si="803"/>
        <v>-6.0542999999999996</v>
      </c>
      <c r="J4084" s="391">
        <f t="shared" si="804"/>
        <v>-1.57813</v>
      </c>
      <c r="K4084" s="90">
        <f t="shared" si="799"/>
        <v>59.637569999999997</v>
      </c>
      <c r="L4084" s="187">
        <v>133</v>
      </c>
      <c r="M4084" s="187">
        <v>16.71</v>
      </c>
      <c r="N4084" s="91">
        <f t="shared" si="792"/>
        <v>49.96</v>
      </c>
      <c r="O4084" s="411">
        <f t="shared" si="797"/>
        <v>9.6775699999999958</v>
      </c>
      <c r="P4084" s="132" t="s">
        <v>183</v>
      </c>
      <c r="Q4084" s="232"/>
      <c r="R4084" s="411"/>
      <c r="T4084" s="134" t="s">
        <v>145</v>
      </c>
      <c r="U4084" s="267" t="s">
        <v>9158</v>
      </c>
      <c r="AA4084" s="218"/>
    </row>
    <row r="4085" spans="1:27" ht="24" x14ac:dyDescent="0.25">
      <c r="A4085" s="405">
        <v>3003157</v>
      </c>
      <c r="B4085" s="406">
        <v>42565</v>
      </c>
      <c r="C4085" s="405" t="s">
        <v>5682</v>
      </c>
      <c r="D4085" s="401" t="s">
        <v>9159</v>
      </c>
      <c r="E4085" s="120">
        <v>250</v>
      </c>
      <c r="F4085" s="133" t="s">
        <v>451</v>
      </c>
      <c r="G4085" s="404" t="s">
        <v>7486</v>
      </c>
      <c r="H4085" s="411">
        <v>175.37</v>
      </c>
      <c r="I4085" s="89">
        <f t="shared" si="803"/>
        <v>-15.783300000000001</v>
      </c>
      <c r="J4085" s="391">
        <f t="shared" si="804"/>
        <v>-3.6320299999999999</v>
      </c>
      <c r="K4085" s="90">
        <f t="shared" si="799"/>
        <v>155.95467000000002</v>
      </c>
      <c r="L4085" s="131">
        <v>300</v>
      </c>
      <c r="M4085" s="187">
        <f>36.03+5</f>
        <v>41.03</v>
      </c>
      <c r="N4085" s="91">
        <f t="shared" si="792"/>
        <v>116.03</v>
      </c>
      <c r="O4085" s="411">
        <f t="shared" si="797"/>
        <v>39.92467000000002</v>
      </c>
      <c r="P4085" s="132" t="s">
        <v>52</v>
      </c>
      <c r="Q4085" s="232"/>
      <c r="R4085" s="411"/>
      <c r="T4085" s="134" t="s">
        <v>145</v>
      </c>
      <c r="U4085" s="267" t="s">
        <v>9160</v>
      </c>
      <c r="AA4085" s="218"/>
    </row>
    <row r="4086" spans="1:27" ht="24" x14ac:dyDescent="0.25">
      <c r="A4086" s="405">
        <v>3003158</v>
      </c>
      <c r="B4086" s="406">
        <v>42565</v>
      </c>
      <c r="C4086" s="405" t="s">
        <v>5682</v>
      </c>
      <c r="D4086" s="401" t="s">
        <v>3681</v>
      </c>
      <c r="E4086" s="120">
        <v>1000</v>
      </c>
      <c r="F4086" s="133" t="s">
        <v>427</v>
      </c>
      <c r="G4086" s="404" t="s">
        <v>7486</v>
      </c>
      <c r="H4086" s="411">
        <v>332.5</v>
      </c>
      <c r="I4086" s="89">
        <f t="shared" si="803"/>
        <v>-29.924999999999997</v>
      </c>
      <c r="J4086" s="391">
        <f t="shared" si="804"/>
        <v>-6.6174999999999997</v>
      </c>
      <c r="K4086" s="90">
        <f t="shared" si="799"/>
        <v>295.95749999999998</v>
      </c>
      <c r="L4086" s="187">
        <v>210</v>
      </c>
      <c r="M4086" s="187">
        <v>40.549999999999997</v>
      </c>
      <c r="N4086" s="91">
        <f t="shared" si="792"/>
        <v>250.55</v>
      </c>
      <c r="O4086" s="411">
        <f t="shared" si="797"/>
        <v>45.40749999999997</v>
      </c>
      <c r="P4086" s="132" t="s">
        <v>183</v>
      </c>
      <c r="Q4086" s="232"/>
      <c r="R4086" s="411"/>
      <c r="T4086" s="134" t="s">
        <v>145</v>
      </c>
      <c r="U4086" s="267" t="s">
        <v>9161</v>
      </c>
      <c r="AA4086" s="218"/>
    </row>
    <row r="4087" spans="1:27" ht="24" x14ac:dyDescent="0.25">
      <c r="A4087" s="405">
        <v>3003159</v>
      </c>
      <c r="B4087" s="406">
        <v>42565</v>
      </c>
      <c r="C4087" s="405" t="s">
        <v>5682</v>
      </c>
      <c r="D4087" s="401" t="s">
        <v>9162</v>
      </c>
      <c r="E4087" s="120">
        <v>100</v>
      </c>
      <c r="F4087" s="133" t="s">
        <v>161</v>
      </c>
      <c r="G4087" s="404" t="s">
        <v>7486</v>
      </c>
      <c r="H4087" s="411">
        <v>230</v>
      </c>
      <c r="I4087" s="89">
        <f t="shared" si="803"/>
        <v>-20.7</v>
      </c>
      <c r="J4087" s="391">
        <f t="shared" si="804"/>
        <v>-4.67</v>
      </c>
      <c r="K4087" s="90">
        <f t="shared" si="799"/>
        <v>204.63000000000002</v>
      </c>
      <c r="L4087" s="131">
        <v>1322</v>
      </c>
      <c r="M4087" s="187">
        <f>40.1+5</f>
        <v>45.1</v>
      </c>
      <c r="N4087" s="91">
        <f t="shared" si="792"/>
        <v>177.3</v>
      </c>
      <c r="O4087" s="411">
        <f t="shared" si="797"/>
        <v>27.330000000000013</v>
      </c>
      <c r="P4087" s="132" t="s">
        <v>52</v>
      </c>
      <c r="Q4087" s="232"/>
      <c r="R4087" s="411"/>
      <c r="T4087" s="134" t="s">
        <v>145</v>
      </c>
      <c r="U4087" s="267" t="s">
        <v>9163</v>
      </c>
      <c r="AA4087" s="218"/>
    </row>
    <row r="4088" spans="1:27" x14ac:dyDescent="0.25">
      <c r="A4088" s="419">
        <v>3003160</v>
      </c>
      <c r="B4088" s="421">
        <v>42565</v>
      </c>
      <c r="C4088" s="419" t="s">
        <v>5682</v>
      </c>
      <c r="D4088" s="417" t="s">
        <v>9164</v>
      </c>
      <c r="E4088" s="120">
        <v>250</v>
      </c>
      <c r="F4088" s="133" t="s">
        <v>590</v>
      </c>
      <c r="G4088" s="434" t="s">
        <v>7486</v>
      </c>
      <c r="H4088" s="427">
        <v>596.59</v>
      </c>
      <c r="I4088" s="452">
        <f t="shared" si="803"/>
        <v>-53.693100000000001</v>
      </c>
      <c r="J4088" s="425">
        <f t="shared" si="804"/>
        <v>-11.635210000000001</v>
      </c>
      <c r="K4088" s="425">
        <f t="shared" si="799"/>
        <v>531.26169000000004</v>
      </c>
      <c r="L4088" s="187">
        <v>573.42999999999995</v>
      </c>
      <c r="M4088" s="187">
        <v>82.65</v>
      </c>
      <c r="N4088" s="91">
        <f t="shared" si="792"/>
        <v>226.00749999999999</v>
      </c>
      <c r="O4088" s="411">
        <f t="shared" si="797"/>
        <v>305.25419000000005</v>
      </c>
      <c r="P4088" s="132" t="s">
        <v>46</v>
      </c>
      <c r="Q4088" s="232"/>
      <c r="R4088" s="411"/>
      <c r="T4088" s="439" t="s">
        <v>260</v>
      </c>
      <c r="U4088" s="446" t="s">
        <v>9165</v>
      </c>
      <c r="AA4088" s="218"/>
    </row>
    <row r="4089" spans="1:27" x14ac:dyDescent="0.25">
      <c r="A4089" s="420"/>
      <c r="B4089" s="422"/>
      <c r="C4089" s="420"/>
      <c r="D4089" s="418"/>
      <c r="E4089" s="120">
        <v>250</v>
      </c>
      <c r="F4089" s="133" t="s">
        <v>307</v>
      </c>
      <c r="G4089" s="436"/>
      <c r="H4089" s="428"/>
      <c r="I4089" s="453"/>
      <c r="J4089" s="426"/>
      <c r="K4089" s="426"/>
      <c r="L4089" s="187">
        <v>642.99</v>
      </c>
      <c r="M4089" s="187"/>
      <c r="N4089" s="91">
        <f t="shared" ref="N4089:N4152" si="805">((L4089)*(E4089*0.001))+M4089</f>
        <v>160.7475</v>
      </c>
      <c r="O4089" s="411">
        <f t="shared" si="797"/>
        <v>-160.7475</v>
      </c>
      <c r="P4089" s="132" t="s">
        <v>46</v>
      </c>
      <c r="Q4089" s="232"/>
      <c r="R4089" s="411"/>
      <c r="T4089" s="441"/>
      <c r="U4089" s="447"/>
      <c r="AA4089" s="218"/>
    </row>
    <row r="4090" spans="1:27" ht="24" x14ac:dyDescent="0.25">
      <c r="A4090" s="405">
        <v>3003161</v>
      </c>
      <c r="B4090" s="406">
        <v>42565</v>
      </c>
      <c r="C4090" s="405" t="s">
        <v>5682</v>
      </c>
      <c r="D4090" s="401" t="s">
        <v>9166</v>
      </c>
      <c r="E4090" s="120">
        <v>140</v>
      </c>
      <c r="F4090" s="133" t="s">
        <v>829</v>
      </c>
      <c r="G4090" s="404" t="s">
        <v>7486</v>
      </c>
      <c r="H4090" s="411">
        <v>147.58000000000001</v>
      </c>
      <c r="I4090" s="89">
        <f t="shared" si="803"/>
        <v>-13.282200000000001</v>
      </c>
      <c r="J4090" s="391">
        <f t="shared" si="804"/>
        <v>-3.1040199999999998</v>
      </c>
      <c r="K4090" s="90">
        <f t="shared" si="799"/>
        <v>131.19378000000003</v>
      </c>
      <c r="L4090" s="131">
        <v>375</v>
      </c>
      <c r="N4090" s="91">
        <f t="shared" si="805"/>
        <v>52.500000000000007</v>
      </c>
      <c r="O4090" s="411">
        <f t="shared" si="797"/>
        <v>78.693780000000032</v>
      </c>
      <c r="P4090" s="132" t="s">
        <v>52</v>
      </c>
      <c r="Q4090" s="232"/>
      <c r="R4090" s="411"/>
      <c r="T4090" s="134" t="s">
        <v>145</v>
      </c>
      <c r="U4090" s="267" t="s">
        <v>9167</v>
      </c>
      <c r="AA4090" s="218"/>
    </row>
    <row r="4091" spans="1:27" x14ac:dyDescent="0.25">
      <c r="A4091" s="405">
        <v>3003162</v>
      </c>
      <c r="B4091" s="406">
        <v>42565</v>
      </c>
      <c r="C4091" s="405" t="s">
        <v>5682</v>
      </c>
      <c r="D4091" s="401" t="s">
        <v>9168</v>
      </c>
      <c r="E4091" s="120">
        <v>500</v>
      </c>
      <c r="F4091" s="133" t="s">
        <v>9169</v>
      </c>
      <c r="G4091" s="404" t="s">
        <v>7486</v>
      </c>
      <c r="H4091" s="411">
        <v>570.22</v>
      </c>
      <c r="I4091" s="89">
        <f t="shared" si="803"/>
        <v>-51.319800000000001</v>
      </c>
      <c r="J4091" s="391">
        <f t="shared" si="804"/>
        <v>-11.134180000000001</v>
      </c>
      <c r="K4091" s="90">
        <f t="shared" si="799"/>
        <v>507.76602000000003</v>
      </c>
      <c r="L4091" s="187">
        <v>573.23</v>
      </c>
      <c r="M4091" s="187">
        <v>67</v>
      </c>
      <c r="N4091" s="91">
        <f t="shared" si="805"/>
        <v>353.61500000000001</v>
      </c>
      <c r="O4091" s="411">
        <f t="shared" si="797"/>
        <v>154.15102000000002</v>
      </c>
      <c r="P4091" s="132" t="s">
        <v>46</v>
      </c>
      <c r="Q4091" s="232"/>
      <c r="R4091" s="411">
        <v>42.24</v>
      </c>
      <c r="S4091" s="133" t="s">
        <v>4608</v>
      </c>
      <c r="T4091" s="134" t="s">
        <v>463</v>
      </c>
      <c r="U4091" s="267" t="s">
        <v>9170</v>
      </c>
      <c r="AA4091" s="218"/>
    </row>
    <row r="4092" spans="1:27" ht="24" x14ac:dyDescent="0.25">
      <c r="A4092" s="405">
        <v>3003163</v>
      </c>
      <c r="B4092" s="406">
        <v>42565</v>
      </c>
      <c r="C4092" s="405" t="s">
        <v>237</v>
      </c>
      <c r="D4092" s="401" t="s">
        <v>9171</v>
      </c>
      <c r="E4092" s="120">
        <v>200</v>
      </c>
      <c r="F4092" s="133" t="s">
        <v>5038</v>
      </c>
      <c r="G4092" s="404" t="s">
        <v>7486</v>
      </c>
      <c r="H4092" s="411">
        <v>386.08</v>
      </c>
      <c r="I4092" s="397">
        <f t="shared" ref="I4092:I4095" si="806">-(H4092*0.15)</f>
        <v>-57.911999999999992</v>
      </c>
      <c r="J4092" s="411">
        <v>0</v>
      </c>
      <c r="K4092" s="90">
        <f t="shared" si="799"/>
        <v>328.16800000000001</v>
      </c>
      <c r="L4092" s="131">
        <v>950</v>
      </c>
      <c r="M4092" s="187">
        <f>24.33+24.33+5+5</f>
        <v>58.66</v>
      </c>
      <c r="N4092" s="91">
        <f t="shared" si="805"/>
        <v>248.66</v>
      </c>
      <c r="O4092" s="411">
        <f t="shared" si="797"/>
        <v>79.50800000000001</v>
      </c>
      <c r="P4092" s="132" t="s">
        <v>52</v>
      </c>
      <c r="Q4092" s="232"/>
      <c r="R4092" s="411"/>
      <c r="T4092" s="134" t="s">
        <v>145</v>
      </c>
      <c r="U4092" s="266" t="s">
        <v>9172</v>
      </c>
      <c r="AA4092" s="218"/>
    </row>
    <row r="4093" spans="1:27" ht="24" x14ac:dyDescent="0.25">
      <c r="A4093" s="405">
        <v>3003164</v>
      </c>
      <c r="B4093" s="406">
        <v>42565</v>
      </c>
      <c r="C4093" s="405" t="s">
        <v>237</v>
      </c>
      <c r="D4093" s="401" t="s">
        <v>9173</v>
      </c>
      <c r="E4093" s="120">
        <v>1000</v>
      </c>
      <c r="F4093" s="119" t="s">
        <v>9174</v>
      </c>
      <c r="G4093" s="404" t="s">
        <v>7486</v>
      </c>
      <c r="H4093" s="411">
        <v>594.91</v>
      </c>
      <c r="I4093" s="397">
        <f t="shared" si="806"/>
        <v>-89.236499999999992</v>
      </c>
      <c r="J4093" s="411">
        <v>0</v>
      </c>
      <c r="K4093" s="90">
        <f t="shared" si="799"/>
        <v>505.67349999999999</v>
      </c>
      <c r="L4093" s="187">
        <v>310</v>
      </c>
      <c r="M4093" s="224">
        <v>53.61</v>
      </c>
      <c r="N4093" s="91">
        <f t="shared" si="805"/>
        <v>363.61</v>
      </c>
      <c r="O4093" s="411">
        <f t="shared" si="797"/>
        <v>142.06349999999998</v>
      </c>
      <c r="P4093" s="132" t="s">
        <v>9175</v>
      </c>
      <c r="Q4093" s="232"/>
      <c r="R4093" s="411"/>
      <c r="T4093" s="134" t="s">
        <v>145</v>
      </c>
      <c r="U4093" s="267" t="s">
        <v>9176</v>
      </c>
      <c r="AA4093" s="218"/>
    </row>
    <row r="4094" spans="1:27" ht="24" x14ac:dyDescent="0.25">
      <c r="A4094" s="405">
        <v>3003165</v>
      </c>
      <c r="B4094" s="406">
        <v>42565</v>
      </c>
      <c r="C4094" s="405" t="s">
        <v>237</v>
      </c>
      <c r="D4094" s="401" t="s">
        <v>9177</v>
      </c>
      <c r="E4094" s="120">
        <v>100</v>
      </c>
      <c r="F4094" s="133" t="s">
        <v>3299</v>
      </c>
      <c r="G4094" s="404" t="s">
        <v>7486</v>
      </c>
      <c r="H4094" s="411">
        <v>106.82</v>
      </c>
      <c r="I4094" s="397">
        <f t="shared" si="806"/>
        <v>-16.023</v>
      </c>
      <c r="J4094" s="411">
        <v>0</v>
      </c>
      <c r="K4094" s="90">
        <f t="shared" si="799"/>
        <v>90.796999999999997</v>
      </c>
      <c r="L4094" s="187">
        <v>727</v>
      </c>
      <c r="M4094" s="187">
        <v>18.8</v>
      </c>
      <c r="N4094" s="91">
        <f t="shared" si="805"/>
        <v>91.5</v>
      </c>
      <c r="O4094" s="411">
        <f t="shared" si="797"/>
        <v>-0.70300000000000296</v>
      </c>
      <c r="P4094" s="132" t="s">
        <v>601</v>
      </c>
      <c r="Q4094" s="232"/>
      <c r="R4094" s="411"/>
      <c r="T4094" s="134" t="s">
        <v>145</v>
      </c>
      <c r="U4094" s="267" t="s">
        <v>9178</v>
      </c>
      <c r="AA4094" s="218"/>
    </row>
    <row r="4095" spans="1:27" ht="24" x14ac:dyDescent="0.25">
      <c r="A4095" s="405">
        <v>3003166</v>
      </c>
      <c r="B4095" s="406">
        <v>42565</v>
      </c>
      <c r="C4095" s="405" t="s">
        <v>237</v>
      </c>
      <c r="D4095" s="401" t="s">
        <v>9179</v>
      </c>
      <c r="E4095" s="120">
        <v>100</v>
      </c>
      <c r="F4095" s="133" t="s">
        <v>161</v>
      </c>
      <c r="G4095" s="404" t="s">
        <v>7486</v>
      </c>
      <c r="H4095" s="411">
        <v>260</v>
      </c>
      <c r="I4095" s="397">
        <f t="shared" si="806"/>
        <v>-39</v>
      </c>
      <c r="J4095" s="411">
        <v>0</v>
      </c>
      <c r="K4095" s="90">
        <f t="shared" si="799"/>
        <v>221</v>
      </c>
      <c r="L4095" s="131">
        <v>1322</v>
      </c>
      <c r="M4095" s="187">
        <f>40.75+5</f>
        <v>45.75</v>
      </c>
      <c r="N4095" s="91">
        <f t="shared" si="805"/>
        <v>177.95000000000002</v>
      </c>
      <c r="O4095" s="411">
        <f t="shared" si="797"/>
        <v>43.049999999999983</v>
      </c>
      <c r="P4095" s="132" t="s">
        <v>52</v>
      </c>
      <c r="Q4095" s="232"/>
      <c r="R4095" s="411"/>
      <c r="T4095" s="134" t="s">
        <v>145</v>
      </c>
      <c r="U4095" s="267" t="s">
        <v>9180</v>
      </c>
      <c r="AA4095" s="218"/>
    </row>
    <row r="4096" spans="1:27" ht="24" x14ac:dyDescent="0.25">
      <c r="A4096" s="405">
        <v>3003167</v>
      </c>
      <c r="B4096" s="406">
        <v>42565</v>
      </c>
      <c r="C4096" s="405" t="s">
        <v>327</v>
      </c>
      <c r="D4096" s="401" t="s">
        <v>1521</v>
      </c>
      <c r="E4096" s="120">
        <v>239</v>
      </c>
      <c r="F4096" s="133" t="s">
        <v>1522</v>
      </c>
      <c r="G4096" s="404" t="s">
        <v>7486</v>
      </c>
      <c r="H4096" s="411">
        <v>519.25</v>
      </c>
      <c r="I4096" s="411">
        <v>0</v>
      </c>
      <c r="J4096" s="391">
        <f>-((H4096*0.022)+0.3)</f>
        <v>-11.7235</v>
      </c>
      <c r="K4096" s="90">
        <f t="shared" si="799"/>
        <v>507.5265</v>
      </c>
      <c r="L4096" s="131">
        <v>716</v>
      </c>
      <c r="M4096" s="187">
        <v>51.19</v>
      </c>
      <c r="N4096" s="91">
        <f t="shared" si="805"/>
        <v>222.31400000000002</v>
      </c>
      <c r="O4096" s="411">
        <f t="shared" si="797"/>
        <v>285.21249999999998</v>
      </c>
      <c r="P4096" s="132" t="s">
        <v>52</v>
      </c>
      <c r="Q4096" s="232"/>
      <c r="R4096" s="411">
        <v>41.25</v>
      </c>
      <c r="S4096" s="133" t="s">
        <v>52</v>
      </c>
      <c r="T4096" s="134" t="s">
        <v>145</v>
      </c>
      <c r="U4096" s="267" t="s">
        <v>9181</v>
      </c>
      <c r="W4096" s="153" t="s">
        <v>1524</v>
      </c>
      <c r="AA4096" s="218"/>
    </row>
    <row r="4097" spans="1:27" ht="24" x14ac:dyDescent="0.25">
      <c r="A4097" s="405">
        <v>3003168</v>
      </c>
      <c r="B4097" s="406">
        <v>42565</v>
      </c>
      <c r="C4097" s="405" t="s">
        <v>5682</v>
      </c>
      <c r="D4097" s="401" t="s">
        <v>9182</v>
      </c>
      <c r="E4097" s="120">
        <v>250</v>
      </c>
      <c r="F4097" s="133" t="s">
        <v>2796</v>
      </c>
      <c r="G4097" s="404" t="s">
        <v>7486</v>
      </c>
      <c r="H4097" s="411">
        <v>165.06</v>
      </c>
      <c r="I4097" s="89">
        <f t="shared" ref="I4097:I4101" si="807">-(H4097*0.09)</f>
        <v>-14.855399999999999</v>
      </c>
      <c r="J4097" s="391">
        <f t="shared" ref="J4097:J4101" si="808">-((H4097*0.019)+0.3)</f>
        <v>-3.43614</v>
      </c>
      <c r="K4097" s="90">
        <f t="shared" si="799"/>
        <v>146.76846</v>
      </c>
      <c r="L4097" s="187">
        <v>290</v>
      </c>
      <c r="M4097" s="187">
        <v>15.14</v>
      </c>
      <c r="N4097" s="91">
        <f t="shared" si="805"/>
        <v>87.64</v>
      </c>
      <c r="O4097" s="411">
        <f t="shared" si="797"/>
        <v>59.128460000000004</v>
      </c>
      <c r="P4097" s="132" t="s">
        <v>235</v>
      </c>
      <c r="Q4097" s="232"/>
      <c r="R4097" s="411"/>
      <c r="T4097" s="134" t="s">
        <v>145</v>
      </c>
      <c r="U4097" s="267" t="s">
        <v>9183</v>
      </c>
      <c r="AA4097" s="218"/>
    </row>
    <row r="4098" spans="1:27" ht="24" x14ac:dyDescent="0.25">
      <c r="A4098" s="405">
        <v>3003169</v>
      </c>
      <c r="B4098" s="406">
        <v>42565</v>
      </c>
      <c r="C4098" s="405" t="s">
        <v>5682</v>
      </c>
      <c r="D4098" s="401" t="s">
        <v>9184</v>
      </c>
      <c r="E4098" s="120">
        <v>60</v>
      </c>
      <c r="F4098" s="133" t="s">
        <v>1991</v>
      </c>
      <c r="G4098" s="404" t="s">
        <v>7486</v>
      </c>
      <c r="H4098" s="411">
        <v>375.09</v>
      </c>
      <c r="I4098" s="89">
        <f t="shared" si="807"/>
        <v>-33.758099999999999</v>
      </c>
      <c r="J4098" s="391">
        <f t="shared" si="808"/>
        <v>-7.426709999999999</v>
      </c>
      <c r="K4098" s="90">
        <f t="shared" si="799"/>
        <v>333.90518999999995</v>
      </c>
      <c r="L4098" s="187">
        <v>3100</v>
      </c>
      <c r="M4098" s="187">
        <f>20.16+10</f>
        <v>30.16</v>
      </c>
      <c r="N4098" s="91">
        <f t="shared" si="805"/>
        <v>216.16</v>
      </c>
      <c r="O4098" s="411">
        <f t="shared" si="797"/>
        <v>117.74518999999995</v>
      </c>
      <c r="P4098" s="132" t="s">
        <v>183</v>
      </c>
      <c r="Q4098" s="232"/>
      <c r="R4098" s="411">
        <v>24.54</v>
      </c>
      <c r="S4098" s="133" t="s">
        <v>9185</v>
      </c>
      <c r="T4098" s="134" t="s">
        <v>145</v>
      </c>
      <c r="U4098" s="267" t="s">
        <v>9186</v>
      </c>
      <c r="V4098" s="133" t="s">
        <v>9187</v>
      </c>
      <c r="AA4098" s="218"/>
    </row>
    <row r="4099" spans="1:27" x14ac:dyDescent="0.25">
      <c r="A4099" s="405">
        <v>3003170</v>
      </c>
      <c r="B4099" s="406">
        <v>42565</v>
      </c>
      <c r="C4099" s="405" t="s">
        <v>5682</v>
      </c>
      <c r="D4099" s="401" t="s">
        <v>9188</v>
      </c>
      <c r="E4099" s="120">
        <v>300</v>
      </c>
      <c r="F4099" s="133" t="s">
        <v>5955</v>
      </c>
      <c r="G4099" s="404" t="s">
        <v>7486</v>
      </c>
      <c r="H4099" s="411">
        <v>792.92</v>
      </c>
      <c r="I4099" s="89">
        <f t="shared" si="807"/>
        <v>-71.362799999999993</v>
      </c>
      <c r="J4099" s="391">
        <f t="shared" si="808"/>
        <v>-15.36548</v>
      </c>
      <c r="K4099" s="90">
        <f t="shared" si="799"/>
        <v>706.19171999999992</v>
      </c>
      <c r="L4099" s="187">
        <v>1021</v>
      </c>
      <c r="M4099" s="187">
        <v>162.4</v>
      </c>
      <c r="N4099" s="91">
        <f t="shared" si="805"/>
        <v>468.70000000000005</v>
      </c>
      <c r="O4099" s="411">
        <f t="shared" si="797"/>
        <v>237.49171999999987</v>
      </c>
      <c r="P4099" s="132" t="s">
        <v>183</v>
      </c>
      <c r="Q4099" s="232"/>
      <c r="R4099" s="411"/>
      <c r="T4099" s="134" t="s">
        <v>67</v>
      </c>
      <c r="U4099" s="267" t="s">
        <v>9189</v>
      </c>
      <c r="AA4099" s="218"/>
    </row>
    <row r="4100" spans="1:27" x14ac:dyDescent="0.25">
      <c r="A4100" s="405">
        <v>3003171</v>
      </c>
      <c r="B4100" s="406">
        <v>42565</v>
      </c>
      <c r="C4100" s="405" t="s">
        <v>141</v>
      </c>
      <c r="D4100" s="401" t="s">
        <v>7843</v>
      </c>
      <c r="E4100" s="120">
        <v>1000</v>
      </c>
      <c r="F4100" s="133" t="s">
        <v>178</v>
      </c>
      <c r="G4100" s="404" t="s">
        <v>7486</v>
      </c>
      <c r="H4100" s="411">
        <v>1490</v>
      </c>
      <c r="I4100" s="411">
        <v>0</v>
      </c>
      <c r="J4100" s="391">
        <f>-((H4100*0.0325)+0.3)</f>
        <v>-48.725000000000001</v>
      </c>
      <c r="K4100" s="90">
        <f t="shared" si="799"/>
        <v>1441.2750000000001</v>
      </c>
      <c r="L4100" s="131">
        <v>830</v>
      </c>
      <c r="M4100" s="187">
        <v>242.41</v>
      </c>
      <c r="N4100" s="91">
        <f t="shared" si="805"/>
        <v>1072.4100000000001</v>
      </c>
      <c r="O4100" s="411">
        <f t="shared" ref="O4100:O4163" si="809">K4100-N4100</f>
        <v>368.86500000000001</v>
      </c>
      <c r="P4100" s="132" t="s">
        <v>86</v>
      </c>
      <c r="Q4100" s="232"/>
      <c r="R4100" s="411"/>
      <c r="T4100" s="134" t="s">
        <v>9190</v>
      </c>
      <c r="U4100" s="267" t="s">
        <v>9191</v>
      </c>
      <c r="V4100" s="133" t="s">
        <v>55</v>
      </c>
      <c r="W4100" s="153" t="s">
        <v>9192</v>
      </c>
      <c r="AA4100" s="218">
        <v>25</v>
      </c>
    </row>
    <row r="4101" spans="1:27" x14ac:dyDescent="0.25">
      <c r="A4101" s="405">
        <v>3003172</v>
      </c>
      <c r="B4101" s="406">
        <v>42565</v>
      </c>
      <c r="C4101" s="405" t="s">
        <v>5682</v>
      </c>
      <c r="D4101" s="401" t="s">
        <v>9193</v>
      </c>
      <c r="E4101" s="120">
        <v>600</v>
      </c>
      <c r="F4101" s="133" t="s">
        <v>85</v>
      </c>
      <c r="G4101" s="404" t="s">
        <v>7486</v>
      </c>
      <c r="H4101" s="411">
        <v>1350</v>
      </c>
      <c r="I4101" s="89">
        <f t="shared" si="807"/>
        <v>-121.5</v>
      </c>
      <c r="J4101" s="391">
        <f t="shared" si="808"/>
        <v>-25.95</v>
      </c>
      <c r="K4101" s="90">
        <f t="shared" si="799"/>
        <v>1202.55</v>
      </c>
      <c r="L4101" s="131">
        <v>1296</v>
      </c>
      <c r="M4101" s="187">
        <v>250.8</v>
      </c>
      <c r="N4101" s="91">
        <f t="shared" si="805"/>
        <v>1028.4000000000001</v>
      </c>
      <c r="O4101" s="411">
        <f t="shared" si="809"/>
        <v>174.14999999999986</v>
      </c>
      <c r="P4101" s="132" t="s">
        <v>52</v>
      </c>
      <c r="Q4101" s="232"/>
      <c r="R4101" s="411"/>
      <c r="T4101" s="134" t="s">
        <v>97</v>
      </c>
      <c r="U4101" s="267" t="s">
        <v>9194</v>
      </c>
      <c r="V4101" s="133" t="s">
        <v>55</v>
      </c>
      <c r="AA4101" s="218"/>
    </row>
    <row r="4102" spans="1:27" x14ac:dyDescent="0.25">
      <c r="A4102" s="419">
        <v>3003173</v>
      </c>
      <c r="B4102" s="421">
        <v>42566</v>
      </c>
      <c r="C4102" s="419" t="s">
        <v>63</v>
      </c>
      <c r="D4102" s="417" t="s">
        <v>9195</v>
      </c>
      <c r="E4102" s="120">
        <v>250</v>
      </c>
      <c r="F4102" s="133" t="s">
        <v>9196</v>
      </c>
      <c r="G4102" s="434" t="s">
        <v>7486</v>
      </c>
      <c r="H4102" s="427">
        <v>1501</v>
      </c>
      <c r="I4102" s="427">
        <v>0</v>
      </c>
      <c r="J4102" s="425">
        <f>-((H4102*0.022)+0.3)</f>
        <v>-33.321999999999996</v>
      </c>
      <c r="K4102" s="425">
        <f t="shared" si="799"/>
        <v>1467.6780000000001</v>
      </c>
      <c r="L4102" s="187">
        <v>1850</v>
      </c>
      <c r="M4102" s="131">
        <v>0</v>
      </c>
      <c r="N4102" s="91">
        <f t="shared" si="805"/>
        <v>462.5</v>
      </c>
      <c r="O4102" s="411">
        <f t="shared" si="809"/>
        <v>1005.1780000000001</v>
      </c>
      <c r="P4102" s="132" t="s">
        <v>926</v>
      </c>
      <c r="Q4102" s="232"/>
      <c r="R4102" s="411"/>
      <c r="T4102" s="439" t="s">
        <v>639</v>
      </c>
      <c r="U4102" s="446" t="s">
        <v>9197</v>
      </c>
      <c r="W4102" s="153" t="s">
        <v>9198</v>
      </c>
      <c r="AA4102" s="473">
        <v>10</v>
      </c>
    </row>
    <row r="4103" spans="1:27" x14ac:dyDescent="0.25">
      <c r="A4103" s="432"/>
      <c r="B4103" s="433"/>
      <c r="C4103" s="432"/>
      <c r="D4103" s="454"/>
      <c r="E4103" s="120">
        <v>250</v>
      </c>
      <c r="F4103" s="133" t="s">
        <v>9199</v>
      </c>
      <c r="G4103" s="435"/>
      <c r="H4103" s="438"/>
      <c r="I4103" s="438"/>
      <c r="J4103" s="437"/>
      <c r="K4103" s="437"/>
      <c r="L4103" s="187">
        <v>1238</v>
      </c>
      <c r="M4103" s="131">
        <v>0</v>
      </c>
      <c r="N4103" s="91">
        <f t="shared" si="805"/>
        <v>309.5</v>
      </c>
      <c r="O4103" s="411">
        <f t="shared" si="809"/>
        <v>-309.5</v>
      </c>
      <c r="P4103" s="132" t="s">
        <v>926</v>
      </c>
      <c r="Q4103" s="232"/>
      <c r="R4103" s="411"/>
      <c r="T4103" s="440"/>
      <c r="U4103" s="448"/>
      <c r="AA4103" s="478"/>
    </row>
    <row r="4104" spans="1:27" x14ac:dyDescent="0.25">
      <c r="A4104" s="432"/>
      <c r="B4104" s="433"/>
      <c r="C4104" s="432"/>
      <c r="D4104" s="454"/>
      <c r="E4104" s="120">
        <v>250</v>
      </c>
      <c r="F4104" s="133" t="s">
        <v>9200</v>
      </c>
      <c r="G4104" s="435"/>
      <c r="H4104" s="438"/>
      <c r="I4104" s="438"/>
      <c r="J4104" s="437"/>
      <c r="K4104" s="437"/>
      <c r="L4104" s="187">
        <v>314</v>
      </c>
      <c r="M4104" s="131">
        <v>0</v>
      </c>
      <c r="N4104" s="91">
        <f t="shared" si="805"/>
        <v>78.5</v>
      </c>
      <c r="O4104" s="411">
        <f t="shared" si="809"/>
        <v>-78.5</v>
      </c>
      <c r="P4104" s="132" t="s">
        <v>926</v>
      </c>
      <c r="Q4104" s="232"/>
      <c r="R4104" s="411"/>
      <c r="T4104" s="441"/>
      <c r="U4104" s="447"/>
      <c r="AA4104" s="478"/>
    </row>
    <row r="4105" spans="1:27" x14ac:dyDescent="0.25">
      <c r="A4105" s="432"/>
      <c r="B4105" s="433"/>
      <c r="C4105" s="432"/>
      <c r="D4105" s="454"/>
      <c r="E4105" s="120">
        <v>250</v>
      </c>
      <c r="F4105" s="133" t="s">
        <v>431</v>
      </c>
      <c r="G4105" s="435"/>
      <c r="H4105" s="438"/>
      <c r="I4105" s="438"/>
      <c r="J4105" s="437"/>
      <c r="K4105" s="437"/>
      <c r="L4105" s="131">
        <v>990</v>
      </c>
      <c r="M4105" s="187">
        <f>58.35+5</f>
        <v>63.35</v>
      </c>
      <c r="N4105" s="91">
        <f t="shared" si="805"/>
        <v>310.85000000000002</v>
      </c>
      <c r="O4105" s="411">
        <f t="shared" si="809"/>
        <v>-310.85000000000002</v>
      </c>
      <c r="P4105" s="132" t="s">
        <v>52</v>
      </c>
      <c r="Q4105" s="232"/>
      <c r="R4105" s="411"/>
      <c r="T4105" s="439" t="s">
        <v>145</v>
      </c>
      <c r="U4105" s="267" t="s">
        <v>9201</v>
      </c>
      <c r="V4105" s="133" t="s">
        <v>9202</v>
      </c>
      <c r="AA4105" s="478"/>
    </row>
    <row r="4106" spans="1:27" x14ac:dyDescent="0.25">
      <c r="A4106" s="420"/>
      <c r="B4106" s="422"/>
      <c r="C4106" s="420"/>
      <c r="D4106" s="418"/>
      <c r="E4106" s="120">
        <v>120</v>
      </c>
      <c r="F4106" s="133" t="s">
        <v>176</v>
      </c>
      <c r="G4106" s="436"/>
      <c r="H4106" s="428"/>
      <c r="I4106" s="428"/>
      <c r="J4106" s="426"/>
      <c r="K4106" s="426"/>
      <c r="L4106" s="131">
        <v>1693</v>
      </c>
      <c r="M4106" s="187">
        <v>45.27</v>
      </c>
      <c r="N4106" s="91">
        <f t="shared" si="805"/>
        <v>248.43</v>
      </c>
      <c r="O4106" s="411">
        <f t="shared" si="809"/>
        <v>-248.43</v>
      </c>
      <c r="P4106" s="132" t="s">
        <v>52</v>
      </c>
      <c r="Q4106" s="232"/>
      <c r="R4106" s="411"/>
      <c r="T4106" s="441"/>
      <c r="U4106" s="267" t="s">
        <v>9203</v>
      </c>
      <c r="V4106" s="133" t="s">
        <v>9204</v>
      </c>
      <c r="AA4106" s="474"/>
    </row>
    <row r="4107" spans="1:27" x14ac:dyDescent="0.25">
      <c r="A4107" s="405">
        <v>3003174</v>
      </c>
      <c r="B4107" s="406">
        <v>42566</v>
      </c>
      <c r="C4107" s="405" t="s">
        <v>78</v>
      </c>
      <c r="D4107" s="401" t="s">
        <v>1292</v>
      </c>
      <c r="E4107" s="120">
        <v>580</v>
      </c>
      <c r="F4107" s="133" t="s">
        <v>300</v>
      </c>
      <c r="G4107" s="404" t="s">
        <v>7486</v>
      </c>
      <c r="H4107" s="411">
        <v>1856</v>
      </c>
      <c r="I4107" s="411">
        <v>0</v>
      </c>
      <c r="J4107" s="391">
        <f t="shared" ref="J4107:J4110" si="810">-((H4107*0.019)+0.3)</f>
        <v>-35.563999999999993</v>
      </c>
      <c r="K4107" s="90">
        <f t="shared" ref="K4107:K4121" si="811">SUM(H4107:J4107)</f>
        <v>1820.4359999999999</v>
      </c>
      <c r="L4107" s="131">
        <v>2150</v>
      </c>
      <c r="M4107" s="187">
        <v>149.19999999999999</v>
      </c>
      <c r="N4107" s="91">
        <f t="shared" si="805"/>
        <v>1396.2</v>
      </c>
      <c r="O4107" s="411">
        <f t="shared" si="809"/>
        <v>424.23599999999988</v>
      </c>
      <c r="P4107" s="132" t="s">
        <v>52</v>
      </c>
      <c r="Q4107" s="232"/>
      <c r="R4107" s="411"/>
      <c r="T4107" s="134" t="s">
        <v>875</v>
      </c>
      <c r="U4107" s="267" t="s">
        <v>9205</v>
      </c>
      <c r="V4107" s="133" t="s">
        <v>55</v>
      </c>
      <c r="W4107" s="153" t="s">
        <v>9206</v>
      </c>
      <c r="AA4107" s="218"/>
    </row>
    <row r="4108" spans="1:27" ht="24" x14ac:dyDescent="0.25">
      <c r="A4108" s="405">
        <v>3003174</v>
      </c>
      <c r="B4108" s="406">
        <v>42566</v>
      </c>
      <c r="C4108" s="405" t="s">
        <v>5682</v>
      </c>
      <c r="D4108" s="401" t="s">
        <v>9207</v>
      </c>
      <c r="E4108" s="120">
        <v>233</v>
      </c>
      <c r="F4108" s="133" t="s">
        <v>165</v>
      </c>
      <c r="G4108" s="404" t="s">
        <v>7486</v>
      </c>
      <c r="H4108" s="411">
        <v>224.03</v>
      </c>
      <c r="I4108" s="89">
        <f t="shared" ref="I4108:I4110" si="812">-(H4108*0.09)</f>
        <v>-20.162700000000001</v>
      </c>
      <c r="J4108" s="391">
        <f t="shared" si="810"/>
        <v>-4.5565699999999998</v>
      </c>
      <c r="K4108" s="90">
        <f t="shared" si="811"/>
        <v>199.31073000000001</v>
      </c>
      <c r="L4108" s="131">
        <v>375</v>
      </c>
      <c r="N4108" s="91">
        <f t="shared" si="805"/>
        <v>87.375</v>
      </c>
      <c r="O4108" s="411">
        <f t="shared" si="809"/>
        <v>111.93573000000001</v>
      </c>
      <c r="P4108" s="132" t="s">
        <v>52</v>
      </c>
      <c r="Q4108" s="232"/>
      <c r="R4108" s="411"/>
      <c r="T4108" s="134" t="s">
        <v>145</v>
      </c>
      <c r="U4108" s="267" t="s">
        <v>9208</v>
      </c>
      <c r="AA4108" s="218"/>
    </row>
    <row r="4109" spans="1:27" ht="24" x14ac:dyDescent="0.25">
      <c r="A4109" s="405">
        <v>3003175</v>
      </c>
      <c r="B4109" s="406">
        <v>42566</v>
      </c>
      <c r="C4109" s="405" t="s">
        <v>5682</v>
      </c>
      <c r="D4109" s="401" t="s">
        <v>9209</v>
      </c>
      <c r="E4109" s="120">
        <v>250</v>
      </c>
      <c r="F4109" s="133" t="s">
        <v>4665</v>
      </c>
      <c r="G4109" s="404" t="s">
        <v>7486</v>
      </c>
      <c r="H4109" s="411">
        <v>127.33</v>
      </c>
      <c r="I4109" s="89">
        <f t="shared" si="812"/>
        <v>-11.4597</v>
      </c>
      <c r="J4109" s="391">
        <f t="shared" si="810"/>
        <v>-2.7192699999999999</v>
      </c>
      <c r="K4109" s="90">
        <f t="shared" si="811"/>
        <v>113.15103000000001</v>
      </c>
      <c r="M4109" s="187">
        <f>39.74+5</f>
        <v>44.74</v>
      </c>
      <c r="N4109" s="91">
        <f t="shared" si="805"/>
        <v>44.74</v>
      </c>
      <c r="O4109" s="411">
        <f t="shared" si="809"/>
        <v>68.411030000000011</v>
      </c>
      <c r="P4109" s="132" t="s">
        <v>52</v>
      </c>
      <c r="Q4109" s="232"/>
      <c r="R4109" s="411"/>
      <c r="T4109" s="134" t="s">
        <v>145</v>
      </c>
      <c r="U4109" s="267" t="s">
        <v>9210</v>
      </c>
      <c r="AA4109" s="218"/>
    </row>
    <row r="4110" spans="1:27" ht="24" x14ac:dyDescent="0.25">
      <c r="A4110" s="405">
        <v>3003176</v>
      </c>
      <c r="B4110" s="406">
        <v>42566</v>
      </c>
      <c r="C4110" s="405" t="s">
        <v>5682</v>
      </c>
      <c r="D4110" s="401" t="s">
        <v>9211</v>
      </c>
      <c r="E4110" s="120">
        <v>50</v>
      </c>
      <c r="F4110" s="133" t="s">
        <v>161</v>
      </c>
      <c r="G4110" s="404" t="s">
        <v>7486</v>
      </c>
      <c r="H4110" s="411">
        <v>145.56</v>
      </c>
      <c r="I4110" s="89">
        <f t="shared" si="812"/>
        <v>-13.1004</v>
      </c>
      <c r="J4110" s="391">
        <f t="shared" si="810"/>
        <v>-3.0656399999999997</v>
      </c>
      <c r="K4110" s="90">
        <f t="shared" si="811"/>
        <v>129.39395999999999</v>
      </c>
      <c r="L4110" s="131">
        <v>1322</v>
      </c>
      <c r="M4110" s="187">
        <f>19.2+5</f>
        <v>24.2</v>
      </c>
      <c r="N4110" s="91">
        <f t="shared" si="805"/>
        <v>90.300000000000011</v>
      </c>
      <c r="O4110" s="411">
        <f t="shared" si="809"/>
        <v>39.093959999999981</v>
      </c>
      <c r="P4110" s="132" t="s">
        <v>52</v>
      </c>
      <c r="Q4110" s="232"/>
      <c r="R4110" s="411"/>
      <c r="T4110" s="134" t="s">
        <v>145</v>
      </c>
      <c r="U4110" s="267" t="s">
        <v>9212</v>
      </c>
      <c r="AA4110" s="218"/>
    </row>
    <row r="4111" spans="1:27" ht="24" x14ac:dyDescent="0.25">
      <c r="A4111" s="405">
        <v>3003177</v>
      </c>
      <c r="B4111" s="406">
        <v>42566</v>
      </c>
      <c r="C4111" s="405" t="s">
        <v>237</v>
      </c>
      <c r="D4111" s="401" t="s">
        <v>9213</v>
      </c>
      <c r="E4111" s="120">
        <v>100</v>
      </c>
      <c r="F4111" s="133" t="s">
        <v>2199</v>
      </c>
      <c r="G4111" s="404" t="s">
        <v>7486</v>
      </c>
      <c r="H4111" s="411">
        <v>178.36</v>
      </c>
      <c r="I4111" s="397">
        <f t="shared" ref="I4111:I4112" si="813">-(H4111*0.15)</f>
        <v>-26.754000000000001</v>
      </c>
      <c r="J4111" s="411">
        <v>0</v>
      </c>
      <c r="K4111" s="90">
        <f t="shared" si="811"/>
        <v>151.60600000000002</v>
      </c>
      <c r="M4111" s="187">
        <f>31.32+5</f>
        <v>36.32</v>
      </c>
      <c r="N4111" s="91">
        <f t="shared" si="805"/>
        <v>36.32</v>
      </c>
      <c r="O4111" s="411">
        <f t="shared" si="809"/>
        <v>115.28600000000003</v>
      </c>
      <c r="P4111" s="132" t="s">
        <v>52</v>
      </c>
      <c r="Q4111" s="232"/>
      <c r="R4111" s="411"/>
      <c r="T4111" s="134" t="s">
        <v>145</v>
      </c>
      <c r="U4111" s="267" t="s">
        <v>9214</v>
      </c>
      <c r="AA4111" s="218"/>
    </row>
    <row r="4112" spans="1:27" ht="24" x14ac:dyDescent="0.25">
      <c r="A4112" s="405">
        <v>3003178</v>
      </c>
      <c r="B4112" s="406">
        <v>42566</v>
      </c>
      <c r="C4112" s="405" t="s">
        <v>237</v>
      </c>
      <c r="D4112" s="401" t="s">
        <v>9215</v>
      </c>
      <c r="E4112" s="120">
        <v>200</v>
      </c>
      <c r="F4112" s="133" t="s">
        <v>533</v>
      </c>
      <c r="G4112" s="404" t="s">
        <v>7486</v>
      </c>
      <c r="H4112" s="411">
        <v>356.72</v>
      </c>
      <c r="I4112" s="397">
        <f t="shared" si="813"/>
        <v>-53.508000000000003</v>
      </c>
      <c r="J4112" s="411">
        <v>0</v>
      </c>
      <c r="K4112" s="90">
        <f t="shared" si="811"/>
        <v>303.21200000000005</v>
      </c>
      <c r="L4112" s="131">
        <v>1150</v>
      </c>
      <c r="M4112" s="187">
        <f>40.22+27.72+5+5</f>
        <v>77.94</v>
      </c>
      <c r="N4112" s="91">
        <f t="shared" si="805"/>
        <v>307.94</v>
      </c>
      <c r="O4112" s="411">
        <f t="shared" si="809"/>
        <v>-4.7279999999999518</v>
      </c>
      <c r="P4112" s="132" t="s">
        <v>52</v>
      </c>
      <c r="Q4112" s="232"/>
      <c r="R4112" s="411"/>
      <c r="T4112" s="134" t="s">
        <v>145</v>
      </c>
      <c r="U4112" s="266" t="s">
        <v>9216</v>
      </c>
      <c r="AA4112" s="218"/>
    </row>
    <row r="4113" spans="1:27" ht="24" x14ac:dyDescent="0.25">
      <c r="A4113" s="405">
        <v>3003179</v>
      </c>
      <c r="B4113" s="406">
        <v>42566</v>
      </c>
      <c r="C4113" s="405" t="s">
        <v>5682</v>
      </c>
      <c r="D4113" s="401" t="s">
        <v>7044</v>
      </c>
      <c r="E4113" s="120">
        <v>250</v>
      </c>
      <c r="F4113" s="133" t="s">
        <v>972</v>
      </c>
      <c r="G4113" s="404" t="s">
        <v>7486</v>
      </c>
      <c r="H4113" s="411">
        <v>108.9</v>
      </c>
      <c r="I4113" s="89">
        <f t="shared" ref="I4113" si="814">-(H4113*0.09)</f>
        <v>-9.8010000000000002</v>
      </c>
      <c r="J4113" s="391">
        <f t="shared" ref="J4113" si="815">-((H4113*0.019)+0.3)</f>
        <v>-2.3691</v>
      </c>
      <c r="K4113" s="90">
        <f t="shared" si="811"/>
        <v>96.729900000000001</v>
      </c>
      <c r="L4113" s="131">
        <v>205</v>
      </c>
      <c r="M4113" s="187">
        <f>40.46+5</f>
        <v>45.46</v>
      </c>
      <c r="N4113" s="91">
        <f t="shared" si="805"/>
        <v>96.710000000000008</v>
      </c>
      <c r="O4113" s="411">
        <f t="shared" si="809"/>
        <v>1.9899999999992701E-2</v>
      </c>
      <c r="P4113" s="132" t="s">
        <v>52</v>
      </c>
      <c r="Q4113" s="232"/>
      <c r="R4113" s="411"/>
      <c r="T4113" s="134" t="s">
        <v>145</v>
      </c>
      <c r="U4113" s="267" t="s">
        <v>9217</v>
      </c>
      <c r="AA4113" s="218"/>
    </row>
    <row r="4114" spans="1:27" ht="24" x14ac:dyDescent="0.25">
      <c r="A4114" s="405">
        <v>3003180</v>
      </c>
      <c r="B4114" s="406">
        <v>42566</v>
      </c>
      <c r="C4114" s="405" t="s">
        <v>63</v>
      </c>
      <c r="D4114" s="401" t="s">
        <v>9218</v>
      </c>
      <c r="E4114" s="120">
        <v>250</v>
      </c>
      <c r="F4114" s="133" t="s">
        <v>288</v>
      </c>
      <c r="G4114" s="404" t="s">
        <v>7486</v>
      </c>
      <c r="H4114" s="411">
        <v>475</v>
      </c>
      <c r="I4114" s="411">
        <v>0</v>
      </c>
      <c r="J4114" s="391">
        <f>-((H4114*0.022)+0.3)</f>
        <v>-10.75</v>
      </c>
      <c r="K4114" s="90">
        <f t="shared" si="811"/>
        <v>464.25</v>
      </c>
      <c r="L4114" s="131">
        <v>950</v>
      </c>
      <c r="M4114" s="187">
        <f>48.44+5</f>
        <v>53.44</v>
      </c>
      <c r="N4114" s="91">
        <f t="shared" si="805"/>
        <v>290.94</v>
      </c>
      <c r="O4114" s="411">
        <f t="shared" si="809"/>
        <v>173.31</v>
      </c>
      <c r="P4114" s="132" t="s">
        <v>52</v>
      </c>
      <c r="Q4114" s="232"/>
      <c r="R4114" s="411"/>
      <c r="T4114" s="134" t="s">
        <v>145</v>
      </c>
      <c r="U4114" s="267" t="s">
        <v>9219</v>
      </c>
      <c r="W4114" s="153" t="s">
        <v>9220</v>
      </c>
      <c r="AA4114" s="218"/>
    </row>
    <row r="4115" spans="1:27" ht="24" x14ac:dyDescent="0.25">
      <c r="A4115" s="419">
        <v>3003181</v>
      </c>
      <c r="B4115" s="421">
        <v>42566</v>
      </c>
      <c r="C4115" s="419" t="s">
        <v>327</v>
      </c>
      <c r="D4115" s="417" t="s">
        <v>9221</v>
      </c>
      <c r="E4115" s="120">
        <v>3050</v>
      </c>
      <c r="F4115" s="119" t="s">
        <v>9222</v>
      </c>
      <c r="G4115" s="434" t="s">
        <v>7486</v>
      </c>
      <c r="H4115" s="427">
        <v>8410</v>
      </c>
      <c r="I4115" s="427">
        <v>0</v>
      </c>
      <c r="J4115" s="425">
        <f>-((H4115*0.022)+0.3)</f>
        <v>-185.32</v>
      </c>
      <c r="K4115" s="425">
        <f t="shared" si="811"/>
        <v>8224.68</v>
      </c>
      <c r="L4115" s="187">
        <v>1680</v>
      </c>
      <c r="M4115" s="187">
        <v>514.1</v>
      </c>
      <c r="N4115" s="91">
        <f t="shared" si="805"/>
        <v>5638.1</v>
      </c>
      <c r="O4115" s="411">
        <f t="shared" si="809"/>
        <v>2586.58</v>
      </c>
      <c r="P4115" s="132" t="s">
        <v>3401</v>
      </c>
      <c r="Q4115" s="232"/>
      <c r="R4115" s="411"/>
      <c r="T4115" s="134" t="s">
        <v>89</v>
      </c>
      <c r="U4115" s="267" t="s">
        <v>9223</v>
      </c>
      <c r="V4115" s="133" t="s">
        <v>55</v>
      </c>
      <c r="W4115" s="153" t="s">
        <v>9224</v>
      </c>
      <c r="AA4115" s="473">
        <v>50</v>
      </c>
    </row>
    <row r="4116" spans="1:27" x14ac:dyDescent="0.25">
      <c r="A4116" s="420"/>
      <c r="B4116" s="422"/>
      <c r="C4116" s="420"/>
      <c r="D4116" s="418"/>
      <c r="E4116" s="120">
        <v>400</v>
      </c>
      <c r="F4116" s="133" t="s">
        <v>9225</v>
      </c>
      <c r="G4116" s="436"/>
      <c r="H4116" s="428"/>
      <c r="I4116" s="428"/>
      <c r="J4116" s="426"/>
      <c r="K4116" s="426"/>
      <c r="L4116" s="131">
        <v>2585</v>
      </c>
      <c r="M4116" s="187">
        <v>178.39</v>
      </c>
      <c r="N4116" s="91">
        <f t="shared" si="805"/>
        <v>1212.3899999999999</v>
      </c>
      <c r="O4116" s="411">
        <f t="shared" si="809"/>
        <v>-1212.3899999999999</v>
      </c>
      <c r="P4116" s="132" t="s">
        <v>52</v>
      </c>
      <c r="Q4116" s="232"/>
      <c r="R4116" s="411"/>
      <c r="T4116" s="134" t="s">
        <v>97</v>
      </c>
      <c r="U4116" s="267" t="s">
        <v>9226</v>
      </c>
      <c r="V4116" s="133" t="s">
        <v>55</v>
      </c>
      <c r="AA4116" s="474"/>
    </row>
    <row r="4117" spans="1:27" x14ac:dyDescent="0.25">
      <c r="A4117" s="405">
        <v>3003182</v>
      </c>
      <c r="B4117" s="406">
        <v>42566</v>
      </c>
      <c r="C4117" s="405" t="s">
        <v>78</v>
      </c>
      <c r="D4117" s="401" t="s">
        <v>9227</v>
      </c>
      <c r="E4117" s="120">
        <v>984</v>
      </c>
      <c r="F4117" s="133" t="s">
        <v>9228</v>
      </c>
      <c r="G4117" s="404" t="s">
        <v>7486</v>
      </c>
      <c r="H4117" s="411">
        <v>588</v>
      </c>
      <c r="I4117" s="411">
        <v>0</v>
      </c>
      <c r="J4117" s="391">
        <f t="shared" ref="J4117:J4119" si="816">-((H4117*0.019)+0.3)</f>
        <v>-11.472000000000001</v>
      </c>
      <c r="K4117" s="90">
        <f t="shared" si="811"/>
        <v>576.52800000000002</v>
      </c>
      <c r="L4117" s="187">
        <v>232</v>
      </c>
      <c r="M4117" s="187">
        <v>29.57</v>
      </c>
      <c r="N4117" s="91">
        <f t="shared" si="805"/>
        <v>257.858</v>
      </c>
      <c r="O4117" s="411">
        <f t="shared" si="809"/>
        <v>318.67</v>
      </c>
      <c r="P4117" s="132" t="s">
        <v>313</v>
      </c>
      <c r="Q4117" s="232"/>
      <c r="R4117" s="411"/>
      <c r="T4117" s="134" t="s">
        <v>314</v>
      </c>
      <c r="U4117" s="267" t="s">
        <v>9229</v>
      </c>
      <c r="AA4117" s="218"/>
    </row>
    <row r="4118" spans="1:27" ht="24" x14ac:dyDescent="0.25">
      <c r="A4118" s="405">
        <v>3003183</v>
      </c>
      <c r="B4118" s="406">
        <v>42566</v>
      </c>
      <c r="C4118" s="405" t="s">
        <v>5682</v>
      </c>
      <c r="D4118" s="401" t="s">
        <v>9230</v>
      </c>
      <c r="E4118" s="120">
        <v>425</v>
      </c>
      <c r="F4118" s="133" t="s">
        <v>247</v>
      </c>
      <c r="G4118" s="404" t="s">
        <v>7486</v>
      </c>
      <c r="H4118" s="411">
        <v>506.41</v>
      </c>
      <c r="I4118" s="89">
        <f t="shared" ref="I4118:I4119" si="817">-(H4118*0.09)</f>
        <v>-45.576900000000002</v>
      </c>
      <c r="J4118" s="391">
        <f t="shared" si="816"/>
        <v>-9.9217900000000014</v>
      </c>
      <c r="K4118" s="90">
        <f t="shared" si="811"/>
        <v>450.91131000000001</v>
      </c>
      <c r="L4118" s="131">
        <v>480</v>
      </c>
      <c r="M4118" s="187">
        <v>67.34</v>
      </c>
      <c r="N4118" s="91">
        <f t="shared" si="805"/>
        <v>271.34000000000003</v>
      </c>
      <c r="O4118" s="411">
        <f t="shared" si="809"/>
        <v>179.57130999999998</v>
      </c>
      <c r="P4118" s="132" t="s">
        <v>52</v>
      </c>
      <c r="Q4118" s="232"/>
      <c r="R4118" s="411"/>
      <c r="T4118" s="134" t="s">
        <v>145</v>
      </c>
      <c r="U4118" s="267" t="s">
        <v>9231</v>
      </c>
      <c r="V4118" s="133" t="s">
        <v>55</v>
      </c>
      <c r="AA4118" s="218"/>
    </row>
    <row r="4119" spans="1:27" ht="24" x14ac:dyDescent="0.25">
      <c r="A4119" s="405">
        <v>3003184</v>
      </c>
      <c r="B4119" s="406">
        <v>42566</v>
      </c>
      <c r="C4119" s="405" t="s">
        <v>5682</v>
      </c>
      <c r="D4119" s="401" t="s">
        <v>9232</v>
      </c>
      <c r="E4119" s="120">
        <v>500</v>
      </c>
      <c r="F4119" s="119" t="s">
        <v>9233</v>
      </c>
      <c r="G4119" s="404" t="s">
        <v>7486</v>
      </c>
      <c r="H4119" s="411">
        <v>591.42999999999995</v>
      </c>
      <c r="I4119" s="89">
        <f t="shared" si="817"/>
        <v>-53.228699999999996</v>
      </c>
      <c r="J4119" s="391">
        <f t="shared" si="816"/>
        <v>-11.53717</v>
      </c>
      <c r="K4119" s="90">
        <f t="shared" si="811"/>
        <v>526.66413</v>
      </c>
      <c r="L4119" s="187">
        <v>542.23</v>
      </c>
      <c r="M4119" s="187">
        <v>146.19999999999999</v>
      </c>
      <c r="N4119" s="91">
        <f t="shared" si="805"/>
        <v>417.315</v>
      </c>
      <c r="O4119" s="411">
        <f t="shared" si="809"/>
        <v>109.34913</v>
      </c>
      <c r="P4119" s="132" t="s">
        <v>926</v>
      </c>
      <c r="Q4119" s="232"/>
      <c r="R4119" s="411"/>
      <c r="T4119" s="134" t="s">
        <v>314</v>
      </c>
      <c r="U4119" s="267" t="s">
        <v>9234</v>
      </c>
      <c r="AA4119" s="218"/>
    </row>
    <row r="4120" spans="1:27" ht="24" x14ac:dyDescent="0.25">
      <c r="A4120" s="405">
        <v>3003185</v>
      </c>
      <c r="B4120" s="406">
        <v>42566</v>
      </c>
      <c r="C4120" s="405" t="s">
        <v>63</v>
      </c>
      <c r="D4120" s="401" t="s">
        <v>7495</v>
      </c>
      <c r="E4120" s="120">
        <v>100</v>
      </c>
      <c r="F4120" s="133" t="s">
        <v>5170</v>
      </c>
      <c r="G4120" s="404" t="s">
        <v>7486</v>
      </c>
      <c r="H4120" s="411">
        <v>350</v>
      </c>
      <c r="I4120" s="411">
        <v>0</v>
      </c>
      <c r="J4120" s="391">
        <f>-((H4120*0.022)+0.3)</f>
        <v>-7.9999999999999991</v>
      </c>
      <c r="K4120" s="90">
        <f t="shared" si="811"/>
        <v>342</v>
      </c>
      <c r="L4120" s="187">
        <v>1750</v>
      </c>
      <c r="M4120" s="187">
        <v>51.47</v>
      </c>
      <c r="N4120" s="91">
        <f t="shared" si="805"/>
        <v>226.47</v>
      </c>
      <c r="O4120" s="411">
        <f t="shared" si="809"/>
        <v>115.53</v>
      </c>
      <c r="P4120" s="132" t="s">
        <v>144</v>
      </c>
      <c r="Q4120" s="232"/>
      <c r="R4120" s="411"/>
      <c r="T4120" s="134" t="s">
        <v>145</v>
      </c>
      <c r="U4120" s="267" t="s">
        <v>9235</v>
      </c>
      <c r="W4120" s="153" t="s">
        <v>9236</v>
      </c>
      <c r="AA4120" s="218"/>
    </row>
    <row r="4121" spans="1:27" x14ac:dyDescent="0.25">
      <c r="A4121" s="419">
        <v>3003186</v>
      </c>
      <c r="B4121" s="421">
        <v>42566</v>
      </c>
      <c r="C4121" s="419" t="s">
        <v>63</v>
      </c>
      <c r="D4121" s="417" t="s">
        <v>9237</v>
      </c>
      <c r="E4121" s="120">
        <v>50</v>
      </c>
      <c r="F4121" s="133" t="s">
        <v>445</v>
      </c>
      <c r="G4121" s="434" t="s">
        <v>7486</v>
      </c>
      <c r="H4121" s="427">
        <v>600</v>
      </c>
      <c r="I4121" s="427">
        <v>0</v>
      </c>
      <c r="J4121" s="425">
        <f>-((H4121*0.022)+0.3)</f>
        <v>-13.5</v>
      </c>
      <c r="K4121" s="425">
        <f t="shared" si="811"/>
        <v>586.5</v>
      </c>
      <c r="M4121" s="510">
        <v>244.99</v>
      </c>
      <c r="N4121" s="91">
        <f t="shared" si="805"/>
        <v>244.99</v>
      </c>
      <c r="O4121" s="411">
        <f t="shared" si="809"/>
        <v>341.51</v>
      </c>
      <c r="P4121" s="132" t="s">
        <v>52</v>
      </c>
      <c r="Q4121" s="232"/>
      <c r="R4121" s="411"/>
      <c r="T4121" s="439" t="s">
        <v>463</v>
      </c>
      <c r="U4121" s="446" t="s">
        <v>9238</v>
      </c>
      <c r="W4121" s="153" t="s">
        <v>9239</v>
      </c>
      <c r="AA4121" s="218"/>
    </row>
    <row r="4122" spans="1:27" x14ac:dyDescent="0.25">
      <c r="A4122" s="432"/>
      <c r="B4122" s="433"/>
      <c r="C4122" s="432"/>
      <c r="D4122" s="454"/>
      <c r="E4122" s="120">
        <v>100</v>
      </c>
      <c r="F4122" s="133" t="s">
        <v>161</v>
      </c>
      <c r="G4122" s="435"/>
      <c r="H4122" s="438"/>
      <c r="I4122" s="438"/>
      <c r="J4122" s="437"/>
      <c r="K4122" s="437"/>
      <c r="L4122" s="131">
        <v>1322</v>
      </c>
      <c r="M4122" s="511"/>
      <c r="N4122" s="91">
        <f t="shared" si="805"/>
        <v>132.20000000000002</v>
      </c>
      <c r="O4122" s="411">
        <f t="shared" si="809"/>
        <v>-132.20000000000002</v>
      </c>
      <c r="P4122" s="132" t="s">
        <v>52</v>
      </c>
      <c r="Q4122" s="232"/>
      <c r="R4122" s="411"/>
      <c r="T4122" s="440"/>
      <c r="U4122" s="448"/>
      <c r="AA4122" s="218"/>
    </row>
    <row r="4123" spans="1:27" x14ac:dyDescent="0.25">
      <c r="A4123" s="420"/>
      <c r="B4123" s="422"/>
      <c r="C4123" s="420"/>
      <c r="D4123" s="418"/>
      <c r="E4123" s="120">
        <v>500</v>
      </c>
      <c r="F4123" s="133" t="s">
        <v>451</v>
      </c>
      <c r="G4123" s="436"/>
      <c r="H4123" s="428"/>
      <c r="I4123" s="428"/>
      <c r="J4123" s="426"/>
      <c r="K4123" s="426"/>
      <c r="L4123" s="131">
        <v>300</v>
      </c>
      <c r="M4123" s="512"/>
      <c r="N4123" s="91">
        <f t="shared" si="805"/>
        <v>150</v>
      </c>
      <c r="O4123" s="411">
        <f t="shared" si="809"/>
        <v>-150</v>
      </c>
      <c r="P4123" s="132" t="s">
        <v>52</v>
      </c>
      <c r="Q4123" s="232"/>
      <c r="R4123" s="411"/>
      <c r="T4123" s="441"/>
      <c r="U4123" s="447"/>
      <c r="AA4123" s="218"/>
    </row>
    <row r="4124" spans="1:27" ht="24" x14ac:dyDescent="0.25">
      <c r="A4124" s="405">
        <v>3003187</v>
      </c>
      <c r="B4124" s="406">
        <v>42569</v>
      </c>
      <c r="C4124" s="405" t="s">
        <v>5682</v>
      </c>
      <c r="D4124" s="401" t="s">
        <v>9240</v>
      </c>
      <c r="E4124" s="120">
        <v>250</v>
      </c>
      <c r="F4124" s="133" t="s">
        <v>288</v>
      </c>
      <c r="G4124" s="404" t="s">
        <v>9241</v>
      </c>
      <c r="H4124" s="411">
        <v>480.44</v>
      </c>
      <c r="I4124" s="89">
        <f t="shared" ref="I4124" si="818">-(H4124*0.09)</f>
        <v>-43.239599999999996</v>
      </c>
      <c r="J4124" s="391">
        <f t="shared" ref="J4124" si="819">-((H4124*0.019)+0.3)</f>
        <v>-9.4283599999999996</v>
      </c>
      <c r="K4124" s="90">
        <f t="shared" ref="K4124:K4157" si="820">SUM(H4124:J4124)</f>
        <v>427.77204</v>
      </c>
      <c r="L4124" s="131">
        <v>950</v>
      </c>
      <c r="M4124" s="187">
        <v>44.54</v>
      </c>
      <c r="N4124" s="91">
        <f t="shared" si="805"/>
        <v>282.04000000000002</v>
      </c>
      <c r="O4124" s="411">
        <f t="shared" si="809"/>
        <v>145.73203999999998</v>
      </c>
      <c r="P4124" s="132" t="s">
        <v>52</v>
      </c>
      <c r="Q4124" s="232"/>
      <c r="R4124" s="411"/>
      <c r="T4124" s="134" t="s">
        <v>145</v>
      </c>
      <c r="U4124" s="266"/>
      <c r="AA4124" s="218"/>
    </row>
    <row r="4125" spans="1:27" ht="24" x14ac:dyDescent="0.25">
      <c r="A4125" s="405">
        <v>3003188</v>
      </c>
      <c r="B4125" s="406">
        <v>42569</v>
      </c>
      <c r="C4125" s="405" t="s">
        <v>63</v>
      </c>
      <c r="D4125" s="401" t="s">
        <v>9242</v>
      </c>
      <c r="E4125" s="120">
        <v>32</v>
      </c>
      <c r="F4125" s="133" t="s">
        <v>9243</v>
      </c>
      <c r="G4125" s="404" t="s">
        <v>7486</v>
      </c>
      <c r="H4125" s="411">
        <v>380</v>
      </c>
      <c r="I4125" s="411">
        <v>0</v>
      </c>
      <c r="J4125" s="391">
        <f>-((H4125*0.022)+0.3)</f>
        <v>-8.66</v>
      </c>
      <c r="K4125" s="90">
        <f t="shared" si="820"/>
        <v>371.34</v>
      </c>
      <c r="L4125" s="187">
        <v>4000</v>
      </c>
      <c r="M4125" s="131">
        <v>0</v>
      </c>
      <c r="N4125" s="91">
        <f t="shared" si="805"/>
        <v>128</v>
      </c>
      <c r="O4125" s="411">
        <f t="shared" si="809"/>
        <v>243.33999999999997</v>
      </c>
      <c r="P4125" s="132" t="s">
        <v>235</v>
      </c>
      <c r="Q4125" s="232"/>
      <c r="R4125" s="411"/>
      <c r="T4125" s="134" t="s">
        <v>145</v>
      </c>
      <c r="U4125" s="267" t="s">
        <v>9244</v>
      </c>
      <c r="W4125" s="153" t="s">
        <v>9245</v>
      </c>
      <c r="AA4125" s="218"/>
    </row>
    <row r="4126" spans="1:27" x14ac:dyDescent="0.25">
      <c r="A4126" s="405">
        <v>3003189</v>
      </c>
      <c r="B4126" s="406">
        <v>42569</v>
      </c>
      <c r="C4126" s="405" t="s">
        <v>5682</v>
      </c>
      <c r="D4126" s="401" t="s">
        <v>9246</v>
      </c>
      <c r="E4126" s="120">
        <v>200</v>
      </c>
      <c r="F4126" s="133" t="s">
        <v>626</v>
      </c>
      <c r="G4126" s="404" t="s">
        <v>7486</v>
      </c>
      <c r="H4126" s="411">
        <v>627</v>
      </c>
      <c r="I4126" s="89">
        <f t="shared" ref="I4126" si="821">-(H4126*0.09)</f>
        <v>-56.43</v>
      </c>
      <c r="J4126" s="391">
        <f t="shared" ref="J4126:J4144" si="822">-((H4126*0.019)+0.3)</f>
        <v>-12.213000000000001</v>
      </c>
      <c r="K4126" s="90">
        <f t="shared" si="820"/>
        <v>558.35700000000008</v>
      </c>
      <c r="L4126" s="131">
        <v>1795.05</v>
      </c>
      <c r="M4126" s="187">
        <v>216.52</v>
      </c>
      <c r="N4126" s="91">
        <f>((L4126)*(E4126*0.001))+M4126</f>
        <v>575.53</v>
      </c>
      <c r="O4126" s="411">
        <f t="shared" si="809"/>
        <v>-17.172999999999888</v>
      </c>
      <c r="P4126" s="132" t="s">
        <v>86</v>
      </c>
      <c r="Q4126" s="232"/>
      <c r="R4126" s="411"/>
      <c r="T4126" s="134" t="s">
        <v>7260</v>
      </c>
      <c r="U4126" s="267" t="s">
        <v>9247</v>
      </c>
      <c r="V4126" s="133" t="s">
        <v>55</v>
      </c>
      <c r="AA4126" s="218"/>
    </row>
    <row r="4127" spans="1:27" ht="24" x14ac:dyDescent="0.25">
      <c r="A4127" s="405">
        <v>3003190</v>
      </c>
      <c r="B4127" s="406">
        <v>42569</v>
      </c>
      <c r="C4127" s="405" t="s">
        <v>63</v>
      </c>
      <c r="D4127" s="401" t="s">
        <v>9248</v>
      </c>
      <c r="E4127" s="120">
        <v>260</v>
      </c>
      <c r="F4127" s="133" t="s">
        <v>227</v>
      </c>
      <c r="G4127" s="404" t="s">
        <v>7486</v>
      </c>
      <c r="H4127" s="411">
        <v>225</v>
      </c>
      <c r="I4127" s="411">
        <v>0</v>
      </c>
      <c r="J4127" s="391">
        <f>-((H4127*0.022)+0.3)</f>
        <v>-5.2499999999999991</v>
      </c>
      <c r="K4127" s="90">
        <f t="shared" si="820"/>
        <v>219.75</v>
      </c>
      <c r="L4127" s="131">
        <v>350</v>
      </c>
      <c r="M4127" s="187">
        <v>35.79</v>
      </c>
      <c r="N4127" s="91">
        <f>((L4127)*(E4127*0.001))+M4127</f>
        <v>126.78999999999999</v>
      </c>
      <c r="O4127" s="411">
        <f t="shared" si="809"/>
        <v>92.960000000000008</v>
      </c>
      <c r="P4127" s="132" t="s">
        <v>52</v>
      </c>
      <c r="Q4127" s="232"/>
      <c r="R4127" s="411"/>
      <c r="T4127" s="134" t="s">
        <v>145</v>
      </c>
      <c r="U4127" s="267" t="s">
        <v>9249</v>
      </c>
      <c r="W4127" s="153" t="s">
        <v>9250</v>
      </c>
      <c r="AA4127" s="218"/>
    </row>
    <row r="4128" spans="1:27" ht="24" x14ac:dyDescent="0.25">
      <c r="A4128" s="405">
        <v>3003191</v>
      </c>
      <c r="B4128" s="406">
        <v>42569</v>
      </c>
      <c r="C4128" s="405" t="s">
        <v>78</v>
      </c>
      <c r="D4128" s="401" t="s">
        <v>9251</v>
      </c>
      <c r="E4128" s="120">
        <v>200</v>
      </c>
      <c r="F4128" s="133" t="s">
        <v>9252</v>
      </c>
      <c r="G4128" s="404" t="s">
        <v>7486</v>
      </c>
      <c r="H4128" s="411">
        <v>475</v>
      </c>
      <c r="I4128" s="411">
        <v>0</v>
      </c>
      <c r="J4128" s="391">
        <f t="shared" si="822"/>
        <v>-9.3250000000000011</v>
      </c>
      <c r="K4128" s="90">
        <f t="shared" si="820"/>
        <v>465.67500000000001</v>
      </c>
      <c r="L4128" s="187">
        <v>1500</v>
      </c>
      <c r="M4128" s="187">
        <v>100.5</v>
      </c>
      <c r="N4128" s="91">
        <f t="shared" si="805"/>
        <v>400.5</v>
      </c>
      <c r="O4128" s="411">
        <f t="shared" si="809"/>
        <v>65.175000000000011</v>
      </c>
      <c r="P4128" s="132" t="s">
        <v>235</v>
      </c>
      <c r="Q4128" s="232"/>
      <c r="R4128" s="411"/>
      <c r="T4128" s="134" t="s">
        <v>204</v>
      </c>
      <c r="U4128" s="266" t="s">
        <v>9253</v>
      </c>
      <c r="W4128" s="153" t="s">
        <v>9254</v>
      </c>
      <c r="AA4128" s="218"/>
    </row>
    <row r="4129" spans="1:27" ht="24" x14ac:dyDescent="0.25">
      <c r="A4129" s="405">
        <v>3003192</v>
      </c>
      <c r="B4129" s="406">
        <v>42569</v>
      </c>
      <c r="C4129" s="405" t="s">
        <v>5682</v>
      </c>
      <c r="D4129" s="401" t="s">
        <v>9255</v>
      </c>
      <c r="E4129" s="120">
        <v>125</v>
      </c>
      <c r="F4129" s="133" t="s">
        <v>247</v>
      </c>
      <c r="G4129" s="404" t="s">
        <v>7486</v>
      </c>
      <c r="H4129" s="411">
        <v>138.25</v>
      </c>
      <c r="I4129" s="89">
        <f t="shared" ref="I4129:I4144" si="823">-(H4129*0.09)</f>
        <v>-12.442499999999999</v>
      </c>
      <c r="J4129" s="391">
        <f t="shared" si="822"/>
        <v>-2.9267499999999997</v>
      </c>
      <c r="K4129" s="90">
        <f t="shared" si="820"/>
        <v>122.88075000000001</v>
      </c>
      <c r="L4129" s="131">
        <v>480</v>
      </c>
      <c r="M4129" s="187">
        <v>27.12</v>
      </c>
      <c r="N4129" s="91">
        <f t="shared" si="805"/>
        <v>87.12</v>
      </c>
      <c r="O4129" s="411">
        <f t="shared" si="809"/>
        <v>35.760750000000002</v>
      </c>
      <c r="P4129" s="132" t="s">
        <v>52</v>
      </c>
      <c r="Q4129" s="232"/>
      <c r="R4129" s="411"/>
      <c r="T4129" s="134" t="s">
        <v>145</v>
      </c>
      <c r="U4129" s="267" t="s">
        <v>9256</v>
      </c>
      <c r="AA4129" s="218"/>
    </row>
    <row r="4130" spans="1:27" ht="24" x14ac:dyDescent="0.25">
      <c r="A4130" s="405">
        <v>3003193</v>
      </c>
      <c r="B4130" s="406">
        <v>42569</v>
      </c>
      <c r="C4130" s="405" t="s">
        <v>5682</v>
      </c>
      <c r="D4130" s="401" t="s">
        <v>9257</v>
      </c>
      <c r="E4130" s="120">
        <v>125</v>
      </c>
      <c r="F4130" s="133" t="s">
        <v>247</v>
      </c>
      <c r="G4130" s="404" t="s">
        <v>7486</v>
      </c>
      <c r="H4130" s="411">
        <v>138.25</v>
      </c>
      <c r="I4130" s="89">
        <f t="shared" si="823"/>
        <v>-12.442499999999999</v>
      </c>
      <c r="J4130" s="391">
        <f t="shared" si="822"/>
        <v>-2.9267499999999997</v>
      </c>
      <c r="K4130" s="90">
        <f t="shared" si="820"/>
        <v>122.88075000000001</v>
      </c>
      <c r="L4130" s="131">
        <v>480</v>
      </c>
      <c r="M4130" s="187">
        <v>44.67</v>
      </c>
      <c r="N4130" s="91">
        <f t="shared" si="805"/>
        <v>104.67</v>
      </c>
      <c r="O4130" s="411">
        <f t="shared" si="809"/>
        <v>18.210750000000004</v>
      </c>
      <c r="P4130" s="132" t="s">
        <v>52</v>
      </c>
      <c r="Q4130" s="232"/>
      <c r="R4130" s="411"/>
      <c r="T4130" s="134" t="s">
        <v>145</v>
      </c>
      <c r="U4130" s="267" t="s">
        <v>9258</v>
      </c>
      <c r="AA4130" s="218"/>
    </row>
    <row r="4131" spans="1:27" ht="24" x14ac:dyDescent="0.25">
      <c r="A4131" s="405">
        <v>3003194</v>
      </c>
      <c r="B4131" s="406">
        <v>42569</v>
      </c>
      <c r="C4131" s="405" t="s">
        <v>5682</v>
      </c>
      <c r="D4131" s="401" t="s">
        <v>9259</v>
      </c>
      <c r="E4131" s="120">
        <v>100</v>
      </c>
      <c r="F4131" s="133" t="s">
        <v>161</v>
      </c>
      <c r="G4131" s="404" t="s">
        <v>7486</v>
      </c>
      <c r="H4131" s="411">
        <v>230</v>
      </c>
      <c r="I4131" s="89">
        <f t="shared" si="823"/>
        <v>-20.7</v>
      </c>
      <c r="J4131" s="391">
        <f t="shared" si="822"/>
        <v>-4.67</v>
      </c>
      <c r="K4131" s="90">
        <f t="shared" si="820"/>
        <v>204.63000000000002</v>
      </c>
      <c r="L4131" s="131">
        <v>1322</v>
      </c>
      <c r="M4131" s="187">
        <v>43.75</v>
      </c>
      <c r="N4131" s="91">
        <f t="shared" si="805"/>
        <v>175.95000000000002</v>
      </c>
      <c r="O4131" s="411">
        <f t="shared" si="809"/>
        <v>28.680000000000007</v>
      </c>
      <c r="P4131" s="132" t="s">
        <v>52</v>
      </c>
      <c r="Q4131" s="232"/>
      <c r="R4131" s="411"/>
      <c r="T4131" s="134" t="s">
        <v>145</v>
      </c>
      <c r="U4131" s="267" t="s">
        <v>9260</v>
      </c>
      <c r="AA4131" s="218"/>
    </row>
    <row r="4132" spans="1:27" x14ac:dyDescent="0.25">
      <c r="A4132" s="405">
        <v>3003195</v>
      </c>
      <c r="B4132" s="406">
        <v>42569</v>
      </c>
      <c r="C4132" s="405" t="s">
        <v>5682</v>
      </c>
      <c r="D4132" s="401" t="s">
        <v>9261</v>
      </c>
      <c r="E4132" s="120">
        <v>400</v>
      </c>
      <c r="F4132" s="133" t="s">
        <v>9262</v>
      </c>
      <c r="G4132" s="404" t="s">
        <v>7486</v>
      </c>
      <c r="H4132" s="411">
        <v>920</v>
      </c>
      <c r="I4132" s="89">
        <f t="shared" si="823"/>
        <v>-82.8</v>
      </c>
      <c r="J4132" s="391">
        <f t="shared" si="822"/>
        <v>-17.78</v>
      </c>
      <c r="K4132" s="90">
        <f t="shared" si="820"/>
        <v>819.42000000000007</v>
      </c>
      <c r="L4132" s="131">
        <v>1322</v>
      </c>
      <c r="M4132" s="187">
        <v>102.97</v>
      </c>
      <c r="N4132" s="91">
        <f t="shared" si="805"/>
        <v>631.7700000000001</v>
      </c>
      <c r="O4132" s="411">
        <f t="shared" si="809"/>
        <v>187.64999999999998</v>
      </c>
      <c r="P4132" s="132" t="s">
        <v>86</v>
      </c>
      <c r="Q4132" s="232"/>
      <c r="R4132" s="411"/>
      <c r="T4132" s="134" t="s">
        <v>244</v>
      </c>
      <c r="U4132" s="267" t="s">
        <v>9263</v>
      </c>
      <c r="V4132" s="133" t="s">
        <v>55</v>
      </c>
      <c r="AA4132" s="218"/>
    </row>
    <row r="4133" spans="1:27" ht="24" x14ac:dyDescent="0.25">
      <c r="A4133" s="405">
        <v>3003196</v>
      </c>
      <c r="B4133" s="406">
        <v>42569</v>
      </c>
      <c r="C4133" s="405" t="s">
        <v>5682</v>
      </c>
      <c r="D4133" s="401" t="s">
        <v>9264</v>
      </c>
      <c r="E4133" s="120">
        <v>50</v>
      </c>
      <c r="F4133" s="133" t="s">
        <v>2483</v>
      </c>
      <c r="G4133" s="404" t="s">
        <v>7486</v>
      </c>
      <c r="H4133" s="411">
        <v>117.6</v>
      </c>
      <c r="I4133" s="89">
        <f t="shared" si="823"/>
        <v>-10.584</v>
      </c>
      <c r="J4133" s="391">
        <f t="shared" si="822"/>
        <v>-2.5343999999999998</v>
      </c>
      <c r="K4133" s="90">
        <f t="shared" si="820"/>
        <v>104.48159999999999</v>
      </c>
      <c r="L4133" s="131">
        <v>1500</v>
      </c>
      <c r="M4133" s="187">
        <v>34.299999999999997</v>
      </c>
      <c r="N4133" s="91">
        <f t="shared" si="805"/>
        <v>109.3</v>
      </c>
      <c r="O4133" s="411">
        <f t="shared" si="809"/>
        <v>-4.8184000000000111</v>
      </c>
      <c r="P4133" s="132" t="s">
        <v>52</v>
      </c>
      <c r="Q4133" s="232"/>
      <c r="R4133" s="411"/>
      <c r="T4133" s="134" t="s">
        <v>145</v>
      </c>
      <c r="U4133" s="267" t="s">
        <v>9265</v>
      </c>
      <c r="AA4133" s="218"/>
    </row>
    <row r="4134" spans="1:27" ht="24" x14ac:dyDescent="0.25">
      <c r="A4134" s="405">
        <v>3003197</v>
      </c>
      <c r="B4134" s="406">
        <v>42569</v>
      </c>
      <c r="C4134" s="405" t="s">
        <v>5682</v>
      </c>
      <c r="D4134" s="401" t="s">
        <v>9266</v>
      </c>
      <c r="E4134" s="120">
        <v>185</v>
      </c>
      <c r="F4134" s="133" t="s">
        <v>247</v>
      </c>
      <c r="G4134" s="404" t="s">
        <v>7486</v>
      </c>
      <c r="H4134" s="411">
        <v>198.85</v>
      </c>
      <c r="I4134" s="89">
        <f t="shared" si="823"/>
        <v>-17.8965</v>
      </c>
      <c r="J4134" s="391">
        <f t="shared" si="822"/>
        <v>-4.0781499999999999</v>
      </c>
      <c r="K4134" s="90">
        <f t="shared" si="820"/>
        <v>176.87535</v>
      </c>
      <c r="L4134" s="131">
        <v>480</v>
      </c>
      <c r="M4134" s="187">
        <v>46.88</v>
      </c>
      <c r="N4134" s="91">
        <f t="shared" si="805"/>
        <v>135.68</v>
      </c>
      <c r="O4134" s="411">
        <f t="shared" si="809"/>
        <v>41.195349999999991</v>
      </c>
      <c r="P4134" s="132" t="s">
        <v>52</v>
      </c>
      <c r="Q4134" s="232"/>
      <c r="R4134" s="411"/>
      <c r="T4134" s="134" t="s">
        <v>145</v>
      </c>
      <c r="U4134" s="267" t="s">
        <v>9267</v>
      </c>
      <c r="AA4134" s="218"/>
    </row>
    <row r="4135" spans="1:27" ht="24" x14ac:dyDescent="0.25">
      <c r="A4135" s="405">
        <v>3003198</v>
      </c>
      <c r="B4135" s="406">
        <v>42569</v>
      </c>
      <c r="C4135" s="405" t="s">
        <v>5682</v>
      </c>
      <c r="D4135" s="401" t="s">
        <v>9268</v>
      </c>
      <c r="E4135" s="120">
        <v>100</v>
      </c>
      <c r="F4135" s="133" t="s">
        <v>247</v>
      </c>
      <c r="G4135" s="404" t="s">
        <v>7486</v>
      </c>
      <c r="H4135" s="411">
        <v>125.44</v>
      </c>
      <c r="I4135" s="89">
        <f t="shared" si="823"/>
        <v>-11.2896</v>
      </c>
      <c r="J4135" s="391">
        <f t="shared" si="822"/>
        <v>-2.6833599999999995</v>
      </c>
      <c r="K4135" s="90">
        <f t="shared" si="820"/>
        <v>111.46704</v>
      </c>
      <c r="L4135" s="131">
        <v>480</v>
      </c>
      <c r="M4135" s="187">
        <v>24.62</v>
      </c>
      <c r="N4135" s="91">
        <f t="shared" si="805"/>
        <v>72.62</v>
      </c>
      <c r="O4135" s="411">
        <f t="shared" si="809"/>
        <v>38.847039999999993</v>
      </c>
      <c r="P4135" s="132" t="s">
        <v>52</v>
      </c>
      <c r="Q4135" s="232"/>
      <c r="R4135" s="411"/>
      <c r="T4135" s="134" t="s">
        <v>145</v>
      </c>
      <c r="U4135" s="267" t="s">
        <v>9269</v>
      </c>
      <c r="AA4135" s="218"/>
    </row>
    <row r="4136" spans="1:27" ht="24" x14ac:dyDescent="0.25">
      <c r="A4136" s="405">
        <v>3003199</v>
      </c>
      <c r="B4136" s="406">
        <v>42569</v>
      </c>
      <c r="C4136" s="405" t="s">
        <v>5682</v>
      </c>
      <c r="D4136" s="401" t="s">
        <v>9270</v>
      </c>
      <c r="E4136" s="120">
        <v>150</v>
      </c>
      <c r="F4136" s="133" t="s">
        <v>877</v>
      </c>
      <c r="G4136" s="404" t="s">
        <v>7486</v>
      </c>
      <c r="H4136" s="411">
        <v>131.04</v>
      </c>
      <c r="I4136" s="89">
        <f t="shared" si="823"/>
        <v>-11.7936</v>
      </c>
      <c r="J4136" s="391">
        <f t="shared" si="822"/>
        <v>-2.7897599999999998</v>
      </c>
      <c r="K4136" s="90">
        <f t="shared" si="820"/>
        <v>116.45663999999999</v>
      </c>
      <c r="L4136" s="131">
        <v>235</v>
      </c>
      <c r="M4136" s="187">
        <v>23.15</v>
      </c>
      <c r="N4136" s="91">
        <f t="shared" si="805"/>
        <v>58.4</v>
      </c>
      <c r="O4136" s="411">
        <f t="shared" si="809"/>
        <v>58.056639999999994</v>
      </c>
      <c r="P4136" s="132" t="s">
        <v>52</v>
      </c>
      <c r="Q4136" s="232"/>
      <c r="R4136" s="411"/>
      <c r="T4136" s="134" t="s">
        <v>145</v>
      </c>
      <c r="U4136" s="267" t="s">
        <v>9271</v>
      </c>
      <c r="AA4136" s="218"/>
    </row>
    <row r="4137" spans="1:27" ht="24" x14ac:dyDescent="0.25">
      <c r="A4137" s="405">
        <v>3003200</v>
      </c>
      <c r="B4137" s="406">
        <v>42569</v>
      </c>
      <c r="C4137" s="405" t="s">
        <v>5682</v>
      </c>
      <c r="D4137" s="401" t="s">
        <v>2080</v>
      </c>
      <c r="E4137" s="120">
        <v>1000</v>
      </c>
      <c r="F4137" s="133" t="s">
        <v>1137</v>
      </c>
      <c r="G4137" s="404" t="s">
        <v>7486</v>
      </c>
      <c r="H4137" s="411">
        <v>448</v>
      </c>
      <c r="I4137" s="89">
        <f t="shared" si="823"/>
        <v>-40.32</v>
      </c>
      <c r="J4137" s="391">
        <f t="shared" si="822"/>
        <v>-8.8120000000000012</v>
      </c>
      <c r="K4137" s="90">
        <f t="shared" si="820"/>
        <v>398.86799999999999</v>
      </c>
      <c r="L4137" s="131">
        <v>220</v>
      </c>
      <c r="M4137" s="187">
        <v>58.07</v>
      </c>
      <c r="N4137" s="91">
        <f t="shared" si="805"/>
        <v>278.07</v>
      </c>
      <c r="O4137" s="411">
        <f t="shared" si="809"/>
        <v>120.798</v>
      </c>
      <c r="P4137" s="132" t="s">
        <v>52</v>
      </c>
      <c r="Q4137" s="232"/>
      <c r="R4137" s="411"/>
      <c r="T4137" s="134" t="s">
        <v>145</v>
      </c>
      <c r="U4137" s="267" t="s">
        <v>9272</v>
      </c>
      <c r="AA4137" s="218"/>
    </row>
    <row r="4138" spans="1:27" ht="24" x14ac:dyDescent="0.25">
      <c r="A4138" s="405">
        <v>3003201</v>
      </c>
      <c r="B4138" s="406">
        <v>42569</v>
      </c>
      <c r="C4138" s="405" t="s">
        <v>5682</v>
      </c>
      <c r="D4138" s="401" t="s">
        <v>8897</v>
      </c>
      <c r="E4138" s="120">
        <v>200</v>
      </c>
      <c r="F4138" s="133" t="s">
        <v>829</v>
      </c>
      <c r="G4138" s="404" t="s">
        <v>7486</v>
      </c>
      <c r="H4138" s="411">
        <v>210.84</v>
      </c>
      <c r="I4138" s="89">
        <f t="shared" si="823"/>
        <v>-18.9756</v>
      </c>
      <c r="J4138" s="391">
        <f t="shared" si="822"/>
        <v>-4.3059599999999998</v>
      </c>
      <c r="K4138" s="90">
        <f t="shared" si="820"/>
        <v>187.55843999999999</v>
      </c>
      <c r="L4138" s="131">
        <v>510</v>
      </c>
      <c r="M4138" s="187">
        <v>42.5</v>
      </c>
      <c r="N4138" s="91">
        <f t="shared" si="805"/>
        <v>144.5</v>
      </c>
      <c r="O4138" s="411">
        <f t="shared" si="809"/>
        <v>43.05843999999999</v>
      </c>
      <c r="P4138" s="132" t="s">
        <v>52</v>
      </c>
      <c r="Q4138" s="232"/>
      <c r="R4138" s="411"/>
      <c r="T4138" s="134" t="s">
        <v>145</v>
      </c>
      <c r="U4138" s="267" t="s">
        <v>9273</v>
      </c>
      <c r="AA4138" s="218"/>
    </row>
    <row r="4139" spans="1:27" x14ac:dyDescent="0.25">
      <c r="A4139" s="405">
        <v>3003202</v>
      </c>
      <c r="B4139" s="406">
        <v>42569</v>
      </c>
      <c r="C4139" s="405" t="s">
        <v>5682</v>
      </c>
      <c r="D4139" s="401" t="s">
        <v>9274</v>
      </c>
      <c r="E4139" s="120">
        <v>150</v>
      </c>
      <c r="F4139" s="133" t="s">
        <v>173</v>
      </c>
      <c r="G4139" s="193" t="s">
        <v>7486</v>
      </c>
      <c r="H4139" s="411">
        <v>0</v>
      </c>
      <c r="I4139" s="89">
        <f t="shared" si="823"/>
        <v>0</v>
      </c>
      <c r="J4139" s="391">
        <f t="shared" si="822"/>
        <v>-0.3</v>
      </c>
      <c r="K4139" s="90">
        <f t="shared" si="820"/>
        <v>-0.3</v>
      </c>
      <c r="L4139" s="131">
        <v>407</v>
      </c>
      <c r="N4139" s="91">
        <f t="shared" si="805"/>
        <v>61.05</v>
      </c>
      <c r="O4139" s="411">
        <f t="shared" si="809"/>
        <v>-61.349999999999994</v>
      </c>
      <c r="P4139" s="132" t="s">
        <v>52</v>
      </c>
      <c r="Q4139" s="232"/>
      <c r="R4139" s="411"/>
      <c r="T4139" s="134"/>
      <c r="U4139" s="266"/>
      <c r="AA4139" s="218"/>
    </row>
    <row r="4140" spans="1:27" ht="24" x14ac:dyDescent="0.25">
      <c r="A4140" s="405">
        <v>3003203</v>
      </c>
      <c r="B4140" s="406">
        <v>42569</v>
      </c>
      <c r="C4140" s="405" t="s">
        <v>5682</v>
      </c>
      <c r="D4140" s="401" t="s">
        <v>9275</v>
      </c>
      <c r="E4140" s="120">
        <v>160</v>
      </c>
      <c r="F4140" s="133" t="s">
        <v>247</v>
      </c>
      <c r="G4140" s="404" t="s">
        <v>7486</v>
      </c>
      <c r="H4140" s="411">
        <v>183.2</v>
      </c>
      <c r="I4140" s="89">
        <f t="shared" si="823"/>
        <v>-16.488</v>
      </c>
      <c r="J4140" s="391">
        <f t="shared" si="822"/>
        <v>-3.7807999999999997</v>
      </c>
      <c r="K4140" s="90">
        <f t="shared" si="820"/>
        <v>162.93119999999999</v>
      </c>
      <c r="L4140" s="131">
        <v>480</v>
      </c>
      <c r="M4140" s="187">
        <v>23</v>
      </c>
      <c r="N4140" s="91">
        <f t="shared" si="805"/>
        <v>99.8</v>
      </c>
      <c r="O4140" s="411">
        <f t="shared" si="809"/>
        <v>63.131199999999993</v>
      </c>
      <c r="P4140" s="132" t="s">
        <v>52</v>
      </c>
      <c r="Q4140" s="232"/>
      <c r="R4140" s="411"/>
      <c r="T4140" s="134" t="s">
        <v>145</v>
      </c>
      <c r="U4140" s="267" t="s">
        <v>9276</v>
      </c>
      <c r="AA4140" s="218"/>
    </row>
    <row r="4141" spans="1:27" ht="24" x14ac:dyDescent="0.25">
      <c r="A4141" s="405">
        <v>3003204</v>
      </c>
      <c r="B4141" s="406">
        <v>42569</v>
      </c>
      <c r="C4141" s="405" t="s">
        <v>5682</v>
      </c>
      <c r="D4141" s="401" t="s">
        <v>7840</v>
      </c>
      <c r="E4141" s="120">
        <v>500</v>
      </c>
      <c r="F4141" s="133" t="s">
        <v>451</v>
      </c>
      <c r="G4141" s="404" t="s">
        <v>7486</v>
      </c>
      <c r="H4141" s="411">
        <v>286.85000000000002</v>
      </c>
      <c r="I4141" s="89">
        <f t="shared" si="823"/>
        <v>-25.816500000000001</v>
      </c>
      <c r="J4141" s="391">
        <f t="shared" si="822"/>
        <v>-5.7501500000000005</v>
      </c>
      <c r="K4141" s="90">
        <f t="shared" si="820"/>
        <v>255.28335000000001</v>
      </c>
      <c r="L4141" s="131">
        <v>300</v>
      </c>
      <c r="M4141" s="187">
        <v>34.65</v>
      </c>
      <c r="N4141" s="91">
        <f t="shared" si="805"/>
        <v>184.65</v>
      </c>
      <c r="O4141" s="411">
        <f t="shared" si="809"/>
        <v>70.633350000000007</v>
      </c>
      <c r="P4141" s="132" t="s">
        <v>52</v>
      </c>
      <c r="Q4141" s="232"/>
      <c r="R4141" s="411"/>
      <c r="T4141" s="134" t="s">
        <v>145</v>
      </c>
      <c r="U4141" s="267" t="s">
        <v>9277</v>
      </c>
      <c r="AA4141" s="218"/>
    </row>
    <row r="4142" spans="1:27" ht="24" x14ac:dyDescent="0.25">
      <c r="A4142" s="405">
        <v>3003205</v>
      </c>
      <c r="B4142" s="406">
        <v>42569</v>
      </c>
      <c r="C4142" s="405" t="s">
        <v>5682</v>
      </c>
      <c r="D4142" s="401" t="s">
        <v>9278</v>
      </c>
      <c r="E4142" s="120">
        <v>150</v>
      </c>
      <c r="F4142" s="133" t="s">
        <v>829</v>
      </c>
      <c r="G4142" s="404" t="s">
        <v>7486</v>
      </c>
      <c r="H4142" s="411">
        <v>158.03</v>
      </c>
      <c r="I4142" s="89">
        <f t="shared" si="823"/>
        <v>-14.2227</v>
      </c>
      <c r="J4142" s="391">
        <f t="shared" si="822"/>
        <v>-3.3025699999999998</v>
      </c>
      <c r="K4142" s="90">
        <f t="shared" si="820"/>
        <v>140.50473</v>
      </c>
      <c r="L4142" s="131">
        <v>510</v>
      </c>
      <c r="M4142" s="187">
        <v>22.81</v>
      </c>
      <c r="N4142" s="91">
        <f t="shared" si="805"/>
        <v>99.31</v>
      </c>
      <c r="O4142" s="411">
        <f t="shared" si="809"/>
        <v>41.194729999999993</v>
      </c>
      <c r="P4142" s="132" t="s">
        <v>52</v>
      </c>
      <c r="Q4142" s="232"/>
      <c r="R4142" s="411"/>
      <c r="T4142" s="134" t="s">
        <v>145</v>
      </c>
      <c r="U4142" s="267" t="s">
        <v>9279</v>
      </c>
      <c r="AA4142" s="218"/>
    </row>
    <row r="4143" spans="1:27" ht="24" x14ac:dyDescent="0.25">
      <c r="A4143" s="405">
        <v>3003206</v>
      </c>
      <c r="B4143" s="406">
        <v>42569</v>
      </c>
      <c r="C4143" s="405" t="s">
        <v>5682</v>
      </c>
      <c r="D4143" s="401" t="s">
        <v>9280</v>
      </c>
      <c r="E4143" s="120">
        <v>100</v>
      </c>
      <c r="F4143" s="133" t="s">
        <v>217</v>
      </c>
      <c r="G4143" s="404" t="s">
        <v>7486</v>
      </c>
      <c r="H4143" s="411">
        <v>230</v>
      </c>
      <c r="I4143" s="89">
        <f t="shared" si="823"/>
        <v>-20.7</v>
      </c>
      <c r="J4143" s="391">
        <f t="shared" si="822"/>
        <v>-4.67</v>
      </c>
      <c r="K4143" s="90">
        <f t="shared" si="820"/>
        <v>204.63000000000002</v>
      </c>
      <c r="L4143" s="131">
        <v>1322</v>
      </c>
      <c r="M4143" s="187">
        <v>17.88</v>
      </c>
      <c r="N4143" s="91">
        <f t="shared" si="805"/>
        <v>150.08000000000001</v>
      </c>
      <c r="O4143" s="411">
        <f t="shared" si="809"/>
        <v>54.550000000000011</v>
      </c>
      <c r="P4143" s="132" t="s">
        <v>52</v>
      </c>
      <c r="Q4143" s="232"/>
      <c r="R4143" s="411"/>
      <c r="T4143" s="134" t="s">
        <v>145</v>
      </c>
      <c r="U4143" s="267" t="s">
        <v>9281</v>
      </c>
      <c r="AA4143" s="218"/>
    </row>
    <row r="4144" spans="1:27" ht="24" x14ac:dyDescent="0.25">
      <c r="A4144" s="405">
        <v>3003207</v>
      </c>
      <c r="B4144" s="406">
        <v>42569</v>
      </c>
      <c r="C4144" s="405" t="s">
        <v>5682</v>
      </c>
      <c r="D4144" s="401" t="s">
        <v>9282</v>
      </c>
      <c r="E4144" s="120">
        <v>200</v>
      </c>
      <c r="F4144" s="133" t="s">
        <v>161</v>
      </c>
      <c r="G4144" s="404" t="s">
        <v>7486</v>
      </c>
      <c r="H4144" s="411">
        <v>447.02</v>
      </c>
      <c r="I4144" s="89">
        <f t="shared" si="823"/>
        <v>-40.2318</v>
      </c>
      <c r="J4144" s="391">
        <f t="shared" si="822"/>
        <v>-8.7933800000000009</v>
      </c>
      <c r="K4144" s="90">
        <f t="shared" si="820"/>
        <v>397.99481999999995</v>
      </c>
      <c r="L4144" s="131">
        <v>1322</v>
      </c>
      <c r="M4144" s="187">
        <v>55.19</v>
      </c>
      <c r="N4144" s="91">
        <f t="shared" si="805"/>
        <v>319.59000000000003</v>
      </c>
      <c r="O4144" s="411">
        <f t="shared" si="809"/>
        <v>78.404819999999916</v>
      </c>
      <c r="P4144" s="132" t="s">
        <v>52</v>
      </c>
      <c r="Q4144" s="232"/>
      <c r="R4144" s="411"/>
      <c r="T4144" s="134" t="s">
        <v>145</v>
      </c>
      <c r="U4144" s="267" t="s">
        <v>9283</v>
      </c>
      <c r="AA4144" s="218"/>
    </row>
    <row r="4145" spans="1:27" ht="24" x14ac:dyDescent="0.25">
      <c r="A4145" s="405">
        <v>3003208</v>
      </c>
      <c r="B4145" s="406">
        <v>42569</v>
      </c>
      <c r="C4145" s="405" t="s">
        <v>237</v>
      </c>
      <c r="D4145" s="401" t="s">
        <v>9284</v>
      </c>
      <c r="E4145" s="120">
        <v>200</v>
      </c>
      <c r="F4145" s="133" t="s">
        <v>3270</v>
      </c>
      <c r="G4145" s="404" t="s">
        <v>7486</v>
      </c>
      <c r="H4145" s="411">
        <v>520</v>
      </c>
      <c r="I4145" s="397">
        <f t="shared" ref="I4145:I4154" si="824">-(H4145*0.15)</f>
        <v>-78</v>
      </c>
      <c r="J4145" s="411">
        <v>0</v>
      </c>
      <c r="K4145" s="90">
        <f t="shared" si="820"/>
        <v>442</v>
      </c>
      <c r="L4145" s="131">
        <v>1322</v>
      </c>
      <c r="M4145" s="187">
        <f>36.47+44.04</f>
        <v>80.509999999999991</v>
      </c>
      <c r="N4145" s="91">
        <f t="shared" si="805"/>
        <v>344.91</v>
      </c>
      <c r="O4145" s="411">
        <f t="shared" si="809"/>
        <v>97.089999999999975</v>
      </c>
      <c r="P4145" s="132" t="s">
        <v>52</v>
      </c>
      <c r="Q4145" s="232"/>
      <c r="R4145" s="411"/>
      <c r="T4145" s="134" t="s">
        <v>145</v>
      </c>
      <c r="U4145" s="266" t="s">
        <v>9285</v>
      </c>
      <c r="AA4145" s="218"/>
    </row>
    <row r="4146" spans="1:27" ht="24" x14ac:dyDescent="0.25">
      <c r="A4146" s="405">
        <v>3003209</v>
      </c>
      <c r="B4146" s="406">
        <v>42569</v>
      </c>
      <c r="C4146" s="405" t="s">
        <v>237</v>
      </c>
      <c r="D4146" s="401" t="s">
        <v>9286</v>
      </c>
      <c r="E4146" s="120">
        <v>100</v>
      </c>
      <c r="F4146" s="133" t="s">
        <v>8748</v>
      </c>
      <c r="G4146" s="404" t="s">
        <v>7486</v>
      </c>
      <c r="H4146" s="411">
        <v>178.36</v>
      </c>
      <c r="I4146" s="397">
        <f t="shared" si="824"/>
        <v>-26.754000000000001</v>
      </c>
      <c r="J4146" s="411">
        <v>0</v>
      </c>
      <c r="K4146" s="90">
        <f t="shared" si="820"/>
        <v>151.60600000000002</v>
      </c>
      <c r="M4146" s="187">
        <v>29.16</v>
      </c>
      <c r="N4146" s="91">
        <f t="shared" si="805"/>
        <v>29.16</v>
      </c>
      <c r="O4146" s="411">
        <f t="shared" si="809"/>
        <v>122.44600000000003</v>
      </c>
      <c r="P4146" s="132" t="s">
        <v>52</v>
      </c>
      <c r="Q4146" s="232"/>
      <c r="R4146" s="411"/>
      <c r="T4146" s="134" t="s">
        <v>145</v>
      </c>
      <c r="U4146" s="267" t="s">
        <v>9287</v>
      </c>
      <c r="AA4146" s="218"/>
    </row>
    <row r="4147" spans="1:27" ht="24" x14ac:dyDescent="0.25">
      <c r="A4147" s="405">
        <v>3003210</v>
      </c>
      <c r="B4147" s="406">
        <v>42569</v>
      </c>
      <c r="C4147" s="405" t="s">
        <v>237</v>
      </c>
      <c r="D4147" s="401" t="s">
        <v>9288</v>
      </c>
      <c r="E4147" s="120">
        <v>200</v>
      </c>
      <c r="F4147" s="133" t="s">
        <v>5038</v>
      </c>
      <c r="G4147" s="404" t="s">
        <v>7486</v>
      </c>
      <c r="H4147" s="411">
        <v>386.08</v>
      </c>
      <c r="I4147" s="397">
        <f t="shared" si="824"/>
        <v>-57.911999999999992</v>
      </c>
      <c r="J4147" s="411">
        <v>0</v>
      </c>
      <c r="K4147" s="90">
        <f t="shared" si="820"/>
        <v>328.16800000000001</v>
      </c>
      <c r="L4147" s="131">
        <v>950</v>
      </c>
      <c r="M4147" s="187">
        <f>179.52+42.94</f>
        <v>222.46</v>
      </c>
      <c r="N4147" s="91">
        <f t="shared" si="805"/>
        <v>412.46000000000004</v>
      </c>
      <c r="O4147" s="411">
        <f t="shared" si="809"/>
        <v>-84.29200000000003</v>
      </c>
      <c r="P4147" s="132" t="s">
        <v>52</v>
      </c>
      <c r="Q4147" s="232"/>
      <c r="R4147" s="411"/>
      <c r="T4147" s="134" t="s">
        <v>145</v>
      </c>
      <c r="U4147" s="315" t="s">
        <v>9289</v>
      </c>
      <c r="V4147" s="133" t="s">
        <v>9290</v>
      </c>
      <c r="AA4147" s="218"/>
    </row>
    <row r="4148" spans="1:27" ht="24" x14ac:dyDescent="0.25">
      <c r="A4148" s="405">
        <v>3003211</v>
      </c>
      <c r="B4148" s="406">
        <v>42569</v>
      </c>
      <c r="C4148" s="405" t="s">
        <v>237</v>
      </c>
      <c r="D4148" s="401" t="s">
        <v>9291</v>
      </c>
      <c r="E4148" s="120">
        <v>100</v>
      </c>
      <c r="F4148" s="133" t="s">
        <v>590</v>
      </c>
      <c r="G4148" s="404" t="s">
        <v>7486</v>
      </c>
      <c r="H4148" s="411">
        <v>113.68</v>
      </c>
      <c r="I4148" s="397">
        <f t="shared" si="824"/>
        <v>-17.052</v>
      </c>
      <c r="J4148" s="411">
        <v>0</v>
      </c>
      <c r="K4148" s="90">
        <f t="shared" si="820"/>
        <v>96.628000000000014</v>
      </c>
      <c r="L4148" s="187">
        <v>800</v>
      </c>
      <c r="M4148" s="131">
        <v>25.21</v>
      </c>
      <c r="N4148" s="91">
        <f t="shared" si="805"/>
        <v>105.21000000000001</v>
      </c>
      <c r="O4148" s="411">
        <f t="shared" si="809"/>
        <v>-8.5819999999999936</v>
      </c>
      <c r="P4148" s="132" t="s">
        <v>183</v>
      </c>
      <c r="Q4148" s="232"/>
      <c r="R4148" s="411"/>
      <c r="T4148" s="134" t="s">
        <v>145</v>
      </c>
      <c r="U4148" s="267" t="s">
        <v>9292</v>
      </c>
      <c r="AA4148" s="218"/>
    </row>
    <row r="4149" spans="1:27" ht="24" x14ac:dyDescent="0.25">
      <c r="A4149" s="405">
        <v>3003212</v>
      </c>
      <c r="B4149" s="406">
        <v>42569</v>
      </c>
      <c r="C4149" s="405" t="s">
        <v>237</v>
      </c>
      <c r="D4149" s="401" t="s">
        <v>9293</v>
      </c>
      <c r="E4149" s="120">
        <v>70</v>
      </c>
      <c r="F4149" s="133" t="s">
        <v>860</v>
      </c>
      <c r="G4149" s="404" t="s">
        <v>7486</v>
      </c>
      <c r="H4149" s="411">
        <v>385</v>
      </c>
      <c r="I4149" s="397">
        <f t="shared" si="824"/>
        <v>-57.75</v>
      </c>
      <c r="J4149" s="411">
        <v>0</v>
      </c>
      <c r="K4149" s="90">
        <f t="shared" si="820"/>
        <v>327.25</v>
      </c>
      <c r="L4149" s="131">
        <v>3300</v>
      </c>
      <c r="M4149" s="187">
        <v>57.96</v>
      </c>
      <c r="N4149" s="91">
        <f t="shared" si="805"/>
        <v>288.96000000000004</v>
      </c>
      <c r="O4149" s="411">
        <f t="shared" si="809"/>
        <v>38.289999999999964</v>
      </c>
      <c r="P4149" s="132" t="s">
        <v>52</v>
      </c>
      <c r="Q4149" s="232"/>
      <c r="R4149" s="411"/>
      <c r="T4149" s="134" t="s">
        <v>145</v>
      </c>
      <c r="U4149" s="267" t="s">
        <v>9294</v>
      </c>
      <c r="AA4149" s="218"/>
    </row>
    <row r="4150" spans="1:27" ht="24" x14ac:dyDescent="0.25">
      <c r="A4150" s="405">
        <v>3003213</v>
      </c>
      <c r="B4150" s="406">
        <v>42569</v>
      </c>
      <c r="C4150" s="405" t="s">
        <v>237</v>
      </c>
      <c r="D4150" s="401" t="s">
        <v>9295</v>
      </c>
      <c r="E4150" s="120">
        <v>200</v>
      </c>
      <c r="F4150" s="133" t="s">
        <v>9296</v>
      </c>
      <c r="G4150" s="404" t="s">
        <v>7486</v>
      </c>
      <c r="H4150" s="411">
        <v>227.36</v>
      </c>
      <c r="I4150" s="397">
        <f t="shared" si="824"/>
        <v>-34.103999999999999</v>
      </c>
      <c r="J4150" s="411">
        <v>0</v>
      </c>
      <c r="K4150" s="90">
        <f t="shared" si="820"/>
        <v>193.25600000000003</v>
      </c>
      <c r="L4150" s="187">
        <v>688</v>
      </c>
      <c r="M4150" s="187">
        <v>25.77</v>
      </c>
      <c r="N4150" s="91">
        <f t="shared" si="805"/>
        <v>163.37</v>
      </c>
      <c r="O4150" s="411">
        <f t="shared" si="809"/>
        <v>29.886000000000024</v>
      </c>
      <c r="P4150" s="132" t="s">
        <v>183</v>
      </c>
      <c r="Q4150" s="232"/>
      <c r="R4150" s="411"/>
      <c r="T4150" s="134" t="s">
        <v>145</v>
      </c>
      <c r="U4150" s="266" t="s">
        <v>9297</v>
      </c>
      <c r="AA4150" s="218"/>
    </row>
    <row r="4151" spans="1:27" ht="24" x14ac:dyDescent="0.25">
      <c r="A4151" s="405">
        <v>3003214</v>
      </c>
      <c r="B4151" s="406">
        <v>42569</v>
      </c>
      <c r="C4151" s="405" t="s">
        <v>237</v>
      </c>
      <c r="D4151" s="401" t="s">
        <v>9298</v>
      </c>
      <c r="E4151" s="120">
        <v>75</v>
      </c>
      <c r="F4151" s="133" t="s">
        <v>341</v>
      </c>
      <c r="G4151" s="404" t="s">
        <v>7486</v>
      </c>
      <c r="H4151" s="411">
        <v>126.71</v>
      </c>
      <c r="I4151" s="397">
        <f t="shared" si="824"/>
        <v>-19.006499999999999</v>
      </c>
      <c r="J4151" s="411">
        <v>0</v>
      </c>
      <c r="K4151" s="90">
        <f t="shared" si="820"/>
        <v>107.70349999999999</v>
      </c>
      <c r="L4151" s="131">
        <v>698</v>
      </c>
      <c r="M4151" s="187">
        <v>18.32</v>
      </c>
      <c r="N4151" s="91">
        <f t="shared" si="805"/>
        <v>70.67</v>
      </c>
      <c r="O4151" s="411">
        <f t="shared" si="809"/>
        <v>37.033499999999989</v>
      </c>
      <c r="P4151" s="132" t="s">
        <v>52</v>
      </c>
      <c r="Q4151" s="232"/>
      <c r="R4151" s="411"/>
      <c r="T4151" s="134" t="s">
        <v>145</v>
      </c>
      <c r="U4151" s="267" t="s">
        <v>9299</v>
      </c>
      <c r="AA4151" s="218"/>
    </row>
    <row r="4152" spans="1:27" ht="24" x14ac:dyDescent="0.25">
      <c r="A4152" s="405">
        <v>3003215</v>
      </c>
      <c r="B4152" s="406">
        <v>42569</v>
      </c>
      <c r="C4152" s="405" t="s">
        <v>237</v>
      </c>
      <c r="D4152" s="401" t="s">
        <v>9300</v>
      </c>
      <c r="E4152" s="120">
        <v>100</v>
      </c>
      <c r="F4152" s="133" t="s">
        <v>590</v>
      </c>
      <c r="G4152" s="404" t="s">
        <v>7486</v>
      </c>
      <c r="H4152" s="411">
        <v>114.84</v>
      </c>
      <c r="I4152" s="397">
        <f t="shared" si="824"/>
        <v>-17.225999999999999</v>
      </c>
      <c r="J4152" s="411">
        <v>0</v>
      </c>
      <c r="K4152" s="90">
        <f t="shared" si="820"/>
        <v>97.614000000000004</v>
      </c>
      <c r="L4152" s="187">
        <v>800</v>
      </c>
      <c r="M4152" s="187">
        <v>26.32</v>
      </c>
      <c r="N4152" s="91">
        <f t="shared" si="805"/>
        <v>106.32</v>
      </c>
      <c r="O4152" s="411">
        <f t="shared" si="809"/>
        <v>-8.7059999999999889</v>
      </c>
      <c r="P4152" s="132" t="s">
        <v>183</v>
      </c>
      <c r="Q4152" s="232"/>
      <c r="R4152" s="411"/>
      <c r="T4152" s="134" t="s">
        <v>145</v>
      </c>
      <c r="U4152" s="267" t="s">
        <v>9301</v>
      </c>
      <c r="AA4152" s="218"/>
    </row>
    <row r="4153" spans="1:27" x14ac:dyDescent="0.25">
      <c r="A4153" s="405">
        <v>3003216</v>
      </c>
      <c r="B4153" s="406">
        <v>42569</v>
      </c>
      <c r="C4153" s="405" t="s">
        <v>237</v>
      </c>
      <c r="D4153" s="401" t="s">
        <v>9302</v>
      </c>
      <c r="E4153" s="120">
        <v>180</v>
      </c>
      <c r="F4153" s="133" t="s">
        <v>198</v>
      </c>
      <c r="G4153" s="404" t="s">
        <v>7486</v>
      </c>
      <c r="H4153" s="411">
        <v>593.29999999999995</v>
      </c>
      <c r="I4153" s="397">
        <f t="shared" si="824"/>
        <v>-88.99499999999999</v>
      </c>
      <c r="J4153" s="411">
        <v>0</v>
      </c>
      <c r="K4153" s="90">
        <f t="shared" si="820"/>
        <v>504.30499999999995</v>
      </c>
      <c r="L4153" s="131">
        <v>1693</v>
      </c>
      <c r="M4153" s="187">
        <v>164.55</v>
      </c>
      <c r="N4153" s="91">
        <f t="shared" ref="N4153:N4217" si="825">((L4153)*(E4153*0.001))+M4153</f>
        <v>469.29</v>
      </c>
      <c r="O4153" s="411">
        <f t="shared" si="809"/>
        <v>35.01499999999993</v>
      </c>
      <c r="P4153" s="132" t="s">
        <v>52</v>
      </c>
      <c r="Q4153" s="232"/>
      <c r="R4153" s="411"/>
      <c r="T4153" s="134" t="s">
        <v>97</v>
      </c>
      <c r="U4153" s="267" t="s">
        <v>9303</v>
      </c>
      <c r="V4153" s="133" t="s">
        <v>55</v>
      </c>
      <c r="AA4153" s="218"/>
    </row>
    <row r="4154" spans="1:27" ht="24" x14ac:dyDescent="0.25">
      <c r="A4154" s="405">
        <v>3003217</v>
      </c>
      <c r="B4154" s="406">
        <v>42569</v>
      </c>
      <c r="C4154" s="405" t="s">
        <v>237</v>
      </c>
      <c r="D4154" s="401" t="s">
        <v>9304</v>
      </c>
      <c r="E4154" s="120">
        <v>75</v>
      </c>
      <c r="F4154" s="133" t="s">
        <v>341</v>
      </c>
      <c r="G4154" s="404" t="s">
        <v>7486</v>
      </c>
      <c r="H4154" s="411">
        <v>125</v>
      </c>
      <c r="I4154" s="397">
        <f t="shared" si="824"/>
        <v>-18.75</v>
      </c>
      <c r="J4154" s="411">
        <v>0</v>
      </c>
      <c r="K4154" s="90">
        <f t="shared" si="820"/>
        <v>106.25</v>
      </c>
      <c r="L4154" s="131">
        <v>698</v>
      </c>
      <c r="M4154" s="187">
        <v>22.78</v>
      </c>
      <c r="N4154" s="91">
        <f t="shared" si="825"/>
        <v>75.13</v>
      </c>
      <c r="O4154" s="411">
        <f t="shared" si="809"/>
        <v>31.120000000000005</v>
      </c>
      <c r="P4154" s="132" t="s">
        <v>52</v>
      </c>
      <c r="Q4154" s="232"/>
      <c r="R4154" s="411"/>
      <c r="T4154" s="134" t="s">
        <v>145</v>
      </c>
      <c r="U4154" s="267" t="s">
        <v>9305</v>
      </c>
      <c r="W4154" s="153" t="s">
        <v>9306</v>
      </c>
      <c r="AA4154" s="218"/>
    </row>
    <row r="4155" spans="1:27" x14ac:dyDescent="0.25">
      <c r="A4155" s="419">
        <v>3003218</v>
      </c>
      <c r="B4155" s="421">
        <v>42569</v>
      </c>
      <c r="C4155" s="419" t="s">
        <v>56</v>
      </c>
      <c r="D4155" s="417" t="s">
        <v>1192</v>
      </c>
      <c r="E4155" s="120">
        <v>5000</v>
      </c>
      <c r="F4155" s="133" t="s">
        <v>688</v>
      </c>
      <c r="G4155" s="434" t="s">
        <v>7486</v>
      </c>
      <c r="H4155" s="427">
        <v>9800</v>
      </c>
      <c r="I4155" s="427">
        <v>0</v>
      </c>
      <c r="J4155" s="427">
        <v>0</v>
      </c>
      <c r="K4155" s="425">
        <f t="shared" si="820"/>
        <v>9800</v>
      </c>
      <c r="L4155" s="187">
        <v>830</v>
      </c>
      <c r="M4155" s="131">
        <v>0</v>
      </c>
      <c r="N4155" s="91">
        <f t="shared" si="825"/>
        <v>4150</v>
      </c>
      <c r="O4155" s="411">
        <f t="shared" si="809"/>
        <v>5650</v>
      </c>
      <c r="P4155" s="132" t="s">
        <v>46</v>
      </c>
      <c r="Q4155" s="232"/>
      <c r="R4155" s="411"/>
      <c r="T4155" s="439" t="s">
        <v>47</v>
      </c>
      <c r="U4155" s="446" t="s">
        <v>9307</v>
      </c>
      <c r="V4155" s="133" t="s">
        <v>9308</v>
      </c>
      <c r="W4155" s="153" t="s">
        <v>2090</v>
      </c>
      <c r="AA4155" s="218"/>
    </row>
    <row r="4156" spans="1:27" x14ac:dyDescent="0.25">
      <c r="A4156" s="420"/>
      <c r="B4156" s="422"/>
      <c r="C4156" s="420"/>
      <c r="D4156" s="418"/>
      <c r="E4156" s="120">
        <v>5000</v>
      </c>
      <c r="F4156" s="133" t="s">
        <v>1293</v>
      </c>
      <c r="G4156" s="436"/>
      <c r="H4156" s="428"/>
      <c r="I4156" s="428"/>
      <c r="J4156" s="428"/>
      <c r="K4156" s="426"/>
      <c r="L4156" s="187">
        <v>490</v>
      </c>
      <c r="N4156" s="91">
        <f t="shared" si="825"/>
        <v>2450</v>
      </c>
      <c r="O4156" s="411">
        <f t="shared" si="809"/>
        <v>-2450</v>
      </c>
      <c r="P4156" s="132" t="s">
        <v>46</v>
      </c>
      <c r="Q4156" s="232"/>
      <c r="R4156" s="411"/>
      <c r="T4156" s="441"/>
      <c r="U4156" s="447"/>
      <c r="AA4156" s="218"/>
    </row>
    <row r="4157" spans="1:27" x14ac:dyDescent="0.25">
      <c r="A4157" s="419">
        <v>3003219</v>
      </c>
      <c r="B4157" s="421">
        <v>42569</v>
      </c>
      <c r="C4157" s="419" t="s">
        <v>977</v>
      </c>
      <c r="D4157" s="417" t="s">
        <v>9309</v>
      </c>
      <c r="E4157" s="120">
        <v>500</v>
      </c>
      <c r="F4157" s="133" t="s">
        <v>9310</v>
      </c>
      <c r="G4157" s="434" t="s">
        <v>7486</v>
      </c>
      <c r="H4157" s="427">
        <v>445</v>
      </c>
      <c r="I4157" s="427">
        <v>0</v>
      </c>
      <c r="J4157" s="425">
        <f>-((H4157*0.022)+0.3)</f>
        <v>-10.09</v>
      </c>
      <c r="K4157" s="425">
        <f t="shared" si="820"/>
        <v>434.91</v>
      </c>
      <c r="L4157" s="187">
        <v>220</v>
      </c>
      <c r="M4157" s="468">
        <v>22.96</v>
      </c>
      <c r="N4157" s="91">
        <f t="shared" si="825"/>
        <v>132.96</v>
      </c>
      <c r="O4157" s="411">
        <f t="shared" si="809"/>
        <v>301.95000000000005</v>
      </c>
      <c r="P4157" s="132" t="s">
        <v>235</v>
      </c>
      <c r="Q4157" s="232"/>
      <c r="R4157" s="411"/>
      <c r="T4157" s="439" t="s">
        <v>145</v>
      </c>
      <c r="U4157" s="446" t="s">
        <v>9311</v>
      </c>
      <c r="W4157" s="153" t="s">
        <v>9306</v>
      </c>
      <c r="AA4157" s="218"/>
    </row>
    <row r="4158" spans="1:27" x14ac:dyDescent="0.25">
      <c r="A4158" s="432"/>
      <c r="B4158" s="433"/>
      <c r="C4158" s="432"/>
      <c r="D4158" s="454"/>
      <c r="E4158" s="120">
        <v>500</v>
      </c>
      <c r="F4158" s="133" t="s">
        <v>9312</v>
      </c>
      <c r="G4158" s="435"/>
      <c r="H4158" s="438"/>
      <c r="I4158" s="438"/>
      <c r="J4158" s="437"/>
      <c r="K4158" s="437"/>
      <c r="L4158" s="187">
        <v>220</v>
      </c>
      <c r="M4158" s="469"/>
      <c r="N4158" s="91">
        <f t="shared" si="825"/>
        <v>110</v>
      </c>
      <c r="O4158" s="411">
        <f t="shared" si="809"/>
        <v>-110</v>
      </c>
      <c r="P4158" s="132" t="s">
        <v>235</v>
      </c>
      <c r="Q4158" s="232"/>
      <c r="R4158" s="411"/>
      <c r="T4158" s="440"/>
      <c r="U4158" s="447"/>
      <c r="AA4158" s="218"/>
    </row>
    <row r="4159" spans="1:27" x14ac:dyDescent="0.25">
      <c r="A4159" s="420"/>
      <c r="B4159" s="422"/>
      <c r="C4159" s="420"/>
      <c r="D4159" s="418"/>
      <c r="E4159" s="120">
        <v>250</v>
      </c>
      <c r="F4159" s="133" t="s">
        <v>9313</v>
      </c>
      <c r="G4159" s="436"/>
      <c r="H4159" s="428"/>
      <c r="I4159" s="428"/>
      <c r="J4159" s="426"/>
      <c r="K4159" s="426"/>
      <c r="L4159" s="187">
        <v>310</v>
      </c>
      <c r="M4159" s="187">
        <v>24.73</v>
      </c>
      <c r="N4159" s="91">
        <f t="shared" si="825"/>
        <v>102.23</v>
      </c>
      <c r="O4159" s="411">
        <f t="shared" si="809"/>
        <v>-102.23</v>
      </c>
      <c r="P4159" s="132" t="s">
        <v>235</v>
      </c>
      <c r="Q4159" s="232"/>
      <c r="R4159" s="411"/>
      <c r="T4159" s="441"/>
      <c r="U4159" s="267" t="s">
        <v>9314</v>
      </c>
      <c r="AA4159" s="218"/>
    </row>
    <row r="4160" spans="1:27" ht="24" x14ac:dyDescent="0.25">
      <c r="A4160" s="405">
        <v>3003220</v>
      </c>
      <c r="B4160" s="406">
        <v>42569</v>
      </c>
      <c r="C4160" s="405" t="s">
        <v>237</v>
      </c>
      <c r="D4160" s="401" t="s">
        <v>9315</v>
      </c>
      <c r="E4160" s="120">
        <v>100</v>
      </c>
      <c r="F4160" s="133" t="s">
        <v>431</v>
      </c>
      <c r="G4160" s="404" t="s">
        <v>7486</v>
      </c>
      <c r="H4160" s="411">
        <v>222.27</v>
      </c>
      <c r="I4160" s="397">
        <f t="shared" ref="I4160" si="826">-(H4160*0.15)</f>
        <v>-33.340499999999999</v>
      </c>
      <c r="J4160" s="411">
        <v>0</v>
      </c>
      <c r="K4160" s="90">
        <f t="shared" ref="K4160:K4166" si="827">SUM(H4160:J4160)</f>
        <v>188.92950000000002</v>
      </c>
      <c r="L4160" s="131">
        <v>990</v>
      </c>
      <c r="M4160" s="187">
        <f>46.13+5</f>
        <v>51.13</v>
      </c>
      <c r="N4160" s="91">
        <f t="shared" si="825"/>
        <v>150.13</v>
      </c>
      <c r="O4160" s="411">
        <f t="shared" si="809"/>
        <v>38.799500000000023</v>
      </c>
      <c r="P4160" s="132" t="s">
        <v>52</v>
      </c>
      <c r="Q4160" s="232"/>
      <c r="R4160" s="411"/>
      <c r="T4160" s="134" t="s">
        <v>145</v>
      </c>
      <c r="U4160" s="267" t="s">
        <v>9316</v>
      </c>
      <c r="AA4160" s="218"/>
    </row>
    <row r="4161" spans="1:29" ht="24" x14ac:dyDescent="0.25">
      <c r="A4161" s="405">
        <v>3003221</v>
      </c>
      <c r="B4161" s="406">
        <v>42569</v>
      </c>
      <c r="C4161" s="405" t="s">
        <v>5682</v>
      </c>
      <c r="D4161" s="401" t="s">
        <v>9317</v>
      </c>
      <c r="E4161" s="120">
        <v>50</v>
      </c>
      <c r="F4161" s="133" t="s">
        <v>431</v>
      </c>
      <c r="G4161" s="404" t="s">
        <v>7486</v>
      </c>
      <c r="H4161" s="411">
        <v>118.8</v>
      </c>
      <c r="I4161" s="89">
        <f t="shared" ref="I4161" si="828">-(H4161*0.09)</f>
        <v>-10.692</v>
      </c>
      <c r="J4161" s="391">
        <f t="shared" ref="J4161" si="829">-((H4161*0.019)+0.3)</f>
        <v>-2.5571999999999999</v>
      </c>
      <c r="K4161" s="90">
        <f t="shared" si="827"/>
        <v>105.55080000000001</v>
      </c>
      <c r="L4161" s="131">
        <v>990</v>
      </c>
      <c r="M4161" s="187">
        <f>30.92+8.79</f>
        <v>39.71</v>
      </c>
      <c r="N4161" s="91">
        <f t="shared" si="825"/>
        <v>89.210000000000008</v>
      </c>
      <c r="O4161" s="411">
        <f t="shared" si="809"/>
        <v>16.340800000000002</v>
      </c>
      <c r="P4161" s="132" t="s">
        <v>52</v>
      </c>
      <c r="Q4161" s="232"/>
      <c r="R4161" s="411"/>
      <c r="T4161" s="134" t="s">
        <v>145</v>
      </c>
      <c r="U4161" s="267" t="s">
        <v>9318</v>
      </c>
      <c r="AA4161" s="218"/>
    </row>
    <row r="4162" spans="1:29" x14ac:dyDescent="0.25">
      <c r="A4162" s="405">
        <v>3003222</v>
      </c>
      <c r="B4162" s="406">
        <v>42570</v>
      </c>
      <c r="C4162" s="405" t="s">
        <v>141</v>
      </c>
      <c r="D4162" s="401" t="s">
        <v>7701</v>
      </c>
      <c r="E4162" s="120">
        <v>500</v>
      </c>
      <c r="F4162" s="133" t="s">
        <v>9319</v>
      </c>
      <c r="G4162" s="404" t="s">
        <v>7486</v>
      </c>
      <c r="H4162" s="411">
        <v>1625</v>
      </c>
      <c r="I4162" s="411">
        <v>0</v>
      </c>
      <c r="J4162" s="391">
        <f>-((H4162*0.0325)+0.3)</f>
        <v>-53.112499999999997</v>
      </c>
      <c r="K4162" s="90">
        <f t="shared" si="827"/>
        <v>1571.8875</v>
      </c>
      <c r="L4162" s="187">
        <v>1936.03</v>
      </c>
      <c r="M4162" s="187">
        <v>94.74</v>
      </c>
      <c r="N4162" s="91">
        <f t="shared" si="825"/>
        <v>1062.7549999999999</v>
      </c>
      <c r="O4162" s="411">
        <f t="shared" si="809"/>
        <v>509.13250000000016</v>
      </c>
      <c r="P4162" s="132" t="s">
        <v>46</v>
      </c>
      <c r="Q4162" s="232"/>
      <c r="R4162" s="411"/>
      <c r="T4162" s="134" t="s">
        <v>1346</v>
      </c>
      <c r="U4162" s="267" t="s">
        <v>9320</v>
      </c>
      <c r="W4162" s="153" t="s">
        <v>9321</v>
      </c>
      <c r="AA4162" s="218">
        <v>10</v>
      </c>
    </row>
    <row r="4163" spans="1:29" ht="24" x14ac:dyDescent="0.25">
      <c r="A4163" s="405">
        <v>3003223</v>
      </c>
      <c r="B4163" s="406">
        <v>42570</v>
      </c>
      <c r="C4163" s="405" t="s">
        <v>63</v>
      </c>
      <c r="D4163" s="401" t="s">
        <v>9322</v>
      </c>
      <c r="E4163" s="120">
        <v>15</v>
      </c>
      <c r="F4163" s="133" t="s">
        <v>1991</v>
      </c>
      <c r="G4163" s="404" t="s">
        <v>7486</v>
      </c>
      <c r="H4163" s="411">
        <v>75.75</v>
      </c>
      <c r="I4163" s="411">
        <v>0</v>
      </c>
      <c r="J4163" s="391">
        <f>-((H4163*0.022)+0.3)</f>
        <v>-1.9664999999999999</v>
      </c>
      <c r="K4163" s="90">
        <f t="shared" si="827"/>
        <v>73.783500000000004</v>
      </c>
      <c r="L4163" s="187">
        <v>3100</v>
      </c>
      <c r="M4163" s="131">
        <v>34.130000000000003</v>
      </c>
      <c r="N4163" s="91">
        <f t="shared" si="825"/>
        <v>80.63</v>
      </c>
      <c r="O4163" s="411">
        <f t="shared" si="809"/>
        <v>-6.8464999999999918</v>
      </c>
      <c r="P4163" s="132" t="s">
        <v>183</v>
      </c>
      <c r="Q4163" s="232"/>
      <c r="R4163" s="411"/>
      <c r="T4163" s="134" t="s">
        <v>145</v>
      </c>
      <c r="U4163" s="267" t="s">
        <v>9323</v>
      </c>
      <c r="V4163" s="133" t="s">
        <v>9187</v>
      </c>
      <c r="W4163" s="153" t="s">
        <v>9324</v>
      </c>
      <c r="AA4163" s="218"/>
    </row>
    <row r="4164" spans="1:29" x14ac:dyDescent="0.25">
      <c r="A4164" s="405">
        <v>3003224</v>
      </c>
      <c r="B4164" s="406">
        <v>42570</v>
      </c>
      <c r="C4164" s="405" t="s">
        <v>63</v>
      </c>
      <c r="D4164" s="401" t="s">
        <v>9325</v>
      </c>
      <c r="E4164" s="120">
        <v>500</v>
      </c>
      <c r="F4164" s="133" t="s">
        <v>217</v>
      </c>
      <c r="G4164" s="404" t="s">
        <v>7486</v>
      </c>
      <c r="H4164" s="411">
        <v>1065</v>
      </c>
      <c r="I4164" s="411">
        <v>0</v>
      </c>
      <c r="J4164" s="391">
        <f>-((H4164*0.022)+0.3)</f>
        <v>-23.73</v>
      </c>
      <c r="K4164" s="90">
        <f t="shared" si="827"/>
        <v>1041.27</v>
      </c>
      <c r="L4164" s="131">
        <v>1322</v>
      </c>
      <c r="M4164" s="187">
        <v>159.38999999999999</v>
      </c>
      <c r="N4164" s="91">
        <f t="shared" si="825"/>
        <v>820.39</v>
      </c>
      <c r="O4164" s="411">
        <f t="shared" ref="O4164:O4227" si="830">K4164-N4164</f>
        <v>220.88</v>
      </c>
      <c r="P4164" s="132" t="s">
        <v>86</v>
      </c>
      <c r="Q4164" s="232"/>
      <c r="R4164" s="411"/>
      <c r="T4164" s="134" t="s">
        <v>97</v>
      </c>
      <c r="U4164" s="267" t="s">
        <v>9326</v>
      </c>
      <c r="V4164" s="133" t="s">
        <v>55</v>
      </c>
      <c r="W4164" s="153" t="s">
        <v>9327</v>
      </c>
      <c r="AA4164" s="218">
        <v>10</v>
      </c>
    </row>
    <row r="4165" spans="1:29" ht="24" x14ac:dyDescent="0.25">
      <c r="A4165" s="405">
        <v>3003225</v>
      </c>
      <c r="B4165" s="406">
        <v>42570</v>
      </c>
      <c r="C4165" s="405" t="s">
        <v>78</v>
      </c>
      <c r="D4165" s="401" t="s">
        <v>1606</v>
      </c>
      <c r="E4165" s="120">
        <v>7500</v>
      </c>
      <c r="F4165" s="133" t="s">
        <v>9328</v>
      </c>
      <c r="G4165" s="404" t="s">
        <v>7486</v>
      </c>
      <c r="H4165" s="411">
        <v>15600</v>
      </c>
      <c r="I4165" s="411">
        <v>0</v>
      </c>
      <c r="J4165" s="391">
        <f t="shared" ref="J4165:J4166" si="831">-((H4165*0.019)+0.3)</f>
        <v>-296.7</v>
      </c>
      <c r="K4165" s="90">
        <f t="shared" si="827"/>
        <v>15303.3</v>
      </c>
      <c r="L4165" s="187">
        <v>1340</v>
      </c>
      <c r="M4165" s="131">
        <v>0</v>
      </c>
      <c r="N4165" s="91">
        <f t="shared" si="825"/>
        <v>10050</v>
      </c>
      <c r="O4165" s="411">
        <f t="shared" si="830"/>
        <v>5253.2999999999993</v>
      </c>
      <c r="P4165" s="132" t="s">
        <v>46</v>
      </c>
      <c r="Q4165" s="232"/>
      <c r="R4165" s="411"/>
      <c r="T4165" s="134" t="s">
        <v>9329</v>
      </c>
      <c r="U4165" s="267" t="s">
        <v>9330</v>
      </c>
      <c r="W4165" s="153" t="s">
        <v>9331</v>
      </c>
      <c r="AA4165" s="218">
        <v>100</v>
      </c>
    </row>
    <row r="4166" spans="1:29" x14ac:dyDescent="0.25">
      <c r="A4166" s="419">
        <v>3003226</v>
      </c>
      <c r="B4166" s="421">
        <v>42570</v>
      </c>
      <c r="C4166" s="419" t="s">
        <v>78</v>
      </c>
      <c r="D4166" s="417" t="s">
        <v>8969</v>
      </c>
      <c r="E4166" s="120">
        <v>100</v>
      </c>
      <c r="F4166" s="133" t="s">
        <v>173</v>
      </c>
      <c r="G4166" s="434" t="s">
        <v>7486</v>
      </c>
      <c r="H4166" s="427">
        <v>155</v>
      </c>
      <c r="I4166" s="427">
        <v>0</v>
      </c>
      <c r="J4166" s="425">
        <f t="shared" si="831"/>
        <v>-3.2449999999999997</v>
      </c>
      <c r="K4166" s="425">
        <f t="shared" si="827"/>
        <v>151.755</v>
      </c>
      <c r="L4166" s="131">
        <v>407</v>
      </c>
      <c r="M4166" s="187">
        <f>14.97+5</f>
        <v>19.97</v>
      </c>
      <c r="N4166" s="91">
        <f t="shared" si="825"/>
        <v>60.67</v>
      </c>
      <c r="O4166" s="411">
        <f t="shared" si="830"/>
        <v>91.084999999999994</v>
      </c>
      <c r="P4166" s="132" t="s">
        <v>52</v>
      </c>
      <c r="Q4166" s="232"/>
      <c r="R4166" s="411"/>
      <c r="T4166" s="439" t="s">
        <v>145</v>
      </c>
      <c r="U4166" s="267" t="s">
        <v>9332</v>
      </c>
      <c r="W4166" s="153" t="s">
        <v>9333</v>
      </c>
      <c r="AA4166" s="218"/>
    </row>
    <row r="4167" spans="1:29" x14ac:dyDescent="0.25">
      <c r="A4167" s="432"/>
      <c r="B4167" s="433"/>
      <c r="C4167" s="432"/>
      <c r="D4167" s="454"/>
      <c r="E4167" s="120">
        <v>15</v>
      </c>
      <c r="F4167" s="133" t="s">
        <v>161</v>
      </c>
      <c r="G4167" s="435"/>
      <c r="H4167" s="438"/>
      <c r="I4167" s="438"/>
      <c r="J4167" s="437"/>
      <c r="K4167" s="437"/>
      <c r="L4167" s="131">
        <v>1322</v>
      </c>
      <c r="M4167" s="187">
        <v>12.44</v>
      </c>
      <c r="N4167" s="91">
        <f t="shared" si="825"/>
        <v>32.269999999999996</v>
      </c>
      <c r="O4167" s="411">
        <f t="shared" si="830"/>
        <v>-32.269999999999996</v>
      </c>
      <c r="P4167" s="132" t="s">
        <v>52</v>
      </c>
      <c r="Q4167" s="232"/>
      <c r="R4167" s="411"/>
      <c r="T4167" s="440"/>
      <c r="U4167" s="446" t="s">
        <v>9334</v>
      </c>
      <c r="AA4167" s="218"/>
    </row>
    <row r="4168" spans="1:29" x14ac:dyDescent="0.25">
      <c r="A4168" s="420"/>
      <c r="B4168" s="422"/>
      <c r="C4168" s="420"/>
      <c r="D4168" s="418"/>
      <c r="E4168" s="120">
        <v>2</v>
      </c>
      <c r="F4168" s="133" t="s">
        <v>445</v>
      </c>
      <c r="G4168" s="436"/>
      <c r="H4168" s="428"/>
      <c r="I4168" s="428"/>
      <c r="J4168" s="426"/>
      <c r="K4168" s="426"/>
      <c r="N4168" s="91">
        <f t="shared" si="825"/>
        <v>0</v>
      </c>
      <c r="O4168" s="411">
        <f t="shared" si="830"/>
        <v>0</v>
      </c>
      <c r="P4168" s="132" t="s">
        <v>52</v>
      </c>
      <c r="Q4168" s="232"/>
      <c r="R4168" s="411"/>
      <c r="T4168" s="441"/>
      <c r="U4168" s="447"/>
      <c r="AA4168" s="218"/>
    </row>
    <row r="4169" spans="1:29" ht="24" x14ac:dyDescent="0.25">
      <c r="A4169" s="405">
        <v>3003227</v>
      </c>
      <c r="B4169" s="406">
        <v>42570</v>
      </c>
      <c r="C4169" s="405" t="s">
        <v>5682</v>
      </c>
      <c r="D4169" s="401" t="s">
        <v>9335</v>
      </c>
      <c r="E4169" s="120">
        <v>300</v>
      </c>
      <c r="F4169" s="133" t="s">
        <v>165</v>
      </c>
      <c r="G4169" s="404" t="s">
        <v>7486</v>
      </c>
      <c r="H4169" s="411">
        <v>311.83</v>
      </c>
      <c r="I4169" s="89">
        <f t="shared" ref="I4169:I4176" si="832">-(H4169*0.09)</f>
        <v>-28.064699999999998</v>
      </c>
      <c r="J4169" s="391">
        <f t="shared" ref="J4169:J4176" si="833">-((H4169*0.019)+0.3)</f>
        <v>-6.2247699999999995</v>
      </c>
      <c r="K4169" s="90">
        <f t="shared" ref="K4169:K4186" si="834">SUM(H4169:J4169)</f>
        <v>277.54052999999999</v>
      </c>
      <c r="L4169" s="131">
        <v>375</v>
      </c>
      <c r="M4169" s="187">
        <f>32.66+10.55</f>
        <v>43.209999999999994</v>
      </c>
      <c r="N4169" s="91">
        <f t="shared" si="825"/>
        <v>155.70999999999998</v>
      </c>
      <c r="O4169" s="411">
        <f t="shared" si="830"/>
        <v>121.83053000000001</v>
      </c>
      <c r="P4169" s="132" t="s">
        <v>52</v>
      </c>
      <c r="Q4169" s="232"/>
      <c r="R4169" s="411">
        <v>23.1</v>
      </c>
      <c r="S4169" s="133" t="s">
        <v>9336</v>
      </c>
      <c r="T4169" s="134" t="s">
        <v>145</v>
      </c>
      <c r="U4169" s="267" t="s">
        <v>9337</v>
      </c>
      <c r="AA4169" s="218"/>
    </row>
    <row r="4170" spans="1:29" ht="24" x14ac:dyDescent="0.25">
      <c r="A4170" s="405">
        <v>3003228</v>
      </c>
      <c r="B4170" s="406">
        <v>42570</v>
      </c>
      <c r="C4170" s="405" t="s">
        <v>5682</v>
      </c>
      <c r="D4170" s="401" t="s">
        <v>9338</v>
      </c>
      <c r="E4170" s="120">
        <v>500</v>
      </c>
      <c r="F4170" s="133" t="s">
        <v>9339</v>
      </c>
      <c r="G4170" s="404" t="s">
        <v>7486</v>
      </c>
      <c r="H4170" s="411">
        <v>145.30000000000001</v>
      </c>
      <c r="I4170" s="89">
        <f t="shared" si="832"/>
        <v>-13.077</v>
      </c>
      <c r="J4170" s="391">
        <f t="shared" si="833"/>
        <v>-3.0606999999999998</v>
      </c>
      <c r="K4170" s="90">
        <f t="shared" si="834"/>
        <v>129.16230000000002</v>
      </c>
      <c r="L4170" s="187">
        <v>133</v>
      </c>
      <c r="M4170" s="187">
        <v>15.05</v>
      </c>
      <c r="N4170" s="91">
        <f t="shared" si="825"/>
        <v>81.55</v>
      </c>
      <c r="O4170" s="411">
        <f t="shared" si="830"/>
        <v>47.612300000000019</v>
      </c>
      <c r="P4170" s="132" t="s">
        <v>183</v>
      </c>
      <c r="Q4170" s="232"/>
      <c r="R4170" s="411">
        <v>10.76</v>
      </c>
      <c r="S4170" s="133" t="s">
        <v>502</v>
      </c>
      <c r="T4170" s="134" t="s">
        <v>145</v>
      </c>
      <c r="U4170" s="267" t="s">
        <v>9340</v>
      </c>
      <c r="AA4170" s="218"/>
    </row>
    <row r="4171" spans="1:29" ht="24" x14ac:dyDescent="0.25">
      <c r="A4171" s="405">
        <v>3003229</v>
      </c>
      <c r="B4171" s="406">
        <v>42570</v>
      </c>
      <c r="C4171" s="405" t="s">
        <v>5682</v>
      </c>
      <c r="D4171" s="401" t="s">
        <v>9341</v>
      </c>
      <c r="E4171" s="120">
        <v>107</v>
      </c>
      <c r="F4171" s="133" t="s">
        <v>51</v>
      </c>
      <c r="G4171" s="404" t="s">
        <v>7486</v>
      </c>
      <c r="H4171" s="411">
        <v>215.3</v>
      </c>
      <c r="I4171" s="89">
        <f t="shared" si="832"/>
        <v>-19.376999999999999</v>
      </c>
      <c r="J4171" s="391">
        <f t="shared" si="833"/>
        <v>-4.3906999999999998</v>
      </c>
      <c r="K4171" s="90">
        <f t="shared" si="834"/>
        <v>191.53229999999999</v>
      </c>
      <c r="L4171" s="131">
        <v>1015</v>
      </c>
      <c r="M4171" s="187">
        <f>45.82+5</f>
        <v>50.82</v>
      </c>
      <c r="N4171" s="91">
        <f t="shared" si="825"/>
        <v>159.42500000000001</v>
      </c>
      <c r="O4171" s="411">
        <f t="shared" si="830"/>
        <v>32.107299999999981</v>
      </c>
      <c r="P4171" s="132" t="s">
        <v>52</v>
      </c>
      <c r="Q4171" s="232"/>
      <c r="R4171" s="411"/>
      <c r="T4171" s="134" t="s">
        <v>145</v>
      </c>
      <c r="U4171" s="267" t="s">
        <v>9342</v>
      </c>
      <c r="AA4171" s="218"/>
    </row>
    <row r="4172" spans="1:29" ht="24" x14ac:dyDescent="0.25">
      <c r="A4172" s="405">
        <v>3003230</v>
      </c>
      <c r="B4172" s="406">
        <v>42570</v>
      </c>
      <c r="C4172" s="405" t="s">
        <v>5682</v>
      </c>
      <c r="D4172" s="401" t="s">
        <v>9343</v>
      </c>
      <c r="E4172" s="120">
        <v>140</v>
      </c>
      <c r="F4172" s="133" t="s">
        <v>829</v>
      </c>
      <c r="G4172" s="404" t="s">
        <v>7486</v>
      </c>
      <c r="H4172" s="411">
        <v>147.58000000000001</v>
      </c>
      <c r="I4172" s="89">
        <f t="shared" si="832"/>
        <v>-13.282200000000001</v>
      </c>
      <c r="J4172" s="391">
        <f t="shared" si="833"/>
        <v>-3.1040199999999998</v>
      </c>
      <c r="K4172" s="90">
        <f t="shared" si="834"/>
        <v>131.19378000000003</v>
      </c>
      <c r="L4172" s="131">
        <v>510</v>
      </c>
      <c r="M4172" s="187">
        <f>31.2+5</f>
        <v>36.200000000000003</v>
      </c>
      <c r="N4172" s="91">
        <f t="shared" si="825"/>
        <v>107.60000000000001</v>
      </c>
      <c r="O4172" s="411">
        <f t="shared" si="830"/>
        <v>23.593780000000024</v>
      </c>
      <c r="P4172" s="132" t="s">
        <v>52</v>
      </c>
      <c r="Q4172" s="232"/>
      <c r="R4172" s="411"/>
      <c r="T4172" s="134" t="s">
        <v>145</v>
      </c>
      <c r="U4172" s="267" t="s">
        <v>9344</v>
      </c>
      <c r="AA4172" s="218"/>
    </row>
    <row r="4173" spans="1:29" ht="24" x14ac:dyDescent="0.25">
      <c r="A4173" s="405">
        <v>3003231</v>
      </c>
      <c r="B4173" s="406">
        <v>42570</v>
      </c>
      <c r="C4173" s="405" t="s">
        <v>5682</v>
      </c>
      <c r="D4173" s="401" t="s">
        <v>9345</v>
      </c>
      <c r="E4173" s="120">
        <v>250</v>
      </c>
      <c r="F4173" s="133" t="s">
        <v>2949</v>
      </c>
      <c r="G4173" s="404" t="s">
        <v>7486</v>
      </c>
      <c r="H4173" s="411">
        <v>461.85</v>
      </c>
      <c r="I4173" s="89">
        <f t="shared" si="832"/>
        <v>-41.566499999999998</v>
      </c>
      <c r="J4173" s="391">
        <f t="shared" si="833"/>
        <v>-9.0751500000000007</v>
      </c>
      <c r="K4173" s="90">
        <f t="shared" si="834"/>
        <v>411.20835</v>
      </c>
      <c r="M4173" s="187">
        <f>53.01+5</f>
        <v>58.01</v>
      </c>
      <c r="N4173" s="91">
        <f t="shared" si="825"/>
        <v>58.01</v>
      </c>
      <c r="O4173" s="411">
        <f t="shared" si="830"/>
        <v>353.19835</v>
      </c>
      <c r="P4173" s="132" t="s">
        <v>52</v>
      </c>
      <c r="Q4173" s="232"/>
      <c r="R4173" s="411">
        <v>30.21</v>
      </c>
      <c r="S4173" s="133" t="s">
        <v>4953</v>
      </c>
      <c r="T4173" s="134" t="s">
        <v>145</v>
      </c>
      <c r="U4173" s="267" t="s">
        <v>9346</v>
      </c>
      <c r="AA4173" s="218"/>
    </row>
    <row r="4174" spans="1:29" ht="24" x14ac:dyDescent="0.25">
      <c r="A4174" s="405">
        <v>3003232</v>
      </c>
      <c r="B4174" s="406">
        <v>42570</v>
      </c>
      <c r="C4174" s="405" t="s">
        <v>5682</v>
      </c>
      <c r="D4174" s="401" t="s">
        <v>9347</v>
      </c>
      <c r="E4174" s="120">
        <v>175</v>
      </c>
      <c r="F4174" s="133" t="s">
        <v>165</v>
      </c>
      <c r="G4174" s="404" t="s">
        <v>7486</v>
      </c>
      <c r="H4174" s="411">
        <v>178.51</v>
      </c>
      <c r="I4174" s="89">
        <f t="shared" si="832"/>
        <v>-16.065899999999999</v>
      </c>
      <c r="J4174" s="391">
        <f t="shared" si="833"/>
        <v>-3.6916899999999995</v>
      </c>
      <c r="K4174" s="90">
        <f t="shared" si="834"/>
        <v>158.75241</v>
      </c>
      <c r="L4174" s="131">
        <v>375</v>
      </c>
      <c r="M4174" s="187">
        <f>45.63+5</f>
        <v>50.63</v>
      </c>
      <c r="N4174" s="91">
        <f t="shared" si="825"/>
        <v>116.255</v>
      </c>
      <c r="O4174" s="411">
        <f t="shared" si="830"/>
        <v>42.497410000000002</v>
      </c>
      <c r="P4174" s="132" t="s">
        <v>52</v>
      </c>
      <c r="Q4174" s="232"/>
      <c r="R4174" s="411"/>
      <c r="T4174" s="134" t="s">
        <v>145</v>
      </c>
      <c r="U4174" s="267" t="s">
        <v>9348</v>
      </c>
      <c r="AA4174" s="218"/>
    </row>
    <row r="4175" spans="1:29" ht="24" x14ac:dyDescent="0.25">
      <c r="A4175" s="405">
        <v>3003233</v>
      </c>
      <c r="B4175" s="406">
        <v>42570</v>
      </c>
      <c r="C4175" s="405" t="s">
        <v>5682</v>
      </c>
      <c r="D4175" s="401" t="s">
        <v>9349</v>
      </c>
      <c r="E4175" s="120">
        <v>500</v>
      </c>
      <c r="F4175" s="133" t="s">
        <v>939</v>
      </c>
      <c r="G4175" s="404" t="s">
        <v>7486</v>
      </c>
      <c r="H4175" s="411">
        <v>385.6</v>
      </c>
      <c r="I4175" s="89">
        <f t="shared" si="832"/>
        <v>-34.704000000000001</v>
      </c>
      <c r="J4175" s="391">
        <f t="shared" si="833"/>
        <v>-7.6264000000000003</v>
      </c>
      <c r="K4175" s="90">
        <f t="shared" si="834"/>
        <v>343.26960000000003</v>
      </c>
      <c r="L4175" s="131">
        <v>445</v>
      </c>
      <c r="M4175" s="187">
        <f>65.29+5</f>
        <v>70.290000000000006</v>
      </c>
      <c r="N4175" s="91">
        <f t="shared" si="825"/>
        <v>292.79000000000002</v>
      </c>
      <c r="O4175" s="411">
        <f t="shared" si="830"/>
        <v>50.479600000000005</v>
      </c>
      <c r="P4175" s="132" t="s">
        <v>52</v>
      </c>
      <c r="Q4175" s="232"/>
      <c r="R4175" s="411"/>
      <c r="T4175" s="134" t="s">
        <v>145</v>
      </c>
      <c r="U4175" s="267" t="s">
        <v>9350</v>
      </c>
      <c r="AA4175" s="218"/>
      <c r="AC4175" s="251"/>
    </row>
    <row r="4176" spans="1:29" ht="24" x14ac:dyDescent="0.25">
      <c r="A4176" s="405">
        <v>3003234</v>
      </c>
      <c r="B4176" s="406">
        <v>42570</v>
      </c>
      <c r="C4176" s="405" t="s">
        <v>5682</v>
      </c>
      <c r="D4176" s="401" t="s">
        <v>9351</v>
      </c>
      <c r="E4176" s="120">
        <v>175</v>
      </c>
      <c r="F4176" s="133" t="s">
        <v>605</v>
      </c>
      <c r="G4176" s="404" t="s">
        <v>7486</v>
      </c>
      <c r="H4176" s="411">
        <v>264.31</v>
      </c>
      <c r="I4176" s="89">
        <f t="shared" si="832"/>
        <v>-23.7879</v>
      </c>
      <c r="J4176" s="391">
        <f t="shared" si="833"/>
        <v>-5.3218899999999998</v>
      </c>
      <c r="K4176" s="90">
        <f t="shared" si="834"/>
        <v>235.20021</v>
      </c>
      <c r="L4176" s="131">
        <v>595</v>
      </c>
      <c r="M4176" s="187">
        <f>47.47+5</f>
        <v>52.47</v>
      </c>
      <c r="N4176" s="91">
        <f t="shared" si="825"/>
        <v>156.59500000000003</v>
      </c>
      <c r="O4176" s="411">
        <f t="shared" si="830"/>
        <v>78.605209999999971</v>
      </c>
      <c r="P4176" s="132" t="s">
        <v>52</v>
      </c>
      <c r="Q4176" s="232"/>
      <c r="R4176" s="411"/>
      <c r="T4176" s="134" t="s">
        <v>145</v>
      </c>
      <c r="U4176" s="267" t="s">
        <v>9352</v>
      </c>
      <c r="AA4176" s="218"/>
    </row>
    <row r="4177" spans="1:27" ht="24" x14ac:dyDescent="0.25">
      <c r="A4177" s="405">
        <v>3003235</v>
      </c>
      <c r="B4177" s="406">
        <v>42570</v>
      </c>
      <c r="C4177" s="405" t="s">
        <v>237</v>
      </c>
      <c r="D4177" s="401" t="s">
        <v>9353</v>
      </c>
      <c r="E4177" s="120">
        <v>100</v>
      </c>
      <c r="F4177" s="133" t="s">
        <v>3307</v>
      </c>
      <c r="G4177" s="404" t="s">
        <v>7486</v>
      </c>
      <c r="H4177" s="411">
        <v>178.36</v>
      </c>
      <c r="I4177" s="397">
        <f t="shared" ref="I4177:I4179" si="835">-(H4177*0.15)</f>
        <v>-26.754000000000001</v>
      </c>
      <c r="J4177" s="411">
        <v>0</v>
      </c>
      <c r="K4177" s="90">
        <f t="shared" si="834"/>
        <v>151.60600000000002</v>
      </c>
      <c r="L4177" s="187">
        <v>1140</v>
      </c>
      <c r="M4177" s="187">
        <v>23.76</v>
      </c>
      <c r="N4177" s="91">
        <f t="shared" si="825"/>
        <v>137.76</v>
      </c>
      <c r="O4177" s="411">
        <f t="shared" si="830"/>
        <v>13.846000000000032</v>
      </c>
      <c r="P4177" s="132" t="s">
        <v>601</v>
      </c>
      <c r="Q4177" s="232"/>
      <c r="R4177" s="411"/>
      <c r="T4177" s="134" t="s">
        <v>145</v>
      </c>
      <c r="U4177" s="267" t="s">
        <v>9354</v>
      </c>
      <c r="AA4177" s="218"/>
    </row>
    <row r="4178" spans="1:27" ht="24" x14ac:dyDescent="0.25">
      <c r="A4178" s="405">
        <v>3003236</v>
      </c>
      <c r="B4178" s="406">
        <v>42570</v>
      </c>
      <c r="C4178" s="405" t="s">
        <v>237</v>
      </c>
      <c r="D4178" s="401" t="s">
        <v>9355</v>
      </c>
      <c r="E4178" s="120">
        <v>100</v>
      </c>
      <c r="F4178" s="133" t="s">
        <v>8577</v>
      </c>
      <c r="G4178" s="404" t="s">
        <v>7486</v>
      </c>
      <c r="H4178" s="411">
        <v>114.84</v>
      </c>
      <c r="I4178" s="397">
        <f t="shared" si="835"/>
        <v>-17.225999999999999</v>
      </c>
      <c r="J4178" s="411">
        <v>0</v>
      </c>
      <c r="K4178" s="90">
        <f t="shared" si="834"/>
        <v>97.614000000000004</v>
      </c>
      <c r="L4178" s="187">
        <v>800</v>
      </c>
      <c r="M4178" s="131">
        <v>27.82</v>
      </c>
      <c r="N4178" s="91">
        <f t="shared" si="825"/>
        <v>107.82</v>
      </c>
      <c r="O4178" s="411">
        <f t="shared" si="830"/>
        <v>-10.205999999999989</v>
      </c>
      <c r="P4178" s="132" t="s">
        <v>183</v>
      </c>
      <c r="Q4178" s="232"/>
      <c r="R4178" s="411"/>
      <c r="T4178" s="134" t="s">
        <v>145</v>
      </c>
      <c r="U4178" s="267" t="s">
        <v>9356</v>
      </c>
      <c r="AA4178" s="218"/>
    </row>
    <row r="4179" spans="1:27" ht="24" x14ac:dyDescent="0.25">
      <c r="A4179" s="405">
        <v>3003237</v>
      </c>
      <c r="B4179" s="406">
        <v>42570</v>
      </c>
      <c r="C4179" s="405" t="s">
        <v>237</v>
      </c>
      <c r="D4179" s="401" t="s">
        <v>9357</v>
      </c>
      <c r="E4179" s="120">
        <v>100</v>
      </c>
      <c r="F4179" s="133" t="s">
        <v>9358</v>
      </c>
      <c r="G4179" s="404" t="s">
        <v>7486</v>
      </c>
      <c r="H4179" s="411">
        <v>193.04</v>
      </c>
      <c r="I4179" s="397">
        <f t="shared" si="835"/>
        <v>-28.955999999999996</v>
      </c>
      <c r="J4179" s="411">
        <v>0</v>
      </c>
      <c r="K4179" s="90">
        <f t="shared" si="834"/>
        <v>164.084</v>
      </c>
      <c r="L4179" s="131">
        <v>950</v>
      </c>
      <c r="M4179" s="187">
        <f>28.58+5</f>
        <v>33.58</v>
      </c>
      <c r="N4179" s="91">
        <f t="shared" si="825"/>
        <v>128.57999999999998</v>
      </c>
      <c r="O4179" s="411">
        <f t="shared" si="830"/>
        <v>35.504000000000019</v>
      </c>
      <c r="P4179" s="132" t="s">
        <v>52</v>
      </c>
      <c r="Q4179" s="232"/>
      <c r="R4179" s="411"/>
      <c r="T4179" s="134" t="s">
        <v>145</v>
      </c>
      <c r="U4179" s="267" t="s">
        <v>9359</v>
      </c>
      <c r="AA4179" s="218"/>
    </row>
    <row r="4180" spans="1:27" ht="24" x14ac:dyDescent="0.25">
      <c r="A4180" s="405">
        <v>3003238</v>
      </c>
      <c r="B4180" s="406">
        <v>42570</v>
      </c>
      <c r="C4180" s="405" t="s">
        <v>327</v>
      </c>
      <c r="D4180" s="401" t="s">
        <v>9360</v>
      </c>
      <c r="E4180" s="120">
        <v>320</v>
      </c>
      <c r="F4180" s="133" t="s">
        <v>3946</v>
      </c>
      <c r="G4180" s="404" t="s">
        <v>7486</v>
      </c>
      <c r="H4180" s="411">
        <v>551</v>
      </c>
      <c r="I4180" s="411">
        <v>0</v>
      </c>
      <c r="J4180" s="391">
        <f>-((H4180*0.022)+0.3)</f>
        <v>-12.422000000000001</v>
      </c>
      <c r="K4180" s="90">
        <f t="shared" si="834"/>
        <v>538.57799999999997</v>
      </c>
      <c r="L4180" s="131">
        <v>300</v>
      </c>
      <c r="M4180" s="187">
        <f>28.58+5</f>
        <v>33.58</v>
      </c>
      <c r="N4180" s="91">
        <f t="shared" si="825"/>
        <v>129.57999999999998</v>
      </c>
      <c r="O4180" s="411">
        <f t="shared" si="830"/>
        <v>408.99799999999999</v>
      </c>
      <c r="P4180" s="132" t="s">
        <v>52</v>
      </c>
      <c r="Q4180" s="232"/>
      <c r="R4180" s="411"/>
      <c r="T4180" s="134" t="s">
        <v>145</v>
      </c>
      <c r="U4180" s="267" t="s">
        <v>9361</v>
      </c>
      <c r="W4180" s="153" t="s">
        <v>9362</v>
      </c>
      <c r="AA4180" s="218"/>
    </row>
    <row r="4181" spans="1:27" x14ac:dyDescent="0.25">
      <c r="A4181" s="405">
        <v>3003239</v>
      </c>
      <c r="B4181" s="406">
        <v>42570</v>
      </c>
      <c r="C4181" s="405" t="s">
        <v>63</v>
      </c>
      <c r="D4181" s="401" t="s">
        <v>9363</v>
      </c>
      <c r="E4181" s="120">
        <v>100</v>
      </c>
      <c r="F4181" s="133" t="s">
        <v>9364</v>
      </c>
      <c r="G4181" s="404" t="s">
        <v>7486</v>
      </c>
      <c r="H4181" s="411">
        <v>1696.56</v>
      </c>
      <c r="I4181" s="411">
        <v>0</v>
      </c>
      <c r="J4181" s="391">
        <f>-((H4181*0.022)+0.3)</f>
        <v>-37.624319999999997</v>
      </c>
      <c r="K4181" s="90">
        <f t="shared" si="834"/>
        <v>1658.93568</v>
      </c>
      <c r="L4181" s="187">
        <v>11510</v>
      </c>
      <c r="M4181" s="187">
        <v>131.54</v>
      </c>
      <c r="N4181" s="91">
        <f t="shared" si="825"/>
        <v>1282.54</v>
      </c>
      <c r="O4181" s="411">
        <f t="shared" si="830"/>
        <v>376.39568000000008</v>
      </c>
      <c r="P4181" s="132" t="s">
        <v>643</v>
      </c>
      <c r="Q4181" s="232"/>
      <c r="R4181" s="411"/>
      <c r="T4181" s="134" t="s">
        <v>314</v>
      </c>
      <c r="U4181" s="266">
        <v>3763161942</v>
      </c>
      <c r="W4181" s="153" t="s">
        <v>9365</v>
      </c>
      <c r="AA4181" s="218">
        <v>10</v>
      </c>
    </row>
    <row r="4182" spans="1:27" ht="24" x14ac:dyDescent="0.25">
      <c r="A4182" s="405">
        <v>3003240</v>
      </c>
      <c r="B4182" s="406">
        <v>42570</v>
      </c>
      <c r="C4182" s="405" t="s">
        <v>63</v>
      </c>
      <c r="D4182" s="401" t="s">
        <v>9366</v>
      </c>
      <c r="E4182" s="120">
        <v>75</v>
      </c>
      <c r="F4182" s="133" t="s">
        <v>288</v>
      </c>
      <c r="G4182" s="404" t="s">
        <v>7486</v>
      </c>
      <c r="H4182" s="411">
        <v>158</v>
      </c>
      <c r="I4182" s="411">
        <v>0</v>
      </c>
      <c r="J4182" s="391">
        <f>-((H4182*0.022)+0.3)</f>
        <v>-3.7759999999999998</v>
      </c>
      <c r="K4182" s="90">
        <f t="shared" si="834"/>
        <v>154.22399999999999</v>
      </c>
      <c r="L4182" s="131">
        <v>950</v>
      </c>
      <c r="M4182" s="187">
        <f>21.97+5</f>
        <v>26.97</v>
      </c>
      <c r="N4182" s="91">
        <f t="shared" si="825"/>
        <v>98.22</v>
      </c>
      <c r="O4182" s="411">
        <f t="shared" si="830"/>
        <v>56.003999999999991</v>
      </c>
      <c r="P4182" s="132" t="s">
        <v>52</v>
      </c>
      <c r="Q4182" s="232"/>
      <c r="R4182" s="411"/>
      <c r="T4182" s="134" t="s">
        <v>145</v>
      </c>
      <c r="U4182" s="267" t="s">
        <v>9367</v>
      </c>
      <c r="AA4182" s="218"/>
    </row>
    <row r="4183" spans="1:27" ht="24" x14ac:dyDescent="0.25">
      <c r="A4183" s="405">
        <v>3003241</v>
      </c>
      <c r="B4183" s="406">
        <v>42570</v>
      </c>
      <c r="C4183" s="405" t="s">
        <v>78</v>
      </c>
      <c r="D4183" s="401" t="s">
        <v>9027</v>
      </c>
      <c r="E4183" s="120">
        <v>200</v>
      </c>
      <c r="F4183" s="133" t="s">
        <v>4053</v>
      </c>
      <c r="G4183" s="404" t="s">
        <v>7486</v>
      </c>
      <c r="H4183" s="411">
        <v>700</v>
      </c>
      <c r="I4183" s="411">
        <v>0</v>
      </c>
      <c r="J4183" s="391">
        <f t="shared" ref="J4183" si="836">-((H4183*0.019)+0.3)</f>
        <v>-13.6</v>
      </c>
      <c r="K4183" s="90">
        <f t="shared" si="834"/>
        <v>686.4</v>
      </c>
      <c r="L4183" s="131">
        <v>2150</v>
      </c>
      <c r="M4183" s="187">
        <f>43.83+43.83+5+5</f>
        <v>97.66</v>
      </c>
      <c r="N4183" s="91">
        <f t="shared" si="825"/>
        <v>527.66</v>
      </c>
      <c r="O4183" s="411">
        <f t="shared" si="830"/>
        <v>158.74</v>
      </c>
      <c r="P4183" s="132" t="s">
        <v>52</v>
      </c>
      <c r="Q4183" s="232"/>
      <c r="R4183" s="411"/>
      <c r="T4183" s="134" t="s">
        <v>145</v>
      </c>
      <c r="U4183" s="266" t="s">
        <v>9368</v>
      </c>
      <c r="W4183" s="153" t="s">
        <v>9029</v>
      </c>
      <c r="AA4183" s="218"/>
    </row>
    <row r="4184" spans="1:27" x14ac:dyDescent="0.25">
      <c r="A4184" s="419">
        <v>3003242</v>
      </c>
      <c r="B4184" s="421">
        <v>42570</v>
      </c>
      <c r="C4184" s="419" t="s">
        <v>63</v>
      </c>
      <c r="D4184" s="429" t="s">
        <v>8857</v>
      </c>
      <c r="E4184" s="120">
        <v>500</v>
      </c>
      <c r="F4184" s="133" t="s">
        <v>9369</v>
      </c>
      <c r="G4184" s="434" t="s">
        <v>7486</v>
      </c>
      <c r="H4184" s="427">
        <v>2360</v>
      </c>
      <c r="I4184" s="427">
        <v>0</v>
      </c>
      <c r="J4184" s="425">
        <f>-((H4184*0.022)+0.3)</f>
        <v>-52.219999999999992</v>
      </c>
      <c r="K4184" s="425">
        <f t="shared" si="834"/>
        <v>2307.7800000000002</v>
      </c>
      <c r="L4184" s="187">
        <v>1070</v>
      </c>
      <c r="N4184" s="91">
        <f t="shared" si="825"/>
        <v>535</v>
      </c>
      <c r="O4184" s="411">
        <f t="shared" si="830"/>
        <v>1772.7800000000002</v>
      </c>
      <c r="P4184" s="132" t="s">
        <v>46</v>
      </c>
      <c r="Q4184" s="232"/>
      <c r="R4184" s="411"/>
      <c r="T4184" s="439" t="s">
        <v>1229</v>
      </c>
      <c r="U4184" s="266" t="s">
        <v>9370</v>
      </c>
      <c r="W4184" s="153" t="s">
        <v>8860</v>
      </c>
      <c r="AA4184" s="473">
        <v>10</v>
      </c>
    </row>
    <row r="4185" spans="1:27" x14ac:dyDescent="0.25">
      <c r="A4185" s="420"/>
      <c r="B4185" s="422"/>
      <c r="C4185" s="420"/>
      <c r="D4185" s="431"/>
      <c r="E4185" s="120">
        <v>500</v>
      </c>
      <c r="F4185" s="133" t="s">
        <v>9371</v>
      </c>
      <c r="G4185" s="436"/>
      <c r="H4185" s="428"/>
      <c r="I4185" s="428"/>
      <c r="J4185" s="426"/>
      <c r="K4185" s="426"/>
      <c r="L4185" s="187">
        <v>2438</v>
      </c>
      <c r="M4185" s="131">
        <v>0</v>
      </c>
      <c r="N4185" s="91">
        <f t="shared" si="825"/>
        <v>1219</v>
      </c>
      <c r="O4185" s="411">
        <f t="shared" si="830"/>
        <v>-1219</v>
      </c>
      <c r="P4185" s="132" t="s">
        <v>46</v>
      </c>
      <c r="Q4185" s="232"/>
      <c r="R4185" s="411"/>
      <c r="T4185" s="441"/>
      <c r="U4185" s="266"/>
      <c r="AA4185" s="474"/>
    </row>
    <row r="4186" spans="1:27" x14ac:dyDescent="0.25">
      <c r="A4186" s="419">
        <v>3003243</v>
      </c>
      <c r="B4186" s="421">
        <v>42570</v>
      </c>
      <c r="C4186" s="419" t="s">
        <v>63</v>
      </c>
      <c r="D4186" s="417" t="s">
        <v>5403</v>
      </c>
      <c r="E4186" s="120">
        <v>500</v>
      </c>
      <c r="F4186" s="133" t="s">
        <v>9372</v>
      </c>
      <c r="G4186" s="434" t="s">
        <v>7486</v>
      </c>
      <c r="H4186" s="427">
        <v>10775</v>
      </c>
      <c r="I4186" s="427">
        <v>0</v>
      </c>
      <c r="J4186" s="425">
        <f>-((H4186*0.022)+0.3)</f>
        <v>-237.35</v>
      </c>
      <c r="K4186" s="425">
        <f t="shared" si="834"/>
        <v>10537.65</v>
      </c>
      <c r="L4186" s="187">
        <v>7750</v>
      </c>
      <c r="M4186" s="249"/>
      <c r="N4186" s="91">
        <f t="shared" si="825"/>
        <v>3875</v>
      </c>
      <c r="O4186" s="411">
        <f t="shared" si="830"/>
        <v>6662.65</v>
      </c>
      <c r="P4186" s="132" t="s">
        <v>235</v>
      </c>
      <c r="Q4186" s="232"/>
      <c r="R4186" s="411"/>
      <c r="T4186" s="134" t="s">
        <v>565</v>
      </c>
      <c r="U4186" s="267" t="s">
        <v>9373</v>
      </c>
      <c r="W4186" s="153" t="s">
        <v>5407</v>
      </c>
      <c r="AA4186" s="526">
        <v>100</v>
      </c>
    </row>
    <row r="4187" spans="1:27" x14ac:dyDescent="0.25">
      <c r="A4187" s="432"/>
      <c r="B4187" s="433"/>
      <c r="C4187" s="432"/>
      <c r="D4187" s="454"/>
      <c r="E4187" s="120">
        <v>500</v>
      </c>
      <c r="F4187" s="133" t="s">
        <v>6463</v>
      </c>
      <c r="G4187" s="435"/>
      <c r="H4187" s="438"/>
      <c r="I4187" s="438"/>
      <c r="J4187" s="437"/>
      <c r="K4187" s="437"/>
      <c r="L4187" s="187">
        <v>8960</v>
      </c>
      <c r="M4187" s="249">
        <v>215</v>
      </c>
      <c r="N4187" s="91">
        <f t="shared" si="825"/>
        <v>4695</v>
      </c>
      <c r="O4187" s="411">
        <f t="shared" si="830"/>
        <v>-4695</v>
      </c>
      <c r="P4187" s="132" t="s">
        <v>66</v>
      </c>
      <c r="Q4187" s="232"/>
      <c r="R4187" s="411"/>
      <c r="T4187" s="134" t="s">
        <v>9374</v>
      </c>
      <c r="U4187" s="301">
        <v>3755868550</v>
      </c>
      <c r="V4187" s="133" t="s">
        <v>9375</v>
      </c>
      <c r="AA4187" s="540"/>
    </row>
    <row r="4188" spans="1:27" x14ac:dyDescent="0.25">
      <c r="A4188" s="420"/>
      <c r="B4188" s="422"/>
      <c r="C4188" s="420"/>
      <c r="D4188" s="418"/>
      <c r="E4188" s="120">
        <v>500</v>
      </c>
      <c r="F4188" s="133" t="s">
        <v>7253</v>
      </c>
      <c r="G4188" s="436"/>
      <c r="H4188" s="428"/>
      <c r="I4188" s="428"/>
      <c r="J4188" s="426"/>
      <c r="K4188" s="426"/>
      <c r="L4188" s="187">
        <v>1750</v>
      </c>
      <c r="M4188" s="253">
        <v>214.53</v>
      </c>
      <c r="N4188" s="91">
        <f t="shared" si="825"/>
        <v>1089.53</v>
      </c>
      <c r="O4188" s="411">
        <f t="shared" si="830"/>
        <v>-1089.53</v>
      </c>
      <c r="P4188" s="132" t="s">
        <v>235</v>
      </c>
      <c r="Q4188" s="232"/>
      <c r="R4188" s="411"/>
      <c r="T4188" s="134" t="s">
        <v>565</v>
      </c>
      <c r="U4188" s="267" t="s">
        <v>9373</v>
      </c>
      <c r="AA4188" s="527"/>
    </row>
    <row r="4189" spans="1:27" ht="24" x14ac:dyDescent="0.25">
      <c r="A4189" s="405">
        <v>3003244</v>
      </c>
      <c r="B4189" s="406">
        <v>42570</v>
      </c>
      <c r="C4189" s="405" t="s">
        <v>5682</v>
      </c>
      <c r="D4189" s="401" t="s">
        <v>5374</v>
      </c>
      <c r="E4189" s="120">
        <v>500</v>
      </c>
      <c r="F4189" s="133" t="s">
        <v>173</v>
      </c>
      <c r="G4189" s="404" t="s">
        <v>7486</v>
      </c>
      <c r="H4189" s="411">
        <v>438</v>
      </c>
      <c r="I4189" s="89">
        <f t="shared" ref="I4189:I4190" si="837">-(H4189*0.09)</f>
        <v>-39.42</v>
      </c>
      <c r="J4189" s="391">
        <f t="shared" ref="J4189:J4190" si="838">-((H4189*0.019)+0.3)</f>
        <v>-8.6219999999999999</v>
      </c>
      <c r="K4189" s="90">
        <f t="shared" ref="K4189:K4212" si="839">SUM(H4189:J4189)</f>
        <v>389.95799999999997</v>
      </c>
      <c r="L4189" s="187">
        <v>409</v>
      </c>
      <c r="N4189" s="91">
        <f t="shared" si="825"/>
        <v>204.5</v>
      </c>
      <c r="O4189" s="411">
        <f t="shared" si="830"/>
        <v>185.45799999999997</v>
      </c>
      <c r="P4189" s="132" t="s">
        <v>66</v>
      </c>
      <c r="Q4189" s="232"/>
      <c r="R4189" s="411"/>
      <c r="T4189" s="134" t="s">
        <v>314</v>
      </c>
      <c r="U4189" s="267" t="s">
        <v>9376</v>
      </c>
      <c r="AA4189" s="218"/>
    </row>
    <row r="4190" spans="1:27" x14ac:dyDescent="0.25">
      <c r="A4190" s="405">
        <v>3003245</v>
      </c>
      <c r="B4190" s="406">
        <v>42570</v>
      </c>
      <c r="C4190" s="405" t="s">
        <v>5682</v>
      </c>
      <c r="D4190" s="401" t="s">
        <v>9377</v>
      </c>
      <c r="E4190" s="120">
        <v>250</v>
      </c>
      <c r="F4190" s="133" t="s">
        <v>85</v>
      </c>
      <c r="G4190" s="404" t="s">
        <v>7486</v>
      </c>
      <c r="H4190" s="411">
        <v>589.82000000000005</v>
      </c>
      <c r="I4190" s="89">
        <f t="shared" si="837"/>
        <v>-53.083800000000004</v>
      </c>
      <c r="J4190" s="391">
        <f t="shared" si="838"/>
        <v>-11.506580000000001</v>
      </c>
      <c r="K4190" s="90">
        <f t="shared" si="839"/>
        <v>525.22962000000007</v>
      </c>
      <c r="L4190" s="131">
        <v>1296</v>
      </c>
      <c r="M4190" s="187">
        <v>114.72</v>
      </c>
      <c r="N4190" s="91">
        <f t="shared" si="825"/>
        <v>438.72</v>
      </c>
      <c r="O4190" s="411">
        <f t="shared" si="830"/>
        <v>86.509620000000041</v>
      </c>
      <c r="P4190" s="132" t="s">
        <v>52</v>
      </c>
      <c r="Q4190" s="232"/>
      <c r="R4190" s="411"/>
      <c r="T4190" s="134" t="s">
        <v>244</v>
      </c>
      <c r="U4190" s="267" t="s">
        <v>9378</v>
      </c>
      <c r="V4190" s="133" t="s">
        <v>55</v>
      </c>
      <c r="AA4190" s="218"/>
    </row>
    <row r="4191" spans="1:27" ht="24" x14ac:dyDescent="0.25">
      <c r="A4191" s="405">
        <v>3003246</v>
      </c>
      <c r="B4191" s="406">
        <v>42570</v>
      </c>
      <c r="C4191" s="405" t="s">
        <v>63</v>
      </c>
      <c r="D4191" s="401" t="s">
        <v>9379</v>
      </c>
      <c r="E4191" s="120">
        <v>250</v>
      </c>
      <c r="F4191" s="133" t="s">
        <v>9380</v>
      </c>
      <c r="G4191" s="404" t="s">
        <v>7486</v>
      </c>
      <c r="H4191" s="411">
        <v>140</v>
      </c>
      <c r="I4191" s="411">
        <v>0</v>
      </c>
      <c r="J4191" s="391">
        <f>-((H4191*0.022)+0.3)</f>
        <v>-3.3799999999999994</v>
      </c>
      <c r="K4191" s="90">
        <f t="shared" si="839"/>
        <v>136.62</v>
      </c>
      <c r="L4191" s="187">
        <v>311</v>
      </c>
      <c r="M4191" s="187">
        <v>18.72</v>
      </c>
      <c r="N4191" s="91">
        <f t="shared" si="825"/>
        <v>96.47</v>
      </c>
      <c r="O4191" s="411">
        <f t="shared" si="830"/>
        <v>40.150000000000006</v>
      </c>
      <c r="P4191" s="132" t="s">
        <v>183</v>
      </c>
      <c r="Q4191" s="232"/>
      <c r="R4191" s="411"/>
      <c r="T4191" s="134" t="s">
        <v>145</v>
      </c>
      <c r="U4191" s="267" t="s">
        <v>9381</v>
      </c>
      <c r="W4191" s="153" t="s">
        <v>9382</v>
      </c>
      <c r="AA4191" s="218"/>
    </row>
    <row r="4192" spans="1:27" ht="24" x14ac:dyDescent="0.25">
      <c r="A4192" s="405">
        <v>3003247</v>
      </c>
      <c r="B4192" s="406">
        <v>42570</v>
      </c>
      <c r="C4192" s="405" t="s">
        <v>237</v>
      </c>
      <c r="D4192" s="401" t="s">
        <v>9383</v>
      </c>
      <c r="E4192" s="120">
        <v>50</v>
      </c>
      <c r="F4192" s="133" t="s">
        <v>341</v>
      </c>
      <c r="G4192" s="404" t="s">
        <v>7486</v>
      </c>
      <c r="H4192" s="411">
        <v>129.1</v>
      </c>
      <c r="I4192" s="397">
        <f t="shared" ref="I4192:I4193" si="840">-(H4192*0.15)</f>
        <v>-19.364999999999998</v>
      </c>
      <c r="J4192" s="411">
        <v>0</v>
      </c>
      <c r="K4192" s="90">
        <f t="shared" si="839"/>
        <v>109.735</v>
      </c>
      <c r="L4192" s="131">
        <v>698</v>
      </c>
      <c r="M4192" s="187">
        <f>24.05+5</f>
        <v>29.05</v>
      </c>
      <c r="N4192" s="91">
        <f t="shared" si="825"/>
        <v>63.95</v>
      </c>
      <c r="O4192" s="411">
        <f t="shared" si="830"/>
        <v>45.784999999999997</v>
      </c>
      <c r="P4192" s="132" t="s">
        <v>52</v>
      </c>
      <c r="Q4192" s="232"/>
      <c r="R4192" s="411"/>
      <c r="T4192" s="134" t="s">
        <v>145</v>
      </c>
      <c r="U4192" s="267" t="s">
        <v>9384</v>
      </c>
      <c r="AA4192" s="218"/>
    </row>
    <row r="4193" spans="1:27" ht="24" x14ac:dyDescent="0.25">
      <c r="A4193" s="405">
        <v>3003248</v>
      </c>
      <c r="B4193" s="406">
        <v>42570</v>
      </c>
      <c r="C4193" s="405" t="s">
        <v>237</v>
      </c>
      <c r="D4193" s="401" t="s">
        <v>9385</v>
      </c>
      <c r="E4193" s="120">
        <v>250</v>
      </c>
      <c r="F4193" s="133" t="s">
        <v>173</v>
      </c>
      <c r="G4193" s="404" t="s">
        <v>7486</v>
      </c>
      <c r="H4193" s="411">
        <v>161.16</v>
      </c>
      <c r="I4193" s="397">
        <f t="shared" si="840"/>
        <v>-24.173999999999999</v>
      </c>
      <c r="J4193" s="411">
        <v>0</v>
      </c>
      <c r="K4193" s="90">
        <f t="shared" si="839"/>
        <v>136.98599999999999</v>
      </c>
      <c r="L4193" s="131">
        <v>407</v>
      </c>
      <c r="M4193" s="187">
        <f>21.62+5</f>
        <v>26.62</v>
      </c>
      <c r="N4193" s="91">
        <f t="shared" si="825"/>
        <v>128.37</v>
      </c>
      <c r="O4193" s="411">
        <f t="shared" si="830"/>
        <v>8.6159999999999854</v>
      </c>
      <c r="P4193" s="132" t="s">
        <v>52</v>
      </c>
      <c r="Q4193" s="232"/>
      <c r="R4193" s="411"/>
      <c r="T4193" s="134" t="s">
        <v>145</v>
      </c>
      <c r="U4193" s="267" t="s">
        <v>9386</v>
      </c>
      <c r="AA4193" s="218"/>
    </row>
    <row r="4194" spans="1:27" ht="24" x14ac:dyDescent="0.25">
      <c r="A4194" s="405">
        <v>3003249</v>
      </c>
      <c r="B4194" s="406">
        <v>42570</v>
      </c>
      <c r="C4194" s="405" t="s">
        <v>5682</v>
      </c>
      <c r="D4194" s="401" t="s">
        <v>9387</v>
      </c>
      <c r="E4194" s="120">
        <v>100</v>
      </c>
      <c r="F4194" s="133" t="s">
        <v>161</v>
      </c>
      <c r="G4194" s="404" t="s">
        <v>7486</v>
      </c>
      <c r="H4194" s="411">
        <v>230</v>
      </c>
      <c r="I4194" s="89">
        <f t="shared" ref="I4194" si="841">-(H4194*0.09)</f>
        <v>-20.7</v>
      </c>
      <c r="J4194" s="391">
        <f t="shared" ref="J4194" si="842">-((H4194*0.019)+0.3)</f>
        <v>-4.67</v>
      </c>
      <c r="K4194" s="90">
        <f t="shared" si="839"/>
        <v>204.63000000000002</v>
      </c>
      <c r="L4194" s="131">
        <v>1322</v>
      </c>
      <c r="M4194" s="187">
        <f>26.83+5</f>
        <v>31.83</v>
      </c>
      <c r="N4194" s="91">
        <f t="shared" si="825"/>
        <v>164.03000000000003</v>
      </c>
      <c r="O4194" s="411">
        <f t="shared" si="830"/>
        <v>40.599999999999994</v>
      </c>
      <c r="P4194" s="132" t="s">
        <v>52</v>
      </c>
      <c r="Q4194" s="232"/>
      <c r="R4194" s="411"/>
      <c r="T4194" s="134" t="s">
        <v>145</v>
      </c>
      <c r="U4194" s="267" t="s">
        <v>9388</v>
      </c>
      <c r="AA4194" s="218"/>
    </row>
    <row r="4195" spans="1:27" ht="24" x14ac:dyDescent="0.25">
      <c r="A4195" s="405">
        <v>3003250</v>
      </c>
      <c r="B4195" s="406">
        <v>42571</v>
      </c>
      <c r="C4195" s="405" t="s">
        <v>141</v>
      </c>
      <c r="D4195" s="401" t="s">
        <v>9389</v>
      </c>
      <c r="E4195" s="120">
        <v>100</v>
      </c>
      <c r="F4195" s="133" t="s">
        <v>6876</v>
      </c>
      <c r="G4195" s="404" t="s">
        <v>7486</v>
      </c>
      <c r="H4195" s="411">
        <v>280</v>
      </c>
      <c r="I4195" s="411">
        <v>0</v>
      </c>
      <c r="J4195" s="391">
        <f>-((H4195*0.0325)+0.3)</f>
        <v>-9.4</v>
      </c>
      <c r="K4195" s="90">
        <f t="shared" si="839"/>
        <v>270.60000000000002</v>
      </c>
      <c r="L4195" s="131">
        <v>1200</v>
      </c>
      <c r="M4195" s="187">
        <v>48.91</v>
      </c>
      <c r="N4195" s="91">
        <f t="shared" si="825"/>
        <v>168.91</v>
      </c>
      <c r="O4195" s="411">
        <f t="shared" si="830"/>
        <v>101.69000000000003</v>
      </c>
      <c r="P4195" s="132" t="s">
        <v>86</v>
      </c>
      <c r="Q4195" s="232"/>
      <c r="R4195" s="411"/>
      <c r="T4195" s="134" t="s">
        <v>145</v>
      </c>
      <c r="U4195" s="267" t="s">
        <v>9390</v>
      </c>
      <c r="W4195" s="153" t="s">
        <v>9391</v>
      </c>
      <c r="AA4195" s="218"/>
    </row>
    <row r="4196" spans="1:27" x14ac:dyDescent="0.25">
      <c r="A4196" s="405">
        <v>3003251</v>
      </c>
      <c r="B4196" s="406">
        <v>42571</v>
      </c>
      <c r="C4196" s="405" t="s">
        <v>63</v>
      </c>
      <c r="D4196" s="401" t="s">
        <v>9392</v>
      </c>
      <c r="E4196" s="120">
        <v>200</v>
      </c>
      <c r="F4196" s="133" t="s">
        <v>198</v>
      </c>
      <c r="G4196" s="404" t="s">
        <v>7486</v>
      </c>
      <c r="H4196" s="411">
        <v>0</v>
      </c>
      <c r="I4196" s="411">
        <v>0</v>
      </c>
      <c r="J4196" s="391">
        <f>-((H4196*0.022)+0.3)</f>
        <v>-0.3</v>
      </c>
      <c r="K4196" s="90">
        <f t="shared" si="839"/>
        <v>-0.3</v>
      </c>
      <c r="L4196" s="131">
        <v>0</v>
      </c>
      <c r="N4196" s="91">
        <f t="shared" si="825"/>
        <v>0</v>
      </c>
      <c r="O4196" s="411">
        <f t="shared" si="830"/>
        <v>-0.3</v>
      </c>
      <c r="P4196" s="132" t="s">
        <v>52</v>
      </c>
      <c r="Q4196" s="232"/>
      <c r="R4196" s="411"/>
      <c r="T4196" s="134" t="s">
        <v>755</v>
      </c>
      <c r="U4196" s="266"/>
      <c r="V4196" s="133" t="s">
        <v>55</v>
      </c>
      <c r="W4196" s="153" t="s">
        <v>9393</v>
      </c>
      <c r="AA4196" s="218"/>
    </row>
    <row r="4197" spans="1:27" x14ac:dyDescent="0.25">
      <c r="A4197" s="405">
        <v>3003252</v>
      </c>
      <c r="B4197" s="406">
        <v>42571</v>
      </c>
      <c r="C4197" s="405" t="s">
        <v>327</v>
      </c>
      <c r="D4197" s="401" t="s">
        <v>9394</v>
      </c>
      <c r="E4197" s="120">
        <v>500</v>
      </c>
      <c r="F4197" s="133" t="s">
        <v>6876</v>
      </c>
      <c r="G4197" s="404" t="s">
        <v>7486</v>
      </c>
      <c r="H4197" s="411">
        <v>1050</v>
      </c>
      <c r="I4197" s="411">
        <v>0</v>
      </c>
      <c r="J4197" s="391">
        <f>-((H4197*0.022)+0.3)</f>
        <v>-23.4</v>
      </c>
      <c r="K4197" s="90">
        <f t="shared" si="839"/>
        <v>1026.5999999999999</v>
      </c>
      <c r="L4197" s="131">
        <v>1200</v>
      </c>
      <c r="M4197" s="187">
        <v>180.87</v>
      </c>
      <c r="N4197" s="91">
        <f t="shared" si="825"/>
        <v>780.87</v>
      </c>
      <c r="O4197" s="411">
        <f t="shared" si="830"/>
        <v>245.7299999999999</v>
      </c>
      <c r="P4197" s="132" t="s">
        <v>86</v>
      </c>
      <c r="Q4197" s="232"/>
      <c r="R4197" s="411"/>
      <c r="T4197" s="134" t="s">
        <v>97</v>
      </c>
      <c r="U4197" s="266">
        <v>3441867446</v>
      </c>
      <c r="V4197" s="133" t="s">
        <v>55</v>
      </c>
      <c r="W4197" s="153" t="s">
        <v>9395</v>
      </c>
      <c r="AA4197" s="218">
        <v>10</v>
      </c>
    </row>
    <row r="4198" spans="1:27" ht="24" x14ac:dyDescent="0.25">
      <c r="A4198" s="405">
        <v>3003253</v>
      </c>
      <c r="B4198" s="406">
        <v>42571</v>
      </c>
      <c r="C4198" s="405" t="s">
        <v>63</v>
      </c>
      <c r="D4198" s="401" t="s">
        <v>9396</v>
      </c>
      <c r="E4198" s="120">
        <v>1000</v>
      </c>
      <c r="F4198" s="133" t="s">
        <v>9397</v>
      </c>
      <c r="G4198" s="404" t="s">
        <v>7486</v>
      </c>
      <c r="H4198" s="411">
        <v>550</v>
      </c>
      <c r="I4198" s="411">
        <v>0</v>
      </c>
      <c r="J4198" s="391">
        <f>-((H4198*0.022)+0.3)</f>
        <v>-12.4</v>
      </c>
      <c r="K4198" s="90">
        <f t="shared" si="839"/>
        <v>537.6</v>
      </c>
      <c r="L4198" s="187">
        <v>330</v>
      </c>
      <c r="M4198" s="187">
        <v>44.95</v>
      </c>
      <c r="N4198" s="91">
        <f t="shared" si="825"/>
        <v>374.95</v>
      </c>
      <c r="O4198" s="411">
        <f t="shared" si="830"/>
        <v>162.65000000000003</v>
      </c>
      <c r="P4198" s="132" t="s">
        <v>235</v>
      </c>
      <c r="Q4198" s="232"/>
      <c r="R4198" s="411"/>
      <c r="T4198" s="134" t="s">
        <v>145</v>
      </c>
      <c r="U4198" s="267" t="s">
        <v>9398</v>
      </c>
      <c r="W4198" s="153" t="s">
        <v>1921</v>
      </c>
      <c r="AA4198" s="218"/>
    </row>
    <row r="4199" spans="1:27" x14ac:dyDescent="0.25">
      <c r="A4199" s="405">
        <v>3003254</v>
      </c>
      <c r="B4199" s="406">
        <v>42571</v>
      </c>
      <c r="C4199" s="405" t="s">
        <v>63</v>
      </c>
      <c r="D4199" s="401" t="s">
        <v>1900</v>
      </c>
      <c r="E4199" s="120">
        <v>2000</v>
      </c>
      <c r="F4199" s="133" t="s">
        <v>7829</v>
      </c>
      <c r="G4199" s="404" t="s">
        <v>7486</v>
      </c>
      <c r="H4199" s="411">
        <v>1420</v>
      </c>
      <c r="I4199" s="411">
        <v>0</v>
      </c>
      <c r="J4199" s="391">
        <f>-((H4199*0.022)+0.3)</f>
        <v>-31.54</v>
      </c>
      <c r="K4199" s="90">
        <f t="shared" si="839"/>
        <v>1388.46</v>
      </c>
      <c r="L4199" s="131">
        <v>445</v>
      </c>
      <c r="M4199" s="187">
        <v>168.06</v>
      </c>
      <c r="N4199" s="91">
        <f t="shared" si="825"/>
        <v>1058.06</v>
      </c>
      <c r="O4199" s="411">
        <f t="shared" si="830"/>
        <v>330.40000000000009</v>
      </c>
      <c r="P4199" s="132" t="s">
        <v>52</v>
      </c>
      <c r="Q4199" s="232"/>
      <c r="R4199" s="411"/>
      <c r="T4199" s="134" t="s">
        <v>97</v>
      </c>
      <c r="U4199" s="267" t="s">
        <v>9399</v>
      </c>
      <c r="V4199" s="133" t="s">
        <v>55</v>
      </c>
      <c r="W4199" s="153" t="s">
        <v>1903</v>
      </c>
      <c r="AA4199" s="218">
        <v>10</v>
      </c>
    </row>
    <row r="4200" spans="1:27" ht="24" x14ac:dyDescent="0.25">
      <c r="A4200" s="419">
        <v>3003255</v>
      </c>
      <c r="B4200" s="421">
        <v>42571</v>
      </c>
      <c r="C4200" s="419" t="s">
        <v>5682</v>
      </c>
      <c r="D4200" s="417" t="s">
        <v>9400</v>
      </c>
      <c r="E4200" s="120">
        <v>500</v>
      </c>
      <c r="F4200" s="133" t="s">
        <v>9401</v>
      </c>
      <c r="G4200" s="434" t="s">
        <v>7486</v>
      </c>
      <c r="H4200" s="427">
        <v>301.62</v>
      </c>
      <c r="I4200" s="452">
        <f t="shared" ref="I4200" si="843">-(H4200*0.09)</f>
        <v>-27.145799999999998</v>
      </c>
      <c r="J4200" s="425">
        <f t="shared" ref="J4200" si="844">-((H4200*0.019)+0.3)</f>
        <v>-6.03078</v>
      </c>
      <c r="K4200" s="425">
        <f t="shared" si="839"/>
        <v>268.44342</v>
      </c>
      <c r="L4200" s="187">
        <v>150</v>
      </c>
      <c r="M4200" s="131">
        <v>32.130000000000003</v>
      </c>
      <c r="N4200" s="91">
        <f t="shared" si="825"/>
        <v>107.13</v>
      </c>
      <c r="O4200" s="411">
        <f t="shared" si="830"/>
        <v>161.31342000000001</v>
      </c>
      <c r="P4200" s="132" t="s">
        <v>183</v>
      </c>
      <c r="Q4200" s="232"/>
      <c r="R4200" s="411"/>
      <c r="T4200" s="439" t="s">
        <v>204</v>
      </c>
      <c r="U4200" s="266" t="s">
        <v>9402</v>
      </c>
      <c r="AA4200" s="218"/>
    </row>
    <row r="4201" spans="1:27" ht="24" x14ac:dyDescent="0.25">
      <c r="A4201" s="420"/>
      <c r="B4201" s="422"/>
      <c r="C4201" s="420"/>
      <c r="D4201" s="418"/>
      <c r="E4201" s="120">
        <v>250</v>
      </c>
      <c r="F4201" s="133" t="s">
        <v>9403</v>
      </c>
      <c r="G4201" s="436"/>
      <c r="H4201" s="428"/>
      <c r="I4201" s="453"/>
      <c r="J4201" s="426"/>
      <c r="K4201" s="426"/>
      <c r="L4201" s="187">
        <v>210</v>
      </c>
      <c r="N4201" s="91">
        <f t="shared" si="825"/>
        <v>52.5</v>
      </c>
      <c r="O4201" s="411">
        <f t="shared" si="830"/>
        <v>-52.5</v>
      </c>
      <c r="P4201" s="132" t="s">
        <v>183</v>
      </c>
      <c r="Q4201" s="232"/>
      <c r="R4201" s="411"/>
      <c r="T4201" s="441"/>
      <c r="U4201" s="267" t="s">
        <v>9404</v>
      </c>
      <c r="AA4201" s="218"/>
    </row>
    <row r="4202" spans="1:27" ht="24" x14ac:dyDescent="0.25">
      <c r="A4202" s="405">
        <v>3003256</v>
      </c>
      <c r="B4202" s="406">
        <v>42571</v>
      </c>
      <c r="C4202" s="405" t="s">
        <v>5682</v>
      </c>
      <c r="D4202" s="401" t="s">
        <v>9405</v>
      </c>
      <c r="E4202" s="120">
        <v>100</v>
      </c>
      <c r="F4202" s="133" t="s">
        <v>300</v>
      </c>
      <c r="G4202" s="404" t="s">
        <v>7486</v>
      </c>
      <c r="H4202" s="411">
        <v>450</v>
      </c>
      <c r="I4202" s="89">
        <f t="shared" ref="I4202:I4208" si="845">-(H4202*0.09)</f>
        <v>-40.5</v>
      </c>
      <c r="J4202" s="391">
        <f t="shared" ref="J4202:J4208" si="846">-((H4202*0.019)+0.3)</f>
        <v>-8.85</v>
      </c>
      <c r="K4202" s="90">
        <f t="shared" si="839"/>
        <v>400.65</v>
      </c>
      <c r="L4202" s="131">
        <v>2150</v>
      </c>
      <c r="M4202" s="187">
        <f>56.29+5</f>
        <v>61.29</v>
      </c>
      <c r="N4202" s="91">
        <f t="shared" si="825"/>
        <v>276.29000000000002</v>
      </c>
      <c r="O4202" s="411">
        <f t="shared" si="830"/>
        <v>124.35999999999996</v>
      </c>
      <c r="P4202" s="132" t="s">
        <v>52</v>
      </c>
      <c r="Q4202" s="232"/>
      <c r="R4202" s="411"/>
      <c r="T4202" s="134" t="s">
        <v>145</v>
      </c>
      <c r="U4202" s="267" t="s">
        <v>9406</v>
      </c>
      <c r="AA4202" s="218"/>
    </row>
    <row r="4203" spans="1:27" x14ac:dyDescent="0.25">
      <c r="A4203" s="405">
        <v>3003257</v>
      </c>
      <c r="B4203" s="406">
        <v>42571</v>
      </c>
      <c r="C4203" s="405" t="s">
        <v>5682</v>
      </c>
      <c r="D4203" s="401" t="s">
        <v>9407</v>
      </c>
      <c r="E4203" s="120">
        <v>1000</v>
      </c>
      <c r="F4203" s="133" t="s">
        <v>1293</v>
      </c>
      <c r="G4203" s="404" t="s">
        <v>7486</v>
      </c>
      <c r="H4203" s="411">
        <v>889</v>
      </c>
      <c r="I4203" s="89">
        <f t="shared" si="845"/>
        <v>-80.009999999999991</v>
      </c>
      <c r="J4203" s="391">
        <f t="shared" si="846"/>
        <v>-17.190999999999999</v>
      </c>
      <c r="K4203" s="90">
        <f t="shared" si="839"/>
        <v>791.79899999999998</v>
      </c>
      <c r="L4203" s="131">
        <v>513</v>
      </c>
      <c r="M4203" s="187">
        <v>154.75</v>
      </c>
      <c r="N4203" s="91">
        <f t="shared" si="825"/>
        <v>667.75</v>
      </c>
      <c r="O4203" s="411">
        <f t="shared" si="830"/>
        <v>124.04899999999998</v>
      </c>
      <c r="P4203" s="132" t="s">
        <v>52</v>
      </c>
      <c r="Q4203" s="232"/>
      <c r="R4203" s="411"/>
      <c r="T4203" s="134" t="s">
        <v>97</v>
      </c>
      <c r="U4203" s="267" t="s">
        <v>9408</v>
      </c>
      <c r="V4203" s="133" t="s">
        <v>55</v>
      </c>
      <c r="AA4203" s="218"/>
    </row>
    <row r="4204" spans="1:27" ht="24" x14ac:dyDescent="0.25">
      <c r="A4204" s="405">
        <v>3003258</v>
      </c>
      <c r="B4204" s="406">
        <v>42571</v>
      </c>
      <c r="C4204" s="405" t="s">
        <v>5682</v>
      </c>
      <c r="D4204" s="401" t="s">
        <v>9409</v>
      </c>
      <c r="E4204" s="120">
        <v>50</v>
      </c>
      <c r="F4204" s="133" t="s">
        <v>7253</v>
      </c>
      <c r="G4204" s="404" t="s">
        <v>7486</v>
      </c>
      <c r="H4204" s="411">
        <v>168.62</v>
      </c>
      <c r="I4204" s="89">
        <f t="shared" si="845"/>
        <v>-15.175800000000001</v>
      </c>
      <c r="J4204" s="391">
        <f t="shared" si="846"/>
        <v>-3.5037799999999999</v>
      </c>
      <c r="K4204" s="90">
        <f t="shared" si="839"/>
        <v>149.94041999999999</v>
      </c>
      <c r="L4204" s="187">
        <v>1750</v>
      </c>
      <c r="M4204" s="187">
        <f>17.51+5+30.05+10.5</f>
        <v>63.06</v>
      </c>
      <c r="N4204" s="91">
        <f t="shared" si="825"/>
        <v>150.56</v>
      </c>
      <c r="O4204" s="411">
        <f t="shared" si="830"/>
        <v>-0.61958000000001334</v>
      </c>
      <c r="P4204" s="132" t="s">
        <v>52</v>
      </c>
      <c r="Q4204" s="232"/>
      <c r="R4204" s="411"/>
      <c r="T4204" s="134" t="s">
        <v>145</v>
      </c>
      <c r="U4204" s="267" t="s">
        <v>9410</v>
      </c>
      <c r="AA4204" s="218"/>
    </row>
    <row r="4205" spans="1:27" ht="24" x14ac:dyDescent="0.25">
      <c r="A4205" s="405">
        <v>3003259</v>
      </c>
      <c r="B4205" s="406">
        <v>42571</v>
      </c>
      <c r="C4205" s="405" t="s">
        <v>5682</v>
      </c>
      <c r="D4205" s="401" t="s">
        <v>9411</v>
      </c>
      <c r="E4205" s="120">
        <v>180</v>
      </c>
      <c r="F4205" s="133" t="s">
        <v>51</v>
      </c>
      <c r="G4205" s="404" t="s">
        <v>7486</v>
      </c>
      <c r="H4205" s="411">
        <v>354</v>
      </c>
      <c r="I4205" s="89">
        <f t="shared" si="845"/>
        <v>-31.86</v>
      </c>
      <c r="J4205" s="391">
        <f t="shared" si="846"/>
        <v>-7.0259999999999998</v>
      </c>
      <c r="K4205" s="90">
        <f t="shared" si="839"/>
        <v>315.11399999999998</v>
      </c>
      <c r="L4205" s="131">
        <v>1015</v>
      </c>
      <c r="M4205" s="187">
        <v>65.260000000000005</v>
      </c>
      <c r="N4205" s="91">
        <f t="shared" si="825"/>
        <v>247.95999999999998</v>
      </c>
      <c r="O4205" s="411">
        <f t="shared" si="830"/>
        <v>67.153999999999996</v>
      </c>
      <c r="P4205" s="132" t="s">
        <v>52</v>
      </c>
      <c r="Q4205" s="232"/>
      <c r="R4205" s="411"/>
      <c r="T4205" s="134" t="s">
        <v>145</v>
      </c>
      <c r="U4205" s="267" t="s">
        <v>9412</v>
      </c>
      <c r="AA4205" s="218"/>
    </row>
    <row r="4206" spans="1:27" ht="24" x14ac:dyDescent="0.25">
      <c r="A4206" s="405">
        <v>3003260</v>
      </c>
      <c r="B4206" s="406">
        <v>42571</v>
      </c>
      <c r="C4206" s="405" t="s">
        <v>5682</v>
      </c>
      <c r="D4206" s="401" t="s">
        <v>9413</v>
      </c>
      <c r="E4206" s="120">
        <v>230</v>
      </c>
      <c r="F4206" s="133" t="s">
        <v>247</v>
      </c>
      <c r="G4206" s="404" t="s">
        <v>7486</v>
      </c>
      <c r="H4206" s="411">
        <v>251.2</v>
      </c>
      <c r="I4206" s="89">
        <f t="shared" si="845"/>
        <v>-22.607999999999997</v>
      </c>
      <c r="J4206" s="391">
        <f t="shared" si="846"/>
        <v>-5.0727999999999991</v>
      </c>
      <c r="K4206" s="90">
        <f t="shared" si="839"/>
        <v>223.51919999999998</v>
      </c>
      <c r="L4206" s="131">
        <v>480</v>
      </c>
      <c r="M4206" s="187">
        <f>45.17+5</f>
        <v>50.17</v>
      </c>
      <c r="N4206" s="91">
        <f t="shared" si="825"/>
        <v>160.57</v>
      </c>
      <c r="O4206" s="411">
        <f t="shared" si="830"/>
        <v>62.94919999999999</v>
      </c>
      <c r="P4206" s="132" t="s">
        <v>52</v>
      </c>
      <c r="Q4206" s="232"/>
      <c r="R4206" s="411"/>
      <c r="T4206" s="134" t="s">
        <v>145</v>
      </c>
      <c r="U4206" s="267" t="s">
        <v>9414</v>
      </c>
      <c r="AA4206" s="218"/>
    </row>
    <row r="4207" spans="1:27" ht="24" x14ac:dyDescent="0.25">
      <c r="A4207" s="405">
        <v>3003261</v>
      </c>
      <c r="B4207" s="406">
        <v>42571</v>
      </c>
      <c r="C4207" s="405" t="s">
        <v>5682</v>
      </c>
      <c r="D4207" s="401" t="s">
        <v>5663</v>
      </c>
      <c r="E4207" s="120">
        <v>250</v>
      </c>
      <c r="F4207" s="133" t="s">
        <v>8577</v>
      </c>
      <c r="G4207" s="404" t="s">
        <v>7486</v>
      </c>
      <c r="H4207" s="411">
        <v>263.99</v>
      </c>
      <c r="I4207" s="89">
        <f t="shared" si="845"/>
        <v>-23.7591</v>
      </c>
      <c r="J4207" s="391">
        <f t="shared" si="846"/>
        <v>-5.3158099999999999</v>
      </c>
      <c r="K4207" s="90">
        <f t="shared" si="839"/>
        <v>234.91509000000002</v>
      </c>
      <c r="L4207" s="131">
        <v>620</v>
      </c>
      <c r="M4207" s="187">
        <v>41.69</v>
      </c>
      <c r="N4207" s="91">
        <f t="shared" si="825"/>
        <v>196.69</v>
      </c>
      <c r="O4207" s="411">
        <f t="shared" si="830"/>
        <v>38.225090000000023</v>
      </c>
      <c r="P4207" s="132" t="s">
        <v>86</v>
      </c>
      <c r="Q4207" s="232"/>
      <c r="R4207" s="411"/>
      <c r="T4207" s="134" t="s">
        <v>145</v>
      </c>
      <c r="U4207" s="267" t="s">
        <v>9415</v>
      </c>
      <c r="AA4207" s="218"/>
    </row>
    <row r="4208" spans="1:27" ht="24" x14ac:dyDescent="0.25">
      <c r="A4208" s="405">
        <v>3003262</v>
      </c>
      <c r="B4208" s="406">
        <v>42571</v>
      </c>
      <c r="C4208" s="405" t="s">
        <v>5682</v>
      </c>
      <c r="D4208" s="401" t="s">
        <v>9416</v>
      </c>
      <c r="E4208" s="120">
        <v>100</v>
      </c>
      <c r="F4208" s="133" t="s">
        <v>288</v>
      </c>
      <c r="G4208" s="404" t="s">
        <v>7486</v>
      </c>
      <c r="H4208" s="411">
        <v>195.25</v>
      </c>
      <c r="I4208" s="89">
        <f t="shared" si="845"/>
        <v>-17.572499999999998</v>
      </c>
      <c r="J4208" s="391">
        <f t="shared" si="846"/>
        <v>-4.0097500000000004</v>
      </c>
      <c r="K4208" s="90">
        <f t="shared" si="839"/>
        <v>173.66775000000001</v>
      </c>
      <c r="L4208" s="131">
        <v>950</v>
      </c>
      <c r="M4208" s="187">
        <f>23.86+5</f>
        <v>28.86</v>
      </c>
      <c r="N4208" s="91">
        <f t="shared" si="825"/>
        <v>123.86</v>
      </c>
      <c r="O4208" s="411">
        <f t="shared" si="830"/>
        <v>49.807750000000013</v>
      </c>
      <c r="P4208" s="132" t="s">
        <v>52</v>
      </c>
      <c r="Q4208" s="232"/>
      <c r="R4208" s="411"/>
      <c r="T4208" s="134" t="s">
        <v>145</v>
      </c>
      <c r="U4208" s="267" t="s">
        <v>9417</v>
      </c>
      <c r="AA4208" s="218"/>
    </row>
    <row r="4209" spans="1:27" ht="24" x14ac:dyDescent="0.25">
      <c r="A4209" s="405">
        <v>3003263</v>
      </c>
      <c r="B4209" s="406">
        <v>42571</v>
      </c>
      <c r="C4209" s="405" t="s">
        <v>237</v>
      </c>
      <c r="D4209" s="401" t="s">
        <v>9418</v>
      </c>
      <c r="E4209" s="120">
        <v>100</v>
      </c>
      <c r="F4209" s="133" t="s">
        <v>288</v>
      </c>
      <c r="G4209" s="404" t="s">
        <v>7486</v>
      </c>
      <c r="H4209" s="411">
        <v>193.04</v>
      </c>
      <c r="I4209" s="397">
        <f t="shared" ref="I4209:I4211" si="847">-(H4209*0.15)</f>
        <v>-28.955999999999996</v>
      </c>
      <c r="J4209" s="411">
        <v>0</v>
      </c>
      <c r="K4209" s="90">
        <f t="shared" si="839"/>
        <v>164.084</v>
      </c>
      <c r="L4209" s="131">
        <v>950</v>
      </c>
      <c r="M4209" s="187">
        <f>45.81+5</f>
        <v>50.81</v>
      </c>
      <c r="N4209" s="91">
        <f t="shared" si="825"/>
        <v>145.81</v>
      </c>
      <c r="O4209" s="411">
        <f t="shared" si="830"/>
        <v>18.274000000000001</v>
      </c>
      <c r="P4209" s="132" t="s">
        <v>52</v>
      </c>
      <c r="Q4209" s="232"/>
      <c r="R4209" s="411"/>
      <c r="T4209" s="134" t="s">
        <v>145</v>
      </c>
      <c r="U4209" s="267" t="s">
        <v>9419</v>
      </c>
      <c r="AA4209" s="218"/>
    </row>
    <row r="4210" spans="1:27" ht="24" x14ac:dyDescent="0.25">
      <c r="A4210" s="405">
        <v>3003264</v>
      </c>
      <c r="B4210" s="406">
        <v>42571</v>
      </c>
      <c r="C4210" s="405" t="s">
        <v>237</v>
      </c>
      <c r="D4210" s="401" t="s">
        <v>9420</v>
      </c>
      <c r="E4210" s="120">
        <v>250</v>
      </c>
      <c r="F4210" s="133" t="s">
        <v>161</v>
      </c>
      <c r="G4210" s="404" t="s">
        <v>7486</v>
      </c>
      <c r="H4210" s="411">
        <v>0</v>
      </c>
      <c r="I4210" s="397">
        <f t="shared" si="847"/>
        <v>0</v>
      </c>
      <c r="J4210" s="411">
        <v>0</v>
      </c>
      <c r="K4210" s="90">
        <f t="shared" si="839"/>
        <v>0</v>
      </c>
      <c r="L4210" s="131">
        <v>1322</v>
      </c>
      <c r="M4210" s="187">
        <f>72.11+5</f>
        <v>77.11</v>
      </c>
      <c r="N4210" s="91">
        <f t="shared" si="825"/>
        <v>407.61</v>
      </c>
      <c r="O4210" s="411">
        <f t="shared" si="830"/>
        <v>-407.61</v>
      </c>
      <c r="P4210" s="132" t="s">
        <v>52</v>
      </c>
      <c r="Q4210" s="232"/>
      <c r="R4210" s="411"/>
      <c r="T4210" s="134" t="s">
        <v>145</v>
      </c>
      <c r="U4210" s="267" t="s">
        <v>9421</v>
      </c>
      <c r="AA4210" s="218"/>
    </row>
    <row r="4211" spans="1:27" ht="24" x14ac:dyDescent="0.25">
      <c r="A4211" s="405">
        <v>3003265</v>
      </c>
      <c r="B4211" s="406">
        <v>42571</v>
      </c>
      <c r="C4211" s="405" t="s">
        <v>237</v>
      </c>
      <c r="D4211" s="401" t="s">
        <v>9422</v>
      </c>
      <c r="E4211" s="120">
        <v>100</v>
      </c>
      <c r="F4211" s="133" t="s">
        <v>161</v>
      </c>
      <c r="G4211" s="404" t="s">
        <v>7486</v>
      </c>
      <c r="H4211" s="411">
        <v>228.45</v>
      </c>
      <c r="I4211" s="397">
        <f t="shared" si="847"/>
        <v>-34.267499999999998</v>
      </c>
      <c r="J4211" s="411">
        <v>0</v>
      </c>
      <c r="K4211" s="90">
        <f t="shared" si="839"/>
        <v>194.1825</v>
      </c>
      <c r="L4211" s="131">
        <v>1322</v>
      </c>
      <c r="M4211" s="187">
        <v>50.29</v>
      </c>
      <c r="N4211" s="91">
        <f t="shared" si="825"/>
        <v>182.49</v>
      </c>
      <c r="O4211" s="411">
        <f t="shared" si="830"/>
        <v>11.692499999999995</v>
      </c>
      <c r="P4211" s="132" t="s">
        <v>86</v>
      </c>
      <c r="Q4211" s="232"/>
      <c r="R4211" s="411"/>
      <c r="T4211" s="134" t="s">
        <v>145</v>
      </c>
      <c r="U4211" s="267" t="s">
        <v>9423</v>
      </c>
      <c r="AA4211" s="218"/>
    </row>
    <row r="4212" spans="1:27" ht="24" customHeight="1" x14ac:dyDescent="0.25">
      <c r="A4212" s="419">
        <v>3003266</v>
      </c>
      <c r="B4212" s="421">
        <v>42571</v>
      </c>
      <c r="C4212" s="419" t="s">
        <v>56</v>
      </c>
      <c r="D4212" s="417" t="s">
        <v>5940</v>
      </c>
      <c r="E4212" s="120">
        <v>250</v>
      </c>
      <c r="F4212" s="133" t="s">
        <v>2199</v>
      </c>
      <c r="G4212" s="434" t="s">
        <v>7486</v>
      </c>
      <c r="H4212" s="427">
        <v>722.5</v>
      </c>
      <c r="I4212" s="427">
        <v>0</v>
      </c>
      <c r="J4212" s="427">
        <v>0</v>
      </c>
      <c r="K4212" s="425">
        <f t="shared" si="839"/>
        <v>722.5</v>
      </c>
      <c r="M4212" s="187">
        <v>53.53</v>
      </c>
      <c r="N4212" s="91">
        <f t="shared" si="825"/>
        <v>53.53</v>
      </c>
      <c r="O4212" s="411">
        <f t="shared" si="830"/>
        <v>668.97</v>
      </c>
      <c r="P4212" s="132" t="s">
        <v>52</v>
      </c>
      <c r="Q4212" s="232"/>
      <c r="R4212" s="411"/>
      <c r="T4212" s="470" t="s">
        <v>145</v>
      </c>
      <c r="U4212" s="267" t="s">
        <v>9424</v>
      </c>
      <c r="V4212" s="133" t="s">
        <v>9425</v>
      </c>
      <c r="AA4212" s="218"/>
    </row>
    <row r="4213" spans="1:27" x14ac:dyDescent="0.25">
      <c r="A4213" s="432"/>
      <c r="B4213" s="433"/>
      <c r="C4213" s="432"/>
      <c r="D4213" s="454"/>
      <c r="E4213" s="120">
        <v>250</v>
      </c>
      <c r="F4213" s="133" t="s">
        <v>1472</v>
      </c>
      <c r="G4213" s="435"/>
      <c r="H4213" s="438"/>
      <c r="I4213" s="438"/>
      <c r="J4213" s="438"/>
      <c r="K4213" s="437"/>
      <c r="M4213" s="187">
        <v>26.54</v>
      </c>
      <c r="N4213" s="91">
        <f t="shared" si="825"/>
        <v>26.54</v>
      </c>
      <c r="O4213" s="411">
        <f t="shared" si="830"/>
        <v>-26.54</v>
      </c>
      <c r="P4213" s="132" t="s">
        <v>52</v>
      </c>
      <c r="Q4213" s="232"/>
      <c r="R4213" s="411"/>
      <c r="T4213" s="472"/>
      <c r="U4213" s="267" t="s">
        <v>9426</v>
      </c>
      <c r="AA4213" s="218"/>
    </row>
    <row r="4214" spans="1:27" ht="24" x14ac:dyDescent="0.25">
      <c r="A4214" s="420"/>
      <c r="B4214" s="422"/>
      <c r="C4214" s="420"/>
      <c r="D4214" s="418"/>
      <c r="E4214" s="120">
        <v>250</v>
      </c>
      <c r="F4214" s="133" t="s">
        <v>3943</v>
      </c>
      <c r="G4214" s="436"/>
      <c r="H4214" s="428"/>
      <c r="I4214" s="428"/>
      <c r="J4214" s="428"/>
      <c r="K4214" s="426"/>
      <c r="L4214" s="187">
        <v>331</v>
      </c>
      <c r="M4214" s="187">
        <v>23.28</v>
      </c>
      <c r="N4214" s="91">
        <f t="shared" si="825"/>
        <v>106.03</v>
      </c>
      <c r="O4214" s="411">
        <f t="shared" si="830"/>
        <v>-106.03</v>
      </c>
      <c r="P4214" s="132" t="s">
        <v>926</v>
      </c>
      <c r="Q4214" s="232"/>
      <c r="R4214" s="411"/>
      <c r="T4214" s="134" t="s">
        <v>145</v>
      </c>
      <c r="U4214" s="267" t="s">
        <v>9427</v>
      </c>
      <c r="V4214" s="133" t="s">
        <v>9428</v>
      </c>
      <c r="AA4214" s="218"/>
    </row>
    <row r="4215" spans="1:27" x14ac:dyDescent="0.25">
      <c r="A4215" s="419">
        <v>3003267</v>
      </c>
      <c r="B4215" s="421">
        <v>42571</v>
      </c>
      <c r="C4215" s="419" t="s">
        <v>56</v>
      </c>
      <c r="D4215" s="417" t="s">
        <v>9429</v>
      </c>
      <c r="E4215" s="120">
        <v>500</v>
      </c>
      <c r="F4215" s="133" t="s">
        <v>2199</v>
      </c>
      <c r="G4215" s="434" t="s">
        <v>7486</v>
      </c>
      <c r="H4215" s="427">
        <v>5150</v>
      </c>
      <c r="I4215" s="427">
        <v>0</v>
      </c>
      <c r="J4215" s="427">
        <v>0</v>
      </c>
      <c r="K4215" s="425">
        <f t="shared" ref="K4215" si="848">SUM(H4215:J4215)</f>
        <v>5150</v>
      </c>
      <c r="L4215" s="187">
        <v>1100</v>
      </c>
      <c r="M4215" s="131">
        <v>0</v>
      </c>
      <c r="N4215" s="91">
        <f t="shared" si="825"/>
        <v>550</v>
      </c>
      <c r="O4215" s="411">
        <f t="shared" si="830"/>
        <v>4600</v>
      </c>
      <c r="P4215" s="132" t="s">
        <v>601</v>
      </c>
      <c r="Q4215" s="232"/>
      <c r="R4215" s="411"/>
      <c r="T4215" s="439" t="s">
        <v>314</v>
      </c>
      <c r="U4215" s="446" t="s">
        <v>9430</v>
      </c>
      <c r="V4215" s="133" t="s">
        <v>6280</v>
      </c>
      <c r="W4215" s="153" t="s">
        <v>9431</v>
      </c>
      <c r="AA4215" s="218"/>
    </row>
    <row r="4216" spans="1:27" x14ac:dyDescent="0.25">
      <c r="A4216" s="420"/>
      <c r="B4216" s="422"/>
      <c r="C4216" s="420"/>
      <c r="D4216" s="418"/>
      <c r="E4216" s="120">
        <v>2000</v>
      </c>
      <c r="F4216" s="133" t="s">
        <v>9432</v>
      </c>
      <c r="G4216" s="436"/>
      <c r="H4216" s="428"/>
      <c r="I4216" s="428"/>
      <c r="J4216" s="428"/>
      <c r="K4216" s="426"/>
      <c r="L4216" s="187">
        <v>2030</v>
      </c>
      <c r="M4216" s="131">
        <v>0</v>
      </c>
      <c r="N4216" s="91">
        <f t="shared" si="825"/>
        <v>4060</v>
      </c>
      <c r="O4216" s="411">
        <f t="shared" si="830"/>
        <v>-4060</v>
      </c>
      <c r="P4216" s="132" t="s">
        <v>601</v>
      </c>
      <c r="Q4216" s="232"/>
      <c r="R4216" s="411"/>
      <c r="T4216" s="441"/>
      <c r="U4216" s="447"/>
      <c r="AA4216" s="218"/>
    </row>
    <row r="4217" spans="1:27" ht="24" x14ac:dyDescent="0.25">
      <c r="A4217" s="405">
        <v>3003268</v>
      </c>
      <c r="B4217" s="406">
        <v>42571</v>
      </c>
      <c r="C4217" s="405" t="s">
        <v>5682</v>
      </c>
      <c r="D4217" s="401" t="s">
        <v>9433</v>
      </c>
      <c r="E4217" s="120">
        <v>50</v>
      </c>
      <c r="F4217" s="133" t="s">
        <v>161</v>
      </c>
      <c r="G4217" s="404" t="s">
        <v>7486</v>
      </c>
      <c r="H4217" s="411">
        <v>122.75</v>
      </c>
      <c r="I4217" s="89">
        <f t="shared" ref="I4217" si="849">-(H4217*0.09)</f>
        <v>-11.047499999999999</v>
      </c>
      <c r="J4217" s="391">
        <f t="shared" ref="J4217" si="850">-((H4217*0.019)+0.3)</f>
        <v>-2.63225</v>
      </c>
      <c r="K4217" s="90">
        <f t="shared" ref="K4217:K4232" si="851">SUM(H4217:J4217)</f>
        <v>109.07025</v>
      </c>
      <c r="L4217" s="131">
        <v>1322</v>
      </c>
      <c r="M4217" s="187">
        <f>14.81+9.13</f>
        <v>23.94</v>
      </c>
      <c r="N4217" s="91">
        <f t="shared" si="825"/>
        <v>90.04</v>
      </c>
      <c r="O4217" s="411">
        <f t="shared" si="830"/>
        <v>19.030249999999995</v>
      </c>
      <c r="P4217" s="132" t="s">
        <v>52</v>
      </c>
      <c r="Q4217" s="232"/>
      <c r="R4217" s="411"/>
      <c r="T4217" s="134" t="s">
        <v>145</v>
      </c>
      <c r="U4217" s="267" t="s">
        <v>9434</v>
      </c>
      <c r="AA4217" s="218"/>
    </row>
    <row r="4218" spans="1:27" ht="24" x14ac:dyDescent="0.25">
      <c r="A4218" s="405">
        <v>3003269</v>
      </c>
      <c r="B4218" s="406">
        <v>42571</v>
      </c>
      <c r="C4218" s="405" t="s">
        <v>9435</v>
      </c>
      <c r="D4218" s="401" t="s">
        <v>9436</v>
      </c>
      <c r="E4218" s="120">
        <v>100</v>
      </c>
      <c r="F4218" s="133" t="s">
        <v>161</v>
      </c>
      <c r="G4218" s="404" t="s">
        <v>7486</v>
      </c>
      <c r="H4218" s="411">
        <v>230</v>
      </c>
      <c r="I4218" s="411">
        <v>0</v>
      </c>
      <c r="J4218" s="391">
        <f>-((H4218*0.022)+0.3)</f>
        <v>-5.3599999999999994</v>
      </c>
      <c r="K4218" s="90">
        <f t="shared" si="851"/>
        <v>224.64</v>
      </c>
      <c r="L4218" s="131">
        <v>1322</v>
      </c>
      <c r="N4218" s="91">
        <f t="shared" ref="N4218:N4281" si="852">((L4218)*(E4218*0.001))+M4218</f>
        <v>132.20000000000002</v>
      </c>
      <c r="O4218" s="411">
        <f t="shared" si="830"/>
        <v>92.439999999999969</v>
      </c>
      <c r="P4218" s="132" t="s">
        <v>86</v>
      </c>
      <c r="Q4218" s="232"/>
      <c r="R4218" s="411"/>
      <c r="T4218" s="134" t="s">
        <v>756</v>
      </c>
      <c r="U4218" s="266" t="s">
        <v>756</v>
      </c>
      <c r="V4218" s="133" t="s">
        <v>9437</v>
      </c>
      <c r="AA4218" s="218"/>
    </row>
    <row r="4219" spans="1:27" x14ac:dyDescent="0.25">
      <c r="A4219" s="405">
        <v>3003270</v>
      </c>
      <c r="B4219" s="406">
        <v>42571</v>
      </c>
      <c r="C4219" s="405" t="s">
        <v>141</v>
      </c>
      <c r="D4219" s="401" t="s">
        <v>3960</v>
      </c>
      <c r="E4219" s="120">
        <v>500</v>
      </c>
      <c r="F4219" s="133" t="s">
        <v>161</v>
      </c>
      <c r="G4219" s="404" t="s">
        <v>7486</v>
      </c>
      <c r="H4219" s="411">
        <v>1080</v>
      </c>
      <c r="I4219" s="411">
        <v>0</v>
      </c>
      <c r="J4219" s="391">
        <f>-((H4219*0.0325)+0.3)</f>
        <v>-35.4</v>
      </c>
      <c r="K4219" s="90">
        <f t="shared" si="851"/>
        <v>1044.5999999999999</v>
      </c>
      <c r="L4219" s="131">
        <v>1322</v>
      </c>
      <c r="M4219" s="187">
        <v>114.72</v>
      </c>
      <c r="N4219" s="91">
        <f t="shared" si="852"/>
        <v>775.72</v>
      </c>
      <c r="O4219" s="411">
        <f t="shared" si="830"/>
        <v>268.87999999999988</v>
      </c>
      <c r="P4219" s="132" t="s">
        <v>86</v>
      </c>
      <c r="Q4219" s="232"/>
      <c r="R4219" s="411"/>
      <c r="T4219" s="134" t="s">
        <v>244</v>
      </c>
      <c r="U4219" s="267" t="s">
        <v>9438</v>
      </c>
      <c r="V4219" s="133" t="s">
        <v>55</v>
      </c>
      <c r="W4219" s="153" t="s">
        <v>3962</v>
      </c>
      <c r="AA4219" s="218">
        <v>25</v>
      </c>
    </row>
    <row r="4220" spans="1:27" ht="24" x14ac:dyDescent="0.25">
      <c r="A4220" s="405">
        <v>3003271</v>
      </c>
      <c r="B4220" s="406">
        <v>42571</v>
      </c>
      <c r="C4220" s="405" t="s">
        <v>237</v>
      </c>
      <c r="D4220" s="401" t="s">
        <v>9439</v>
      </c>
      <c r="E4220" s="120">
        <v>250</v>
      </c>
      <c r="F4220" s="133" t="s">
        <v>9440</v>
      </c>
      <c r="G4220" s="404" t="s">
        <v>7486</v>
      </c>
      <c r="H4220" s="411">
        <v>108.28</v>
      </c>
      <c r="I4220" s="397">
        <f t="shared" ref="I4220:I4221" si="853">-(H4220*0.15)</f>
        <v>-16.242000000000001</v>
      </c>
      <c r="J4220" s="411">
        <v>0</v>
      </c>
      <c r="K4220" s="90">
        <f t="shared" si="851"/>
        <v>92.037999999999997</v>
      </c>
      <c r="L4220" s="187">
        <v>217</v>
      </c>
      <c r="M4220" s="187">
        <v>21.37</v>
      </c>
      <c r="N4220" s="91">
        <f t="shared" si="852"/>
        <v>75.62</v>
      </c>
      <c r="O4220" s="411">
        <f t="shared" si="830"/>
        <v>16.417999999999992</v>
      </c>
      <c r="P4220" s="132" t="s">
        <v>183</v>
      </c>
      <c r="Q4220" s="232"/>
      <c r="R4220" s="411"/>
      <c r="T4220" s="134" t="s">
        <v>324</v>
      </c>
      <c r="U4220" s="267" t="s">
        <v>9441</v>
      </c>
      <c r="AA4220" s="218"/>
    </row>
    <row r="4221" spans="1:27" ht="24" x14ac:dyDescent="0.25">
      <c r="A4221" s="405">
        <v>3003272</v>
      </c>
      <c r="B4221" s="406">
        <v>42571</v>
      </c>
      <c r="C4221" s="405" t="s">
        <v>237</v>
      </c>
      <c r="D4221" s="401" t="s">
        <v>9442</v>
      </c>
      <c r="E4221" s="120">
        <v>500</v>
      </c>
      <c r="F4221" s="133" t="s">
        <v>5032</v>
      </c>
      <c r="G4221" s="404" t="s">
        <v>7486</v>
      </c>
      <c r="H4221" s="411">
        <v>277.39999999999998</v>
      </c>
      <c r="I4221" s="397">
        <f t="shared" si="853"/>
        <v>-41.609999999999992</v>
      </c>
      <c r="J4221" s="411">
        <v>0</v>
      </c>
      <c r="K4221" s="90">
        <f t="shared" si="851"/>
        <v>235.79</v>
      </c>
      <c r="L4221" s="131">
        <v>150</v>
      </c>
      <c r="M4221" s="187">
        <f>18.96+5</f>
        <v>23.96</v>
      </c>
      <c r="N4221" s="91">
        <f t="shared" si="852"/>
        <v>98.960000000000008</v>
      </c>
      <c r="O4221" s="411">
        <f t="shared" si="830"/>
        <v>136.82999999999998</v>
      </c>
      <c r="P4221" s="132" t="s">
        <v>52</v>
      </c>
      <c r="Q4221" s="232"/>
      <c r="R4221" s="411"/>
      <c r="T4221" s="134" t="s">
        <v>145</v>
      </c>
      <c r="U4221" s="267" t="s">
        <v>9443</v>
      </c>
      <c r="AA4221" s="218"/>
    </row>
    <row r="4222" spans="1:27" x14ac:dyDescent="0.25">
      <c r="A4222" s="405">
        <v>3003273</v>
      </c>
      <c r="B4222" s="406">
        <v>42571</v>
      </c>
      <c r="C4222" s="405" t="s">
        <v>159</v>
      </c>
      <c r="D4222" s="401" t="s">
        <v>9444</v>
      </c>
      <c r="E4222" s="120">
        <v>15</v>
      </c>
      <c r="F4222" s="133" t="s">
        <v>1991</v>
      </c>
      <c r="G4222" s="404" t="s">
        <v>7486</v>
      </c>
      <c r="H4222" s="411">
        <v>75.75</v>
      </c>
      <c r="I4222" s="411">
        <v>0</v>
      </c>
      <c r="J4222" s="391">
        <f t="shared" ref="J4222:J4223" si="854">-((H4222*0.019)+0.3)</f>
        <v>-1.73925</v>
      </c>
      <c r="K4222" s="90">
        <f t="shared" si="851"/>
        <v>74.010750000000002</v>
      </c>
      <c r="L4222" s="187">
        <v>3100</v>
      </c>
      <c r="M4222" s="187">
        <v>32.03</v>
      </c>
      <c r="N4222" s="91">
        <f t="shared" si="852"/>
        <v>78.53</v>
      </c>
      <c r="O4222" s="411">
        <f t="shared" si="830"/>
        <v>-4.5192499999999995</v>
      </c>
      <c r="P4222" s="132" t="s">
        <v>183</v>
      </c>
      <c r="Q4222" s="232"/>
      <c r="R4222" s="411"/>
      <c r="T4222" s="134" t="s">
        <v>314</v>
      </c>
      <c r="U4222" s="266" t="s">
        <v>9445</v>
      </c>
      <c r="V4222" s="133" t="s">
        <v>6072</v>
      </c>
      <c r="W4222" s="153" t="s">
        <v>9446</v>
      </c>
      <c r="AA4222" s="218"/>
    </row>
    <row r="4223" spans="1:27" ht="24" x14ac:dyDescent="0.25">
      <c r="A4223" s="405">
        <v>3003274</v>
      </c>
      <c r="B4223" s="406">
        <v>42571</v>
      </c>
      <c r="C4223" s="405" t="s">
        <v>159</v>
      </c>
      <c r="D4223" s="401" t="s">
        <v>9447</v>
      </c>
      <c r="E4223" s="120">
        <v>18</v>
      </c>
      <c r="F4223" s="133" t="s">
        <v>1991</v>
      </c>
      <c r="G4223" s="404" t="s">
        <v>7486</v>
      </c>
      <c r="H4223" s="411">
        <v>90.9</v>
      </c>
      <c r="I4223" s="411">
        <v>0</v>
      </c>
      <c r="J4223" s="391">
        <f t="shared" si="854"/>
        <v>-2.0270999999999999</v>
      </c>
      <c r="K4223" s="90">
        <f t="shared" si="851"/>
        <v>88.872900000000001</v>
      </c>
      <c r="L4223" s="187">
        <v>3100</v>
      </c>
      <c r="M4223" s="187">
        <v>24.52</v>
      </c>
      <c r="N4223" s="91">
        <f t="shared" si="852"/>
        <v>80.320000000000007</v>
      </c>
      <c r="O4223" s="411">
        <f t="shared" si="830"/>
        <v>8.552899999999994</v>
      </c>
      <c r="P4223" s="132" t="s">
        <v>183</v>
      </c>
      <c r="Q4223" s="232"/>
      <c r="R4223" s="411"/>
      <c r="T4223" s="134" t="s">
        <v>145</v>
      </c>
      <c r="U4223" s="267" t="s">
        <v>9448</v>
      </c>
      <c r="V4223" s="133" t="s">
        <v>6072</v>
      </c>
      <c r="W4223" s="153" t="s">
        <v>9449</v>
      </c>
      <c r="AA4223" s="218"/>
    </row>
    <row r="4224" spans="1:27" x14ac:dyDescent="0.25">
      <c r="A4224" s="405">
        <v>3003275</v>
      </c>
      <c r="B4224" s="406">
        <v>42571</v>
      </c>
      <c r="C4224" s="405" t="s">
        <v>56</v>
      </c>
      <c r="D4224" s="401" t="s">
        <v>144</v>
      </c>
      <c r="E4224" s="120">
        <v>5000</v>
      </c>
      <c r="F4224" s="133" t="s">
        <v>9450</v>
      </c>
      <c r="G4224" s="404" t="s">
        <v>7486</v>
      </c>
      <c r="H4224" s="411">
        <v>225</v>
      </c>
      <c r="I4224" s="411">
        <v>0</v>
      </c>
      <c r="J4224" s="411">
        <v>0</v>
      </c>
      <c r="K4224" s="90">
        <f t="shared" si="851"/>
        <v>225</v>
      </c>
      <c r="N4224" s="91">
        <f t="shared" si="852"/>
        <v>0</v>
      </c>
      <c r="O4224" s="411">
        <f t="shared" si="830"/>
        <v>225</v>
      </c>
      <c r="P4224" s="132" t="s">
        <v>52</v>
      </c>
      <c r="Q4224" s="232"/>
      <c r="R4224" s="411"/>
      <c r="T4224" s="134"/>
      <c r="U4224" s="266"/>
      <c r="V4224" s="133" t="s">
        <v>9146</v>
      </c>
      <c r="AA4224" s="218"/>
    </row>
    <row r="4225" spans="1:27" x14ac:dyDescent="0.25">
      <c r="A4225" s="405">
        <v>3003276</v>
      </c>
      <c r="B4225" s="406">
        <v>42572</v>
      </c>
      <c r="C4225" s="405" t="s">
        <v>9435</v>
      </c>
      <c r="D4225" s="401" t="s">
        <v>5346</v>
      </c>
      <c r="E4225" s="120">
        <v>600</v>
      </c>
      <c r="F4225" s="133" t="s">
        <v>9451</v>
      </c>
      <c r="G4225" s="404" t="s">
        <v>7486</v>
      </c>
      <c r="H4225" s="411">
        <v>3834</v>
      </c>
      <c r="I4225" s="411">
        <v>0</v>
      </c>
      <c r="J4225" s="391">
        <f>-((H4225*0.022)+0.3)</f>
        <v>-84.647999999999996</v>
      </c>
      <c r="K4225" s="90">
        <f t="shared" si="851"/>
        <v>3749.3519999999999</v>
      </c>
      <c r="L4225" s="187">
        <v>5760</v>
      </c>
      <c r="M4225" s="131">
        <v>0</v>
      </c>
      <c r="N4225" s="91">
        <f t="shared" si="852"/>
        <v>3456</v>
      </c>
      <c r="O4225" s="411">
        <f t="shared" si="830"/>
        <v>293.35199999999986</v>
      </c>
      <c r="P4225" s="132" t="s">
        <v>46</v>
      </c>
      <c r="Q4225" s="232"/>
      <c r="R4225" s="411"/>
      <c r="T4225" s="134" t="s">
        <v>1346</v>
      </c>
      <c r="U4225" s="267" t="s">
        <v>9452</v>
      </c>
      <c r="W4225" s="153" t="s">
        <v>7150</v>
      </c>
      <c r="AA4225" s="218">
        <v>10</v>
      </c>
    </row>
    <row r="4226" spans="1:27" x14ac:dyDescent="0.25">
      <c r="A4226" s="405">
        <v>3003277</v>
      </c>
      <c r="B4226" s="406">
        <v>42572</v>
      </c>
      <c r="C4226" s="405" t="s">
        <v>5682</v>
      </c>
      <c r="D4226" s="401" t="s">
        <v>9453</v>
      </c>
      <c r="E4226" s="120">
        <v>1000</v>
      </c>
      <c r="F4226" s="133" t="s">
        <v>9454</v>
      </c>
      <c r="G4226" s="404" t="s">
        <v>7486</v>
      </c>
      <c r="H4226" s="411">
        <v>1200</v>
      </c>
      <c r="I4226" s="89">
        <f t="shared" ref="I4226:I4229" si="855">-(H4226*0.09)</f>
        <v>-108</v>
      </c>
      <c r="J4226" s="391">
        <f t="shared" ref="J4226:J4229" si="856">-((H4226*0.019)+0.3)</f>
        <v>-23.1</v>
      </c>
      <c r="K4226" s="90">
        <f t="shared" si="851"/>
        <v>1068.9000000000001</v>
      </c>
      <c r="L4226" s="131">
        <v>640</v>
      </c>
      <c r="M4226" s="187">
        <v>150.97999999999999</v>
      </c>
      <c r="N4226" s="91">
        <f t="shared" si="852"/>
        <v>790.98</v>
      </c>
      <c r="O4226" s="411">
        <f t="shared" si="830"/>
        <v>277.92000000000007</v>
      </c>
      <c r="P4226" s="132" t="s">
        <v>52</v>
      </c>
      <c r="Q4226" s="232"/>
      <c r="R4226" s="411"/>
      <c r="T4226" s="134" t="s">
        <v>97</v>
      </c>
      <c r="U4226" s="267" t="s">
        <v>9455</v>
      </c>
      <c r="V4226" s="133" t="s">
        <v>55</v>
      </c>
      <c r="AA4226" s="218"/>
    </row>
    <row r="4227" spans="1:27" ht="24" x14ac:dyDescent="0.25">
      <c r="A4227" s="405">
        <v>3003278</v>
      </c>
      <c r="B4227" s="406">
        <v>42572</v>
      </c>
      <c r="C4227" s="405" t="s">
        <v>5682</v>
      </c>
      <c r="D4227" s="401" t="s">
        <v>9456</v>
      </c>
      <c r="E4227" s="120">
        <v>50</v>
      </c>
      <c r="F4227" s="133" t="s">
        <v>431</v>
      </c>
      <c r="G4227" s="404" t="s">
        <v>7486</v>
      </c>
      <c r="H4227" s="411">
        <v>118.8</v>
      </c>
      <c r="I4227" s="89">
        <f t="shared" si="855"/>
        <v>-10.692</v>
      </c>
      <c r="J4227" s="391">
        <f t="shared" si="856"/>
        <v>-2.5571999999999999</v>
      </c>
      <c r="K4227" s="90">
        <f t="shared" si="851"/>
        <v>105.55080000000001</v>
      </c>
      <c r="L4227" s="131">
        <v>990</v>
      </c>
      <c r="M4227" s="187">
        <f>33.87+5</f>
        <v>38.869999999999997</v>
      </c>
      <c r="N4227" s="91">
        <f t="shared" si="852"/>
        <v>88.37</v>
      </c>
      <c r="O4227" s="411">
        <f t="shared" si="830"/>
        <v>17.180800000000005</v>
      </c>
      <c r="P4227" s="132" t="s">
        <v>52</v>
      </c>
      <c r="Q4227" s="232"/>
      <c r="R4227" s="411"/>
      <c r="T4227" s="134" t="s">
        <v>145</v>
      </c>
      <c r="U4227" s="267" t="s">
        <v>9457</v>
      </c>
      <c r="AA4227" s="218"/>
    </row>
    <row r="4228" spans="1:27" ht="24" x14ac:dyDescent="0.25">
      <c r="A4228" s="405">
        <v>3003279</v>
      </c>
      <c r="B4228" s="406">
        <v>42572</v>
      </c>
      <c r="C4228" s="405" t="s">
        <v>5682</v>
      </c>
      <c r="D4228" s="401" t="s">
        <v>9458</v>
      </c>
      <c r="E4228" s="120">
        <v>50</v>
      </c>
      <c r="F4228" s="133" t="s">
        <v>161</v>
      </c>
      <c r="G4228" s="404" t="s">
        <v>7486</v>
      </c>
      <c r="H4228" s="411">
        <v>122.75</v>
      </c>
      <c r="I4228" s="89">
        <f t="shared" si="855"/>
        <v>-11.047499999999999</v>
      </c>
      <c r="J4228" s="391">
        <f t="shared" si="856"/>
        <v>-2.63225</v>
      </c>
      <c r="K4228" s="90">
        <f t="shared" si="851"/>
        <v>109.07025</v>
      </c>
      <c r="L4228" s="131">
        <v>1322</v>
      </c>
      <c r="M4228" s="187">
        <f>29.29+5</f>
        <v>34.29</v>
      </c>
      <c r="N4228" s="91">
        <f t="shared" si="852"/>
        <v>100.39000000000001</v>
      </c>
      <c r="O4228" s="411">
        <f t="shared" ref="O4228:O4291" si="857">K4228-N4228</f>
        <v>8.6802499999999867</v>
      </c>
      <c r="P4228" s="132" t="s">
        <v>52</v>
      </c>
      <c r="Q4228" s="232"/>
      <c r="R4228" s="411"/>
      <c r="T4228" s="134" t="s">
        <v>145</v>
      </c>
      <c r="U4228" s="267" t="s">
        <v>9459</v>
      </c>
      <c r="AA4228" s="218"/>
    </row>
    <row r="4229" spans="1:27" ht="24" x14ac:dyDescent="0.25">
      <c r="A4229" s="405">
        <v>3003280</v>
      </c>
      <c r="B4229" s="406">
        <v>42572</v>
      </c>
      <c r="C4229" s="405" t="s">
        <v>5682</v>
      </c>
      <c r="D4229" s="401" t="s">
        <v>2866</v>
      </c>
      <c r="E4229" s="120">
        <v>100</v>
      </c>
      <c r="F4229" s="133" t="s">
        <v>288</v>
      </c>
      <c r="G4229" s="404" t="s">
        <v>7486</v>
      </c>
      <c r="H4229" s="411">
        <v>195.25</v>
      </c>
      <c r="I4229" s="89">
        <f t="shared" si="855"/>
        <v>-17.572499999999998</v>
      </c>
      <c r="J4229" s="391">
        <f t="shared" si="856"/>
        <v>-4.0097500000000004</v>
      </c>
      <c r="K4229" s="90">
        <f t="shared" si="851"/>
        <v>173.66775000000001</v>
      </c>
      <c r="L4229" s="131">
        <v>950</v>
      </c>
      <c r="M4229" s="187">
        <v>25.64</v>
      </c>
      <c r="N4229" s="91">
        <f t="shared" si="852"/>
        <v>120.64</v>
      </c>
      <c r="O4229" s="411">
        <f t="shared" si="857"/>
        <v>53.027750000000012</v>
      </c>
      <c r="P4229" s="132" t="s">
        <v>86</v>
      </c>
      <c r="Q4229" s="232"/>
      <c r="R4229" s="411"/>
      <c r="T4229" s="134" t="s">
        <v>145</v>
      </c>
      <c r="U4229" s="267" t="s">
        <v>9460</v>
      </c>
      <c r="AA4229" s="218"/>
    </row>
    <row r="4230" spans="1:27" ht="24" x14ac:dyDescent="0.25">
      <c r="A4230" s="405">
        <v>3003281</v>
      </c>
      <c r="B4230" s="406">
        <v>42572</v>
      </c>
      <c r="C4230" s="405" t="s">
        <v>237</v>
      </c>
      <c r="D4230" s="401" t="s">
        <v>9461</v>
      </c>
      <c r="E4230" s="120">
        <v>100</v>
      </c>
      <c r="F4230" s="133" t="s">
        <v>288</v>
      </c>
      <c r="G4230" s="404" t="s">
        <v>7486</v>
      </c>
      <c r="H4230" s="411">
        <v>190</v>
      </c>
      <c r="I4230" s="397">
        <f t="shared" ref="I4230:I4231" si="858">-(H4230*0.15)</f>
        <v>-28.5</v>
      </c>
      <c r="J4230" s="411">
        <v>0</v>
      </c>
      <c r="K4230" s="90">
        <f t="shared" si="851"/>
        <v>161.5</v>
      </c>
      <c r="L4230" s="131">
        <v>950</v>
      </c>
      <c r="M4230" s="187">
        <v>14.85</v>
      </c>
      <c r="N4230" s="91">
        <f t="shared" si="852"/>
        <v>109.85</v>
      </c>
      <c r="O4230" s="411">
        <f t="shared" si="857"/>
        <v>51.650000000000006</v>
      </c>
      <c r="P4230" s="132" t="s">
        <v>86</v>
      </c>
      <c r="Q4230" s="232"/>
      <c r="R4230" s="411"/>
      <c r="T4230" s="134" t="s">
        <v>145</v>
      </c>
      <c r="U4230" s="267" t="s">
        <v>9462</v>
      </c>
      <c r="AA4230" s="218"/>
    </row>
    <row r="4231" spans="1:27" ht="24" x14ac:dyDescent="0.25">
      <c r="A4231" s="405">
        <v>3003282</v>
      </c>
      <c r="B4231" s="406">
        <v>42572</v>
      </c>
      <c r="C4231" s="405" t="s">
        <v>237</v>
      </c>
      <c r="D4231" s="401" t="s">
        <v>9463</v>
      </c>
      <c r="E4231" s="120">
        <v>100</v>
      </c>
      <c r="F4231" s="133" t="s">
        <v>288</v>
      </c>
      <c r="G4231" s="404" t="s">
        <v>7486</v>
      </c>
      <c r="H4231" s="411">
        <v>190</v>
      </c>
      <c r="I4231" s="397">
        <f t="shared" si="858"/>
        <v>-28.5</v>
      </c>
      <c r="J4231" s="411">
        <v>0</v>
      </c>
      <c r="K4231" s="90">
        <f t="shared" si="851"/>
        <v>161.5</v>
      </c>
      <c r="L4231" s="131">
        <v>950</v>
      </c>
      <c r="M4231" s="187">
        <v>28.52</v>
      </c>
      <c r="N4231" s="91">
        <f t="shared" si="852"/>
        <v>123.52</v>
      </c>
      <c r="O4231" s="411">
        <f t="shared" si="857"/>
        <v>37.980000000000004</v>
      </c>
      <c r="P4231" s="132" t="s">
        <v>86</v>
      </c>
      <c r="Q4231" s="232"/>
      <c r="R4231" s="411"/>
      <c r="T4231" s="134" t="s">
        <v>145</v>
      </c>
      <c r="U4231" s="267" t="s">
        <v>9464</v>
      </c>
      <c r="AA4231" s="218"/>
    </row>
    <row r="4232" spans="1:27" x14ac:dyDescent="0.25">
      <c r="A4232" s="419">
        <v>3003283</v>
      </c>
      <c r="B4232" s="421">
        <v>42572</v>
      </c>
      <c r="C4232" s="419" t="s">
        <v>555</v>
      </c>
      <c r="D4232" s="417" t="s">
        <v>9465</v>
      </c>
      <c r="E4232" s="120">
        <v>3500</v>
      </c>
      <c r="F4232" s="133" t="s">
        <v>9466</v>
      </c>
      <c r="G4232" s="434" t="s">
        <v>7486</v>
      </c>
      <c r="H4232" s="427">
        <v>8630</v>
      </c>
      <c r="I4232" s="427">
        <v>0</v>
      </c>
      <c r="J4232" s="427">
        <v>0</v>
      </c>
      <c r="K4232" s="425">
        <f t="shared" si="851"/>
        <v>8630</v>
      </c>
      <c r="L4232" s="187">
        <v>42.74</v>
      </c>
      <c r="M4232" s="468">
        <v>272.06</v>
      </c>
      <c r="N4232" s="91">
        <f t="shared" si="852"/>
        <v>421.65</v>
      </c>
      <c r="O4232" s="411">
        <f t="shared" si="857"/>
        <v>8208.35</v>
      </c>
      <c r="P4232" s="132" t="s">
        <v>4651</v>
      </c>
      <c r="Q4232" s="232"/>
      <c r="R4232" s="411"/>
      <c r="T4232" s="439" t="s">
        <v>1411</v>
      </c>
      <c r="U4232" s="446" t="s">
        <v>9467</v>
      </c>
      <c r="W4232" s="153" t="s">
        <v>9468</v>
      </c>
      <c r="AA4232" s="218"/>
    </row>
    <row r="4233" spans="1:27" x14ac:dyDescent="0.25">
      <c r="A4233" s="432"/>
      <c r="B4233" s="433"/>
      <c r="C4233" s="432"/>
      <c r="D4233" s="454"/>
      <c r="E4233" s="120">
        <v>7000</v>
      </c>
      <c r="F4233" s="133" t="s">
        <v>9469</v>
      </c>
      <c r="G4233" s="435"/>
      <c r="H4233" s="438"/>
      <c r="I4233" s="438"/>
      <c r="J4233" s="438"/>
      <c r="K4233" s="437"/>
      <c r="L4233" s="187">
        <v>65.75</v>
      </c>
      <c r="M4233" s="491"/>
      <c r="N4233" s="91">
        <f t="shared" si="852"/>
        <v>460.25</v>
      </c>
      <c r="O4233" s="411">
        <f t="shared" si="857"/>
        <v>-460.25</v>
      </c>
      <c r="P4233" s="132" t="s">
        <v>4651</v>
      </c>
      <c r="Q4233" s="232"/>
      <c r="R4233" s="411"/>
      <c r="T4233" s="440"/>
      <c r="U4233" s="448"/>
      <c r="AA4233" s="218"/>
    </row>
    <row r="4234" spans="1:27" x14ac:dyDescent="0.25">
      <c r="A4234" s="432"/>
      <c r="B4234" s="433"/>
      <c r="C4234" s="432"/>
      <c r="D4234" s="454"/>
      <c r="E4234" s="120">
        <v>7000</v>
      </c>
      <c r="F4234" s="133" t="s">
        <v>9470</v>
      </c>
      <c r="G4234" s="435"/>
      <c r="H4234" s="438"/>
      <c r="I4234" s="438"/>
      <c r="J4234" s="438"/>
      <c r="K4234" s="437"/>
      <c r="L4234" s="187">
        <v>65.75</v>
      </c>
      <c r="M4234" s="469"/>
      <c r="N4234" s="91">
        <f t="shared" si="852"/>
        <v>460.25</v>
      </c>
      <c r="O4234" s="411">
        <f t="shared" si="857"/>
        <v>-460.25</v>
      </c>
      <c r="P4234" s="132" t="s">
        <v>4651</v>
      </c>
      <c r="Q4234" s="232"/>
      <c r="R4234" s="411"/>
      <c r="T4234" s="441"/>
      <c r="U4234" s="447"/>
      <c r="AA4234" s="218"/>
    </row>
    <row r="4235" spans="1:27" x14ac:dyDescent="0.25">
      <c r="A4235" s="432"/>
      <c r="B4235" s="433"/>
      <c r="C4235" s="432"/>
      <c r="D4235" s="454"/>
      <c r="E4235" s="120">
        <v>4101</v>
      </c>
      <c r="F4235" s="133" t="s">
        <v>1293</v>
      </c>
      <c r="G4235" s="435"/>
      <c r="H4235" s="438"/>
      <c r="I4235" s="438"/>
      <c r="J4235" s="438"/>
      <c r="K4235" s="437"/>
      <c r="L4235" s="187">
        <v>513</v>
      </c>
      <c r="M4235" s="131">
        <v>10</v>
      </c>
      <c r="N4235" s="91">
        <f t="shared" si="852"/>
        <v>2113.8130000000001</v>
      </c>
      <c r="O4235" s="411">
        <f t="shared" si="857"/>
        <v>-2113.8130000000001</v>
      </c>
      <c r="P4235" s="132" t="s">
        <v>46</v>
      </c>
      <c r="Q4235" s="232"/>
      <c r="R4235" s="411"/>
      <c r="T4235" s="134" t="s">
        <v>2652</v>
      </c>
      <c r="U4235" s="267" t="s">
        <v>9471</v>
      </c>
      <c r="V4235" s="133" t="s">
        <v>9472</v>
      </c>
      <c r="AA4235" s="218"/>
    </row>
    <row r="4236" spans="1:27" x14ac:dyDescent="0.25">
      <c r="A4236" s="432"/>
      <c r="B4236" s="433"/>
      <c r="C4236" s="432"/>
      <c r="D4236" s="454"/>
      <c r="E4236" s="120">
        <v>7000</v>
      </c>
      <c r="F4236" s="133" t="s">
        <v>6943</v>
      </c>
      <c r="G4236" s="435"/>
      <c r="H4236" s="438"/>
      <c r="I4236" s="438"/>
      <c r="J4236" s="438"/>
      <c r="K4236" s="437"/>
      <c r="L4236" s="187">
        <v>103.78</v>
      </c>
      <c r="M4236" s="450"/>
      <c r="N4236" s="91">
        <f t="shared" si="852"/>
        <v>726.46</v>
      </c>
      <c r="O4236" s="411">
        <f t="shared" si="857"/>
        <v>-726.46</v>
      </c>
      <c r="P4236" s="132" t="s">
        <v>4651</v>
      </c>
      <c r="Q4236" s="232"/>
      <c r="R4236" s="411"/>
      <c r="T4236" s="439" t="s">
        <v>1411</v>
      </c>
      <c r="U4236" s="446" t="s">
        <v>9467</v>
      </c>
      <c r="AA4236" s="218"/>
    </row>
    <row r="4237" spans="1:27" x14ac:dyDescent="0.25">
      <c r="A4237" s="420"/>
      <c r="B4237" s="422"/>
      <c r="C4237" s="420"/>
      <c r="D4237" s="418"/>
      <c r="E4237" s="120">
        <v>3281</v>
      </c>
      <c r="F4237" s="133" t="s">
        <v>9473</v>
      </c>
      <c r="G4237" s="436"/>
      <c r="H4237" s="428"/>
      <c r="I4237" s="428"/>
      <c r="J4237" s="428"/>
      <c r="K4237" s="426"/>
      <c r="L4237" s="187">
        <v>414.64</v>
      </c>
      <c r="M4237" s="451"/>
      <c r="N4237" s="91">
        <f t="shared" si="852"/>
        <v>1360.4338399999999</v>
      </c>
      <c r="O4237" s="411">
        <f t="shared" si="857"/>
        <v>-1360.4338399999999</v>
      </c>
      <c r="P4237" s="132" t="s">
        <v>4651</v>
      </c>
      <c r="Q4237" s="232"/>
      <c r="R4237" s="411"/>
      <c r="T4237" s="441"/>
      <c r="U4237" s="447"/>
      <c r="AA4237" s="218"/>
    </row>
    <row r="4238" spans="1:27" ht="24" x14ac:dyDescent="0.25">
      <c r="A4238" s="405">
        <v>3003284</v>
      </c>
      <c r="B4238" s="406">
        <v>42572</v>
      </c>
      <c r="C4238" s="405" t="s">
        <v>5682</v>
      </c>
      <c r="D4238" s="401" t="s">
        <v>9474</v>
      </c>
      <c r="E4238" s="120">
        <v>100</v>
      </c>
      <c r="F4238" s="133" t="s">
        <v>7799</v>
      </c>
      <c r="G4238" s="404" t="s">
        <v>7486</v>
      </c>
      <c r="H4238" s="411">
        <v>308.75</v>
      </c>
      <c r="I4238" s="89">
        <f t="shared" ref="I4238:I4240" si="859">-(H4238*0.09)</f>
        <v>-27.787499999999998</v>
      </c>
      <c r="J4238" s="391">
        <f t="shared" ref="J4238:J4240" si="860">-((H4238*0.019)+0.3)</f>
        <v>-6.1662499999999998</v>
      </c>
      <c r="K4238" s="90">
        <f t="shared" ref="K4238:K4341" si="861">SUM(H4238:J4238)</f>
        <v>274.79624999999999</v>
      </c>
      <c r="L4238" s="187">
        <v>2030</v>
      </c>
      <c r="M4238" s="187">
        <v>32.590000000000003</v>
      </c>
      <c r="N4238" s="91">
        <f t="shared" si="852"/>
        <v>235.59</v>
      </c>
      <c r="O4238" s="411">
        <f t="shared" si="857"/>
        <v>39.206249999999983</v>
      </c>
      <c r="P4238" s="132" t="s">
        <v>183</v>
      </c>
      <c r="Q4238" s="232"/>
      <c r="R4238" s="411"/>
      <c r="T4238" s="134" t="s">
        <v>145</v>
      </c>
      <c r="U4238" s="267" t="s">
        <v>9475</v>
      </c>
      <c r="V4238" s="133" t="s">
        <v>6072</v>
      </c>
      <c r="AA4238" s="218"/>
    </row>
    <row r="4239" spans="1:27" ht="24" x14ac:dyDescent="0.25">
      <c r="A4239" s="405">
        <v>3003285</v>
      </c>
      <c r="B4239" s="406">
        <v>42572</v>
      </c>
      <c r="C4239" s="405" t="s">
        <v>5682</v>
      </c>
      <c r="D4239" s="401" t="s">
        <v>9476</v>
      </c>
      <c r="E4239" s="120">
        <v>2000</v>
      </c>
      <c r="F4239" s="133" t="s">
        <v>9477</v>
      </c>
      <c r="G4239" s="404" t="s">
        <v>7486</v>
      </c>
      <c r="H4239" s="411">
        <v>551</v>
      </c>
      <c r="I4239" s="89">
        <f t="shared" si="859"/>
        <v>-49.589999999999996</v>
      </c>
      <c r="J4239" s="391">
        <f t="shared" si="860"/>
        <v>-10.769</v>
      </c>
      <c r="K4239" s="90">
        <f t="shared" si="861"/>
        <v>490.64100000000002</v>
      </c>
      <c r="L4239" s="187">
        <v>150</v>
      </c>
      <c r="M4239" s="187">
        <f>31.33+30.71</f>
        <v>62.04</v>
      </c>
      <c r="N4239" s="91">
        <f t="shared" si="852"/>
        <v>362.04</v>
      </c>
      <c r="O4239" s="411">
        <f t="shared" si="857"/>
        <v>128.601</v>
      </c>
      <c r="P4239" s="132" t="s">
        <v>235</v>
      </c>
      <c r="Q4239" s="232"/>
      <c r="R4239" s="411"/>
      <c r="T4239" s="134" t="s">
        <v>145</v>
      </c>
      <c r="U4239" s="266" t="s">
        <v>9478</v>
      </c>
      <c r="AA4239" s="218"/>
    </row>
    <row r="4240" spans="1:27" ht="24" x14ac:dyDescent="0.25">
      <c r="A4240" s="405">
        <v>3003286</v>
      </c>
      <c r="B4240" s="406">
        <v>42572</v>
      </c>
      <c r="C4240" s="405" t="s">
        <v>5682</v>
      </c>
      <c r="D4240" s="401" t="s">
        <v>9479</v>
      </c>
      <c r="E4240" s="120">
        <v>100</v>
      </c>
      <c r="F4240" s="133" t="s">
        <v>161</v>
      </c>
      <c r="G4240" s="404" t="s">
        <v>7486</v>
      </c>
      <c r="H4240" s="411">
        <v>230</v>
      </c>
      <c r="I4240" s="89">
        <f t="shared" si="859"/>
        <v>-20.7</v>
      </c>
      <c r="J4240" s="391">
        <f t="shared" si="860"/>
        <v>-4.67</v>
      </c>
      <c r="K4240" s="90">
        <f t="shared" si="861"/>
        <v>204.63000000000002</v>
      </c>
      <c r="L4240" s="131">
        <v>1322</v>
      </c>
      <c r="M4240" s="187">
        <f>45.57+114.13</f>
        <v>159.69999999999999</v>
      </c>
      <c r="N4240" s="91">
        <f t="shared" si="852"/>
        <v>291.89999999999998</v>
      </c>
      <c r="O4240" s="411">
        <f t="shared" si="857"/>
        <v>-87.269999999999953</v>
      </c>
      <c r="P4240" s="132" t="s">
        <v>86</v>
      </c>
      <c r="Q4240" s="232"/>
      <c r="R4240" s="411"/>
      <c r="T4240" s="134" t="s">
        <v>145</v>
      </c>
      <c r="U4240" s="267" t="s">
        <v>9480</v>
      </c>
      <c r="AA4240" s="218"/>
    </row>
    <row r="4241" spans="1:27" ht="24" x14ac:dyDescent="0.25">
      <c r="A4241" s="405">
        <v>3003287</v>
      </c>
      <c r="B4241" s="406">
        <v>42572</v>
      </c>
      <c r="C4241" s="405" t="s">
        <v>9435</v>
      </c>
      <c r="D4241" s="401" t="s">
        <v>9481</v>
      </c>
      <c r="E4241" s="120">
        <v>146</v>
      </c>
      <c r="F4241" s="133" t="s">
        <v>117</v>
      </c>
      <c r="G4241" s="404" t="s">
        <v>7486</v>
      </c>
      <c r="H4241" s="411">
        <v>330</v>
      </c>
      <c r="I4241" s="411">
        <v>0</v>
      </c>
      <c r="J4241" s="391">
        <f>-((H4241*0.022)+0.3)</f>
        <v>-7.56</v>
      </c>
      <c r="K4241" s="90">
        <f t="shared" si="861"/>
        <v>322.44</v>
      </c>
      <c r="L4241" s="187">
        <v>1378</v>
      </c>
      <c r="M4241" s="187">
        <v>56.44</v>
      </c>
      <c r="N4241" s="91">
        <f t="shared" si="852"/>
        <v>257.62799999999999</v>
      </c>
      <c r="O4241" s="411">
        <f t="shared" si="857"/>
        <v>64.812000000000012</v>
      </c>
      <c r="P4241" s="132" t="s">
        <v>313</v>
      </c>
      <c r="Q4241" s="232"/>
      <c r="R4241" s="411"/>
      <c r="T4241" s="134" t="s">
        <v>145</v>
      </c>
      <c r="U4241" s="267" t="s">
        <v>9482</v>
      </c>
      <c r="W4241" s="153" t="s">
        <v>2730</v>
      </c>
      <c r="AA4241" s="218"/>
    </row>
    <row r="4242" spans="1:27" x14ac:dyDescent="0.25">
      <c r="A4242" s="405">
        <v>3003288</v>
      </c>
      <c r="B4242" s="406">
        <v>42572</v>
      </c>
      <c r="C4242" s="405" t="s">
        <v>56</v>
      </c>
      <c r="D4242" s="401" t="s">
        <v>9483</v>
      </c>
      <c r="E4242" s="120">
        <v>1000</v>
      </c>
      <c r="F4242" s="133" t="s">
        <v>307</v>
      </c>
      <c r="G4242" s="404" t="s">
        <v>7486</v>
      </c>
      <c r="H4242" s="411">
        <v>1200</v>
      </c>
      <c r="I4242" s="411">
        <v>0</v>
      </c>
      <c r="J4242" s="391">
        <v>0</v>
      </c>
      <c r="K4242" s="90">
        <f t="shared" si="861"/>
        <v>1200</v>
      </c>
      <c r="L4242" s="131">
        <v>640</v>
      </c>
      <c r="M4242" s="187">
        <v>125</v>
      </c>
      <c r="N4242" s="91">
        <f t="shared" si="852"/>
        <v>765</v>
      </c>
      <c r="O4242" s="411">
        <f t="shared" si="857"/>
        <v>435</v>
      </c>
      <c r="P4242" s="132" t="s">
        <v>52</v>
      </c>
      <c r="Q4242" s="232"/>
      <c r="R4242" s="411"/>
      <c r="T4242" s="134" t="s">
        <v>270</v>
      </c>
      <c r="U4242" s="267" t="s">
        <v>9484</v>
      </c>
      <c r="V4242" s="133" t="s">
        <v>9485</v>
      </c>
      <c r="AA4242" s="218"/>
    </row>
    <row r="4243" spans="1:27" ht="24" customHeight="1" x14ac:dyDescent="0.25">
      <c r="A4243" s="419">
        <v>3003289</v>
      </c>
      <c r="B4243" s="421">
        <v>42573</v>
      </c>
      <c r="C4243" s="419" t="s">
        <v>141</v>
      </c>
      <c r="D4243" s="417" t="s">
        <v>9486</v>
      </c>
      <c r="E4243" s="120">
        <v>500</v>
      </c>
      <c r="F4243" s="133" t="s">
        <v>451</v>
      </c>
      <c r="G4243" s="434" t="s">
        <v>7486</v>
      </c>
      <c r="H4243" s="427">
        <v>670</v>
      </c>
      <c r="I4243" s="427">
        <v>0</v>
      </c>
      <c r="J4243" s="498">
        <f>-((H4243*0.0325)+0.3)</f>
        <v>-22.075000000000003</v>
      </c>
      <c r="K4243" s="425">
        <f t="shared" si="861"/>
        <v>647.92499999999995</v>
      </c>
      <c r="L4243" s="131">
        <v>300</v>
      </c>
      <c r="M4243" s="187">
        <f>34.22+5</f>
        <v>39.22</v>
      </c>
      <c r="N4243" s="91">
        <f t="shared" si="852"/>
        <v>189.22</v>
      </c>
      <c r="O4243" s="411">
        <f t="shared" si="857"/>
        <v>458.70499999999993</v>
      </c>
      <c r="P4243" s="132" t="s">
        <v>52</v>
      </c>
      <c r="Q4243" s="232"/>
      <c r="R4243" s="411"/>
      <c r="T4243" s="439" t="s">
        <v>145</v>
      </c>
      <c r="U4243" s="267" t="s">
        <v>9487</v>
      </c>
      <c r="W4243" s="153" t="s">
        <v>9488</v>
      </c>
      <c r="AA4243" s="218"/>
    </row>
    <row r="4244" spans="1:27" x14ac:dyDescent="0.25">
      <c r="A4244" s="420"/>
      <c r="B4244" s="422"/>
      <c r="C4244" s="420"/>
      <c r="D4244" s="418"/>
      <c r="E4244" s="120">
        <v>500</v>
      </c>
      <c r="F4244" s="133" t="s">
        <v>1707</v>
      </c>
      <c r="G4244" s="436"/>
      <c r="H4244" s="428"/>
      <c r="I4244" s="428"/>
      <c r="J4244" s="499"/>
      <c r="K4244" s="426"/>
      <c r="L4244" s="131">
        <v>400</v>
      </c>
      <c r="M4244" s="187">
        <v>38.090000000000003</v>
      </c>
      <c r="N4244" s="91">
        <f t="shared" si="852"/>
        <v>238.09</v>
      </c>
      <c r="O4244" s="411">
        <f t="shared" si="857"/>
        <v>-238.09</v>
      </c>
      <c r="P4244" s="132" t="s">
        <v>52</v>
      </c>
      <c r="Q4244" s="232"/>
      <c r="R4244" s="411"/>
      <c r="T4244" s="441"/>
      <c r="U4244" s="267" t="s">
        <v>9489</v>
      </c>
      <c r="AA4244" s="218"/>
    </row>
    <row r="4245" spans="1:27" x14ac:dyDescent="0.25">
      <c r="A4245" s="405">
        <v>3003290</v>
      </c>
      <c r="B4245" s="406">
        <v>42573</v>
      </c>
      <c r="C4245" s="405" t="s">
        <v>56</v>
      </c>
      <c r="D4245" s="401" t="s">
        <v>9490</v>
      </c>
      <c r="E4245" s="120">
        <v>997</v>
      </c>
      <c r="F4245" s="133" t="s">
        <v>9491</v>
      </c>
      <c r="G4245" s="404" t="s">
        <v>7486</v>
      </c>
      <c r="H4245" s="411">
        <v>1150.1600000000001</v>
      </c>
      <c r="I4245" s="411">
        <v>0</v>
      </c>
      <c r="J4245" s="411">
        <v>0</v>
      </c>
      <c r="K4245" s="90">
        <f t="shared" si="861"/>
        <v>1150.1600000000001</v>
      </c>
      <c r="L4245" s="187">
        <v>476</v>
      </c>
      <c r="M4245" s="187">
        <v>147.94999999999999</v>
      </c>
      <c r="N4245" s="91">
        <f t="shared" si="852"/>
        <v>622.52199999999993</v>
      </c>
      <c r="O4245" s="411">
        <f t="shared" si="857"/>
        <v>527.63800000000015</v>
      </c>
      <c r="P4245" s="132" t="s">
        <v>330</v>
      </c>
      <c r="Q4245" s="232"/>
      <c r="R4245" s="411"/>
      <c r="T4245" s="134" t="s">
        <v>9492</v>
      </c>
      <c r="U4245" s="266"/>
      <c r="V4245" s="133" t="s">
        <v>9493</v>
      </c>
      <c r="AA4245" s="218"/>
    </row>
    <row r="4246" spans="1:27" x14ac:dyDescent="0.25">
      <c r="A4246" s="405">
        <v>3003291</v>
      </c>
      <c r="B4246" s="406">
        <v>42573</v>
      </c>
      <c r="C4246" s="405" t="s">
        <v>141</v>
      </c>
      <c r="D4246" s="401" t="s">
        <v>3404</v>
      </c>
      <c r="E4246" s="120">
        <v>75</v>
      </c>
      <c r="F4246" s="133" t="s">
        <v>9494</v>
      </c>
      <c r="G4246" s="404" t="s">
        <v>7486</v>
      </c>
      <c r="H4246" s="411">
        <v>3375</v>
      </c>
      <c r="I4246" s="411">
        <v>0</v>
      </c>
      <c r="J4246" s="391">
        <f>-((H4246*0.0325)+0.3)</f>
        <v>-109.9875</v>
      </c>
      <c r="K4246" s="90">
        <f t="shared" si="861"/>
        <v>3265.0124999999998</v>
      </c>
      <c r="L4246" s="187">
        <v>29000</v>
      </c>
      <c r="M4246" s="187">
        <v>222.28</v>
      </c>
      <c r="N4246" s="91">
        <f t="shared" si="852"/>
        <v>2397.2800000000002</v>
      </c>
      <c r="O4246" s="411">
        <f t="shared" si="857"/>
        <v>867.73249999999962</v>
      </c>
      <c r="P4246" s="132" t="s">
        <v>2895</v>
      </c>
      <c r="Q4246" s="232"/>
      <c r="R4246" s="411"/>
      <c r="T4246" s="134" t="s">
        <v>89</v>
      </c>
      <c r="U4246" s="267" t="s">
        <v>9495</v>
      </c>
      <c r="V4246" s="133" t="s">
        <v>55</v>
      </c>
      <c r="W4246" s="153" t="s">
        <v>3407</v>
      </c>
      <c r="AA4246" s="218">
        <v>25</v>
      </c>
    </row>
    <row r="4247" spans="1:27" x14ac:dyDescent="0.25">
      <c r="A4247" s="419">
        <v>3003292</v>
      </c>
      <c r="B4247" s="421">
        <v>42573</v>
      </c>
      <c r="C4247" s="419" t="s">
        <v>78</v>
      </c>
      <c r="D4247" s="417" t="s">
        <v>269</v>
      </c>
      <c r="E4247" s="120">
        <v>250</v>
      </c>
      <c r="F4247" s="133" t="s">
        <v>1270</v>
      </c>
      <c r="G4247" s="434" t="s">
        <v>7486</v>
      </c>
      <c r="H4247" s="427">
        <v>990</v>
      </c>
      <c r="I4247" s="427">
        <v>0</v>
      </c>
      <c r="J4247" s="425">
        <f t="shared" ref="J4247" si="862">-((H4247*0.019)+0.3)</f>
        <v>-19.11</v>
      </c>
      <c r="K4247" s="425">
        <f>SUM(H4247:J4247)</f>
        <v>970.89</v>
      </c>
      <c r="L4247" s="131">
        <v>1241.08</v>
      </c>
      <c r="M4247" s="187">
        <v>124.99</v>
      </c>
      <c r="N4247" s="91">
        <f t="shared" si="852"/>
        <v>435.26</v>
      </c>
      <c r="O4247" s="411">
        <f t="shared" si="857"/>
        <v>535.63</v>
      </c>
      <c r="P4247" s="132" t="s">
        <v>52</v>
      </c>
      <c r="Q4247" s="232"/>
      <c r="R4247" s="411"/>
      <c r="T4247" s="439" t="s">
        <v>463</v>
      </c>
      <c r="U4247" s="446" t="s">
        <v>9496</v>
      </c>
      <c r="W4247" s="153" t="s">
        <v>271</v>
      </c>
      <c r="AA4247" s="218"/>
    </row>
    <row r="4248" spans="1:27" x14ac:dyDescent="0.25">
      <c r="A4248" s="420"/>
      <c r="B4248" s="422"/>
      <c r="C4248" s="420"/>
      <c r="D4248" s="418"/>
      <c r="E4248" s="120">
        <v>1000</v>
      </c>
      <c r="F4248" s="133" t="s">
        <v>9497</v>
      </c>
      <c r="G4248" s="436"/>
      <c r="H4248" s="428"/>
      <c r="I4248" s="428"/>
      <c r="J4248" s="426"/>
      <c r="K4248" s="426"/>
      <c r="M4248" s="187"/>
      <c r="N4248" s="91">
        <f t="shared" si="852"/>
        <v>0</v>
      </c>
      <c r="O4248" s="411">
        <f t="shared" si="857"/>
        <v>0</v>
      </c>
      <c r="P4248" s="132" t="s">
        <v>52</v>
      </c>
      <c r="Q4248" s="232"/>
      <c r="R4248" s="411"/>
      <c r="T4248" s="441"/>
      <c r="U4248" s="447"/>
      <c r="AA4248" s="218"/>
    </row>
    <row r="4249" spans="1:27" ht="24" x14ac:dyDescent="0.25">
      <c r="A4249" s="405">
        <v>3003293</v>
      </c>
      <c r="B4249" s="406">
        <v>42573</v>
      </c>
      <c r="C4249" s="405" t="s">
        <v>9435</v>
      </c>
      <c r="D4249" s="401" t="s">
        <v>9218</v>
      </c>
      <c r="E4249" s="120">
        <v>250</v>
      </c>
      <c r="F4249" s="133" t="s">
        <v>288</v>
      </c>
      <c r="G4249" s="404" t="s">
        <v>7486</v>
      </c>
      <c r="H4249" s="411">
        <v>475</v>
      </c>
      <c r="I4249" s="411">
        <v>0</v>
      </c>
      <c r="J4249" s="391">
        <f>-((H4249*0.022)+0.3)</f>
        <v>-10.75</v>
      </c>
      <c r="K4249" s="90">
        <f t="shared" si="861"/>
        <v>464.25</v>
      </c>
      <c r="L4249" s="131">
        <v>950</v>
      </c>
      <c r="M4249" s="187">
        <f>47.82+5</f>
        <v>52.82</v>
      </c>
      <c r="N4249" s="91">
        <f t="shared" si="852"/>
        <v>290.32</v>
      </c>
      <c r="O4249" s="411">
        <f t="shared" si="857"/>
        <v>173.93</v>
      </c>
      <c r="P4249" s="132" t="s">
        <v>52</v>
      </c>
      <c r="Q4249" s="232"/>
      <c r="R4249" s="411"/>
      <c r="T4249" s="134" t="s">
        <v>145</v>
      </c>
      <c r="U4249" s="267" t="s">
        <v>9498</v>
      </c>
      <c r="W4249" s="153" t="s">
        <v>9220</v>
      </c>
      <c r="AA4249" s="218"/>
    </row>
    <row r="4250" spans="1:27" x14ac:dyDescent="0.25">
      <c r="A4250" s="419">
        <v>3003294</v>
      </c>
      <c r="B4250" s="421">
        <v>42573</v>
      </c>
      <c r="C4250" s="419" t="s">
        <v>9435</v>
      </c>
      <c r="D4250" s="417" t="s">
        <v>9499</v>
      </c>
      <c r="E4250" s="120">
        <v>750</v>
      </c>
      <c r="F4250" s="133" t="s">
        <v>9500</v>
      </c>
      <c r="G4250" s="434" t="s">
        <v>7486</v>
      </c>
      <c r="H4250" s="427">
        <v>2250</v>
      </c>
      <c r="I4250" s="427">
        <v>0</v>
      </c>
      <c r="J4250" s="425">
        <f>-((H4250*0.022)+0.3)</f>
        <v>-49.8</v>
      </c>
      <c r="K4250" s="425">
        <f t="shared" si="861"/>
        <v>2200.1999999999998</v>
      </c>
      <c r="L4250" s="187">
        <v>1100</v>
      </c>
      <c r="M4250" s="131">
        <v>0</v>
      </c>
      <c r="N4250" s="91">
        <f t="shared" si="852"/>
        <v>825</v>
      </c>
      <c r="O4250" s="411">
        <f t="shared" si="857"/>
        <v>1375.1999999999998</v>
      </c>
      <c r="P4250" s="132" t="s">
        <v>601</v>
      </c>
      <c r="Q4250" s="232"/>
      <c r="R4250" s="411"/>
      <c r="T4250" s="439" t="s">
        <v>473</v>
      </c>
      <c r="U4250" s="446" t="s">
        <v>9501</v>
      </c>
      <c r="AA4250" s="218"/>
    </row>
    <row r="4251" spans="1:27" x14ac:dyDescent="0.25">
      <c r="A4251" s="420"/>
      <c r="B4251" s="422"/>
      <c r="C4251" s="420"/>
      <c r="D4251" s="418"/>
      <c r="E4251" s="120">
        <v>500</v>
      </c>
      <c r="F4251" s="133" t="s">
        <v>9502</v>
      </c>
      <c r="G4251" s="436"/>
      <c r="H4251" s="428"/>
      <c r="I4251" s="428"/>
      <c r="J4251" s="426"/>
      <c r="K4251" s="426"/>
      <c r="L4251" s="187">
        <v>1330</v>
      </c>
      <c r="M4251" s="131">
        <v>0</v>
      </c>
      <c r="N4251" s="91">
        <f t="shared" si="852"/>
        <v>665</v>
      </c>
      <c r="O4251" s="411">
        <f t="shared" si="857"/>
        <v>-665</v>
      </c>
      <c r="P4251" s="132" t="s">
        <v>601</v>
      </c>
      <c r="Q4251" s="232"/>
      <c r="R4251" s="411"/>
      <c r="T4251" s="441"/>
      <c r="U4251" s="447"/>
      <c r="AA4251" s="218"/>
    </row>
    <row r="4252" spans="1:27" ht="24" x14ac:dyDescent="0.25">
      <c r="A4252" s="405">
        <v>3003295</v>
      </c>
      <c r="B4252" s="406">
        <v>42573</v>
      </c>
      <c r="C4252" s="405" t="s">
        <v>237</v>
      </c>
      <c r="D4252" s="401" t="s">
        <v>9503</v>
      </c>
      <c r="E4252" s="120">
        <v>500</v>
      </c>
      <c r="F4252" s="133" t="s">
        <v>451</v>
      </c>
      <c r="G4252" s="404" t="s">
        <v>7486</v>
      </c>
      <c r="H4252" s="411">
        <v>300.70999999999998</v>
      </c>
      <c r="I4252" s="397">
        <f t="shared" ref="I4252:I4254" si="863">-(H4252*0.15)</f>
        <v>-45.106499999999997</v>
      </c>
      <c r="J4252" s="411">
        <v>0</v>
      </c>
      <c r="K4252" s="90">
        <f t="shared" si="861"/>
        <v>255.6035</v>
      </c>
      <c r="L4252" s="131">
        <v>300</v>
      </c>
      <c r="M4252" s="187">
        <f>45.17+5</f>
        <v>50.17</v>
      </c>
      <c r="N4252" s="91">
        <f t="shared" si="852"/>
        <v>200.17000000000002</v>
      </c>
      <c r="O4252" s="411">
        <f t="shared" si="857"/>
        <v>55.433499999999981</v>
      </c>
      <c r="P4252" s="132" t="s">
        <v>52</v>
      </c>
      <c r="Q4252" s="232"/>
      <c r="R4252" s="411"/>
      <c r="T4252" s="134" t="s">
        <v>145</v>
      </c>
      <c r="U4252" s="267" t="s">
        <v>9504</v>
      </c>
      <c r="AA4252" s="218"/>
    </row>
    <row r="4253" spans="1:27" ht="24" x14ac:dyDescent="0.25">
      <c r="A4253" s="405">
        <v>3003296</v>
      </c>
      <c r="B4253" s="406">
        <v>42573</v>
      </c>
      <c r="C4253" s="405" t="s">
        <v>237</v>
      </c>
      <c r="D4253" s="401" t="s">
        <v>9505</v>
      </c>
      <c r="E4253" s="120">
        <v>100</v>
      </c>
      <c r="F4253" s="133" t="s">
        <v>3719</v>
      </c>
      <c r="G4253" s="404" t="s">
        <v>7486</v>
      </c>
      <c r="H4253" s="411">
        <v>178.36</v>
      </c>
      <c r="I4253" s="397">
        <f t="shared" si="863"/>
        <v>-26.754000000000001</v>
      </c>
      <c r="J4253" s="411">
        <v>0</v>
      </c>
      <c r="K4253" s="90">
        <f t="shared" si="861"/>
        <v>151.60600000000002</v>
      </c>
      <c r="L4253" s="187">
        <v>1180</v>
      </c>
      <c r="M4253" s="187">
        <v>31.33</v>
      </c>
      <c r="N4253" s="91">
        <f t="shared" si="852"/>
        <v>149.32999999999998</v>
      </c>
      <c r="O4253" s="411">
        <f t="shared" si="857"/>
        <v>2.2760000000000389</v>
      </c>
      <c r="P4253" s="132" t="s">
        <v>926</v>
      </c>
      <c r="Q4253" s="232"/>
      <c r="R4253" s="411"/>
      <c r="T4253" s="134" t="s">
        <v>145</v>
      </c>
      <c r="U4253" s="267" t="s">
        <v>9506</v>
      </c>
      <c r="AA4253" s="218"/>
    </row>
    <row r="4254" spans="1:27" ht="36" x14ac:dyDescent="0.25">
      <c r="A4254" s="405">
        <v>3003297</v>
      </c>
      <c r="B4254" s="406">
        <v>42573</v>
      </c>
      <c r="C4254" s="405" t="s">
        <v>237</v>
      </c>
      <c r="D4254" s="401" t="s">
        <v>9507</v>
      </c>
      <c r="E4254" s="120">
        <v>500</v>
      </c>
      <c r="F4254" s="119" t="s">
        <v>9508</v>
      </c>
      <c r="G4254" s="404" t="s">
        <v>7486</v>
      </c>
      <c r="H4254" s="411">
        <v>147.22</v>
      </c>
      <c r="I4254" s="397">
        <f t="shared" si="863"/>
        <v>-22.082999999999998</v>
      </c>
      <c r="J4254" s="411">
        <v>0</v>
      </c>
      <c r="K4254" s="90">
        <f t="shared" si="861"/>
        <v>125.137</v>
      </c>
      <c r="L4254" s="187">
        <v>220</v>
      </c>
      <c r="N4254" s="91">
        <f t="shared" si="852"/>
        <v>110</v>
      </c>
      <c r="O4254" s="411">
        <f t="shared" si="857"/>
        <v>15.137</v>
      </c>
      <c r="P4254" s="132" t="s">
        <v>1732</v>
      </c>
      <c r="Q4254" s="232"/>
      <c r="R4254" s="411"/>
      <c r="T4254" s="134" t="s">
        <v>145</v>
      </c>
      <c r="U4254" s="267" t="s">
        <v>9509</v>
      </c>
      <c r="AA4254" s="218"/>
    </row>
    <row r="4255" spans="1:27" x14ac:dyDescent="0.25">
      <c r="A4255" s="405">
        <v>3003298</v>
      </c>
      <c r="B4255" s="406">
        <v>42573</v>
      </c>
      <c r="C4255" s="405" t="s">
        <v>5682</v>
      </c>
      <c r="D4255" s="401" t="s">
        <v>9510</v>
      </c>
      <c r="E4255" s="120">
        <v>350</v>
      </c>
      <c r="F4255" s="133" t="s">
        <v>70</v>
      </c>
      <c r="G4255" s="404" t="s">
        <v>7486</v>
      </c>
      <c r="H4255" s="411">
        <v>972.88</v>
      </c>
      <c r="I4255" s="89">
        <f t="shared" ref="I4255:I4266" si="864">-(H4255*0.09)</f>
        <v>-87.55919999999999</v>
      </c>
      <c r="J4255" s="391">
        <f t="shared" ref="J4255:J4266" si="865">-((H4255*0.019)+0.3)</f>
        <v>-18.78472</v>
      </c>
      <c r="K4255" s="90">
        <f t="shared" si="861"/>
        <v>866.53607999999997</v>
      </c>
      <c r="L4255" s="131">
        <v>1200</v>
      </c>
      <c r="M4255" s="187">
        <v>169.6</v>
      </c>
      <c r="N4255" s="91">
        <f t="shared" si="852"/>
        <v>589.6</v>
      </c>
      <c r="O4255" s="411">
        <f t="shared" si="857"/>
        <v>276.93607999999995</v>
      </c>
      <c r="P4255" s="132" t="s">
        <v>86</v>
      </c>
      <c r="Q4255" s="232"/>
      <c r="R4255" s="411"/>
      <c r="T4255" s="134" t="s">
        <v>97</v>
      </c>
      <c r="U4255" s="267" t="s">
        <v>9511</v>
      </c>
      <c r="V4255" s="133" t="s">
        <v>55</v>
      </c>
      <c r="AA4255" s="218"/>
    </row>
    <row r="4256" spans="1:27" x14ac:dyDescent="0.25">
      <c r="A4256" s="405">
        <v>3003299</v>
      </c>
      <c r="B4256" s="406">
        <v>42573</v>
      </c>
      <c r="C4256" s="405" t="s">
        <v>5682</v>
      </c>
      <c r="D4256" s="401" t="s">
        <v>9512</v>
      </c>
      <c r="E4256" s="120">
        <v>250</v>
      </c>
      <c r="F4256" s="133" t="s">
        <v>7253</v>
      </c>
      <c r="G4256" s="404" t="s">
        <v>7486</v>
      </c>
      <c r="H4256" s="411">
        <v>740</v>
      </c>
      <c r="I4256" s="89">
        <f t="shared" si="864"/>
        <v>-66.599999999999994</v>
      </c>
      <c r="J4256" s="391">
        <f t="shared" si="865"/>
        <v>-14.360000000000001</v>
      </c>
      <c r="K4256" s="90">
        <f t="shared" si="861"/>
        <v>659.04</v>
      </c>
      <c r="L4256" s="187">
        <v>1750</v>
      </c>
      <c r="M4256" s="187">
        <v>88.21</v>
      </c>
      <c r="N4256" s="91">
        <f t="shared" si="852"/>
        <v>525.71</v>
      </c>
      <c r="O4256" s="411">
        <f t="shared" si="857"/>
        <v>133.32999999999993</v>
      </c>
      <c r="P4256" s="132" t="s">
        <v>235</v>
      </c>
      <c r="Q4256" s="232"/>
      <c r="R4256" s="411"/>
      <c r="T4256" s="134" t="s">
        <v>565</v>
      </c>
      <c r="U4256" s="267" t="s">
        <v>9513</v>
      </c>
      <c r="AA4256" s="218"/>
    </row>
    <row r="4257" spans="1:27" ht="24" x14ac:dyDescent="0.25">
      <c r="A4257" s="405"/>
      <c r="B4257" s="406">
        <v>42573</v>
      </c>
      <c r="C4257" s="405" t="s">
        <v>5682</v>
      </c>
      <c r="D4257" s="401" t="s">
        <v>9514</v>
      </c>
      <c r="E4257" s="120">
        <v>250</v>
      </c>
      <c r="F4257" s="133" t="s">
        <v>9515</v>
      </c>
      <c r="G4257" s="404" t="s">
        <v>7486</v>
      </c>
      <c r="H4257" s="411">
        <v>900</v>
      </c>
      <c r="I4257" s="89">
        <f t="shared" si="864"/>
        <v>-81</v>
      </c>
      <c r="J4257" s="391">
        <f t="shared" si="865"/>
        <v>-17.399999999999999</v>
      </c>
      <c r="K4257" s="90">
        <f t="shared" si="861"/>
        <v>801.6</v>
      </c>
      <c r="L4257" s="187">
        <v>2236.61</v>
      </c>
      <c r="M4257" s="187">
        <f>87+22</f>
        <v>109</v>
      </c>
      <c r="N4257" s="91">
        <f t="shared" si="852"/>
        <v>668.15250000000003</v>
      </c>
      <c r="O4257" s="411">
        <f t="shared" si="857"/>
        <v>133.44749999999999</v>
      </c>
      <c r="P4257" s="132" t="s">
        <v>46</v>
      </c>
      <c r="Q4257" s="232"/>
      <c r="R4257" s="411"/>
      <c r="T4257" s="134" t="s">
        <v>473</v>
      </c>
      <c r="U4257" s="267" t="s">
        <v>9516</v>
      </c>
      <c r="V4257" s="133" t="s">
        <v>9517</v>
      </c>
      <c r="AA4257" s="218"/>
    </row>
    <row r="4258" spans="1:27" x14ac:dyDescent="0.25">
      <c r="A4258" s="419">
        <v>3003301</v>
      </c>
      <c r="B4258" s="421">
        <v>42573</v>
      </c>
      <c r="C4258" s="419" t="s">
        <v>5682</v>
      </c>
      <c r="D4258" s="417" t="s">
        <v>9518</v>
      </c>
      <c r="E4258" s="120">
        <v>250</v>
      </c>
      <c r="F4258" s="133" t="s">
        <v>3955</v>
      </c>
      <c r="G4258" s="434" t="s">
        <v>7486</v>
      </c>
      <c r="H4258" s="427">
        <v>1482</v>
      </c>
      <c r="I4258" s="452">
        <f t="shared" si="864"/>
        <v>-133.38</v>
      </c>
      <c r="J4258" s="425">
        <f t="shared" si="865"/>
        <v>-28.457999999999998</v>
      </c>
      <c r="K4258" s="425">
        <f t="shared" si="861"/>
        <v>1320.1619999999998</v>
      </c>
      <c r="L4258" s="187">
        <v>408.17</v>
      </c>
      <c r="M4258" s="510">
        <v>199</v>
      </c>
      <c r="N4258" s="91">
        <f t="shared" si="852"/>
        <v>301.04250000000002</v>
      </c>
      <c r="O4258" s="411">
        <f t="shared" si="857"/>
        <v>1019.1194999999998</v>
      </c>
      <c r="P4258" s="132" t="s">
        <v>4651</v>
      </c>
      <c r="Q4258" s="232"/>
      <c r="R4258" s="411"/>
      <c r="T4258" s="470" t="s">
        <v>1743</v>
      </c>
      <c r="U4258" s="481" t="s">
        <v>9519</v>
      </c>
      <c r="V4258" s="133" t="s">
        <v>55</v>
      </c>
      <c r="AA4258" s="218"/>
    </row>
    <row r="4259" spans="1:27" x14ac:dyDescent="0.25">
      <c r="A4259" s="420"/>
      <c r="B4259" s="422"/>
      <c r="C4259" s="420"/>
      <c r="D4259" s="418"/>
      <c r="E4259" s="120">
        <v>1000</v>
      </c>
      <c r="F4259" s="133" t="s">
        <v>506</v>
      </c>
      <c r="G4259" s="436"/>
      <c r="H4259" s="428"/>
      <c r="I4259" s="453"/>
      <c r="J4259" s="426"/>
      <c r="K4259" s="426"/>
      <c r="L4259" s="187">
        <v>810.03</v>
      </c>
      <c r="M4259" s="512"/>
      <c r="N4259" s="91">
        <f t="shared" si="852"/>
        <v>810.03</v>
      </c>
      <c r="O4259" s="411">
        <f t="shared" si="857"/>
        <v>-810.03</v>
      </c>
      <c r="P4259" s="132" t="s">
        <v>4651</v>
      </c>
      <c r="Q4259" s="232"/>
      <c r="R4259" s="411"/>
      <c r="T4259" s="472"/>
      <c r="U4259" s="490"/>
      <c r="AA4259" s="218"/>
    </row>
    <row r="4260" spans="1:27" ht="24" x14ac:dyDescent="0.25">
      <c r="A4260" s="405">
        <v>3003302</v>
      </c>
      <c r="B4260" s="406">
        <v>42573</v>
      </c>
      <c r="C4260" s="405" t="s">
        <v>5682</v>
      </c>
      <c r="D4260" s="401" t="s">
        <v>9520</v>
      </c>
      <c r="E4260" s="120">
        <v>175</v>
      </c>
      <c r="F4260" s="133" t="s">
        <v>247</v>
      </c>
      <c r="G4260" s="404" t="s">
        <v>7486</v>
      </c>
      <c r="H4260" s="411">
        <v>219.51</v>
      </c>
      <c r="I4260" s="89">
        <f t="shared" si="864"/>
        <v>-19.755899999999997</v>
      </c>
      <c r="J4260" s="391">
        <f t="shared" si="865"/>
        <v>-4.4706899999999994</v>
      </c>
      <c r="K4260" s="90">
        <f t="shared" si="861"/>
        <v>195.28341</v>
      </c>
      <c r="L4260" s="131">
        <v>480</v>
      </c>
      <c r="M4260" s="187">
        <f>39.39+5</f>
        <v>44.39</v>
      </c>
      <c r="N4260" s="91">
        <f t="shared" si="852"/>
        <v>128.39000000000001</v>
      </c>
      <c r="O4260" s="411">
        <f t="shared" si="857"/>
        <v>66.893409999999989</v>
      </c>
      <c r="P4260" s="132" t="s">
        <v>52</v>
      </c>
      <c r="Q4260" s="232"/>
      <c r="R4260" s="411"/>
      <c r="T4260" s="134" t="s">
        <v>145</v>
      </c>
      <c r="U4260" s="267" t="s">
        <v>9521</v>
      </c>
      <c r="AA4260" s="218"/>
    </row>
    <row r="4261" spans="1:27" x14ac:dyDescent="0.25">
      <c r="A4261" s="405">
        <v>3003303</v>
      </c>
      <c r="B4261" s="406">
        <v>42573</v>
      </c>
      <c r="C4261" s="405" t="s">
        <v>5682</v>
      </c>
      <c r="D4261" s="401" t="s">
        <v>9453</v>
      </c>
      <c r="E4261" s="120">
        <v>500</v>
      </c>
      <c r="F4261" s="133" t="s">
        <v>288</v>
      </c>
      <c r="G4261" s="404" t="s">
        <v>7486</v>
      </c>
      <c r="H4261" s="411">
        <v>860.76</v>
      </c>
      <c r="I4261" s="89">
        <f t="shared" si="864"/>
        <v>-77.468400000000003</v>
      </c>
      <c r="J4261" s="391">
        <f t="shared" si="865"/>
        <v>-16.654440000000001</v>
      </c>
      <c r="K4261" s="90">
        <f t="shared" si="861"/>
        <v>766.63715999999999</v>
      </c>
      <c r="L4261" s="131">
        <v>950</v>
      </c>
      <c r="N4261" s="91">
        <f t="shared" si="852"/>
        <v>475</v>
      </c>
      <c r="O4261" s="411">
        <f t="shared" si="857"/>
        <v>291.63715999999999</v>
      </c>
      <c r="P4261" s="132" t="s">
        <v>52</v>
      </c>
      <c r="Q4261" s="232"/>
      <c r="R4261" s="411"/>
      <c r="T4261" s="134" t="s">
        <v>97</v>
      </c>
      <c r="U4261" s="267" t="s">
        <v>9455</v>
      </c>
      <c r="AA4261" s="218"/>
    </row>
    <row r="4262" spans="1:27" ht="24" x14ac:dyDescent="0.25">
      <c r="A4262" s="405">
        <v>3003304</v>
      </c>
      <c r="B4262" s="406">
        <v>42573</v>
      </c>
      <c r="C4262" s="405" t="s">
        <v>9435</v>
      </c>
      <c r="D4262" s="401" t="s">
        <v>9522</v>
      </c>
      <c r="E4262" s="120">
        <v>110</v>
      </c>
      <c r="F4262" s="133" t="s">
        <v>247</v>
      </c>
      <c r="G4262" s="404" t="s">
        <v>7486</v>
      </c>
      <c r="H4262" s="411">
        <v>117.7</v>
      </c>
      <c r="I4262" s="411">
        <v>0</v>
      </c>
      <c r="J4262" s="391">
        <f>-((H4262*0.022)+0.3)</f>
        <v>-2.8893999999999997</v>
      </c>
      <c r="K4262" s="90">
        <f t="shared" si="861"/>
        <v>114.81060000000001</v>
      </c>
      <c r="L4262" s="131">
        <v>480</v>
      </c>
      <c r="M4262" s="187">
        <f>40.98+5</f>
        <v>45.98</v>
      </c>
      <c r="N4262" s="91">
        <f t="shared" si="852"/>
        <v>98.78</v>
      </c>
      <c r="O4262" s="411">
        <f t="shared" si="857"/>
        <v>16.030600000000007</v>
      </c>
      <c r="P4262" s="132" t="s">
        <v>52</v>
      </c>
      <c r="Q4262" s="232"/>
      <c r="R4262" s="411"/>
      <c r="T4262" s="134" t="s">
        <v>145</v>
      </c>
      <c r="U4262" s="267" t="s">
        <v>9523</v>
      </c>
      <c r="W4262" s="153" t="s">
        <v>9524</v>
      </c>
      <c r="AA4262" s="218"/>
    </row>
    <row r="4263" spans="1:27" ht="24" x14ac:dyDescent="0.25">
      <c r="A4263" s="405">
        <v>3003305</v>
      </c>
      <c r="B4263" s="406">
        <v>42573</v>
      </c>
      <c r="C4263" s="405" t="s">
        <v>5682</v>
      </c>
      <c r="D4263" s="401" t="s">
        <v>9525</v>
      </c>
      <c r="E4263" s="120">
        <v>125</v>
      </c>
      <c r="F4263" s="133" t="s">
        <v>247</v>
      </c>
      <c r="G4263" s="404" t="s">
        <v>7486</v>
      </c>
      <c r="H4263" s="411">
        <v>145.75</v>
      </c>
      <c r="I4263" s="89">
        <f t="shared" si="864"/>
        <v>-13.1175</v>
      </c>
      <c r="J4263" s="391">
        <f t="shared" si="865"/>
        <v>-3.0692499999999998</v>
      </c>
      <c r="K4263" s="90">
        <f t="shared" si="861"/>
        <v>129.56324999999998</v>
      </c>
      <c r="L4263" s="131">
        <v>480</v>
      </c>
      <c r="M4263" s="187">
        <f>49.47+5</f>
        <v>54.47</v>
      </c>
      <c r="N4263" s="91">
        <f t="shared" si="852"/>
        <v>114.47</v>
      </c>
      <c r="O4263" s="411">
        <f t="shared" si="857"/>
        <v>15.093249999999983</v>
      </c>
      <c r="P4263" s="132" t="s">
        <v>52</v>
      </c>
      <c r="Q4263" s="232"/>
      <c r="R4263" s="411"/>
      <c r="T4263" s="134" t="s">
        <v>145</v>
      </c>
      <c r="U4263" s="267" t="s">
        <v>9526</v>
      </c>
      <c r="AA4263" s="218"/>
    </row>
    <row r="4264" spans="1:27" ht="24" x14ac:dyDescent="0.25">
      <c r="A4264" s="405">
        <v>3003306</v>
      </c>
      <c r="B4264" s="406">
        <v>42573</v>
      </c>
      <c r="C4264" s="405" t="s">
        <v>5682</v>
      </c>
      <c r="D4264" s="401" t="s">
        <v>9527</v>
      </c>
      <c r="E4264" s="120">
        <v>50</v>
      </c>
      <c r="F4264" s="133" t="s">
        <v>9528</v>
      </c>
      <c r="G4264" s="404" t="s">
        <v>7486</v>
      </c>
      <c r="H4264" s="411">
        <v>191.1</v>
      </c>
      <c r="I4264" s="89">
        <f t="shared" si="864"/>
        <v>-17.198999999999998</v>
      </c>
      <c r="J4264" s="391">
        <f t="shared" si="865"/>
        <v>-3.9308999999999998</v>
      </c>
      <c r="K4264" s="90">
        <f t="shared" si="861"/>
        <v>169.9701</v>
      </c>
      <c r="L4264" s="187">
        <v>2185</v>
      </c>
      <c r="M4264" s="187">
        <v>19.43</v>
      </c>
      <c r="N4264" s="91">
        <f t="shared" si="852"/>
        <v>128.68</v>
      </c>
      <c r="O4264" s="411">
        <f t="shared" si="857"/>
        <v>41.290099999999995</v>
      </c>
      <c r="P4264" s="132" t="s">
        <v>601</v>
      </c>
      <c r="Q4264" s="232"/>
      <c r="R4264" s="411"/>
      <c r="T4264" s="134" t="s">
        <v>145</v>
      </c>
      <c r="U4264" s="267" t="s">
        <v>9529</v>
      </c>
      <c r="AA4264" s="218"/>
    </row>
    <row r="4265" spans="1:27" ht="24" x14ac:dyDescent="0.25">
      <c r="A4265" s="405">
        <v>3003307</v>
      </c>
      <c r="B4265" s="406">
        <v>42573</v>
      </c>
      <c r="C4265" s="405" t="s">
        <v>56</v>
      </c>
      <c r="D4265" s="401" t="s">
        <v>9490</v>
      </c>
      <c r="E4265" s="120">
        <v>804</v>
      </c>
      <c r="F4265" s="133" t="s">
        <v>9530</v>
      </c>
      <c r="G4265" s="404" t="s">
        <v>7486</v>
      </c>
      <c r="H4265" s="411">
        <v>482.4</v>
      </c>
      <c r="I4265" s="411">
        <v>0</v>
      </c>
      <c r="J4265" s="411">
        <v>0</v>
      </c>
      <c r="K4265" s="90">
        <f t="shared" si="861"/>
        <v>482.4</v>
      </c>
      <c r="L4265" s="187">
        <v>278</v>
      </c>
      <c r="M4265" s="187">
        <v>122.1</v>
      </c>
      <c r="N4265" s="91">
        <f t="shared" si="852"/>
        <v>345.61199999999997</v>
      </c>
      <c r="O4265" s="411">
        <f t="shared" si="857"/>
        <v>136.78800000000001</v>
      </c>
      <c r="P4265" s="132" t="s">
        <v>313</v>
      </c>
      <c r="Q4265" s="232"/>
      <c r="R4265" s="411"/>
      <c r="T4265" s="134" t="s">
        <v>473</v>
      </c>
      <c r="U4265" s="267" t="s">
        <v>9531</v>
      </c>
      <c r="V4265" s="133" t="s">
        <v>9493</v>
      </c>
      <c r="AA4265" s="218"/>
    </row>
    <row r="4266" spans="1:27" ht="24" x14ac:dyDescent="0.25">
      <c r="A4266" s="405">
        <v>3003308</v>
      </c>
      <c r="B4266" s="406">
        <v>42573</v>
      </c>
      <c r="C4266" s="405" t="s">
        <v>5682</v>
      </c>
      <c r="D4266" s="401" t="s">
        <v>9532</v>
      </c>
      <c r="E4266" s="120">
        <v>300</v>
      </c>
      <c r="F4266" s="133" t="s">
        <v>227</v>
      </c>
      <c r="G4266" s="404" t="s">
        <v>7486</v>
      </c>
      <c r="H4266" s="411">
        <v>270.41000000000003</v>
      </c>
      <c r="I4266" s="89">
        <f t="shared" si="864"/>
        <v>-24.3369</v>
      </c>
      <c r="J4266" s="391">
        <f t="shared" si="865"/>
        <v>-5.4377900000000006</v>
      </c>
      <c r="K4266" s="90">
        <f t="shared" si="861"/>
        <v>240.63531</v>
      </c>
      <c r="L4266" s="131">
        <v>350</v>
      </c>
      <c r="M4266" s="187">
        <v>39.08</v>
      </c>
      <c r="N4266" s="91">
        <f t="shared" si="852"/>
        <v>144.07999999999998</v>
      </c>
      <c r="O4266" s="411">
        <f t="shared" si="857"/>
        <v>96.55531000000002</v>
      </c>
      <c r="P4266" s="132" t="s">
        <v>52</v>
      </c>
      <c r="Q4266" s="232"/>
      <c r="R4266" s="411"/>
      <c r="T4266" s="134" t="s">
        <v>145</v>
      </c>
      <c r="U4266" s="267" t="s">
        <v>9533</v>
      </c>
      <c r="AA4266" s="218"/>
    </row>
    <row r="4267" spans="1:27" ht="24" x14ac:dyDescent="0.25">
      <c r="A4267" s="405">
        <v>3003309</v>
      </c>
      <c r="B4267" s="406">
        <v>42573</v>
      </c>
      <c r="C4267" s="405" t="s">
        <v>9435</v>
      </c>
      <c r="D4267" s="401" t="s">
        <v>9534</v>
      </c>
      <c r="E4267" s="120">
        <v>1200</v>
      </c>
      <c r="F4267" s="133" t="s">
        <v>9535</v>
      </c>
      <c r="G4267" s="404" t="s">
        <v>7486</v>
      </c>
      <c r="H4267" s="411">
        <v>1560</v>
      </c>
      <c r="I4267" s="411">
        <v>0</v>
      </c>
      <c r="J4267" s="391">
        <f>-((H4267*0.022)+0.3)</f>
        <v>-34.619999999999997</v>
      </c>
      <c r="K4267" s="90">
        <f t="shared" si="861"/>
        <v>1525.38</v>
      </c>
      <c r="M4267" s="187">
        <v>180.17</v>
      </c>
      <c r="N4267" s="91">
        <f t="shared" si="852"/>
        <v>180.17</v>
      </c>
      <c r="O4267" s="411">
        <f t="shared" si="857"/>
        <v>1345.21</v>
      </c>
      <c r="P4267" s="255" t="s">
        <v>723</v>
      </c>
      <c r="Q4267" s="232"/>
      <c r="R4267" s="411"/>
      <c r="T4267" s="134" t="s">
        <v>9536</v>
      </c>
      <c r="U4267" s="266" t="s">
        <v>1229</v>
      </c>
      <c r="W4267" s="153" t="s">
        <v>9537</v>
      </c>
      <c r="AA4267" s="218"/>
    </row>
    <row r="4268" spans="1:27" x14ac:dyDescent="0.25">
      <c r="A4268" s="419">
        <v>3003310</v>
      </c>
      <c r="B4268" s="421">
        <v>42576</v>
      </c>
      <c r="C4268" s="419" t="s">
        <v>56</v>
      </c>
      <c r="D4268" s="417" t="s">
        <v>1303</v>
      </c>
      <c r="E4268" s="120">
        <v>1000</v>
      </c>
      <c r="F4268" s="133" t="s">
        <v>9538</v>
      </c>
      <c r="G4268" s="434" t="s">
        <v>7486</v>
      </c>
      <c r="H4268" s="427">
        <v>2208.4699999999998</v>
      </c>
      <c r="I4268" s="427">
        <v>0</v>
      </c>
      <c r="J4268" s="427">
        <v>0</v>
      </c>
      <c r="K4268" s="425">
        <f t="shared" si="861"/>
        <v>2208.4699999999998</v>
      </c>
      <c r="L4268" s="187">
        <v>1452.16</v>
      </c>
      <c r="M4268" s="187">
        <v>145.16</v>
      </c>
      <c r="N4268" s="91">
        <f t="shared" si="852"/>
        <v>1597.3200000000002</v>
      </c>
      <c r="O4268" s="411">
        <f t="shared" si="857"/>
        <v>611.14999999999964</v>
      </c>
      <c r="P4268" s="132" t="s">
        <v>46</v>
      </c>
      <c r="Q4268" s="232"/>
      <c r="R4268" s="411"/>
      <c r="T4268" s="134" t="s">
        <v>2652</v>
      </c>
      <c r="U4268" s="267" t="s">
        <v>9539</v>
      </c>
      <c r="V4268" s="133" t="s">
        <v>6280</v>
      </c>
      <c r="W4268" s="153" t="s">
        <v>1796</v>
      </c>
      <c r="AA4268" s="218"/>
    </row>
    <row r="4269" spans="1:27" ht="24" x14ac:dyDescent="0.25">
      <c r="A4269" s="420"/>
      <c r="B4269" s="422"/>
      <c r="C4269" s="420"/>
      <c r="D4269" s="418"/>
      <c r="E4269" s="120">
        <v>500</v>
      </c>
      <c r="F4269" s="133" t="s">
        <v>9540</v>
      </c>
      <c r="G4269" s="436"/>
      <c r="H4269" s="428"/>
      <c r="I4269" s="428"/>
      <c r="J4269" s="428"/>
      <c r="K4269" s="426"/>
      <c r="L4269" s="187">
        <v>75</v>
      </c>
      <c r="M4269" s="187">
        <v>10.18</v>
      </c>
      <c r="N4269" s="91">
        <f t="shared" si="852"/>
        <v>47.68</v>
      </c>
      <c r="O4269" s="411">
        <f t="shared" si="857"/>
        <v>-47.68</v>
      </c>
      <c r="P4269" s="132" t="s">
        <v>235</v>
      </c>
      <c r="Q4269" s="232"/>
      <c r="R4269" s="411"/>
      <c r="T4269" s="134" t="s">
        <v>145</v>
      </c>
      <c r="U4269" s="267" t="s">
        <v>9541</v>
      </c>
      <c r="V4269" s="133" t="s">
        <v>9542</v>
      </c>
      <c r="AA4269" s="218"/>
    </row>
    <row r="4270" spans="1:27" ht="24" x14ac:dyDescent="0.25">
      <c r="A4270" s="405">
        <v>3003311</v>
      </c>
      <c r="B4270" s="406">
        <v>42576</v>
      </c>
      <c r="C4270" s="405" t="s">
        <v>159</v>
      </c>
      <c r="D4270" s="401" t="s">
        <v>9543</v>
      </c>
      <c r="E4270" s="120">
        <v>55</v>
      </c>
      <c r="F4270" s="133" t="s">
        <v>1991</v>
      </c>
      <c r="G4270" s="404" t="s">
        <v>7486</v>
      </c>
      <c r="H4270" s="411">
        <v>277.75</v>
      </c>
      <c r="I4270" s="411">
        <v>0</v>
      </c>
      <c r="J4270" s="391">
        <f t="shared" ref="J4270:J4289" si="866">-((H4270*0.019)+0.3)</f>
        <v>-5.5772499999999994</v>
      </c>
      <c r="K4270" s="90">
        <f t="shared" si="861"/>
        <v>272.17275000000001</v>
      </c>
      <c r="L4270" s="187">
        <v>3100</v>
      </c>
      <c r="M4270" s="187">
        <v>39.33</v>
      </c>
      <c r="N4270" s="91">
        <f t="shared" si="852"/>
        <v>209.82999999999998</v>
      </c>
      <c r="O4270" s="411">
        <f t="shared" si="857"/>
        <v>62.342750000000024</v>
      </c>
      <c r="P4270" s="132" t="s">
        <v>183</v>
      </c>
      <c r="Q4270" s="232"/>
      <c r="R4270" s="411"/>
      <c r="T4270" s="134" t="s">
        <v>145</v>
      </c>
      <c r="U4270" s="267" t="s">
        <v>9544</v>
      </c>
      <c r="V4270" s="133" t="s">
        <v>6072</v>
      </c>
      <c r="W4270" s="153" t="s">
        <v>9545</v>
      </c>
      <c r="AA4270" s="218"/>
    </row>
    <row r="4271" spans="1:27" ht="24" x14ac:dyDescent="0.25">
      <c r="A4271" s="405">
        <v>3003312</v>
      </c>
      <c r="B4271" s="406">
        <v>42576</v>
      </c>
      <c r="C4271" s="405" t="s">
        <v>5682</v>
      </c>
      <c r="D4271" s="401" t="s">
        <v>9546</v>
      </c>
      <c r="E4271" s="120">
        <v>100</v>
      </c>
      <c r="F4271" s="133" t="s">
        <v>51</v>
      </c>
      <c r="G4271" s="404" t="s">
        <v>7486</v>
      </c>
      <c r="H4271" s="411">
        <v>251.63</v>
      </c>
      <c r="I4271" s="89">
        <f t="shared" ref="I4271:I4289" si="867">-(H4271*0.09)</f>
        <v>-22.646699999999999</v>
      </c>
      <c r="J4271" s="391">
        <f t="shared" si="866"/>
        <v>-5.0809699999999998</v>
      </c>
      <c r="K4271" s="90">
        <f t="shared" si="861"/>
        <v>223.90232999999998</v>
      </c>
      <c r="L4271" s="131">
        <v>1015</v>
      </c>
      <c r="M4271" s="187">
        <v>35.299999999999997</v>
      </c>
      <c r="N4271" s="91">
        <f t="shared" si="852"/>
        <v>136.80000000000001</v>
      </c>
      <c r="O4271" s="411">
        <f t="shared" si="857"/>
        <v>87.102329999999967</v>
      </c>
      <c r="P4271" s="132" t="s">
        <v>52</v>
      </c>
      <c r="Q4271" s="232"/>
      <c r="R4271" s="411"/>
      <c r="T4271" s="134" t="s">
        <v>145</v>
      </c>
      <c r="U4271" s="267" t="s">
        <v>9547</v>
      </c>
      <c r="AA4271" s="218"/>
    </row>
    <row r="4272" spans="1:27" ht="24" x14ac:dyDescent="0.25">
      <c r="A4272" s="405">
        <v>3003313</v>
      </c>
      <c r="B4272" s="406">
        <v>42576</v>
      </c>
      <c r="C4272" s="405" t="s">
        <v>5682</v>
      </c>
      <c r="D4272" s="401" t="s">
        <v>9548</v>
      </c>
      <c r="E4272" s="120">
        <v>200</v>
      </c>
      <c r="F4272" s="133" t="s">
        <v>877</v>
      </c>
      <c r="G4272" s="404" t="s">
        <v>7486</v>
      </c>
      <c r="H4272" s="411">
        <v>148.9</v>
      </c>
      <c r="I4272" s="89">
        <f t="shared" si="867"/>
        <v>-13.401</v>
      </c>
      <c r="J4272" s="391">
        <f t="shared" si="866"/>
        <v>-3.1290999999999998</v>
      </c>
      <c r="K4272" s="90">
        <f t="shared" si="861"/>
        <v>132.3699</v>
      </c>
      <c r="L4272" s="131">
        <v>235</v>
      </c>
      <c r="M4272" s="187">
        <f>29.66+5</f>
        <v>34.659999999999997</v>
      </c>
      <c r="N4272" s="91">
        <f t="shared" si="852"/>
        <v>81.66</v>
      </c>
      <c r="O4272" s="411">
        <f t="shared" si="857"/>
        <v>50.709900000000005</v>
      </c>
      <c r="P4272" s="132" t="s">
        <v>52</v>
      </c>
      <c r="Q4272" s="232"/>
      <c r="R4272" s="411"/>
      <c r="T4272" s="134" t="s">
        <v>145</v>
      </c>
      <c r="U4272" s="267" t="s">
        <v>9549</v>
      </c>
      <c r="AA4272" s="218"/>
    </row>
    <row r="4273" spans="1:27" ht="24" x14ac:dyDescent="0.25">
      <c r="A4273" s="405">
        <v>3003314</v>
      </c>
      <c r="B4273" s="406">
        <v>42576</v>
      </c>
      <c r="C4273" s="405" t="s">
        <v>5682</v>
      </c>
      <c r="D4273" s="401" t="s">
        <v>9550</v>
      </c>
      <c r="E4273" s="120">
        <v>250</v>
      </c>
      <c r="F4273" s="133" t="s">
        <v>877</v>
      </c>
      <c r="G4273" s="404" t="s">
        <v>7486</v>
      </c>
      <c r="H4273" s="411">
        <v>184.89</v>
      </c>
      <c r="I4273" s="89">
        <f t="shared" si="867"/>
        <v>-16.640099999999997</v>
      </c>
      <c r="J4273" s="391">
        <f t="shared" si="866"/>
        <v>-3.8129099999999996</v>
      </c>
      <c r="K4273" s="90">
        <f t="shared" si="861"/>
        <v>164.43699000000001</v>
      </c>
      <c r="L4273" s="131">
        <v>235</v>
      </c>
      <c r="M4273" s="187">
        <f>30.79+5</f>
        <v>35.79</v>
      </c>
      <c r="N4273" s="91">
        <f t="shared" si="852"/>
        <v>94.539999999999992</v>
      </c>
      <c r="O4273" s="411">
        <f t="shared" si="857"/>
        <v>69.896990000000017</v>
      </c>
      <c r="P4273" s="132" t="s">
        <v>52</v>
      </c>
      <c r="Q4273" s="232"/>
      <c r="R4273" s="411"/>
      <c r="T4273" s="134" t="s">
        <v>145</v>
      </c>
      <c r="U4273" s="267" t="s">
        <v>9551</v>
      </c>
      <c r="AA4273" s="218"/>
    </row>
    <row r="4274" spans="1:27" ht="24" x14ac:dyDescent="0.25">
      <c r="A4274" s="405">
        <v>3003315</v>
      </c>
      <c r="B4274" s="406">
        <v>42576</v>
      </c>
      <c r="C4274" s="405" t="s">
        <v>5682</v>
      </c>
      <c r="D4274" s="401" t="s">
        <v>9552</v>
      </c>
      <c r="E4274" s="120">
        <v>100</v>
      </c>
      <c r="F4274" s="133" t="s">
        <v>217</v>
      </c>
      <c r="G4274" s="404" t="s">
        <v>7486</v>
      </c>
      <c r="H4274" s="411">
        <v>230</v>
      </c>
      <c r="I4274" s="89">
        <f t="shared" si="867"/>
        <v>-20.7</v>
      </c>
      <c r="J4274" s="391">
        <f t="shared" si="866"/>
        <v>-4.67</v>
      </c>
      <c r="K4274" s="90">
        <f t="shared" si="861"/>
        <v>204.63000000000002</v>
      </c>
      <c r="L4274" s="131">
        <v>1322</v>
      </c>
      <c r="M4274" s="187">
        <f>27.2+5</f>
        <v>32.200000000000003</v>
      </c>
      <c r="N4274" s="91">
        <f t="shared" si="852"/>
        <v>164.40000000000003</v>
      </c>
      <c r="O4274" s="411">
        <f t="shared" si="857"/>
        <v>40.22999999999999</v>
      </c>
      <c r="P4274" s="132" t="s">
        <v>52</v>
      </c>
      <c r="Q4274" s="232"/>
      <c r="R4274" s="411"/>
      <c r="T4274" s="134" t="s">
        <v>145</v>
      </c>
      <c r="U4274" s="267" t="s">
        <v>9553</v>
      </c>
      <c r="AA4274" s="218"/>
    </row>
    <row r="4275" spans="1:27" x14ac:dyDescent="0.25">
      <c r="A4275" s="405">
        <v>3003316</v>
      </c>
      <c r="B4275" s="406">
        <v>42576</v>
      </c>
      <c r="C4275" s="405" t="s">
        <v>5682</v>
      </c>
      <c r="D4275" s="401" t="s">
        <v>9554</v>
      </c>
      <c r="E4275" s="120">
        <v>600</v>
      </c>
      <c r="F4275" s="133" t="s">
        <v>247</v>
      </c>
      <c r="G4275" s="404" t="s">
        <v>7486</v>
      </c>
      <c r="H4275" s="411">
        <v>627.69000000000005</v>
      </c>
      <c r="I4275" s="89">
        <f t="shared" si="867"/>
        <v>-56.492100000000001</v>
      </c>
      <c r="J4275" s="391">
        <f t="shared" si="866"/>
        <v>-12.226110000000002</v>
      </c>
      <c r="K4275" s="90">
        <f t="shared" si="861"/>
        <v>558.97179000000006</v>
      </c>
      <c r="L4275" s="131">
        <v>480</v>
      </c>
      <c r="M4275" s="187">
        <v>195</v>
      </c>
      <c r="N4275" s="91">
        <f t="shared" si="852"/>
        <v>483</v>
      </c>
      <c r="O4275" s="411">
        <f t="shared" si="857"/>
        <v>75.971790000000055</v>
      </c>
      <c r="P4275" s="132" t="s">
        <v>52</v>
      </c>
      <c r="Q4275" s="232"/>
      <c r="R4275" s="411"/>
      <c r="T4275" s="134" t="s">
        <v>244</v>
      </c>
      <c r="U4275" s="267" t="s">
        <v>9555</v>
      </c>
      <c r="V4275" s="133" t="s">
        <v>55</v>
      </c>
      <c r="AA4275" s="218"/>
    </row>
    <row r="4276" spans="1:27" ht="24" x14ac:dyDescent="0.25">
      <c r="A4276" s="405">
        <v>3003317</v>
      </c>
      <c r="B4276" s="406">
        <v>42576</v>
      </c>
      <c r="C4276" s="405" t="s">
        <v>5682</v>
      </c>
      <c r="D4276" s="401" t="s">
        <v>9556</v>
      </c>
      <c r="E4276" s="120">
        <v>100</v>
      </c>
      <c r="F4276" s="133" t="s">
        <v>165</v>
      </c>
      <c r="G4276" s="404" t="s">
        <v>7486</v>
      </c>
      <c r="H4276" s="411">
        <v>102</v>
      </c>
      <c r="I4276" s="89">
        <f t="shared" si="867"/>
        <v>-9.18</v>
      </c>
      <c r="J4276" s="391">
        <f t="shared" si="866"/>
        <v>-2.238</v>
      </c>
      <c r="K4276" s="90">
        <f t="shared" si="861"/>
        <v>90.581999999999994</v>
      </c>
      <c r="L4276" s="131">
        <v>375</v>
      </c>
      <c r="M4276" s="187">
        <f>18.25+5</f>
        <v>23.25</v>
      </c>
      <c r="N4276" s="91">
        <f t="shared" si="852"/>
        <v>60.75</v>
      </c>
      <c r="O4276" s="411">
        <f t="shared" si="857"/>
        <v>29.831999999999994</v>
      </c>
      <c r="P4276" s="132" t="s">
        <v>52</v>
      </c>
      <c r="Q4276" s="232"/>
      <c r="R4276" s="411"/>
      <c r="T4276" s="134" t="s">
        <v>145</v>
      </c>
      <c r="U4276" s="267" t="s">
        <v>9557</v>
      </c>
      <c r="AA4276" s="218"/>
    </row>
    <row r="4277" spans="1:27" ht="24" x14ac:dyDescent="0.25">
      <c r="A4277" s="405">
        <v>3003318</v>
      </c>
      <c r="B4277" s="406">
        <v>42576</v>
      </c>
      <c r="C4277" s="405" t="s">
        <v>5682</v>
      </c>
      <c r="D4277" s="401" t="s">
        <v>9558</v>
      </c>
      <c r="E4277" s="120">
        <v>100</v>
      </c>
      <c r="F4277" s="133" t="s">
        <v>70</v>
      </c>
      <c r="G4277" s="404" t="s">
        <v>7486</v>
      </c>
      <c r="H4277" s="411">
        <v>291.94</v>
      </c>
      <c r="I4277" s="89">
        <f t="shared" si="867"/>
        <v>-26.2746</v>
      </c>
      <c r="J4277" s="391">
        <f t="shared" si="866"/>
        <v>-5.8468599999999995</v>
      </c>
      <c r="K4277" s="90">
        <f t="shared" si="861"/>
        <v>259.81853999999998</v>
      </c>
      <c r="L4277" s="131">
        <v>1200</v>
      </c>
      <c r="M4277" s="187">
        <v>60.31</v>
      </c>
      <c r="N4277" s="91">
        <f t="shared" si="852"/>
        <v>180.31</v>
      </c>
      <c r="O4277" s="411">
        <f t="shared" si="857"/>
        <v>79.508539999999982</v>
      </c>
      <c r="P4277" s="132" t="s">
        <v>86</v>
      </c>
      <c r="Q4277" s="232"/>
      <c r="R4277" s="411"/>
      <c r="T4277" s="134" t="s">
        <v>145</v>
      </c>
      <c r="U4277" s="267" t="s">
        <v>9559</v>
      </c>
      <c r="AA4277" s="218"/>
    </row>
    <row r="4278" spans="1:27" ht="24" x14ac:dyDescent="0.25">
      <c r="A4278" s="405">
        <v>3003319</v>
      </c>
      <c r="B4278" s="406">
        <v>42576</v>
      </c>
      <c r="C4278" s="405" t="s">
        <v>5682</v>
      </c>
      <c r="D4278" s="401" t="s">
        <v>9560</v>
      </c>
      <c r="E4278" s="120">
        <v>110</v>
      </c>
      <c r="F4278" s="133" t="s">
        <v>247</v>
      </c>
      <c r="G4278" s="404" t="s">
        <v>7486</v>
      </c>
      <c r="H4278" s="411">
        <v>129.69999999999999</v>
      </c>
      <c r="I4278" s="89">
        <f t="shared" si="867"/>
        <v>-11.672999999999998</v>
      </c>
      <c r="J4278" s="391">
        <f t="shared" si="866"/>
        <v>-2.7642999999999995</v>
      </c>
      <c r="K4278" s="90">
        <f t="shared" si="861"/>
        <v>115.26269999999998</v>
      </c>
      <c r="L4278" s="131">
        <v>480</v>
      </c>
      <c r="M4278" s="187">
        <v>32.14</v>
      </c>
      <c r="N4278" s="91">
        <f t="shared" si="852"/>
        <v>84.94</v>
      </c>
      <c r="O4278" s="411">
        <f t="shared" si="857"/>
        <v>30.322699999999983</v>
      </c>
      <c r="P4278" s="132" t="s">
        <v>52</v>
      </c>
      <c r="Q4278" s="232"/>
      <c r="R4278" s="411"/>
      <c r="T4278" s="134" t="s">
        <v>145</v>
      </c>
      <c r="U4278" s="267" t="s">
        <v>9561</v>
      </c>
      <c r="AA4278" s="218"/>
    </row>
    <row r="4279" spans="1:27" x14ac:dyDescent="0.25">
      <c r="A4279" s="405">
        <v>3003320</v>
      </c>
      <c r="B4279" s="406">
        <v>42576</v>
      </c>
      <c r="C4279" s="405" t="s">
        <v>5682</v>
      </c>
      <c r="D4279" s="401" t="s">
        <v>9562</v>
      </c>
      <c r="E4279" s="120">
        <v>475</v>
      </c>
      <c r="F4279" s="133" t="s">
        <v>85</v>
      </c>
      <c r="G4279" s="404" t="s">
        <v>7486</v>
      </c>
      <c r="H4279" s="411">
        <v>1110</v>
      </c>
      <c r="I4279" s="89">
        <f t="shared" si="867"/>
        <v>-99.899999999999991</v>
      </c>
      <c r="J4279" s="391">
        <f t="shared" si="866"/>
        <v>-21.39</v>
      </c>
      <c r="K4279" s="90">
        <f t="shared" si="861"/>
        <v>988.71</v>
      </c>
      <c r="L4279" s="131">
        <v>1296</v>
      </c>
      <c r="M4279" s="187">
        <v>190.72</v>
      </c>
      <c r="N4279" s="91">
        <f t="shared" si="852"/>
        <v>806.32</v>
      </c>
      <c r="O4279" s="411">
        <f t="shared" si="857"/>
        <v>182.39</v>
      </c>
      <c r="P4279" s="132" t="s">
        <v>52</v>
      </c>
      <c r="Q4279" s="232"/>
      <c r="R4279" s="411"/>
      <c r="T4279" s="134" t="s">
        <v>875</v>
      </c>
      <c r="U4279" s="267" t="s">
        <v>9563</v>
      </c>
      <c r="V4279" s="133" t="s">
        <v>55</v>
      </c>
      <c r="AA4279" s="218"/>
    </row>
    <row r="4280" spans="1:27" ht="24" x14ac:dyDescent="0.25">
      <c r="A4280" s="405">
        <v>3003321</v>
      </c>
      <c r="B4280" s="406">
        <v>42576</v>
      </c>
      <c r="C4280" s="405" t="s">
        <v>5682</v>
      </c>
      <c r="D4280" s="401" t="s">
        <v>9564</v>
      </c>
      <c r="E4280" s="120">
        <v>100</v>
      </c>
      <c r="F4280" s="133" t="s">
        <v>161</v>
      </c>
      <c r="G4280" s="404" t="s">
        <v>7486</v>
      </c>
      <c r="H4280" s="411">
        <v>230</v>
      </c>
      <c r="I4280" s="89">
        <f t="shared" si="867"/>
        <v>-20.7</v>
      </c>
      <c r="J4280" s="391">
        <f t="shared" si="866"/>
        <v>-4.67</v>
      </c>
      <c r="K4280" s="90">
        <f t="shared" si="861"/>
        <v>204.63000000000002</v>
      </c>
      <c r="L4280" s="131">
        <v>1322</v>
      </c>
      <c r="M4280" s="187">
        <f>47.32+5</f>
        <v>52.32</v>
      </c>
      <c r="N4280" s="91">
        <f t="shared" si="852"/>
        <v>184.52</v>
      </c>
      <c r="O4280" s="411">
        <f t="shared" si="857"/>
        <v>20.110000000000014</v>
      </c>
      <c r="P4280" s="132" t="s">
        <v>52</v>
      </c>
      <c r="Q4280" s="232"/>
      <c r="R4280" s="411"/>
      <c r="T4280" s="134" t="s">
        <v>145</v>
      </c>
      <c r="U4280" s="267" t="s">
        <v>9565</v>
      </c>
      <c r="AA4280" s="218"/>
    </row>
    <row r="4281" spans="1:27" ht="24" x14ac:dyDescent="0.25">
      <c r="A4281" s="405">
        <v>3003322</v>
      </c>
      <c r="B4281" s="406">
        <v>42576</v>
      </c>
      <c r="C4281" s="405" t="s">
        <v>5682</v>
      </c>
      <c r="D4281" s="401" t="s">
        <v>9566</v>
      </c>
      <c r="E4281" s="120">
        <v>50</v>
      </c>
      <c r="F4281" s="133" t="s">
        <v>431</v>
      </c>
      <c r="G4281" s="404" t="s">
        <v>7486</v>
      </c>
      <c r="H4281" s="411">
        <v>118.8</v>
      </c>
      <c r="I4281" s="89">
        <f t="shared" si="867"/>
        <v>-10.692</v>
      </c>
      <c r="J4281" s="391">
        <f t="shared" si="866"/>
        <v>-2.5571999999999999</v>
      </c>
      <c r="K4281" s="90">
        <f t="shared" si="861"/>
        <v>105.55080000000001</v>
      </c>
      <c r="L4281" s="131">
        <v>990</v>
      </c>
      <c r="M4281" s="187">
        <v>37.119999999999997</v>
      </c>
      <c r="N4281" s="91">
        <f t="shared" si="852"/>
        <v>86.62</v>
      </c>
      <c r="O4281" s="411">
        <f t="shared" si="857"/>
        <v>18.930800000000005</v>
      </c>
      <c r="P4281" s="132" t="s">
        <v>52</v>
      </c>
      <c r="Q4281" s="232"/>
      <c r="R4281" s="411"/>
      <c r="T4281" s="134" t="s">
        <v>145</v>
      </c>
      <c r="U4281" s="267" t="s">
        <v>9567</v>
      </c>
      <c r="AA4281" s="218"/>
    </row>
    <row r="4282" spans="1:27" ht="24" x14ac:dyDescent="0.25">
      <c r="A4282" s="405">
        <v>3003323</v>
      </c>
      <c r="B4282" s="406">
        <v>42576</v>
      </c>
      <c r="C4282" s="405" t="s">
        <v>5682</v>
      </c>
      <c r="D4282" s="401" t="s">
        <v>9568</v>
      </c>
      <c r="E4282" s="120">
        <v>500</v>
      </c>
      <c r="F4282" s="133" t="s">
        <v>7523</v>
      </c>
      <c r="G4282" s="404" t="s">
        <v>7486</v>
      </c>
      <c r="H4282" s="411">
        <v>305.24</v>
      </c>
      <c r="I4282" s="89">
        <f t="shared" si="867"/>
        <v>-27.471599999999999</v>
      </c>
      <c r="J4282" s="391">
        <f t="shared" si="866"/>
        <v>-6.0995599999999994</v>
      </c>
      <c r="K4282" s="90">
        <f t="shared" si="861"/>
        <v>271.66883999999999</v>
      </c>
      <c r="L4282" s="187">
        <v>257</v>
      </c>
      <c r="M4282" s="187">
        <v>33.35</v>
      </c>
      <c r="N4282" s="91">
        <f t="shared" ref="N4282:N4345" si="868">((L4282)*(E4282*0.001))+M4282</f>
        <v>161.85</v>
      </c>
      <c r="O4282" s="411">
        <f t="shared" si="857"/>
        <v>109.81883999999999</v>
      </c>
      <c r="P4282" s="132" t="s">
        <v>183</v>
      </c>
      <c r="Q4282" s="232"/>
      <c r="R4282" s="411"/>
      <c r="T4282" s="134" t="s">
        <v>145</v>
      </c>
      <c r="U4282" s="267" t="s">
        <v>9569</v>
      </c>
      <c r="AA4282" s="218"/>
    </row>
    <row r="4283" spans="1:27" ht="24" x14ac:dyDescent="0.25">
      <c r="A4283" s="405">
        <v>3003324</v>
      </c>
      <c r="B4283" s="406">
        <v>42576</v>
      </c>
      <c r="C4283" s="405" t="s">
        <v>5682</v>
      </c>
      <c r="D4283" s="401" t="s">
        <v>9570</v>
      </c>
      <c r="E4283" s="120">
        <v>140</v>
      </c>
      <c r="F4283" s="133" t="s">
        <v>829</v>
      </c>
      <c r="G4283" s="404" t="s">
        <v>7486</v>
      </c>
      <c r="H4283" s="411">
        <v>147.58000000000001</v>
      </c>
      <c r="I4283" s="89">
        <f t="shared" si="867"/>
        <v>-13.282200000000001</v>
      </c>
      <c r="J4283" s="391">
        <f t="shared" si="866"/>
        <v>-3.1040199999999998</v>
      </c>
      <c r="K4283" s="90">
        <f t="shared" si="861"/>
        <v>131.19378000000003</v>
      </c>
      <c r="L4283" s="131">
        <v>510</v>
      </c>
      <c r="M4283" s="187">
        <v>32.229999999999997</v>
      </c>
      <c r="N4283" s="91">
        <f t="shared" si="868"/>
        <v>103.63</v>
      </c>
      <c r="O4283" s="411">
        <f t="shared" si="857"/>
        <v>27.563780000000037</v>
      </c>
      <c r="P4283" s="132" t="s">
        <v>52</v>
      </c>
      <c r="Q4283" s="232"/>
      <c r="R4283" s="411"/>
      <c r="T4283" s="134" t="s">
        <v>145</v>
      </c>
      <c r="U4283" s="267" t="s">
        <v>9571</v>
      </c>
      <c r="AA4283" s="218"/>
    </row>
    <row r="4284" spans="1:27" ht="24" x14ac:dyDescent="0.25">
      <c r="A4284" s="405">
        <v>3003325</v>
      </c>
      <c r="B4284" s="406">
        <v>42576</v>
      </c>
      <c r="C4284" s="405" t="s">
        <v>5682</v>
      </c>
      <c r="D4284" s="401" t="s">
        <v>9572</v>
      </c>
      <c r="E4284" s="120">
        <v>135</v>
      </c>
      <c r="F4284" s="133" t="s">
        <v>165</v>
      </c>
      <c r="G4284" s="404" t="s">
        <v>7486</v>
      </c>
      <c r="H4284" s="411">
        <v>145.65</v>
      </c>
      <c r="I4284" s="89">
        <f t="shared" si="867"/>
        <v>-13.108499999999999</v>
      </c>
      <c r="J4284" s="391">
        <f t="shared" si="866"/>
        <v>-3.0673499999999998</v>
      </c>
      <c r="K4284" s="90">
        <f t="shared" si="861"/>
        <v>129.47415000000001</v>
      </c>
      <c r="L4284" s="131">
        <v>375</v>
      </c>
      <c r="M4284" s="187">
        <f>34.35+5</f>
        <v>39.35</v>
      </c>
      <c r="N4284" s="91">
        <f t="shared" si="868"/>
        <v>89.974999999999994</v>
      </c>
      <c r="O4284" s="411">
        <f t="shared" si="857"/>
        <v>39.499150000000014</v>
      </c>
      <c r="P4284" s="132" t="s">
        <v>52</v>
      </c>
      <c r="Q4284" s="232"/>
      <c r="R4284" s="411"/>
      <c r="T4284" s="134" t="s">
        <v>145</v>
      </c>
      <c r="U4284" s="267" t="s">
        <v>9573</v>
      </c>
      <c r="AA4284" s="218"/>
    </row>
    <row r="4285" spans="1:27" ht="24" x14ac:dyDescent="0.25">
      <c r="A4285" s="405">
        <v>3003326</v>
      </c>
      <c r="B4285" s="406">
        <v>42576</v>
      </c>
      <c r="C4285" s="405" t="s">
        <v>5682</v>
      </c>
      <c r="D4285" s="401" t="s">
        <v>9574</v>
      </c>
      <c r="E4285" s="120">
        <v>250</v>
      </c>
      <c r="F4285" s="133" t="s">
        <v>9575</v>
      </c>
      <c r="G4285" s="404" t="s">
        <v>7486</v>
      </c>
      <c r="H4285" s="411">
        <v>143.88</v>
      </c>
      <c r="I4285" s="89">
        <f t="shared" si="867"/>
        <v>-12.949199999999999</v>
      </c>
      <c r="J4285" s="391">
        <f t="shared" si="866"/>
        <v>-3.0337199999999998</v>
      </c>
      <c r="K4285" s="90">
        <f t="shared" si="861"/>
        <v>127.89708</v>
      </c>
      <c r="L4285" s="187">
        <v>269</v>
      </c>
      <c r="M4285" s="187">
        <v>15.03</v>
      </c>
      <c r="N4285" s="91">
        <f t="shared" si="868"/>
        <v>82.28</v>
      </c>
      <c r="O4285" s="411">
        <f t="shared" si="857"/>
        <v>45.617080000000001</v>
      </c>
      <c r="P4285" s="132" t="s">
        <v>183</v>
      </c>
      <c r="Q4285" s="232"/>
      <c r="R4285" s="411"/>
      <c r="T4285" s="134" t="s">
        <v>145</v>
      </c>
      <c r="U4285" s="267" t="s">
        <v>9576</v>
      </c>
      <c r="AA4285" s="218"/>
    </row>
    <row r="4286" spans="1:27" x14ac:dyDescent="0.25">
      <c r="A4286" s="405">
        <v>3003327</v>
      </c>
      <c r="B4286" s="406">
        <v>42576</v>
      </c>
      <c r="C4286" s="405" t="s">
        <v>5682</v>
      </c>
      <c r="D4286" s="401" t="s">
        <v>9577</v>
      </c>
      <c r="E4286" s="120">
        <v>1000</v>
      </c>
      <c r="F4286" s="133" t="s">
        <v>119</v>
      </c>
      <c r="G4286" s="404" t="s">
        <v>7486</v>
      </c>
      <c r="H4286" s="411">
        <v>646</v>
      </c>
      <c r="I4286" s="89">
        <f t="shared" si="867"/>
        <v>-58.14</v>
      </c>
      <c r="J4286" s="391">
        <f t="shared" si="866"/>
        <v>-12.574</v>
      </c>
      <c r="K4286" s="90">
        <f t="shared" si="861"/>
        <v>575.28600000000006</v>
      </c>
      <c r="L4286" s="187">
        <v>319</v>
      </c>
      <c r="M4286" s="187">
        <v>102.44</v>
      </c>
      <c r="N4286" s="91">
        <f t="shared" si="868"/>
        <v>421.44</v>
      </c>
      <c r="O4286" s="411">
        <f t="shared" si="857"/>
        <v>153.84600000000006</v>
      </c>
      <c r="P4286" s="132" t="s">
        <v>3597</v>
      </c>
      <c r="Q4286" s="232"/>
      <c r="R4286" s="411"/>
      <c r="T4286" s="134" t="s">
        <v>576</v>
      </c>
      <c r="U4286" s="267" t="s">
        <v>9578</v>
      </c>
      <c r="AA4286" s="218"/>
    </row>
    <row r="4287" spans="1:27" x14ac:dyDescent="0.25">
      <c r="A4287" s="405">
        <v>3003328</v>
      </c>
      <c r="B4287" s="406">
        <v>42576</v>
      </c>
      <c r="C4287" s="405" t="s">
        <v>5682</v>
      </c>
      <c r="D4287" s="401" t="s">
        <v>9579</v>
      </c>
      <c r="E4287" s="120">
        <v>350</v>
      </c>
      <c r="F4287" s="133" t="s">
        <v>70</v>
      </c>
      <c r="G4287" s="404" t="s">
        <v>7486</v>
      </c>
      <c r="H4287" s="411">
        <v>930</v>
      </c>
      <c r="I4287" s="89">
        <f t="shared" si="867"/>
        <v>-83.7</v>
      </c>
      <c r="J4287" s="391">
        <f t="shared" si="866"/>
        <v>-17.97</v>
      </c>
      <c r="K4287" s="90">
        <f t="shared" si="861"/>
        <v>828.32999999999993</v>
      </c>
      <c r="L4287" s="131">
        <v>1200</v>
      </c>
      <c r="M4287" s="187">
        <f>194.13+16.45</f>
        <v>210.57999999999998</v>
      </c>
      <c r="N4287" s="91">
        <f t="shared" si="868"/>
        <v>630.58000000000004</v>
      </c>
      <c r="O4287" s="411">
        <f t="shared" si="857"/>
        <v>197.74999999999989</v>
      </c>
      <c r="P4287" s="132" t="s">
        <v>86</v>
      </c>
      <c r="Q4287" s="232"/>
      <c r="R4287" s="411"/>
      <c r="T4287" s="134" t="s">
        <v>7260</v>
      </c>
      <c r="U4287" s="267" t="s">
        <v>9580</v>
      </c>
      <c r="V4287" s="133" t="s">
        <v>55</v>
      </c>
      <c r="AA4287" s="218"/>
    </row>
    <row r="4288" spans="1:27" ht="24" x14ac:dyDescent="0.25">
      <c r="A4288" s="405">
        <v>3003329</v>
      </c>
      <c r="B4288" s="406">
        <v>42576</v>
      </c>
      <c r="C4288" s="405" t="s">
        <v>5682</v>
      </c>
      <c r="D4288" s="401" t="s">
        <v>9581</v>
      </c>
      <c r="E4288" s="120">
        <v>200</v>
      </c>
      <c r="F4288" s="133" t="s">
        <v>227</v>
      </c>
      <c r="G4288" s="404" t="s">
        <v>7486</v>
      </c>
      <c r="H4288" s="411">
        <v>180.26</v>
      </c>
      <c r="I4288" s="89">
        <f t="shared" si="867"/>
        <v>-16.223399999999998</v>
      </c>
      <c r="J4288" s="391">
        <f t="shared" si="866"/>
        <v>-3.7249399999999997</v>
      </c>
      <c r="K4288" s="90">
        <f t="shared" si="861"/>
        <v>160.31165999999999</v>
      </c>
      <c r="L4288" s="131">
        <v>350</v>
      </c>
      <c r="M4288" s="187">
        <v>36.07</v>
      </c>
      <c r="N4288" s="91">
        <f t="shared" si="868"/>
        <v>106.07</v>
      </c>
      <c r="O4288" s="411">
        <f t="shared" si="857"/>
        <v>54.241659999999996</v>
      </c>
      <c r="P4288" s="132" t="s">
        <v>52</v>
      </c>
      <c r="Q4288" s="232"/>
      <c r="R4288" s="411"/>
      <c r="T4288" s="134" t="s">
        <v>145</v>
      </c>
      <c r="U4288" s="267" t="s">
        <v>9582</v>
      </c>
      <c r="AA4288" s="218"/>
    </row>
    <row r="4289" spans="1:27" ht="24" x14ac:dyDescent="0.25">
      <c r="A4289" s="405">
        <v>3003330</v>
      </c>
      <c r="B4289" s="406">
        <v>42576</v>
      </c>
      <c r="C4289" s="405" t="s">
        <v>5682</v>
      </c>
      <c r="D4289" s="401" t="s">
        <v>9583</v>
      </c>
      <c r="E4289" s="120">
        <v>1000</v>
      </c>
      <c r="F4289" s="133" t="s">
        <v>9584</v>
      </c>
      <c r="G4289" s="404" t="s">
        <v>7486</v>
      </c>
      <c r="H4289" s="411">
        <v>437</v>
      </c>
      <c r="I4289" s="89">
        <f t="shared" si="867"/>
        <v>-39.33</v>
      </c>
      <c r="J4289" s="391">
        <f t="shared" si="866"/>
        <v>-8.6029999999999998</v>
      </c>
      <c r="K4289" s="90">
        <f t="shared" si="861"/>
        <v>389.06700000000001</v>
      </c>
      <c r="L4289" s="187">
        <v>200</v>
      </c>
      <c r="M4289" s="187">
        <v>43.54</v>
      </c>
      <c r="N4289" s="91">
        <f t="shared" si="868"/>
        <v>243.54</v>
      </c>
      <c r="O4289" s="411">
        <f t="shared" si="857"/>
        <v>145.52700000000002</v>
      </c>
      <c r="P4289" s="132" t="s">
        <v>183</v>
      </c>
      <c r="Q4289" s="232"/>
      <c r="R4289" s="411"/>
      <c r="T4289" s="134" t="s">
        <v>145</v>
      </c>
      <c r="U4289" s="266" t="s">
        <v>9585</v>
      </c>
      <c r="AA4289" s="218"/>
    </row>
    <row r="4290" spans="1:27" ht="24" x14ac:dyDescent="0.25">
      <c r="A4290" s="405">
        <v>3003331</v>
      </c>
      <c r="B4290" s="406">
        <v>42576</v>
      </c>
      <c r="C4290" s="405" t="s">
        <v>237</v>
      </c>
      <c r="D4290" s="401" t="s">
        <v>9586</v>
      </c>
      <c r="E4290" s="120">
        <v>100</v>
      </c>
      <c r="F4290" s="133" t="s">
        <v>341</v>
      </c>
      <c r="G4290" s="404" t="s">
        <v>7486</v>
      </c>
      <c r="H4290" s="411">
        <v>180</v>
      </c>
      <c r="I4290" s="397">
        <f t="shared" ref="I4290:I4297" si="869">-(H4290*0.15)</f>
        <v>-27</v>
      </c>
      <c r="J4290" s="411">
        <v>0</v>
      </c>
      <c r="K4290" s="90">
        <f t="shared" si="861"/>
        <v>153</v>
      </c>
      <c r="L4290" s="131">
        <v>698</v>
      </c>
      <c r="M4290" s="187">
        <v>47.74</v>
      </c>
      <c r="N4290" s="91">
        <f t="shared" si="868"/>
        <v>117.53999999999999</v>
      </c>
      <c r="O4290" s="411">
        <f t="shared" si="857"/>
        <v>35.460000000000008</v>
      </c>
      <c r="P4290" s="132" t="s">
        <v>52</v>
      </c>
      <c r="Q4290" s="232"/>
      <c r="R4290" s="411"/>
      <c r="T4290" s="134" t="s">
        <v>145</v>
      </c>
      <c r="U4290" s="267" t="s">
        <v>9587</v>
      </c>
      <c r="AA4290" s="218"/>
    </row>
    <row r="4291" spans="1:27" ht="24" x14ac:dyDescent="0.25">
      <c r="A4291" s="405">
        <v>3003332</v>
      </c>
      <c r="B4291" s="406">
        <v>42576</v>
      </c>
      <c r="C4291" s="405" t="s">
        <v>237</v>
      </c>
      <c r="D4291" s="401" t="s">
        <v>9588</v>
      </c>
      <c r="E4291" s="120">
        <v>1000</v>
      </c>
      <c r="F4291" s="133" t="s">
        <v>9589</v>
      </c>
      <c r="G4291" s="404" t="s">
        <v>7486</v>
      </c>
      <c r="H4291" s="411">
        <v>414.97</v>
      </c>
      <c r="I4291" s="397">
        <f t="shared" si="869"/>
        <v>-62.2455</v>
      </c>
      <c r="J4291" s="411">
        <v>0</v>
      </c>
      <c r="K4291" s="90">
        <f t="shared" si="861"/>
        <v>352.72450000000003</v>
      </c>
      <c r="L4291" s="187">
        <v>280</v>
      </c>
      <c r="M4291" s="187">
        <v>57.21</v>
      </c>
      <c r="N4291" s="91">
        <f t="shared" si="868"/>
        <v>337.21</v>
      </c>
      <c r="O4291" s="411">
        <f t="shared" si="857"/>
        <v>15.514500000000055</v>
      </c>
      <c r="P4291" s="132" t="s">
        <v>638</v>
      </c>
      <c r="Q4291" s="232"/>
      <c r="R4291" s="411"/>
      <c r="T4291" s="134" t="s">
        <v>145</v>
      </c>
      <c r="U4291" s="267" t="s">
        <v>9590</v>
      </c>
      <c r="AA4291" s="218"/>
    </row>
    <row r="4292" spans="1:27" ht="24" x14ac:dyDescent="0.25">
      <c r="A4292" s="405">
        <v>3003333</v>
      </c>
      <c r="B4292" s="406">
        <v>42576</v>
      </c>
      <c r="C4292" s="405" t="s">
        <v>237</v>
      </c>
      <c r="D4292" s="401" t="s">
        <v>9591</v>
      </c>
      <c r="E4292" s="120">
        <v>100</v>
      </c>
      <c r="F4292" s="133" t="s">
        <v>288</v>
      </c>
      <c r="G4292" s="404" t="s">
        <v>7486</v>
      </c>
      <c r="H4292" s="411">
        <v>190</v>
      </c>
      <c r="I4292" s="397">
        <f t="shared" si="869"/>
        <v>-28.5</v>
      </c>
      <c r="J4292" s="411">
        <v>0</v>
      </c>
      <c r="K4292" s="90">
        <f t="shared" si="861"/>
        <v>161.5</v>
      </c>
      <c r="L4292" s="131">
        <v>950</v>
      </c>
      <c r="M4292" s="187">
        <v>35.11</v>
      </c>
      <c r="N4292" s="91">
        <f t="shared" si="868"/>
        <v>130.11000000000001</v>
      </c>
      <c r="O4292" s="411">
        <f t="shared" ref="O4292:O4355" si="870">K4292-N4292</f>
        <v>31.389999999999986</v>
      </c>
      <c r="P4292" s="132" t="s">
        <v>52</v>
      </c>
      <c r="Q4292" s="232"/>
      <c r="R4292" s="411"/>
      <c r="T4292" s="134" t="s">
        <v>145</v>
      </c>
      <c r="U4292" s="267" t="s">
        <v>9592</v>
      </c>
      <c r="AA4292" s="218"/>
    </row>
    <row r="4293" spans="1:27" ht="24" x14ac:dyDescent="0.25">
      <c r="A4293" s="405">
        <v>3003334</v>
      </c>
      <c r="B4293" s="406">
        <v>42576</v>
      </c>
      <c r="C4293" s="405" t="s">
        <v>237</v>
      </c>
      <c r="D4293" s="401" t="s">
        <v>9593</v>
      </c>
      <c r="E4293" s="120">
        <v>100</v>
      </c>
      <c r="F4293" s="133" t="s">
        <v>247</v>
      </c>
      <c r="G4293" s="404" t="s">
        <v>7486</v>
      </c>
      <c r="H4293" s="411">
        <v>112.46</v>
      </c>
      <c r="I4293" s="397">
        <f t="shared" si="869"/>
        <v>-16.869</v>
      </c>
      <c r="J4293" s="411">
        <v>0</v>
      </c>
      <c r="K4293" s="90">
        <f t="shared" si="861"/>
        <v>95.590999999999994</v>
      </c>
      <c r="L4293" s="131">
        <v>480</v>
      </c>
      <c r="M4293" s="187">
        <v>34.79</v>
      </c>
      <c r="N4293" s="91">
        <f t="shared" si="868"/>
        <v>82.789999999999992</v>
      </c>
      <c r="O4293" s="411">
        <f t="shared" si="870"/>
        <v>12.801000000000002</v>
      </c>
      <c r="P4293" s="132" t="s">
        <v>52</v>
      </c>
      <c r="Q4293" s="232"/>
      <c r="R4293" s="411"/>
      <c r="T4293" s="134" t="s">
        <v>145</v>
      </c>
      <c r="U4293" s="267" t="s">
        <v>9594</v>
      </c>
      <c r="AA4293" s="218"/>
    </row>
    <row r="4294" spans="1:27" ht="24" x14ac:dyDescent="0.25">
      <c r="A4294" s="405">
        <v>3003335</v>
      </c>
      <c r="B4294" s="406">
        <v>42576</v>
      </c>
      <c r="C4294" s="405" t="s">
        <v>237</v>
      </c>
      <c r="D4294" s="401" t="s">
        <v>9595</v>
      </c>
      <c r="E4294" s="120">
        <v>100</v>
      </c>
      <c r="F4294" s="133" t="s">
        <v>288</v>
      </c>
      <c r="G4294" s="404" t="s">
        <v>7486</v>
      </c>
      <c r="H4294" s="411">
        <v>190</v>
      </c>
      <c r="I4294" s="397">
        <f t="shared" si="869"/>
        <v>-28.5</v>
      </c>
      <c r="J4294" s="411">
        <v>0</v>
      </c>
      <c r="K4294" s="90">
        <f t="shared" si="861"/>
        <v>161.5</v>
      </c>
      <c r="L4294" s="131">
        <v>950</v>
      </c>
      <c r="M4294" s="187">
        <v>32.270000000000003</v>
      </c>
      <c r="N4294" s="91">
        <f t="shared" si="868"/>
        <v>127.27000000000001</v>
      </c>
      <c r="O4294" s="411">
        <f t="shared" si="870"/>
        <v>34.22999999999999</v>
      </c>
      <c r="P4294" s="132" t="s">
        <v>52</v>
      </c>
      <c r="Q4294" s="232"/>
      <c r="R4294" s="411"/>
      <c r="T4294" s="134" t="s">
        <v>145</v>
      </c>
      <c r="U4294" s="267" t="s">
        <v>9596</v>
      </c>
      <c r="AA4294" s="218"/>
    </row>
    <row r="4295" spans="1:27" ht="24" x14ac:dyDescent="0.25">
      <c r="A4295" s="405">
        <v>3003336</v>
      </c>
      <c r="B4295" s="406">
        <v>42576</v>
      </c>
      <c r="C4295" s="405" t="s">
        <v>237</v>
      </c>
      <c r="D4295" s="401" t="s">
        <v>9597</v>
      </c>
      <c r="E4295" s="120">
        <v>250</v>
      </c>
      <c r="F4295" s="133" t="s">
        <v>1273</v>
      </c>
      <c r="G4295" s="404" t="s">
        <v>7486</v>
      </c>
      <c r="H4295" s="411">
        <v>370.71</v>
      </c>
      <c r="I4295" s="397">
        <f t="shared" si="869"/>
        <v>-55.606499999999997</v>
      </c>
      <c r="J4295" s="411">
        <v>0</v>
      </c>
      <c r="K4295" s="90">
        <f t="shared" si="861"/>
        <v>315.1035</v>
      </c>
      <c r="L4295" s="131">
        <v>616</v>
      </c>
      <c r="M4295" s="187">
        <v>45.61</v>
      </c>
      <c r="N4295" s="91">
        <f t="shared" si="868"/>
        <v>199.61</v>
      </c>
      <c r="O4295" s="411">
        <f t="shared" si="870"/>
        <v>115.49349999999998</v>
      </c>
      <c r="P4295" s="132" t="s">
        <v>52</v>
      </c>
      <c r="Q4295" s="232"/>
      <c r="R4295" s="411"/>
      <c r="T4295" s="134" t="s">
        <v>145</v>
      </c>
      <c r="U4295" s="267" t="s">
        <v>9598</v>
      </c>
      <c r="AA4295" s="218"/>
    </row>
    <row r="4296" spans="1:27" ht="24" x14ac:dyDescent="0.25">
      <c r="A4296" s="405">
        <v>3003337</v>
      </c>
      <c r="B4296" s="406">
        <v>42576</v>
      </c>
      <c r="C4296" s="405" t="s">
        <v>237</v>
      </c>
      <c r="D4296" s="401" t="s">
        <v>9599</v>
      </c>
      <c r="E4296" s="120">
        <v>200</v>
      </c>
      <c r="F4296" s="133" t="s">
        <v>247</v>
      </c>
      <c r="G4296" s="404" t="s">
        <v>7486</v>
      </c>
      <c r="H4296" s="411">
        <v>226.71</v>
      </c>
      <c r="I4296" s="397">
        <f t="shared" si="869"/>
        <v>-34.006500000000003</v>
      </c>
      <c r="J4296" s="411">
        <v>0</v>
      </c>
      <c r="K4296" s="90">
        <f t="shared" si="861"/>
        <v>192.70350000000002</v>
      </c>
      <c r="L4296" s="131">
        <v>480</v>
      </c>
      <c r="M4296" s="187">
        <v>56.3</v>
      </c>
      <c r="N4296" s="91">
        <f t="shared" si="868"/>
        <v>152.30000000000001</v>
      </c>
      <c r="O4296" s="411">
        <f t="shared" si="870"/>
        <v>40.403500000000008</v>
      </c>
      <c r="P4296" s="132" t="s">
        <v>52</v>
      </c>
      <c r="Q4296" s="232"/>
      <c r="R4296" s="411"/>
      <c r="T4296" s="134" t="s">
        <v>145</v>
      </c>
      <c r="U4296" s="267" t="s">
        <v>9600</v>
      </c>
      <c r="AA4296" s="218"/>
    </row>
    <row r="4297" spans="1:27" x14ac:dyDescent="0.25">
      <c r="A4297" s="405">
        <v>3003338</v>
      </c>
      <c r="B4297" s="406">
        <v>42576</v>
      </c>
      <c r="C4297" s="405" t="s">
        <v>237</v>
      </c>
      <c r="D4297" s="401" t="s">
        <v>9601</v>
      </c>
      <c r="E4297" s="120">
        <v>1000</v>
      </c>
      <c r="F4297" s="133" t="s">
        <v>9602</v>
      </c>
      <c r="G4297" s="404" t="s">
        <v>7486</v>
      </c>
      <c r="H4297" s="411">
        <v>847.24</v>
      </c>
      <c r="I4297" s="397">
        <f t="shared" si="869"/>
        <v>-127.086</v>
      </c>
      <c r="J4297" s="411">
        <v>0</v>
      </c>
      <c r="K4297" s="90">
        <f t="shared" si="861"/>
        <v>720.154</v>
      </c>
      <c r="L4297" s="187">
        <v>644</v>
      </c>
      <c r="M4297" s="187">
        <v>98</v>
      </c>
      <c r="N4297" s="91">
        <f t="shared" si="868"/>
        <v>742</v>
      </c>
      <c r="O4297" s="411">
        <f t="shared" si="870"/>
        <v>-21.846000000000004</v>
      </c>
      <c r="P4297" s="132" t="s">
        <v>4651</v>
      </c>
      <c r="Q4297" s="232"/>
      <c r="R4297" s="411"/>
      <c r="T4297" s="134" t="s">
        <v>314</v>
      </c>
      <c r="U4297" s="267" t="s">
        <v>9603</v>
      </c>
      <c r="AA4297" s="218"/>
    </row>
    <row r="4298" spans="1:27" ht="24" x14ac:dyDescent="0.25">
      <c r="A4298" s="405">
        <v>3003339</v>
      </c>
      <c r="B4298" s="406">
        <v>42576</v>
      </c>
      <c r="C4298" s="405" t="s">
        <v>5682</v>
      </c>
      <c r="D4298" s="401" t="s">
        <v>9604</v>
      </c>
      <c r="E4298" s="120">
        <v>50</v>
      </c>
      <c r="F4298" s="133" t="s">
        <v>1991</v>
      </c>
      <c r="G4298" s="404" t="s">
        <v>7486</v>
      </c>
      <c r="H4298" s="411">
        <v>292.89999999999998</v>
      </c>
      <c r="I4298" s="89">
        <f t="shared" ref="I4298:I4302" si="871">-(H4298*0.09)</f>
        <v>-26.360999999999997</v>
      </c>
      <c r="J4298" s="391">
        <f t="shared" ref="J4298:J4302" si="872">-((H4298*0.019)+0.3)</f>
        <v>-5.8650999999999991</v>
      </c>
      <c r="K4298" s="90">
        <f t="shared" si="861"/>
        <v>260.6739</v>
      </c>
      <c r="L4298" s="187">
        <v>3100</v>
      </c>
      <c r="M4298" s="187">
        <v>26.14</v>
      </c>
      <c r="N4298" s="91">
        <f t="shared" si="868"/>
        <v>181.14</v>
      </c>
      <c r="O4298" s="411">
        <f t="shared" si="870"/>
        <v>79.533900000000017</v>
      </c>
      <c r="P4298" s="132" t="s">
        <v>183</v>
      </c>
      <c r="Q4298" s="232"/>
      <c r="R4298" s="411"/>
      <c r="T4298" s="134" t="s">
        <v>145</v>
      </c>
      <c r="U4298" s="267" t="s">
        <v>9605</v>
      </c>
      <c r="AA4298" s="218"/>
    </row>
    <row r="4299" spans="1:27" ht="24" x14ac:dyDescent="0.25">
      <c r="A4299" s="405">
        <v>3003340</v>
      </c>
      <c r="B4299" s="406">
        <v>42576</v>
      </c>
      <c r="C4299" s="405" t="s">
        <v>555</v>
      </c>
      <c r="D4299" s="401" t="s">
        <v>9606</v>
      </c>
      <c r="E4299" s="120">
        <v>1000</v>
      </c>
      <c r="F4299" s="133" t="s">
        <v>9607</v>
      </c>
      <c r="G4299" s="404" t="s">
        <v>7486</v>
      </c>
      <c r="H4299" s="411">
        <v>3500</v>
      </c>
      <c r="I4299" s="411">
        <v>0</v>
      </c>
      <c r="J4299" s="411">
        <v>0</v>
      </c>
      <c r="K4299" s="90">
        <f t="shared" si="861"/>
        <v>3500</v>
      </c>
      <c r="L4299" s="187">
        <v>2700</v>
      </c>
      <c r="M4299" s="131">
        <v>0</v>
      </c>
      <c r="N4299" s="91">
        <f t="shared" si="868"/>
        <v>2700</v>
      </c>
      <c r="O4299" s="411">
        <f t="shared" si="870"/>
        <v>800</v>
      </c>
      <c r="P4299" s="132" t="s">
        <v>1793</v>
      </c>
      <c r="Q4299" s="232"/>
      <c r="R4299" s="411"/>
      <c r="T4299" s="134" t="s">
        <v>756</v>
      </c>
      <c r="U4299" s="266" t="s">
        <v>756</v>
      </c>
      <c r="AA4299" s="218"/>
    </row>
    <row r="4300" spans="1:27" ht="24" x14ac:dyDescent="0.25">
      <c r="A4300" s="405">
        <v>3003341</v>
      </c>
      <c r="B4300" s="406">
        <v>42576</v>
      </c>
      <c r="C4300" s="405" t="s">
        <v>5682</v>
      </c>
      <c r="D4300" s="401" t="s">
        <v>9608</v>
      </c>
      <c r="E4300" s="120">
        <v>30</v>
      </c>
      <c r="F4300" s="133" t="s">
        <v>860</v>
      </c>
      <c r="G4300" s="404" t="s">
        <v>7486</v>
      </c>
      <c r="H4300" s="411">
        <v>227</v>
      </c>
      <c r="I4300" s="89">
        <f t="shared" si="871"/>
        <v>-20.43</v>
      </c>
      <c r="J4300" s="391">
        <f t="shared" si="872"/>
        <v>-4.6129999999999995</v>
      </c>
      <c r="K4300" s="90">
        <f t="shared" si="861"/>
        <v>201.95699999999999</v>
      </c>
      <c r="L4300" s="131">
        <v>3300</v>
      </c>
      <c r="M4300" s="187">
        <v>19.77</v>
      </c>
      <c r="N4300" s="91">
        <f t="shared" si="868"/>
        <v>118.77</v>
      </c>
      <c r="O4300" s="411">
        <f t="shared" si="870"/>
        <v>83.186999999999998</v>
      </c>
      <c r="P4300" s="132" t="s">
        <v>52</v>
      </c>
      <c r="Q4300" s="232"/>
      <c r="R4300" s="411"/>
      <c r="T4300" s="134" t="s">
        <v>145</v>
      </c>
      <c r="U4300" s="267" t="s">
        <v>9609</v>
      </c>
      <c r="AA4300" s="218"/>
    </row>
    <row r="4301" spans="1:27" ht="24" x14ac:dyDescent="0.25">
      <c r="A4301" s="405">
        <v>3003342</v>
      </c>
      <c r="B4301" s="406">
        <v>42576</v>
      </c>
      <c r="C4301" s="405" t="s">
        <v>5682</v>
      </c>
      <c r="D4301" s="401" t="s">
        <v>9610</v>
      </c>
      <c r="E4301" s="120">
        <v>100</v>
      </c>
      <c r="F4301" s="133" t="s">
        <v>161</v>
      </c>
      <c r="G4301" s="404" t="s">
        <v>7486</v>
      </c>
      <c r="H4301" s="411">
        <v>230</v>
      </c>
      <c r="I4301" s="89">
        <f t="shared" si="871"/>
        <v>-20.7</v>
      </c>
      <c r="J4301" s="391">
        <f t="shared" si="872"/>
        <v>-4.67</v>
      </c>
      <c r="K4301" s="90">
        <f t="shared" si="861"/>
        <v>204.63000000000002</v>
      </c>
      <c r="L4301" s="131">
        <v>1322</v>
      </c>
      <c r="M4301" s="187">
        <v>44.93</v>
      </c>
      <c r="N4301" s="91">
        <f t="shared" si="868"/>
        <v>177.13000000000002</v>
      </c>
      <c r="O4301" s="411">
        <f t="shared" si="870"/>
        <v>27.5</v>
      </c>
      <c r="P4301" s="132" t="s">
        <v>52</v>
      </c>
      <c r="Q4301" s="232"/>
      <c r="R4301" s="411"/>
      <c r="T4301" s="134" t="s">
        <v>145</v>
      </c>
      <c r="U4301" s="267" t="s">
        <v>9611</v>
      </c>
      <c r="AA4301" s="218"/>
    </row>
    <row r="4302" spans="1:27" ht="24" x14ac:dyDescent="0.25">
      <c r="A4302" s="405">
        <v>3003343</v>
      </c>
      <c r="B4302" s="406">
        <v>42576</v>
      </c>
      <c r="C4302" s="405" t="s">
        <v>5682</v>
      </c>
      <c r="D4302" s="401" t="s">
        <v>5513</v>
      </c>
      <c r="E4302" s="120">
        <v>100</v>
      </c>
      <c r="F4302" s="133" t="s">
        <v>300</v>
      </c>
      <c r="G4302" s="404" t="s">
        <v>7486</v>
      </c>
      <c r="H4302" s="411">
        <v>450</v>
      </c>
      <c r="I4302" s="89">
        <f t="shared" si="871"/>
        <v>-40.5</v>
      </c>
      <c r="J4302" s="391">
        <f t="shared" si="872"/>
        <v>-8.85</v>
      </c>
      <c r="K4302" s="90">
        <f t="shared" si="861"/>
        <v>400.65</v>
      </c>
      <c r="L4302" s="131">
        <v>2150</v>
      </c>
      <c r="M4302" s="187">
        <v>56.85</v>
      </c>
      <c r="N4302" s="91">
        <f t="shared" si="868"/>
        <v>271.85000000000002</v>
      </c>
      <c r="O4302" s="411">
        <f t="shared" si="870"/>
        <v>128.79999999999995</v>
      </c>
      <c r="P4302" s="132" t="s">
        <v>52</v>
      </c>
      <c r="Q4302" s="232"/>
      <c r="R4302" s="411"/>
      <c r="T4302" s="134" t="s">
        <v>145</v>
      </c>
      <c r="U4302" s="267" t="s">
        <v>9612</v>
      </c>
      <c r="AA4302" s="218"/>
    </row>
    <row r="4303" spans="1:27" ht="24" x14ac:dyDescent="0.25">
      <c r="A4303" s="405">
        <v>3003344</v>
      </c>
      <c r="B4303" s="406">
        <v>42576</v>
      </c>
      <c r="C4303" s="405" t="s">
        <v>327</v>
      </c>
      <c r="D4303" s="401" t="s">
        <v>9613</v>
      </c>
      <c r="E4303" s="120">
        <v>1300</v>
      </c>
      <c r="F4303" s="133" t="s">
        <v>9614</v>
      </c>
      <c r="G4303" s="404" t="s">
        <v>7486</v>
      </c>
      <c r="H4303" s="411">
        <v>546</v>
      </c>
      <c r="I4303" s="411">
        <v>0</v>
      </c>
      <c r="J4303" s="391">
        <f>-((H4303*0.022)+0.3)</f>
        <v>-12.311999999999999</v>
      </c>
      <c r="K4303" s="90">
        <f t="shared" si="861"/>
        <v>533.68799999999999</v>
      </c>
      <c r="L4303" s="187">
        <v>220</v>
      </c>
      <c r="M4303" s="264">
        <v>46.5</v>
      </c>
      <c r="N4303" s="91">
        <f t="shared" si="868"/>
        <v>332.5</v>
      </c>
      <c r="O4303" s="411">
        <f t="shared" si="870"/>
        <v>201.18799999999999</v>
      </c>
      <c r="P4303" s="132" t="s">
        <v>7593</v>
      </c>
      <c r="Q4303" s="232"/>
      <c r="R4303" s="411"/>
      <c r="T4303" s="134" t="s">
        <v>145</v>
      </c>
      <c r="U4303" s="267" t="s">
        <v>9615</v>
      </c>
      <c r="W4303" s="153" t="s">
        <v>9616</v>
      </c>
      <c r="AA4303" s="218"/>
    </row>
    <row r="4304" spans="1:27" ht="24" x14ac:dyDescent="0.25">
      <c r="A4304" s="405">
        <v>3003345</v>
      </c>
      <c r="B4304" s="406">
        <v>42576</v>
      </c>
      <c r="C4304" s="405" t="s">
        <v>327</v>
      </c>
      <c r="D4304" s="401" t="s">
        <v>9617</v>
      </c>
      <c r="E4304" s="120">
        <v>187</v>
      </c>
      <c r="F4304" s="133" t="s">
        <v>422</v>
      </c>
      <c r="G4304" s="404" t="s">
        <v>7486</v>
      </c>
      <c r="H4304" s="411">
        <v>271.14999999999998</v>
      </c>
      <c r="I4304" s="411">
        <v>0</v>
      </c>
      <c r="J4304" s="391">
        <f>-((H4304*0.022)+0.3)</f>
        <v>-6.265299999999999</v>
      </c>
      <c r="K4304" s="90">
        <f t="shared" si="861"/>
        <v>264.88469999999995</v>
      </c>
      <c r="L4304" s="131">
        <v>710</v>
      </c>
      <c r="M4304" s="187">
        <v>40.93</v>
      </c>
      <c r="N4304" s="91">
        <f t="shared" si="868"/>
        <v>173.70000000000002</v>
      </c>
      <c r="O4304" s="411">
        <f t="shared" si="870"/>
        <v>91.184699999999935</v>
      </c>
      <c r="P4304" s="132" t="s">
        <v>52</v>
      </c>
      <c r="Q4304" s="232"/>
      <c r="R4304" s="411"/>
      <c r="T4304" s="134" t="s">
        <v>145</v>
      </c>
      <c r="U4304" s="267" t="s">
        <v>9618</v>
      </c>
      <c r="W4304" s="153" t="s">
        <v>9619</v>
      </c>
      <c r="AA4304" s="218"/>
    </row>
    <row r="4305" spans="1:27" ht="24" x14ac:dyDescent="0.25">
      <c r="A4305" s="405">
        <v>3003346</v>
      </c>
      <c r="B4305" s="406">
        <v>42576</v>
      </c>
      <c r="C4305" s="405" t="s">
        <v>5682</v>
      </c>
      <c r="D4305" s="401" t="s">
        <v>9620</v>
      </c>
      <c r="E4305" s="120">
        <v>250</v>
      </c>
      <c r="F4305" s="133" t="s">
        <v>1787</v>
      </c>
      <c r="G4305" s="404" t="s">
        <v>7486</v>
      </c>
      <c r="H4305" s="411">
        <v>160.55000000000001</v>
      </c>
      <c r="I4305" s="89">
        <f t="shared" ref="I4305" si="873">-(H4305*0.09)</f>
        <v>-14.4495</v>
      </c>
      <c r="J4305" s="391">
        <f t="shared" ref="J4305" si="874">-((H4305*0.019)+0.3)</f>
        <v>-3.3504499999999999</v>
      </c>
      <c r="K4305" s="90">
        <f t="shared" si="861"/>
        <v>142.75005000000002</v>
      </c>
      <c r="M4305" s="187">
        <v>14.74</v>
      </c>
      <c r="N4305" s="91">
        <f t="shared" si="868"/>
        <v>14.74</v>
      </c>
      <c r="O4305" s="411">
        <f t="shared" si="870"/>
        <v>128.01005000000001</v>
      </c>
      <c r="P4305" s="132" t="s">
        <v>52</v>
      </c>
      <c r="Q4305" s="232"/>
      <c r="R4305" s="411"/>
      <c r="T4305" s="134" t="s">
        <v>145</v>
      </c>
      <c r="U4305" s="267" t="s">
        <v>9621</v>
      </c>
      <c r="AA4305" s="218"/>
    </row>
    <row r="4306" spans="1:27" ht="24" x14ac:dyDescent="0.25">
      <c r="A4306" s="405">
        <v>3003347</v>
      </c>
      <c r="B4306" s="406">
        <v>42576</v>
      </c>
      <c r="C4306" s="405" t="s">
        <v>63</v>
      </c>
      <c r="D4306" s="401" t="s">
        <v>9622</v>
      </c>
      <c r="E4306" s="120">
        <v>175</v>
      </c>
      <c r="F4306" s="133" t="s">
        <v>51</v>
      </c>
      <c r="G4306" s="404" t="s">
        <v>7486</v>
      </c>
      <c r="H4306" s="411">
        <v>330</v>
      </c>
      <c r="I4306" s="411">
        <v>0</v>
      </c>
      <c r="J4306" s="391">
        <f>-((H4306*0.022)+0.3)</f>
        <v>-7.56</v>
      </c>
      <c r="K4306" s="90">
        <f t="shared" si="861"/>
        <v>322.44</v>
      </c>
      <c r="L4306" s="131">
        <v>1015</v>
      </c>
      <c r="M4306" s="265">
        <v>67.349999999999994</v>
      </c>
      <c r="N4306" s="91">
        <f t="shared" si="868"/>
        <v>244.97500000000002</v>
      </c>
      <c r="O4306" s="411">
        <f t="shared" si="870"/>
        <v>77.464999999999975</v>
      </c>
      <c r="P4306" s="132" t="s">
        <v>52</v>
      </c>
      <c r="Q4306" s="232"/>
      <c r="R4306" s="411"/>
      <c r="T4306" s="134" t="s">
        <v>145</v>
      </c>
      <c r="U4306" s="267" t="s">
        <v>9623</v>
      </c>
      <c r="W4306" s="153" t="s">
        <v>9624</v>
      </c>
      <c r="AA4306" s="218"/>
    </row>
    <row r="4307" spans="1:27" x14ac:dyDescent="0.25">
      <c r="A4307" s="405">
        <v>3003348</v>
      </c>
      <c r="B4307" s="406">
        <v>42576</v>
      </c>
      <c r="C4307" s="405" t="s">
        <v>9435</v>
      </c>
      <c r="D4307" s="401" t="s">
        <v>7439</v>
      </c>
      <c r="E4307" s="120">
        <v>1050</v>
      </c>
      <c r="F4307" s="133" t="s">
        <v>9625</v>
      </c>
      <c r="G4307" s="404" t="s">
        <v>7486</v>
      </c>
      <c r="H4307" s="411">
        <v>2520.1999999999998</v>
      </c>
      <c r="I4307" s="411">
        <v>0</v>
      </c>
      <c r="J4307" s="391">
        <f>-((H4307*0.022)+0.3)</f>
        <v>-55.744399999999992</v>
      </c>
      <c r="K4307" s="90">
        <f t="shared" si="861"/>
        <v>2464.4555999999998</v>
      </c>
      <c r="L4307" s="187">
        <v>1680</v>
      </c>
      <c r="M4307" s="224">
        <v>309.68</v>
      </c>
      <c r="N4307" s="91">
        <f t="shared" si="868"/>
        <v>2073.6799999999998</v>
      </c>
      <c r="O4307" s="411">
        <f t="shared" si="870"/>
        <v>390.77559999999994</v>
      </c>
      <c r="P4307" s="132" t="s">
        <v>3401</v>
      </c>
      <c r="Q4307" s="232"/>
      <c r="R4307" s="411"/>
      <c r="T4307" s="134" t="s">
        <v>97</v>
      </c>
      <c r="U4307" s="267" t="s">
        <v>9626</v>
      </c>
      <c r="V4307" s="133" t="s">
        <v>55</v>
      </c>
      <c r="W4307" s="153" t="s">
        <v>7442</v>
      </c>
      <c r="AA4307" s="218">
        <v>25</v>
      </c>
    </row>
    <row r="4308" spans="1:27" x14ac:dyDescent="0.25">
      <c r="A4308" s="405">
        <v>3003349</v>
      </c>
      <c r="B4308" s="406">
        <v>42577</v>
      </c>
      <c r="C4308" s="405" t="s">
        <v>9435</v>
      </c>
      <c r="D4308" s="401" t="s">
        <v>9627</v>
      </c>
      <c r="E4308" s="120">
        <v>5410</v>
      </c>
      <c r="F4308" s="133" t="s">
        <v>9628</v>
      </c>
      <c r="G4308" s="404" t="s">
        <v>7486</v>
      </c>
      <c r="H4308" s="411">
        <v>4598.5</v>
      </c>
      <c r="I4308" s="411">
        <v>0</v>
      </c>
      <c r="J4308" s="391">
        <f>-((H4308*0.022)+0.3)</f>
        <v>-101.46699999999998</v>
      </c>
      <c r="K4308" s="90">
        <f t="shared" si="861"/>
        <v>4497.0330000000004</v>
      </c>
      <c r="L4308" s="187">
        <v>410</v>
      </c>
      <c r="M4308" s="187">
        <v>328.04</v>
      </c>
      <c r="N4308" s="91">
        <f t="shared" si="868"/>
        <v>2546.14</v>
      </c>
      <c r="O4308" s="411">
        <f t="shared" si="870"/>
        <v>1950.8930000000005</v>
      </c>
      <c r="P4308" s="132" t="s">
        <v>3597</v>
      </c>
      <c r="Q4308" s="232"/>
      <c r="R4308" s="411"/>
      <c r="T4308" s="134" t="s">
        <v>399</v>
      </c>
      <c r="U4308" s="267" t="s">
        <v>9629</v>
      </c>
      <c r="W4308" s="153" t="s">
        <v>9630</v>
      </c>
      <c r="AA4308" s="218">
        <v>25</v>
      </c>
    </row>
    <row r="4309" spans="1:27" ht="24" x14ac:dyDescent="0.25">
      <c r="A4309" s="419">
        <v>3003350</v>
      </c>
      <c r="B4309" s="421">
        <v>42577</v>
      </c>
      <c r="C4309" s="419" t="s">
        <v>9435</v>
      </c>
      <c r="D4309" s="417" t="s">
        <v>9631</v>
      </c>
      <c r="E4309" s="120">
        <v>500</v>
      </c>
      <c r="F4309" s="119" t="s">
        <v>9632</v>
      </c>
      <c r="G4309" s="434" t="s">
        <v>7486</v>
      </c>
      <c r="H4309" s="427">
        <v>360</v>
      </c>
      <c r="I4309" s="427">
        <v>0</v>
      </c>
      <c r="J4309" s="425">
        <f>-((H4309*0.022)+0.3)</f>
        <v>-8.2200000000000006</v>
      </c>
      <c r="K4309" s="425">
        <f t="shared" si="861"/>
        <v>351.78</v>
      </c>
      <c r="L4309" s="187">
        <v>145</v>
      </c>
      <c r="M4309" s="187">
        <v>17.39</v>
      </c>
      <c r="N4309" s="91">
        <f t="shared" si="868"/>
        <v>89.89</v>
      </c>
      <c r="O4309" s="411">
        <f t="shared" si="870"/>
        <v>261.89</v>
      </c>
      <c r="P4309" s="132" t="s">
        <v>183</v>
      </c>
      <c r="Q4309" s="232"/>
      <c r="R4309" s="411"/>
      <c r="T4309" s="439" t="s">
        <v>145</v>
      </c>
      <c r="U4309" s="446" t="s">
        <v>9633</v>
      </c>
      <c r="W4309" s="153" t="s">
        <v>9634</v>
      </c>
      <c r="AA4309" s="218"/>
    </row>
    <row r="4310" spans="1:27" ht="24" x14ac:dyDescent="0.25">
      <c r="A4310" s="420"/>
      <c r="B4310" s="422"/>
      <c r="C4310" s="420"/>
      <c r="D4310" s="418"/>
      <c r="E4310" s="120">
        <v>1000</v>
      </c>
      <c r="F4310" s="119" t="s">
        <v>9635</v>
      </c>
      <c r="G4310" s="436"/>
      <c r="H4310" s="428"/>
      <c r="I4310" s="428"/>
      <c r="J4310" s="426"/>
      <c r="K4310" s="426"/>
      <c r="L4310" s="187">
        <v>123</v>
      </c>
      <c r="M4310" s="187"/>
      <c r="N4310" s="91">
        <f t="shared" si="868"/>
        <v>123</v>
      </c>
      <c r="O4310" s="411">
        <f t="shared" si="870"/>
        <v>-123</v>
      </c>
      <c r="P4310" s="132" t="s">
        <v>183</v>
      </c>
      <c r="Q4310" s="232"/>
      <c r="R4310" s="411"/>
      <c r="T4310" s="441"/>
      <c r="U4310" s="447"/>
      <c r="AA4310" s="218"/>
    </row>
    <row r="4311" spans="1:27" ht="24" x14ac:dyDescent="0.25">
      <c r="A4311" s="405">
        <v>3003351</v>
      </c>
      <c r="B4311" s="406">
        <v>42577</v>
      </c>
      <c r="C4311" s="405" t="s">
        <v>141</v>
      </c>
      <c r="D4311" s="401" t="s">
        <v>9636</v>
      </c>
      <c r="E4311" s="120">
        <v>100</v>
      </c>
      <c r="F4311" s="133" t="s">
        <v>9637</v>
      </c>
      <c r="G4311" s="404" t="s">
        <v>7486</v>
      </c>
      <c r="H4311" s="411">
        <v>340</v>
      </c>
      <c r="I4311" s="411">
        <v>0</v>
      </c>
      <c r="J4311" s="391">
        <f>-((H4311*0.0325)+0.3)</f>
        <v>-11.350000000000001</v>
      </c>
      <c r="K4311" s="90">
        <f t="shared" si="861"/>
        <v>328.65</v>
      </c>
      <c r="L4311" s="187">
        <v>1700</v>
      </c>
      <c r="M4311" s="187">
        <v>30.06</v>
      </c>
      <c r="N4311" s="91">
        <f t="shared" si="868"/>
        <v>200.06</v>
      </c>
      <c r="O4311" s="411">
        <f t="shared" si="870"/>
        <v>128.58999999999997</v>
      </c>
      <c r="P4311" s="132" t="s">
        <v>235</v>
      </c>
      <c r="Q4311" s="232"/>
      <c r="R4311" s="411"/>
      <c r="T4311" s="134" t="s">
        <v>145</v>
      </c>
      <c r="U4311" s="267" t="s">
        <v>9638</v>
      </c>
      <c r="W4311" s="153" t="s">
        <v>9639</v>
      </c>
      <c r="AA4311" s="218"/>
    </row>
    <row r="4312" spans="1:27" x14ac:dyDescent="0.25">
      <c r="A4312" s="405">
        <v>3003352</v>
      </c>
      <c r="B4312" s="406">
        <v>42577</v>
      </c>
      <c r="C4312" s="405" t="s">
        <v>327</v>
      </c>
      <c r="D4312" s="401" t="s">
        <v>9640</v>
      </c>
      <c r="E4312" s="120">
        <v>350</v>
      </c>
      <c r="F4312" s="133" t="s">
        <v>178</v>
      </c>
      <c r="G4312" s="404" t="s">
        <v>7486</v>
      </c>
      <c r="H4312" s="411">
        <v>630</v>
      </c>
      <c r="I4312" s="411">
        <v>0</v>
      </c>
      <c r="J4312" s="391">
        <f>-((H4312*0.022)+0.3)</f>
        <v>-14.16</v>
      </c>
      <c r="K4312" s="90">
        <f t="shared" si="861"/>
        <v>615.84</v>
      </c>
      <c r="L4312" s="131">
        <v>830</v>
      </c>
      <c r="M4312" s="187">
        <v>107.26</v>
      </c>
      <c r="N4312" s="91">
        <f t="shared" si="868"/>
        <v>397.76</v>
      </c>
      <c r="O4312" s="411">
        <f t="shared" si="870"/>
        <v>218.08000000000004</v>
      </c>
      <c r="P4312" s="132" t="s">
        <v>86</v>
      </c>
      <c r="Q4312" s="232"/>
      <c r="R4312" s="411"/>
      <c r="T4312" s="134" t="s">
        <v>1467</v>
      </c>
      <c r="U4312" s="267" t="s">
        <v>9641</v>
      </c>
      <c r="V4312" s="133" t="s">
        <v>55</v>
      </c>
      <c r="W4312" s="153" t="s">
        <v>9642</v>
      </c>
      <c r="AA4312" s="218"/>
    </row>
    <row r="4313" spans="1:27" ht="24" x14ac:dyDescent="0.25">
      <c r="A4313" s="405">
        <v>3003353</v>
      </c>
      <c r="B4313" s="406">
        <v>42577</v>
      </c>
      <c r="C4313" s="405" t="s">
        <v>5682</v>
      </c>
      <c r="D4313" s="401" t="s">
        <v>9643</v>
      </c>
      <c r="E4313" s="120">
        <v>250</v>
      </c>
      <c r="F4313" s="133" t="s">
        <v>1472</v>
      </c>
      <c r="G4313" s="404" t="s">
        <v>7486</v>
      </c>
      <c r="H4313" s="411">
        <v>140</v>
      </c>
      <c r="I4313" s="89">
        <f t="shared" ref="I4313:I4321" si="875">-(H4313*0.09)</f>
        <v>-12.6</v>
      </c>
      <c r="J4313" s="391">
        <f t="shared" ref="J4313:J4321" si="876">-((H4313*0.019)+0.3)</f>
        <v>-2.96</v>
      </c>
      <c r="K4313" s="90">
        <f t="shared" si="861"/>
        <v>124.44000000000001</v>
      </c>
      <c r="L4313" s="131">
        <v>210</v>
      </c>
      <c r="M4313" s="187">
        <v>43.35</v>
      </c>
      <c r="N4313" s="91">
        <f t="shared" si="868"/>
        <v>95.85</v>
      </c>
      <c r="O4313" s="411">
        <f t="shared" si="870"/>
        <v>28.590000000000018</v>
      </c>
      <c r="P4313" s="132" t="s">
        <v>52</v>
      </c>
      <c r="Q4313" s="232"/>
      <c r="R4313" s="411"/>
      <c r="T4313" s="134" t="s">
        <v>145</v>
      </c>
      <c r="U4313" s="267" t="s">
        <v>9644</v>
      </c>
      <c r="AA4313" s="256"/>
    </row>
    <row r="4314" spans="1:27" ht="24" x14ac:dyDescent="0.25">
      <c r="A4314" s="405">
        <v>3003354</v>
      </c>
      <c r="B4314" s="406">
        <v>42577</v>
      </c>
      <c r="C4314" s="405" t="s">
        <v>5682</v>
      </c>
      <c r="D4314" s="401" t="s">
        <v>9645</v>
      </c>
      <c r="E4314" s="120">
        <v>70</v>
      </c>
      <c r="F4314" s="133" t="s">
        <v>860</v>
      </c>
      <c r="G4314" s="404" t="s">
        <v>7486</v>
      </c>
      <c r="H4314" s="411">
        <v>483.09</v>
      </c>
      <c r="I4314" s="89">
        <f t="shared" si="875"/>
        <v>-43.478099999999998</v>
      </c>
      <c r="J4314" s="391">
        <f t="shared" si="876"/>
        <v>-9.4787099999999995</v>
      </c>
      <c r="K4314" s="90">
        <f t="shared" si="861"/>
        <v>430.13319000000001</v>
      </c>
      <c r="L4314" s="131">
        <v>3300</v>
      </c>
      <c r="M4314" s="187">
        <v>50.96</v>
      </c>
      <c r="N4314" s="91">
        <f t="shared" si="868"/>
        <v>281.96000000000004</v>
      </c>
      <c r="O4314" s="411">
        <f t="shared" si="870"/>
        <v>148.17318999999998</v>
      </c>
      <c r="P4314" s="132" t="s">
        <v>52</v>
      </c>
      <c r="Q4314" s="232"/>
      <c r="R4314" s="411"/>
      <c r="T4314" s="134" t="s">
        <v>145</v>
      </c>
      <c r="U4314" s="267" t="s">
        <v>9646</v>
      </c>
      <c r="AA4314" s="256"/>
    </row>
    <row r="4315" spans="1:27" ht="24" x14ac:dyDescent="0.25">
      <c r="A4315" s="405">
        <v>3003355</v>
      </c>
      <c r="B4315" s="406">
        <v>42577</v>
      </c>
      <c r="C4315" s="405" t="s">
        <v>5682</v>
      </c>
      <c r="D4315" s="401" t="s">
        <v>9647</v>
      </c>
      <c r="E4315" s="120">
        <v>100</v>
      </c>
      <c r="F4315" s="133" t="s">
        <v>1081</v>
      </c>
      <c r="G4315" s="404" t="s">
        <v>7486</v>
      </c>
      <c r="H4315" s="411">
        <v>320.63</v>
      </c>
      <c r="I4315" s="89">
        <f t="shared" si="875"/>
        <v>-28.8567</v>
      </c>
      <c r="J4315" s="391">
        <f t="shared" si="876"/>
        <v>-6.3919699999999997</v>
      </c>
      <c r="K4315" s="90">
        <f t="shared" si="861"/>
        <v>285.38132999999999</v>
      </c>
      <c r="L4315" s="187">
        <v>1600</v>
      </c>
      <c r="M4315" s="187">
        <v>34.08</v>
      </c>
      <c r="N4315" s="91">
        <f t="shared" si="868"/>
        <v>194.07999999999998</v>
      </c>
      <c r="O4315" s="411">
        <f t="shared" si="870"/>
        <v>91.301330000000007</v>
      </c>
      <c r="P4315" s="132" t="s">
        <v>235</v>
      </c>
      <c r="Q4315" s="232"/>
      <c r="R4315" s="411">
        <v>20.98</v>
      </c>
      <c r="S4315" s="133" t="s">
        <v>5572</v>
      </c>
      <c r="T4315" s="134" t="s">
        <v>145</v>
      </c>
      <c r="U4315" s="267" t="s">
        <v>9648</v>
      </c>
      <c r="AA4315" s="256"/>
    </row>
    <row r="4316" spans="1:27" ht="24" x14ac:dyDescent="0.25">
      <c r="A4316" s="405">
        <v>3003356</v>
      </c>
      <c r="B4316" s="406">
        <v>42577</v>
      </c>
      <c r="C4316" s="405" t="s">
        <v>5682</v>
      </c>
      <c r="D4316" s="401" t="s">
        <v>9649</v>
      </c>
      <c r="E4316" s="120">
        <v>250</v>
      </c>
      <c r="F4316" s="133" t="s">
        <v>824</v>
      </c>
      <c r="G4316" s="404" t="s">
        <v>7486</v>
      </c>
      <c r="H4316" s="411">
        <v>97.95</v>
      </c>
      <c r="I4316" s="89">
        <f t="shared" si="875"/>
        <v>-8.8155000000000001</v>
      </c>
      <c r="J4316" s="391">
        <f t="shared" si="876"/>
        <v>-2.1610499999999999</v>
      </c>
      <c r="K4316" s="90">
        <f t="shared" si="861"/>
        <v>86.97345</v>
      </c>
      <c r="M4316" s="187">
        <v>30.47</v>
      </c>
      <c r="N4316" s="91">
        <f t="shared" si="868"/>
        <v>30.47</v>
      </c>
      <c r="O4316" s="411">
        <f t="shared" si="870"/>
        <v>56.503450000000001</v>
      </c>
      <c r="P4316" s="132" t="s">
        <v>52</v>
      </c>
      <c r="Q4316" s="232"/>
      <c r="R4316" s="411"/>
      <c r="T4316" s="134" t="s">
        <v>145</v>
      </c>
      <c r="U4316" s="267" t="s">
        <v>9650</v>
      </c>
      <c r="AA4316" s="256"/>
    </row>
    <row r="4317" spans="1:27" ht="24" x14ac:dyDescent="0.25">
      <c r="A4317" s="405">
        <v>3003357</v>
      </c>
      <c r="B4317" s="406">
        <v>42577</v>
      </c>
      <c r="C4317" s="405" t="s">
        <v>5682</v>
      </c>
      <c r="D4317" s="401" t="s">
        <v>9651</v>
      </c>
      <c r="E4317" s="120">
        <v>100</v>
      </c>
      <c r="F4317" s="133" t="s">
        <v>1707</v>
      </c>
      <c r="G4317" s="404" t="s">
        <v>7486</v>
      </c>
      <c r="H4317" s="411">
        <v>119.44</v>
      </c>
      <c r="I4317" s="89">
        <f t="shared" si="875"/>
        <v>-10.749599999999999</v>
      </c>
      <c r="J4317" s="391">
        <f t="shared" si="876"/>
        <v>-2.5693599999999996</v>
      </c>
      <c r="K4317" s="90">
        <f t="shared" si="861"/>
        <v>106.12103999999999</v>
      </c>
      <c r="L4317" s="131">
        <v>400</v>
      </c>
      <c r="M4317" s="187">
        <v>27.73</v>
      </c>
      <c r="N4317" s="91">
        <f t="shared" si="868"/>
        <v>67.73</v>
      </c>
      <c r="O4317" s="411">
        <f t="shared" si="870"/>
        <v>38.39103999999999</v>
      </c>
      <c r="P4317" s="132" t="s">
        <v>52</v>
      </c>
      <c r="Q4317" s="232"/>
      <c r="R4317" s="411"/>
      <c r="T4317" s="134" t="s">
        <v>145</v>
      </c>
      <c r="U4317" s="267" t="s">
        <v>9652</v>
      </c>
      <c r="AA4317" s="256"/>
    </row>
    <row r="4318" spans="1:27" ht="24" x14ac:dyDescent="0.25">
      <c r="A4318" s="405">
        <v>3003358</v>
      </c>
      <c r="B4318" s="406">
        <v>42577</v>
      </c>
      <c r="C4318" s="405" t="s">
        <v>5682</v>
      </c>
      <c r="D4318" s="401" t="s">
        <v>9653</v>
      </c>
      <c r="E4318" s="120">
        <v>13</v>
      </c>
      <c r="F4318" s="133" t="s">
        <v>4341</v>
      </c>
      <c r="G4318" s="404" t="s">
        <v>7486</v>
      </c>
      <c r="H4318" s="411">
        <v>184.25</v>
      </c>
      <c r="I4318" s="89">
        <f t="shared" si="875"/>
        <v>-16.5825</v>
      </c>
      <c r="J4318" s="391">
        <f t="shared" si="876"/>
        <v>-3.8007499999999999</v>
      </c>
      <c r="K4318" s="90">
        <f t="shared" si="861"/>
        <v>163.86675</v>
      </c>
      <c r="L4318" s="187">
        <v>7000</v>
      </c>
      <c r="M4318" s="187">
        <v>29.04</v>
      </c>
      <c r="N4318" s="91">
        <f t="shared" si="868"/>
        <v>120.04000000000002</v>
      </c>
      <c r="O4318" s="411">
        <f t="shared" si="870"/>
        <v>43.826749999999976</v>
      </c>
      <c r="P4318" s="132" t="s">
        <v>183</v>
      </c>
      <c r="Q4318" s="232"/>
      <c r="R4318" s="411"/>
      <c r="T4318" s="134" t="s">
        <v>324</v>
      </c>
      <c r="U4318" s="266" t="s">
        <v>9654</v>
      </c>
      <c r="V4318" s="133" t="s">
        <v>6072</v>
      </c>
      <c r="AA4318" s="256"/>
    </row>
    <row r="4319" spans="1:27" ht="24" x14ac:dyDescent="0.25">
      <c r="A4319" s="405">
        <v>3003359</v>
      </c>
      <c r="B4319" s="406">
        <v>42577</v>
      </c>
      <c r="C4319" s="405" t="s">
        <v>5682</v>
      </c>
      <c r="D4319" s="401" t="s">
        <v>9655</v>
      </c>
      <c r="E4319" s="120">
        <v>100</v>
      </c>
      <c r="F4319" s="133" t="s">
        <v>161</v>
      </c>
      <c r="G4319" s="404" t="s">
        <v>7486</v>
      </c>
      <c r="H4319" s="411">
        <v>230</v>
      </c>
      <c r="I4319" s="89">
        <f t="shared" si="875"/>
        <v>-20.7</v>
      </c>
      <c r="J4319" s="391">
        <f t="shared" si="876"/>
        <v>-4.67</v>
      </c>
      <c r="K4319" s="90">
        <f t="shared" si="861"/>
        <v>204.63000000000002</v>
      </c>
      <c r="L4319" s="131">
        <v>1322</v>
      </c>
      <c r="M4319" s="187">
        <v>23</v>
      </c>
      <c r="N4319" s="91">
        <f t="shared" si="868"/>
        <v>155.20000000000002</v>
      </c>
      <c r="O4319" s="411">
        <f t="shared" si="870"/>
        <v>49.430000000000007</v>
      </c>
      <c r="P4319" s="132" t="s">
        <v>52</v>
      </c>
      <c r="Q4319" s="232"/>
      <c r="R4319" s="411"/>
      <c r="T4319" s="134" t="s">
        <v>145</v>
      </c>
      <c r="U4319" s="267" t="s">
        <v>9656</v>
      </c>
      <c r="AA4319" s="256"/>
    </row>
    <row r="4320" spans="1:27" ht="24" x14ac:dyDescent="0.25">
      <c r="A4320" s="405">
        <v>3003360</v>
      </c>
      <c r="B4320" s="406">
        <v>42577</v>
      </c>
      <c r="C4320" s="405" t="s">
        <v>5682</v>
      </c>
      <c r="D4320" s="401" t="s">
        <v>9657</v>
      </c>
      <c r="E4320" s="120">
        <v>250</v>
      </c>
      <c r="F4320" s="133" t="s">
        <v>8661</v>
      </c>
      <c r="G4320" s="404" t="s">
        <v>7486</v>
      </c>
      <c r="H4320" s="411">
        <v>152.46</v>
      </c>
      <c r="I4320" s="89">
        <f t="shared" si="875"/>
        <v>-13.721400000000001</v>
      </c>
      <c r="J4320" s="391">
        <f t="shared" si="876"/>
        <v>-3.1967399999999997</v>
      </c>
      <c r="K4320" s="90">
        <f t="shared" si="861"/>
        <v>135.54186000000001</v>
      </c>
      <c r="L4320" s="187">
        <v>273.26</v>
      </c>
      <c r="M4320" s="187">
        <v>21.21</v>
      </c>
      <c r="N4320" s="91">
        <f t="shared" si="868"/>
        <v>89.525000000000006</v>
      </c>
      <c r="O4320" s="411">
        <f t="shared" si="870"/>
        <v>46.016860000000008</v>
      </c>
      <c r="P4320" s="132" t="s">
        <v>76</v>
      </c>
      <c r="Q4320" s="232"/>
      <c r="R4320" s="411"/>
      <c r="T4320" s="134" t="s">
        <v>324</v>
      </c>
      <c r="U4320" s="266" t="s">
        <v>9658</v>
      </c>
      <c r="AA4320" s="256"/>
    </row>
    <row r="4321" spans="1:27" x14ac:dyDescent="0.25">
      <c r="A4321" s="405">
        <v>3003361</v>
      </c>
      <c r="B4321" s="406">
        <v>42577</v>
      </c>
      <c r="C4321" s="405" t="s">
        <v>5682</v>
      </c>
      <c r="D4321" s="401" t="s">
        <v>9659</v>
      </c>
      <c r="E4321" s="120">
        <v>1000</v>
      </c>
      <c r="F4321" s="133" t="s">
        <v>9660</v>
      </c>
      <c r="G4321" s="404" t="s">
        <v>7486</v>
      </c>
      <c r="H4321" s="411">
        <v>1740.42</v>
      </c>
      <c r="I4321" s="89">
        <f t="shared" si="875"/>
        <v>-156.6378</v>
      </c>
      <c r="J4321" s="391">
        <f t="shared" si="876"/>
        <v>-33.367979999999996</v>
      </c>
      <c r="K4321" s="90">
        <f t="shared" si="861"/>
        <v>1550.4142200000001</v>
      </c>
      <c r="L4321" s="187">
        <v>1100</v>
      </c>
      <c r="M4321" s="131">
        <v>0</v>
      </c>
      <c r="N4321" s="91">
        <f t="shared" si="868"/>
        <v>1100</v>
      </c>
      <c r="O4321" s="411">
        <f t="shared" si="870"/>
        <v>450.41422000000011</v>
      </c>
      <c r="P4321" s="132" t="s">
        <v>601</v>
      </c>
      <c r="Q4321" s="232"/>
      <c r="R4321" s="411"/>
      <c r="T4321" s="134" t="s">
        <v>760</v>
      </c>
      <c r="U4321" s="267" t="s">
        <v>9661</v>
      </c>
      <c r="AA4321" s="256"/>
    </row>
    <row r="4322" spans="1:27" ht="24" x14ac:dyDescent="0.25">
      <c r="A4322" s="405">
        <v>3003362</v>
      </c>
      <c r="B4322" s="406">
        <v>42577</v>
      </c>
      <c r="C4322" s="405" t="s">
        <v>237</v>
      </c>
      <c r="D4322" s="401" t="s">
        <v>9662</v>
      </c>
      <c r="E4322" s="120">
        <v>5000</v>
      </c>
      <c r="F4322" s="133" t="s">
        <v>9663</v>
      </c>
      <c r="G4322" s="404" t="s">
        <v>7486</v>
      </c>
      <c r="H4322" s="411">
        <v>274.76</v>
      </c>
      <c r="I4322" s="397">
        <f t="shared" ref="I4322:I4324" si="877">-(H4322*0.15)</f>
        <v>-41.213999999999999</v>
      </c>
      <c r="J4322" s="411">
        <v>0</v>
      </c>
      <c r="K4322" s="90">
        <f t="shared" si="861"/>
        <v>233.54599999999999</v>
      </c>
      <c r="L4322" s="187">
        <v>25.76</v>
      </c>
      <c r="M4322" s="187">
        <v>14.41</v>
      </c>
      <c r="N4322" s="91">
        <f t="shared" si="868"/>
        <v>143.21</v>
      </c>
      <c r="O4322" s="411">
        <f t="shared" si="870"/>
        <v>90.335999999999984</v>
      </c>
      <c r="P4322" s="132" t="s">
        <v>76</v>
      </c>
      <c r="Q4322" s="232"/>
      <c r="R4322" s="411"/>
      <c r="T4322" s="134" t="s">
        <v>145</v>
      </c>
      <c r="U4322" s="267" t="s">
        <v>9664</v>
      </c>
      <c r="AA4322" s="256"/>
    </row>
    <row r="4323" spans="1:27" ht="24" x14ac:dyDescent="0.25">
      <c r="A4323" s="405">
        <v>3003363</v>
      </c>
      <c r="B4323" s="406">
        <v>42577</v>
      </c>
      <c r="C4323" s="405" t="s">
        <v>237</v>
      </c>
      <c r="D4323" s="401" t="s">
        <v>9665</v>
      </c>
      <c r="E4323" s="120">
        <v>100</v>
      </c>
      <c r="F4323" s="133" t="s">
        <v>161</v>
      </c>
      <c r="G4323" s="404" t="s">
        <v>7486</v>
      </c>
      <c r="H4323" s="411">
        <v>260</v>
      </c>
      <c r="I4323" s="397">
        <f t="shared" si="877"/>
        <v>-39</v>
      </c>
      <c r="J4323" s="411">
        <v>0</v>
      </c>
      <c r="K4323" s="90">
        <f t="shared" si="861"/>
        <v>221</v>
      </c>
      <c r="L4323" s="131">
        <v>1322</v>
      </c>
      <c r="M4323" s="187">
        <v>37.82</v>
      </c>
      <c r="N4323" s="91">
        <f t="shared" si="868"/>
        <v>170.02</v>
      </c>
      <c r="O4323" s="411">
        <f t="shared" si="870"/>
        <v>50.97999999999999</v>
      </c>
      <c r="P4323" s="132" t="s">
        <v>52</v>
      </c>
      <c r="Q4323" s="232"/>
      <c r="R4323" s="411"/>
      <c r="T4323" s="134" t="s">
        <v>145</v>
      </c>
      <c r="U4323" s="267" t="s">
        <v>9666</v>
      </c>
      <c r="AA4323" s="256"/>
    </row>
    <row r="4324" spans="1:27" ht="24" x14ac:dyDescent="0.25">
      <c r="A4324" s="405">
        <v>3003364</v>
      </c>
      <c r="B4324" s="406">
        <v>42577</v>
      </c>
      <c r="C4324" s="405" t="s">
        <v>237</v>
      </c>
      <c r="D4324" s="401" t="s">
        <v>9667</v>
      </c>
      <c r="E4324" s="120">
        <v>100</v>
      </c>
      <c r="F4324" s="133" t="s">
        <v>288</v>
      </c>
      <c r="G4324" s="404" t="s">
        <v>7486</v>
      </c>
      <c r="H4324" s="411">
        <v>190</v>
      </c>
      <c r="I4324" s="397">
        <f t="shared" si="877"/>
        <v>-28.5</v>
      </c>
      <c r="J4324" s="411">
        <v>0</v>
      </c>
      <c r="K4324" s="90">
        <f t="shared" si="861"/>
        <v>161.5</v>
      </c>
      <c r="L4324" s="131">
        <v>950</v>
      </c>
      <c r="M4324" s="187">
        <v>30.72</v>
      </c>
      <c r="N4324" s="91">
        <f t="shared" si="868"/>
        <v>125.72</v>
      </c>
      <c r="O4324" s="411">
        <f t="shared" si="870"/>
        <v>35.78</v>
      </c>
      <c r="P4324" s="132" t="s">
        <v>52</v>
      </c>
      <c r="Q4324" s="232"/>
      <c r="R4324" s="411"/>
      <c r="T4324" s="134" t="s">
        <v>145</v>
      </c>
      <c r="U4324" s="267" t="s">
        <v>9668</v>
      </c>
      <c r="AA4324" s="256"/>
    </row>
    <row r="4325" spans="1:27" x14ac:dyDescent="0.25">
      <c r="A4325" s="419">
        <v>3003365</v>
      </c>
      <c r="B4325" s="421">
        <v>42577</v>
      </c>
      <c r="C4325" s="419" t="s">
        <v>327</v>
      </c>
      <c r="D4325" s="417" t="s">
        <v>1521</v>
      </c>
      <c r="E4325" s="120">
        <v>100</v>
      </c>
      <c r="F4325" s="133" t="s">
        <v>9669</v>
      </c>
      <c r="G4325" s="434" t="s">
        <v>7486</v>
      </c>
      <c r="H4325" s="427">
        <v>1214.48</v>
      </c>
      <c r="I4325" s="427">
        <v>0</v>
      </c>
      <c r="J4325" s="425">
        <f>-((H4325*0.022)+0.3)</f>
        <v>-27.018560000000001</v>
      </c>
      <c r="K4325" s="425">
        <f t="shared" si="861"/>
        <v>1187.46144</v>
      </c>
      <c r="L4325" s="187">
        <v>3400</v>
      </c>
      <c r="M4325" s="187">
        <v>130</v>
      </c>
      <c r="N4325" s="91">
        <f t="shared" si="868"/>
        <v>470</v>
      </c>
      <c r="O4325" s="411">
        <f t="shared" si="870"/>
        <v>717.46144000000004</v>
      </c>
      <c r="P4325" s="132" t="s">
        <v>183</v>
      </c>
      <c r="Q4325" s="232"/>
      <c r="R4325" s="411">
        <v>96.48</v>
      </c>
      <c r="S4325" s="133" t="s">
        <v>52</v>
      </c>
      <c r="T4325" s="134" t="s">
        <v>717</v>
      </c>
      <c r="U4325" s="267" t="s">
        <v>9670</v>
      </c>
      <c r="W4325" s="153" t="s">
        <v>1524</v>
      </c>
      <c r="AA4325" s="473">
        <v>25</v>
      </c>
    </row>
    <row r="4326" spans="1:27" ht="24" x14ac:dyDescent="0.25">
      <c r="A4326" s="420"/>
      <c r="B4326" s="422"/>
      <c r="C4326" s="420"/>
      <c r="D4326" s="418"/>
      <c r="E4326" s="120">
        <v>150</v>
      </c>
      <c r="F4326" s="133" t="s">
        <v>1522</v>
      </c>
      <c r="G4326" s="436"/>
      <c r="H4326" s="428"/>
      <c r="I4326" s="428"/>
      <c r="J4326" s="426"/>
      <c r="K4326" s="426"/>
      <c r="L4326" s="131">
        <v>716</v>
      </c>
      <c r="M4326" s="187">
        <v>30.41</v>
      </c>
      <c r="N4326" s="91">
        <f t="shared" si="868"/>
        <v>137.81</v>
      </c>
      <c r="O4326" s="411">
        <f t="shared" si="870"/>
        <v>-137.81</v>
      </c>
      <c r="P4326" s="132" t="s">
        <v>52</v>
      </c>
      <c r="Q4326" s="232"/>
      <c r="R4326" s="411"/>
      <c r="T4326" s="134" t="s">
        <v>145</v>
      </c>
      <c r="U4326" s="267" t="s">
        <v>9671</v>
      </c>
      <c r="V4326" s="133" t="s">
        <v>9672</v>
      </c>
      <c r="AA4326" s="474"/>
    </row>
    <row r="4327" spans="1:27" ht="24" x14ac:dyDescent="0.25">
      <c r="A4327" s="405">
        <v>3003366</v>
      </c>
      <c r="B4327" s="406">
        <v>42577</v>
      </c>
      <c r="C4327" s="405" t="s">
        <v>237</v>
      </c>
      <c r="D4327" s="401" t="s">
        <v>9673</v>
      </c>
      <c r="E4327" s="120">
        <v>100</v>
      </c>
      <c r="F4327" s="133" t="s">
        <v>161</v>
      </c>
      <c r="G4327" s="404" t="s">
        <v>7486</v>
      </c>
      <c r="H4327" s="411">
        <v>260</v>
      </c>
      <c r="I4327" s="397">
        <f t="shared" ref="I4327" si="878">-(H4327*0.15)</f>
        <v>-39</v>
      </c>
      <c r="J4327" s="411">
        <v>0</v>
      </c>
      <c r="K4327" s="90">
        <f t="shared" si="861"/>
        <v>221</v>
      </c>
      <c r="L4327" s="131">
        <v>1322</v>
      </c>
      <c r="M4327" s="187">
        <v>40.81</v>
      </c>
      <c r="N4327" s="91">
        <f t="shared" si="868"/>
        <v>173.01000000000002</v>
      </c>
      <c r="O4327" s="411">
        <f t="shared" si="870"/>
        <v>47.989999999999981</v>
      </c>
      <c r="P4327" s="132" t="s">
        <v>52</v>
      </c>
      <c r="Q4327" s="232"/>
      <c r="R4327" s="411"/>
      <c r="T4327" s="134" t="s">
        <v>145</v>
      </c>
      <c r="U4327" s="267" t="s">
        <v>9674</v>
      </c>
      <c r="AA4327" s="218"/>
    </row>
    <row r="4328" spans="1:27" ht="24" x14ac:dyDescent="0.25">
      <c r="A4328" s="405">
        <v>3003367</v>
      </c>
      <c r="B4328" s="406">
        <v>42577</v>
      </c>
      <c r="C4328" s="405" t="s">
        <v>5682</v>
      </c>
      <c r="D4328" s="401" t="s">
        <v>9675</v>
      </c>
      <c r="E4328" s="120">
        <v>100</v>
      </c>
      <c r="F4328" s="133" t="s">
        <v>288</v>
      </c>
      <c r="G4328" s="404" t="s">
        <v>7486</v>
      </c>
      <c r="H4328" s="411">
        <v>195.25</v>
      </c>
      <c r="I4328" s="89">
        <f t="shared" ref="I4328:I4329" si="879">-(H4328*0.09)</f>
        <v>-17.572499999999998</v>
      </c>
      <c r="J4328" s="391">
        <f t="shared" ref="J4328:J4332" si="880">-((H4328*0.019)+0.3)</f>
        <v>-4.0097500000000004</v>
      </c>
      <c r="K4328" s="90">
        <f t="shared" si="861"/>
        <v>173.66775000000001</v>
      </c>
      <c r="L4328" s="131">
        <v>950</v>
      </c>
      <c r="M4328" s="187">
        <v>41.73</v>
      </c>
      <c r="N4328" s="91">
        <f t="shared" si="868"/>
        <v>136.72999999999999</v>
      </c>
      <c r="O4328" s="411">
        <f t="shared" si="870"/>
        <v>36.937750000000023</v>
      </c>
      <c r="P4328" s="132" t="s">
        <v>52</v>
      </c>
      <c r="Q4328" s="232"/>
      <c r="R4328" s="411"/>
      <c r="T4328" s="134" t="s">
        <v>145</v>
      </c>
      <c r="U4328" s="267" t="s">
        <v>9676</v>
      </c>
      <c r="AA4328" s="218"/>
    </row>
    <row r="4329" spans="1:27" ht="24" x14ac:dyDescent="0.25">
      <c r="A4329" s="405">
        <v>3003368</v>
      </c>
      <c r="B4329" s="406">
        <v>42577</v>
      </c>
      <c r="C4329" s="405" t="s">
        <v>5682</v>
      </c>
      <c r="D4329" s="401" t="s">
        <v>9677</v>
      </c>
      <c r="E4329" s="120">
        <v>500</v>
      </c>
      <c r="F4329" s="133" t="s">
        <v>9678</v>
      </c>
      <c r="G4329" s="404" t="s">
        <v>7486</v>
      </c>
      <c r="H4329" s="411">
        <v>540</v>
      </c>
      <c r="I4329" s="89">
        <f t="shared" si="879"/>
        <v>-48.6</v>
      </c>
      <c r="J4329" s="391">
        <f t="shared" si="880"/>
        <v>-10.56</v>
      </c>
      <c r="K4329" s="90">
        <f t="shared" si="861"/>
        <v>480.84</v>
      </c>
      <c r="L4329" s="187">
        <v>521</v>
      </c>
      <c r="M4329" s="187">
        <v>44.71</v>
      </c>
      <c r="N4329" s="91">
        <f t="shared" si="868"/>
        <v>305.20999999999998</v>
      </c>
      <c r="O4329" s="411">
        <f t="shared" si="870"/>
        <v>175.63</v>
      </c>
      <c r="P4329" s="132" t="s">
        <v>330</v>
      </c>
      <c r="Q4329" s="232"/>
      <c r="R4329" s="158"/>
      <c r="T4329" s="135" t="s">
        <v>145</v>
      </c>
      <c r="U4329" s="261" t="s">
        <v>9679</v>
      </c>
      <c r="AA4329" s="218"/>
    </row>
    <row r="4330" spans="1:27" ht="24" x14ac:dyDescent="0.25">
      <c r="A4330" s="405">
        <v>3003369</v>
      </c>
      <c r="B4330" s="406">
        <v>42577</v>
      </c>
      <c r="C4330" s="405" t="s">
        <v>9435</v>
      </c>
      <c r="D4330" s="401" t="s">
        <v>9680</v>
      </c>
      <c r="E4330" s="120">
        <v>225</v>
      </c>
      <c r="F4330" s="133" t="s">
        <v>1547</v>
      </c>
      <c r="G4330" s="404" t="s">
        <v>7486</v>
      </c>
      <c r="H4330" s="411">
        <v>250</v>
      </c>
      <c r="I4330" s="411">
        <v>0</v>
      </c>
      <c r="J4330" s="391">
        <f>-((H4330*0.022)+0.3)</f>
        <v>-5.8</v>
      </c>
      <c r="K4330" s="90">
        <f t="shared" si="861"/>
        <v>244.2</v>
      </c>
      <c r="L4330" s="131">
        <v>419</v>
      </c>
      <c r="M4330" s="187">
        <v>35.770000000000003</v>
      </c>
      <c r="N4330" s="91">
        <f t="shared" si="868"/>
        <v>130.04500000000002</v>
      </c>
      <c r="O4330" s="411">
        <f t="shared" si="870"/>
        <v>114.15499999999997</v>
      </c>
      <c r="P4330" s="132" t="s">
        <v>52</v>
      </c>
      <c r="Q4330" s="232"/>
      <c r="R4330" s="411"/>
      <c r="T4330" s="134" t="s">
        <v>145</v>
      </c>
      <c r="U4330" s="267" t="s">
        <v>9681</v>
      </c>
      <c r="W4330" s="153" t="s">
        <v>9682</v>
      </c>
      <c r="AA4330" s="218"/>
    </row>
    <row r="4331" spans="1:27" x14ac:dyDescent="0.25">
      <c r="A4331" s="405">
        <v>3003370</v>
      </c>
      <c r="B4331" s="406">
        <v>42577</v>
      </c>
      <c r="C4331" s="405" t="s">
        <v>78</v>
      </c>
      <c r="D4331" s="401" t="s">
        <v>269</v>
      </c>
      <c r="E4331" s="120">
        <v>1000</v>
      </c>
      <c r="F4331" s="133" t="s">
        <v>207</v>
      </c>
      <c r="G4331" s="404" t="s">
        <v>7486</v>
      </c>
      <c r="H4331" s="411">
        <v>970</v>
      </c>
      <c r="I4331" s="411">
        <v>0</v>
      </c>
      <c r="J4331" s="391">
        <f t="shared" si="880"/>
        <v>-18.73</v>
      </c>
      <c r="K4331" s="90">
        <f t="shared" si="861"/>
        <v>951.27</v>
      </c>
      <c r="L4331" s="131">
        <v>570</v>
      </c>
      <c r="M4331" s="187">
        <v>120.99</v>
      </c>
      <c r="N4331" s="91">
        <f t="shared" si="868"/>
        <v>690.99</v>
      </c>
      <c r="O4331" s="411">
        <f t="shared" si="870"/>
        <v>260.27999999999997</v>
      </c>
      <c r="P4331" s="132" t="s">
        <v>52</v>
      </c>
      <c r="Q4331" s="232"/>
      <c r="R4331" s="411"/>
      <c r="T4331" s="134" t="s">
        <v>463</v>
      </c>
      <c r="U4331" s="267" t="s">
        <v>9683</v>
      </c>
      <c r="W4331" s="153" t="s">
        <v>271</v>
      </c>
      <c r="AA4331" s="218"/>
    </row>
    <row r="4332" spans="1:27" x14ac:dyDescent="0.25">
      <c r="A4332" s="419">
        <v>3003371</v>
      </c>
      <c r="B4332" s="421">
        <v>42577</v>
      </c>
      <c r="C4332" s="419" t="s">
        <v>9435</v>
      </c>
      <c r="D4332" s="417" t="s">
        <v>9684</v>
      </c>
      <c r="E4332" s="120">
        <v>100</v>
      </c>
      <c r="F4332" s="133" t="s">
        <v>708</v>
      </c>
      <c r="G4332" s="460" t="s">
        <v>7486</v>
      </c>
      <c r="H4332" s="427">
        <v>2315</v>
      </c>
      <c r="I4332" s="427">
        <v>0</v>
      </c>
      <c r="J4332" s="425">
        <f t="shared" si="880"/>
        <v>-44.284999999999997</v>
      </c>
      <c r="K4332" s="425">
        <f t="shared" si="861"/>
        <v>2270.7150000000001</v>
      </c>
      <c r="N4332" s="91">
        <f t="shared" si="868"/>
        <v>0</v>
      </c>
      <c r="O4332" s="411">
        <f t="shared" si="870"/>
        <v>2270.7150000000001</v>
      </c>
      <c r="Q4332" s="232"/>
      <c r="R4332" s="411"/>
      <c r="V4332" s="133" t="s">
        <v>9685</v>
      </c>
      <c r="W4332" s="153" t="s">
        <v>9686</v>
      </c>
      <c r="AA4332" s="600">
        <v>10</v>
      </c>
    </row>
    <row r="4333" spans="1:27" x14ac:dyDescent="0.25">
      <c r="A4333" s="420"/>
      <c r="B4333" s="422"/>
      <c r="C4333" s="420"/>
      <c r="D4333" s="418"/>
      <c r="E4333" s="120">
        <v>450</v>
      </c>
      <c r="F4333" s="133" t="s">
        <v>3643</v>
      </c>
      <c r="G4333" s="462"/>
      <c r="H4333" s="428"/>
      <c r="I4333" s="428"/>
      <c r="J4333" s="426"/>
      <c r="K4333" s="426"/>
      <c r="N4333" s="91">
        <f t="shared" si="868"/>
        <v>0</v>
      </c>
      <c r="O4333" s="411">
        <f t="shared" si="870"/>
        <v>0</v>
      </c>
      <c r="Q4333" s="232"/>
      <c r="R4333" s="411"/>
      <c r="AA4333" s="601"/>
    </row>
    <row r="4334" spans="1:27" ht="24" x14ac:dyDescent="0.25">
      <c r="A4334" s="405">
        <v>3003372</v>
      </c>
      <c r="B4334" s="406">
        <v>42578</v>
      </c>
      <c r="C4334" s="405" t="s">
        <v>141</v>
      </c>
      <c r="D4334" s="401" t="s">
        <v>9687</v>
      </c>
      <c r="E4334" s="120">
        <v>50</v>
      </c>
      <c r="F4334" s="133" t="s">
        <v>9688</v>
      </c>
      <c r="G4334" s="404" t="s">
        <v>7486</v>
      </c>
      <c r="H4334" s="411">
        <v>150</v>
      </c>
      <c r="I4334" s="411">
        <v>0</v>
      </c>
      <c r="J4334" s="391">
        <f>-((H4334*0.0325)+0.3)</f>
        <v>-5.1749999999999998</v>
      </c>
      <c r="K4334" s="90">
        <f t="shared" si="861"/>
        <v>144.82499999999999</v>
      </c>
      <c r="L4334" s="187">
        <v>1344</v>
      </c>
      <c r="M4334" s="187">
        <v>12.02</v>
      </c>
      <c r="N4334" s="91">
        <f t="shared" si="868"/>
        <v>79.22</v>
      </c>
      <c r="O4334" s="411">
        <f t="shared" si="870"/>
        <v>65.60499999999999</v>
      </c>
      <c r="P4334" s="132" t="s">
        <v>5292</v>
      </c>
      <c r="Q4334" s="232"/>
      <c r="R4334" s="411"/>
      <c r="T4334" s="134" t="s">
        <v>145</v>
      </c>
      <c r="U4334" s="267" t="s">
        <v>9689</v>
      </c>
      <c r="W4334" s="153" t="s">
        <v>9690</v>
      </c>
      <c r="AA4334" s="218"/>
    </row>
    <row r="4335" spans="1:27" ht="24" customHeight="1" x14ac:dyDescent="0.25">
      <c r="A4335" s="419">
        <v>3003373</v>
      </c>
      <c r="B4335" s="421">
        <v>42578</v>
      </c>
      <c r="C4335" s="419" t="s">
        <v>9435</v>
      </c>
      <c r="D4335" s="417" t="s">
        <v>9691</v>
      </c>
      <c r="E4335" s="120">
        <v>60</v>
      </c>
      <c r="F4335" s="133" t="s">
        <v>4063</v>
      </c>
      <c r="G4335" s="434" t="s">
        <v>7486</v>
      </c>
      <c r="H4335" s="427">
        <v>260</v>
      </c>
      <c r="I4335" s="427">
        <v>0</v>
      </c>
      <c r="J4335" s="425">
        <f t="shared" ref="J4335" si="881">-((H4335*0.019)+0.3)</f>
        <v>-5.2399999999999993</v>
      </c>
      <c r="K4335" s="425">
        <f t="shared" si="861"/>
        <v>254.76</v>
      </c>
      <c r="L4335" s="131">
        <v>1237</v>
      </c>
      <c r="N4335" s="91">
        <f t="shared" si="868"/>
        <v>74.22</v>
      </c>
      <c r="O4335" s="411">
        <f t="shared" si="870"/>
        <v>180.54</v>
      </c>
      <c r="P4335" s="132" t="s">
        <v>52</v>
      </c>
      <c r="Q4335" s="232"/>
      <c r="R4335" s="411"/>
      <c r="T4335" s="439" t="s">
        <v>145</v>
      </c>
      <c r="U4335" s="267" t="s">
        <v>9692</v>
      </c>
      <c r="W4335" s="153" t="s">
        <v>9693</v>
      </c>
      <c r="AA4335" s="218"/>
    </row>
    <row r="4336" spans="1:27" x14ac:dyDescent="0.25">
      <c r="A4336" s="420"/>
      <c r="B4336" s="422"/>
      <c r="C4336" s="420"/>
      <c r="D4336" s="418"/>
      <c r="E4336" s="120">
        <v>52</v>
      </c>
      <c r="F4336" s="133" t="s">
        <v>2770</v>
      </c>
      <c r="G4336" s="436"/>
      <c r="H4336" s="428"/>
      <c r="I4336" s="428"/>
      <c r="J4336" s="426"/>
      <c r="K4336" s="426"/>
      <c r="M4336" s="187">
        <f>28+5</f>
        <v>33</v>
      </c>
      <c r="N4336" s="91">
        <f t="shared" si="868"/>
        <v>33</v>
      </c>
      <c r="O4336" s="411">
        <f t="shared" si="870"/>
        <v>-33</v>
      </c>
      <c r="P4336" s="132" t="s">
        <v>52</v>
      </c>
      <c r="Q4336" s="232"/>
      <c r="R4336" s="411"/>
      <c r="T4336" s="441"/>
      <c r="U4336" s="267" t="s">
        <v>9694</v>
      </c>
      <c r="AA4336" s="218"/>
    </row>
    <row r="4337" spans="1:27" ht="24" x14ac:dyDescent="0.25">
      <c r="A4337" s="405">
        <v>3003374</v>
      </c>
      <c r="B4337" s="406">
        <v>42578</v>
      </c>
      <c r="C4337" s="405" t="s">
        <v>56</v>
      </c>
      <c r="D4337" s="401" t="s">
        <v>4020</v>
      </c>
      <c r="E4337" s="120">
        <v>2000</v>
      </c>
      <c r="F4337" s="133" t="s">
        <v>9695</v>
      </c>
      <c r="G4337" s="404" t="s">
        <v>7486</v>
      </c>
      <c r="H4337" s="411">
        <v>1640</v>
      </c>
      <c r="I4337" s="411">
        <v>0</v>
      </c>
      <c r="J4337" s="411">
        <v>0</v>
      </c>
      <c r="K4337" s="90">
        <f t="shared" si="861"/>
        <v>1640</v>
      </c>
      <c r="L4337" s="187">
        <v>659.64</v>
      </c>
      <c r="M4337" s="131">
        <v>0</v>
      </c>
      <c r="N4337" s="91">
        <f t="shared" si="868"/>
        <v>1319.28</v>
      </c>
      <c r="O4337" s="411">
        <f t="shared" si="870"/>
        <v>320.72000000000003</v>
      </c>
      <c r="P4337" s="132" t="s">
        <v>76</v>
      </c>
      <c r="Q4337" s="232"/>
      <c r="R4337" s="411"/>
      <c r="T4337" s="134" t="s">
        <v>9696</v>
      </c>
      <c r="U4337" s="266" t="s">
        <v>9697</v>
      </c>
      <c r="V4337" s="133" t="s">
        <v>9698</v>
      </c>
      <c r="W4337" s="153" t="s">
        <v>298</v>
      </c>
      <c r="AA4337" s="218"/>
    </row>
    <row r="4338" spans="1:27" ht="24" x14ac:dyDescent="0.25">
      <c r="A4338" s="419">
        <v>3003375</v>
      </c>
      <c r="B4338" s="421">
        <v>42578</v>
      </c>
      <c r="C4338" s="419" t="s">
        <v>9435</v>
      </c>
      <c r="D4338" s="417" t="s">
        <v>9699</v>
      </c>
      <c r="E4338" s="120">
        <v>220</v>
      </c>
      <c r="F4338" s="133" t="s">
        <v>422</v>
      </c>
      <c r="G4338" s="434" t="s">
        <v>7486</v>
      </c>
      <c r="H4338" s="427">
        <v>380</v>
      </c>
      <c r="I4338" s="427">
        <v>0</v>
      </c>
      <c r="J4338" s="425">
        <f>-((H4338*0.022)+0.3)</f>
        <v>-8.66</v>
      </c>
      <c r="K4338" s="425">
        <f t="shared" si="861"/>
        <v>371.34</v>
      </c>
      <c r="L4338" s="131">
        <v>710</v>
      </c>
      <c r="M4338" s="187">
        <v>62.38</v>
      </c>
      <c r="N4338" s="91">
        <f t="shared" si="868"/>
        <v>218.57999999999998</v>
      </c>
      <c r="O4338" s="411">
        <f t="shared" si="870"/>
        <v>152.76</v>
      </c>
      <c r="P4338" s="132" t="s">
        <v>52</v>
      </c>
      <c r="Q4338" s="232"/>
      <c r="R4338" s="411"/>
      <c r="T4338" s="134" t="s">
        <v>145</v>
      </c>
      <c r="U4338" s="267" t="s">
        <v>9700</v>
      </c>
      <c r="AA4338" s="218"/>
    </row>
    <row r="4339" spans="1:27" ht="24" x14ac:dyDescent="0.25">
      <c r="A4339" s="420"/>
      <c r="B4339" s="422"/>
      <c r="C4339" s="420"/>
      <c r="D4339" s="418"/>
      <c r="E4339" s="120">
        <v>220</v>
      </c>
      <c r="F4339" s="133" t="s">
        <v>4967</v>
      </c>
      <c r="G4339" s="436"/>
      <c r="H4339" s="428"/>
      <c r="I4339" s="428"/>
      <c r="J4339" s="426"/>
      <c r="K4339" s="426"/>
      <c r="L4339" s="187">
        <v>380</v>
      </c>
      <c r="M4339" s="187">
        <v>28.32</v>
      </c>
      <c r="N4339" s="91">
        <f t="shared" si="868"/>
        <v>111.91999999999999</v>
      </c>
      <c r="O4339" s="411">
        <f t="shared" si="870"/>
        <v>-111.91999999999999</v>
      </c>
      <c r="P4339" s="132" t="s">
        <v>183</v>
      </c>
      <c r="Q4339" s="232"/>
      <c r="R4339" s="411"/>
      <c r="T4339" s="134" t="s">
        <v>145</v>
      </c>
      <c r="U4339" s="267" t="s">
        <v>9701</v>
      </c>
      <c r="V4339" s="133" t="s">
        <v>9702</v>
      </c>
      <c r="AA4339" s="218"/>
    </row>
    <row r="4340" spans="1:27" ht="24" x14ac:dyDescent="0.25">
      <c r="A4340" s="405">
        <v>3003376</v>
      </c>
      <c r="B4340" s="406">
        <v>42578</v>
      </c>
      <c r="C4340" s="405" t="s">
        <v>78</v>
      </c>
      <c r="D4340" s="401" t="s">
        <v>703</v>
      </c>
      <c r="E4340" s="120">
        <v>130</v>
      </c>
      <c r="F4340" s="133" t="s">
        <v>626</v>
      </c>
      <c r="G4340" s="404" t="s">
        <v>7486</v>
      </c>
      <c r="H4340" s="411">
        <v>468</v>
      </c>
      <c r="I4340" s="411">
        <v>0</v>
      </c>
      <c r="J4340" s="391">
        <f t="shared" ref="J4340" si="882">-((H4340*0.019)+0.3)</f>
        <v>-9.1920000000000002</v>
      </c>
      <c r="K4340" s="90">
        <f t="shared" si="861"/>
        <v>458.80799999999999</v>
      </c>
      <c r="L4340" s="131">
        <v>1795.05</v>
      </c>
      <c r="M4340" s="187">
        <v>43.42</v>
      </c>
      <c r="N4340" s="91">
        <f t="shared" si="868"/>
        <v>276.7765</v>
      </c>
      <c r="O4340" s="411">
        <f t="shared" si="870"/>
        <v>182.03149999999999</v>
      </c>
      <c r="P4340" s="132" t="s">
        <v>86</v>
      </c>
      <c r="Q4340" s="232"/>
      <c r="R4340" s="411"/>
      <c r="T4340" s="134" t="s">
        <v>145</v>
      </c>
      <c r="U4340" s="267" t="s">
        <v>9703</v>
      </c>
      <c r="W4340" s="153" t="s">
        <v>9704</v>
      </c>
      <c r="AA4340" s="218"/>
    </row>
    <row r="4341" spans="1:27" x14ac:dyDescent="0.25">
      <c r="A4341" s="419">
        <v>3003377</v>
      </c>
      <c r="B4341" s="421">
        <v>42578</v>
      </c>
      <c r="C4341" s="419" t="s">
        <v>56</v>
      </c>
      <c r="D4341" s="417" t="s">
        <v>1192</v>
      </c>
      <c r="E4341" s="120">
        <v>500</v>
      </c>
      <c r="F4341" s="133" t="s">
        <v>288</v>
      </c>
      <c r="G4341" s="434" t="s">
        <v>7486</v>
      </c>
      <c r="H4341" s="427">
        <v>1314</v>
      </c>
      <c r="I4341" s="427">
        <v>0</v>
      </c>
      <c r="J4341" s="427">
        <v>0</v>
      </c>
      <c r="K4341" s="425">
        <f t="shared" si="861"/>
        <v>1314</v>
      </c>
      <c r="L4341" s="131">
        <v>950</v>
      </c>
      <c r="M4341" s="510">
        <v>128.25</v>
      </c>
      <c r="N4341" s="91">
        <f t="shared" si="868"/>
        <v>603.25</v>
      </c>
      <c r="O4341" s="411">
        <f t="shared" si="870"/>
        <v>710.75</v>
      </c>
      <c r="P4341" s="132" t="s">
        <v>86</v>
      </c>
      <c r="Q4341" s="232"/>
      <c r="R4341" s="411"/>
      <c r="T4341" s="439" t="s">
        <v>97</v>
      </c>
      <c r="U4341" s="446" t="s">
        <v>9705</v>
      </c>
      <c r="V4341" s="133" t="s">
        <v>9706</v>
      </c>
      <c r="W4341" s="153" t="s">
        <v>2090</v>
      </c>
      <c r="AA4341" s="218"/>
    </row>
    <row r="4342" spans="1:27" x14ac:dyDescent="0.25">
      <c r="A4342" s="432"/>
      <c r="B4342" s="433"/>
      <c r="C4342" s="432"/>
      <c r="D4342" s="454"/>
      <c r="E4342" s="120">
        <v>115</v>
      </c>
      <c r="F4342" s="133" t="s">
        <v>626</v>
      </c>
      <c r="G4342" s="435"/>
      <c r="H4342" s="438"/>
      <c r="I4342" s="438"/>
      <c r="J4342" s="438"/>
      <c r="K4342" s="437"/>
      <c r="L4342" s="131">
        <v>1795.05</v>
      </c>
      <c r="M4342" s="512"/>
      <c r="N4342" s="91">
        <f t="shared" si="868"/>
        <v>206.43075000000002</v>
      </c>
      <c r="O4342" s="411">
        <f t="shared" si="870"/>
        <v>-206.43075000000002</v>
      </c>
      <c r="P4342" s="132" t="s">
        <v>86</v>
      </c>
      <c r="Q4342" s="232"/>
      <c r="R4342" s="411"/>
      <c r="T4342" s="441"/>
      <c r="U4342" s="447"/>
      <c r="V4342" s="133" t="s">
        <v>55</v>
      </c>
      <c r="AA4342" s="218"/>
    </row>
    <row r="4343" spans="1:27" ht="24" x14ac:dyDescent="0.25">
      <c r="A4343" s="420"/>
      <c r="B4343" s="422"/>
      <c r="C4343" s="420"/>
      <c r="D4343" s="418"/>
      <c r="E4343" s="120">
        <v>200</v>
      </c>
      <c r="F4343" s="133" t="s">
        <v>5506</v>
      </c>
      <c r="G4343" s="436"/>
      <c r="H4343" s="428"/>
      <c r="I4343" s="428"/>
      <c r="J4343" s="428"/>
      <c r="K4343" s="426"/>
      <c r="L4343" s="187">
        <v>175</v>
      </c>
      <c r="M4343" s="187">
        <v>19.03</v>
      </c>
      <c r="N4343" s="91">
        <f t="shared" si="868"/>
        <v>54.03</v>
      </c>
      <c r="O4343" s="411">
        <f t="shared" si="870"/>
        <v>-54.03</v>
      </c>
      <c r="P4343" s="132" t="s">
        <v>235</v>
      </c>
      <c r="Q4343" s="232"/>
      <c r="R4343" s="411"/>
      <c r="T4343" s="134" t="s">
        <v>145</v>
      </c>
      <c r="U4343" s="267" t="s">
        <v>9707</v>
      </c>
      <c r="V4343" s="133" t="s">
        <v>9708</v>
      </c>
      <c r="AA4343" s="218"/>
    </row>
    <row r="4344" spans="1:27" x14ac:dyDescent="0.25">
      <c r="A4344" s="405">
        <v>3003378</v>
      </c>
      <c r="B4344" s="406">
        <v>42578</v>
      </c>
      <c r="C4344" s="405" t="s">
        <v>56</v>
      </c>
      <c r="D4344" s="401" t="s">
        <v>87</v>
      </c>
      <c r="E4344" s="120">
        <v>10000</v>
      </c>
      <c r="F4344" s="133" t="s">
        <v>9709</v>
      </c>
      <c r="G4344" s="404" t="s">
        <v>7486</v>
      </c>
      <c r="H4344" s="411">
        <v>7000</v>
      </c>
      <c r="I4344" s="411">
        <v>0</v>
      </c>
      <c r="J4344" s="411">
        <v>0</v>
      </c>
      <c r="K4344" s="90">
        <f t="shared" ref="K4344:K4358" si="883">SUM(H4344:J4344)</f>
        <v>7000</v>
      </c>
      <c r="L4344" s="187">
        <v>410</v>
      </c>
      <c r="M4344" s="131">
        <v>0</v>
      </c>
      <c r="N4344" s="91">
        <f t="shared" si="868"/>
        <v>4100</v>
      </c>
      <c r="O4344" s="411">
        <f t="shared" si="870"/>
        <v>2900</v>
      </c>
      <c r="P4344" s="132" t="s">
        <v>3597</v>
      </c>
      <c r="Q4344" s="232"/>
      <c r="R4344" s="411"/>
      <c r="T4344" s="134" t="s">
        <v>3598</v>
      </c>
      <c r="U4344" s="267" t="s">
        <v>9710</v>
      </c>
      <c r="V4344" s="133" t="s">
        <v>8550</v>
      </c>
      <c r="AA4344" s="218"/>
    </row>
    <row r="4345" spans="1:27" ht="24" x14ac:dyDescent="0.25">
      <c r="A4345" s="405">
        <v>3003379</v>
      </c>
      <c r="B4345" s="406">
        <v>42578</v>
      </c>
      <c r="C4345" s="405" t="s">
        <v>5682</v>
      </c>
      <c r="D4345" s="401" t="s">
        <v>9711</v>
      </c>
      <c r="E4345" s="120">
        <v>500</v>
      </c>
      <c r="F4345" s="133" t="s">
        <v>9169</v>
      </c>
      <c r="G4345" s="404" t="s">
        <v>7486</v>
      </c>
      <c r="H4345" s="411">
        <v>527.98</v>
      </c>
      <c r="I4345" s="89">
        <f t="shared" ref="I4345:I4354" si="884">-(H4345*0.09)</f>
        <v>-47.5182</v>
      </c>
      <c r="J4345" s="391">
        <f t="shared" ref="J4345:J4354" si="885">-((H4345*0.019)+0.3)</f>
        <v>-10.331620000000001</v>
      </c>
      <c r="K4345" s="90">
        <f t="shared" si="883"/>
        <v>470.13018000000005</v>
      </c>
      <c r="L4345" s="131">
        <v>577</v>
      </c>
      <c r="M4345" s="187">
        <f>37.3+26.8</f>
        <v>64.099999999999994</v>
      </c>
      <c r="N4345" s="91">
        <f t="shared" si="868"/>
        <v>352.6</v>
      </c>
      <c r="O4345" s="411">
        <f t="shared" si="870"/>
        <v>117.53018000000003</v>
      </c>
      <c r="P4345" s="132" t="s">
        <v>52</v>
      </c>
      <c r="Q4345" s="232"/>
      <c r="R4345" s="411"/>
      <c r="T4345" s="134" t="s">
        <v>145</v>
      </c>
      <c r="U4345" s="266" t="s">
        <v>9712</v>
      </c>
      <c r="AA4345" s="218"/>
    </row>
    <row r="4346" spans="1:27" ht="24" x14ac:dyDescent="0.25">
      <c r="A4346" s="405">
        <v>3003380</v>
      </c>
      <c r="B4346" s="406">
        <v>42578</v>
      </c>
      <c r="C4346" s="405" t="s">
        <v>5682</v>
      </c>
      <c r="D4346" s="401" t="s">
        <v>9713</v>
      </c>
      <c r="E4346" s="120">
        <v>100</v>
      </c>
      <c r="F4346" s="133" t="s">
        <v>431</v>
      </c>
      <c r="G4346" s="404" t="s">
        <v>7486</v>
      </c>
      <c r="H4346" s="411">
        <v>227.48</v>
      </c>
      <c r="I4346" s="89">
        <f t="shared" si="884"/>
        <v>-20.473199999999999</v>
      </c>
      <c r="J4346" s="391">
        <f t="shared" si="885"/>
        <v>-4.6221199999999998</v>
      </c>
      <c r="K4346" s="90">
        <f t="shared" si="883"/>
        <v>202.38468</v>
      </c>
      <c r="L4346" s="131">
        <v>990</v>
      </c>
      <c r="M4346" s="187">
        <v>35.28</v>
      </c>
      <c r="N4346" s="91">
        <f t="shared" ref="N4346:N4409" si="886">((L4346)*(E4346*0.001))+M4346</f>
        <v>134.28</v>
      </c>
      <c r="O4346" s="411">
        <f t="shared" si="870"/>
        <v>68.104680000000002</v>
      </c>
      <c r="P4346" s="132" t="s">
        <v>52</v>
      </c>
      <c r="Q4346" s="232"/>
      <c r="R4346" s="411"/>
      <c r="T4346" s="134" t="s">
        <v>145</v>
      </c>
      <c r="U4346" s="267" t="s">
        <v>9714</v>
      </c>
      <c r="AA4346" s="218"/>
    </row>
    <row r="4347" spans="1:27" ht="24" x14ac:dyDescent="0.25">
      <c r="A4347" s="405">
        <v>3003381</v>
      </c>
      <c r="B4347" s="406">
        <v>42578</v>
      </c>
      <c r="C4347" s="405" t="s">
        <v>5682</v>
      </c>
      <c r="D4347" s="401" t="s">
        <v>9715</v>
      </c>
      <c r="E4347" s="120">
        <v>30</v>
      </c>
      <c r="F4347" s="133" t="s">
        <v>247</v>
      </c>
      <c r="G4347" s="404" t="s">
        <v>7486</v>
      </c>
      <c r="H4347" s="411">
        <v>44.1</v>
      </c>
      <c r="I4347" s="89">
        <f t="shared" si="884"/>
        <v>-3.9689999999999999</v>
      </c>
      <c r="J4347" s="391">
        <f t="shared" si="885"/>
        <v>-1.1378999999999999</v>
      </c>
      <c r="K4347" s="90">
        <f t="shared" si="883"/>
        <v>38.993099999999998</v>
      </c>
      <c r="L4347" s="131">
        <v>480</v>
      </c>
      <c r="M4347" s="187">
        <v>16.63</v>
      </c>
      <c r="N4347" s="91">
        <f t="shared" si="886"/>
        <v>31.029999999999998</v>
      </c>
      <c r="O4347" s="411">
        <f t="shared" si="870"/>
        <v>7.9631000000000007</v>
      </c>
      <c r="P4347" s="132" t="s">
        <v>52</v>
      </c>
      <c r="Q4347" s="232"/>
      <c r="R4347" s="411"/>
      <c r="T4347" s="134" t="s">
        <v>145</v>
      </c>
      <c r="U4347" s="267" t="s">
        <v>9716</v>
      </c>
      <c r="AA4347" s="218"/>
    </row>
    <row r="4348" spans="1:27" ht="24" x14ac:dyDescent="0.25">
      <c r="A4348" s="405">
        <v>3003382</v>
      </c>
      <c r="B4348" s="406">
        <v>42578</v>
      </c>
      <c r="C4348" s="405" t="s">
        <v>5682</v>
      </c>
      <c r="D4348" s="401" t="s">
        <v>9717</v>
      </c>
      <c r="E4348" s="120">
        <v>500</v>
      </c>
      <c r="F4348" s="133" t="s">
        <v>2220</v>
      </c>
      <c r="G4348" s="404" t="s">
        <v>7486</v>
      </c>
      <c r="H4348" s="411">
        <v>256.5</v>
      </c>
      <c r="I4348" s="89">
        <f t="shared" si="884"/>
        <v>-23.085000000000001</v>
      </c>
      <c r="J4348" s="391">
        <f t="shared" si="885"/>
        <v>-5.1734999999999998</v>
      </c>
      <c r="K4348" s="90">
        <f t="shared" si="883"/>
        <v>228.2415</v>
      </c>
      <c r="L4348" s="187">
        <v>250</v>
      </c>
      <c r="M4348" s="187">
        <v>14.95</v>
      </c>
      <c r="N4348" s="91">
        <f t="shared" si="886"/>
        <v>139.94999999999999</v>
      </c>
      <c r="O4348" s="411">
        <f t="shared" si="870"/>
        <v>88.291500000000013</v>
      </c>
      <c r="P4348" s="132" t="s">
        <v>235</v>
      </c>
      <c r="Q4348" s="232"/>
      <c r="R4348" s="411"/>
      <c r="T4348" s="134" t="s">
        <v>145</v>
      </c>
      <c r="U4348" s="267" t="s">
        <v>9718</v>
      </c>
      <c r="AA4348" s="218"/>
    </row>
    <row r="4349" spans="1:27" ht="24" x14ac:dyDescent="0.25">
      <c r="A4349" s="405">
        <v>3003383</v>
      </c>
      <c r="B4349" s="406">
        <v>42578</v>
      </c>
      <c r="C4349" s="405" t="s">
        <v>5682</v>
      </c>
      <c r="D4349" s="401" t="s">
        <v>9719</v>
      </c>
      <c r="E4349" s="120">
        <v>250</v>
      </c>
      <c r="F4349" s="133" t="s">
        <v>877</v>
      </c>
      <c r="G4349" s="404" t="s">
        <v>7486</v>
      </c>
      <c r="H4349" s="411">
        <v>184.89</v>
      </c>
      <c r="I4349" s="89">
        <f t="shared" si="884"/>
        <v>-16.640099999999997</v>
      </c>
      <c r="J4349" s="391">
        <f t="shared" si="885"/>
        <v>-3.8129099999999996</v>
      </c>
      <c r="K4349" s="90">
        <f t="shared" si="883"/>
        <v>164.43699000000001</v>
      </c>
      <c r="L4349" s="131">
        <v>235</v>
      </c>
      <c r="M4349" s="187">
        <v>38.49</v>
      </c>
      <c r="N4349" s="91">
        <f t="shared" si="886"/>
        <v>97.240000000000009</v>
      </c>
      <c r="O4349" s="411">
        <f t="shared" si="870"/>
        <v>67.19699</v>
      </c>
      <c r="P4349" s="132" t="s">
        <v>52</v>
      </c>
      <c r="Q4349" s="232"/>
      <c r="R4349" s="411"/>
      <c r="T4349" s="134" t="s">
        <v>145</v>
      </c>
      <c r="U4349" s="267" t="s">
        <v>9720</v>
      </c>
      <c r="AA4349" s="218"/>
    </row>
    <row r="4350" spans="1:27" ht="24" x14ac:dyDescent="0.25">
      <c r="A4350" s="405">
        <v>3003384</v>
      </c>
      <c r="B4350" s="406">
        <v>42578</v>
      </c>
      <c r="C4350" s="405" t="s">
        <v>5682</v>
      </c>
      <c r="D4350" s="401" t="s">
        <v>9721</v>
      </c>
      <c r="E4350" s="120">
        <v>150</v>
      </c>
      <c r="F4350" s="133" t="s">
        <v>161</v>
      </c>
      <c r="G4350" s="404" t="s">
        <v>7486</v>
      </c>
      <c r="H4350" s="411">
        <v>341.55</v>
      </c>
      <c r="I4350" s="89">
        <f t="shared" si="884"/>
        <v>-30.7395</v>
      </c>
      <c r="J4350" s="391">
        <f t="shared" si="885"/>
        <v>-6.7894499999999995</v>
      </c>
      <c r="K4350" s="90">
        <f t="shared" si="883"/>
        <v>304.02105</v>
      </c>
      <c r="L4350" s="131">
        <v>1322</v>
      </c>
      <c r="M4350" s="187">
        <v>49.75</v>
      </c>
      <c r="N4350" s="91">
        <f t="shared" si="886"/>
        <v>248.04999999999998</v>
      </c>
      <c r="O4350" s="411">
        <f t="shared" si="870"/>
        <v>55.97105000000002</v>
      </c>
      <c r="P4350" s="132" t="s">
        <v>52</v>
      </c>
      <c r="Q4350" s="232"/>
      <c r="R4350" s="411"/>
      <c r="T4350" s="134" t="s">
        <v>145</v>
      </c>
      <c r="U4350" s="267" t="s">
        <v>9722</v>
      </c>
      <c r="AA4350" s="218"/>
    </row>
    <row r="4351" spans="1:27" ht="24" x14ac:dyDescent="0.25">
      <c r="A4351" s="405">
        <v>3003385</v>
      </c>
      <c r="B4351" s="406">
        <v>42578</v>
      </c>
      <c r="C4351" s="405" t="s">
        <v>5682</v>
      </c>
      <c r="D4351" s="401" t="s">
        <v>9723</v>
      </c>
      <c r="E4351" s="120">
        <v>50</v>
      </c>
      <c r="F4351" s="133" t="s">
        <v>1991</v>
      </c>
      <c r="G4351" s="404" t="s">
        <v>7486</v>
      </c>
      <c r="H4351" s="411">
        <v>292.89999999999998</v>
      </c>
      <c r="I4351" s="89">
        <f t="shared" si="884"/>
        <v>-26.360999999999997</v>
      </c>
      <c r="J4351" s="391">
        <f t="shared" si="885"/>
        <v>-5.8650999999999991</v>
      </c>
      <c r="K4351" s="90">
        <f t="shared" si="883"/>
        <v>260.6739</v>
      </c>
      <c r="L4351" s="187">
        <v>3100</v>
      </c>
      <c r="M4351" s="187">
        <v>30.67</v>
      </c>
      <c r="N4351" s="91">
        <f t="shared" si="886"/>
        <v>185.67000000000002</v>
      </c>
      <c r="O4351" s="411">
        <f t="shared" si="870"/>
        <v>75.003899999999987</v>
      </c>
      <c r="P4351" s="132" t="s">
        <v>183</v>
      </c>
      <c r="Q4351" s="232"/>
      <c r="R4351" s="411"/>
      <c r="T4351" s="134" t="s">
        <v>145</v>
      </c>
      <c r="U4351" s="267" t="s">
        <v>9724</v>
      </c>
      <c r="AA4351" s="218"/>
    </row>
    <row r="4352" spans="1:27" ht="24" x14ac:dyDescent="0.25">
      <c r="A4352" s="405">
        <v>3003386</v>
      </c>
      <c r="B4352" s="406">
        <v>42578</v>
      </c>
      <c r="C4352" s="405" t="s">
        <v>5682</v>
      </c>
      <c r="D4352" s="401" t="s">
        <v>9725</v>
      </c>
      <c r="E4352" s="120">
        <v>250</v>
      </c>
      <c r="F4352" s="133" t="s">
        <v>1707</v>
      </c>
      <c r="G4352" s="404" t="s">
        <v>7486</v>
      </c>
      <c r="H4352" s="411">
        <v>233.81</v>
      </c>
      <c r="I4352" s="89">
        <f t="shared" si="884"/>
        <v>-21.042899999999999</v>
      </c>
      <c r="J4352" s="391">
        <f t="shared" si="885"/>
        <v>-4.7423899999999994</v>
      </c>
      <c r="K4352" s="90">
        <f t="shared" si="883"/>
        <v>208.02471</v>
      </c>
      <c r="L4352" s="131">
        <v>400</v>
      </c>
      <c r="M4352" s="187">
        <v>53.77</v>
      </c>
      <c r="N4352" s="91">
        <f t="shared" si="886"/>
        <v>153.77000000000001</v>
      </c>
      <c r="O4352" s="411">
        <f t="shared" si="870"/>
        <v>54.254709999999989</v>
      </c>
      <c r="P4352" s="132" t="s">
        <v>52</v>
      </c>
      <c r="Q4352" s="232"/>
      <c r="R4352" s="411"/>
      <c r="T4352" s="134" t="s">
        <v>145</v>
      </c>
      <c r="U4352" s="267" t="s">
        <v>9726</v>
      </c>
      <c r="AA4352" s="218"/>
    </row>
    <row r="4353" spans="1:27" ht="24" x14ac:dyDescent="0.25">
      <c r="A4353" s="405">
        <v>3003387</v>
      </c>
      <c r="B4353" s="406">
        <v>42578</v>
      </c>
      <c r="C4353" s="405" t="s">
        <v>5682</v>
      </c>
      <c r="D4353" s="401" t="s">
        <v>9727</v>
      </c>
      <c r="E4353" s="120">
        <v>50</v>
      </c>
      <c r="F4353" s="133" t="s">
        <v>161</v>
      </c>
      <c r="G4353" s="404" t="s">
        <v>7486</v>
      </c>
      <c r="H4353" s="411">
        <v>134.75</v>
      </c>
      <c r="I4353" s="89">
        <f t="shared" si="884"/>
        <v>-12.1275</v>
      </c>
      <c r="J4353" s="391">
        <f t="shared" si="885"/>
        <v>-2.8602499999999997</v>
      </c>
      <c r="K4353" s="90">
        <f t="shared" si="883"/>
        <v>119.76225000000001</v>
      </c>
      <c r="L4353" s="131">
        <v>1322</v>
      </c>
      <c r="M4353" s="187">
        <f>27.57+5</f>
        <v>32.57</v>
      </c>
      <c r="N4353" s="91">
        <f t="shared" si="886"/>
        <v>98.670000000000016</v>
      </c>
      <c r="O4353" s="411">
        <f t="shared" si="870"/>
        <v>21.092249999999993</v>
      </c>
      <c r="P4353" s="132" t="s">
        <v>52</v>
      </c>
      <c r="Q4353" s="232"/>
      <c r="R4353" s="411"/>
      <c r="T4353" s="134" t="s">
        <v>145</v>
      </c>
      <c r="U4353" s="267" t="s">
        <v>9728</v>
      </c>
      <c r="AA4353" s="218"/>
    </row>
    <row r="4354" spans="1:27" ht="24" x14ac:dyDescent="0.25">
      <c r="A4354" s="405">
        <v>3003388</v>
      </c>
      <c r="B4354" s="406">
        <v>42578</v>
      </c>
      <c r="C4354" s="405" t="s">
        <v>5682</v>
      </c>
      <c r="D4354" s="401" t="s">
        <v>181</v>
      </c>
      <c r="E4354" s="120">
        <v>100</v>
      </c>
      <c r="F4354" s="133" t="s">
        <v>182</v>
      </c>
      <c r="G4354" s="404" t="s">
        <v>7486</v>
      </c>
      <c r="H4354" s="411">
        <v>247</v>
      </c>
      <c r="I4354" s="89">
        <f t="shared" si="884"/>
        <v>-22.23</v>
      </c>
      <c r="J4354" s="391">
        <f t="shared" si="885"/>
        <v>-4.9929999999999994</v>
      </c>
      <c r="K4354" s="90">
        <f t="shared" si="883"/>
        <v>219.77700000000002</v>
      </c>
      <c r="L4354" s="131">
        <v>1060</v>
      </c>
      <c r="M4354" s="187">
        <v>40.299999999999997</v>
      </c>
      <c r="N4354" s="91">
        <f t="shared" si="886"/>
        <v>146.30000000000001</v>
      </c>
      <c r="O4354" s="411">
        <f t="shared" si="870"/>
        <v>73.477000000000004</v>
      </c>
      <c r="P4354" s="132" t="s">
        <v>52</v>
      </c>
      <c r="Q4354" s="232"/>
      <c r="R4354" s="411"/>
      <c r="T4354" s="134" t="s">
        <v>145</v>
      </c>
      <c r="U4354" s="267" t="s">
        <v>9729</v>
      </c>
      <c r="AA4354" s="218"/>
    </row>
    <row r="4355" spans="1:27" ht="24" x14ac:dyDescent="0.25">
      <c r="A4355" s="405">
        <v>3003389</v>
      </c>
      <c r="B4355" s="406">
        <v>42578</v>
      </c>
      <c r="C4355" s="405" t="s">
        <v>237</v>
      </c>
      <c r="D4355" s="401" t="s">
        <v>9730</v>
      </c>
      <c r="E4355" s="120">
        <v>300</v>
      </c>
      <c r="F4355" s="133" t="s">
        <v>247</v>
      </c>
      <c r="G4355" s="404" t="s">
        <v>7486</v>
      </c>
      <c r="H4355" s="411">
        <v>282.89</v>
      </c>
      <c r="I4355" s="397">
        <f t="shared" ref="I4355:I4357" si="887">-(H4355*0.15)</f>
        <v>-42.433499999999995</v>
      </c>
      <c r="J4355" s="411">
        <v>0</v>
      </c>
      <c r="K4355" s="90">
        <f t="shared" si="883"/>
        <v>240.45650000000001</v>
      </c>
      <c r="L4355" s="131">
        <v>480</v>
      </c>
      <c r="M4355" s="187">
        <v>53.76</v>
      </c>
      <c r="N4355" s="91">
        <f t="shared" si="886"/>
        <v>197.76</v>
      </c>
      <c r="O4355" s="411">
        <f t="shared" si="870"/>
        <v>42.696500000000015</v>
      </c>
      <c r="P4355" s="132" t="s">
        <v>52</v>
      </c>
      <c r="Q4355" s="232"/>
      <c r="R4355" s="411"/>
      <c r="T4355" s="134" t="s">
        <v>145</v>
      </c>
      <c r="U4355" s="267" t="s">
        <v>9731</v>
      </c>
      <c r="AA4355" s="218"/>
    </row>
    <row r="4356" spans="1:27" ht="24" x14ac:dyDescent="0.25">
      <c r="A4356" s="405">
        <v>3003390</v>
      </c>
      <c r="B4356" s="406">
        <v>42578</v>
      </c>
      <c r="C4356" s="405" t="s">
        <v>237</v>
      </c>
      <c r="D4356" s="401" t="s">
        <v>9732</v>
      </c>
      <c r="E4356" s="120">
        <v>250</v>
      </c>
      <c r="F4356" s="133" t="s">
        <v>9733</v>
      </c>
      <c r="G4356" s="404" t="s">
        <v>7486</v>
      </c>
      <c r="H4356" s="411">
        <v>132.44</v>
      </c>
      <c r="I4356" s="397">
        <f t="shared" si="887"/>
        <v>-19.866</v>
      </c>
      <c r="J4356" s="411">
        <v>0</v>
      </c>
      <c r="K4356" s="90">
        <f t="shared" si="883"/>
        <v>112.574</v>
      </c>
      <c r="L4356" s="187">
        <v>332</v>
      </c>
      <c r="M4356" s="187">
        <v>17.27</v>
      </c>
      <c r="N4356" s="91">
        <f t="shared" si="886"/>
        <v>100.27</v>
      </c>
      <c r="O4356" s="411">
        <f t="shared" ref="O4356:O4419" si="888">K4356-N4356</f>
        <v>12.304000000000002</v>
      </c>
      <c r="P4356" s="132" t="s">
        <v>643</v>
      </c>
      <c r="Q4356" s="232"/>
      <c r="R4356" s="411"/>
      <c r="T4356" s="134" t="s">
        <v>145</v>
      </c>
      <c r="U4356" s="267" t="s">
        <v>9734</v>
      </c>
      <c r="AA4356" s="218"/>
    </row>
    <row r="4357" spans="1:27" ht="36" x14ac:dyDescent="0.25">
      <c r="A4357" s="405">
        <v>3003391</v>
      </c>
      <c r="B4357" s="406">
        <v>42578</v>
      </c>
      <c r="C4357" s="405" t="s">
        <v>237</v>
      </c>
      <c r="D4357" s="401" t="s">
        <v>9735</v>
      </c>
      <c r="E4357" s="120">
        <v>200</v>
      </c>
      <c r="F4357" s="119" t="s">
        <v>9736</v>
      </c>
      <c r="G4357" s="404" t="s">
        <v>7486</v>
      </c>
      <c r="H4357" s="411">
        <v>265.64</v>
      </c>
      <c r="I4357" s="397">
        <f t="shared" si="887"/>
        <v>-39.845999999999997</v>
      </c>
      <c r="J4357" s="411">
        <v>0</v>
      </c>
      <c r="K4357" s="90">
        <f t="shared" si="883"/>
        <v>225.79399999999998</v>
      </c>
      <c r="L4357" s="187">
        <v>550</v>
      </c>
      <c r="M4357" s="187">
        <v>7.83</v>
      </c>
      <c r="N4357" s="91">
        <f t="shared" si="886"/>
        <v>117.83</v>
      </c>
      <c r="O4357" s="411">
        <f t="shared" si="888"/>
        <v>107.96399999999998</v>
      </c>
      <c r="P4357" s="132" t="s">
        <v>1732</v>
      </c>
      <c r="Q4357" s="232"/>
      <c r="R4357" s="411"/>
      <c r="T4357" s="134" t="s">
        <v>145</v>
      </c>
      <c r="U4357" s="267" t="s">
        <v>9737</v>
      </c>
      <c r="AA4357" s="218"/>
    </row>
    <row r="4358" spans="1:27" x14ac:dyDescent="0.25">
      <c r="A4358" s="419">
        <v>3003392</v>
      </c>
      <c r="B4358" s="421">
        <v>42578</v>
      </c>
      <c r="C4358" s="419" t="s">
        <v>141</v>
      </c>
      <c r="D4358" s="429" t="s">
        <v>9738</v>
      </c>
      <c r="E4358" s="120">
        <v>2300</v>
      </c>
      <c r="F4358" s="133" t="s">
        <v>9739</v>
      </c>
      <c r="G4358" s="434" t="s">
        <v>7486</v>
      </c>
      <c r="H4358" s="427">
        <v>4181</v>
      </c>
      <c r="I4358" s="427">
        <v>0</v>
      </c>
      <c r="J4358" s="425">
        <f>-((H4358*0.0325)+0.3)</f>
        <v>-136.1825</v>
      </c>
      <c r="K4358" s="425">
        <f t="shared" si="883"/>
        <v>4044.8175000000001</v>
      </c>
      <c r="L4358" s="131">
        <v>350</v>
      </c>
      <c r="M4358" s="468">
        <v>315</v>
      </c>
      <c r="N4358" s="91">
        <f t="shared" si="886"/>
        <v>1120</v>
      </c>
      <c r="O4358" s="411">
        <f t="shared" si="888"/>
        <v>2924.8175000000001</v>
      </c>
      <c r="P4358" s="132" t="s">
        <v>52</v>
      </c>
      <c r="Q4358" s="232"/>
      <c r="R4358" s="411"/>
      <c r="T4358" s="439" t="s">
        <v>89</v>
      </c>
      <c r="U4358" s="446" t="s">
        <v>9740</v>
      </c>
      <c r="V4358" s="133" t="s">
        <v>55</v>
      </c>
      <c r="W4358" s="153" t="s">
        <v>9741</v>
      </c>
      <c r="AA4358" s="473">
        <v>25</v>
      </c>
    </row>
    <row r="4359" spans="1:27" x14ac:dyDescent="0.25">
      <c r="A4359" s="432"/>
      <c r="B4359" s="433"/>
      <c r="C4359" s="432"/>
      <c r="D4359" s="430"/>
      <c r="E4359" s="120">
        <v>4900</v>
      </c>
      <c r="F4359" s="133" t="s">
        <v>9742</v>
      </c>
      <c r="G4359" s="435"/>
      <c r="H4359" s="438"/>
      <c r="I4359" s="438"/>
      <c r="J4359" s="437"/>
      <c r="K4359" s="437"/>
      <c r="L4359" s="131">
        <v>235</v>
      </c>
      <c r="M4359" s="491"/>
      <c r="N4359" s="91">
        <f t="shared" si="886"/>
        <v>1151.5</v>
      </c>
      <c r="O4359" s="411">
        <f t="shared" si="888"/>
        <v>-1151.5</v>
      </c>
      <c r="P4359" s="132" t="s">
        <v>52</v>
      </c>
      <c r="Q4359" s="232"/>
      <c r="R4359" s="411"/>
      <c r="T4359" s="440"/>
      <c r="U4359" s="448"/>
      <c r="AA4359" s="478"/>
    </row>
    <row r="4360" spans="1:27" x14ac:dyDescent="0.25">
      <c r="A4360" s="420"/>
      <c r="B4360" s="422"/>
      <c r="C4360" s="420"/>
      <c r="D4360" s="431"/>
      <c r="E4360" s="120">
        <v>460</v>
      </c>
      <c r="F4360" s="133" t="s">
        <v>51</v>
      </c>
      <c r="G4360" s="436"/>
      <c r="H4360" s="428"/>
      <c r="I4360" s="428"/>
      <c r="J4360" s="426"/>
      <c r="K4360" s="426"/>
      <c r="L4360" s="131">
        <v>900</v>
      </c>
      <c r="M4360" s="469"/>
      <c r="N4360" s="91">
        <f t="shared" si="886"/>
        <v>414</v>
      </c>
      <c r="O4360" s="411">
        <f t="shared" si="888"/>
        <v>-414</v>
      </c>
      <c r="P4360" s="132" t="s">
        <v>52</v>
      </c>
      <c r="Q4360" s="232"/>
      <c r="R4360" s="411"/>
      <c r="T4360" s="441"/>
      <c r="U4360" s="447"/>
      <c r="AA4360" s="474"/>
    </row>
    <row r="4361" spans="1:27" ht="24" x14ac:dyDescent="0.25">
      <c r="A4361" s="405">
        <v>3003393</v>
      </c>
      <c r="B4361" s="406">
        <v>42578</v>
      </c>
      <c r="C4361" s="405" t="s">
        <v>5682</v>
      </c>
      <c r="D4361" s="401" t="s">
        <v>9743</v>
      </c>
      <c r="E4361" s="120">
        <v>250</v>
      </c>
      <c r="F4361" s="133" t="s">
        <v>4911</v>
      </c>
      <c r="G4361" s="404" t="s">
        <v>7486</v>
      </c>
      <c r="H4361" s="411">
        <v>118.75</v>
      </c>
      <c r="I4361" s="89">
        <f t="shared" ref="I4361:I4362" si="889">-(H4361*0.09)</f>
        <v>-10.6875</v>
      </c>
      <c r="J4361" s="391">
        <f t="shared" ref="J4361:J4362" si="890">-((H4361*0.019)+0.3)</f>
        <v>-2.5562499999999999</v>
      </c>
      <c r="K4361" s="90">
        <f t="shared" ref="K4361:K4411" si="891">SUM(H4361:J4361)</f>
        <v>105.50624999999999</v>
      </c>
      <c r="L4361" s="187">
        <v>320</v>
      </c>
      <c r="N4361" s="91">
        <f t="shared" si="886"/>
        <v>80</v>
      </c>
      <c r="O4361" s="411">
        <f t="shared" si="888"/>
        <v>25.506249999999994</v>
      </c>
      <c r="P4361" s="132" t="s">
        <v>621</v>
      </c>
      <c r="Q4361" s="232"/>
      <c r="R4361" s="411"/>
      <c r="T4361" s="134" t="s">
        <v>145</v>
      </c>
      <c r="U4361" s="267" t="s">
        <v>9744</v>
      </c>
      <c r="AA4361" s="218"/>
    </row>
    <row r="4362" spans="1:27" ht="24" x14ac:dyDescent="0.25">
      <c r="A4362" s="405">
        <v>3003394</v>
      </c>
      <c r="B4362" s="406">
        <v>42578</v>
      </c>
      <c r="C4362" s="405" t="s">
        <v>5682</v>
      </c>
      <c r="D4362" s="401" t="s">
        <v>9745</v>
      </c>
      <c r="E4362" s="120">
        <v>200</v>
      </c>
      <c r="F4362" s="133" t="s">
        <v>605</v>
      </c>
      <c r="G4362" s="404" t="s">
        <v>7486</v>
      </c>
      <c r="H4362" s="411">
        <v>302.07</v>
      </c>
      <c r="I4362" s="89">
        <f t="shared" si="889"/>
        <v>-27.186299999999999</v>
      </c>
      <c r="J4362" s="391">
        <f t="shared" si="890"/>
        <v>-6.0393299999999996</v>
      </c>
      <c r="K4362" s="90">
        <f t="shared" si="891"/>
        <v>268.84436999999997</v>
      </c>
      <c r="L4362" s="131">
        <v>595</v>
      </c>
      <c r="M4362" s="187">
        <v>50.86</v>
      </c>
      <c r="N4362" s="91">
        <f t="shared" si="886"/>
        <v>169.86</v>
      </c>
      <c r="O4362" s="411">
        <f t="shared" si="888"/>
        <v>98.984369999999956</v>
      </c>
      <c r="P4362" s="132" t="s">
        <v>52</v>
      </c>
      <c r="Q4362" s="232"/>
      <c r="R4362" s="411"/>
      <c r="T4362" s="134" t="s">
        <v>145</v>
      </c>
      <c r="U4362" s="267" t="s">
        <v>9746</v>
      </c>
      <c r="AA4362" s="218"/>
    </row>
    <row r="4363" spans="1:27" ht="24" x14ac:dyDescent="0.25">
      <c r="A4363" s="405">
        <v>3003395</v>
      </c>
      <c r="B4363" s="406">
        <v>42578</v>
      </c>
      <c r="C4363" s="405" t="s">
        <v>63</v>
      </c>
      <c r="D4363" s="401" t="s">
        <v>9747</v>
      </c>
      <c r="E4363" s="120">
        <v>700</v>
      </c>
      <c r="F4363" s="133" t="s">
        <v>877</v>
      </c>
      <c r="G4363" s="404" t="s">
        <v>7486</v>
      </c>
      <c r="H4363" s="411">
        <v>420</v>
      </c>
      <c r="I4363" s="411">
        <v>0</v>
      </c>
      <c r="J4363" s="391">
        <f>-((H4363*0.022)+0.3)</f>
        <v>-9.5400000000000009</v>
      </c>
      <c r="K4363" s="90">
        <f t="shared" si="891"/>
        <v>410.46</v>
      </c>
      <c r="L4363" s="131">
        <v>235</v>
      </c>
      <c r="M4363" s="187">
        <v>54.14</v>
      </c>
      <c r="N4363" s="91">
        <f t="shared" si="886"/>
        <v>218.64000000000004</v>
      </c>
      <c r="O4363" s="411">
        <f t="shared" si="888"/>
        <v>191.81999999999994</v>
      </c>
      <c r="P4363" s="132" t="s">
        <v>52</v>
      </c>
      <c r="Q4363" s="232"/>
      <c r="R4363" s="411"/>
      <c r="T4363" s="134" t="s">
        <v>145</v>
      </c>
      <c r="U4363" s="267" t="s">
        <v>9748</v>
      </c>
      <c r="W4363" s="153" t="s">
        <v>9749</v>
      </c>
      <c r="AA4363" s="218"/>
    </row>
    <row r="4364" spans="1:27" ht="24" x14ac:dyDescent="0.25">
      <c r="A4364" s="405">
        <v>3003396</v>
      </c>
      <c r="B4364" s="406">
        <v>42578</v>
      </c>
      <c r="C4364" s="405" t="s">
        <v>9435</v>
      </c>
      <c r="D4364" s="401" t="s">
        <v>8581</v>
      </c>
      <c r="E4364" s="120">
        <v>1500</v>
      </c>
      <c r="F4364" s="133" t="s">
        <v>9750</v>
      </c>
      <c r="G4364" s="404" t="s">
        <v>7486</v>
      </c>
      <c r="H4364" s="411">
        <v>2475</v>
      </c>
      <c r="I4364" s="411">
        <v>0</v>
      </c>
      <c r="J4364" s="391">
        <f>-((H4364*0.022)+0.3)</f>
        <v>-54.749999999999993</v>
      </c>
      <c r="K4364" s="90">
        <f t="shared" si="891"/>
        <v>2420.25</v>
      </c>
      <c r="L4364" s="187">
        <v>1230</v>
      </c>
      <c r="M4364" s="187">
        <v>0</v>
      </c>
      <c r="N4364" s="91">
        <f t="shared" si="886"/>
        <v>1845</v>
      </c>
      <c r="O4364" s="411">
        <f t="shared" si="888"/>
        <v>575.25</v>
      </c>
      <c r="P4364" s="132" t="s">
        <v>183</v>
      </c>
      <c r="Q4364" s="232"/>
      <c r="R4364" s="411"/>
      <c r="T4364" s="134" t="s">
        <v>8218</v>
      </c>
      <c r="U4364" s="266" t="s">
        <v>8218</v>
      </c>
      <c r="W4364" s="153" t="s">
        <v>6899</v>
      </c>
      <c r="AA4364" s="218">
        <v>10</v>
      </c>
    </row>
    <row r="4365" spans="1:27" ht="24" x14ac:dyDescent="0.25">
      <c r="A4365" s="405">
        <v>3003397</v>
      </c>
      <c r="B4365" s="406">
        <v>42579</v>
      </c>
      <c r="C4365" s="405" t="s">
        <v>5682</v>
      </c>
      <c r="D4365" s="401" t="s">
        <v>9751</v>
      </c>
      <c r="E4365" s="120">
        <v>50</v>
      </c>
      <c r="F4365" s="119" t="s">
        <v>9752</v>
      </c>
      <c r="G4365" s="404" t="s">
        <v>7486</v>
      </c>
      <c r="H4365" s="411">
        <v>220</v>
      </c>
      <c r="I4365" s="89">
        <f t="shared" ref="I4365:I4373" si="892">-(H4365*0.09)</f>
        <v>-19.8</v>
      </c>
      <c r="J4365" s="391">
        <f t="shared" ref="J4365:J4373" si="893">-((H4365*0.019)+0.3)</f>
        <v>-4.4799999999999995</v>
      </c>
      <c r="K4365" s="90">
        <f t="shared" si="891"/>
        <v>195.72</v>
      </c>
      <c r="L4365" s="187">
        <v>2500</v>
      </c>
      <c r="M4365" s="187">
        <v>14.8</v>
      </c>
      <c r="N4365" s="91">
        <f t="shared" si="886"/>
        <v>139.80000000000001</v>
      </c>
      <c r="O4365" s="411">
        <f t="shared" si="888"/>
        <v>55.919999999999987</v>
      </c>
      <c r="P4365" s="132" t="s">
        <v>183</v>
      </c>
      <c r="Q4365" s="232"/>
      <c r="R4365" s="411"/>
      <c r="T4365" s="134" t="s">
        <v>145</v>
      </c>
      <c r="U4365" s="267" t="s">
        <v>9753</v>
      </c>
      <c r="AA4365" s="218"/>
    </row>
    <row r="4366" spans="1:27" ht="24" x14ac:dyDescent="0.25">
      <c r="A4366" s="405">
        <v>3003398</v>
      </c>
      <c r="B4366" s="406">
        <v>42579</v>
      </c>
      <c r="C4366" s="405" t="s">
        <v>5682</v>
      </c>
      <c r="D4366" s="401" t="s">
        <v>9754</v>
      </c>
      <c r="E4366" s="120">
        <v>250</v>
      </c>
      <c r="F4366" s="133" t="s">
        <v>1137</v>
      </c>
      <c r="G4366" s="404" t="s">
        <v>7486</v>
      </c>
      <c r="H4366" s="411">
        <v>133</v>
      </c>
      <c r="I4366" s="89">
        <f t="shared" si="892"/>
        <v>-11.969999999999999</v>
      </c>
      <c r="J4366" s="391">
        <f t="shared" si="893"/>
        <v>-2.827</v>
      </c>
      <c r="K4366" s="90">
        <f t="shared" si="891"/>
        <v>118.203</v>
      </c>
      <c r="L4366" s="131">
        <v>250</v>
      </c>
      <c r="M4366" s="187">
        <v>13.52</v>
      </c>
      <c r="N4366" s="91">
        <f t="shared" si="886"/>
        <v>76.02</v>
      </c>
      <c r="O4366" s="411">
        <f t="shared" si="888"/>
        <v>42.183000000000007</v>
      </c>
      <c r="P4366" s="132" t="s">
        <v>86</v>
      </c>
      <c r="Q4366" s="232"/>
      <c r="R4366" s="411"/>
      <c r="T4366" s="134" t="s">
        <v>145</v>
      </c>
      <c r="U4366" s="267" t="s">
        <v>9755</v>
      </c>
      <c r="AA4366" s="218"/>
    </row>
    <row r="4367" spans="1:27" ht="24" x14ac:dyDescent="0.25">
      <c r="A4367" s="405">
        <v>3003399</v>
      </c>
      <c r="B4367" s="406">
        <v>42579</v>
      </c>
      <c r="C4367" s="405" t="s">
        <v>5682</v>
      </c>
      <c r="D4367" s="401" t="s">
        <v>9756</v>
      </c>
      <c r="E4367" s="120">
        <v>100</v>
      </c>
      <c r="F4367" s="133" t="s">
        <v>161</v>
      </c>
      <c r="G4367" s="404" t="s">
        <v>7486</v>
      </c>
      <c r="H4367" s="411">
        <v>248.4</v>
      </c>
      <c r="I4367" s="89">
        <f t="shared" si="892"/>
        <v>-22.355999999999998</v>
      </c>
      <c r="J4367" s="391">
        <f t="shared" si="893"/>
        <v>-5.0195999999999996</v>
      </c>
      <c r="K4367" s="90">
        <f t="shared" si="891"/>
        <v>221.02440000000001</v>
      </c>
      <c r="L4367" s="131">
        <v>1322</v>
      </c>
      <c r="M4367" s="187">
        <v>25.54</v>
      </c>
      <c r="N4367" s="91">
        <f t="shared" si="886"/>
        <v>157.74</v>
      </c>
      <c r="O4367" s="411">
        <f t="shared" si="888"/>
        <v>63.284400000000005</v>
      </c>
      <c r="P4367" s="132" t="s">
        <v>52</v>
      </c>
      <c r="Q4367" s="232"/>
      <c r="R4367" s="411">
        <v>18.399999999999999</v>
      </c>
      <c r="S4367" s="133" t="s">
        <v>1169</v>
      </c>
      <c r="T4367" s="134" t="s">
        <v>145</v>
      </c>
      <c r="U4367" s="267" t="s">
        <v>9757</v>
      </c>
      <c r="AA4367" s="218"/>
    </row>
    <row r="4368" spans="1:27" ht="24" x14ac:dyDescent="0.25">
      <c r="A4368" s="405">
        <v>3003400</v>
      </c>
      <c r="B4368" s="406">
        <v>42579</v>
      </c>
      <c r="C4368" s="405" t="s">
        <v>5682</v>
      </c>
      <c r="D4368" s="401" t="s">
        <v>9758</v>
      </c>
      <c r="E4368" s="120">
        <v>50</v>
      </c>
      <c r="F4368" s="133" t="s">
        <v>161</v>
      </c>
      <c r="G4368" s="404" t="s">
        <v>7486</v>
      </c>
      <c r="H4368" s="411">
        <v>134.75</v>
      </c>
      <c r="I4368" s="89">
        <f t="shared" si="892"/>
        <v>-12.1275</v>
      </c>
      <c r="J4368" s="391">
        <f t="shared" si="893"/>
        <v>-2.8602499999999997</v>
      </c>
      <c r="K4368" s="90">
        <f t="shared" si="891"/>
        <v>119.76225000000001</v>
      </c>
      <c r="L4368" s="131">
        <v>1322</v>
      </c>
      <c r="M4368" s="187">
        <v>41.38</v>
      </c>
      <c r="N4368" s="91">
        <f t="shared" si="886"/>
        <v>107.48000000000002</v>
      </c>
      <c r="O4368" s="411">
        <f t="shared" si="888"/>
        <v>12.282249999999991</v>
      </c>
      <c r="P4368" s="132" t="s">
        <v>52</v>
      </c>
      <c r="Q4368" s="232"/>
      <c r="R4368" s="411"/>
      <c r="T4368" s="134" t="s">
        <v>145</v>
      </c>
      <c r="U4368" s="267" t="s">
        <v>9759</v>
      </c>
      <c r="AA4368" s="218"/>
    </row>
    <row r="4369" spans="1:27" ht="24" x14ac:dyDescent="0.25">
      <c r="A4369" s="405">
        <v>3003401</v>
      </c>
      <c r="B4369" s="406">
        <v>42579</v>
      </c>
      <c r="C4369" s="405" t="s">
        <v>5682</v>
      </c>
      <c r="D4369" s="401" t="s">
        <v>9760</v>
      </c>
      <c r="E4369" s="120">
        <v>50</v>
      </c>
      <c r="F4369" s="133" t="s">
        <v>277</v>
      </c>
      <c r="G4369" s="404" t="s">
        <v>7486</v>
      </c>
      <c r="H4369" s="411">
        <v>335.82</v>
      </c>
      <c r="I4369" s="89">
        <f t="shared" si="892"/>
        <v>-30.223799999999997</v>
      </c>
      <c r="J4369" s="391">
        <f t="shared" si="893"/>
        <v>-6.68058</v>
      </c>
      <c r="K4369" s="90">
        <f t="shared" si="891"/>
        <v>298.91561999999999</v>
      </c>
      <c r="L4369" s="187">
        <v>3460</v>
      </c>
      <c r="M4369" s="187">
        <v>40.43</v>
      </c>
      <c r="N4369" s="91">
        <f t="shared" si="886"/>
        <v>213.43</v>
      </c>
      <c r="O4369" s="411">
        <f t="shared" si="888"/>
        <v>85.485619999999983</v>
      </c>
      <c r="P4369" s="132" t="s">
        <v>183</v>
      </c>
      <c r="Q4369" s="232"/>
      <c r="R4369" s="411"/>
      <c r="T4369" s="134" t="s">
        <v>145</v>
      </c>
      <c r="U4369" s="267" t="s">
        <v>9761</v>
      </c>
      <c r="V4369" s="133" t="s">
        <v>9187</v>
      </c>
      <c r="AA4369" s="218"/>
    </row>
    <row r="4370" spans="1:27" ht="24" x14ac:dyDescent="0.25">
      <c r="A4370" s="405">
        <v>3003402</v>
      </c>
      <c r="B4370" s="406">
        <v>42579</v>
      </c>
      <c r="C4370" s="405" t="s">
        <v>5682</v>
      </c>
      <c r="D4370" s="401" t="s">
        <v>9762</v>
      </c>
      <c r="E4370" s="120">
        <v>175</v>
      </c>
      <c r="F4370" s="133" t="s">
        <v>247</v>
      </c>
      <c r="G4370" s="404" t="s">
        <v>7486</v>
      </c>
      <c r="H4370" s="411">
        <v>219.51</v>
      </c>
      <c r="I4370" s="89">
        <f t="shared" si="892"/>
        <v>-19.755899999999997</v>
      </c>
      <c r="J4370" s="391">
        <f t="shared" si="893"/>
        <v>-4.4706899999999994</v>
      </c>
      <c r="K4370" s="90">
        <f t="shared" si="891"/>
        <v>195.28341</v>
      </c>
      <c r="L4370" s="131">
        <v>480</v>
      </c>
      <c r="M4370" s="187">
        <v>23.8</v>
      </c>
      <c r="N4370" s="91">
        <f t="shared" si="886"/>
        <v>107.80000000000001</v>
      </c>
      <c r="O4370" s="411">
        <f t="shared" si="888"/>
        <v>87.483409999999992</v>
      </c>
      <c r="P4370" s="132" t="s">
        <v>52</v>
      </c>
      <c r="Q4370" s="232"/>
      <c r="R4370" s="411"/>
      <c r="T4370" s="134" t="s">
        <v>145</v>
      </c>
      <c r="U4370" s="267" t="s">
        <v>9763</v>
      </c>
      <c r="AA4370" s="218"/>
    </row>
    <row r="4371" spans="1:27" ht="24" x14ac:dyDescent="0.25">
      <c r="A4371" s="405">
        <v>3003403</v>
      </c>
      <c r="B4371" s="406">
        <v>42579</v>
      </c>
      <c r="C4371" s="405" t="s">
        <v>5682</v>
      </c>
      <c r="D4371" s="401" t="s">
        <v>9764</v>
      </c>
      <c r="E4371" s="120">
        <v>50</v>
      </c>
      <c r="F4371" s="133" t="s">
        <v>431</v>
      </c>
      <c r="G4371" s="404" t="s">
        <v>7486</v>
      </c>
      <c r="H4371" s="411">
        <v>118.8</v>
      </c>
      <c r="I4371" s="89">
        <f t="shared" si="892"/>
        <v>-10.692</v>
      </c>
      <c r="J4371" s="391">
        <f t="shared" si="893"/>
        <v>-2.5571999999999999</v>
      </c>
      <c r="K4371" s="90">
        <f t="shared" si="891"/>
        <v>105.55080000000001</v>
      </c>
      <c r="L4371" s="131">
        <v>990</v>
      </c>
      <c r="M4371" s="187">
        <v>33.57</v>
      </c>
      <c r="N4371" s="91">
        <f t="shared" si="886"/>
        <v>83.07</v>
      </c>
      <c r="O4371" s="411">
        <f t="shared" si="888"/>
        <v>22.480800000000016</v>
      </c>
      <c r="P4371" s="132" t="s">
        <v>52</v>
      </c>
      <c r="Q4371" s="232"/>
      <c r="R4371" s="411"/>
      <c r="T4371" s="134" t="s">
        <v>145</v>
      </c>
      <c r="U4371" s="267" t="s">
        <v>9765</v>
      </c>
      <c r="AA4371" s="218"/>
    </row>
    <row r="4372" spans="1:27" ht="24" x14ac:dyDescent="0.25">
      <c r="A4372" s="405">
        <v>3003404</v>
      </c>
      <c r="B4372" s="406">
        <v>42579</v>
      </c>
      <c r="C4372" s="405" t="s">
        <v>5682</v>
      </c>
      <c r="D4372" s="401" t="s">
        <v>9766</v>
      </c>
      <c r="E4372" s="120">
        <v>150</v>
      </c>
      <c r="F4372" s="133" t="s">
        <v>341</v>
      </c>
      <c r="G4372" s="404" t="s">
        <v>7486</v>
      </c>
      <c r="H4372" s="411">
        <v>248.2</v>
      </c>
      <c r="I4372" s="89">
        <f t="shared" si="892"/>
        <v>-22.337999999999997</v>
      </c>
      <c r="J4372" s="391">
        <f t="shared" si="893"/>
        <v>-5.0157999999999996</v>
      </c>
      <c r="K4372" s="90">
        <f t="shared" si="891"/>
        <v>220.84619999999998</v>
      </c>
      <c r="L4372" s="131">
        <v>698</v>
      </c>
      <c r="M4372" s="187">
        <v>46.01</v>
      </c>
      <c r="N4372" s="91">
        <f t="shared" si="886"/>
        <v>150.71</v>
      </c>
      <c r="O4372" s="411">
        <f t="shared" si="888"/>
        <v>70.136199999999974</v>
      </c>
      <c r="P4372" s="132" t="s">
        <v>52</v>
      </c>
      <c r="Q4372" s="232"/>
      <c r="R4372" s="411"/>
      <c r="T4372" s="134" t="s">
        <v>145</v>
      </c>
      <c r="U4372" s="267" t="s">
        <v>9767</v>
      </c>
      <c r="AA4372" s="218"/>
    </row>
    <row r="4373" spans="1:27" ht="24" x14ac:dyDescent="0.25">
      <c r="A4373" s="405">
        <v>3003405</v>
      </c>
      <c r="B4373" s="406">
        <v>42579</v>
      </c>
      <c r="C4373" s="405" t="s">
        <v>5682</v>
      </c>
      <c r="D4373" s="401" t="s">
        <v>9768</v>
      </c>
      <c r="E4373" s="120">
        <v>100</v>
      </c>
      <c r="F4373" s="133" t="s">
        <v>300</v>
      </c>
      <c r="G4373" s="404" t="s">
        <v>7486</v>
      </c>
      <c r="H4373" s="411">
        <v>450</v>
      </c>
      <c r="I4373" s="89">
        <f t="shared" si="892"/>
        <v>-40.5</v>
      </c>
      <c r="J4373" s="391">
        <f t="shared" si="893"/>
        <v>-8.85</v>
      </c>
      <c r="K4373" s="90">
        <f t="shared" si="891"/>
        <v>400.65</v>
      </c>
      <c r="L4373" s="131">
        <v>2150</v>
      </c>
      <c r="M4373" s="187">
        <v>58.91</v>
      </c>
      <c r="N4373" s="91">
        <f t="shared" si="886"/>
        <v>273.90999999999997</v>
      </c>
      <c r="O4373" s="411">
        <f t="shared" si="888"/>
        <v>126.74000000000001</v>
      </c>
      <c r="P4373" s="132" t="s">
        <v>52</v>
      </c>
      <c r="Q4373" s="232"/>
      <c r="R4373" s="411"/>
      <c r="T4373" s="134" t="s">
        <v>145</v>
      </c>
      <c r="U4373" s="267" t="s">
        <v>9769</v>
      </c>
      <c r="AA4373" s="218"/>
    </row>
    <row r="4374" spans="1:27" ht="24" x14ac:dyDescent="0.25">
      <c r="A4374" s="405">
        <v>3003406</v>
      </c>
      <c r="B4374" s="406">
        <v>42579</v>
      </c>
      <c r="C4374" s="405" t="s">
        <v>237</v>
      </c>
      <c r="D4374" s="401" t="s">
        <v>9770</v>
      </c>
      <c r="E4374" s="120">
        <v>100</v>
      </c>
      <c r="F4374" s="133" t="s">
        <v>161</v>
      </c>
      <c r="G4374" s="404" t="s">
        <v>7486</v>
      </c>
      <c r="H4374" s="411">
        <v>260</v>
      </c>
      <c r="I4374" s="397">
        <f t="shared" ref="I4374:I4379" si="894">-(H4374*0.15)</f>
        <v>-39</v>
      </c>
      <c r="J4374" s="411">
        <v>0</v>
      </c>
      <c r="K4374" s="90">
        <f t="shared" si="891"/>
        <v>221</v>
      </c>
      <c r="L4374" s="131">
        <v>1322</v>
      </c>
      <c r="M4374" s="187">
        <v>56.75</v>
      </c>
      <c r="N4374" s="91">
        <f t="shared" si="886"/>
        <v>188.95000000000002</v>
      </c>
      <c r="O4374" s="411">
        <f t="shared" si="888"/>
        <v>32.049999999999983</v>
      </c>
      <c r="P4374" s="132" t="s">
        <v>86</v>
      </c>
      <c r="Q4374" s="232"/>
      <c r="R4374" s="411"/>
      <c r="T4374" s="134" t="s">
        <v>145</v>
      </c>
      <c r="U4374" s="267" t="s">
        <v>9771</v>
      </c>
      <c r="AA4374" s="218"/>
    </row>
    <row r="4375" spans="1:27" ht="24" x14ac:dyDescent="0.25">
      <c r="A4375" s="405">
        <v>3003407</v>
      </c>
      <c r="B4375" s="406">
        <v>42579</v>
      </c>
      <c r="C4375" s="405" t="s">
        <v>237</v>
      </c>
      <c r="D4375" s="401" t="s">
        <v>8473</v>
      </c>
      <c r="E4375" s="120">
        <v>500</v>
      </c>
      <c r="F4375" s="133" t="s">
        <v>9772</v>
      </c>
      <c r="G4375" s="404" t="s">
        <v>7486</v>
      </c>
      <c r="H4375" s="411">
        <v>103.02</v>
      </c>
      <c r="I4375" s="397">
        <f t="shared" si="894"/>
        <v>-15.452999999999999</v>
      </c>
      <c r="J4375" s="411">
        <v>0</v>
      </c>
      <c r="K4375" s="90">
        <f t="shared" si="891"/>
        <v>87.566999999999993</v>
      </c>
      <c r="L4375" s="187">
        <v>100</v>
      </c>
      <c r="M4375" s="187">
        <v>17.38</v>
      </c>
      <c r="N4375" s="91">
        <f t="shared" si="886"/>
        <v>67.38</v>
      </c>
      <c r="O4375" s="411">
        <f t="shared" si="888"/>
        <v>20.186999999999998</v>
      </c>
      <c r="P4375" s="132" t="s">
        <v>235</v>
      </c>
      <c r="Q4375" s="232"/>
      <c r="R4375" s="411"/>
      <c r="T4375" s="134" t="s">
        <v>145</v>
      </c>
      <c r="U4375" s="267" t="s">
        <v>9773</v>
      </c>
      <c r="AA4375" s="218"/>
    </row>
    <row r="4376" spans="1:27" ht="24" x14ac:dyDescent="0.25">
      <c r="A4376" s="405">
        <v>3003408</v>
      </c>
      <c r="B4376" s="406">
        <v>42579</v>
      </c>
      <c r="C4376" s="405" t="s">
        <v>237</v>
      </c>
      <c r="D4376" s="401" t="s">
        <v>9774</v>
      </c>
      <c r="E4376" s="120">
        <v>500</v>
      </c>
      <c r="F4376" s="119" t="s">
        <v>9775</v>
      </c>
      <c r="G4376" s="404" t="s">
        <v>7486</v>
      </c>
      <c r="H4376" s="411">
        <v>256.23</v>
      </c>
      <c r="I4376" s="397">
        <f t="shared" si="894"/>
        <v>-38.4345</v>
      </c>
      <c r="J4376" s="411">
        <v>0</v>
      </c>
      <c r="K4376" s="90">
        <f t="shared" si="891"/>
        <v>217.7955</v>
      </c>
      <c r="L4376" s="187">
        <v>370</v>
      </c>
      <c r="M4376" s="187">
        <v>15.54</v>
      </c>
      <c r="N4376" s="91">
        <f t="shared" si="886"/>
        <v>200.54</v>
      </c>
      <c r="O4376" s="411">
        <f t="shared" si="888"/>
        <v>17.255500000000012</v>
      </c>
      <c r="P4376" s="132" t="s">
        <v>856</v>
      </c>
      <c r="Q4376" s="232"/>
      <c r="R4376" s="411"/>
      <c r="T4376" s="134" t="s">
        <v>145</v>
      </c>
      <c r="U4376" s="267" t="s">
        <v>9776</v>
      </c>
      <c r="AA4376" s="218"/>
    </row>
    <row r="4377" spans="1:27" ht="24" x14ac:dyDescent="0.25">
      <c r="A4377" s="405">
        <v>3003409</v>
      </c>
      <c r="B4377" s="406">
        <v>42579</v>
      </c>
      <c r="C4377" s="405" t="s">
        <v>237</v>
      </c>
      <c r="D4377" s="401" t="s">
        <v>9777</v>
      </c>
      <c r="E4377" s="120">
        <v>75</v>
      </c>
      <c r="F4377" s="133" t="s">
        <v>161</v>
      </c>
      <c r="G4377" s="404" t="s">
        <v>7486</v>
      </c>
      <c r="H4377" s="411">
        <v>168</v>
      </c>
      <c r="I4377" s="397">
        <f t="shared" si="894"/>
        <v>-25.2</v>
      </c>
      <c r="J4377" s="411">
        <v>0</v>
      </c>
      <c r="K4377" s="90">
        <f t="shared" si="891"/>
        <v>142.80000000000001</v>
      </c>
      <c r="L4377" s="131">
        <v>1322</v>
      </c>
      <c r="M4377" s="187">
        <v>48.89</v>
      </c>
      <c r="N4377" s="91">
        <f t="shared" si="886"/>
        <v>148.04</v>
      </c>
      <c r="O4377" s="411">
        <f t="shared" si="888"/>
        <v>-5.2399999999999807</v>
      </c>
      <c r="P4377" s="132" t="s">
        <v>86</v>
      </c>
      <c r="Q4377" s="232"/>
      <c r="R4377" s="411"/>
      <c r="T4377" s="134" t="s">
        <v>145</v>
      </c>
      <c r="U4377" s="267" t="s">
        <v>9778</v>
      </c>
      <c r="AA4377" s="218"/>
    </row>
    <row r="4378" spans="1:27" ht="24" x14ac:dyDescent="0.25">
      <c r="A4378" s="405">
        <v>3003410</v>
      </c>
      <c r="B4378" s="406">
        <v>42579</v>
      </c>
      <c r="C4378" s="405" t="s">
        <v>237</v>
      </c>
      <c r="D4378" s="401" t="s">
        <v>9779</v>
      </c>
      <c r="E4378" s="120">
        <v>100</v>
      </c>
      <c r="F4378" s="133" t="s">
        <v>3719</v>
      </c>
      <c r="G4378" s="404" t="s">
        <v>45</v>
      </c>
      <c r="H4378" s="411">
        <v>160</v>
      </c>
      <c r="I4378" s="397">
        <f t="shared" si="894"/>
        <v>-24</v>
      </c>
      <c r="J4378" s="411">
        <v>0</v>
      </c>
      <c r="K4378" s="90">
        <f t="shared" si="891"/>
        <v>136</v>
      </c>
      <c r="L4378" s="187">
        <v>1150</v>
      </c>
      <c r="M4378" s="187">
        <v>19.61</v>
      </c>
      <c r="N4378" s="91">
        <f t="shared" si="886"/>
        <v>134.61000000000001</v>
      </c>
      <c r="O4378" s="411">
        <f t="shared" si="888"/>
        <v>1.3899999999999864</v>
      </c>
      <c r="P4378" s="132" t="s">
        <v>601</v>
      </c>
      <c r="Q4378" s="232"/>
      <c r="R4378" s="411"/>
      <c r="T4378" s="134" t="s">
        <v>145</v>
      </c>
      <c r="U4378" s="267" t="s">
        <v>9780</v>
      </c>
      <c r="AA4378" s="218"/>
    </row>
    <row r="4379" spans="1:27" ht="24" x14ac:dyDescent="0.25">
      <c r="A4379" s="405">
        <v>3003411</v>
      </c>
      <c r="B4379" s="406">
        <v>42579</v>
      </c>
      <c r="C4379" s="405" t="s">
        <v>237</v>
      </c>
      <c r="D4379" s="401" t="s">
        <v>9781</v>
      </c>
      <c r="E4379" s="120">
        <v>200</v>
      </c>
      <c r="F4379" s="133" t="s">
        <v>5066</v>
      </c>
      <c r="G4379" s="404" t="s">
        <v>7486</v>
      </c>
      <c r="H4379" s="411">
        <v>320</v>
      </c>
      <c r="I4379" s="397">
        <f t="shared" si="894"/>
        <v>-48</v>
      </c>
      <c r="J4379" s="411">
        <v>0</v>
      </c>
      <c r="K4379" s="90">
        <f t="shared" si="891"/>
        <v>272</v>
      </c>
      <c r="L4379" s="187">
        <v>1150</v>
      </c>
      <c r="M4379" s="187">
        <v>46.3</v>
      </c>
      <c r="N4379" s="91">
        <f t="shared" si="886"/>
        <v>276.3</v>
      </c>
      <c r="O4379" s="411">
        <f t="shared" si="888"/>
        <v>-4.3000000000000114</v>
      </c>
      <c r="P4379" s="132" t="s">
        <v>601</v>
      </c>
      <c r="Q4379" s="232"/>
      <c r="R4379" s="411"/>
      <c r="T4379" s="134" t="s">
        <v>145</v>
      </c>
      <c r="U4379" s="267" t="s">
        <v>9782</v>
      </c>
      <c r="AA4379" s="218"/>
    </row>
    <row r="4380" spans="1:27" x14ac:dyDescent="0.25">
      <c r="A4380" s="405">
        <v>3</v>
      </c>
      <c r="B4380" s="406">
        <v>42579</v>
      </c>
      <c r="C4380" s="405" t="s">
        <v>56</v>
      </c>
      <c r="D4380" s="401" t="s">
        <v>144</v>
      </c>
      <c r="E4380" s="120">
        <v>82</v>
      </c>
      <c r="F4380" s="133" t="s">
        <v>161</v>
      </c>
      <c r="G4380" s="242" t="s">
        <v>7486</v>
      </c>
      <c r="H4380" s="411">
        <v>147.6</v>
      </c>
      <c r="I4380" s="411">
        <v>0</v>
      </c>
      <c r="J4380" s="411">
        <v>0</v>
      </c>
      <c r="K4380" s="90">
        <f t="shared" si="891"/>
        <v>147.6</v>
      </c>
      <c r="L4380" s="131">
        <v>1322</v>
      </c>
      <c r="N4380" s="91">
        <f t="shared" si="886"/>
        <v>108.40400000000001</v>
      </c>
      <c r="O4380" s="411">
        <f t="shared" si="888"/>
        <v>39.195999999999984</v>
      </c>
      <c r="P4380" s="132" t="s">
        <v>52</v>
      </c>
      <c r="Q4380" s="232"/>
      <c r="R4380" s="411"/>
      <c r="T4380" s="134"/>
      <c r="U4380" s="266"/>
      <c r="V4380" s="133" t="s">
        <v>9783</v>
      </c>
      <c r="AA4380" s="218"/>
    </row>
    <row r="4381" spans="1:27" x14ac:dyDescent="0.25">
      <c r="A4381" s="419">
        <v>3003413</v>
      </c>
      <c r="B4381" s="421">
        <v>42579</v>
      </c>
      <c r="C4381" s="419" t="s">
        <v>56</v>
      </c>
      <c r="D4381" s="417" t="s">
        <v>7323</v>
      </c>
      <c r="E4381" s="120">
        <v>1000</v>
      </c>
      <c r="F4381" s="133" t="s">
        <v>9784</v>
      </c>
      <c r="G4381" s="434" t="s">
        <v>7486</v>
      </c>
      <c r="H4381" s="427">
        <v>3003.7</v>
      </c>
      <c r="I4381" s="427">
        <v>0</v>
      </c>
      <c r="J4381" s="427">
        <v>0</v>
      </c>
      <c r="K4381" s="425">
        <f t="shared" si="891"/>
        <v>3003.7</v>
      </c>
      <c r="M4381" s="468">
        <v>245.45</v>
      </c>
      <c r="N4381" s="91">
        <f t="shared" si="886"/>
        <v>245.45</v>
      </c>
      <c r="O4381" s="411">
        <f t="shared" si="888"/>
        <v>2758.25</v>
      </c>
      <c r="P4381" s="132" t="s">
        <v>52</v>
      </c>
      <c r="Q4381" s="232"/>
      <c r="R4381" s="411"/>
      <c r="T4381" s="439" t="s">
        <v>463</v>
      </c>
      <c r="U4381" s="446" t="s">
        <v>9785</v>
      </c>
      <c r="V4381" s="133" t="s">
        <v>7608</v>
      </c>
      <c r="AA4381" s="218"/>
    </row>
    <row r="4382" spans="1:27" x14ac:dyDescent="0.25">
      <c r="A4382" s="432"/>
      <c r="B4382" s="433"/>
      <c r="C4382" s="432"/>
      <c r="D4382" s="454"/>
      <c r="E4382" s="120">
        <v>1000</v>
      </c>
      <c r="F4382" s="133" t="s">
        <v>3396</v>
      </c>
      <c r="G4382" s="435"/>
      <c r="H4382" s="438"/>
      <c r="I4382" s="438"/>
      <c r="J4382" s="438"/>
      <c r="K4382" s="437"/>
      <c r="L4382" s="131">
        <v>500</v>
      </c>
      <c r="M4382" s="491"/>
      <c r="N4382" s="91">
        <f t="shared" si="886"/>
        <v>500</v>
      </c>
      <c r="O4382" s="411">
        <f t="shared" si="888"/>
        <v>-500</v>
      </c>
      <c r="P4382" s="132" t="s">
        <v>52</v>
      </c>
      <c r="Q4382" s="232"/>
      <c r="R4382" s="411"/>
      <c r="T4382" s="440"/>
      <c r="U4382" s="448"/>
      <c r="AA4382" s="218"/>
    </row>
    <row r="4383" spans="1:27" x14ac:dyDescent="0.25">
      <c r="A4383" s="432"/>
      <c r="B4383" s="433"/>
      <c r="C4383" s="432"/>
      <c r="D4383" s="454"/>
      <c r="E4383" s="120">
        <v>750</v>
      </c>
      <c r="F4383" s="133" t="s">
        <v>9786</v>
      </c>
      <c r="G4383" s="435"/>
      <c r="H4383" s="438"/>
      <c r="I4383" s="438"/>
      <c r="J4383" s="438"/>
      <c r="K4383" s="437"/>
      <c r="L4383" s="131">
        <v>400</v>
      </c>
      <c r="M4383" s="491"/>
      <c r="N4383" s="91">
        <f t="shared" si="886"/>
        <v>300</v>
      </c>
      <c r="O4383" s="411">
        <f t="shared" si="888"/>
        <v>-300</v>
      </c>
      <c r="P4383" s="132" t="s">
        <v>52</v>
      </c>
      <c r="Q4383" s="232"/>
      <c r="R4383" s="411"/>
      <c r="T4383" s="440"/>
      <c r="U4383" s="448"/>
      <c r="AA4383" s="218"/>
    </row>
    <row r="4384" spans="1:27" x14ac:dyDescent="0.25">
      <c r="A4384" s="432"/>
      <c r="B4384" s="433"/>
      <c r="C4384" s="432"/>
      <c r="D4384" s="454"/>
      <c r="E4384" s="120">
        <v>250</v>
      </c>
      <c r="F4384" s="133" t="s">
        <v>9787</v>
      </c>
      <c r="G4384" s="435"/>
      <c r="H4384" s="438"/>
      <c r="I4384" s="438"/>
      <c r="J4384" s="438"/>
      <c r="K4384" s="437"/>
      <c r="M4384" s="469"/>
      <c r="N4384" s="91">
        <f t="shared" si="886"/>
        <v>0</v>
      </c>
      <c r="O4384" s="411">
        <f t="shared" si="888"/>
        <v>0</v>
      </c>
      <c r="P4384" s="132" t="s">
        <v>52</v>
      </c>
      <c r="Q4384" s="232"/>
      <c r="R4384" s="411"/>
      <c r="T4384" s="441"/>
      <c r="U4384" s="447"/>
      <c r="AA4384" s="218"/>
    </row>
    <row r="4385" spans="1:27" ht="24" x14ac:dyDescent="0.25">
      <c r="A4385" s="432"/>
      <c r="B4385" s="433"/>
      <c r="C4385" s="432"/>
      <c r="D4385" s="454"/>
      <c r="E4385" s="120">
        <v>750</v>
      </c>
      <c r="F4385" s="133" t="s">
        <v>9788</v>
      </c>
      <c r="G4385" s="435"/>
      <c r="H4385" s="438"/>
      <c r="I4385" s="438"/>
      <c r="J4385" s="438"/>
      <c r="K4385" s="437"/>
      <c r="L4385" s="187">
        <v>264.92</v>
      </c>
      <c r="N4385" s="91">
        <f t="shared" si="886"/>
        <v>198.69</v>
      </c>
      <c r="O4385" s="411">
        <f t="shared" si="888"/>
        <v>-198.69</v>
      </c>
      <c r="P4385" s="132" t="s">
        <v>46</v>
      </c>
      <c r="Q4385" s="232"/>
      <c r="R4385" s="411"/>
      <c r="T4385" s="134" t="s">
        <v>324</v>
      </c>
      <c r="U4385" s="266" t="s">
        <v>9789</v>
      </c>
      <c r="V4385" s="133" t="s">
        <v>9790</v>
      </c>
      <c r="AA4385" s="218"/>
    </row>
    <row r="4386" spans="1:27" x14ac:dyDescent="0.25">
      <c r="A4386" s="432"/>
      <c r="B4386" s="433"/>
      <c r="C4386" s="432"/>
      <c r="D4386" s="454"/>
      <c r="E4386" s="120">
        <v>500</v>
      </c>
      <c r="F4386" s="133" t="s">
        <v>9791</v>
      </c>
      <c r="G4386" s="435"/>
      <c r="H4386" s="438"/>
      <c r="I4386" s="438"/>
      <c r="J4386" s="438"/>
      <c r="K4386" s="437"/>
      <c r="L4386" s="131">
        <v>150</v>
      </c>
      <c r="M4386" s="468"/>
      <c r="N4386" s="91">
        <f t="shared" si="886"/>
        <v>75</v>
      </c>
      <c r="O4386" s="411">
        <f t="shared" si="888"/>
        <v>-75</v>
      </c>
      <c r="P4386" s="132" t="s">
        <v>52</v>
      </c>
      <c r="Q4386" s="232"/>
      <c r="R4386" s="411"/>
      <c r="T4386" s="439" t="s">
        <v>463</v>
      </c>
      <c r="U4386" s="446" t="s">
        <v>9785</v>
      </c>
      <c r="AA4386" s="218"/>
    </row>
    <row r="4387" spans="1:27" x14ac:dyDescent="0.25">
      <c r="A4387" s="432"/>
      <c r="B4387" s="433"/>
      <c r="C4387" s="432"/>
      <c r="D4387" s="454"/>
      <c r="E4387" s="120">
        <v>250</v>
      </c>
      <c r="F4387" s="133" t="s">
        <v>9792</v>
      </c>
      <c r="G4387" s="435"/>
      <c r="H4387" s="438"/>
      <c r="I4387" s="438"/>
      <c r="J4387" s="438"/>
      <c r="K4387" s="437"/>
      <c r="L4387" s="131">
        <v>1322</v>
      </c>
      <c r="M4387" s="491"/>
      <c r="N4387" s="91">
        <f t="shared" si="886"/>
        <v>330.5</v>
      </c>
      <c r="O4387" s="411">
        <f t="shared" si="888"/>
        <v>-330.5</v>
      </c>
      <c r="P4387" s="132" t="s">
        <v>52</v>
      </c>
      <c r="Q4387" s="232"/>
      <c r="R4387" s="411"/>
      <c r="T4387" s="440"/>
      <c r="U4387" s="448"/>
      <c r="AA4387" s="218"/>
    </row>
    <row r="4388" spans="1:27" x14ac:dyDescent="0.25">
      <c r="A4388" s="432"/>
      <c r="B4388" s="433"/>
      <c r="C4388" s="432"/>
      <c r="D4388" s="454"/>
      <c r="E4388" s="120">
        <v>750</v>
      </c>
      <c r="F4388" s="133" t="s">
        <v>9793</v>
      </c>
      <c r="G4388" s="435"/>
      <c r="H4388" s="438"/>
      <c r="I4388" s="438"/>
      <c r="J4388" s="438"/>
      <c r="K4388" s="437"/>
      <c r="L4388" s="131">
        <v>570</v>
      </c>
      <c r="M4388" s="469"/>
      <c r="N4388" s="91">
        <f t="shared" si="886"/>
        <v>427.5</v>
      </c>
      <c r="O4388" s="411">
        <f t="shared" si="888"/>
        <v>-427.5</v>
      </c>
      <c r="P4388" s="132" t="s">
        <v>52</v>
      </c>
      <c r="Q4388" s="232"/>
      <c r="R4388" s="411"/>
      <c r="T4388" s="441"/>
      <c r="U4388" s="447"/>
      <c r="AA4388" s="218"/>
    </row>
    <row r="4389" spans="1:27" ht="24" x14ac:dyDescent="0.25">
      <c r="A4389" s="420"/>
      <c r="B4389" s="422"/>
      <c r="C4389" s="420"/>
      <c r="D4389" s="418"/>
      <c r="E4389" s="120">
        <v>500</v>
      </c>
      <c r="F4389" s="133" t="s">
        <v>9794</v>
      </c>
      <c r="G4389" s="436"/>
      <c r="H4389" s="428"/>
      <c r="I4389" s="428"/>
      <c r="J4389" s="428"/>
      <c r="K4389" s="426"/>
      <c r="L4389" s="187">
        <v>330</v>
      </c>
      <c r="M4389" s="187">
        <v>17.739999999999998</v>
      </c>
      <c r="N4389" s="91">
        <f t="shared" si="886"/>
        <v>182.74</v>
      </c>
      <c r="O4389" s="411">
        <f t="shared" si="888"/>
        <v>-182.74</v>
      </c>
      <c r="P4389" s="132" t="s">
        <v>183</v>
      </c>
      <c r="Q4389" s="232"/>
      <c r="R4389" s="411"/>
      <c r="T4389" s="134" t="s">
        <v>145</v>
      </c>
      <c r="U4389" s="267" t="s">
        <v>9795</v>
      </c>
      <c r="V4389" s="133" t="s">
        <v>9796</v>
      </c>
      <c r="AA4389" s="218"/>
    </row>
    <row r="4390" spans="1:27" ht="36" x14ac:dyDescent="0.25">
      <c r="A4390" s="405">
        <v>3003414</v>
      </c>
      <c r="B4390" s="406">
        <v>42579</v>
      </c>
      <c r="C4390" s="405" t="s">
        <v>78</v>
      </c>
      <c r="D4390" s="401" t="s">
        <v>9797</v>
      </c>
      <c r="E4390" s="120">
        <v>5000</v>
      </c>
      <c r="F4390" s="133" t="s">
        <v>9798</v>
      </c>
      <c r="G4390" s="404" t="s">
        <v>7486</v>
      </c>
      <c r="H4390" s="411">
        <v>4150</v>
      </c>
      <c r="I4390" s="411">
        <v>0</v>
      </c>
      <c r="J4390" s="391">
        <f t="shared" ref="J4390:J4394" si="895">-((H4390*0.019)+0.3)</f>
        <v>-79.149999999999991</v>
      </c>
      <c r="K4390" s="396">
        <f t="shared" si="891"/>
        <v>4070.85</v>
      </c>
      <c r="L4390" s="187">
        <v>660</v>
      </c>
      <c r="M4390" s="131">
        <v>0</v>
      </c>
      <c r="N4390" s="91">
        <f t="shared" si="886"/>
        <v>3300</v>
      </c>
      <c r="O4390" s="411">
        <f t="shared" si="888"/>
        <v>770.84999999999991</v>
      </c>
      <c r="P4390" s="132" t="s">
        <v>59</v>
      </c>
      <c r="Q4390" s="232"/>
      <c r="R4390" s="411"/>
      <c r="T4390" s="134" t="s">
        <v>60</v>
      </c>
      <c r="U4390" s="267" t="s">
        <v>9799</v>
      </c>
      <c r="W4390" s="257" t="s">
        <v>9800</v>
      </c>
      <c r="AA4390" s="218">
        <v>25</v>
      </c>
    </row>
    <row r="4391" spans="1:27" ht="24" x14ac:dyDescent="0.25">
      <c r="A4391" s="405">
        <v>3003415</v>
      </c>
      <c r="B4391" s="406">
        <v>42579</v>
      </c>
      <c r="C4391" s="405" t="s">
        <v>5682</v>
      </c>
      <c r="D4391" s="401" t="s">
        <v>9801</v>
      </c>
      <c r="E4391" s="120">
        <v>250</v>
      </c>
      <c r="F4391" s="133" t="s">
        <v>6809</v>
      </c>
      <c r="G4391" s="404" t="s">
        <v>7486</v>
      </c>
      <c r="H4391" s="411">
        <v>115</v>
      </c>
      <c r="I4391" s="89">
        <f t="shared" ref="I4391:I4394" si="896">-(H4391*0.09)</f>
        <v>-10.35</v>
      </c>
      <c r="J4391" s="391">
        <f t="shared" si="895"/>
        <v>-2.4849999999999999</v>
      </c>
      <c r="K4391" s="396">
        <f t="shared" si="891"/>
        <v>102.16500000000001</v>
      </c>
      <c r="L4391" s="187">
        <v>280</v>
      </c>
      <c r="M4391" s="187">
        <v>25.85</v>
      </c>
      <c r="N4391" s="91">
        <f t="shared" si="886"/>
        <v>95.85</v>
      </c>
      <c r="O4391" s="411">
        <f t="shared" si="888"/>
        <v>6.3150000000000119</v>
      </c>
      <c r="P4391" s="132" t="s">
        <v>235</v>
      </c>
      <c r="Q4391" s="232"/>
      <c r="R4391" s="411"/>
      <c r="T4391" s="134" t="s">
        <v>145</v>
      </c>
      <c r="U4391" s="267" t="s">
        <v>9802</v>
      </c>
      <c r="AA4391" s="218"/>
    </row>
    <row r="4392" spans="1:27" x14ac:dyDescent="0.25">
      <c r="A4392" s="405">
        <v>3003416</v>
      </c>
      <c r="B4392" s="406">
        <v>42579</v>
      </c>
      <c r="C4392" s="405" t="s">
        <v>9435</v>
      </c>
      <c r="D4392" s="401" t="s">
        <v>9803</v>
      </c>
      <c r="E4392" s="120">
        <v>1325</v>
      </c>
      <c r="F4392" s="133" t="s">
        <v>51</v>
      </c>
      <c r="G4392" s="404" t="s">
        <v>7486</v>
      </c>
      <c r="H4392" s="411">
        <v>2185.7199999999998</v>
      </c>
      <c r="I4392" s="411">
        <v>0</v>
      </c>
      <c r="J4392" s="391">
        <f>-((H4392*0.022)+0.3)</f>
        <v>-48.385839999999988</v>
      </c>
      <c r="K4392" s="396">
        <f t="shared" si="891"/>
        <v>2137.3341599999999</v>
      </c>
      <c r="L4392" s="131">
        <v>1015</v>
      </c>
      <c r="M4392" s="187">
        <v>125.33</v>
      </c>
      <c r="N4392" s="91">
        <f t="shared" si="886"/>
        <v>1470.2049999999999</v>
      </c>
      <c r="O4392" s="411">
        <f t="shared" si="888"/>
        <v>667.12915999999996</v>
      </c>
      <c r="P4392" s="132" t="s">
        <v>52</v>
      </c>
      <c r="Q4392" s="232"/>
      <c r="R4392" s="411"/>
      <c r="T4392" s="134" t="s">
        <v>1467</v>
      </c>
      <c r="U4392" s="267" t="s">
        <v>9804</v>
      </c>
      <c r="V4392" s="133" t="s">
        <v>55</v>
      </c>
      <c r="W4392" s="153" t="s">
        <v>9805</v>
      </c>
      <c r="AA4392" s="218">
        <v>10</v>
      </c>
    </row>
    <row r="4393" spans="1:27" x14ac:dyDescent="0.25">
      <c r="A4393" s="405">
        <v>3003417</v>
      </c>
      <c r="B4393" s="406">
        <v>42579</v>
      </c>
      <c r="C4393" s="405" t="s">
        <v>5682</v>
      </c>
      <c r="D4393" s="401" t="s">
        <v>9806</v>
      </c>
      <c r="E4393" s="120">
        <v>500</v>
      </c>
      <c r="F4393" s="133" t="s">
        <v>688</v>
      </c>
      <c r="G4393" s="404" t="s">
        <v>45</v>
      </c>
      <c r="H4393" s="411">
        <v>800</v>
      </c>
      <c r="I4393" s="89">
        <f t="shared" si="896"/>
        <v>-72</v>
      </c>
      <c r="J4393" s="391">
        <f t="shared" si="895"/>
        <v>-15.5</v>
      </c>
      <c r="K4393" s="396">
        <f t="shared" si="891"/>
        <v>712.5</v>
      </c>
      <c r="L4393" s="131">
        <v>856</v>
      </c>
      <c r="M4393" s="187">
        <v>161.04</v>
      </c>
      <c r="N4393" s="91">
        <f t="shared" si="886"/>
        <v>589.04</v>
      </c>
      <c r="O4393" s="411">
        <f t="shared" si="888"/>
        <v>123.46000000000004</v>
      </c>
      <c r="P4393" s="132" t="s">
        <v>52</v>
      </c>
      <c r="Q4393" s="232"/>
      <c r="R4393" s="411"/>
      <c r="T4393" s="134" t="s">
        <v>1743</v>
      </c>
      <c r="U4393" s="267" t="s">
        <v>9807</v>
      </c>
      <c r="V4393" s="133" t="s">
        <v>55</v>
      </c>
      <c r="AA4393" s="218"/>
    </row>
    <row r="4394" spans="1:27" ht="24" x14ac:dyDescent="0.25">
      <c r="A4394" s="405">
        <v>3003418</v>
      </c>
      <c r="B4394" s="406">
        <v>42579</v>
      </c>
      <c r="C4394" s="405" t="s">
        <v>5682</v>
      </c>
      <c r="D4394" s="401" t="s">
        <v>7382</v>
      </c>
      <c r="E4394" s="120">
        <v>111</v>
      </c>
      <c r="F4394" s="133" t="s">
        <v>1547</v>
      </c>
      <c r="G4394" s="404" t="s">
        <v>7486</v>
      </c>
      <c r="H4394" s="411">
        <v>126.33</v>
      </c>
      <c r="I4394" s="89">
        <f t="shared" si="896"/>
        <v>-11.3697</v>
      </c>
      <c r="J4394" s="391">
        <f t="shared" si="895"/>
        <v>-2.7002699999999997</v>
      </c>
      <c r="K4394" s="396">
        <f t="shared" si="891"/>
        <v>112.26003</v>
      </c>
      <c r="L4394" s="131">
        <v>419</v>
      </c>
      <c r="M4394" s="187">
        <v>35.08</v>
      </c>
      <c r="N4394" s="91">
        <f t="shared" si="886"/>
        <v>81.588999999999999</v>
      </c>
      <c r="O4394" s="411">
        <f t="shared" si="888"/>
        <v>30.671030000000002</v>
      </c>
      <c r="P4394" s="132" t="s">
        <v>52</v>
      </c>
      <c r="Q4394" s="232"/>
      <c r="R4394" s="411"/>
      <c r="T4394" s="134" t="s">
        <v>145</v>
      </c>
      <c r="U4394" s="267" t="s">
        <v>9808</v>
      </c>
      <c r="AA4394" s="218"/>
    </row>
    <row r="4395" spans="1:27" ht="24" x14ac:dyDescent="0.25">
      <c r="A4395" s="405">
        <v>3003419</v>
      </c>
      <c r="B4395" s="406">
        <v>42579</v>
      </c>
      <c r="C4395" s="405" t="s">
        <v>237</v>
      </c>
      <c r="D4395" s="401" t="s">
        <v>9809</v>
      </c>
      <c r="E4395" s="120">
        <v>100</v>
      </c>
      <c r="F4395" s="133" t="s">
        <v>161</v>
      </c>
      <c r="G4395" s="404" t="s">
        <v>7486</v>
      </c>
      <c r="H4395" s="411">
        <v>260</v>
      </c>
      <c r="I4395" s="397">
        <f t="shared" ref="I4395" si="897">-(H4395*0.15)</f>
        <v>-39</v>
      </c>
      <c r="J4395" s="411">
        <v>0</v>
      </c>
      <c r="K4395" s="396">
        <f t="shared" si="891"/>
        <v>221</v>
      </c>
      <c r="L4395" s="131">
        <v>1322</v>
      </c>
      <c r="M4395" s="187">
        <v>47.72</v>
      </c>
      <c r="N4395" s="91">
        <f t="shared" si="886"/>
        <v>179.92000000000002</v>
      </c>
      <c r="O4395" s="411">
        <f t="shared" si="888"/>
        <v>41.079999999999984</v>
      </c>
      <c r="P4395" s="132" t="s">
        <v>86</v>
      </c>
      <c r="Q4395" s="232"/>
      <c r="R4395" s="411"/>
      <c r="T4395" s="134" t="s">
        <v>145</v>
      </c>
      <c r="U4395" s="267" t="s">
        <v>9810</v>
      </c>
      <c r="AA4395" s="218"/>
    </row>
    <row r="4396" spans="1:27" ht="24" x14ac:dyDescent="0.25">
      <c r="A4396" s="405">
        <v>3003420</v>
      </c>
      <c r="B4396" s="406">
        <v>42580</v>
      </c>
      <c r="C4396" s="405" t="s">
        <v>141</v>
      </c>
      <c r="D4396" s="401" t="s">
        <v>9811</v>
      </c>
      <c r="E4396" s="120">
        <v>175</v>
      </c>
      <c r="F4396" s="133" t="s">
        <v>1547</v>
      </c>
      <c r="G4396" s="404" t="s">
        <v>7486</v>
      </c>
      <c r="H4396" s="411">
        <v>184</v>
      </c>
      <c r="I4396" s="411">
        <v>0</v>
      </c>
      <c r="J4396" s="391">
        <f>-((H4396*0.0325)+0.3)</f>
        <v>-6.28</v>
      </c>
      <c r="K4396" s="396">
        <f t="shared" si="891"/>
        <v>177.72</v>
      </c>
      <c r="L4396" s="131">
        <v>419</v>
      </c>
      <c r="M4396" s="187">
        <v>23.04</v>
      </c>
      <c r="N4396" s="91">
        <f t="shared" si="886"/>
        <v>96.365000000000009</v>
      </c>
      <c r="O4396" s="411">
        <f t="shared" si="888"/>
        <v>81.35499999999999</v>
      </c>
      <c r="P4396" s="132" t="s">
        <v>52</v>
      </c>
      <c r="Q4396" s="232"/>
      <c r="R4396" s="411"/>
      <c r="T4396" s="134" t="s">
        <v>145</v>
      </c>
      <c r="U4396" s="267" t="s">
        <v>9812</v>
      </c>
      <c r="W4396" s="153" t="s">
        <v>9813</v>
      </c>
      <c r="AA4396" s="218"/>
    </row>
    <row r="4397" spans="1:27" ht="24" x14ac:dyDescent="0.25">
      <c r="A4397" s="405">
        <v>3003421</v>
      </c>
      <c r="B4397" s="406">
        <v>42580</v>
      </c>
      <c r="C4397" s="405" t="s">
        <v>327</v>
      </c>
      <c r="D4397" s="401" t="s">
        <v>9814</v>
      </c>
      <c r="E4397" s="120">
        <v>50</v>
      </c>
      <c r="F4397" s="133" t="s">
        <v>5146</v>
      </c>
      <c r="G4397" s="404" t="s">
        <v>7486</v>
      </c>
      <c r="H4397" s="411">
        <v>70</v>
      </c>
      <c r="I4397" s="411">
        <v>0</v>
      </c>
      <c r="J4397" s="391">
        <f>-((H4397*0.022)+0.3)</f>
        <v>-1.8399999999999999</v>
      </c>
      <c r="K4397" s="396">
        <f t="shared" si="891"/>
        <v>68.16</v>
      </c>
      <c r="M4397" s="187">
        <v>17.45</v>
      </c>
      <c r="N4397" s="91">
        <f t="shared" si="886"/>
        <v>17.45</v>
      </c>
      <c r="O4397" s="411">
        <f t="shared" si="888"/>
        <v>50.709999999999994</v>
      </c>
      <c r="P4397" s="132" t="s">
        <v>52</v>
      </c>
      <c r="Q4397" s="232"/>
      <c r="R4397" s="411"/>
      <c r="T4397" s="134" t="s">
        <v>145</v>
      </c>
      <c r="U4397" s="267" t="s">
        <v>9815</v>
      </c>
      <c r="W4397" s="153" t="s">
        <v>9816</v>
      </c>
      <c r="AA4397" s="218"/>
    </row>
    <row r="4398" spans="1:27" ht="24" x14ac:dyDescent="0.25">
      <c r="A4398" s="405">
        <v>3003422</v>
      </c>
      <c r="B4398" s="406">
        <v>42580</v>
      </c>
      <c r="C4398" s="405" t="s">
        <v>78</v>
      </c>
      <c r="D4398" s="401" t="s">
        <v>9817</v>
      </c>
      <c r="E4398" s="120">
        <v>100</v>
      </c>
      <c r="F4398" s="133" t="s">
        <v>217</v>
      </c>
      <c r="G4398" s="404" t="s">
        <v>7486</v>
      </c>
      <c r="H4398" s="411">
        <v>230</v>
      </c>
      <c r="I4398" s="411">
        <v>0</v>
      </c>
      <c r="J4398" s="391">
        <f t="shared" ref="J4398:J4407" si="898">-((H4398*0.019)+0.3)</f>
        <v>-4.67</v>
      </c>
      <c r="K4398" s="396">
        <f t="shared" si="891"/>
        <v>225.33</v>
      </c>
      <c r="L4398" s="131">
        <v>1322</v>
      </c>
      <c r="M4398" s="187">
        <v>54.29</v>
      </c>
      <c r="N4398" s="91">
        <f t="shared" si="886"/>
        <v>186.49</v>
      </c>
      <c r="O4398" s="411">
        <f t="shared" si="888"/>
        <v>38.840000000000003</v>
      </c>
      <c r="P4398" s="132" t="s">
        <v>52</v>
      </c>
      <c r="Q4398" s="232"/>
      <c r="R4398" s="411"/>
      <c r="T4398" s="134" t="s">
        <v>145</v>
      </c>
      <c r="U4398" s="267" t="s">
        <v>9818</v>
      </c>
      <c r="W4398" s="153" t="s">
        <v>9819</v>
      </c>
      <c r="AA4398" s="218"/>
    </row>
    <row r="4399" spans="1:27" ht="24" x14ac:dyDescent="0.25">
      <c r="A4399" s="405">
        <v>3003423</v>
      </c>
      <c r="B4399" s="406">
        <v>42580</v>
      </c>
      <c r="C4399" s="405" t="s">
        <v>5682</v>
      </c>
      <c r="D4399" s="401" t="s">
        <v>9820</v>
      </c>
      <c r="E4399" s="120">
        <v>100</v>
      </c>
      <c r="F4399" s="133" t="s">
        <v>1522</v>
      </c>
      <c r="G4399" s="404" t="s">
        <v>7486</v>
      </c>
      <c r="H4399" s="411">
        <v>228</v>
      </c>
      <c r="I4399" s="89">
        <f t="shared" ref="I4399:I4407" si="899">-(H4399*0.09)</f>
        <v>-20.52</v>
      </c>
      <c r="J4399" s="391">
        <f t="shared" si="898"/>
        <v>-4.6319999999999997</v>
      </c>
      <c r="K4399" s="396">
        <f t="shared" si="891"/>
        <v>202.84799999999998</v>
      </c>
      <c r="L4399" s="131">
        <v>716</v>
      </c>
      <c r="M4399" s="187">
        <f>28.54+5</f>
        <v>33.54</v>
      </c>
      <c r="N4399" s="91">
        <f t="shared" si="886"/>
        <v>105.14000000000001</v>
      </c>
      <c r="O4399" s="411">
        <f t="shared" si="888"/>
        <v>97.70799999999997</v>
      </c>
      <c r="P4399" s="132" t="s">
        <v>52</v>
      </c>
      <c r="Q4399" s="232"/>
      <c r="R4399" s="411"/>
      <c r="T4399" s="134" t="s">
        <v>145</v>
      </c>
      <c r="U4399" s="267" t="s">
        <v>9821</v>
      </c>
      <c r="AA4399" s="218"/>
    </row>
    <row r="4400" spans="1:27" ht="24" x14ac:dyDescent="0.25">
      <c r="A4400" s="405">
        <v>3003424</v>
      </c>
      <c r="B4400" s="406">
        <v>42580</v>
      </c>
      <c r="C4400" s="405" t="s">
        <v>5682</v>
      </c>
      <c r="D4400" s="401" t="s">
        <v>9822</v>
      </c>
      <c r="E4400" s="120">
        <v>250</v>
      </c>
      <c r="F4400" s="133" t="s">
        <v>829</v>
      </c>
      <c r="G4400" s="404" t="s">
        <v>7486</v>
      </c>
      <c r="H4400" s="411">
        <v>234.18</v>
      </c>
      <c r="I4400" s="89">
        <f t="shared" si="899"/>
        <v>-21.0762</v>
      </c>
      <c r="J4400" s="391">
        <f t="shared" si="898"/>
        <v>-4.7494199999999998</v>
      </c>
      <c r="K4400" s="396">
        <f t="shared" si="891"/>
        <v>208.35438000000002</v>
      </c>
      <c r="L4400" s="131">
        <v>510</v>
      </c>
      <c r="M4400" s="187">
        <v>44.86</v>
      </c>
      <c r="N4400" s="91">
        <f t="shared" si="886"/>
        <v>172.36</v>
      </c>
      <c r="O4400" s="411">
        <f t="shared" si="888"/>
        <v>35.994380000000007</v>
      </c>
      <c r="P4400" s="132" t="s">
        <v>52</v>
      </c>
      <c r="Q4400" s="232"/>
      <c r="R4400" s="411"/>
      <c r="T4400" s="134" t="s">
        <v>145</v>
      </c>
      <c r="U4400" s="267" t="s">
        <v>9823</v>
      </c>
      <c r="AA4400" s="218"/>
    </row>
    <row r="4401" spans="1:27" x14ac:dyDescent="0.25">
      <c r="A4401" s="405">
        <v>3003425</v>
      </c>
      <c r="B4401" s="406">
        <v>42580</v>
      </c>
      <c r="C4401" s="405" t="s">
        <v>5682</v>
      </c>
      <c r="D4401" s="401" t="s">
        <v>9824</v>
      </c>
      <c r="E4401" s="120">
        <v>500</v>
      </c>
      <c r="F4401" s="133" t="s">
        <v>247</v>
      </c>
      <c r="G4401" s="404" t="s">
        <v>7486</v>
      </c>
      <c r="H4401" s="411">
        <v>560.09</v>
      </c>
      <c r="I4401" s="89">
        <f t="shared" si="899"/>
        <v>-50.408099999999997</v>
      </c>
      <c r="J4401" s="391">
        <f t="shared" si="898"/>
        <v>-10.94171</v>
      </c>
      <c r="K4401" s="396">
        <f t="shared" si="891"/>
        <v>498.74019000000004</v>
      </c>
      <c r="L4401" s="131">
        <v>480</v>
      </c>
      <c r="M4401" s="187">
        <v>155.32</v>
      </c>
      <c r="N4401" s="91">
        <f t="shared" si="886"/>
        <v>395.32</v>
      </c>
      <c r="O4401" s="411">
        <f t="shared" si="888"/>
        <v>103.42019000000005</v>
      </c>
      <c r="P4401" s="132" t="s">
        <v>52</v>
      </c>
      <c r="Q4401" s="232"/>
      <c r="R4401" s="411"/>
      <c r="T4401" s="134" t="s">
        <v>1743</v>
      </c>
      <c r="U4401" s="267" t="s">
        <v>9825</v>
      </c>
      <c r="AA4401" s="218"/>
    </row>
    <row r="4402" spans="1:27" ht="24" x14ac:dyDescent="0.25">
      <c r="A4402" s="405">
        <v>3003426</v>
      </c>
      <c r="B4402" s="406">
        <v>42580</v>
      </c>
      <c r="C4402" s="405" t="s">
        <v>5682</v>
      </c>
      <c r="D4402" s="401" t="s">
        <v>7986</v>
      </c>
      <c r="E4402" s="120">
        <v>110</v>
      </c>
      <c r="F4402" s="133" t="s">
        <v>165</v>
      </c>
      <c r="G4402" s="404" t="s">
        <v>7486</v>
      </c>
      <c r="H4402" s="411">
        <v>120.9</v>
      </c>
      <c r="I4402" s="89">
        <f t="shared" si="899"/>
        <v>-10.881</v>
      </c>
      <c r="J4402" s="391">
        <f t="shared" si="898"/>
        <v>-2.5970999999999997</v>
      </c>
      <c r="K4402" s="396">
        <f t="shared" si="891"/>
        <v>107.42190000000001</v>
      </c>
      <c r="L4402" s="131">
        <v>375</v>
      </c>
      <c r="M4402" s="187">
        <v>44.9</v>
      </c>
      <c r="N4402" s="91">
        <f t="shared" si="886"/>
        <v>86.15</v>
      </c>
      <c r="O4402" s="411">
        <f t="shared" si="888"/>
        <v>21.271900000000002</v>
      </c>
      <c r="P4402" s="132" t="s">
        <v>52</v>
      </c>
      <c r="Q4402" s="232"/>
      <c r="R4402" s="411"/>
      <c r="T4402" s="134" t="s">
        <v>145</v>
      </c>
      <c r="U4402" s="267" t="s">
        <v>9826</v>
      </c>
      <c r="AA4402" s="218"/>
    </row>
    <row r="4403" spans="1:27" ht="24" x14ac:dyDescent="0.25">
      <c r="A4403" s="405">
        <v>3003427</v>
      </c>
      <c r="B4403" s="406">
        <v>42580</v>
      </c>
      <c r="C4403" s="405" t="s">
        <v>5682</v>
      </c>
      <c r="D4403" s="401" t="s">
        <v>9827</v>
      </c>
      <c r="E4403" s="120">
        <v>50</v>
      </c>
      <c r="F4403" s="133" t="s">
        <v>2517</v>
      </c>
      <c r="G4403" s="404" t="s">
        <v>7486</v>
      </c>
      <c r="H4403" s="411">
        <v>214.22</v>
      </c>
      <c r="I4403" s="89">
        <f t="shared" si="899"/>
        <v>-19.279799999999998</v>
      </c>
      <c r="J4403" s="391">
        <f t="shared" si="898"/>
        <v>-4.3701799999999995</v>
      </c>
      <c r="K4403" s="396">
        <f t="shared" si="891"/>
        <v>190.57002</v>
      </c>
      <c r="M4403" s="187">
        <v>29.36</v>
      </c>
      <c r="N4403" s="91">
        <f t="shared" si="886"/>
        <v>29.36</v>
      </c>
      <c r="O4403" s="411">
        <f t="shared" si="888"/>
        <v>161.21001999999999</v>
      </c>
      <c r="P4403" s="132" t="s">
        <v>52</v>
      </c>
      <c r="Q4403" s="232"/>
      <c r="R4403" s="411"/>
      <c r="T4403" s="134" t="s">
        <v>145</v>
      </c>
      <c r="U4403" s="267" t="s">
        <v>9828</v>
      </c>
      <c r="AA4403" s="218"/>
    </row>
    <row r="4404" spans="1:27" x14ac:dyDescent="0.25">
      <c r="A4404" s="405">
        <v>3003428</v>
      </c>
      <c r="B4404" s="406">
        <v>42580</v>
      </c>
      <c r="C4404" s="405" t="s">
        <v>5682</v>
      </c>
      <c r="D4404" s="401" t="s">
        <v>9829</v>
      </c>
      <c r="E4404" s="120">
        <v>500</v>
      </c>
      <c r="F4404" s="133" t="s">
        <v>288</v>
      </c>
      <c r="G4404" s="404" t="s">
        <v>7486</v>
      </c>
      <c r="H4404" s="411">
        <v>860.76</v>
      </c>
      <c r="I4404" s="89">
        <f t="shared" si="899"/>
        <v>-77.468400000000003</v>
      </c>
      <c r="J4404" s="391">
        <f t="shared" si="898"/>
        <v>-16.654440000000001</v>
      </c>
      <c r="K4404" s="396">
        <f t="shared" si="891"/>
        <v>766.63715999999999</v>
      </c>
      <c r="L4404" s="131">
        <v>950</v>
      </c>
      <c r="M4404" s="187">
        <v>210</v>
      </c>
      <c r="N4404" s="91">
        <f t="shared" si="886"/>
        <v>685</v>
      </c>
      <c r="O4404" s="411">
        <f t="shared" si="888"/>
        <v>81.637159999999994</v>
      </c>
      <c r="P4404" s="132" t="s">
        <v>52</v>
      </c>
      <c r="Q4404" s="232"/>
      <c r="R4404" s="411"/>
      <c r="T4404" s="134" t="s">
        <v>1743</v>
      </c>
      <c r="U4404" s="267" t="s">
        <v>9830</v>
      </c>
      <c r="V4404" s="133" t="s">
        <v>55</v>
      </c>
      <c r="AA4404" s="218"/>
    </row>
    <row r="4405" spans="1:27" ht="24" x14ac:dyDescent="0.25">
      <c r="A4405" s="405">
        <v>3003429</v>
      </c>
      <c r="B4405" s="406">
        <v>42580</v>
      </c>
      <c r="C4405" s="405" t="s">
        <v>5682</v>
      </c>
      <c r="D4405" s="401" t="s">
        <v>9831</v>
      </c>
      <c r="E4405" s="120">
        <v>100</v>
      </c>
      <c r="F4405" s="133" t="s">
        <v>939</v>
      </c>
      <c r="G4405" s="404" t="s">
        <v>7486</v>
      </c>
      <c r="H4405" s="411">
        <v>122.14</v>
      </c>
      <c r="I4405" s="89">
        <f t="shared" si="899"/>
        <v>-10.992599999999999</v>
      </c>
      <c r="J4405" s="391">
        <f t="shared" si="898"/>
        <v>-2.62066</v>
      </c>
      <c r="K4405" s="396">
        <f t="shared" si="891"/>
        <v>108.52674</v>
      </c>
      <c r="L4405" s="131">
        <v>445</v>
      </c>
      <c r="M4405" s="187">
        <v>21.13</v>
      </c>
      <c r="N4405" s="91">
        <f t="shared" si="886"/>
        <v>65.63</v>
      </c>
      <c r="O4405" s="411">
        <f t="shared" si="888"/>
        <v>42.896740000000008</v>
      </c>
      <c r="P4405" s="132" t="s">
        <v>52</v>
      </c>
      <c r="Q4405" s="232"/>
      <c r="R4405" s="411"/>
      <c r="T4405" s="134" t="s">
        <v>145</v>
      </c>
      <c r="U4405" s="267" t="s">
        <v>9832</v>
      </c>
      <c r="AA4405" s="218"/>
    </row>
    <row r="4406" spans="1:27" ht="24" x14ac:dyDescent="0.25">
      <c r="A4406" s="405">
        <v>3003430</v>
      </c>
      <c r="B4406" s="406">
        <v>42580</v>
      </c>
      <c r="C4406" s="405" t="s">
        <v>5682</v>
      </c>
      <c r="D4406" s="401" t="s">
        <v>9833</v>
      </c>
      <c r="E4406" s="120">
        <v>200</v>
      </c>
      <c r="F4406" s="133" t="s">
        <v>9834</v>
      </c>
      <c r="G4406" s="404" t="s">
        <v>7486</v>
      </c>
      <c r="H4406" s="411">
        <v>454.05</v>
      </c>
      <c r="I4406" s="89">
        <f t="shared" si="899"/>
        <v>-40.8645</v>
      </c>
      <c r="J4406" s="391">
        <f t="shared" si="898"/>
        <v>-8.9269500000000015</v>
      </c>
      <c r="K4406" s="396">
        <f t="shared" si="891"/>
        <v>404.25855000000001</v>
      </c>
      <c r="L4406" s="187">
        <v>1500</v>
      </c>
      <c r="M4406" s="187">
        <v>49.87</v>
      </c>
      <c r="N4406" s="91">
        <f t="shared" si="886"/>
        <v>349.87</v>
      </c>
      <c r="O4406" s="411">
        <f t="shared" si="888"/>
        <v>54.388550000000009</v>
      </c>
      <c r="P4406" s="132" t="s">
        <v>183</v>
      </c>
      <c r="Q4406" s="232"/>
      <c r="R4406" s="411"/>
      <c r="T4406" s="134" t="s">
        <v>145</v>
      </c>
      <c r="U4406" s="267" t="s">
        <v>9835</v>
      </c>
      <c r="AA4406" s="218"/>
    </row>
    <row r="4407" spans="1:27" ht="24" x14ac:dyDescent="0.25">
      <c r="A4407" s="405">
        <v>3003431</v>
      </c>
      <c r="B4407" s="406">
        <v>42580</v>
      </c>
      <c r="C4407" s="405" t="s">
        <v>5682</v>
      </c>
      <c r="D4407" s="401" t="s">
        <v>9836</v>
      </c>
      <c r="E4407" s="120">
        <v>175</v>
      </c>
      <c r="F4407" s="133" t="s">
        <v>247</v>
      </c>
      <c r="G4407" s="404" t="s">
        <v>7486</v>
      </c>
      <c r="H4407" s="411">
        <v>219.51</v>
      </c>
      <c r="I4407" s="89">
        <f t="shared" si="899"/>
        <v>-19.755899999999997</v>
      </c>
      <c r="J4407" s="391">
        <f t="shared" si="898"/>
        <v>-4.4706899999999994</v>
      </c>
      <c r="K4407" s="396">
        <f t="shared" si="891"/>
        <v>195.28341</v>
      </c>
      <c r="L4407" s="131">
        <v>480</v>
      </c>
      <c r="M4407" s="187">
        <v>34.76</v>
      </c>
      <c r="N4407" s="91">
        <f t="shared" si="886"/>
        <v>118.76000000000002</v>
      </c>
      <c r="O4407" s="411">
        <f t="shared" si="888"/>
        <v>76.523409999999984</v>
      </c>
      <c r="P4407" s="132" t="s">
        <v>52</v>
      </c>
      <c r="Q4407" s="232"/>
      <c r="R4407" s="411"/>
      <c r="T4407" s="134" t="s">
        <v>145</v>
      </c>
      <c r="U4407" s="267" t="s">
        <v>9837</v>
      </c>
      <c r="AA4407" s="218"/>
    </row>
    <row r="4408" spans="1:27" ht="24" x14ac:dyDescent="0.25">
      <c r="A4408" s="405">
        <v>3003432</v>
      </c>
      <c r="B4408" s="406">
        <v>42580</v>
      </c>
      <c r="C4408" s="405" t="s">
        <v>237</v>
      </c>
      <c r="D4408" s="401" t="s">
        <v>9838</v>
      </c>
      <c r="E4408" s="120">
        <v>100</v>
      </c>
      <c r="F4408" s="133" t="s">
        <v>161</v>
      </c>
      <c r="G4408" s="404" t="s">
        <v>7486</v>
      </c>
      <c r="H4408" s="411">
        <v>260</v>
      </c>
      <c r="I4408" s="397">
        <f t="shared" ref="I4408:I4410" si="900">-(H4408*0.15)</f>
        <v>-39</v>
      </c>
      <c r="J4408" s="411">
        <v>0</v>
      </c>
      <c r="K4408" s="396">
        <f t="shared" si="891"/>
        <v>221</v>
      </c>
      <c r="L4408" s="131">
        <v>1322</v>
      </c>
      <c r="M4408" s="187">
        <v>42.34</v>
      </c>
      <c r="N4408" s="91">
        <f t="shared" si="886"/>
        <v>174.54000000000002</v>
      </c>
      <c r="O4408" s="411">
        <f t="shared" si="888"/>
        <v>46.45999999999998</v>
      </c>
      <c r="P4408" s="132" t="s">
        <v>52</v>
      </c>
      <c r="Q4408" s="232"/>
      <c r="R4408" s="411"/>
      <c r="T4408" s="134" t="s">
        <v>145</v>
      </c>
      <c r="U4408" s="267" t="s">
        <v>9839</v>
      </c>
      <c r="AA4408" s="218"/>
    </row>
    <row r="4409" spans="1:27" ht="24" x14ac:dyDescent="0.25">
      <c r="A4409" s="405">
        <v>3003433</v>
      </c>
      <c r="B4409" s="406">
        <v>42580</v>
      </c>
      <c r="C4409" s="405" t="s">
        <v>237</v>
      </c>
      <c r="D4409" s="401" t="s">
        <v>9840</v>
      </c>
      <c r="E4409" s="120">
        <v>150</v>
      </c>
      <c r="F4409" s="133" t="s">
        <v>247</v>
      </c>
      <c r="G4409" s="404" t="s">
        <v>7486</v>
      </c>
      <c r="H4409" s="411">
        <v>179.8</v>
      </c>
      <c r="I4409" s="397">
        <f t="shared" si="900"/>
        <v>-26.970000000000002</v>
      </c>
      <c r="J4409" s="411">
        <v>0</v>
      </c>
      <c r="K4409" s="396">
        <f t="shared" si="891"/>
        <v>152.83000000000001</v>
      </c>
      <c r="L4409" s="131">
        <v>480</v>
      </c>
      <c r="M4409" s="187">
        <v>26.13</v>
      </c>
      <c r="N4409" s="91">
        <f t="shared" si="886"/>
        <v>98.13</v>
      </c>
      <c r="O4409" s="411">
        <f t="shared" si="888"/>
        <v>54.700000000000017</v>
      </c>
      <c r="P4409" s="132" t="s">
        <v>52</v>
      </c>
      <c r="Q4409" s="232"/>
      <c r="R4409" s="411"/>
      <c r="T4409" s="134" t="s">
        <v>145</v>
      </c>
      <c r="U4409" s="267" t="s">
        <v>9841</v>
      </c>
      <c r="AA4409" s="218"/>
    </row>
    <row r="4410" spans="1:27" ht="24" x14ac:dyDescent="0.25">
      <c r="A4410" s="405">
        <v>3003434</v>
      </c>
      <c r="B4410" s="406">
        <v>42580</v>
      </c>
      <c r="C4410" s="405" t="s">
        <v>237</v>
      </c>
      <c r="D4410" s="401" t="s">
        <v>9842</v>
      </c>
      <c r="E4410" s="120">
        <v>150</v>
      </c>
      <c r="F4410" s="133" t="s">
        <v>247</v>
      </c>
      <c r="G4410" s="404" t="s">
        <v>7486</v>
      </c>
      <c r="H4410" s="411">
        <v>179.29</v>
      </c>
      <c r="I4410" s="397">
        <f t="shared" si="900"/>
        <v>-26.8935</v>
      </c>
      <c r="J4410" s="411">
        <v>0</v>
      </c>
      <c r="K4410" s="396">
        <f t="shared" si="891"/>
        <v>152.3965</v>
      </c>
      <c r="L4410" s="131">
        <v>480</v>
      </c>
      <c r="M4410" s="187">
        <v>51.65</v>
      </c>
      <c r="N4410" s="91">
        <f t="shared" ref="N4410:N4473" si="901">((L4410)*(E4410*0.001))+M4410</f>
        <v>123.65</v>
      </c>
      <c r="O4410" s="411">
        <f t="shared" si="888"/>
        <v>28.746499999999997</v>
      </c>
      <c r="P4410" s="132" t="s">
        <v>52</v>
      </c>
      <c r="Q4410" s="232"/>
      <c r="R4410" s="411"/>
      <c r="T4410" s="134" t="s">
        <v>145</v>
      </c>
      <c r="U4410" s="267" t="s">
        <v>9843</v>
      </c>
      <c r="AA4410" s="218"/>
    </row>
    <row r="4411" spans="1:27" x14ac:dyDescent="0.25">
      <c r="A4411" s="419">
        <v>3003435</v>
      </c>
      <c r="B4411" s="421">
        <v>42580</v>
      </c>
      <c r="C4411" s="419" t="s">
        <v>56</v>
      </c>
      <c r="D4411" s="417" t="s">
        <v>57</v>
      </c>
      <c r="E4411" s="120">
        <v>390</v>
      </c>
      <c r="F4411" s="133" t="s">
        <v>9844</v>
      </c>
      <c r="G4411" s="434" t="s">
        <v>7486</v>
      </c>
      <c r="H4411" s="427">
        <v>5521.5</v>
      </c>
      <c r="I4411" s="427">
        <v>0</v>
      </c>
      <c r="J4411" s="427">
        <v>0</v>
      </c>
      <c r="K4411" s="425">
        <f t="shared" si="891"/>
        <v>5521.5</v>
      </c>
      <c r="M4411" s="187">
        <v>180.05</v>
      </c>
      <c r="N4411" s="91">
        <f t="shared" si="901"/>
        <v>180.05</v>
      </c>
      <c r="O4411" s="411">
        <f t="shared" si="888"/>
        <v>5341.45</v>
      </c>
      <c r="P4411" s="132" t="s">
        <v>52</v>
      </c>
      <c r="Q4411" s="232"/>
      <c r="R4411" s="411"/>
      <c r="T4411" s="134" t="s">
        <v>9190</v>
      </c>
      <c r="U4411" s="267" t="s">
        <v>9845</v>
      </c>
      <c r="V4411" s="133" t="s">
        <v>9146</v>
      </c>
      <c r="W4411" s="153" t="s">
        <v>1855</v>
      </c>
      <c r="AA4411" s="218"/>
    </row>
    <row r="4412" spans="1:27" x14ac:dyDescent="0.25">
      <c r="A4412" s="432"/>
      <c r="B4412" s="433"/>
      <c r="C4412" s="432"/>
      <c r="D4412" s="454"/>
      <c r="E4412" s="120">
        <v>3000</v>
      </c>
      <c r="F4412" s="133" t="s">
        <v>9846</v>
      </c>
      <c r="G4412" s="435"/>
      <c r="H4412" s="438"/>
      <c r="I4412" s="438"/>
      <c r="J4412" s="438"/>
      <c r="K4412" s="437"/>
      <c r="L4412" s="187">
        <v>264.92</v>
      </c>
      <c r="N4412" s="91">
        <f t="shared" si="901"/>
        <v>794.76</v>
      </c>
      <c r="O4412" s="411">
        <f t="shared" si="888"/>
        <v>-794.76</v>
      </c>
      <c r="P4412" s="132" t="s">
        <v>46</v>
      </c>
      <c r="Q4412" s="232"/>
      <c r="R4412" s="411"/>
      <c r="T4412" s="439" t="s">
        <v>1346</v>
      </c>
      <c r="U4412" s="446" t="s">
        <v>9847</v>
      </c>
      <c r="V4412" s="133" t="s">
        <v>9848</v>
      </c>
      <c r="AA4412" s="218"/>
    </row>
    <row r="4413" spans="1:27" x14ac:dyDescent="0.25">
      <c r="A4413" s="432"/>
      <c r="B4413" s="433"/>
      <c r="C4413" s="432"/>
      <c r="D4413" s="454"/>
      <c r="E4413" s="120">
        <v>3000</v>
      </c>
      <c r="F4413" s="133" t="s">
        <v>9849</v>
      </c>
      <c r="G4413" s="435"/>
      <c r="H4413" s="438"/>
      <c r="I4413" s="438"/>
      <c r="J4413" s="438"/>
      <c r="K4413" s="437"/>
      <c r="L4413" s="187">
        <v>180</v>
      </c>
      <c r="N4413" s="91">
        <f t="shared" si="901"/>
        <v>540</v>
      </c>
      <c r="O4413" s="411">
        <f t="shared" si="888"/>
        <v>-540</v>
      </c>
      <c r="P4413" s="132" t="s">
        <v>46</v>
      </c>
      <c r="Q4413" s="232"/>
      <c r="R4413" s="411"/>
      <c r="T4413" s="440"/>
      <c r="U4413" s="448"/>
      <c r="V4413" s="133" t="s">
        <v>9848</v>
      </c>
      <c r="AA4413" s="218"/>
    </row>
    <row r="4414" spans="1:27" x14ac:dyDescent="0.25">
      <c r="A4414" s="432"/>
      <c r="B4414" s="433"/>
      <c r="C4414" s="432"/>
      <c r="D4414" s="454"/>
      <c r="E4414" s="120">
        <v>3000</v>
      </c>
      <c r="F4414" s="133" t="s">
        <v>9850</v>
      </c>
      <c r="G4414" s="435"/>
      <c r="H4414" s="438"/>
      <c r="I4414" s="438"/>
      <c r="J4414" s="438"/>
      <c r="K4414" s="437"/>
      <c r="L4414" s="187">
        <v>215.45</v>
      </c>
      <c r="M4414" s="131">
        <v>0</v>
      </c>
      <c r="N4414" s="91">
        <f t="shared" si="901"/>
        <v>646.34999999999991</v>
      </c>
      <c r="O4414" s="411">
        <f t="shared" si="888"/>
        <v>-646.34999999999991</v>
      </c>
      <c r="P4414" s="132" t="s">
        <v>46</v>
      </c>
      <c r="Q4414" s="232"/>
      <c r="R4414" s="411"/>
      <c r="T4414" s="441"/>
      <c r="U4414" s="447"/>
      <c r="V4414" s="133" t="s">
        <v>9848</v>
      </c>
      <c r="AA4414" s="218"/>
    </row>
    <row r="4415" spans="1:27" x14ac:dyDescent="0.25">
      <c r="A4415" s="420"/>
      <c r="B4415" s="422"/>
      <c r="C4415" s="420"/>
      <c r="D4415" s="418"/>
      <c r="E4415" s="120">
        <v>4000</v>
      </c>
      <c r="F4415" s="133" t="s">
        <v>9851</v>
      </c>
      <c r="G4415" s="436"/>
      <c r="H4415" s="428"/>
      <c r="I4415" s="428"/>
      <c r="J4415" s="428"/>
      <c r="K4415" s="426"/>
      <c r="L4415" s="131">
        <v>850</v>
      </c>
      <c r="N4415" s="91">
        <f t="shared" si="901"/>
        <v>3400</v>
      </c>
      <c r="O4415" s="411">
        <f t="shared" si="888"/>
        <v>-3400</v>
      </c>
      <c r="P4415" s="132" t="s">
        <v>52</v>
      </c>
      <c r="Q4415" s="232"/>
      <c r="R4415" s="411"/>
      <c r="T4415" s="134" t="s">
        <v>9190</v>
      </c>
      <c r="U4415" s="267" t="s">
        <v>9845</v>
      </c>
      <c r="V4415" s="133" t="s">
        <v>55</v>
      </c>
      <c r="AA4415" s="218"/>
    </row>
    <row r="4416" spans="1:27" ht="24" x14ac:dyDescent="0.25">
      <c r="A4416" s="405">
        <v>3003436</v>
      </c>
      <c r="B4416" s="406">
        <v>42580</v>
      </c>
      <c r="C4416" s="405" t="s">
        <v>9435</v>
      </c>
      <c r="D4416" s="401" t="s">
        <v>9852</v>
      </c>
      <c r="E4416" s="120">
        <v>200</v>
      </c>
      <c r="F4416" s="133" t="s">
        <v>9853</v>
      </c>
      <c r="G4416" s="404" t="s">
        <v>7486</v>
      </c>
      <c r="H4416" s="411">
        <v>648</v>
      </c>
      <c r="I4416" s="411">
        <v>0</v>
      </c>
      <c r="J4416" s="391">
        <f>-((H4416*0.022)+0.3)</f>
        <v>-14.555999999999999</v>
      </c>
      <c r="K4416" s="396">
        <f t="shared" ref="K4416:K4461" si="902">SUM(H4416:J4416)</f>
        <v>633.44399999999996</v>
      </c>
      <c r="L4416" s="187">
        <v>1594</v>
      </c>
      <c r="M4416" s="187">
        <v>39.049999999999997</v>
      </c>
      <c r="N4416" s="91">
        <f t="shared" si="901"/>
        <v>357.85</v>
      </c>
      <c r="O4416" s="411">
        <f t="shared" si="888"/>
        <v>275.59399999999994</v>
      </c>
      <c r="P4416" s="132" t="s">
        <v>926</v>
      </c>
      <c r="Q4416" s="232"/>
      <c r="R4416" s="411">
        <v>48</v>
      </c>
      <c r="S4416" s="133" t="s">
        <v>4494</v>
      </c>
      <c r="T4416" s="134" t="s">
        <v>145</v>
      </c>
      <c r="U4416" s="267" t="s">
        <v>9854</v>
      </c>
      <c r="W4416" s="153" t="s">
        <v>9855</v>
      </c>
      <c r="AA4416" s="218"/>
    </row>
    <row r="4417" spans="1:27" ht="36" x14ac:dyDescent="0.25">
      <c r="A4417" s="405">
        <v>3003437</v>
      </c>
      <c r="B4417" s="406">
        <v>42580</v>
      </c>
      <c r="C4417" s="405" t="s">
        <v>9435</v>
      </c>
      <c r="D4417" s="401" t="s">
        <v>9534</v>
      </c>
      <c r="E4417" s="120">
        <v>1500</v>
      </c>
      <c r="F4417" s="133" t="s">
        <v>9856</v>
      </c>
      <c r="G4417" s="404" t="s">
        <v>7486</v>
      </c>
      <c r="H4417" s="411">
        <v>1680</v>
      </c>
      <c r="I4417" s="411">
        <v>0</v>
      </c>
      <c r="J4417" s="391">
        <f>-((H4417*0.022)+0.3)</f>
        <v>-37.26</v>
      </c>
      <c r="K4417" s="396">
        <f t="shared" si="902"/>
        <v>1642.74</v>
      </c>
      <c r="L4417" s="131">
        <v>725</v>
      </c>
      <c r="N4417" s="91">
        <f t="shared" si="901"/>
        <v>1087.5</v>
      </c>
      <c r="O4417" s="411">
        <f t="shared" si="888"/>
        <v>555.24</v>
      </c>
      <c r="P4417" s="132" t="s">
        <v>723</v>
      </c>
      <c r="Q4417" s="232"/>
      <c r="R4417" s="411"/>
      <c r="T4417" s="134" t="s">
        <v>9857</v>
      </c>
      <c r="U4417" s="267" t="s">
        <v>9858</v>
      </c>
      <c r="V4417" s="133" t="s">
        <v>55</v>
      </c>
      <c r="W4417" s="153" t="s">
        <v>9859</v>
      </c>
      <c r="AA4417" s="218">
        <v>10</v>
      </c>
    </row>
    <row r="4418" spans="1:27" ht="24" x14ac:dyDescent="0.25">
      <c r="A4418" s="405">
        <v>3003438</v>
      </c>
      <c r="B4418" s="406">
        <v>42580</v>
      </c>
      <c r="C4418" s="405" t="s">
        <v>9435</v>
      </c>
      <c r="D4418" s="401" t="s">
        <v>9860</v>
      </c>
      <c r="E4418" s="120">
        <v>100</v>
      </c>
      <c r="F4418" s="194" t="s">
        <v>9861</v>
      </c>
      <c r="G4418" s="404" t="s">
        <v>7486</v>
      </c>
      <c r="H4418" s="411">
        <v>140</v>
      </c>
      <c r="I4418" s="411">
        <v>0</v>
      </c>
      <c r="J4418" s="391">
        <f>-((H4418*0.022)+0.3)</f>
        <v>-3.3799999999999994</v>
      </c>
      <c r="K4418" s="396">
        <f t="shared" si="902"/>
        <v>136.62</v>
      </c>
      <c r="L4418" s="131">
        <v>580</v>
      </c>
      <c r="M4418" s="187">
        <v>33.340000000000003</v>
      </c>
      <c r="N4418" s="91">
        <f t="shared" si="901"/>
        <v>91.34</v>
      </c>
      <c r="O4418" s="411">
        <f t="shared" si="888"/>
        <v>45.28</v>
      </c>
      <c r="P4418" s="132" t="s">
        <v>144</v>
      </c>
      <c r="Q4418" s="232"/>
      <c r="R4418" s="411"/>
      <c r="T4418" s="134" t="s">
        <v>145</v>
      </c>
      <c r="U4418" s="267" t="s">
        <v>9862</v>
      </c>
      <c r="W4418" s="153" t="s">
        <v>9863</v>
      </c>
      <c r="AA4418" s="218"/>
    </row>
    <row r="4419" spans="1:27" ht="24" x14ac:dyDescent="0.25">
      <c r="A4419" s="405">
        <v>3003439</v>
      </c>
      <c r="B4419" s="406">
        <v>42580</v>
      </c>
      <c r="C4419" s="405" t="s">
        <v>5682</v>
      </c>
      <c r="D4419" s="401" t="s">
        <v>9579</v>
      </c>
      <c r="E4419" s="120">
        <v>80</v>
      </c>
      <c r="F4419" s="133" t="s">
        <v>247</v>
      </c>
      <c r="G4419" s="404" t="s">
        <v>7486</v>
      </c>
      <c r="H4419" s="411">
        <v>96.8</v>
      </c>
      <c r="I4419" s="89">
        <f t="shared" ref="I4419:I4420" si="903">-(H4419*0.09)</f>
        <v>-8.7119999999999997</v>
      </c>
      <c r="J4419" s="391">
        <f t="shared" ref="J4419:J4420" si="904">-((H4419*0.019)+0.3)</f>
        <v>-2.1391999999999998</v>
      </c>
      <c r="K4419" s="396">
        <f t="shared" si="902"/>
        <v>85.948799999999991</v>
      </c>
      <c r="L4419" s="131">
        <v>480</v>
      </c>
      <c r="M4419" s="187">
        <v>35.409999999999997</v>
      </c>
      <c r="N4419" s="91">
        <f t="shared" si="901"/>
        <v>73.81</v>
      </c>
      <c r="O4419" s="411">
        <f t="shared" si="888"/>
        <v>12.138799999999989</v>
      </c>
      <c r="P4419" s="132" t="s">
        <v>52</v>
      </c>
      <c r="Q4419" s="232"/>
      <c r="R4419" s="411"/>
      <c r="T4419" s="134" t="s">
        <v>145</v>
      </c>
      <c r="U4419" s="267" t="s">
        <v>9864</v>
      </c>
      <c r="AA4419" s="218"/>
    </row>
    <row r="4420" spans="1:27" ht="24" x14ac:dyDescent="0.25">
      <c r="A4420" s="405">
        <v>3003440</v>
      </c>
      <c r="B4420" s="406">
        <v>42580</v>
      </c>
      <c r="C4420" s="405" t="s">
        <v>5682</v>
      </c>
      <c r="D4420" s="401" t="s">
        <v>9865</v>
      </c>
      <c r="E4420" s="120">
        <v>125</v>
      </c>
      <c r="F4420" s="133" t="s">
        <v>178</v>
      </c>
      <c r="G4420" s="404" t="s">
        <v>7486</v>
      </c>
      <c r="H4420" s="411">
        <v>377.24</v>
      </c>
      <c r="I4420" s="89">
        <f t="shared" si="903"/>
        <v>-33.951599999999999</v>
      </c>
      <c r="J4420" s="391">
        <f t="shared" si="904"/>
        <v>-7.4675599999999998</v>
      </c>
      <c r="K4420" s="396">
        <f t="shared" si="902"/>
        <v>335.82084000000003</v>
      </c>
      <c r="L4420" s="131">
        <v>816</v>
      </c>
      <c r="M4420" s="187">
        <v>43.65</v>
      </c>
      <c r="N4420" s="91">
        <f t="shared" si="901"/>
        <v>145.65</v>
      </c>
      <c r="O4420" s="411">
        <f t="shared" ref="O4420:O4483" si="905">K4420-N4420</f>
        <v>190.17084000000003</v>
      </c>
      <c r="P4420" s="132" t="s">
        <v>86</v>
      </c>
      <c r="Q4420" s="232"/>
      <c r="R4420" s="411"/>
      <c r="T4420" s="134" t="s">
        <v>145</v>
      </c>
      <c r="U4420" s="267" t="s">
        <v>9866</v>
      </c>
      <c r="AA4420" s="218"/>
    </row>
    <row r="4421" spans="1:27" x14ac:dyDescent="0.25">
      <c r="A4421" s="405">
        <v>3003441</v>
      </c>
      <c r="B4421" s="406">
        <v>42583</v>
      </c>
      <c r="C4421" s="405" t="s">
        <v>141</v>
      </c>
      <c r="D4421" s="401" t="s">
        <v>9867</v>
      </c>
      <c r="E4421" s="120">
        <v>900</v>
      </c>
      <c r="F4421" s="133" t="s">
        <v>9868</v>
      </c>
      <c r="G4421" s="404" t="s">
        <v>7486</v>
      </c>
      <c r="H4421" s="411">
        <v>900</v>
      </c>
      <c r="I4421" s="411">
        <v>0</v>
      </c>
      <c r="J4421" s="391">
        <f>-((H4421*0.0325)+0.3)</f>
        <v>-29.55</v>
      </c>
      <c r="K4421" s="396">
        <f t="shared" si="902"/>
        <v>870.45</v>
      </c>
      <c r="L4421" s="131">
        <v>480</v>
      </c>
      <c r="M4421" s="131">
        <v>0</v>
      </c>
      <c r="N4421" s="91">
        <f t="shared" si="901"/>
        <v>432</v>
      </c>
      <c r="O4421" s="411">
        <f t="shared" si="905"/>
        <v>438.45000000000005</v>
      </c>
      <c r="P4421" s="132" t="s">
        <v>52</v>
      </c>
      <c r="Q4421" s="232"/>
      <c r="R4421" s="411"/>
      <c r="T4421" s="134" t="s">
        <v>755</v>
      </c>
      <c r="U4421" s="266" t="s">
        <v>756</v>
      </c>
      <c r="W4421" s="153" t="s">
        <v>9869</v>
      </c>
      <c r="AA4421" s="218"/>
    </row>
    <row r="4422" spans="1:27" ht="24" x14ac:dyDescent="0.25">
      <c r="A4422" s="405">
        <v>3003442</v>
      </c>
      <c r="B4422" s="406">
        <v>42583</v>
      </c>
      <c r="C4422" s="405" t="s">
        <v>237</v>
      </c>
      <c r="D4422" s="401" t="s">
        <v>9870</v>
      </c>
      <c r="E4422" s="120">
        <v>150</v>
      </c>
      <c r="F4422" s="133" t="s">
        <v>3838</v>
      </c>
      <c r="G4422" s="404" t="s">
        <v>7486</v>
      </c>
      <c r="H4422" s="411">
        <v>190</v>
      </c>
      <c r="I4422" s="397">
        <f t="shared" ref="I4422:I4432" si="906">-(H4422*0.15)</f>
        <v>-28.5</v>
      </c>
      <c r="J4422" s="411">
        <v>0</v>
      </c>
      <c r="K4422" s="396">
        <f t="shared" si="902"/>
        <v>161.5</v>
      </c>
      <c r="L4422" s="131">
        <v>480</v>
      </c>
      <c r="M4422" s="187">
        <v>23.14</v>
      </c>
      <c r="N4422" s="91">
        <f t="shared" si="901"/>
        <v>95.14</v>
      </c>
      <c r="O4422" s="411">
        <f t="shared" si="905"/>
        <v>66.36</v>
      </c>
      <c r="P4422" s="132" t="s">
        <v>52</v>
      </c>
      <c r="Q4422" s="232"/>
      <c r="R4422" s="411"/>
      <c r="T4422" s="134" t="s">
        <v>145</v>
      </c>
      <c r="U4422" s="267" t="s">
        <v>9871</v>
      </c>
      <c r="AA4422" s="218"/>
    </row>
    <row r="4423" spans="1:27" ht="24" x14ac:dyDescent="0.25">
      <c r="A4423" s="405">
        <v>3003443</v>
      </c>
      <c r="B4423" s="406">
        <v>42583</v>
      </c>
      <c r="C4423" s="405" t="s">
        <v>237</v>
      </c>
      <c r="D4423" s="401" t="s">
        <v>9872</v>
      </c>
      <c r="E4423" s="120">
        <v>100</v>
      </c>
      <c r="F4423" s="133" t="s">
        <v>217</v>
      </c>
      <c r="G4423" s="404" t="s">
        <v>7486</v>
      </c>
      <c r="H4423" s="411">
        <v>260</v>
      </c>
      <c r="I4423" s="397">
        <f t="shared" si="906"/>
        <v>-39</v>
      </c>
      <c r="J4423" s="411">
        <v>0</v>
      </c>
      <c r="K4423" s="396">
        <f t="shared" si="902"/>
        <v>221</v>
      </c>
      <c r="L4423" s="131">
        <v>1322</v>
      </c>
      <c r="M4423" s="187">
        <v>42.2</v>
      </c>
      <c r="N4423" s="91">
        <f t="shared" si="901"/>
        <v>174.40000000000003</v>
      </c>
      <c r="O4423" s="411">
        <f t="shared" si="905"/>
        <v>46.599999999999966</v>
      </c>
      <c r="P4423" s="132" t="s">
        <v>52</v>
      </c>
      <c r="Q4423" s="232"/>
      <c r="R4423" s="411"/>
      <c r="T4423" s="134" t="s">
        <v>145</v>
      </c>
      <c r="U4423" s="267" t="s">
        <v>9873</v>
      </c>
      <c r="AA4423" s="218"/>
    </row>
    <row r="4424" spans="1:27" ht="24" x14ac:dyDescent="0.25">
      <c r="A4424" s="405">
        <v>3003444</v>
      </c>
      <c r="B4424" s="406">
        <v>42583</v>
      </c>
      <c r="C4424" s="405" t="s">
        <v>237</v>
      </c>
      <c r="D4424" s="401" t="s">
        <v>9874</v>
      </c>
      <c r="E4424" s="120">
        <v>100</v>
      </c>
      <c r="F4424" s="133" t="s">
        <v>217</v>
      </c>
      <c r="G4424" s="404" t="s">
        <v>7486</v>
      </c>
      <c r="H4424" s="411">
        <v>260</v>
      </c>
      <c r="I4424" s="397">
        <f t="shared" si="906"/>
        <v>-39</v>
      </c>
      <c r="J4424" s="411">
        <v>0</v>
      </c>
      <c r="K4424" s="396">
        <f t="shared" si="902"/>
        <v>221</v>
      </c>
      <c r="L4424" s="131">
        <v>1322</v>
      </c>
      <c r="M4424" s="187">
        <v>32.08</v>
      </c>
      <c r="N4424" s="91">
        <f t="shared" si="901"/>
        <v>164.28000000000003</v>
      </c>
      <c r="O4424" s="411">
        <f t="shared" si="905"/>
        <v>56.71999999999997</v>
      </c>
      <c r="P4424" s="132" t="s">
        <v>52</v>
      </c>
      <c r="Q4424" s="232"/>
      <c r="R4424" s="411"/>
      <c r="T4424" s="134" t="s">
        <v>145</v>
      </c>
      <c r="U4424" s="267" t="s">
        <v>9875</v>
      </c>
      <c r="AA4424" s="218"/>
    </row>
    <row r="4425" spans="1:27" ht="24" x14ac:dyDescent="0.25">
      <c r="A4425" s="405">
        <v>3003445</v>
      </c>
      <c r="B4425" s="406">
        <v>42583</v>
      </c>
      <c r="C4425" s="405" t="s">
        <v>237</v>
      </c>
      <c r="D4425" s="401" t="s">
        <v>9876</v>
      </c>
      <c r="E4425" s="120">
        <v>100</v>
      </c>
      <c r="F4425" s="133" t="s">
        <v>590</v>
      </c>
      <c r="G4425" s="404" t="s">
        <v>7486</v>
      </c>
      <c r="H4425" s="411">
        <v>115.19</v>
      </c>
      <c r="I4425" s="397">
        <f t="shared" si="906"/>
        <v>-17.278499999999998</v>
      </c>
      <c r="J4425" s="411">
        <v>0</v>
      </c>
      <c r="K4425" s="396">
        <f t="shared" si="902"/>
        <v>97.911500000000004</v>
      </c>
      <c r="L4425" s="131">
        <v>577</v>
      </c>
      <c r="M4425" s="187">
        <v>32.4</v>
      </c>
      <c r="N4425" s="91">
        <f t="shared" si="901"/>
        <v>90.1</v>
      </c>
      <c r="O4425" s="411">
        <f t="shared" si="905"/>
        <v>7.8115000000000094</v>
      </c>
      <c r="P4425" s="132" t="s">
        <v>52</v>
      </c>
      <c r="Q4425" s="232"/>
      <c r="R4425" s="411"/>
      <c r="T4425" s="134" t="s">
        <v>145</v>
      </c>
      <c r="U4425" s="267" t="s">
        <v>9877</v>
      </c>
      <c r="AA4425" s="218"/>
    </row>
    <row r="4426" spans="1:27" ht="24" x14ac:dyDescent="0.25">
      <c r="A4426" s="405">
        <v>3003446</v>
      </c>
      <c r="B4426" s="406">
        <v>42583</v>
      </c>
      <c r="C4426" s="405" t="s">
        <v>237</v>
      </c>
      <c r="D4426" s="401" t="s">
        <v>9878</v>
      </c>
      <c r="E4426" s="120">
        <v>200</v>
      </c>
      <c r="F4426" s="133" t="s">
        <v>3270</v>
      </c>
      <c r="G4426" s="404" t="s">
        <v>7486</v>
      </c>
      <c r="H4426" s="411">
        <v>520</v>
      </c>
      <c r="I4426" s="397">
        <f t="shared" si="906"/>
        <v>-78</v>
      </c>
      <c r="J4426" s="411">
        <v>0</v>
      </c>
      <c r="K4426" s="396">
        <f t="shared" si="902"/>
        <v>442</v>
      </c>
      <c r="L4426" s="131">
        <v>1322</v>
      </c>
      <c r="M4426" s="187">
        <f>37.87+27.37</f>
        <v>65.239999999999995</v>
      </c>
      <c r="N4426" s="91">
        <f t="shared" si="901"/>
        <v>329.64000000000004</v>
      </c>
      <c r="O4426" s="411">
        <f t="shared" si="905"/>
        <v>112.35999999999996</v>
      </c>
      <c r="P4426" s="132" t="s">
        <v>52</v>
      </c>
      <c r="Q4426" s="232"/>
      <c r="R4426" s="411"/>
      <c r="T4426" s="134" t="s">
        <v>145</v>
      </c>
      <c r="U4426" s="266" t="s">
        <v>9879</v>
      </c>
      <c r="AA4426" s="218"/>
    </row>
    <row r="4427" spans="1:27" ht="24" x14ac:dyDescent="0.25">
      <c r="A4427" s="405">
        <v>3003447</v>
      </c>
      <c r="B4427" s="406">
        <v>42583</v>
      </c>
      <c r="C4427" s="405" t="s">
        <v>237</v>
      </c>
      <c r="D4427" s="401" t="s">
        <v>9880</v>
      </c>
      <c r="E4427" s="120">
        <v>150</v>
      </c>
      <c r="F4427" s="133" t="s">
        <v>9881</v>
      </c>
      <c r="G4427" s="404" t="s">
        <v>7486</v>
      </c>
      <c r="H4427" s="411">
        <v>234.7</v>
      </c>
      <c r="I4427" s="397">
        <f t="shared" si="906"/>
        <v>-35.204999999999998</v>
      </c>
      <c r="J4427" s="411">
        <v>0</v>
      </c>
      <c r="K4427" s="396">
        <f t="shared" si="902"/>
        <v>199.495</v>
      </c>
      <c r="L4427" s="131">
        <v>698</v>
      </c>
      <c r="M4427" s="187">
        <f>37.48+37.48</f>
        <v>74.959999999999994</v>
      </c>
      <c r="N4427" s="91">
        <f t="shared" si="901"/>
        <v>179.66</v>
      </c>
      <c r="O4427" s="411">
        <f t="shared" si="905"/>
        <v>19.835000000000008</v>
      </c>
      <c r="P4427" s="132" t="s">
        <v>52</v>
      </c>
      <c r="Q4427" s="232"/>
      <c r="R4427" s="411"/>
      <c r="T4427" s="134" t="s">
        <v>145</v>
      </c>
      <c r="U4427" s="266" t="s">
        <v>9882</v>
      </c>
      <c r="AA4427" s="218"/>
    </row>
    <row r="4428" spans="1:27" ht="24" x14ac:dyDescent="0.25">
      <c r="A4428" s="405">
        <v>3003448</v>
      </c>
      <c r="B4428" s="406">
        <v>42583</v>
      </c>
      <c r="C4428" s="405" t="s">
        <v>237</v>
      </c>
      <c r="D4428" s="401" t="s">
        <v>9883</v>
      </c>
      <c r="E4428" s="120">
        <v>100</v>
      </c>
      <c r="F4428" s="133" t="s">
        <v>3440</v>
      </c>
      <c r="G4428" s="404" t="s">
        <v>7486</v>
      </c>
      <c r="H4428" s="411">
        <v>168</v>
      </c>
      <c r="I4428" s="397">
        <f t="shared" si="906"/>
        <v>-25.2</v>
      </c>
      <c r="J4428" s="411">
        <v>0</v>
      </c>
      <c r="K4428" s="396">
        <f t="shared" si="902"/>
        <v>142.80000000000001</v>
      </c>
      <c r="L4428" s="187">
        <v>950</v>
      </c>
      <c r="N4428" s="91">
        <f t="shared" si="901"/>
        <v>95</v>
      </c>
      <c r="O4428" s="411">
        <f t="shared" si="905"/>
        <v>47.800000000000011</v>
      </c>
      <c r="P4428" s="132" t="s">
        <v>601</v>
      </c>
      <c r="Q4428" s="232"/>
      <c r="R4428" s="411"/>
      <c r="T4428" s="134" t="s">
        <v>145</v>
      </c>
      <c r="U4428" s="267" t="s">
        <v>9884</v>
      </c>
      <c r="AA4428" s="218"/>
    </row>
    <row r="4429" spans="1:27" ht="24" x14ac:dyDescent="0.25">
      <c r="A4429" s="405">
        <v>3003449</v>
      </c>
      <c r="B4429" s="406">
        <v>42583</v>
      </c>
      <c r="C4429" s="405" t="s">
        <v>237</v>
      </c>
      <c r="D4429" s="401" t="s">
        <v>9885</v>
      </c>
      <c r="E4429" s="120">
        <v>50</v>
      </c>
      <c r="F4429" s="133" t="s">
        <v>288</v>
      </c>
      <c r="G4429" s="404" t="s">
        <v>7486</v>
      </c>
      <c r="H4429" s="411">
        <v>114.59</v>
      </c>
      <c r="I4429" s="397">
        <f t="shared" si="906"/>
        <v>-17.188500000000001</v>
      </c>
      <c r="J4429" s="411">
        <v>0</v>
      </c>
      <c r="K4429" s="396">
        <f t="shared" si="902"/>
        <v>97.401499999999999</v>
      </c>
      <c r="L4429" s="131">
        <v>950</v>
      </c>
      <c r="M4429" s="187">
        <v>24.24</v>
      </c>
      <c r="N4429" s="91">
        <f t="shared" si="901"/>
        <v>71.739999999999995</v>
      </c>
      <c r="O4429" s="411">
        <f t="shared" si="905"/>
        <v>25.661500000000004</v>
      </c>
      <c r="P4429" s="132" t="s">
        <v>52</v>
      </c>
      <c r="Q4429" s="232"/>
      <c r="R4429" s="411"/>
      <c r="T4429" s="134" t="s">
        <v>145</v>
      </c>
      <c r="U4429" s="267" t="s">
        <v>9886</v>
      </c>
      <c r="AA4429" s="218"/>
    </row>
    <row r="4430" spans="1:27" ht="24" x14ac:dyDescent="0.25">
      <c r="A4430" s="405">
        <v>3003450</v>
      </c>
      <c r="B4430" s="406">
        <v>42583</v>
      </c>
      <c r="C4430" s="405" t="s">
        <v>237</v>
      </c>
      <c r="D4430" s="401" t="s">
        <v>9887</v>
      </c>
      <c r="E4430" s="120">
        <v>250</v>
      </c>
      <c r="F4430" s="133" t="s">
        <v>2238</v>
      </c>
      <c r="G4430" s="404" t="s">
        <v>7486</v>
      </c>
      <c r="H4430" s="411">
        <v>110.85</v>
      </c>
      <c r="I4430" s="397">
        <f t="shared" si="906"/>
        <v>-16.627499999999998</v>
      </c>
      <c r="J4430" s="411">
        <v>0</v>
      </c>
      <c r="K4430" s="396">
        <f t="shared" si="902"/>
        <v>94.222499999999997</v>
      </c>
      <c r="L4430" s="131">
        <v>200</v>
      </c>
      <c r="M4430" s="187">
        <v>21.41</v>
      </c>
      <c r="N4430" s="91">
        <f t="shared" si="901"/>
        <v>71.41</v>
      </c>
      <c r="O4430" s="411">
        <f t="shared" si="905"/>
        <v>22.8125</v>
      </c>
      <c r="P4430" s="132" t="s">
        <v>52</v>
      </c>
      <c r="Q4430" s="232"/>
      <c r="R4430" s="411"/>
      <c r="T4430" s="134" t="s">
        <v>145</v>
      </c>
      <c r="U4430" s="267" t="s">
        <v>9888</v>
      </c>
      <c r="AA4430" s="218"/>
    </row>
    <row r="4431" spans="1:27" ht="24" x14ac:dyDescent="0.25">
      <c r="A4431" s="405">
        <v>3003451</v>
      </c>
      <c r="B4431" s="406">
        <v>42583</v>
      </c>
      <c r="C4431" s="405" t="s">
        <v>237</v>
      </c>
      <c r="D4431" s="401" t="s">
        <v>9889</v>
      </c>
      <c r="E4431" s="120">
        <v>200</v>
      </c>
      <c r="F4431" s="133" t="s">
        <v>161</v>
      </c>
      <c r="G4431" s="404" t="s">
        <v>7486</v>
      </c>
      <c r="H4431" s="411">
        <v>520</v>
      </c>
      <c r="I4431" s="397">
        <f t="shared" si="906"/>
        <v>-78</v>
      </c>
      <c r="J4431" s="411">
        <v>0</v>
      </c>
      <c r="K4431" s="396">
        <f t="shared" si="902"/>
        <v>442</v>
      </c>
      <c r="L4431" s="131">
        <v>1322</v>
      </c>
      <c r="M4431" s="187">
        <f>25.58+18.88</f>
        <v>44.459999999999994</v>
      </c>
      <c r="N4431" s="91">
        <f t="shared" si="901"/>
        <v>308.86</v>
      </c>
      <c r="O4431" s="411">
        <f t="shared" si="905"/>
        <v>133.13999999999999</v>
      </c>
      <c r="P4431" s="132" t="s">
        <v>52</v>
      </c>
      <c r="Q4431" s="232"/>
      <c r="R4431" s="411"/>
      <c r="T4431" s="134" t="s">
        <v>145</v>
      </c>
      <c r="U4431" s="266" t="s">
        <v>9890</v>
      </c>
      <c r="AA4431" s="218"/>
    </row>
    <row r="4432" spans="1:27" x14ac:dyDescent="0.25">
      <c r="A4432" s="419">
        <v>3003452</v>
      </c>
      <c r="B4432" s="421">
        <v>42583</v>
      </c>
      <c r="C4432" s="419" t="s">
        <v>237</v>
      </c>
      <c r="D4432" s="417" t="s">
        <v>9891</v>
      </c>
      <c r="E4432" s="120">
        <v>50</v>
      </c>
      <c r="F4432" s="133" t="s">
        <v>3301</v>
      </c>
      <c r="G4432" s="434" t="s">
        <v>9241</v>
      </c>
      <c r="H4432" s="427">
        <v>160.51</v>
      </c>
      <c r="I4432" s="452">
        <f t="shared" si="906"/>
        <v>-24.076499999999999</v>
      </c>
      <c r="J4432" s="427">
        <v>0</v>
      </c>
      <c r="K4432" s="425">
        <f t="shared" si="902"/>
        <v>136.43349999999998</v>
      </c>
      <c r="L4432" s="187">
        <v>765</v>
      </c>
      <c r="M4432" s="187">
        <f>66.25+27.8</f>
        <v>94.05</v>
      </c>
      <c r="N4432" s="91">
        <f t="shared" si="901"/>
        <v>132.30000000000001</v>
      </c>
      <c r="O4432" s="411">
        <f t="shared" si="905"/>
        <v>4.1334999999999695</v>
      </c>
      <c r="P4432" s="132" t="s">
        <v>601</v>
      </c>
      <c r="Q4432" s="232"/>
      <c r="R4432" s="411"/>
      <c r="T4432" s="439" t="s">
        <v>145</v>
      </c>
      <c r="U4432" s="446" t="s">
        <v>9892</v>
      </c>
      <c r="AA4432" s="218"/>
    </row>
    <row r="4433" spans="1:27" x14ac:dyDescent="0.25">
      <c r="A4433" s="420"/>
      <c r="B4433" s="422"/>
      <c r="C4433" s="420"/>
      <c r="D4433" s="418"/>
      <c r="E4433" s="120">
        <v>50</v>
      </c>
      <c r="F4433" s="133" t="s">
        <v>3299</v>
      </c>
      <c r="G4433" s="436"/>
      <c r="H4433" s="428"/>
      <c r="I4433" s="453"/>
      <c r="J4433" s="428"/>
      <c r="K4433" s="426"/>
      <c r="L4433" s="187">
        <v>765</v>
      </c>
      <c r="M4433" s="187"/>
      <c r="N4433" s="91">
        <f t="shared" si="901"/>
        <v>38.25</v>
      </c>
      <c r="O4433" s="411">
        <f t="shared" si="905"/>
        <v>-38.25</v>
      </c>
      <c r="P4433" s="132" t="s">
        <v>601</v>
      </c>
      <c r="Q4433" s="232"/>
      <c r="R4433" s="411"/>
      <c r="T4433" s="441"/>
      <c r="U4433" s="447"/>
      <c r="AA4433" s="218"/>
    </row>
    <row r="4434" spans="1:27" x14ac:dyDescent="0.25">
      <c r="A4434" s="405">
        <v>3003453</v>
      </c>
      <c r="B4434" s="406">
        <v>42583</v>
      </c>
      <c r="C4434" s="405" t="s">
        <v>5682</v>
      </c>
      <c r="D4434" s="401" t="s">
        <v>9893</v>
      </c>
      <c r="E4434" s="120">
        <v>1500</v>
      </c>
      <c r="F4434" s="133" t="s">
        <v>9894</v>
      </c>
      <c r="G4434" s="404" t="s">
        <v>7486</v>
      </c>
      <c r="H4434" s="411">
        <v>886.85</v>
      </c>
      <c r="I4434" s="89">
        <f t="shared" ref="I4434:I4457" si="907">-(H4434*0.09)</f>
        <v>-79.816500000000005</v>
      </c>
      <c r="J4434" s="391">
        <f t="shared" ref="J4434:J4457" si="908">-((H4434*0.019)+0.3)</f>
        <v>-17.15015</v>
      </c>
      <c r="K4434" s="396">
        <f t="shared" si="902"/>
        <v>789.88334999999995</v>
      </c>
      <c r="L4434" s="131">
        <v>300</v>
      </c>
      <c r="M4434" s="187">
        <v>113.84</v>
      </c>
      <c r="N4434" s="91">
        <f t="shared" si="901"/>
        <v>563.84</v>
      </c>
      <c r="O4434" s="411">
        <f t="shared" si="905"/>
        <v>226.04334999999992</v>
      </c>
      <c r="P4434" s="132" t="s">
        <v>52</v>
      </c>
      <c r="Q4434" s="232"/>
      <c r="R4434" s="411"/>
      <c r="T4434" s="134" t="s">
        <v>244</v>
      </c>
      <c r="U4434" s="267" t="s">
        <v>9895</v>
      </c>
      <c r="V4434" s="133" t="s">
        <v>55</v>
      </c>
      <c r="AA4434" s="218"/>
    </row>
    <row r="4435" spans="1:27" ht="24" x14ac:dyDescent="0.25">
      <c r="A4435" s="405">
        <v>3003454</v>
      </c>
      <c r="B4435" s="406">
        <v>42583</v>
      </c>
      <c r="C4435" s="405" t="s">
        <v>5682</v>
      </c>
      <c r="D4435" s="401" t="s">
        <v>9896</v>
      </c>
      <c r="E4435" s="120">
        <v>500</v>
      </c>
      <c r="F4435" s="133" t="s">
        <v>9897</v>
      </c>
      <c r="G4435" s="404" t="s">
        <v>7486</v>
      </c>
      <c r="H4435" s="411">
        <v>217.8</v>
      </c>
      <c r="I4435" s="89">
        <f t="shared" si="907"/>
        <v>-19.602</v>
      </c>
      <c r="J4435" s="391">
        <f t="shared" si="908"/>
        <v>-4.4382000000000001</v>
      </c>
      <c r="K4435" s="396">
        <f t="shared" si="902"/>
        <v>193.75980000000001</v>
      </c>
      <c r="M4435" s="187">
        <v>30.79</v>
      </c>
      <c r="N4435" s="91">
        <f t="shared" si="901"/>
        <v>30.79</v>
      </c>
      <c r="O4435" s="411">
        <f t="shared" si="905"/>
        <v>162.96980000000002</v>
      </c>
      <c r="P4435" s="132" t="s">
        <v>52</v>
      </c>
      <c r="Q4435" s="232"/>
      <c r="R4435" s="411"/>
      <c r="T4435" s="134" t="s">
        <v>145</v>
      </c>
      <c r="U4435" s="267" t="s">
        <v>9898</v>
      </c>
      <c r="AA4435" s="218"/>
    </row>
    <row r="4436" spans="1:27" ht="24" x14ac:dyDescent="0.25">
      <c r="A4436" s="405">
        <v>3003455</v>
      </c>
      <c r="B4436" s="406">
        <v>42583</v>
      </c>
      <c r="C4436" s="405" t="s">
        <v>5682</v>
      </c>
      <c r="D4436" s="401" t="s">
        <v>5546</v>
      </c>
      <c r="E4436" s="120">
        <v>250</v>
      </c>
      <c r="F4436" s="133" t="s">
        <v>234</v>
      </c>
      <c r="G4436" s="404" t="s">
        <v>7486</v>
      </c>
      <c r="H4436" s="411">
        <v>163.88</v>
      </c>
      <c r="I4436" s="89">
        <f t="shared" si="907"/>
        <v>-14.749199999999998</v>
      </c>
      <c r="J4436" s="391">
        <f t="shared" si="908"/>
        <v>-3.4137199999999996</v>
      </c>
      <c r="K4436" s="396">
        <f t="shared" si="902"/>
        <v>145.71707999999998</v>
      </c>
      <c r="L4436" s="187">
        <v>330</v>
      </c>
      <c r="M4436" s="187">
        <v>29.34</v>
      </c>
      <c r="N4436" s="91">
        <f t="shared" si="901"/>
        <v>111.84</v>
      </c>
      <c r="O4436" s="411">
        <f t="shared" si="905"/>
        <v>33.877079999999978</v>
      </c>
      <c r="P4436" s="132" t="s">
        <v>235</v>
      </c>
      <c r="Q4436" s="232"/>
      <c r="R4436" s="411"/>
      <c r="T4436" s="134" t="s">
        <v>145</v>
      </c>
      <c r="U4436" s="267" t="s">
        <v>9899</v>
      </c>
      <c r="AA4436" s="218"/>
    </row>
    <row r="4437" spans="1:27" ht="24" x14ac:dyDescent="0.25">
      <c r="A4437" s="405">
        <v>3003456</v>
      </c>
      <c r="B4437" s="406">
        <v>42583</v>
      </c>
      <c r="C4437" s="405" t="s">
        <v>5682</v>
      </c>
      <c r="D4437" s="401" t="s">
        <v>9900</v>
      </c>
      <c r="E4437" s="120">
        <v>400</v>
      </c>
      <c r="F4437" s="133" t="s">
        <v>6348</v>
      </c>
      <c r="G4437" s="404" t="s">
        <v>7486</v>
      </c>
      <c r="H4437" s="411">
        <v>285.12</v>
      </c>
      <c r="I4437" s="89">
        <f t="shared" si="907"/>
        <v>-25.660799999999998</v>
      </c>
      <c r="J4437" s="391">
        <f t="shared" si="908"/>
        <v>-5.7172799999999997</v>
      </c>
      <c r="K4437" s="396">
        <f t="shared" si="902"/>
        <v>253.74192000000002</v>
      </c>
      <c r="M4437" s="187">
        <v>33.56</v>
      </c>
      <c r="N4437" s="91">
        <f t="shared" si="901"/>
        <v>33.56</v>
      </c>
      <c r="O4437" s="411">
        <f t="shared" si="905"/>
        <v>220.18192000000002</v>
      </c>
      <c r="P4437" s="132" t="s">
        <v>86</v>
      </c>
      <c r="Q4437" s="232"/>
      <c r="R4437" s="411"/>
      <c r="T4437" s="134" t="s">
        <v>145</v>
      </c>
      <c r="U4437" s="267" t="s">
        <v>9901</v>
      </c>
      <c r="AA4437" s="218"/>
    </row>
    <row r="4438" spans="1:27" ht="24" x14ac:dyDescent="0.25">
      <c r="A4438" s="405">
        <v>3003457</v>
      </c>
      <c r="B4438" s="406">
        <v>42583</v>
      </c>
      <c r="C4438" s="405" t="s">
        <v>5682</v>
      </c>
      <c r="D4438" s="401" t="s">
        <v>9902</v>
      </c>
      <c r="E4438" s="120">
        <v>150</v>
      </c>
      <c r="F4438" s="133" t="s">
        <v>85</v>
      </c>
      <c r="G4438" s="404" t="s">
        <v>7486</v>
      </c>
      <c r="H4438" s="411">
        <v>338.66</v>
      </c>
      <c r="I4438" s="89">
        <f t="shared" si="907"/>
        <v>-30.479400000000002</v>
      </c>
      <c r="J4438" s="391">
        <f t="shared" si="908"/>
        <v>-6.73454</v>
      </c>
      <c r="K4438" s="396">
        <f t="shared" si="902"/>
        <v>301.44606000000005</v>
      </c>
      <c r="L4438" s="131">
        <v>1296</v>
      </c>
      <c r="M4438" s="187">
        <v>55.83</v>
      </c>
      <c r="N4438" s="91">
        <f t="shared" si="901"/>
        <v>250.23000000000002</v>
      </c>
      <c r="O4438" s="411">
        <f t="shared" si="905"/>
        <v>51.216060000000027</v>
      </c>
      <c r="P4438" s="132" t="s">
        <v>52</v>
      </c>
      <c r="Q4438" s="232"/>
      <c r="R4438" s="411"/>
      <c r="T4438" s="134" t="s">
        <v>145</v>
      </c>
      <c r="U4438" s="267" t="s">
        <v>9903</v>
      </c>
      <c r="AA4438" s="218"/>
    </row>
    <row r="4439" spans="1:27" ht="24" x14ac:dyDescent="0.25">
      <c r="A4439" s="405">
        <v>3003458</v>
      </c>
      <c r="B4439" s="406">
        <v>42583</v>
      </c>
      <c r="C4439" s="405" t="s">
        <v>5682</v>
      </c>
      <c r="D4439" s="401" t="s">
        <v>9904</v>
      </c>
      <c r="E4439" s="120">
        <v>100</v>
      </c>
      <c r="F4439" s="133" t="s">
        <v>1531</v>
      </c>
      <c r="G4439" s="404" t="s">
        <v>7486</v>
      </c>
      <c r="H4439" s="411">
        <v>133.69</v>
      </c>
      <c r="I4439" s="89">
        <f t="shared" si="907"/>
        <v>-12.0321</v>
      </c>
      <c r="J4439" s="391">
        <f t="shared" si="908"/>
        <v>-2.8401099999999997</v>
      </c>
      <c r="K4439" s="396">
        <f t="shared" si="902"/>
        <v>118.81779</v>
      </c>
      <c r="L4439" s="187">
        <v>979</v>
      </c>
      <c r="M4439" s="187">
        <v>19.149999999999999</v>
      </c>
      <c r="N4439" s="91">
        <f t="shared" si="901"/>
        <v>117.05000000000001</v>
      </c>
      <c r="O4439" s="411">
        <f t="shared" si="905"/>
        <v>1.7677899999999909</v>
      </c>
      <c r="P4439" s="132" t="s">
        <v>601</v>
      </c>
      <c r="Q4439" s="232"/>
      <c r="R4439" s="411"/>
      <c r="T4439" s="134" t="s">
        <v>145</v>
      </c>
      <c r="U4439" s="267" t="s">
        <v>9905</v>
      </c>
      <c r="AA4439" s="218"/>
    </row>
    <row r="4440" spans="1:27" ht="24" x14ac:dyDescent="0.25">
      <c r="A4440" s="405">
        <v>3003459</v>
      </c>
      <c r="B4440" s="406">
        <v>42583</v>
      </c>
      <c r="C4440" s="405" t="s">
        <v>5682</v>
      </c>
      <c r="D4440" s="401" t="s">
        <v>9906</v>
      </c>
      <c r="E4440" s="120">
        <v>200</v>
      </c>
      <c r="F4440" s="133" t="s">
        <v>3946</v>
      </c>
      <c r="G4440" s="404" t="s">
        <v>7486</v>
      </c>
      <c r="H4440" s="411">
        <v>400</v>
      </c>
      <c r="I4440" s="89">
        <f t="shared" si="907"/>
        <v>-36</v>
      </c>
      <c r="J4440" s="391">
        <f t="shared" si="908"/>
        <v>-7.8999999999999995</v>
      </c>
      <c r="K4440" s="396">
        <f t="shared" si="902"/>
        <v>356.1</v>
      </c>
      <c r="M4440" s="187">
        <v>44.67</v>
      </c>
      <c r="N4440" s="91">
        <f t="shared" si="901"/>
        <v>44.67</v>
      </c>
      <c r="O4440" s="411">
        <f t="shared" si="905"/>
        <v>311.43</v>
      </c>
      <c r="P4440" s="132" t="s">
        <v>52</v>
      </c>
      <c r="Q4440" s="232"/>
      <c r="R4440" s="411"/>
      <c r="T4440" s="134" t="s">
        <v>145</v>
      </c>
      <c r="U4440" s="267" t="s">
        <v>9907</v>
      </c>
      <c r="AA4440" s="218"/>
    </row>
    <row r="4441" spans="1:27" x14ac:dyDescent="0.25">
      <c r="A4441" s="405">
        <v>3003460</v>
      </c>
      <c r="B4441" s="406">
        <v>42583</v>
      </c>
      <c r="C4441" s="405" t="s">
        <v>5682</v>
      </c>
      <c r="D4441" s="401" t="s">
        <v>9908</v>
      </c>
      <c r="E4441" s="120">
        <v>500</v>
      </c>
      <c r="F4441" s="133" t="s">
        <v>247</v>
      </c>
      <c r="G4441" s="404" t="s">
        <v>7486</v>
      </c>
      <c r="H4441" s="411">
        <v>560.09</v>
      </c>
      <c r="I4441" s="89">
        <f t="shared" si="907"/>
        <v>-50.408099999999997</v>
      </c>
      <c r="J4441" s="391">
        <f t="shared" si="908"/>
        <v>-10.94171</v>
      </c>
      <c r="K4441" s="396">
        <f t="shared" si="902"/>
        <v>498.74019000000004</v>
      </c>
      <c r="L4441" s="131">
        <v>480</v>
      </c>
      <c r="M4441" s="187">
        <v>181.05</v>
      </c>
      <c r="N4441" s="91">
        <f t="shared" si="901"/>
        <v>421.05</v>
      </c>
      <c r="O4441" s="411">
        <f t="shared" si="905"/>
        <v>77.69019000000003</v>
      </c>
      <c r="P4441" s="132" t="s">
        <v>86</v>
      </c>
      <c r="Q4441" s="232"/>
      <c r="R4441" s="411"/>
      <c r="T4441" s="134" t="s">
        <v>244</v>
      </c>
      <c r="U4441" s="266" t="s">
        <v>9909</v>
      </c>
      <c r="V4441" s="133" t="s">
        <v>55</v>
      </c>
      <c r="AA4441" s="218"/>
    </row>
    <row r="4442" spans="1:27" ht="24" x14ac:dyDescent="0.25">
      <c r="A4442" s="405">
        <v>3003461</v>
      </c>
      <c r="B4442" s="406">
        <v>42583</v>
      </c>
      <c r="C4442" s="405" t="s">
        <v>5682</v>
      </c>
      <c r="D4442" s="401" t="s">
        <v>1602</v>
      </c>
      <c r="E4442" s="120">
        <v>250</v>
      </c>
      <c r="F4442" s="133" t="s">
        <v>288</v>
      </c>
      <c r="G4442" s="404" t="s">
        <v>7486</v>
      </c>
      <c r="H4442" s="411">
        <v>423.62</v>
      </c>
      <c r="I4442" s="89">
        <f t="shared" si="907"/>
        <v>-38.125799999999998</v>
      </c>
      <c r="J4442" s="391">
        <f t="shared" si="908"/>
        <v>-8.3487800000000014</v>
      </c>
      <c r="K4442" s="396">
        <f t="shared" si="902"/>
        <v>377.14542</v>
      </c>
      <c r="L4442" s="131">
        <v>950</v>
      </c>
      <c r="M4442" s="187">
        <v>54.84</v>
      </c>
      <c r="N4442" s="91">
        <f t="shared" si="901"/>
        <v>292.34000000000003</v>
      </c>
      <c r="O4442" s="411">
        <f t="shared" si="905"/>
        <v>84.80541999999997</v>
      </c>
      <c r="P4442" s="132" t="s">
        <v>52</v>
      </c>
      <c r="Q4442" s="232"/>
      <c r="R4442" s="411"/>
      <c r="T4442" s="134" t="s">
        <v>145</v>
      </c>
      <c r="U4442" s="267" t="s">
        <v>9910</v>
      </c>
      <c r="V4442" s="133" t="s">
        <v>55</v>
      </c>
      <c r="AA4442" s="218"/>
    </row>
    <row r="4443" spans="1:27" ht="24" x14ac:dyDescent="0.25">
      <c r="A4443" s="405">
        <v>3003462</v>
      </c>
      <c r="B4443" s="406">
        <v>42583</v>
      </c>
      <c r="C4443" s="405" t="s">
        <v>5682</v>
      </c>
      <c r="D4443" s="401" t="s">
        <v>9911</v>
      </c>
      <c r="E4443" s="120">
        <v>100</v>
      </c>
      <c r="F4443" s="133" t="s">
        <v>161</v>
      </c>
      <c r="G4443" s="404" t="s">
        <v>7486</v>
      </c>
      <c r="H4443" s="411">
        <v>230</v>
      </c>
      <c r="I4443" s="89">
        <f t="shared" si="907"/>
        <v>-20.7</v>
      </c>
      <c r="J4443" s="391">
        <f t="shared" si="908"/>
        <v>-4.67</v>
      </c>
      <c r="K4443" s="396">
        <f t="shared" si="902"/>
        <v>204.63000000000002</v>
      </c>
      <c r="L4443" s="131">
        <v>1322</v>
      </c>
      <c r="M4443" s="187">
        <v>42.2</v>
      </c>
      <c r="N4443" s="91">
        <f t="shared" si="901"/>
        <v>174.40000000000003</v>
      </c>
      <c r="O4443" s="411">
        <f t="shared" si="905"/>
        <v>30.22999999999999</v>
      </c>
      <c r="P4443" s="132" t="s">
        <v>52</v>
      </c>
      <c r="Q4443" s="232"/>
      <c r="R4443" s="411"/>
      <c r="T4443" s="134" t="s">
        <v>145</v>
      </c>
      <c r="U4443" s="267" t="s">
        <v>9912</v>
      </c>
      <c r="AA4443" s="218"/>
    </row>
    <row r="4444" spans="1:27" ht="24" x14ac:dyDescent="0.25">
      <c r="A4444" s="405">
        <v>3003463</v>
      </c>
      <c r="B4444" s="406">
        <v>42583</v>
      </c>
      <c r="C4444" s="405" t="s">
        <v>5682</v>
      </c>
      <c r="D4444" s="401" t="s">
        <v>9913</v>
      </c>
      <c r="E4444" s="120">
        <v>150</v>
      </c>
      <c r="F4444" s="133" t="s">
        <v>227</v>
      </c>
      <c r="G4444" s="404" t="s">
        <v>7486</v>
      </c>
      <c r="H4444" s="411">
        <v>135.19999999999999</v>
      </c>
      <c r="I4444" s="89">
        <f t="shared" si="907"/>
        <v>-12.167999999999999</v>
      </c>
      <c r="J4444" s="391">
        <f t="shared" si="908"/>
        <v>-2.8687999999999994</v>
      </c>
      <c r="K4444" s="396">
        <f t="shared" si="902"/>
        <v>120.16319999999999</v>
      </c>
      <c r="L4444" s="131">
        <v>350</v>
      </c>
      <c r="M4444" s="187">
        <v>21.26</v>
      </c>
      <c r="N4444" s="91">
        <f t="shared" si="901"/>
        <v>73.760000000000005</v>
      </c>
      <c r="O4444" s="411">
        <f t="shared" si="905"/>
        <v>46.403199999999984</v>
      </c>
      <c r="P4444" s="132" t="s">
        <v>52</v>
      </c>
      <c r="Q4444" s="232"/>
      <c r="R4444" s="411"/>
      <c r="T4444" s="134" t="s">
        <v>145</v>
      </c>
      <c r="U4444" s="267" t="s">
        <v>9914</v>
      </c>
      <c r="AA4444" s="218"/>
    </row>
    <row r="4445" spans="1:27" ht="24" x14ac:dyDescent="0.25">
      <c r="A4445" s="405">
        <v>3003464</v>
      </c>
      <c r="B4445" s="406">
        <v>42583</v>
      </c>
      <c r="C4445" s="405" t="s">
        <v>5682</v>
      </c>
      <c r="D4445" s="401" t="s">
        <v>9915</v>
      </c>
      <c r="E4445" s="120">
        <v>100</v>
      </c>
      <c r="F4445" s="133" t="s">
        <v>161</v>
      </c>
      <c r="G4445" s="404" t="s">
        <v>7486</v>
      </c>
      <c r="H4445" s="411">
        <v>230</v>
      </c>
      <c r="I4445" s="89">
        <f t="shared" si="907"/>
        <v>-20.7</v>
      </c>
      <c r="J4445" s="391">
        <f t="shared" si="908"/>
        <v>-4.67</v>
      </c>
      <c r="K4445" s="396">
        <f t="shared" si="902"/>
        <v>204.63000000000002</v>
      </c>
      <c r="L4445" s="131">
        <v>1322</v>
      </c>
      <c r="M4445" s="187">
        <v>50.78</v>
      </c>
      <c r="N4445" s="91">
        <f t="shared" si="901"/>
        <v>182.98000000000002</v>
      </c>
      <c r="O4445" s="411">
        <f t="shared" si="905"/>
        <v>21.650000000000006</v>
      </c>
      <c r="P4445" s="132" t="s">
        <v>52</v>
      </c>
      <c r="Q4445" s="232"/>
      <c r="R4445" s="411"/>
      <c r="T4445" s="134" t="s">
        <v>145</v>
      </c>
      <c r="U4445" s="267" t="s">
        <v>9916</v>
      </c>
      <c r="AA4445" s="218"/>
    </row>
    <row r="4446" spans="1:27" ht="24" x14ac:dyDescent="0.25">
      <c r="A4446" s="405">
        <v>3003465</v>
      </c>
      <c r="B4446" s="406">
        <v>42583</v>
      </c>
      <c r="C4446" s="405" t="s">
        <v>5682</v>
      </c>
      <c r="D4446" s="401" t="s">
        <v>9917</v>
      </c>
      <c r="E4446" s="120">
        <v>600</v>
      </c>
      <c r="F4446" s="133" t="s">
        <v>9918</v>
      </c>
      <c r="G4446" s="404" t="s">
        <v>7486</v>
      </c>
      <c r="H4446" s="411">
        <v>513.16</v>
      </c>
      <c r="I4446" s="89">
        <f t="shared" si="907"/>
        <v>-46.184399999999997</v>
      </c>
      <c r="J4446" s="391">
        <f t="shared" si="908"/>
        <v>-10.050039999999999</v>
      </c>
      <c r="K4446" s="396">
        <f t="shared" si="902"/>
        <v>456.92555999999996</v>
      </c>
      <c r="L4446" s="131">
        <v>506.78</v>
      </c>
      <c r="M4446" s="187">
        <f>34.58+34.58</f>
        <v>69.16</v>
      </c>
      <c r="N4446" s="91">
        <f t="shared" si="901"/>
        <v>373.22799999999995</v>
      </c>
      <c r="O4446" s="411">
        <f t="shared" si="905"/>
        <v>83.69756000000001</v>
      </c>
      <c r="P4446" s="132" t="s">
        <v>52</v>
      </c>
      <c r="Q4446" s="232"/>
      <c r="R4446" s="411"/>
      <c r="T4446" s="134" t="s">
        <v>145</v>
      </c>
      <c r="U4446" s="266" t="s">
        <v>9919</v>
      </c>
      <c r="AA4446" s="218"/>
    </row>
    <row r="4447" spans="1:27" ht="24" x14ac:dyDescent="0.25">
      <c r="A4447" s="405">
        <v>3003466</v>
      </c>
      <c r="B4447" s="406">
        <v>42583</v>
      </c>
      <c r="C4447" s="405" t="s">
        <v>5682</v>
      </c>
      <c r="D4447" s="401" t="s">
        <v>9920</v>
      </c>
      <c r="E4447" s="120">
        <v>65</v>
      </c>
      <c r="F4447" s="133" t="s">
        <v>178</v>
      </c>
      <c r="G4447" s="404" t="s">
        <v>7486</v>
      </c>
      <c r="H4447" s="411">
        <v>132.25</v>
      </c>
      <c r="I4447" s="89">
        <f t="shared" si="907"/>
        <v>-11.9025</v>
      </c>
      <c r="J4447" s="391">
        <f t="shared" si="908"/>
        <v>-2.8127499999999999</v>
      </c>
      <c r="K4447" s="396">
        <f t="shared" si="902"/>
        <v>117.53475</v>
      </c>
      <c r="L4447" s="131">
        <v>816</v>
      </c>
      <c r="M4447" s="187">
        <v>36.159999999999997</v>
      </c>
      <c r="N4447" s="91">
        <f t="shared" si="901"/>
        <v>89.199999999999989</v>
      </c>
      <c r="O4447" s="411">
        <f t="shared" si="905"/>
        <v>28.334750000000014</v>
      </c>
      <c r="P4447" s="132" t="s">
        <v>52</v>
      </c>
      <c r="Q4447" s="232"/>
      <c r="R4447" s="411"/>
      <c r="T4447" s="134" t="s">
        <v>145</v>
      </c>
      <c r="U4447" s="267" t="s">
        <v>9921</v>
      </c>
      <c r="AA4447" s="218"/>
    </row>
    <row r="4448" spans="1:27" ht="24" x14ac:dyDescent="0.25">
      <c r="A4448" s="405">
        <v>3003467</v>
      </c>
      <c r="B4448" s="406">
        <v>42583</v>
      </c>
      <c r="C4448" s="405" t="s">
        <v>5682</v>
      </c>
      <c r="D4448" s="401" t="s">
        <v>9922</v>
      </c>
      <c r="E4448" s="120">
        <v>100</v>
      </c>
      <c r="F4448" s="133" t="s">
        <v>829</v>
      </c>
      <c r="G4448" s="404" t="s">
        <v>7486</v>
      </c>
      <c r="H4448" s="411">
        <v>114</v>
      </c>
      <c r="I4448" s="89">
        <f t="shared" si="907"/>
        <v>-10.26</v>
      </c>
      <c r="J4448" s="391">
        <f t="shared" si="908"/>
        <v>-2.4659999999999997</v>
      </c>
      <c r="K4448" s="396">
        <f t="shared" si="902"/>
        <v>101.274</v>
      </c>
      <c r="L4448" s="131">
        <v>510</v>
      </c>
      <c r="M4448" s="187">
        <v>23.5</v>
      </c>
      <c r="N4448" s="91">
        <f t="shared" si="901"/>
        <v>74.5</v>
      </c>
      <c r="O4448" s="411">
        <f t="shared" si="905"/>
        <v>26.774000000000001</v>
      </c>
      <c r="P4448" s="132" t="s">
        <v>52</v>
      </c>
      <c r="Q4448" s="232"/>
      <c r="R4448" s="411"/>
      <c r="T4448" s="134" t="s">
        <v>145</v>
      </c>
      <c r="U4448" s="267" t="s">
        <v>9923</v>
      </c>
      <c r="AA4448" s="218"/>
    </row>
    <row r="4449" spans="1:27" ht="24" x14ac:dyDescent="0.25">
      <c r="A4449" s="405">
        <v>3003468</v>
      </c>
      <c r="B4449" s="406">
        <v>42583</v>
      </c>
      <c r="C4449" s="405" t="s">
        <v>5682</v>
      </c>
      <c r="D4449" s="401" t="s">
        <v>9924</v>
      </c>
      <c r="E4449" s="120">
        <v>100</v>
      </c>
      <c r="F4449" s="133" t="s">
        <v>288</v>
      </c>
      <c r="G4449" s="404" t="s">
        <v>7486</v>
      </c>
      <c r="H4449" s="411">
        <v>195.25</v>
      </c>
      <c r="I4449" s="89">
        <f t="shared" si="907"/>
        <v>-17.572499999999998</v>
      </c>
      <c r="J4449" s="391">
        <f t="shared" si="908"/>
        <v>-4.0097500000000004</v>
      </c>
      <c r="K4449" s="396">
        <f t="shared" si="902"/>
        <v>173.66775000000001</v>
      </c>
      <c r="L4449" s="131">
        <v>950</v>
      </c>
      <c r="M4449" s="187">
        <v>35.26</v>
      </c>
      <c r="N4449" s="91">
        <f t="shared" si="901"/>
        <v>130.26</v>
      </c>
      <c r="O4449" s="411">
        <f t="shared" si="905"/>
        <v>43.407750000000021</v>
      </c>
      <c r="P4449" s="132" t="s">
        <v>52</v>
      </c>
      <c r="Q4449" s="232"/>
      <c r="R4449" s="411"/>
      <c r="T4449" s="134" t="s">
        <v>145</v>
      </c>
      <c r="U4449" s="267" t="s">
        <v>9925</v>
      </c>
      <c r="AA4449" s="218"/>
    </row>
    <row r="4450" spans="1:27" ht="24" x14ac:dyDescent="0.25">
      <c r="A4450" s="405">
        <v>3003469</v>
      </c>
      <c r="B4450" s="406">
        <v>42583</v>
      </c>
      <c r="C4450" s="405" t="s">
        <v>5682</v>
      </c>
      <c r="D4450" s="401" t="s">
        <v>9926</v>
      </c>
      <c r="E4450" s="120">
        <v>500</v>
      </c>
      <c r="F4450" s="133" t="s">
        <v>427</v>
      </c>
      <c r="G4450" s="404" t="s">
        <v>7486</v>
      </c>
      <c r="H4450" s="411">
        <v>180.98</v>
      </c>
      <c r="I4450" s="89">
        <f t="shared" si="907"/>
        <v>-16.2882</v>
      </c>
      <c r="J4450" s="391">
        <f t="shared" si="908"/>
        <v>-3.7386199999999996</v>
      </c>
      <c r="K4450" s="396">
        <f t="shared" si="902"/>
        <v>160.95318</v>
      </c>
      <c r="L4450" s="187">
        <v>210</v>
      </c>
      <c r="M4450" s="187">
        <v>18.79</v>
      </c>
      <c r="N4450" s="91">
        <f t="shared" si="901"/>
        <v>123.78999999999999</v>
      </c>
      <c r="O4450" s="411">
        <f t="shared" si="905"/>
        <v>37.163180000000011</v>
      </c>
      <c r="P4450" s="132" t="s">
        <v>183</v>
      </c>
      <c r="Q4450" s="232"/>
      <c r="R4450" s="411"/>
      <c r="T4450" s="134" t="s">
        <v>145</v>
      </c>
      <c r="U4450" s="267" t="s">
        <v>9927</v>
      </c>
      <c r="AA4450" s="218"/>
    </row>
    <row r="4451" spans="1:27" ht="24" x14ac:dyDescent="0.25">
      <c r="A4451" s="405">
        <v>3003470</v>
      </c>
      <c r="B4451" s="406">
        <v>42583</v>
      </c>
      <c r="C4451" s="405" t="s">
        <v>5682</v>
      </c>
      <c r="D4451" s="401" t="s">
        <v>9928</v>
      </c>
      <c r="E4451" s="120">
        <v>100</v>
      </c>
      <c r="F4451" s="133" t="s">
        <v>590</v>
      </c>
      <c r="G4451" s="404" t="s">
        <v>7486</v>
      </c>
      <c r="H4451" s="411">
        <v>128.25</v>
      </c>
      <c r="I4451" s="89">
        <f t="shared" si="907"/>
        <v>-11.5425</v>
      </c>
      <c r="J4451" s="258">
        <f t="shared" si="908"/>
        <v>-2.7367499999999998</v>
      </c>
      <c r="K4451" s="90">
        <f t="shared" si="902"/>
        <v>113.97075</v>
      </c>
      <c r="L4451" s="147"/>
      <c r="M4451" s="187">
        <v>37.74</v>
      </c>
      <c r="N4451" s="91">
        <f t="shared" si="901"/>
        <v>37.74</v>
      </c>
      <c r="O4451" s="411">
        <f t="shared" si="905"/>
        <v>76.23075</v>
      </c>
      <c r="P4451" s="132" t="s">
        <v>52</v>
      </c>
      <c r="Q4451" s="232"/>
      <c r="R4451" s="411"/>
      <c r="T4451" s="134" t="s">
        <v>145</v>
      </c>
      <c r="U4451" s="267" t="s">
        <v>9929</v>
      </c>
      <c r="AA4451" s="218"/>
    </row>
    <row r="4452" spans="1:27" ht="24" x14ac:dyDescent="0.25">
      <c r="A4452" s="405">
        <v>3003471</v>
      </c>
      <c r="B4452" s="406">
        <v>42583</v>
      </c>
      <c r="C4452" s="405" t="s">
        <v>5682</v>
      </c>
      <c r="D4452" s="401" t="s">
        <v>9930</v>
      </c>
      <c r="E4452" s="120">
        <v>250</v>
      </c>
      <c r="F4452" s="133" t="s">
        <v>4102</v>
      </c>
      <c r="G4452" s="404" t="s">
        <v>7486</v>
      </c>
      <c r="H4452" s="411">
        <v>251.58</v>
      </c>
      <c r="I4452" s="89">
        <f t="shared" si="907"/>
        <v>-22.642199999999999</v>
      </c>
      <c r="J4452" s="258">
        <f t="shared" si="908"/>
        <v>-5.0800200000000002</v>
      </c>
      <c r="K4452" s="90">
        <f t="shared" si="902"/>
        <v>223.85778000000002</v>
      </c>
      <c r="L4452" s="190">
        <v>440</v>
      </c>
      <c r="M4452" s="187">
        <v>41.68</v>
      </c>
      <c r="N4452" s="91">
        <f t="shared" si="901"/>
        <v>151.68</v>
      </c>
      <c r="O4452" s="411">
        <f t="shared" si="905"/>
        <v>72.177780000000013</v>
      </c>
      <c r="P4452" s="132" t="s">
        <v>3597</v>
      </c>
      <c r="Q4452" s="232"/>
      <c r="R4452" s="411"/>
      <c r="T4452" s="134" t="s">
        <v>145</v>
      </c>
      <c r="U4452" s="267" t="s">
        <v>9931</v>
      </c>
      <c r="AA4452" s="218"/>
    </row>
    <row r="4453" spans="1:27" ht="24" x14ac:dyDescent="0.25">
      <c r="A4453" s="405">
        <v>3003472</v>
      </c>
      <c r="B4453" s="406">
        <v>42583</v>
      </c>
      <c r="C4453" s="405" t="s">
        <v>5682</v>
      </c>
      <c r="D4453" s="401" t="s">
        <v>9932</v>
      </c>
      <c r="E4453" s="120">
        <v>150</v>
      </c>
      <c r="F4453" s="133" t="s">
        <v>877</v>
      </c>
      <c r="G4453" s="404" t="s">
        <v>7486</v>
      </c>
      <c r="H4453" s="411">
        <v>141.52000000000001</v>
      </c>
      <c r="I4453" s="89">
        <f t="shared" si="907"/>
        <v>-12.736800000000001</v>
      </c>
      <c r="J4453" s="258">
        <f t="shared" si="908"/>
        <v>-2.98888</v>
      </c>
      <c r="K4453" s="90">
        <f t="shared" si="902"/>
        <v>125.79432000000003</v>
      </c>
      <c r="L4453" s="131">
        <v>235</v>
      </c>
      <c r="M4453" s="187">
        <v>32.25</v>
      </c>
      <c r="N4453" s="91">
        <f t="shared" si="901"/>
        <v>67.5</v>
      </c>
      <c r="O4453" s="411">
        <f t="shared" si="905"/>
        <v>58.294320000000027</v>
      </c>
      <c r="P4453" s="132" t="s">
        <v>52</v>
      </c>
      <c r="Q4453" s="232"/>
      <c r="R4453" s="411">
        <v>10.48</v>
      </c>
      <c r="S4453" s="133" t="s">
        <v>7228</v>
      </c>
      <c r="T4453" s="134" t="s">
        <v>145</v>
      </c>
      <c r="U4453" s="267" t="s">
        <v>9933</v>
      </c>
      <c r="AA4453" s="218"/>
    </row>
    <row r="4454" spans="1:27" ht="24" x14ac:dyDescent="0.25">
      <c r="A4454" s="405">
        <v>3003473</v>
      </c>
      <c r="B4454" s="406">
        <v>42583</v>
      </c>
      <c r="C4454" s="405" t="s">
        <v>5682</v>
      </c>
      <c r="D4454" s="401" t="s">
        <v>7880</v>
      </c>
      <c r="E4454" s="120">
        <v>250</v>
      </c>
      <c r="F4454" s="133" t="s">
        <v>307</v>
      </c>
      <c r="G4454" s="404" t="s">
        <v>7486</v>
      </c>
      <c r="H4454" s="411">
        <v>332.6</v>
      </c>
      <c r="I4454" s="89">
        <f t="shared" si="907"/>
        <v>-29.934000000000001</v>
      </c>
      <c r="J4454" s="258">
        <f t="shared" si="908"/>
        <v>-6.6193999999999997</v>
      </c>
      <c r="K4454" s="90">
        <f t="shared" si="902"/>
        <v>296.04660000000001</v>
      </c>
      <c r="L4454" s="131">
        <v>640</v>
      </c>
      <c r="M4454" s="187">
        <v>48.14</v>
      </c>
      <c r="N4454" s="91">
        <f t="shared" si="901"/>
        <v>208.14</v>
      </c>
      <c r="O4454" s="411">
        <f t="shared" si="905"/>
        <v>87.906600000000026</v>
      </c>
      <c r="P4454" s="132" t="s">
        <v>52</v>
      </c>
      <c r="Q4454" s="232"/>
      <c r="R4454" s="411"/>
      <c r="T4454" s="134" t="s">
        <v>145</v>
      </c>
      <c r="U4454" s="267" t="s">
        <v>9934</v>
      </c>
      <c r="AA4454" s="218"/>
    </row>
    <row r="4455" spans="1:27" ht="24" x14ac:dyDescent="0.25">
      <c r="A4455" s="405">
        <v>3003474</v>
      </c>
      <c r="B4455" s="406">
        <v>42583</v>
      </c>
      <c r="C4455" s="405" t="s">
        <v>5682</v>
      </c>
      <c r="D4455" s="401" t="s">
        <v>9935</v>
      </c>
      <c r="E4455" s="120">
        <v>100</v>
      </c>
      <c r="F4455" s="133" t="s">
        <v>247</v>
      </c>
      <c r="G4455" s="404" t="s">
        <v>7486</v>
      </c>
      <c r="H4455" s="411">
        <v>125.44</v>
      </c>
      <c r="I4455" s="89">
        <f t="shared" si="907"/>
        <v>-11.2896</v>
      </c>
      <c r="J4455" s="258">
        <f t="shared" si="908"/>
        <v>-2.6833599999999995</v>
      </c>
      <c r="K4455" s="90">
        <f t="shared" si="902"/>
        <v>111.46704</v>
      </c>
      <c r="L4455" s="131">
        <v>480</v>
      </c>
      <c r="M4455" s="187">
        <v>36.130000000000003</v>
      </c>
      <c r="N4455" s="91">
        <f t="shared" si="901"/>
        <v>84.13</v>
      </c>
      <c r="O4455" s="411">
        <f t="shared" si="905"/>
        <v>27.337040000000002</v>
      </c>
      <c r="P4455" s="132" t="s">
        <v>52</v>
      </c>
      <c r="Q4455" s="232"/>
      <c r="R4455" s="411"/>
      <c r="T4455" s="134" t="s">
        <v>145</v>
      </c>
      <c r="U4455" s="267" t="s">
        <v>9936</v>
      </c>
      <c r="AA4455" s="218"/>
    </row>
    <row r="4456" spans="1:27" ht="24" x14ac:dyDescent="0.25">
      <c r="A4456" s="405">
        <v>3003475</v>
      </c>
      <c r="B4456" s="406">
        <v>42583</v>
      </c>
      <c r="C4456" s="405" t="s">
        <v>5682</v>
      </c>
      <c r="D4456" s="401" t="s">
        <v>9937</v>
      </c>
      <c r="E4456" s="120">
        <v>50</v>
      </c>
      <c r="F4456" s="133" t="s">
        <v>3270</v>
      </c>
      <c r="G4456" s="404" t="s">
        <v>7486</v>
      </c>
      <c r="H4456" s="411">
        <v>134.75</v>
      </c>
      <c r="I4456" s="89">
        <f t="shared" si="907"/>
        <v>-12.1275</v>
      </c>
      <c r="J4456" s="258">
        <f t="shared" si="908"/>
        <v>-2.8602499999999997</v>
      </c>
      <c r="K4456" s="90">
        <f t="shared" si="902"/>
        <v>119.76225000000001</v>
      </c>
      <c r="L4456" s="131">
        <v>1322</v>
      </c>
      <c r="M4456" s="187">
        <v>32.14</v>
      </c>
      <c r="N4456" s="91">
        <f t="shared" si="901"/>
        <v>98.240000000000009</v>
      </c>
      <c r="O4456" s="411">
        <f t="shared" si="905"/>
        <v>21.52225</v>
      </c>
      <c r="P4456" s="132" t="s">
        <v>52</v>
      </c>
      <c r="Q4456" s="232"/>
      <c r="R4456" s="411"/>
      <c r="T4456" s="134" t="s">
        <v>145</v>
      </c>
      <c r="U4456" s="267" t="s">
        <v>9938</v>
      </c>
      <c r="AA4456" s="218"/>
    </row>
    <row r="4457" spans="1:27" ht="24" x14ac:dyDescent="0.25">
      <c r="A4457" s="405">
        <v>3003476</v>
      </c>
      <c r="B4457" s="406">
        <v>42583</v>
      </c>
      <c r="C4457" s="405" t="s">
        <v>5682</v>
      </c>
      <c r="D4457" s="401" t="s">
        <v>9939</v>
      </c>
      <c r="E4457" s="120">
        <v>250</v>
      </c>
      <c r="F4457" s="133" t="s">
        <v>9940</v>
      </c>
      <c r="G4457" s="404" t="s">
        <v>7486</v>
      </c>
      <c r="H4457" s="411">
        <v>420.75</v>
      </c>
      <c r="I4457" s="89">
        <f t="shared" si="907"/>
        <v>-37.8675</v>
      </c>
      <c r="J4457" s="258">
        <f t="shared" si="908"/>
        <v>-8.2942499999999999</v>
      </c>
      <c r="K4457" s="90">
        <f t="shared" si="902"/>
        <v>374.58825000000002</v>
      </c>
      <c r="L4457" s="187">
        <v>1136.97</v>
      </c>
      <c r="N4457" s="91">
        <f t="shared" si="901"/>
        <v>284.24250000000001</v>
      </c>
      <c r="O4457" s="411">
        <f t="shared" si="905"/>
        <v>90.34575000000001</v>
      </c>
      <c r="P4457" s="132" t="s">
        <v>621</v>
      </c>
      <c r="Q4457" s="232"/>
      <c r="R4457" s="411"/>
      <c r="T4457" s="134" t="s">
        <v>145</v>
      </c>
      <c r="U4457" s="267" t="s">
        <v>9941</v>
      </c>
      <c r="AA4457" s="218"/>
    </row>
    <row r="4458" spans="1:27" x14ac:dyDescent="0.25">
      <c r="A4458" s="405">
        <v>3003477</v>
      </c>
      <c r="B4458" s="406">
        <v>42583</v>
      </c>
      <c r="C4458" s="405" t="s">
        <v>555</v>
      </c>
      <c r="D4458" s="401" t="s">
        <v>9942</v>
      </c>
      <c r="E4458" s="120">
        <v>330</v>
      </c>
      <c r="F4458" s="133" t="s">
        <v>9943</v>
      </c>
      <c r="G4458" s="404" t="s">
        <v>7486</v>
      </c>
      <c r="H4458" s="411">
        <v>5923.5</v>
      </c>
      <c r="I4458" s="411">
        <v>0</v>
      </c>
      <c r="J4458" s="411">
        <v>0</v>
      </c>
      <c r="K4458" s="90">
        <f t="shared" si="902"/>
        <v>5923.5</v>
      </c>
      <c r="L4458" s="187">
        <v>12000</v>
      </c>
      <c r="M4458" s="187">
        <v>350</v>
      </c>
      <c r="N4458" s="91">
        <f t="shared" si="901"/>
        <v>4310</v>
      </c>
      <c r="O4458" s="411">
        <f t="shared" si="905"/>
        <v>1613.5</v>
      </c>
      <c r="P4458" s="132" t="s">
        <v>1793</v>
      </c>
      <c r="Q4458" s="232"/>
      <c r="R4458" s="411"/>
      <c r="T4458" s="134" t="s">
        <v>1411</v>
      </c>
      <c r="U4458" s="267" t="s">
        <v>9944</v>
      </c>
      <c r="V4458" s="133" t="s">
        <v>55</v>
      </c>
      <c r="W4458" s="153" t="s">
        <v>8489</v>
      </c>
      <c r="AA4458" s="218">
        <v>25</v>
      </c>
    </row>
    <row r="4459" spans="1:27" ht="24" customHeight="1" x14ac:dyDescent="0.25">
      <c r="A4459" s="419">
        <v>3003478</v>
      </c>
      <c r="B4459" s="421">
        <v>42583</v>
      </c>
      <c r="C4459" s="419" t="s">
        <v>327</v>
      </c>
      <c r="D4459" s="417" t="s">
        <v>3278</v>
      </c>
      <c r="E4459" s="120">
        <v>6</v>
      </c>
      <c r="F4459" s="133" t="s">
        <v>9945</v>
      </c>
      <c r="G4459" s="434" t="s">
        <v>7486</v>
      </c>
      <c r="H4459" s="427">
        <v>450</v>
      </c>
      <c r="I4459" s="427">
        <v>0</v>
      </c>
      <c r="J4459" s="425">
        <f>-((H4459*0.022)+0.3)</f>
        <v>-10.199999999999999</v>
      </c>
      <c r="K4459" s="425">
        <f t="shared" si="902"/>
        <v>439.8</v>
      </c>
      <c r="L4459" s="131">
        <v>0</v>
      </c>
      <c r="M4459" s="131">
        <v>20</v>
      </c>
      <c r="N4459" s="91">
        <f t="shared" si="901"/>
        <v>20</v>
      </c>
      <c r="O4459" s="411">
        <f t="shared" si="905"/>
        <v>419.8</v>
      </c>
      <c r="P4459" s="132" t="s">
        <v>313</v>
      </c>
      <c r="Q4459" s="232"/>
      <c r="R4459" s="411"/>
      <c r="T4459" s="439" t="s">
        <v>204</v>
      </c>
      <c r="U4459" s="505" t="s">
        <v>9946</v>
      </c>
      <c r="W4459" s="153" t="s">
        <v>3472</v>
      </c>
      <c r="AA4459" s="218"/>
    </row>
    <row r="4460" spans="1:27" x14ac:dyDescent="0.25">
      <c r="A4460" s="420"/>
      <c r="B4460" s="422"/>
      <c r="C4460" s="420"/>
      <c r="D4460" s="418"/>
      <c r="E4460" s="120">
        <v>6</v>
      </c>
      <c r="F4460" s="133" t="s">
        <v>9947</v>
      </c>
      <c r="G4460" s="436"/>
      <c r="H4460" s="428"/>
      <c r="I4460" s="428"/>
      <c r="J4460" s="426"/>
      <c r="K4460" s="426"/>
      <c r="L4460" s="131">
        <v>0</v>
      </c>
      <c r="N4460" s="91">
        <f t="shared" si="901"/>
        <v>0</v>
      </c>
      <c r="O4460" s="411">
        <f t="shared" si="905"/>
        <v>0</v>
      </c>
      <c r="P4460" s="132" t="s">
        <v>313</v>
      </c>
      <c r="Q4460" s="232"/>
      <c r="R4460" s="411"/>
      <c r="T4460" s="441"/>
      <c r="U4460" s="490"/>
      <c r="AA4460" s="218"/>
    </row>
    <row r="4461" spans="1:27" x14ac:dyDescent="0.25">
      <c r="A4461" s="419">
        <v>3003479</v>
      </c>
      <c r="B4461" s="421">
        <v>42583</v>
      </c>
      <c r="C4461" s="419" t="s">
        <v>56</v>
      </c>
      <c r="D4461" s="417" t="s">
        <v>9948</v>
      </c>
      <c r="E4461" s="120">
        <v>45</v>
      </c>
      <c r="F4461" s="133" t="s">
        <v>9949</v>
      </c>
      <c r="G4461" s="434" t="s">
        <v>7486</v>
      </c>
      <c r="H4461" s="427">
        <v>3345</v>
      </c>
      <c r="I4461" s="427">
        <v>0</v>
      </c>
      <c r="J4461" s="427">
        <v>0</v>
      </c>
      <c r="K4461" s="425">
        <f t="shared" si="902"/>
        <v>3345</v>
      </c>
      <c r="L4461" s="131">
        <v>6500</v>
      </c>
      <c r="M4461" s="187">
        <v>1210.52</v>
      </c>
      <c r="N4461" s="91">
        <f t="shared" si="901"/>
        <v>1503.02</v>
      </c>
      <c r="O4461" s="411">
        <f t="shared" si="905"/>
        <v>1841.98</v>
      </c>
      <c r="P4461" s="132" t="s">
        <v>52</v>
      </c>
      <c r="Q4461" s="232"/>
      <c r="R4461" s="411"/>
      <c r="T4461" s="134" t="s">
        <v>9950</v>
      </c>
      <c r="U4461" s="266"/>
      <c r="V4461" s="133" t="s">
        <v>9706</v>
      </c>
      <c r="W4461" s="153" t="s">
        <v>2544</v>
      </c>
      <c r="AA4461" s="218"/>
    </row>
    <row r="4462" spans="1:27" x14ac:dyDescent="0.25">
      <c r="A4462" s="432"/>
      <c r="B4462" s="433"/>
      <c r="C4462" s="432"/>
      <c r="D4462" s="454"/>
      <c r="E4462" s="120">
        <v>30</v>
      </c>
      <c r="F4462" s="133" t="s">
        <v>3183</v>
      </c>
      <c r="G4462" s="435"/>
      <c r="H4462" s="438"/>
      <c r="I4462" s="438"/>
      <c r="J4462" s="438"/>
      <c r="K4462" s="437"/>
      <c r="L4462" s="187">
        <v>2520</v>
      </c>
      <c r="M4462" s="187">
        <v>105</v>
      </c>
      <c r="N4462" s="91">
        <f t="shared" si="901"/>
        <v>180.6</v>
      </c>
      <c r="O4462" s="411">
        <f t="shared" si="905"/>
        <v>-180.6</v>
      </c>
      <c r="P4462" s="132" t="s">
        <v>183</v>
      </c>
      <c r="Q4462" s="232"/>
      <c r="R4462" s="411"/>
      <c r="T4462" s="439" t="s">
        <v>565</v>
      </c>
      <c r="U4462" s="446" t="s">
        <v>9951</v>
      </c>
      <c r="V4462" s="133" t="s">
        <v>9952</v>
      </c>
      <c r="AA4462" s="218"/>
    </row>
    <row r="4463" spans="1:27" x14ac:dyDescent="0.25">
      <c r="A4463" s="432"/>
      <c r="B4463" s="433"/>
      <c r="C4463" s="432"/>
      <c r="D4463" s="454"/>
      <c r="E4463" s="120">
        <v>30</v>
      </c>
      <c r="F4463" s="133" t="s">
        <v>9953</v>
      </c>
      <c r="G4463" s="435"/>
      <c r="H4463" s="438"/>
      <c r="I4463" s="438"/>
      <c r="J4463" s="438"/>
      <c r="K4463" s="437"/>
      <c r="L4463" s="187">
        <v>5000</v>
      </c>
      <c r="N4463" s="91">
        <f t="shared" si="901"/>
        <v>150</v>
      </c>
      <c r="O4463" s="411">
        <f t="shared" si="905"/>
        <v>-150</v>
      </c>
      <c r="P4463" s="132" t="s">
        <v>183</v>
      </c>
      <c r="Q4463" s="232"/>
      <c r="R4463" s="411"/>
      <c r="T4463" s="440"/>
      <c r="U4463" s="448"/>
      <c r="V4463" s="133" t="s">
        <v>9952</v>
      </c>
      <c r="AA4463" s="218"/>
    </row>
    <row r="4464" spans="1:27" x14ac:dyDescent="0.25">
      <c r="A4464" s="432"/>
      <c r="B4464" s="433"/>
      <c r="C4464" s="432"/>
      <c r="D4464" s="454"/>
      <c r="E4464" s="120">
        <v>15</v>
      </c>
      <c r="F4464" s="133" t="s">
        <v>9954</v>
      </c>
      <c r="G4464" s="435"/>
      <c r="H4464" s="438"/>
      <c r="I4464" s="438"/>
      <c r="J4464" s="438"/>
      <c r="K4464" s="437"/>
      <c r="L4464" s="187">
        <v>2100</v>
      </c>
      <c r="N4464" s="91">
        <f t="shared" si="901"/>
        <v>31.5</v>
      </c>
      <c r="O4464" s="411">
        <f t="shared" si="905"/>
        <v>-31.5</v>
      </c>
      <c r="P4464" s="132" t="s">
        <v>183</v>
      </c>
      <c r="Q4464" s="232"/>
      <c r="R4464" s="411"/>
      <c r="T4464" s="441"/>
      <c r="U4464" s="447"/>
      <c r="V4464" s="133" t="s">
        <v>9952</v>
      </c>
      <c r="AA4464" s="218"/>
    </row>
    <row r="4465" spans="1:27" x14ac:dyDescent="0.25">
      <c r="A4465" s="432"/>
      <c r="B4465" s="433"/>
      <c r="C4465" s="432"/>
      <c r="D4465" s="454"/>
      <c r="E4465" s="120">
        <v>15</v>
      </c>
      <c r="F4465" s="133" t="s">
        <v>1089</v>
      </c>
      <c r="G4465" s="435"/>
      <c r="H4465" s="438"/>
      <c r="I4465" s="438"/>
      <c r="J4465" s="438"/>
      <c r="K4465" s="437"/>
      <c r="L4465" s="131">
        <v>2100</v>
      </c>
      <c r="N4465" s="91">
        <f t="shared" si="901"/>
        <v>31.5</v>
      </c>
      <c r="O4465" s="411">
        <f t="shared" si="905"/>
        <v>-31.5</v>
      </c>
      <c r="P4465" s="132" t="s">
        <v>52</v>
      </c>
      <c r="Q4465" s="232"/>
      <c r="R4465" s="411"/>
      <c r="T4465" s="134" t="s">
        <v>755</v>
      </c>
      <c r="U4465" s="266"/>
      <c r="AA4465" s="218"/>
    </row>
    <row r="4466" spans="1:27" x14ac:dyDescent="0.25">
      <c r="A4466" s="432"/>
      <c r="B4466" s="433"/>
      <c r="C4466" s="432"/>
      <c r="D4466" s="454"/>
      <c r="E4466" s="120">
        <v>15</v>
      </c>
      <c r="F4466" s="133" t="s">
        <v>9955</v>
      </c>
      <c r="G4466" s="435"/>
      <c r="H4466" s="438"/>
      <c r="I4466" s="438"/>
      <c r="J4466" s="438"/>
      <c r="K4466" s="437"/>
      <c r="L4466" s="187">
        <v>950</v>
      </c>
      <c r="M4466" s="187">
        <v>105</v>
      </c>
      <c r="N4466" s="91">
        <f t="shared" si="901"/>
        <v>119.25</v>
      </c>
      <c r="O4466" s="411">
        <f t="shared" si="905"/>
        <v>-119.25</v>
      </c>
      <c r="P4466" s="132" t="s">
        <v>183</v>
      </c>
      <c r="Q4466" s="232"/>
      <c r="R4466" s="411"/>
      <c r="T4466" s="439" t="s">
        <v>565</v>
      </c>
      <c r="U4466" s="446" t="s">
        <v>9956</v>
      </c>
      <c r="V4466" s="133" t="s">
        <v>9952</v>
      </c>
      <c r="AA4466" s="218"/>
    </row>
    <row r="4467" spans="1:27" x14ac:dyDescent="0.25">
      <c r="A4467" s="420"/>
      <c r="B4467" s="422"/>
      <c r="C4467" s="420"/>
      <c r="D4467" s="418"/>
      <c r="E4467" s="120">
        <v>15</v>
      </c>
      <c r="F4467" s="133" t="s">
        <v>9957</v>
      </c>
      <c r="G4467" s="436"/>
      <c r="H4467" s="428"/>
      <c r="I4467" s="428"/>
      <c r="J4467" s="428"/>
      <c r="K4467" s="426"/>
      <c r="L4467" s="187">
        <v>3400</v>
      </c>
      <c r="N4467" s="91">
        <f t="shared" si="901"/>
        <v>51</v>
      </c>
      <c r="O4467" s="411">
        <f t="shared" si="905"/>
        <v>-51</v>
      </c>
      <c r="P4467" s="132" t="s">
        <v>183</v>
      </c>
      <c r="Q4467" s="232"/>
      <c r="R4467" s="411"/>
      <c r="T4467" s="441"/>
      <c r="U4467" s="447"/>
      <c r="V4467" s="133" t="s">
        <v>9952</v>
      </c>
      <c r="AA4467" s="218"/>
    </row>
    <row r="4468" spans="1:27" x14ac:dyDescent="0.25">
      <c r="A4468" s="405">
        <v>3003480</v>
      </c>
      <c r="B4468" s="406">
        <v>42583</v>
      </c>
      <c r="C4468" s="405" t="s">
        <v>141</v>
      </c>
      <c r="D4468" s="401" t="s">
        <v>8324</v>
      </c>
      <c r="E4468" s="120">
        <v>2000</v>
      </c>
      <c r="F4468" s="133" t="s">
        <v>3327</v>
      </c>
      <c r="G4468" s="404" t="s">
        <v>7486</v>
      </c>
      <c r="H4468" s="411">
        <v>880</v>
      </c>
      <c r="I4468" s="411">
        <v>0</v>
      </c>
      <c r="J4468" s="258">
        <f>-((H4468*0.0325)+0.3)</f>
        <v>-28.900000000000002</v>
      </c>
      <c r="K4468" s="90">
        <f t="shared" ref="K4468:K4471" si="909">SUM(H4468:J4468)</f>
        <v>851.1</v>
      </c>
      <c r="L4468" s="187">
        <v>291.52</v>
      </c>
      <c r="N4468" s="91">
        <f t="shared" si="901"/>
        <v>583.04</v>
      </c>
      <c r="O4468" s="411">
        <f t="shared" si="905"/>
        <v>268.06000000000006</v>
      </c>
      <c r="P4468" s="132" t="s">
        <v>46</v>
      </c>
      <c r="Q4468" s="232"/>
      <c r="R4468" s="411"/>
      <c r="T4468" s="134" t="s">
        <v>851</v>
      </c>
      <c r="U4468" s="266" t="s">
        <v>4224</v>
      </c>
      <c r="W4468" s="153" t="s">
        <v>9958</v>
      </c>
      <c r="AA4468" s="218"/>
    </row>
    <row r="4469" spans="1:27" x14ac:dyDescent="0.25">
      <c r="A4469" s="405">
        <v>3003481</v>
      </c>
      <c r="B4469" s="406">
        <v>42583</v>
      </c>
      <c r="C4469" s="405" t="s">
        <v>141</v>
      </c>
      <c r="D4469" s="401" t="s">
        <v>5130</v>
      </c>
      <c r="E4469" s="120">
        <v>2000</v>
      </c>
      <c r="F4469" s="133" t="s">
        <v>9959</v>
      </c>
      <c r="G4469" s="404" t="s">
        <v>7486</v>
      </c>
      <c r="H4469" s="411">
        <v>1700</v>
      </c>
      <c r="I4469" s="411">
        <v>0</v>
      </c>
      <c r="J4469" s="258">
        <f>-((H4469*0.0325)+0.3)</f>
        <v>-55.55</v>
      </c>
      <c r="K4469" s="90">
        <f t="shared" si="909"/>
        <v>1644.45</v>
      </c>
      <c r="L4469" s="131">
        <v>419</v>
      </c>
      <c r="M4469" s="187">
        <v>250.16</v>
      </c>
      <c r="N4469" s="91">
        <f t="shared" si="901"/>
        <v>1088.1600000000001</v>
      </c>
      <c r="O4469" s="411">
        <f t="shared" si="905"/>
        <v>556.29</v>
      </c>
      <c r="P4469" s="132" t="s">
        <v>52</v>
      </c>
      <c r="Q4469" s="232"/>
      <c r="R4469" s="411"/>
      <c r="T4469" s="134" t="s">
        <v>875</v>
      </c>
      <c r="U4469" s="267" t="s">
        <v>9960</v>
      </c>
      <c r="V4469" s="133" t="s">
        <v>55</v>
      </c>
      <c r="W4469" s="153" t="s">
        <v>9961</v>
      </c>
      <c r="AA4469" s="218">
        <v>10</v>
      </c>
    </row>
    <row r="4470" spans="1:27" ht="24" x14ac:dyDescent="0.25">
      <c r="A4470" s="405">
        <v>3003482</v>
      </c>
      <c r="B4470" s="406">
        <v>42583</v>
      </c>
      <c r="C4470" s="405" t="s">
        <v>159</v>
      </c>
      <c r="D4470" s="401" t="s">
        <v>9962</v>
      </c>
      <c r="E4470" s="120">
        <v>36</v>
      </c>
      <c r="F4470" s="133" t="s">
        <v>277</v>
      </c>
      <c r="G4470" s="404" t="s">
        <v>7486</v>
      </c>
      <c r="H4470" s="411">
        <v>191.04</v>
      </c>
      <c r="I4470" s="411">
        <v>0</v>
      </c>
      <c r="J4470" s="258">
        <f t="shared" ref="J4470" si="910">-((H4470*0.019)+0.3)</f>
        <v>-3.9297599999999995</v>
      </c>
      <c r="K4470" s="90">
        <f t="shared" si="909"/>
        <v>187.11024</v>
      </c>
      <c r="L4470" s="187">
        <v>3400</v>
      </c>
      <c r="M4470" s="187">
        <v>33.950000000000003</v>
      </c>
      <c r="N4470" s="91">
        <f t="shared" si="901"/>
        <v>156.35000000000002</v>
      </c>
      <c r="O4470" s="411">
        <f t="shared" si="905"/>
        <v>30.760239999999982</v>
      </c>
      <c r="P4470" s="132" t="s">
        <v>183</v>
      </c>
      <c r="Q4470" s="232"/>
      <c r="R4470" s="411"/>
      <c r="T4470" s="134" t="s">
        <v>145</v>
      </c>
      <c r="U4470" s="267" t="s">
        <v>9963</v>
      </c>
      <c r="W4470" s="153" t="s">
        <v>9964</v>
      </c>
      <c r="AA4470" s="218"/>
    </row>
    <row r="4471" spans="1:27" x14ac:dyDescent="0.25">
      <c r="A4471" s="419">
        <v>3003483</v>
      </c>
      <c r="B4471" s="421">
        <v>42583</v>
      </c>
      <c r="C4471" s="419" t="s">
        <v>56</v>
      </c>
      <c r="D4471" s="429" t="s">
        <v>9948</v>
      </c>
      <c r="E4471" s="120">
        <v>90</v>
      </c>
      <c r="F4471" s="133" t="s">
        <v>9965</v>
      </c>
      <c r="G4471" s="434" t="s">
        <v>7486</v>
      </c>
      <c r="H4471" s="427">
        <v>6878.5</v>
      </c>
      <c r="I4471" s="427">
        <v>0</v>
      </c>
      <c r="J4471" s="427">
        <v>0</v>
      </c>
      <c r="K4471" s="425">
        <f t="shared" si="909"/>
        <v>6878.5</v>
      </c>
      <c r="M4471" s="187">
        <v>118.79</v>
      </c>
      <c r="N4471" s="91">
        <f t="shared" si="901"/>
        <v>118.79</v>
      </c>
      <c r="O4471" s="411">
        <f t="shared" si="905"/>
        <v>6759.71</v>
      </c>
      <c r="P4471" s="132" t="s">
        <v>52</v>
      </c>
      <c r="Q4471" s="232"/>
      <c r="R4471" s="411"/>
      <c r="T4471" s="134" t="s">
        <v>7260</v>
      </c>
      <c r="U4471" s="267">
        <v>686061099</v>
      </c>
      <c r="V4471" s="133" t="s">
        <v>9081</v>
      </c>
      <c r="W4471" s="153" t="s">
        <v>2544</v>
      </c>
      <c r="AA4471" s="218"/>
    </row>
    <row r="4472" spans="1:27" x14ac:dyDescent="0.25">
      <c r="A4472" s="432"/>
      <c r="B4472" s="433"/>
      <c r="C4472" s="432"/>
      <c r="D4472" s="430"/>
      <c r="E4472" s="120">
        <v>5</v>
      </c>
      <c r="F4472" s="133" t="s">
        <v>9954</v>
      </c>
      <c r="G4472" s="435"/>
      <c r="H4472" s="438"/>
      <c r="I4472" s="438"/>
      <c r="J4472" s="438"/>
      <c r="K4472" s="437"/>
      <c r="L4472" s="187">
        <v>2100</v>
      </c>
      <c r="M4472" s="187">
        <v>105</v>
      </c>
      <c r="N4472" s="91">
        <f t="shared" si="901"/>
        <v>115.5</v>
      </c>
      <c r="O4472" s="411">
        <f t="shared" si="905"/>
        <v>-115.5</v>
      </c>
      <c r="P4472" s="132" t="s">
        <v>183</v>
      </c>
      <c r="Q4472" s="232"/>
      <c r="R4472" s="411"/>
      <c r="T4472" s="134" t="s">
        <v>576</v>
      </c>
      <c r="U4472" s="267" t="s">
        <v>9966</v>
      </c>
      <c r="V4472" s="133" t="s">
        <v>9967</v>
      </c>
      <c r="AA4472" s="218"/>
    </row>
    <row r="4473" spans="1:27" x14ac:dyDescent="0.25">
      <c r="A4473" s="432"/>
      <c r="B4473" s="433"/>
      <c r="C4473" s="432"/>
      <c r="D4473" s="430"/>
      <c r="E4473" s="120">
        <v>20</v>
      </c>
      <c r="F4473" s="133" t="s">
        <v>9968</v>
      </c>
      <c r="G4473" s="435"/>
      <c r="H4473" s="438"/>
      <c r="I4473" s="438"/>
      <c r="J4473" s="438"/>
      <c r="K4473" s="437"/>
      <c r="N4473" s="91">
        <f t="shared" si="901"/>
        <v>0</v>
      </c>
      <c r="O4473" s="411">
        <f t="shared" si="905"/>
        <v>0</v>
      </c>
      <c r="P4473" s="132" t="s">
        <v>52</v>
      </c>
      <c r="Q4473" s="232"/>
      <c r="R4473" s="411"/>
      <c r="T4473" s="134" t="s">
        <v>7260</v>
      </c>
      <c r="U4473" s="267">
        <v>686061099</v>
      </c>
      <c r="AA4473" s="218"/>
    </row>
    <row r="4474" spans="1:27" x14ac:dyDescent="0.25">
      <c r="A4474" s="432"/>
      <c r="B4474" s="433"/>
      <c r="C4474" s="432"/>
      <c r="D4474" s="430"/>
      <c r="E4474" s="120">
        <v>495</v>
      </c>
      <c r="F4474" s="133" t="s">
        <v>9955</v>
      </c>
      <c r="G4474" s="435"/>
      <c r="H4474" s="438"/>
      <c r="I4474" s="438"/>
      <c r="J4474" s="438"/>
      <c r="K4474" s="437"/>
      <c r="L4474" s="187">
        <v>950</v>
      </c>
      <c r="N4474" s="91">
        <f t="shared" ref="N4474:N4508" si="911">((L4474)*(E4474*0.001))+M4474</f>
        <v>470.25</v>
      </c>
      <c r="O4474" s="411">
        <f t="shared" si="905"/>
        <v>-470.25</v>
      </c>
      <c r="P4474" s="132" t="s">
        <v>183</v>
      </c>
      <c r="Q4474" s="232"/>
      <c r="R4474" s="411"/>
      <c r="T4474" s="439" t="s">
        <v>576</v>
      </c>
      <c r="U4474" s="446" t="s">
        <v>9966</v>
      </c>
      <c r="V4474" s="133" t="s">
        <v>9967</v>
      </c>
      <c r="AA4474" s="218"/>
    </row>
    <row r="4475" spans="1:27" x14ac:dyDescent="0.25">
      <c r="A4475" s="432"/>
      <c r="B4475" s="433"/>
      <c r="C4475" s="432"/>
      <c r="D4475" s="430"/>
      <c r="E4475" s="120">
        <v>600</v>
      </c>
      <c r="F4475" s="133" t="s">
        <v>9957</v>
      </c>
      <c r="G4475" s="435"/>
      <c r="H4475" s="438"/>
      <c r="I4475" s="438"/>
      <c r="J4475" s="438"/>
      <c r="K4475" s="437"/>
      <c r="L4475" s="187">
        <v>1950</v>
      </c>
      <c r="N4475" s="91">
        <f t="shared" si="911"/>
        <v>1170</v>
      </c>
      <c r="O4475" s="411">
        <f t="shared" si="905"/>
        <v>-1170</v>
      </c>
      <c r="P4475" s="132" t="s">
        <v>183</v>
      </c>
      <c r="Q4475" s="232"/>
      <c r="R4475" s="411"/>
      <c r="T4475" s="441"/>
      <c r="U4475" s="447"/>
      <c r="V4475" s="133" t="s">
        <v>9967</v>
      </c>
      <c r="AA4475" s="218"/>
    </row>
    <row r="4476" spans="1:27" x14ac:dyDescent="0.25">
      <c r="A4476" s="420"/>
      <c r="B4476" s="422"/>
      <c r="C4476" s="420"/>
      <c r="D4476" s="431"/>
      <c r="E4476" s="120">
        <v>915</v>
      </c>
      <c r="F4476" s="133" t="s">
        <v>9969</v>
      </c>
      <c r="G4476" s="436"/>
      <c r="H4476" s="428"/>
      <c r="I4476" s="428"/>
      <c r="J4476" s="428"/>
      <c r="K4476" s="426"/>
      <c r="L4476" s="187">
        <v>770</v>
      </c>
      <c r="M4476" s="187">
        <v>143.01</v>
      </c>
      <c r="N4476" s="91">
        <f t="shared" si="911"/>
        <v>847.56000000000006</v>
      </c>
      <c r="O4476" s="411">
        <f t="shared" si="905"/>
        <v>-847.56000000000006</v>
      </c>
      <c r="P4476" s="132" t="s">
        <v>313</v>
      </c>
      <c r="Q4476" s="232"/>
      <c r="R4476" s="411"/>
      <c r="T4476" s="172" t="s">
        <v>875</v>
      </c>
      <c r="U4476" s="259">
        <v>5010663073</v>
      </c>
      <c r="V4476" s="133" t="s">
        <v>9970</v>
      </c>
      <c r="AA4476" s="218"/>
    </row>
    <row r="4477" spans="1:27" x14ac:dyDescent="0.25">
      <c r="A4477" s="419">
        <v>3003484</v>
      </c>
      <c r="B4477" s="421">
        <v>42583</v>
      </c>
      <c r="C4477" s="419" t="s">
        <v>141</v>
      </c>
      <c r="D4477" s="417" t="s">
        <v>9971</v>
      </c>
      <c r="E4477" s="120">
        <v>1000</v>
      </c>
      <c r="F4477" s="133" t="s">
        <v>688</v>
      </c>
      <c r="G4477" s="434" t="s">
        <v>7486</v>
      </c>
      <c r="H4477" s="427">
        <v>2687</v>
      </c>
      <c r="I4477" s="427">
        <v>0</v>
      </c>
      <c r="J4477" s="425">
        <f>-((H4477*0.0325)+0.3)</f>
        <v>-87.627499999999998</v>
      </c>
      <c r="K4477" s="425">
        <f t="shared" ref="K4477" si="912">SUM(H4477:J4477)</f>
        <v>2599.3724999999999</v>
      </c>
      <c r="L4477" s="187">
        <v>820</v>
      </c>
      <c r="M4477" s="158"/>
      <c r="N4477" s="91">
        <f t="shared" si="911"/>
        <v>820</v>
      </c>
      <c r="O4477" s="411">
        <f t="shared" si="905"/>
        <v>1779.3724999999999</v>
      </c>
      <c r="P4477" s="132" t="s">
        <v>66</v>
      </c>
      <c r="Q4477" s="232"/>
      <c r="R4477" s="411"/>
      <c r="T4477" s="439" t="s">
        <v>1852</v>
      </c>
      <c r="U4477" s="444">
        <v>12006581</v>
      </c>
      <c r="W4477" s="153" t="s">
        <v>9972</v>
      </c>
      <c r="AA4477" s="218">
        <v>10</v>
      </c>
    </row>
    <row r="4478" spans="1:27" x14ac:dyDescent="0.25">
      <c r="A4478" s="432"/>
      <c r="B4478" s="433"/>
      <c r="C4478" s="432"/>
      <c r="D4478" s="454"/>
      <c r="E4478" s="120">
        <v>500</v>
      </c>
      <c r="F4478" s="133" t="s">
        <v>307</v>
      </c>
      <c r="G4478" s="435"/>
      <c r="H4478" s="438"/>
      <c r="I4478" s="438"/>
      <c r="J4478" s="437"/>
      <c r="K4478" s="437"/>
      <c r="L4478" s="187">
        <v>710</v>
      </c>
      <c r="M4478" s="158"/>
      <c r="N4478" s="91">
        <f t="shared" si="911"/>
        <v>355</v>
      </c>
      <c r="O4478" s="411">
        <f t="shared" si="905"/>
        <v>-355</v>
      </c>
      <c r="P4478" s="132" t="s">
        <v>66</v>
      </c>
      <c r="Q4478" s="232"/>
      <c r="R4478" s="411"/>
      <c r="T4478" s="440"/>
      <c r="U4478" s="539"/>
      <c r="AA4478" s="218"/>
    </row>
    <row r="4479" spans="1:27" x14ac:dyDescent="0.25">
      <c r="A4479" s="432"/>
      <c r="B4479" s="433"/>
      <c r="C4479" s="432"/>
      <c r="D4479" s="454"/>
      <c r="E4479" s="120">
        <v>1000</v>
      </c>
      <c r="F4479" s="133" t="s">
        <v>983</v>
      </c>
      <c r="G4479" s="435"/>
      <c r="H4479" s="438"/>
      <c r="I4479" s="438"/>
      <c r="J4479" s="437"/>
      <c r="K4479" s="437"/>
      <c r="L4479" s="187">
        <v>300</v>
      </c>
      <c r="M4479" s="158"/>
      <c r="N4479" s="91">
        <f t="shared" si="911"/>
        <v>300</v>
      </c>
      <c r="O4479" s="411">
        <f t="shared" si="905"/>
        <v>-300</v>
      </c>
      <c r="P4479" s="132" t="s">
        <v>66</v>
      </c>
      <c r="Q4479" s="232"/>
      <c r="R4479" s="411"/>
      <c r="T4479" s="440"/>
      <c r="U4479" s="539"/>
      <c r="AA4479" s="218"/>
    </row>
    <row r="4480" spans="1:27" x14ac:dyDescent="0.25">
      <c r="A4480" s="432"/>
      <c r="B4480" s="433"/>
      <c r="C4480" s="432"/>
      <c r="D4480" s="454"/>
      <c r="E4480" s="120">
        <v>250</v>
      </c>
      <c r="F4480" s="133" t="s">
        <v>1137</v>
      </c>
      <c r="G4480" s="435"/>
      <c r="H4480" s="438"/>
      <c r="I4480" s="438"/>
      <c r="J4480" s="437"/>
      <c r="K4480" s="437"/>
      <c r="L4480" s="187">
        <v>220</v>
      </c>
      <c r="M4480" s="158">
        <v>0</v>
      </c>
      <c r="N4480" s="91">
        <f t="shared" si="911"/>
        <v>55</v>
      </c>
      <c r="O4480" s="411">
        <f t="shared" si="905"/>
        <v>-55</v>
      </c>
      <c r="P4480" s="132" t="s">
        <v>66</v>
      </c>
      <c r="Q4480" s="232"/>
      <c r="R4480" s="411"/>
      <c r="T4480" s="441"/>
      <c r="U4480" s="445"/>
      <c r="AA4480" s="218"/>
    </row>
    <row r="4481" spans="1:27" x14ac:dyDescent="0.25">
      <c r="A4481" s="432"/>
      <c r="B4481" s="433"/>
      <c r="C4481" s="432"/>
      <c r="D4481" s="454"/>
      <c r="E4481" s="120">
        <v>500</v>
      </c>
      <c r="F4481" s="133" t="s">
        <v>9973</v>
      </c>
      <c r="G4481" s="435"/>
      <c r="H4481" s="438"/>
      <c r="I4481" s="438"/>
      <c r="J4481" s="437"/>
      <c r="K4481" s="437"/>
      <c r="L4481" s="187">
        <v>75</v>
      </c>
      <c r="M4481" s="187">
        <v>9.34</v>
      </c>
      <c r="N4481" s="91">
        <f t="shared" si="911"/>
        <v>46.84</v>
      </c>
      <c r="O4481" s="411">
        <f t="shared" si="905"/>
        <v>-46.84</v>
      </c>
      <c r="P4481" s="132" t="s">
        <v>235</v>
      </c>
      <c r="Q4481" s="232"/>
      <c r="R4481" s="411"/>
      <c r="T4481" s="439" t="s">
        <v>145</v>
      </c>
      <c r="U4481" s="446" t="s">
        <v>9974</v>
      </c>
      <c r="V4481" s="133" t="s">
        <v>9975</v>
      </c>
      <c r="AA4481" s="218"/>
    </row>
    <row r="4482" spans="1:27" x14ac:dyDescent="0.25">
      <c r="A4482" s="432"/>
      <c r="B4482" s="433"/>
      <c r="C4482" s="432"/>
      <c r="D4482" s="454"/>
      <c r="E4482" s="120">
        <v>500</v>
      </c>
      <c r="F4482" s="133" t="s">
        <v>9976</v>
      </c>
      <c r="G4482" s="435"/>
      <c r="H4482" s="438"/>
      <c r="I4482" s="438"/>
      <c r="J4482" s="437"/>
      <c r="K4482" s="437"/>
      <c r="L4482" s="187">
        <v>75</v>
      </c>
      <c r="M4482" s="187"/>
      <c r="N4482" s="91">
        <f t="shared" si="911"/>
        <v>37.5</v>
      </c>
      <c r="O4482" s="411">
        <f t="shared" si="905"/>
        <v>-37.5</v>
      </c>
      <c r="P4482" s="132" t="s">
        <v>235</v>
      </c>
      <c r="Q4482" s="232"/>
      <c r="R4482" s="411"/>
      <c r="T4482" s="440"/>
      <c r="U4482" s="447"/>
      <c r="V4482" s="133" t="s">
        <v>9975</v>
      </c>
      <c r="AA4482" s="218"/>
    </row>
    <row r="4483" spans="1:27" x14ac:dyDescent="0.25">
      <c r="A4483" s="432"/>
      <c r="B4483" s="433"/>
      <c r="C4483" s="432"/>
      <c r="D4483" s="454"/>
      <c r="E4483" s="120">
        <v>500</v>
      </c>
      <c r="F4483" s="133" t="s">
        <v>9977</v>
      </c>
      <c r="G4483" s="435"/>
      <c r="H4483" s="438"/>
      <c r="I4483" s="438"/>
      <c r="J4483" s="437"/>
      <c r="K4483" s="437"/>
      <c r="L4483" s="187">
        <v>75</v>
      </c>
      <c r="M4483" s="187">
        <v>17.940000000000001</v>
      </c>
      <c r="N4483" s="91">
        <f t="shared" si="911"/>
        <v>55.44</v>
      </c>
      <c r="O4483" s="411">
        <f t="shared" si="905"/>
        <v>-55.44</v>
      </c>
      <c r="P4483" s="132" t="s">
        <v>235</v>
      </c>
      <c r="Q4483" s="232"/>
      <c r="R4483" s="411"/>
      <c r="T4483" s="440"/>
      <c r="U4483" s="446" t="s">
        <v>9978</v>
      </c>
      <c r="V4483" s="133" t="s">
        <v>9975</v>
      </c>
      <c r="AA4483" s="218"/>
    </row>
    <row r="4484" spans="1:27" x14ac:dyDescent="0.25">
      <c r="A4484" s="420"/>
      <c r="B4484" s="422"/>
      <c r="C4484" s="420"/>
      <c r="D4484" s="418"/>
      <c r="E4484" s="120">
        <v>500</v>
      </c>
      <c r="F4484" s="133" t="s">
        <v>9979</v>
      </c>
      <c r="G4484" s="436"/>
      <c r="H4484" s="428"/>
      <c r="I4484" s="428"/>
      <c r="J4484" s="426"/>
      <c r="K4484" s="426"/>
      <c r="L4484" s="187">
        <v>75</v>
      </c>
      <c r="M4484" s="187"/>
      <c r="N4484" s="91">
        <f t="shared" si="911"/>
        <v>37.5</v>
      </c>
      <c r="O4484" s="411">
        <f t="shared" ref="O4484:O4547" si="913">K4484-N4484</f>
        <v>-37.5</v>
      </c>
      <c r="P4484" s="132" t="s">
        <v>235</v>
      </c>
      <c r="Q4484" s="232"/>
      <c r="R4484" s="411"/>
      <c r="T4484" s="441"/>
      <c r="U4484" s="447"/>
      <c r="V4484" s="133" t="s">
        <v>9975</v>
      </c>
      <c r="AA4484" s="218"/>
    </row>
    <row r="4485" spans="1:27" ht="24" x14ac:dyDescent="0.25">
      <c r="A4485" s="405">
        <v>3003485</v>
      </c>
      <c r="B4485" s="406">
        <v>42583</v>
      </c>
      <c r="C4485" s="405" t="s">
        <v>327</v>
      </c>
      <c r="D4485" s="401" t="s">
        <v>9980</v>
      </c>
      <c r="E4485" s="120">
        <v>320</v>
      </c>
      <c r="F4485" s="133" t="s">
        <v>247</v>
      </c>
      <c r="G4485" s="404" t="s">
        <v>7486</v>
      </c>
      <c r="H4485" s="411">
        <v>340</v>
      </c>
      <c r="I4485" s="411">
        <v>0</v>
      </c>
      <c r="J4485" s="258">
        <f>-((H4485*0.022)+0.3)</f>
        <v>-7.7799999999999994</v>
      </c>
      <c r="K4485" s="90">
        <f t="shared" ref="K4485:K4504" si="914">SUM(H4485:J4485)</f>
        <v>332.22</v>
      </c>
      <c r="L4485" s="131">
        <v>480</v>
      </c>
      <c r="M4485" s="187">
        <v>60.31</v>
      </c>
      <c r="N4485" s="91">
        <f t="shared" si="911"/>
        <v>213.91</v>
      </c>
      <c r="O4485" s="411">
        <f t="shared" si="913"/>
        <v>118.31000000000003</v>
      </c>
      <c r="P4485" s="132" t="s">
        <v>52</v>
      </c>
      <c r="Q4485" s="232"/>
      <c r="R4485" s="411"/>
      <c r="T4485" s="134" t="s">
        <v>145</v>
      </c>
      <c r="U4485" s="267" t="s">
        <v>9981</v>
      </c>
      <c r="W4485" s="153" t="s">
        <v>9982</v>
      </c>
      <c r="AA4485" s="218"/>
    </row>
    <row r="4486" spans="1:27" ht="24" x14ac:dyDescent="0.25">
      <c r="A4486" s="405">
        <v>3003486</v>
      </c>
      <c r="B4486" s="406">
        <v>42583</v>
      </c>
      <c r="C4486" s="405" t="s">
        <v>63</v>
      </c>
      <c r="D4486" s="401" t="s">
        <v>9983</v>
      </c>
      <c r="E4486" s="120">
        <v>250</v>
      </c>
      <c r="F4486" s="133" t="s">
        <v>9984</v>
      </c>
      <c r="G4486" s="404" t="s">
        <v>7486</v>
      </c>
      <c r="H4486" s="411">
        <v>260</v>
      </c>
      <c r="I4486" s="411">
        <v>0</v>
      </c>
      <c r="J4486" s="258">
        <f>-((H4486*0.022)+0.3)</f>
        <v>-6.02</v>
      </c>
      <c r="K4486" s="90">
        <f t="shared" si="914"/>
        <v>253.98</v>
      </c>
      <c r="L4486" s="187">
        <v>400</v>
      </c>
      <c r="N4486" s="91">
        <f t="shared" si="911"/>
        <v>100</v>
      </c>
      <c r="O4486" s="411">
        <f t="shared" si="913"/>
        <v>153.97999999999999</v>
      </c>
      <c r="P4486" s="132" t="s">
        <v>235</v>
      </c>
      <c r="Q4486" s="232"/>
      <c r="R4486" s="411"/>
      <c r="T4486" s="134" t="s">
        <v>204</v>
      </c>
      <c r="U4486" s="266" t="s">
        <v>9985</v>
      </c>
      <c r="W4486" s="153" t="s">
        <v>9986</v>
      </c>
      <c r="AA4486" s="218"/>
    </row>
    <row r="4487" spans="1:27" ht="24" x14ac:dyDescent="0.25">
      <c r="A4487" s="405">
        <v>3003487</v>
      </c>
      <c r="B4487" s="406">
        <v>42584</v>
      </c>
      <c r="C4487" s="405" t="s">
        <v>78</v>
      </c>
      <c r="D4487" s="401" t="s">
        <v>9987</v>
      </c>
      <c r="E4487" s="120">
        <v>60</v>
      </c>
      <c r="F4487" s="133" t="s">
        <v>431</v>
      </c>
      <c r="G4487" s="404" t="s">
        <v>7486</v>
      </c>
      <c r="H4487" s="411">
        <v>141</v>
      </c>
      <c r="I4487" s="411">
        <v>0</v>
      </c>
      <c r="J4487" s="258">
        <f t="shared" ref="J4487" si="915">-((H4487*0.019)+0.3)</f>
        <v>-2.9789999999999996</v>
      </c>
      <c r="K4487" s="90">
        <f t="shared" si="914"/>
        <v>138.02099999999999</v>
      </c>
      <c r="L4487" s="131">
        <v>990</v>
      </c>
      <c r="M4487" s="187">
        <v>32.94</v>
      </c>
      <c r="N4487" s="91">
        <f t="shared" si="911"/>
        <v>92.34</v>
      </c>
      <c r="O4487" s="411">
        <f t="shared" si="913"/>
        <v>45.680999999999983</v>
      </c>
      <c r="P4487" s="132" t="s">
        <v>52</v>
      </c>
      <c r="Q4487" s="232"/>
      <c r="R4487" s="411"/>
      <c r="T4487" s="134" t="s">
        <v>145</v>
      </c>
      <c r="U4487" s="267" t="s">
        <v>9988</v>
      </c>
      <c r="W4487" s="153" t="s">
        <v>9989</v>
      </c>
      <c r="AA4487" s="218"/>
    </row>
    <row r="4488" spans="1:27" ht="24" customHeight="1" x14ac:dyDescent="0.25">
      <c r="A4488" s="419">
        <v>3003488</v>
      </c>
      <c r="B4488" s="421">
        <v>42584</v>
      </c>
      <c r="C4488" s="419" t="s">
        <v>63</v>
      </c>
      <c r="D4488" s="417" t="s">
        <v>8857</v>
      </c>
      <c r="E4488" s="120">
        <v>500</v>
      </c>
      <c r="F4488" s="133" t="s">
        <v>9990</v>
      </c>
      <c r="G4488" s="434" t="s">
        <v>7486</v>
      </c>
      <c r="H4488" s="427">
        <v>2200</v>
      </c>
      <c r="I4488" s="427">
        <v>0</v>
      </c>
      <c r="J4488" s="498">
        <f>-((H4488*0.022)+0.3)</f>
        <v>-48.699999999999996</v>
      </c>
      <c r="K4488" s="425">
        <f t="shared" si="914"/>
        <v>2151.3000000000002</v>
      </c>
      <c r="L4488" s="187">
        <v>1000</v>
      </c>
      <c r="M4488" s="158">
        <v>0</v>
      </c>
      <c r="N4488" s="91">
        <f t="shared" si="911"/>
        <v>500</v>
      </c>
      <c r="O4488" s="411">
        <f t="shared" si="913"/>
        <v>1651.3000000000002</v>
      </c>
      <c r="P4488" s="132" t="s">
        <v>183</v>
      </c>
      <c r="Q4488" s="232"/>
      <c r="R4488" s="411"/>
      <c r="T4488" s="439" t="s">
        <v>8218</v>
      </c>
      <c r="U4488" s="444" t="s">
        <v>8218</v>
      </c>
      <c r="W4488" s="153" t="s">
        <v>9991</v>
      </c>
      <c r="AA4488" s="473">
        <v>10</v>
      </c>
    </row>
    <row r="4489" spans="1:27" x14ac:dyDescent="0.25">
      <c r="A4489" s="420"/>
      <c r="B4489" s="422"/>
      <c r="C4489" s="420"/>
      <c r="D4489" s="418"/>
      <c r="E4489" s="120">
        <v>500</v>
      </c>
      <c r="F4489" s="133" t="s">
        <v>9371</v>
      </c>
      <c r="G4489" s="436"/>
      <c r="H4489" s="428"/>
      <c r="I4489" s="428"/>
      <c r="J4489" s="499"/>
      <c r="K4489" s="426"/>
      <c r="L4489" s="187">
        <v>2580</v>
      </c>
      <c r="M4489" s="158">
        <v>0</v>
      </c>
      <c r="N4489" s="91">
        <f t="shared" si="911"/>
        <v>1290</v>
      </c>
      <c r="O4489" s="411">
        <f t="shared" si="913"/>
        <v>-1290</v>
      </c>
      <c r="P4489" s="132" t="s">
        <v>183</v>
      </c>
      <c r="Q4489" s="232"/>
      <c r="R4489" s="411"/>
      <c r="T4489" s="441"/>
      <c r="U4489" s="445"/>
      <c r="AA4489" s="474"/>
    </row>
    <row r="4490" spans="1:27" ht="24" x14ac:dyDescent="0.25">
      <c r="A4490" s="405">
        <v>3003489</v>
      </c>
      <c r="B4490" s="406">
        <v>42584</v>
      </c>
      <c r="C4490" s="405" t="s">
        <v>5682</v>
      </c>
      <c r="D4490" s="401" t="s">
        <v>9992</v>
      </c>
      <c r="E4490" s="120">
        <v>500</v>
      </c>
      <c r="F4490" s="133" t="s">
        <v>9993</v>
      </c>
      <c r="G4490" s="404" t="s">
        <v>7486</v>
      </c>
      <c r="H4490" s="411">
        <v>349.13</v>
      </c>
      <c r="I4490" s="89">
        <f t="shared" ref="I4490:I4492" si="916">-(H4490*0.09)</f>
        <v>-31.421699999999998</v>
      </c>
      <c r="J4490" s="258">
        <f t="shared" ref="J4490:J4492" si="917">-((H4490*0.019)+0.3)</f>
        <v>-6.9334699999999998</v>
      </c>
      <c r="K4490" s="90">
        <f t="shared" si="914"/>
        <v>310.77483000000001</v>
      </c>
      <c r="M4490" s="187">
        <v>30.99</v>
      </c>
      <c r="N4490" s="91">
        <f t="shared" si="911"/>
        <v>30.99</v>
      </c>
      <c r="O4490" s="411">
        <f t="shared" si="913"/>
        <v>279.78483</v>
      </c>
      <c r="P4490" s="132" t="s">
        <v>52</v>
      </c>
      <c r="Q4490" s="232"/>
      <c r="R4490" s="411"/>
      <c r="T4490" s="134" t="s">
        <v>145</v>
      </c>
      <c r="U4490" s="267" t="s">
        <v>9994</v>
      </c>
      <c r="AA4490" s="218"/>
    </row>
    <row r="4491" spans="1:27" ht="24" x14ac:dyDescent="0.25">
      <c r="A4491" s="405">
        <v>3003490</v>
      </c>
      <c r="B4491" s="406">
        <v>42584</v>
      </c>
      <c r="C4491" s="405" t="s">
        <v>5682</v>
      </c>
      <c r="D4491" s="401" t="s">
        <v>9995</v>
      </c>
      <c r="E4491" s="120">
        <v>195</v>
      </c>
      <c r="F4491" s="133" t="s">
        <v>222</v>
      </c>
      <c r="G4491" s="404" t="s">
        <v>7486</v>
      </c>
      <c r="H4491" s="411">
        <v>318.14999999999998</v>
      </c>
      <c r="I4491" s="89">
        <f t="shared" si="916"/>
        <v>-28.633499999999998</v>
      </c>
      <c r="J4491" s="258">
        <f t="shared" si="917"/>
        <v>-6.3448499999999992</v>
      </c>
      <c r="K4491" s="90">
        <f t="shared" si="914"/>
        <v>283.17164999999994</v>
      </c>
      <c r="L4491" s="131">
        <v>930</v>
      </c>
      <c r="M4491" s="187">
        <v>53.85</v>
      </c>
      <c r="N4491" s="91">
        <f t="shared" si="911"/>
        <v>235.2</v>
      </c>
      <c r="O4491" s="411">
        <f t="shared" si="913"/>
        <v>47.971649999999954</v>
      </c>
      <c r="P4491" s="132" t="s">
        <v>52</v>
      </c>
      <c r="Q4491" s="232"/>
      <c r="R4491" s="411"/>
      <c r="T4491" s="134" t="s">
        <v>145</v>
      </c>
      <c r="U4491" s="267" t="s">
        <v>9996</v>
      </c>
      <c r="AA4491" s="218"/>
    </row>
    <row r="4492" spans="1:27" ht="24" x14ac:dyDescent="0.25">
      <c r="A4492" s="405">
        <v>3003491</v>
      </c>
      <c r="B4492" s="406">
        <v>42584</v>
      </c>
      <c r="C4492" s="405" t="s">
        <v>5682</v>
      </c>
      <c r="D4492" s="401" t="s">
        <v>9997</v>
      </c>
      <c r="E4492" s="120">
        <v>100</v>
      </c>
      <c r="F4492" s="133" t="s">
        <v>288</v>
      </c>
      <c r="G4492" s="404" t="s">
        <v>7486</v>
      </c>
      <c r="H4492" s="411">
        <v>195.25</v>
      </c>
      <c r="I4492" s="89">
        <f t="shared" si="916"/>
        <v>-17.572499999999998</v>
      </c>
      <c r="J4492" s="258">
        <f t="shared" si="917"/>
        <v>-4.0097500000000004</v>
      </c>
      <c r="K4492" s="90">
        <f t="shared" si="914"/>
        <v>173.66775000000001</v>
      </c>
      <c r="L4492" s="131">
        <v>950</v>
      </c>
      <c r="M4492" s="187">
        <v>36.43</v>
      </c>
      <c r="N4492" s="91">
        <f t="shared" si="911"/>
        <v>131.43</v>
      </c>
      <c r="O4492" s="411">
        <f t="shared" si="913"/>
        <v>42.237750000000005</v>
      </c>
      <c r="P4492" s="132" t="s">
        <v>52</v>
      </c>
      <c r="Q4492" s="232"/>
      <c r="R4492" s="411"/>
      <c r="T4492" s="134" t="s">
        <v>145</v>
      </c>
      <c r="U4492" s="267" t="s">
        <v>9998</v>
      </c>
      <c r="AA4492" s="218"/>
    </row>
    <row r="4493" spans="1:27" x14ac:dyDescent="0.25">
      <c r="A4493" s="419">
        <v>3003492</v>
      </c>
      <c r="B4493" s="421">
        <v>42584</v>
      </c>
      <c r="C4493" s="419" t="s">
        <v>237</v>
      </c>
      <c r="D4493" s="417" t="s">
        <v>9999</v>
      </c>
      <c r="E4493" s="120">
        <v>25</v>
      </c>
      <c r="F4493" s="133" t="s">
        <v>2483</v>
      </c>
      <c r="G4493" s="434" t="s">
        <v>7486</v>
      </c>
      <c r="H4493" s="427">
        <v>155</v>
      </c>
      <c r="I4493" s="452">
        <f>-(H4493*0.15)</f>
        <v>-23.25</v>
      </c>
      <c r="J4493" s="427">
        <v>0</v>
      </c>
      <c r="K4493" s="425">
        <f t="shared" si="914"/>
        <v>131.75</v>
      </c>
      <c r="L4493" s="187">
        <v>1442</v>
      </c>
      <c r="M4493" s="187">
        <v>19.22</v>
      </c>
      <c r="N4493" s="91">
        <f t="shared" si="911"/>
        <v>55.27</v>
      </c>
      <c r="O4493" s="411">
        <f t="shared" si="913"/>
        <v>76.47999999999999</v>
      </c>
      <c r="P4493" s="132" t="s">
        <v>601</v>
      </c>
      <c r="Q4493" s="232"/>
      <c r="R4493" s="411"/>
      <c r="T4493" s="439" t="s">
        <v>145</v>
      </c>
      <c r="U4493" s="446" t="s">
        <v>10000</v>
      </c>
      <c r="AA4493" s="218"/>
    </row>
    <row r="4494" spans="1:27" x14ac:dyDescent="0.25">
      <c r="A4494" s="420"/>
      <c r="B4494" s="422"/>
      <c r="C4494" s="420"/>
      <c r="D4494" s="418"/>
      <c r="E4494" s="120">
        <v>25</v>
      </c>
      <c r="F4494" s="133" t="s">
        <v>3345</v>
      </c>
      <c r="G4494" s="436"/>
      <c r="H4494" s="428"/>
      <c r="I4494" s="453"/>
      <c r="J4494" s="428"/>
      <c r="K4494" s="426"/>
      <c r="L4494" s="187">
        <v>1442</v>
      </c>
      <c r="N4494" s="91">
        <f t="shared" si="911"/>
        <v>36.050000000000004</v>
      </c>
      <c r="O4494" s="411">
        <f t="shared" si="913"/>
        <v>-36.050000000000004</v>
      </c>
      <c r="P4494" s="132" t="s">
        <v>601</v>
      </c>
      <c r="Q4494" s="232"/>
      <c r="R4494" s="411"/>
      <c r="T4494" s="441"/>
      <c r="U4494" s="447"/>
      <c r="AA4494" s="218"/>
    </row>
    <row r="4495" spans="1:27" x14ac:dyDescent="0.25">
      <c r="A4495" s="405">
        <v>3003493</v>
      </c>
      <c r="B4495" s="406">
        <v>42584</v>
      </c>
      <c r="C4495" s="405" t="s">
        <v>237</v>
      </c>
      <c r="D4495" s="401" t="s">
        <v>10001</v>
      </c>
      <c r="E4495" s="120">
        <v>1000</v>
      </c>
      <c r="F4495" s="133" t="s">
        <v>1702</v>
      </c>
      <c r="G4495" s="404" t="s">
        <v>7486</v>
      </c>
      <c r="H4495" s="411">
        <v>249</v>
      </c>
      <c r="I4495" s="397">
        <f t="shared" ref="I4495:I4500" si="918">-(H4495*0.15)</f>
        <v>-37.35</v>
      </c>
      <c r="J4495" s="411">
        <v>0</v>
      </c>
      <c r="K4495" s="90">
        <f t="shared" si="914"/>
        <v>211.65</v>
      </c>
      <c r="L4495" s="131">
        <v>136.11000000000001</v>
      </c>
      <c r="N4495" s="91">
        <f t="shared" si="911"/>
        <v>136.11000000000001</v>
      </c>
      <c r="O4495" s="411">
        <f t="shared" si="913"/>
        <v>75.539999999999992</v>
      </c>
      <c r="P4495" s="132" t="s">
        <v>42</v>
      </c>
      <c r="Q4495" s="232"/>
      <c r="R4495" s="411"/>
      <c r="T4495" s="134" t="s">
        <v>314</v>
      </c>
      <c r="U4495" s="267" t="s">
        <v>10002</v>
      </c>
      <c r="AA4495" s="218"/>
    </row>
    <row r="4496" spans="1:27" ht="24" x14ac:dyDescent="0.25">
      <c r="A4496" s="405">
        <v>3003494</v>
      </c>
      <c r="B4496" s="406">
        <v>42584</v>
      </c>
      <c r="C4496" s="405" t="s">
        <v>237</v>
      </c>
      <c r="D4496" s="401" t="s">
        <v>10003</v>
      </c>
      <c r="E4496" s="120">
        <v>100</v>
      </c>
      <c r="F4496" s="133" t="s">
        <v>161</v>
      </c>
      <c r="G4496" s="404" t="s">
        <v>7486</v>
      </c>
      <c r="H4496" s="411">
        <v>260</v>
      </c>
      <c r="I4496" s="397">
        <f t="shared" si="918"/>
        <v>-39</v>
      </c>
      <c r="J4496" s="411">
        <v>0</v>
      </c>
      <c r="K4496" s="90">
        <f t="shared" si="914"/>
        <v>221</v>
      </c>
      <c r="L4496" s="131">
        <v>1322</v>
      </c>
      <c r="M4496" s="187">
        <v>26.45</v>
      </c>
      <c r="N4496" s="91">
        <f t="shared" si="911"/>
        <v>158.65</v>
      </c>
      <c r="O4496" s="411">
        <f t="shared" si="913"/>
        <v>62.349999999999994</v>
      </c>
      <c r="P4496" s="132" t="s">
        <v>52</v>
      </c>
      <c r="Q4496" s="232"/>
      <c r="R4496" s="411"/>
      <c r="T4496" s="134" t="s">
        <v>145</v>
      </c>
      <c r="U4496" s="267" t="s">
        <v>10004</v>
      </c>
      <c r="AA4496" s="218"/>
    </row>
    <row r="4497" spans="1:27" ht="24" x14ac:dyDescent="0.25">
      <c r="A4497" s="405">
        <v>3003495</v>
      </c>
      <c r="B4497" s="406">
        <v>42584</v>
      </c>
      <c r="C4497" s="405" t="s">
        <v>237</v>
      </c>
      <c r="D4497" s="401" t="s">
        <v>10005</v>
      </c>
      <c r="E4497" s="120">
        <v>300</v>
      </c>
      <c r="F4497" s="133" t="s">
        <v>247</v>
      </c>
      <c r="G4497" s="404" t="s">
        <v>7486</v>
      </c>
      <c r="H4497" s="411">
        <v>282.89</v>
      </c>
      <c r="I4497" s="397">
        <f t="shared" si="918"/>
        <v>-42.433499999999995</v>
      </c>
      <c r="J4497" s="411">
        <v>0</v>
      </c>
      <c r="K4497" s="90">
        <f t="shared" si="914"/>
        <v>240.45650000000001</v>
      </c>
      <c r="L4497" s="131">
        <v>480</v>
      </c>
      <c r="M4497" s="187">
        <v>48.77</v>
      </c>
      <c r="N4497" s="91">
        <f t="shared" si="911"/>
        <v>192.77</v>
      </c>
      <c r="O4497" s="411">
        <f t="shared" si="913"/>
        <v>47.686499999999995</v>
      </c>
      <c r="P4497" s="132" t="s">
        <v>52</v>
      </c>
      <c r="Q4497" s="232"/>
      <c r="R4497" s="411"/>
      <c r="T4497" s="134" t="s">
        <v>145</v>
      </c>
      <c r="U4497" s="267" t="s">
        <v>10006</v>
      </c>
      <c r="AA4497" s="218"/>
    </row>
    <row r="4498" spans="1:27" ht="24" x14ac:dyDescent="0.25">
      <c r="A4498" s="405">
        <v>3003496</v>
      </c>
      <c r="B4498" s="406">
        <v>42584</v>
      </c>
      <c r="C4498" s="405" t="s">
        <v>237</v>
      </c>
      <c r="D4498" s="401" t="s">
        <v>10007</v>
      </c>
      <c r="E4498" s="120">
        <v>300</v>
      </c>
      <c r="F4498" s="133" t="s">
        <v>247</v>
      </c>
      <c r="G4498" s="404" t="s">
        <v>7486</v>
      </c>
      <c r="H4498" s="411">
        <v>282.89</v>
      </c>
      <c r="I4498" s="397">
        <f t="shared" si="918"/>
        <v>-42.433499999999995</v>
      </c>
      <c r="J4498" s="411">
        <v>0</v>
      </c>
      <c r="K4498" s="90">
        <f t="shared" si="914"/>
        <v>240.45650000000001</v>
      </c>
      <c r="L4498" s="131">
        <v>480</v>
      </c>
      <c r="M4498" s="187">
        <v>58.36</v>
      </c>
      <c r="N4498" s="91">
        <f t="shared" si="911"/>
        <v>202.36</v>
      </c>
      <c r="O4498" s="411">
        <f t="shared" si="913"/>
        <v>38.096499999999992</v>
      </c>
      <c r="P4498" s="132" t="s">
        <v>52</v>
      </c>
      <c r="Q4498" s="232"/>
      <c r="R4498" s="411"/>
      <c r="T4498" s="134" t="s">
        <v>145</v>
      </c>
      <c r="U4498" s="267" t="s">
        <v>10008</v>
      </c>
      <c r="AA4498" s="218"/>
    </row>
    <row r="4499" spans="1:27" ht="24" x14ac:dyDescent="0.25">
      <c r="A4499" s="405">
        <v>3003497</v>
      </c>
      <c r="B4499" s="406">
        <v>42584</v>
      </c>
      <c r="C4499" s="405" t="s">
        <v>237</v>
      </c>
      <c r="D4499" s="401" t="s">
        <v>10009</v>
      </c>
      <c r="E4499" s="120">
        <v>250</v>
      </c>
      <c r="F4499" s="133" t="s">
        <v>6793</v>
      </c>
      <c r="G4499" s="404" t="s">
        <v>7486</v>
      </c>
      <c r="H4499" s="411">
        <v>236.61</v>
      </c>
      <c r="I4499" s="397">
        <f t="shared" si="918"/>
        <v>-35.491500000000002</v>
      </c>
      <c r="J4499" s="411">
        <v>0</v>
      </c>
      <c r="K4499" s="90">
        <f t="shared" si="914"/>
        <v>201.11850000000001</v>
      </c>
      <c r="L4499" s="131">
        <v>454.57</v>
      </c>
      <c r="M4499" s="187">
        <v>20.21</v>
      </c>
      <c r="N4499" s="91">
        <f t="shared" si="911"/>
        <v>133.85249999999999</v>
      </c>
      <c r="O4499" s="411">
        <f t="shared" si="913"/>
        <v>67.26600000000002</v>
      </c>
      <c r="P4499" s="132" t="s">
        <v>86</v>
      </c>
      <c r="Q4499" s="232"/>
      <c r="R4499" s="411"/>
      <c r="T4499" s="134" t="s">
        <v>145</v>
      </c>
      <c r="U4499" s="267" t="s">
        <v>10010</v>
      </c>
      <c r="AA4499" s="218"/>
    </row>
    <row r="4500" spans="1:27" ht="24" x14ac:dyDescent="0.25">
      <c r="A4500" s="405">
        <v>3003498</v>
      </c>
      <c r="B4500" s="406">
        <v>42584</v>
      </c>
      <c r="C4500" s="405" t="s">
        <v>237</v>
      </c>
      <c r="D4500" s="401" t="s">
        <v>10011</v>
      </c>
      <c r="E4500" s="120">
        <v>225</v>
      </c>
      <c r="F4500" s="133" t="s">
        <v>247</v>
      </c>
      <c r="G4500" s="404" t="s">
        <v>7486</v>
      </c>
      <c r="H4500" s="411">
        <v>224.76</v>
      </c>
      <c r="I4500" s="397">
        <f t="shared" si="918"/>
        <v>-33.713999999999999</v>
      </c>
      <c r="J4500" s="411">
        <v>0</v>
      </c>
      <c r="K4500" s="90">
        <f t="shared" si="914"/>
        <v>191.04599999999999</v>
      </c>
      <c r="L4500" s="131">
        <v>480</v>
      </c>
      <c r="M4500" s="187">
        <v>45.33</v>
      </c>
      <c r="N4500" s="91">
        <f t="shared" si="911"/>
        <v>153.32999999999998</v>
      </c>
      <c r="O4500" s="411">
        <f t="shared" si="913"/>
        <v>37.716000000000008</v>
      </c>
      <c r="P4500" s="132" t="s">
        <v>52</v>
      </c>
      <c r="Q4500" s="232"/>
      <c r="R4500" s="411"/>
      <c r="T4500" s="134" t="s">
        <v>145</v>
      </c>
      <c r="U4500" s="267" t="s">
        <v>10012</v>
      </c>
      <c r="AA4500" s="218"/>
    </row>
    <row r="4501" spans="1:27" ht="144" x14ac:dyDescent="0.25">
      <c r="A4501" s="405">
        <v>3003499</v>
      </c>
      <c r="B4501" s="406">
        <v>42584</v>
      </c>
      <c r="C4501" s="405" t="s">
        <v>327</v>
      </c>
      <c r="D4501" s="401" t="s">
        <v>7639</v>
      </c>
      <c r="E4501" s="120">
        <v>500</v>
      </c>
      <c r="F4501" s="133" t="s">
        <v>10013</v>
      </c>
      <c r="G4501" s="404" t="s">
        <v>7486</v>
      </c>
      <c r="H4501" s="411">
        <v>1500</v>
      </c>
      <c r="I4501" s="411">
        <v>0</v>
      </c>
      <c r="J4501" s="258">
        <f>-((H4501*0.022)+0.3)</f>
        <v>-33.299999999999997</v>
      </c>
      <c r="K4501" s="90">
        <f t="shared" si="914"/>
        <v>1466.7</v>
      </c>
      <c r="L4501" s="131">
        <v>646</v>
      </c>
      <c r="N4501" s="91">
        <f t="shared" si="911"/>
        <v>323</v>
      </c>
      <c r="O4501" s="411">
        <f t="shared" si="913"/>
        <v>1143.7</v>
      </c>
      <c r="P4501" s="132" t="s">
        <v>10014</v>
      </c>
      <c r="Q4501" s="232"/>
      <c r="R4501" s="411"/>
      <c r="T4501" s="134" t="s">
        <v>204</v>
      </c>
      <c r="U4501" s="266" t="s">
        <v>10015</v>
      </c>
      <c r="W4501" s="153" t="s">
        <v>7641</v>
      </c>
      <c r="AA4501" s="218">
        <v>10</v>
      </c>
    </row>
    <row r="4502" spans="1:27" ht="36" x14ac:dyDescent="0.25">
      <c r="A4502" s="405">
        <v>3003500</v>
      </c>
      <c r="B4502" s="406">
        <v>42584</v>
      </c>
      <c r="C4502" s="405" t="s">
        <v>63</v>
      </c>
      <c r="D4502" s="401" t="s">
        <v>10016</v>
      </c>
      <c r="E4502" s="120">
        <v>250</v>
      </c>
      <c r="F4502" s="133" t="s">
        <v>10017</v>
      </c>
      <c r="G4502" s="404" t="s">
        <v>7486</v>
      </c>
      <c r="H4502" s="411">
        <v>1000</v>
      </c>
      <c r="I4502" s="411">
        <v>0</v>
      </c>
      <c r="J4502" s="258">
        <f>-((H4502*0.022)+0.3)</f>
        <v>-22.3</v>
      </c>
      <c r="K4502" s="90">
        <f t="shared" si="914"/>
        <v>977.7</v>
      </c>
      <c r="L4502" s="187">
        <v>2250</v>
      </c>
      <c r="M4502" s="131">
        <v>0</v>
      </c>
      <c r="N4502" s="91">
        <f t="shared" si="911"/>
        <v>562.5</v>
      </c>
      <c r="O4502" s="411">
        <f t="shared" si="913"/>
        <v>415.20000000000005</v>
      </c>
      <c r="P4502" s="132" t="s">
        <v>59</v>
      </c>
      <c r="Q4502" s="232"/>
      <c r="R4502" s="411"/>
      <c r="T4502" s="134" t="s">
        <v>60</v>
      </c>
      <c r="U4502" s="267" t="s">
        <v>10018</v>
      </c>
      <c r="W4502" s="153" t="s">
        <v>10019</v>
      </c>
      <c r="AA4502" s="218">
        <v>10</v>
      </c>
    </row>
    <row r="4503" spans="1:27" ht="36" x14ac:dyDescent="0.25">
      <c r="A4503" s="405">
        <v>3003501</v>
      </c>
      <c r="B4503" s="406">
        <v>42584</v>
      </c>
      <c r="C4503" s="405" t="s">
        <v>327</v>
      </c>
      <c r="D4503" s="401" t="s">
        <v>10020</v>
      </c>
      <c r="E4503" s="120">
        <v>1250</v>
      </c>
      <c r="F4503" s="119" t="s">
        <v>10021</v>
      </c>
      <c r="G4503" s="404" t="s">
        <v>7486</v>
      </c>
      <c r="H4503" s="411">
        <v>1437.5</v>
      </c>
      <c r="I4503" s="411">
        <v>0</v>
      </c>
      <c r="J4503" s="258">
        <f>-((H4503*0.022)+0.3)</f>
        <v>-31.924999999999997</v>
      </c>
      <c r="K4503" s="90">
        <f t="shared" si="914"/>
        <v>1405.575</v>
      </c>
      <c r="L4503" s="187">
        <v>734</v>
      </c>
      <c r="M4503" s="131">
        <v>0</v>
      </c>
      <c r="N4503" s="91">
        <f t="shared" si="911"/>
        <v>917.5</v>
      </c>
      <c r="O4503" s="411">
        <f t="shared" si="913"/>
        <v>488.07500000000005</v>
      </c>
      <c r="P4503" s="132" t="s">
        <v>59</v>
      </c>
      <c r="Q4503" s="232"/>
      <c r="R4503" s="411"/>
      <c r="T4503" s="172" t="s">
        <v>60</v>
      </c>
      <c r="U4503" s="259">
        <v>3491447153</v>
      </c>
      <c r="W4503" s="153" t="s">
        <v>10022</v>
      </c>
      <c r="AA4503" s="218">
        <v>10</v>
      </c>
    </row>
    <row r="4504" spans="1:27" x14ac:dyDescent="0.25">
      <c r="A4504" s="419">
        <v>3003502</v>
      </c>
      <c r="B4504" s="421">
        <v>42584</v>
      </c>
      <c r="C4504" s="419" t="s">
        <v>78</v>
      </c>
      <c r="D4504" s="417" t="s">
        <v>4006</v>
      </c>
      <c r="E4504" s="120">
        <v>3165</v>
      </c>
      <c r="F4504" s="133" t="s">
        <v>10023</v>
      </c>
      <c r="G4504" s="434" t="s">
        <v>7486</v>
      </c>
      <c r="H4504" s="427">
        <v>1573.5</v>
      </c>
      <c r="I4504" s="427">
        <v>0</v>
      </c>
      <c r="J4504" s="498">
        <f t="shared" ref="J4504" si="919">-((H4504*0.019)+0.3)</f>
        <v>-30.1965</v>
      </c>
      <c r="K4504" s="425">
        <f t="shared" si="914"/>
        <v>1543.3035</v>
      </c>
      <c r="M4504" s="187">
        <v>167.97</v>
      </c>
      <c r="N4504" s="91">
        <f t="shared" si="911"/>
        <v>167.97</v>
      </c>
      <c r="O4504" s="411">
        <f t="shared" si="913"/>
        <v>1375.3335</v>
      </c>
      <c r="P4504" s="132" t="s">
        <v>52</v>
      </c>
      <c r="Q4504" s="232"/>
      <c r="R4504" s="411"/>
      <c r="T4504" s="439" t="s">
        <v>875</v>
      </c>
      <c r="U4504" s="446" t="s">
        <v>10024</v>
      </c>
      <c r="V4504" s="133" t="s">
        <v>55</v>
      </c>
      <c r="W4504" s="153" t="s">
        <v>4009</v>
      </c>
      <c r="AA4504" s="473">
        <v>25</v>
      </c>
    </row>
    <row r="4505" spans="1:27" ht="24" x14ac:dyDescent="0.25">
      <c r="A4505" s="432"/>
      <c r="B4505" s="433"/>
      <c r="C4505" s="432"/>
      <c r="D4505" s="454"/>
      <c r="E4505" s="120">
        <v>3023</v>
      </c>
      <c r="F4505" s="119" t="s">
        <v>10025</v>
      </c>
      <c r="G4505" s="435"/>
      <c r="H4505" s="438"/>
      <c r="I4505" s="438"/>
      <c r="J4505" s="525"/>
      <c r="K4505" s="437"/>
      <c r="N4505" s="91">
        <f t="shared" si="911"/>
        <v>0</v>
      </c>
      <c r="O4505" s="411">
        <f t="shared" si="913"/>
        <v>0</v>
      </c>
      <c r="P4505" s="132" t="s">
        <v>52</v>
      </c>
      <c r="Q4505" s="232"/>
      <c r="R4505" s="411"/>
      <c r="T4505" s="440"/>
      <c r="U4505" s="448"/>
      <c r="AA4505" s="478"/>
    </row>
    <row r="4506" spans="1:27" x14ac:dyDescent="0.25">
      <c r="A4506" s="432"/>
      <c r="B4506" s="433"/>
      <c r="C4506" s="432"/>
      <c r="D4506" s="454"/>
      <c r="E4506" s="120">
        <v>5000</v>
      </c>
      <c r="F4506" s="133" t="s">
        <v>10026</v>
      </c>
      <c r="G4506" s="435"/>
      <c r="H4506" s="438"/>
      <c r="I4506" s="438"/>
      <c r="J4506" s="525"/>
      <c r="K4506" s="437"/>
      <c r="N4506" s="91">
        <f t="shared" si="911"/>
        <v>0</v>
      </c>
      <c r="O4506" s="411">
        <f t="shared" si="913"/>
        <v>0</v>
      </c>
      <c r="P4506" s="132" t="s">
        <v>52</v>
      </c>
      <c r="Q4506" s="232"/>
      <c r="R4506" s="411"/>
      <c r="T4506" s="440"/>
      <c r="U4506" s="448"/>
      <c r="AA4506" s="478"/>
    </row>
    <row r="4507" spans="1:27" ht="24" x14ac:dyDescent="0.25">
      <c r="A4507" s="420"/>
      <c r="B4507" s="422"/>
      <c r="C4507" s="420"/>
      <c r="D4507" s="418"/>
      <c r="E4507" s="120">
        <v>4547</v>
      </c>
      <c r="F4507" s="119" t="s">
        <v>10027</v>
      </c>
      <c r="G4507" s="436"/>
      <c r="H4507" s="428"/>
      <c r="I4507" s="428"/>
      <c r="J4507" s="499"/>
      <c r="K4507" s="426"/>
      <c r="N4507" s="91">
        <f t="shared" si="911"/>
        <v>0</v>
      </c>
      <c r="O4507" s="411">
        <f t="shared" si="913"/>
        <v>0</v>
      </c>
      <c r="P4507" s="132" t="s">
        <v>52</v>
      </c>
      <c r="Q4507" s="232"/>
      <c r="R4507" s="411"/>
      <c r="T4507" s="441"/>
      <c r="U4507" s="447"/>
      <c r="AA4507" s="474"/>
    </row>
    <row r="4508" spans="1:27" x14ac:dyDescent="0.25">
      <c r="A4508" s="405">
        <v>3003503</v>
      </c>
      <c r="B4508" s="406">
        <v>42584</v>
      </c>
      <c r="C4508" s="405" t="s">
        <v>63</v>
      </c>
      <c r="D4508" s="401" t="s">
        <v>10028</v>
      </c>
      <c r="E4508" s="120">
        <v>164</v>
      </c>
      <c r="F4508" s="133" t="s">
        <v>617</v>
      </c>
      <c r="G4508" s="404" t="s">
        <v>7486</v>
      </c>
      <c r="H4508" s="411">
        <v>1886</v>
      </c>
      <c r="I4508" s="411">
        <v>0</v>
      </c>
      <c r="J4508" s="258">
        <f>-((H4508*0.022)+0.3)</f>
        <v>-41.791999999999994</v>
      </c>
      <c r="K4508" s="90">
        <f t="shared" ref="K4508:K4518" si="920">SUM(H4508:J4508)</f>
        <v>1844.2080000000001</v>
      </c>
      <c r="L4508" s="187">
        <v>7150</v>
      </c>
      <c r="M4508" s="177">
        <v>0</v>
      </c>
      <c r="N4508" s="91">
        <f t="shared" si="911"/>
        <v>1172.6000000000001</v>
      </c>
      <c r="O4508" s="411">
        <f t="shared" si="913"/>
        <v>671.60799999999995</v>
      </c>
      <c r="P4508" s="132" t="s">
        <v>59</v>
      </c>
      <c r="Q4508" s="232"/>
      <c r="R4508" s="411"/>
      <c r="T4508" s="134" t="s">
        <v>364</v>
      </c>
      <c r="U4508" s="267" t="s">
        <v>10029</v>
      </c>
      <c r="W4508" s="153" t="s">
        <v>10030</v>
      </c>
      <c r="AA4508" s="218">
        <v>10</v>
      </c>
    </row>
    <row r="4509" spans="1:27" ht="36" x14ac:dyDescent="0.25">
      <c r="A4509" s="405">
        <v>3003504</v>
      </c>
      <c r="B4509" s="406">
        <v>42584</v>
      </c>
      <c r="C4509" s="405" t="s">
        <v>63</v>
      </c>
      <c r="D4509" s="401" t="s">
        <v>10031</v>
      </c>
      <c r="E4509" s="120">
        <v>610</v>
      </c>
      <c r="F4509" s="133" t="s">
        <v>10032</v>
      </c>
      <c r="G4509" s="404" t="s">
        <v>7486</v>
      </c>
      <c r="H4509" s="411">
        <v>1299</v>
      </c>
      <c r="I4509" s="411">
        <v>0</v>
      </c>
      <c r="J4509" s="258">
        <f>-((H4509*0.022)+0.3)</f>
        <v>-28.878</v>
      </c>
      <c r="K4509" s="90">
        <f t="shared" si="920"/>
        <v>1270.1220000000001</v>
      </c>
      <c r="L4509" s="187">
        <v>1560</v>
      </c>
      <c r="M4509" s="158">
        <v>0</v>
      </c>
      <c r="N4509" s="91">
        <f t="shared" ref="N4509:N4524" si="921">((L4509)*(E4509*0.001))+M4509</f>
        <v>951.6</v>
      </c>
      <c r="O4509" s="411">
        <f t="shared" si="913"/>
        <v>318.52200000000005</v>
      </c>
      <c r="P4509" s="132" t="s">
        <v>59</v>
      </c>
      <c r="Q4509" s="232"/>
      <c r="R4509" s="411"/>
      <c r="T4509" s="134" t="s">
        <v>7939</v>
      </c>
      <c r="U4509" s="267" t="s">
        <v>10033</v>
      </c>
      <c r="W4509" s="153" t="s">
        <v>10034</v>
      </c>
      <c r="AA4509" s="218">
        <v>10</v>
      </c>
    </row>
    <row r="4510" spans="1:27" ht="24" x14ac:dyDescent="0.25">
      <c r="A4510" s="405">
        <v>3003505</v>
      </c>
      <c r="B4510" s="406">
        <v>42584</v>
      </c>
      <c r="C4510" s="405" t="s">
        <v>5682</v>
      </c>
      <c r="D4510" s="401" t="s">
        <v>10035</v>
      </c>
      <c r="E4510" s="120">
        <v>170</v>
      </c>
      <c r="F4510" s="133" t="s">
        <v>247</v>
      </c>
      <c r="G4510" s="404" t="s">
        <v>7486</v>
      </c>
      <c r="H4510" s="411">
        <v>182</v>
      </c>
      <c r="I4510" s="89">
        <f t="shared" ref="I4510:I4513" si="922">-(H4510*0.09)</f>
        <v>-16.38</v>
      </c>
      <c r="J4510" s="258">
        <f t="shared" ref="J4510:J4513" si="923">-((H4510*0.019)+0.3)</f>
        <v>-3.7579999999999996</v>
      </c>
      <c r="K4510" s="90">
        <f t="shared" si="920"/>
        <v>161.86199999999999</v>
      </c>
      <c r="L4510" s="131">
        <v>480</v>
      </c>
      <c r="M4510" s="187">
        <v>37.869999999999997</v>
      </c>
      <c r="N4510" s="91">
        <f t="shared" si="921"/>
        <v>119.47</v>
      </c>
      <c r="O4510" s="411">
        <f t="shared" si="913"/>
        <v>42.391999999999996</v>
      </c>
      <c r="P4510" s="132" t="s">
        <v>52</v>
      </c>
      <c r="Q4510" s="232"/>
      <c r="R4510" s="411"/>
      <c r="T4510" s="134" t="s">
        <v>145</v>
      </c>
      <c r="U4510" s="267" t="s">
        <v>10036</v>
      </c>
      <c r="AA4510" s="218"/>
    </row>
    <row r="4511" spans="1:27" ht="24" x14ac:dyDescent="0.25">
      <c r="A4511" s="405">
        <v>3003506</v>
      </c>
      <c r="B4511" s="406">
        <v>42584</v>
      </c>
      <c r="C4511" s="405" t="s">
        <v>5682</v>
      </c>
      <c r="D4511" s="401" t="s">
        <v>10037</v>
      </c>
      <c r="E4511" s="120">
        <v>150</v>
      </c>
      <c r="F4511" s="133" t="s">
        <v>1547</v>
      </c>
      <c r="G4511" s="404" t="s">
        <v>7486</v>
      </c>
      <c r="H4511" s="411">
        <v>158.13</v>
      </c>
      <c r="I4511" s="89">
        <f t="shared" si="922"/>
        <v>-14.231699999999998</v>
      </c>
      <c r="J4511" s="258">
        <f t="shared" si="923"/>
        <v>-3.3044699999999998</v>
      </c>
      <c r="K4511" s="90">
        <f t="shared" si="920"/>
        <v>140.59383</v>
      </c>
      <c r="L4511" s="131">
        <v>419</v>
      </c>
      <c r="M4511" s="187">
        <v>37.51</v>
      </c>
      <c r="N4511" s="91">
        <f t="shared" si="921"/>
        <v>100.35999999999999</v>
      </c>
      <c r="O4511" s="411">
        <f t="shared" si="913"/>
        <v>40.233830000000012</v>
      </c>
      <c r="P4511" s="132" t="s">
        <v>52</v>
      </c>
      <c r="Q4511" s="232"/>
      <c r="R4511" s="411"/>
      <c r="T4511" s="134" t="s">
        <v>145</v>
      </c>
      <c r="U4511" s="267" t="s">
        <v>10038</v>
      </c>
      <c r="AA4511" s="218"/>
    </row>
    <row r="4512" spans="1:27" ht="24" x14ac:dyDescent="0.25">
      <c r="A4512" s="405">
        <v>3003507</v>
      </c>
      <c r="B4512" s="406">
        <v>42584</v>
      </c>
      <c r="C4512" s="405" t="s">
        <v>5682</v>
      </c>
      <c r="D4512" s="401" t="s">
        <v>10039</v>
      </c>
      <c r="E4512" s="120">
        <v>250</v>
      </c>
      <c r="F4512" s="133" t="s">
        <v>10040</v>
      </c>
      <c r="G4512" s="404" t="s">
        <v>7486</v>
      </c>
      <c r="H4512" s="411">
        <v>185.25</v>
      </c>
      <c r="I4512" s="89">
        <f t="shared" si="922"/>
        <v>-16.672499999999999</v>
      </c>
      <c r="J4512" s="258">
        <f t="shared" si="923"/>
        <v>-3.8197499999999995</v>
      </c>
      <c r="K4512" s="90">
        <f t="shared" si="920"/>
        <v>164.75774999999999</v>
      </c>
      <c r="L4512" s="187">
        <v>360</v>
      </c>
      <c r="M4512" s="187">
        <v>15.19</v>
      </c>
      <c r="N4512" s="91">
        <f t="shared" si="921"/>
        <v>105.19</v>
      </c>
      <c r="O4512" s="411">
        <f t="shared" si="913"/>
        <v>59.56774999999999</v>
      </c>
      <c r="P4512" s="132" t="s">
        <v>183</v>
      </c>
      <c r="Q4512" s="232"/>
      <c r="R4512" s="411"/>
      <c r="T4512" s="134" t="s">
        <v>145</v>
      </c>
      <c r="U4512" s="267" t="s">
        <v>10041</v>
      </c>
      <c r="AA4512" s="218"/>
    </row>
    <row r="4513" spans="1:27" ht="24" x14ac:dyDescent="0.25">
      <c r="A4513" s="405">
        <v>3003508</v>
      </c>
      <c r="B4513" s="406">
        <v>42584</v>
      </c>
      <c r="C4513" s="405" t="s">
        <v>5682</v>
      </c>
      <c r="D4513" s="401" t="s">
        <v>10042</v>
      </c>
      <c r="E4513" s="120">
        <v>500</v>
      </c>
      <c r="F4513" s="133" t="s">
        <v>580</v>
      </c>
      <c r="G4513" s="404" t="s">
        <v>7486</v>
      </c>
      <c r="H4513" s="411">
        <v>140.13</v>
      </c>
      <c r="I4513" s="89">
        <f t="shared" si="922"/>
        <v>-12.611699999999999</v>
      </c>
      <c r="J4513" s="258">
        <f t="shared" si="923"/>
        <v>-2.9624699999999997</v>
      </c>
      <c r="K4513" s="90">
        <f t="shared" si="920"/>
        <v>124.55583</v>
      </c>
      <c r="L4513" s="187">
        <v>167</v>
      </c>
      <c r="M4513" s="187">
        <v>17.920000000000002</v>
      </c>
      <c r="N4513" s="91">
        <f t="shared" si="921"/>
        <v>101.42</v>
      </c>
      <c r="O4513" s="411">
        <f t="shared" si="913"/>
        <v>23.135829999999999</v>
      </c>
      <c r="P4513" s="132" t="s">
        <v>183</v>
      </c>
      <c r="Q4513" s="232"/>
      <c r="R4513" s="411"/>
      <c r="T4513" s="134" t="s">
        <v>145</v>
      </c>
      <c r="U4513" s="267" t="s">
        <v>10043</v>
      </c>
      <c r="AA4513" s="218"/>
    </row>
    <row r="4514" spans="1:27" ht="24" x14ac:dyDescent="0.25">
      <c r="A4514" s="405">
        <v>3003509</v>
      </c>
      <c r="B4514" s="406">
        <v>42584</v>
      </c>
      <c r="C4514" s="405" t="s">
        <v>237</v>
      </c>
      <c r="D4514" s="401" t="s">
        <v>10044</v>
      </c>
      <c r="E4514" s="120">
        <v>100</v>
      </c>
      <c r="F4514" s="133" t="s">
        <v>3719</v>
      </c>
      <c r="G4514" s="404" t="s">
        <v>7486</v>
      </c>
      <c r="H4514" s="411">
        <v>180.18</v>
      </c>
      <c r="I4514" s="397">
        <f t="shared" ref="I4514:I4515" si="924">-(H4514*0.15)</f>
        <v>-27.027000000000001</v>
      </c>
      <c r="J4514" s="411">
        <v>0</v>
      </c>
      <c r="K4514" s="90">
        <f t="shared" si="920"/>
        <v>153.15300000000002</v>
      </c>
      <c r="L4514" s="187">
        <v>1180</v>
      </c>
      <c r="M4514" s="187">
        <v>19.66</v>
      </c>
      <c r="N4514" s="91">
        <f t="shared" si="921"/>
        <v>137.66</v>
      </c>
      <c r="O4514" s="411">
        <f t="shared" si="913"/>
        <v>15.493000000000023</v>
      </c>
      <c r="P4514" s="132" t="s">
        <v>601</v>
      </c>
      <c r="Q4514" s="232"/>
      <c r="R4514" s="411"/>
      <c r="T4514" s="134" t="s">
        <v>145</v>
      </c>
      <c r="U4514" s="267" t="s">
        <v>10045</v>
      </c>
      <c r="AA4514" s="218"/>
    </row>
    <row r="4515" spans="1:27" ht="24" x14ac:dyDescent="0.25">
      <c r="A4515" s="405">
        <v>3003510</v>
      </c>
      <c r="B4515" s="406">
        <v>42584</v>
      </c>
      <c r="C4515" s="405" t="s">
        <v>237</v>
      </c>
      <c r="D4515" s="401" t="s">
        <v>10046</v>
      </c>
      <c r="E4515" s="120">
        <v>75</v>
      </c>
      <c r="F4515" s="133" t="s">
        <v>161</v>
      </c>
      <c r="G4515" s="404" t="s">
        <v>7486</v>
      </c>
      <c r="H4515" s="411">
        <v>168</v>
      </c>
      <c r="I4515" s="397">
        <f t="shared" si="924"/>
        <v>-25.2</v>
      </c>
      <c r="J4515" s="411">
        <v>0</v>
      </c>
      <c r="K4515" s="90">
        <f t="shared" si="920"/>
        <v>142.80000000000001</v>
      </c>
      <c r="L4515" s="131">
        <v>1322</v>
      </c>
      <c r="M4515" s="187">
        <v>32.89</v>
      </c>
      <c r="N4515" s="91">
        <f t="shared" si="921"/>
        <v>132.04</v>
      </c>
      <c r="O4515" s="411">
        <f t="shared" si="913"/>
        <v>10.760000000000019</v>
      </c>
      <c r="P4515" s="132" t="s">
        <v>52</v>
      </c>
      <c r="Q4515" s="232"/>
      <c r="R4515" s="411"/>
      <c r="T4515" s="134" t="s">
        <v>145</v>
      </c>
      <c r="U4515" s="267" t="s">
        <v>10047</v>
      </c>
      <c r="AA4515" s="218"/>
    </row>
    <row r="4516" spans="1:27" x14ac:dyDescent="0.25">
      <c r="A4516" s="405">
        <v>3003511</v>
      </c>
      <c r="B4516" s="406">
        <v>42584</v>
      </c>
      <c r="C4516" s="405" t="s">
        <v>327</v>
      </c>
      <c r="D4516" s="401" t="s">
        <v>1521</v>
      </c>
      <c r="E4516" s="120">
        <v>500</v>
      </c>
      <c r="F4516" s="133" t="s">
        <v>1835</v>
      </c>
      <c r="G4516" s="404" t="s">
        <v>7486</v>
      </c>
      <c r="H4516" s="392">
        <v>2715.75</v>
      </c>
      <c r="I4516" s="411">
        <v>0</v>
      </c>
      <c r="J4516" s="258">
        <f>-((H4516*0.022)+0.3)</f>
        <v>-60.046499999999995</v>
      </c>
      <c r="K4516" s="90">
        <f t="shared" si="920"/>
        <v>2655.7035000000001</v>
      </c>
      <c r="L4516" s="187">
        <v>2420</v>
      </c>
      <c r="M4516" s="224">
        <v>148</v>
      </c>
      <c r="N4516" s="91">
        <f t="shared" si="921"/>
        <v>1358</v>
      </c>
      <c r="O4516" s="411">
        <f t="shared" si="913"/>
        <v>1297.7035000000001</v>
      </c>
      <c r="P4516" s="132" t="s">
        <v>183</v>
      </c>
      <c r="Q4516" s="232"/>
      <c r="R4516" s="411">
        <v>215.75</v>
      </c>
      <c r="S4516" s="133" t="s">
        <v>52</v>
      </c>
      <c r="T4516" s="134" t="s">
        <v>717</v>
      </c>
      <c r="U4516" s="267" t="s">
        <v>10048</v>
      </c>
      <c r="W4516" s="153" t="s">
        <v>1524</v>
      </c>
      <c r="AA4516" s="218">
        <v>25</v>
      </c>
    </row>
    <row r="4517" spans="1:27" ht="24" x14ac:dyDescent="0.25">
      <c r="A4517" s="419">
        <v>3003512</v>
      </c>
      <c r="B4517" s="421">
        <v>42585</v>
      </c>
      <c r="C4517" s="419" t="s">
        <v>63</v>
      </c>
      <c r="D4517" s="417" t="s">
        <v>6838</v>
      </c>
      <c r="E4517" s="120">
        <v>500</v>
      </c>
      <c r="F4517" s="133" t="s">
        <v>983</v>
      </c>
      <c r="G4517" s="434" t="s">
        <v>7486</v>
      </c>
      <c r="H4517" s="427">
        <v>720</v>
      </c>
      <c r="I4517" s="516">
        <v>0</v>
      </c>
      <c r="J4517" s="523">
        <f t="shared" ref="J4517" si="925">-((H4517*0.022)+0.3)</f>
        <v>-16.14</v>
      </c>
      <c r="K4517" s="90">
        <f t="shared" si="920"/>
        <v>703.86</v>
      </c>
      <c r="L4517" s="131">
        <v>300</v>
      </c>
      <c r="M4517" s="187">
        <v>50.71</v>
      </c>
      <c r="N4517" s="91">
        <f t="shared" si="921"/>
        <v>200.71</v>
      </c>
      <c r="O4517" s="411">
        <f t="shared" si="913"/>
        <v>503.15</v>
      </c>
      <c r="P4517" s="132" t="s">
        <v>52</v>
      </c>
      <c r="Q4517" s="232"/>
      <c r="R4517" s="411"/>
      <c r="T4517" s="172" t="s">
        <v>145</v>
      </c>
      <c r="U4517" s="304" t="s">
        <v>10049</v>
      </c>
      <c r="W4517" s="153" t="s">
        <v>10050</v>
      </c>
      <c r="AA4517" s="218"/>
    </row>
    <row r="4518" spans="1:27" ht="24" x14ac:dyDescent="0.25">
      <c r="A4518" s="420"/>
      <c r="B4518" s="422"/>
      <c r="C4518" s="420"/>
      <c r="D4518" s="418"/>
      <c r="E4518" s="120">
        <v>250</v>
      </c>
      <c r="F4518" s="133" t="s">
        <v>10051</v>
      </c>
      <c r="G4518" s="436"/>
      <c r="H4518" s="428"/>
      <c r="I4518" s="518"/>
      <c r="J4518" s="524"/>
      <c r="K4518" s="90">
        <f t="shared" si="920"/>
        <v>0</v>
      </c>
      <c r="L4518" s="187">
        <v>991</v>
      </c>
      <c r="M4518" s="187">
        <v>43.11</v>
      </c>
      <c r="N4518" s="91">
        <f t="shared" si="921"/>
        <v>290.86</v>
      </c>
      <c r="O4518" s="411">
        <f t="shared" si="913"/>
        <v>-290.86</v>
      </c>
      <c r="P4518" s="132" t="s">
        <v>183</v>
      </c>
      <c r="Q4518" s="232"/>
      <c r="R4518" s="411"/>
      <c r="T4518" s="172" t="s">
        <v>145</v>
      </c>
      <c r="U4518" s="259">
        <v>644267286962</v>
      </c>
      <c r="V4518" s="133" t="s">
        <v>10052</v>
      </c>
      <c r="AA4518" s="218"/>
    </row>
    <row r="4519" spans="1:27" ht="24" x14ac:dyDescent="0.25">
      <c r="A4519" s="405">
        <v>3003513</v>
      </c>
      <c r="B4519" s="406">
        <v>42585</v>
      </c>
      <c r="C4519" s="405" t="s">
        <v>237</v>
      </c>
      <c r="D4519" s="401" t="s">
        <v>10053</v>
      </c>
      <c r="E4519" s="120">
        <v>250</v>
      </c>
      <c r="F4519" s="133" t="s">
        <v>10054</v>
      </c>
      <c r="G4519" s="404" t="s">
        <v>7486</v>
      </c>
      <c r="H4519" s="392">
        <v>370.71</v>
      </c>
      <c r="I4519" s="397">
        <f t="shared" ref="I4519" si="926">-(H4519*0.15)</f>
        <v>-55.606499999999997</v>
      </c>
      <c r="J4519" s="411">
        <v>0</v>
      </c>
      <c r="K4519" s="90">
        <f t="shared" ref="K4519" si="927">SUM(H4519:J4519)</f>
        <v>315.1035</v>
      </c>
      <c r="L4519" s="131">
        <v>616</v>
      </c>
      <c r="M4519" s="187">
        <v>44.31</v>
      </c>
      <c r="N4519" s="91">
        <f t="shared" si="921"/>
        <v>198.31</v>
      </c>
      <c r="O4519" s="411">
        <f t="shared" si="913"/>
        <v>116.79349999999999</v>
      </c>
      <c r="P4519" s="132" t="s">
        <v>52</v>
      </c>
      <c r="Q4519" s="232"/>
      <c r="R4519" s="411"/>
      <c r="T4519" s="134" t="s">
        <v>145</v>
      </c>
      <c r="U4519" s="267" t="s">
        <v>10055</v>
      </c>
      <c r="AA4519" s="218"/>
    </row>
    <row r="4520" spans="1:27" ht="24" x14ac:dyDescent="0.25">
      <c r="A4520" s="405">
        <v>3003514</v>
      </c>
      <c r="B4520" s="406">
        <v>42585</v>
      </c>
      <c r="C4520" s="405" t="s">
        <v>237</v>
      </c>
      <c r="D4520" s="401" t="s">
        <v>10056</v>
      </c>
      <c r="E4520" s="120">
        <v>50</v>
      </c>
      <c r="F4520" s="133" t="s">
        <v>300</v>
      </c>
      <c r="G4520" s="404" t="s">
        <v>7486</v>
      </c>
      <c r="H4520" s="392">
        <v>222.87</v>
      </c>
      <c r="I4520" s="397">
        <f t="shared" ref="I4520" si="928">-(H4520*0.15)</f>
        <v>-33.430500000000002</v>
      </c>
      <c r="J4520" s="411">
        <v>0</v>
      </c>
      <c r="K4520" s="90">
        <f t="shared" ref="K4520:K4521" si="929">SUM(H4520:J4520)</f>
        <v>189.43950000000001</v>
      </c>
      <c r="L4520" s="131">
        <v>2215</v>
      </c>
      <c r="M4520" s="187">
        <v>44.03</v>
      </c>
      <c r="N4520" s="91">
        <f t="shared" si="921"/>
        <v>154.78</v>
      </c>
      <c r="O4520" s="411">
        <f t="shared" si="913"/>
        <v>34.659500000000008</v>
      </c>
      <c r="P4520" s="132" t="s">
        <v>52</v>
      </c>
      <c r="Q4520" s="232"/>
      <c r="R4520" s="411"/>
      <c r="T4520" s="134" t="s">
        <v>145</v>
      </c>
      <c r="U4520" s="267" t="s">
        <v>10057</v>
      </c>
      <c r="AA4520" s="218"/>
    </row>
    <row r="4521" spans="1:27" ht="24" x14ac:dyDescent="0.25">
      <c r="A4521" s="405">
        <v>3003515</v>
      </c>
      <c r="B4521" s="406">
        <v>42585</v>
      </c>
      <c r="C4521" s="405" t="s">
        <v>5682</v>
      </c>
      <c r="D4521" s="401" t="s">
        <v>10058</v>
      </c>
      <c r="E4521" s="120">
        <v>1000</v>
      </c>
      <c r="F4521" s="119" t="s">
        <v>10059</v>
      </c>
      <c r="G4521" s="404" t="s">
        <v>7486</v>
      </c>
      <c r="H4521" s="392">
        <v>269.22000000000003</v>
      </c>
      <c r="I4521" s="89">
        <f t="shared" ref="I4521" si="930">-(H4521*0.09)</f>
        <v>-24.229800000000001</v>
      </c>
      <c r="J4521" s="258">
        <f t="shared" ref="J4521" si="931">-((H4521*0.019)+0.3)</f>
        <v>-5.4151800000000003</v>
      </c>
      <c r="K4521" s="90">
        <f t="shared" si="929"/>
        <v>239.57502000000002</v>
      </c>
      <c r="L4521" s="187">
        <v>112</v>
      </c>
      <c r="M4521" s="187">
        <v>17.84</v>
      </c>
      <c r="N4521" s="91">
        <f t="shared" si="921"/>
        <v>129.84</v>
      </c>
      <c r="O4521" s="411">
        <f t="shared" si="913"/>
        <v>109.73502000000002</v>
      </c>
      <c r="P4521" s="132" t="s">
        <v>183</v>
      </c>
      <c r="Q4521" s="232"/>
      <c r="R4521" s="411">
        <v>19.940000000000001</v>
      </c>
      <c r="S4521" s="133" t="s">
        <v>10060</v>
      </c>
      <c r="T4521" s="134" t="s">
        <v>145</v>
      </c>
      <c r="U4521" s="267" t="s">
        <v>10061</v>
      </c>
      <c r="AA4521" s="218"/>
    </row>
    <row r="4522" spans="1:27" x14ac:dyDescent="0.25">
      <c r="A4522" s="419">
        <v>3003516</v>
      </c>
      <c r="B4522" s="421">
        <v>42585</v>
      </c>
      <c r="C4522" s="419" t="s">
        <v>56</v>
      </c>
      <c r="D4522" s="417" t="s">
        <v>10062</v>
      </c>
      <c r="E4522" s="120">
        <v>3000</v>
      </c>
      <c r="F4522" s="133" t="s">
        <v>10063</v>
      </c>
      <c r="G4522" s="434" t="s">
        <v>7486</v>
      </c>
      <c r="H4522" s="427">
        <f>3000*3.4+3000*1.5</f>
        <v>14700</v>
      </c>
      <c r="I4522" s="427">
        <v>0</v>
      </c>
      <c r="J4522" s="427">
        <v>0</v>
      </c>
      <c r="K4522" s="427">
        <v>2655.7035000000001</v>
      </c>
      <c r="L4522" s="187">
        <v>2900</v>
      </c>
      <c r="M4522" s="131">
        <v>0</v>
      </c>
      <c r="N4522" s="91">
        <f t="shared" si="921"/>
        <v>8700</v>
      </c>
      <c r="O4522" s="411">
        <f t="shared" si="913"/>
        <v>-6044.2965000000004</v>
      </c>
      <c r="P4522" s="132" t="s">
        <v>46</v>
      </c>
      <c r="Q4522" s="232"/>
      <c r="R4522" s="411"/>
      <c r="T4522" s="407" t="s">
        <v>2652</v>
      </c>
      <c r="U4522" s="267" t="s">
        <v>10064</v>
      </c>
      <c r="V4522" s="133" t="s">
        <v>9425</v>
      </c>
      <c r="AA4522" s="218"/>
    </row>
    <row r="4523" spans="1:27" x14ac:dyDescent="0.25">
      <c r="A4523" s="420"/>
      <c r="B4523" s="422"/>
      <c r="C4523" s="420"/>
      <c r="D4523" s="418"/>
      <c r="E4523" s="120">
        <v>3000</v>
      </c>
      <c r="F4523" s="133" t="s">
        <v>10065</v>
      </c>
      <c r="G4523" s="436"/>
      <c r="H4523" s="428"/>
      <c r="I4523" s="428"/>
      <c r="J4523" s="428"/>
      <c r="K4523" s="428"/>
      <c r="L4523" s="187">
        <v>1250</v>
      </c>
      <c r="M4523" s="131">
        <v>0</v>
      </c>
      <c r="N4523" s="91">
        <f t="shared" si="921"/>
        <v>3750</v>
      </c>
      <c r="O4523" s="411">
        <f t="shared" si="913"/>
        <v>-3750</v>
      </c>
      <c r="P4523" s="132" t="s">
        <v>46</v>
      </c>
      <c r="Q4523" s="232"/>
      <c r="R4523" s="411"/>
      <c r="T4523" s="409" t="s">
        <v>1346</v>
      </c>
      <c r="U4523" s="266">
        <v>5011209483</v>
      </c>
      <c r="AA4523" s="218"/>
    </row>
    <row r="4524" spans="1:27" ht="24" x14ac:dyDescent="0.25">
      <c r="A4524" s="405">
        <v>3003517</v>
      </c>
      <c r="B4524" s="406">
        <v>42585</v>
      </c>
      <c r="C4524" s="405" t="s">
        <v>237</v>
      </c>
      <c r="D4524" s="401" t="s">
        <v>10066</v>
      </c>
      <c r="E4524" s="120">
        <v>200</v>
      </c>
      <c r="F4524" s="133" t="s">
        <v>5038</v>
      </c>
      <c r="G4524" s="404" t="s">
        <v>7486</v>
      </c>
      <c r="H4524" s="411">
        <v>380</v>
      </c>
      <c r="I4524" s="397">
        <f t="shared" ref="I4524:I4525" si="932">-(H4524*0.15)</f>
        <v>-57</v>
      </c>
      <c r="J4524" s="411">
        <v>0</v>
      </c>
      <c r="K4524" s="90">
        <f t="shared" ref="K4524:K4569" si="933">SUM(H4524:J4524)</f>
        <v>323</v>
      </c>
      <c r="L4524" s="131">
        <v>950</v>
      </c>
      <c r="M4524" s="187">
        <f>44.18+33.68</f>
        <v>77.86</v>
      </c>
      <c r="N4524" s="91">
        <f t="shared" si="921"/>
        <v>267.86</v>
      </c>
      <c r="O4524" s="411">
        <f t="shared" si="913"/>
        <v>55.139999999999986</v>
      </c>
      <c r="P4524" s="132" t="s">
        <v>52</v>
      </c>
      <c r="Q4524" s="232"/>
      <c r="R4524" s="411"/>
      <c r="T4524" s="172" t="s">
        <v>145</v>
      </c>
      <c r="U4524" s="259" t="s">
        <v>10067</v>
      </c>
      <c r="AA4524" s="218"/>
    </row>
    <row r="4525" spans="1:27" ht="24" x14ac:dyDescent="0.25">
      <c r="A4525" s="405">
        <v>3003518</v>
      </c>
      <c r="B4525" s="406">
        <v>42585</v>
      </c>
      <c r="C4525" s="405" t="s">
        <v>237</v>
      </c>
      <c r="D4525" s="401" t="s">
        <v>10068</v>
      </c>
      <c r="E4525" s="120">
        <v>100</v>
      </c>
      <c r="F4525" s="133" t="s">
        <v>590</v>
      </c>
      <c r="G4525" s="404" t="s">
        <v>7486</v>
      </c>
      <c r="H4525" s="411">
        <v>133.97</v>
      </c>
      <c r="I4525" s="397">
        <f t="shared" si="932"/>
        <v>-20.095499999999998</v>
      </c>
      <c r="J4525" s="411">
        <v>0</v>
      </c>
      <c r="K4525" s="90">
        <f t="shared" si="933"/>
        <v>113.8745</v>
      </c>
      <c r="L4525" s="131">
        <v>571.41999999999996</v>
      </c>
      <c r="M4525" s="187">
        <v>23.31</v>
      </c>
      <c r="N4525" s="91">
        <f t="shared" ref="N4525:N4588" si="934">((L4525)*(E4525*0.001))+M4525</f>
        <v>80.451999999999998</v>
      </c>
      <c r="O4525" s="411">
        <f t="shared" si="913"/>
        <v>33.422499999999999</v>
      </c>
      <c r="P4525" s="132" t="s">
        <v>86</v>
      </c>
      <c r="Q4525" s="232"/>
      <c r="R4525" s="411"/>
      <c r="T4525" s="134" t="s">
        <v>145</v>
      </c>
      <c r="U4525" s="267" t="s">
        <v>10069</v>
      </c>
      <c r="AA4525" s="218"/>
    </row>
    <row r="4526" spans="1:27" x14ac:dyDescent="0.25">
      <c r="A4526" s="405">
        <v>3003519</v>
      </c>
      <c r="B4526" s="406">
        <v>42585</v>
      </c>
      <c r="C4526" s="405" t="s">
        <v>5682</v>
      </c>
      <c r="D4526" s="401" t="s">
        <v>10070</v>
      </c>
      <c r="E4526" s="120">
        <v>175</v>
      </c>
      <c r="F4526" s="133" t="s">
        <v>70</v>
      </c>
      <c r="G4526" s="404" t="s">
        <v>7486</v>
      </c>
      <c r="H4526" s="411">
        <v>485.34</v>
      </c>
      <c r="I4526" s="89">
        <f t="shared" ref="I4526:I4534" si="935">-(H4526*0.09)</f>
        <v>-43.680599999999998</v>
      </c>
      <c r="J4526" s="258">
        <f t="shared" ref="J4526:J4534" si="936">-((H4526*0.019)+0.3)</f>
        <v>-9.5214599999999994</v>
      </c>
      <c r="K4526" s="90">
        <f t="shared" si="933"/>
        <v>432.13794000000001</v>
      </c>
      <c r="L4526" s="131">
        <v>1200</v>
      </c>
      <c r="M4526" s="187">
        <v>203.87</v>
      </c>
      <c r="N4526" s="91">
        <f t="shared" si="934"/>
        <v>413.87</v>
      </c>
      <c r="O4526" s="411">
        <f t="shared" si="913"/>
        <v>18.26794000000001</v>
      </c>
      <c r="P4526" s="132" t="s">
        <v>86</v>
      </c>
      <c r="Q4526" s="232"/>
      <c r="R4526" s="411"/>
      <c r="T4526" s="134" t="s">
        <v>244</v>
      </c>
      <c r="U4526" s="267" t="s">
        <v>10071</v>
      </c>
      <c r="V4526" s="133" t="s">
        <v>55</v>
      </c>
      <c r="AA4526" s="218"/>
    </row>
    <row r="4527" spans="1:27" ht="24" x14ac:dyDescent="0.25">
      <c r="A4527" s="405">
        <v>3003520</v>
      </c>
      <c r="B4527" s="406">
        <v>42585</v>
      </c>
      <c r="C4527" s="405" t="s">
        <v>5682</v>
      </c>
      <c r="D4527" s="401" t="s">
        <v>10072</v>
      </c>
      <c r="E4527" s="120">
        <v>150</v>
      </c>
      <c r="F4527" s="133" t="s">
        <v>178</v>
      </c>
      <c r="G4527" s="404" t="s">
        <v>7486</v>
      </c>
      <c r="H4527" s="411">
        <v>289.5</v>
      </c>
      <c r="I4527" s="89">
        <f t="shared" si="935"/>
        <v>-26.055</v>
      </c>
      <c r="J4527" s="258">
        <f t="shared" si="936"/>
        <v>-5.8004999999999995</v>
      </c>
      <c r="K4527" s="90">
        <f t="shared" si="933"/>
        <v>257.64449999999999</v>
      </c>
      <c r="L4527" s="131">
        <v>1170</v>
      </c>
      <c r="M4527" s="187">
        <v>61.98</v>
      </c>
      <c r="N4527" s="91">
        <f t="shared" si="934"/>
        <v>237.48</v>
      </c>
      <c r="O4527" s="411">
        <f t="shared" si="913"/>
        <v>20.164500000000004</v>
      </c>
      <c r="P4527" s="132" t="s">
        <v>86</v>
      </c>
      <c r="Q4527" s="232"/>
      <c r="R4527" s="411"/>
      <c r="T4527" s="134" t="s">
        <v>145</v>
      </c>
      <c r="U4527" s="267" t="s">
        <v>10073</v>
      </c>
      <c r="AA4527" s="218"/>
    </row>
    <row r="4528" spans="1:27" ht="24" x14ac:dyDescent="0.25">
      <c r="A4528" s="405">
        <v>3003521</v>
      </c>
      <c r="B4528" s="406">
        <v>42585</v>
      </c>
      <c r="C4528" s="405" t="s">
        <v>5682</v>
      </c>
      <c r="D4528" s="401" t="s">
        <v>10074</v>
      </c>
      <c r="E4528" s="120">
        <v>150</v>
      </c>
      <c r="F4528" s="133" t="s">
        <v>227</v>
      </c>
      <c r="G4528" s="404" t="s">
        <v>7486</v>
      </c>
      <c r="H4528" s="411">
        <v>135.19999999999999</v>
      </c>
      <c r="I4528" s="89">
        <f t="shared" si="935"/>
        <v>-12.167999999999999</v>
      </c>
      <c r="J4528" s="258">
        <f t="shared" si="936"/>
        <v>-2.8687999999999994</v>
      </c>
      <c r="K4528" s="90">
        <f t="shared" si="933"/>
        <v>120.16319999999999</v>
      </c>
      <c r="L4528" s="131">
        <v>350</v>
      </c>
      <c r="M4528" s="187">
        <v>37.01</v>
      </c>
      <c r="N4528" s="91">
        <f t="shared" si="934"/>
        <v>89.509999999999991</v>
      </c>
      <c r="O4528" s="411">
        <f t="shared" si="913"/>
        <v>30.653199999999998</v>
      </c>
      <c r="P4528" s="132" t="s">
        <v>52</v>
      </c>
      <c r="Q4528" s="232"/>
      <c r="R4528" s="411"/>
      <c r="T4528" s="134" t="s">
        <v>145</v>
      </c>
      <c r="U4528" s="267" t="s">
        <v>10075</v>
      </c>
      <c r="AA4528" s="218"/>
    </row>
    <row r="4529" spans="1:27" x14ac:dyDescent="0.25">
      <c r="A4529" s="405">
        <v>3003522</v>
      </c>
      <c r="B4529" s="406">
        <v>42585</v>
      </c>
      <c r="C4529" s="405" t="s">
        <v>5682</v>
      </c>
      <c r="D4529" s="401" t="s">
        <v>10076</v>
      </c>
      <c r="E4529" s="120">
        <v>250</v>
      </c>
      <c r="F4529" s="133" t="s">
        <v>70</v>
      </c>
      <c r="G4529" s="404" t="s">
        <v>7486</v>
      </c>
      <c r="H4529" s="411">
        <v>649.5</v>
      </c>
      <c r="I4529" s="89">
        <f t="shared" si="935"/>
        <v>-58.454999999999998</v>
      </c>
      <c r="J4529" s="258">
        <f t="shared" si="936"/>
        <v>-12.640500000000001</v>
      </c>
      <c r="K4529" s="90">
        <f t="shared" si="933"/>
        <v>578.40449999999998</v>
      </c>
      <c r="L4529" s="131">
        <v>1200</v>
      </c>
      <c r="M4529" s="187">
        <v>180</v>
      </c>
      <c r="N4529" s="91">
        <f t="shared" si="934"/>
        <v>480</v>
      </c>
      <c r="O4529" s="411">
        <f t="shared" si="913"/>
        <v>98.404499999999985</v>
      </c>
      <c r="P4529" s="132" t="s">
        <v>86</v>
      </c>
      <c r="Q4529" s="232"/>
      <c r="R4529" s="411"/>
      <c r="T4529" s="134" t="s">
        <v>244</v>
      </c>
      <c r="U4529" s="267" t="s">
        <v>10077</v>
      </c>
      <c r="V4529" s="133" t="s">
        <v>55</v>
      </c>
      <c r="AA4529" s="218"/>
    </row>
    <row r="4530" spans="1:27" ht="24" x14ac:dyDescent="0.25">
      <c r="A4530" s="405">
        <v>3003523</v>
      </c>
      <c r="B4530" s="406">
        <v>42585</v>
      </c>
      <c r="C4530" s="405" t="s">
        <v>5682</v>
      </c>
      <c r="D4530" s="401" t="s">
        <v>10078</v>
      </c>
      <c r="E4530" s="120">
        <v>300</v>
      </c>
      <c r="F4530" s="133" t="s">
        <v>983</v>
      </c>
      <c r="G4530" s="404" t="s">
        <v>7486</v>
      </c>
      <c r="H4530" s="411">
        <v>234</v>
      </c>
      <c r="I4530" s="89">
        <f t="shared" si="935"/>
        <v>-21.06</v>
      </c>
      <c r="J4530" s="258">
        <f t="shared" si="936"/>
        <v>-4.7459999999999996</v>
      </c>
      <c r="K4530" s="90">
        <f t="shared" si="933"/>
        <v>208.19399999999999</v>
      </c>
      <c r="L4530" s="131">
        <v>300</v>
      </c>
      <c r="M4530" s="187">
        <v>36.1</v>
      </c>
      <c r="N4530" s="91">
        <f t="shared" si="934"/>
        <v>126.1</v>
      </c>
      <c r="O4530" s="411">
        <f t="shared" si="913"/>
        <v>82.093999999999994</v>
      </c>
      <c r="P4530" s="132" t="s">
        <v>52</v>
      </c>
      <c r="Q4530" s="232"/>
      <c r="R4530" s="411"/>
      <c r="T4530" s="134" t="s">
        <v>145</v>
      </c>
      <c r="U4530" s="267" t="s">
        <v>10079</v>
      </c>
      <c r="AA4530" s="218"/>
    </row>
    <row r="4531" spans="1:27" x14ac:dyDescent="0.25">
      <c r="A4531" s="419">
        <v>3003524</v>
      </c>
      <c r="B4531" s="421">
        <v>42585</v>
      </c>
      <c r="C4531" s="419" t="s">
        <v>5682</v>
      </c>
      <c r="D4531" s="417" t="s">
        <v>10080</v>
      </c>
      <c r="E4531" s="120">
        <v>200</v>
      </c>
      <c r="F4531" s="133" t="s">
        <v>10081</v>
      </c>
      <c r="G4531" s="434" t="s">
        <v>7486</v>
      </c>
      <c r="H4531" s="427">
        <v>899.1</v>
      </c>
      <c r="I4531" s="452">
        <f t="shared" si="935"/>
        <v>-80.918999999999997</v>
      </c>
      <c r="J4531" s="425">
        <f t="shared" si="936"/>
        <v>-17.382899999999999</v>
      </c>
      <c r="K4531" s="425">
        <f t="shared" si="933"/>
        <v>800.79810000000009</v>
      </c>
      <c r="L4531" s="187">
        <v>1870</v>
      </c>
      <c r="N4531" s="91">
        <f t="shared" si="934"/>
        <v>374</v>
      </c>
      <c r="O4531" s="411">
        <f t="shared" si="913"/>
        <v>426.79810000000009</v>
      </c>
      <c r="P4531" s="132" t="s">
        <v>66</v>
      </c>
      <c r="Q4531" s="232"/>
      <c r="R4531" s="411"/>
      <c r="T4531" s="439" t="s">
        <v>314</v>
      </c>
      <c r="U4531" s="444">
        <v>3757503573</v>
      </c>
      <c r="AA4531" s="218"/>
    </row>
    <row r="4532" spans="1:27" x14ac:dyDescent="0.25">
      <c r="A4532" s="420"/>
      <c r="B4532" s="422"/>
      <c r="C4532" s="420"/>
      <c r="D4532" s="418"/>
      <c r="E4532" s="120">
        <v>100</v>
      </c>
      <c r="F4532" s="133" t="s">
        <v>10082</v>
      </c>
      <c r="G4532" s="436"/>
      <c r="H4532" s="428"/>
      <c r="I4532" s="453"/>
      <c r="J4532" s="426"/>
      <c r="K4532" s="426"/>
      <c r="L4532" s="187">
        <v>2700</v>
      </c>
      <c r="M4532" s="131">
        <v>0</v>
      </c>
      <c r="N4532" s="91">
        <f t="shared" si="934"/>
        <v>270</v>
      </c>
      <c r="O4532" s="411">
        <f t="shared" si="913"/>
        <v>-270</v>
      </c>
      <c r="P4532" s="132" t="s">
        <v>66</v>
      </c>
      <c r="Q4532" s="232"/>
      <c r="R4532" s="411"/>
      <c r="T4532" s="441"/>
      <c r="U4532" s="445"/>
      <c r="AA4532" s="218"/>
    </row>
    <row r="4533" spans="1:27" ht="24" x14ac:dyDescent="0.25">
      <c r="A4533" s="405">
        <v>3003525</v>
      </c>
      <c r="B4533" s="406">
        <v>42585</v>
      </c>
      <c r="C4533" s="405" t="s">
        <v>5682</v>
      </c>
      <c r="D4533" s="401" t="s">
        <v>10083</v>
      </c>
      <c r="E4533" s="120">
        <v>50</v>
      </c>
      <c r="F4533" s="133" t="s">
        <v>161</v>
      </c>
      <c r="G4533" s="404" t="s">
        <v>7486</v>
      </c>
      <c r="H4533" s="411">
        <v>134.75</v>
      </c>
      <c r="I4533" s="89">
        <f t="shared" si="935"/>
        <v>-12.1275</v>
      </c>
      <c r="J4533" s="258">
        <f t="shared" si="936"/>
        <v>-2.8602499999999997</v>
      </c>
      <c r="K4533" s="90">
        <f t="shared" si="933"/>
        <v>119.76225000000001</v>
      </c>
      <c r="L4533" s="131">
        <v>1322</v>
      </c>
      <c r="M4533" s="187">
        <v>32.14</v>
      </c>
      <c r="N4533" s="91">
        <f t="shared" si="934"/>
        <v>98.240000000000009</v>
      </c>
      <c r="O4533" s="411">
        <f t="shared" si="913"/>
        <v>21.52225</v>
      </c>
      <c r="P4533" s="132" t="s">
        <v>52</v>
      </c>
      <c r="Q4533" s="232"/>
      <c r="R4533" s="411"/>
      <c r="T4533" s="134" t="s">
        <v>145</v>
      </c>
      <c r="U4533" s="267" t="s">
        <v>10084</v>
      </c>
      <c r="AA4533" s="218"/>
    </row>
    <row r="4534" spans="1:27" ht="24" x14ac:dyDescent="0.25">
      <c r="A4534" s="405">
        <v>3003526</v>
      </c>
      <c r="B4534" s="406">
        <v>42585</v>
      </c>
      <c r="C4534" s="405" t="s">
        <v>5682</v>
      </c>
      <c r="D4534" s="401" t="s">
        <v>10085</v>
      </c>
      <c r="E4534" s="120">
        <v>200</v>
      </c>
      <c r="F4534" s="133" t="s">
        <v>7586</v>
      </c>
      <c r="G4534" s="404" t="s">
        <v>7486</v>
      </c>
      <c r="H4534" s="411">
        <v>154.44</v>
      </c>
      <c r="I4534" s="89">
        <f t="shared" si="935"/>
        <v>-13.8996</v>
      </c>
      <c r="J4534" s="258">
        <f t="shared" si="936"/>
        <v>-3.2343599999999997</v>
      </c>
      <c r="K4534" s="90">
        <f t="shared" si="933"/>
        <v>137.30604</v>
      </c>
      <c r="L4534" s="131">
        <v>402.85</v>
      </c>
      <c r="M4534" s="187">
        <v>31.28</v>
      </c>
      <c r="N4534" s="91">
        <f t="shared" si="934"/>
        <v>111.85000000000001</v>
      </c>
      <c r="O4534" s="411">
        <f t="shared" si="913"/>
        <v>25.456039999999987</v>
      </c>
      <c r="P4534" s="132" t="s">
        <v>86</v>
      </c>
      <c r="Q4534" s="232"/>
      <c r="R4534" s="411"/>
      <c r="T4534" s="134" t="s">
        <v>145</v>
      </c>
      <c r="U4534" s="267" t="s">
        <v>10086</v>
      </c>
      <c r="AA4534" s="218"/>
    </row>
    <row r="4535" spans="1:27" ht="24" x14ac:dyDescent="0.25">
      <c r="A4535" s="405">
        <v>3003527</v>
      </c>
      <c r="B4535" s="406">
        <v>42585</v>
      </c>
      <c r="C4535" s="405" t="s">
        <v>237</v>
      </c>
      <c r="D4535" s="401" t="s">
        <v>10087</v>
      </c>
      <c r="E4535" s="120">
        <v>100</v>
      </c>
      <c r="F4535" s="133" t="s">
        <v>161</v>
      </c>
      <c r="G4535" s="404" t="s">
        <v>7486</v>
      </c>
      <c r="H4535" s="411">
        <v>260</v>
      </c>
      <c r="I4535" s="397">
        <f t="shared" ref="I4535" si="937">-(H4535*0.15)</f>
        <v>-39</v>
      </c>
      <c r="J4535" s="411">
        <v>0</v>
      </c>
      <c r="K4535" s="90">
        <f t="shared" si="933"/>
        <v>221</v>
      </c>
      <c r="L4535" s="131">
        <v>1322</v>
      </c>
      <c r="M4535" s="187">
        <v>30.51</v>
      </c>
      <c r="N4535" s="91">
        <f t="shared" si="934"/>
        <v>162.71</v>
      </c>
      <c r="O4535" s="411">
        <f t="shared" si="913"/>
        <v>58.289999999999992</v>
      </c>
      <c r="P4535" s="132" t="s">
        <v>52</v>
      </c>
      <c r="Q4535" s="232"/>
      <c r="R4535" s="411"/>
      <c r="T4535" s="134" t="s">
        <v>145</v>
      </c>
      <c r="U4535" s="267" t="s">
        <v>10088</v>
      </c>
      <c r="AA4535" s="218"/>
    </row>
    <row r="4536" spans="1:27" x14ac:dyDescent="0.25">
      <c r="A4536" s="419">
        <v>3003528</v>
      </c>
      <c r="B4536" s="421">
        <v>42585</v>
      </c>
      <c r="C4536" s="419" t="s">
        <v>63</v>
      </c>
      <c r="D4536" s="417" t="s">
        <v>4323</v>
      </c>
      <c r="E4536" s="120">
        <v>388</v>
      </c>
      <c r="F4536" s="133" t="s">
        <v>10089</v>
      </c>
      <c r="G4536" s="434" t="s">
        <v>7486</v>
      </c>
      <c r="H4536" s="427">
        <v>3146.3</v>
      </c>
      <c r="I4536" s="427">
        <v>0</v>
      </c>
      <c r="J4536" s="425">
        <f>-((H4536*0.022)+0.3)</f>
        <v>-69.518599999999992</v>
      </c>
      <c r="K4536" s="425">
        <f t="shared" si="933"/>
        <v>3076.7814000000003</v>
      </c>
      <c r="L4536" s="187">
        <v>1600</v>
      </c>
      <c r="N4536" s="91">
        <f t="shared" si="934"/>
        <v>620.80000000000007</v>
      </c>
      <c r="O4536" s="411">
        <f t="shared" si="913"/>
        <v>2455.9814000000001</v>
      </c>
      <c r="P4536" s="132" t="s">
        <v>66</v>
      </c>
      <c r="Q4536" s="232"/>
      <c r="R4536" s="411"/>
      <c r="T4536" s="439" t="s">
        <v>314</v>
      </c>
      <c r="U4536" s="602">
        <v>3699743891</v>
      </c>
      <c r="W4536" s="153" t="s">
        <v>4325</v>
      </c>
      <c r="AA4536" s="473">
        <v>10</v>
      </c>
    </row>
    <row r="4537" spans="1:27" x14ac:dyDescent="0.25">
      <c r="A4537" s="420"/>
      <c r="B4537" s="422"/>
      <c r="C4537" s="420"/>
      <c r="D4537" s="418"/>
      <c r="E4537" s="120">
        <v>150</v>
      </c>
      <c r="F4537" s="133" t="s">
        <v>5347</v>
      </c>
      <c r="G4537" s="436"/>
      <c r="H4537" s="428"/>
      <c r="I4537" s="428"/>
      <c r="J4537" s="426"/>
      <c r="K4537" s="426"/>
      <c r="L4537" s="187">
        <v>10380</v>
      </c>
      <c r="M4537" s="131">
        <v>0</v>
      </c>
      <c r="N4537" s="91">
        <f t="shared" si="934"/>
        <v>1557</v>
      </c>
      <c r="O4537" s="411">
        <f t="shared" si="913"/>
        <v>-1557</v>
      </c>
      <c r="P4537" s="132" t="s">
        <v>66</v>
      </c>
      <c r="Q4537" s="232"/>
      <c r="R4537" s="411"/>
      <c r="T4537" s="441"/>
      <c r="U4537" s="603"/>
      <c r="AA4537" s="474"/>
    </row>
    <row r="4538" spans="1:27" x14ac:dyDescent="0.25">
      <c r="A4538" s="405">
        <v>3003529</v>
      </c>
      <c r="B4538" s="406">
        <v>42585</v>
      </c>
      <c r="C4538" s="405" t="s">
        <v>63</v>
      </c>
      <c r="D4538" s="401" t="s">
        <v>10090</v>
      </c>
      <c r="E4538" s="120">
        <v>400</v>
      </c>
      <c r="F4538" s="133" t="s">
        <v>198</v>
      </c>
      <c r="G4538" s="404" t="s">
        <v>7486</v>
      </c>
      <c r="H4538" s="411">
        <v>1110</v>
      </c>
      <c r="I4538" s="411">
        <v>0</v>
      </c>
      <c r="J4538" s="258">
        <f>-((H4538*0.022)+0.3)</f>
        <v>-24.72</v>
      </c>
      <c r="K4538" s="90">
        <f t="shared" si="933"/>
        <v>1085.28</v>
      </c>
      <c r="L4538" s="131">
        <v>1693</v>
      </c>
      <c r="M4538" s="187">
        <v>109</v>
      </c>
      <c r="N4538" s="91">
        <f t="shared" si="934"/>
        <v>786.2</v>
      </c>
      <c r="O4538" s="411">
        <f t="shared" si="913"/>
        <v>299.07999999999993</v>
      </c>
      <c r="P4538" s="132" t="s">
        <v>52</v>
      </c>
      <c r="Q4538" s="232"/>
      <c r="R4538" s="411"/>
      <c r="T4538" s="172" t="s">
        <v>244</v>
      </c>
      <c r="U4538" s="259" t="s">
        <v>10091</v>
      </c>
      <c r="V4538" s="133" t="s">
        <v>55</v>
      </c>
      <c r="W4538" s="153" t="s">
        <v>10092</v>
      </c>
      <c r="AA4538" s="218">
        <v>10</v>
      </c>
    </row>
    <row r="4539" spans="1:27" x14ac:dyDescent="0.25">
      <c r="A4539" s="405">
        <v>3003530</v>
      </c>
      <c r="B4539" s="406">
        <v>42585</v>
      </c>
      <c r="C4539" s="405" t="s">
        <v>280</v>
      </c>
      <c r="D4539" s="401" t="s">
        <v>10093</v>
      </c>
      <c r="E4539" s="120">
        <v>430</v>
      </c>
      <c r="F4539" s="133" t="s">
        <v>178</v>
      </c>
      <c r="G4539" s="404" t="s">
        <v>7486</v>
      </c>
      <c r="H4539" s="411">
        <v>799.8</v>
      </c>
      <c r="I4539" s="411">
        <v>0</v>
      </c>
      <c r="J4539" s="258">
        <f>-((H4539*0.022)+0.3)</f>
        <v>-17.895599999999998</v>
      </c>
      <c r="K4539" s="90">
        <f t="shared" si="933"/>
        <v>781.90440000000001</v>
      </c>
      <c r="L4539" s="131">
        <v>816</v>
      </c>
      <c r="M4539" s="187">
        <v>193.31</v>
      </c>
      <c r="N4539" s="91">
        <f t="shared" si="934"/>
        <v>544.19000000000005</v>
      </c>
      <c r="O4539" s="411">
        <f t="shared" si="913"/>
        <v>237.71439999999996</v>
      </c>
      <c r="P4539" s="132" t="s">
        <v>86</v>
      </c>
      <c r="Q4539" s="232"/>
      <c r="R4539" s="411"/>
      <c r="T4539" s="135" t="s">
        <v>1467</v>
      </c>
      <c r="V4539" s="133" t="s">
        <v>55</v>
      </c>
      <c r="W4539" s="153" t="s">
        <v>10094</v>
      </c>
      <c r="AA4539" s="218"/>
    </row>
    <row r="4540" spans="1:27" x14ac:dyDescent="0.25">
      <c r="A4540" s="405">
        <v>3003531</v>
      </c>
      <c r="B4540" s="406">
        <v>42585</v>
      </c>
      <c r="C4540" s="405" t="s">
        <v>327</v>
      </c>
      <c r="D4540" s="401" t="s">
        <v>10095</v>
      </c>
      <c r="E4540" s="120">
        <v>200</v>
      </c>
      <c r="F4540" s="133" t="s">
        <v>70</v>
      </c>
      <c r="G4540" s="404" t="s">
        <v>7486</v>
      </c>
      <c r="H4540" s="411">
        <v>510</v>
      </c>
      <c r="I4540" s="411">
        <v>0</v>
      </c>
      <c r="J4540" s="258">
        <f>-((H4540*0.022)+0.3)</f>
        <v>-11.52</v>
      </c>
      <c r="K4540" s="90">
        <f t="shared" si="933"/>
        <v>498.48</v>
      </c>
      <c r="L4540" s="131">
        <v>1200</v>
      </c>
      <c r="M4540" s="187">
        <v>214.76</v>
      </c>
      <c r="N4540" s="91">
        <f t="shared" si="934"/>
        <v>454.76</v>
      </c>
      <c r="O4540" s="411">
        <f t="shared" si="913"/>
        <v>43.720000000000027</v>
      </c>
      <c r="P4540" s="132" t="s">
        <v>86</v>
      </c>
      <c r="Q4540" s="232"/>
      <c r="R4540" s="411"/>
      <c r="T4540" s="134" t="s">
        <v>1743</v>
      </c>
      <c r="U4540" s="266">
        <v>405615770</v>
      </c>
      <c r="V4540" s="133" t="s">
        <v>55</v>
      </c>
      <c r="W4540" s="153" t="s">
        <v>10096</v>
      </c>
      <c r="AA4540" s="218"/>
    </row>
    <row r="4541" spans="1:27" x14ac:dyDescent="0.25">
      <c r="A4541" s="405">
        <v>3003532</v>
      </c>
      <c r="B4541" s="406">
        <v>42585</v>
      </c>
      <c r="C4541" s="405" t="s">
        <v>5682</v>
      </c>
      <c r="D4541" s="401" t="s">
        <v>10097</v>
      </c>
      <c r="E4541" s="120">
        <v>175</v>
      </c>
      <c r="F4541" s="133" t="s">
        <v>70</v>
      </c>
      <c r="G4541" s="404" t="s">
        <v>7486</v>
      </c>
      <c r="H4541" s="411">
        <v>458.25</v>
      </c>
      <c r="I4541" s="89">
        <f t="shared" ref="I4541:I4542" si="938">-(H4541*0.09)</f>
        <v>-41.2425</v>
      </c>
      <c r="J4541" s="258">
        <f t="shared" ref="J4541:J4542" si="939">-((H4541*0.019)+0.3)</f>
        <v>-9.0067500000000003</v>
      </c>
      <c r="K4541" s="90">
        <f t="shared" si="933"/>
        <v>408.00074999999998</v>
      </c>
      <c r="L4541" s="131">
        <v>1200</v>
      </c>
      <c r="M4541" s="187">
        <v>173</v>
      </c>
      <c r="N4541" s="91">
        <f t="shared" si="934"/>
        <v>383</v>
      </c>
      <c r="O4541" s="411">
        <f t="shared" si="913"/>
        <v>25.000749999999982</v>
      </c>
      <c r="P4541" s="132" t="s">
        <v>86</v>
      </c>
      <c r="Q4541" s="232"/>
      <c r="R4541" s="411"/>
      <c r="T4541" s="134" t="s">
        <v>97</v>
      </c>
      <c r="U4541" s="267" t="s">
        <v>10098</v>
      </c>
      <c r="V4541" s="133" t="s">
        <v>55</v>
      </c>
      <c r="W4541" s="153" t="s">
        <v>10099</v>
      </c>
      <c r="AA4541" s="218"/>
    </row>
    <row r="4542" spans="1:27" ht="24" x14ac:dyDescent="0.25">
      <c r="A4542" s="405">
        <v>3003533</v>
      </c>
      <c r="B4542" s="406">
        <v>42585</v>
      </c>
      <c r="C4542" s="405" t="s">
        <v>5682</v>
      </c>
      <c r="D4542" s="401" t="s">
        <v>10100</v>
      </c>
      <c r="E4542" s="120">
        <v>500</v>
      </c>
      <c r="F4542" s="133" t="s">
        <v>983</v>
      </c>
      <c r="G4542" s="404" t="s">
        <v>7486</v>
      </c>
      <c r="H4542" s="411">
        <v>286.85000000000002</v>
      </c>
      <c r="I4542" s="89">
        <f t="shared" si="938"/>
        <v>-25.816500000000001</v>
      </c>
      <c r="J4542" s="258">
        <f t="shared" si="939"/>
        <v>-5.7501500000000005</v>
      </c>
      <c r="K4542" s="90">
        <f t="shared" si="933"/>
        <v>255.28335000000001</v>
      </c>
      <c r="L4542" s="131">
        <v>300</v>
      </c>
      <c r="M4542" s="187">
        <v>54.37</v>
      </c>
      <c r="N4542" s="91">
        <f t="shared" si="934"/>
        <v>204.37</v>
      </c>
      <c r="O4542" s="411">
        <f t="shared" si="913"/>
        <v>50.913350000000008</v>
      </c>
      <c r="P4542" s="132" t="s">
        <v>52</v>
      </c>
      <c r="Q4542" s="232"/>
      <c r="R4542" s="411"/>
      <c r="T4542" s="172" t="s">
        <v>145</v>
      </c>
      <c r="U4542" s="259">
        <v>665651739684</v>
      </c>
      <c r="AA4542" s="218"/>
    </row>
    <row r="4543" spans="1:27" ht="24" customHeight="1" x14ac:dyDescent="0.25">
      <c r="A4543" s="419">
        <v>3003534</v>
      </c>
      <c r="B4543" s="421">
        <v>42585</v>
      </c>
      <c r="C4543" s="419" t="s">
        <v>555</v>
      </c>
      <c r="D4543" s="417" t="s">
        <v>10101</v>
      </c>
      <c r="E4543" s="120">
        <v>525</v>
      </c>
      <c r="F4543" s="133" t="s">
        <v>10102</v>
      </c>
      <c r="G4543" s="434" t="s">
        <v>7486</v>
      </c>
      <c r="H4543" s="427">
        <v>791.92</v>
      </c>
      <c r="I4543" s="427">
        <v>0</v>
      </c>
      <c r="J4543" s="427">
        <v>0</v>
      </c>
      <c r="K4543" s="425">
        <f t="shared" si="933"/>
        <v>791.92</v>
      </c>
      <c r="L4543" s="187">
        <v>650</v>
      </c>
      <c r="N4543" s="91">
        <f t="shared" si="934"/>
        <v>341.25</v>
      </c>
      <c r="O4543" s="411">
        <f t="shared" si="913"/>
        <v>450.66999999999996</v>
      </c>
      <c r="P4543" s="132" t="s">
        <v>183</v>
      </c>
      <c r="Q4543" s="232"/>
      <c r="R4543" s="411"/>
      <c r="T4543" s="439" t="s">
        <v>755</v>
      </c>
      <c r="U4543" s="444" t="s">
        <v>10103</v>
      </c>
      <c r="W4543" s="153" t="s">
        <v>10104</v>
      </c>
      <c r="AA4543" s="218"/>
    </row>
    <row r="4544" spans="1:27" x14ac:dyDescent="0.25">
      <c r="A4544" s="420"/>
      <c r="B4544" s="422"/>
      <c r="C4544" s="420"/>
      <c r="D4544" s="418"/>
      <c r="E4544" s="120">
        <v>131</v>
      </c>
      <c r="F4544" s="133" t="s">
        <v>10105</v>
      </c>
      <c r="G4544" s="436"/>
      <c r="H4544" s="428"/>
      <c r="I4544" s="428"/>
      <c r="J4544" s="428"/>
      <c r="K4544" s="426"/>
      <c r="L4544" s="187">
        <v>1150</v>
      </c>
      <c r="M4544" s="131">
        <v>0</v>
      </c>
      <c r="N4544" s="91">
        <f t="shared" si="934"/>
        <v>150.65</v>
      </c>
      <c r="O4544" s="411">
        <f t="shared" si="913"/>
        <v>-150.65</v>
      </c>
      <c r="P4544" s="132" t="s">
        <v>183</v>
      </c>
      <c r="Q4544" s="232"/>
      <c r="R4544" s="411"/>
      <c r="T4544" s="441"/>
      <c r="U4544" s="445"/>
      <c r="AA4544" s="218"/>
    </row>
    <row r="4545" spans="1:27" x14ac:dyDescent="0.25">
      <c r="A4545" s="419">
        <v>3003535</v>
      </c>
      <c r="B4545" s="421">
        <v>42586</v>
      </c>
      <c r="C4545" s="419" t="s">
        <v>63</v>
      </c>
      <c r="D4545" s="417" t="s">
        <v>10106</v>
      </c>
      <c r="E4545" s="120">
        <v>1000</v>
      </c>
      <c r="F4545" s="133" t="s">
        <v>10107</v>
      </c>
      <c r="G4545" s="434" t="s">
        <v>7486</v>
      </c>
      <c r="H4545" s="427">
        <v>2700</v>
      </c>
      <c r="I4545" s="427">
        <v>0</v>
      </c>
      <c r="J4545" s="498">
        <f>-((H4545*0.022)+0.3)</f>
        <v>-59.699999999999996</v>
      </c>
      <c r="K4545" s="425">
        <f t="shared" si="933"/>
        <v>2640.3</v>
      </c>
      <c r="L4545" s="131">
        <v>710</v>
      </c>
      <c r="M4545" s="187">
        <v>110.94</v>
      </c>
      <c r="N4545" s="91">
        <f t="shared" si="934"/>
        <v>820.94</v>
      </c>
      <c r="O4545" s="411">
        <f t="shared" si="913"/>
        <v>1819.3600000000001</v>
      </c>
      <c r="P4545" s="132" t="s">
        <v>52</v>
      </c>
      <c r="Q4545" s="232"/>
      <c r="R4545" s="411"/>
      <c r="T4545" s="172" t="s">
        <v>244</v>
      </c>
      <c r="U4545" s="259" t="s">
        <v>10108</v>
      </c>
      <c r="V4545" s="133" t="s">
        <v>55</v>
      </c>
      <c r="W4545" s="153" t="s">
        <v>10109</v>
      </c>
      <c r="AA4545" s="473">
        <v>10</v>
      </c>
    </row>
    <row r="4546" spans="1:27" x14ac:dyDescent="0.25">
      <c r="A4546" s="420"/>
      <c r="B4546" s="422"/>
      <c r="C4546" s="420"/>
      <c r="D4546" s="418"/>
      <c r="E4546" s="120">
        <v>1000</v>
      </c>
      <c r="F4546" s="133" t="s">
        <v>10107</v>
      </c>
      <c r="G4546" s="436"/>
      <c r="H4546" s="428"/>
      <c r="I4546" s="428"/>
      <c r="J4546" s="499"/>
      <c r="K4546" s="426"/>
      <c r="L4546" s="187">
        <v>885</v>
      </c>
      <c r="M4546" s="187">
        <v>105</v>
      </c>
      <c r="N4546" s="91">
        <f t="shared" si="934"/>
        <v>990</v>
      </c>
      <c r="O4546" s="411">
        <f t="shared" si="913"/>
        <v>-990</v>
      </c>
      <c r="P4546" s="132" t="s">
        <v>183</v>
      </c>
      <c r="Q4546" s="232"/>
      <c r="R4546" s="411"/>
      <c r="T4546" s="172" t="s">
        <v>760</v>
      </c>
      <c r="U4546" s="259">
        <v>32803035</v>
      </c>
      <c r="V4546" s="133" t="s">
        <v>10110</v>
      </c>
      <c r="AA4546" s="474"/>
    </row>
    <row r="4547" spans="1:27" x14ac:dyDescent="0.25">
      <c r="A4547" s="405">
        <v>3003536</v>
      </c>
      <c r="B4547" s="406">
        <v>42586</v>
      </c>
      <c r="C4547" s="405" t="s">
        <v>327</v>
      </c>
      <c r="D4547" s="401" t="s">
        <v>4638</v>
      </c>
      <c r="E4547" s="120">
        <v>4000</v>
      </c>
      <c r="F4547" s="133" t="s">
        <v>7409</v>
      </c>
      <c r="G4547" s="404" t="s">
        <v>7486</v>
      </c>
      <c r="H4547" s="411">
        <v>1560</v>
      </c>
      <c r="I4547" s="411">
        <v>0</v>
      </c>
      <c r="J4547" s="258">
        <f>-((H4547*0.022)+0.3)</f>
        <v>-34.619999999999997</v>
      </c>
      <c r="K4547" s="90">
        <f t="shared" si="933"/>
        <v>1525.38</v>
      </c>
      <c r="L4547" s="187">
        <v>250</v>
      </c>
      <c r="M4547" s="187">
        <v>99</v>
      </c>
      <c r="N4547" s="91">
        <f t="shared" si="934"/>
        <v>1099</v>
      </c>
      <c r="O4547" s="411">
        <f t="shared" si="913"/>
        <v>426.38000000000011</v>
      </c>
      <c r="P4547" s="132" t="s">
        <v>235</v>
      </c>
      <c r="Q4547" s="232"/>
      <c r="R4547" s="411"/>
      <c r="T4547" s="134" t="s">
        <v>67</v>
      </c>
      <c r="U4547" s="267" t="s">
        <v>10111</v>
      </c>
      <c r="W4547" s="153" t="s">
        <v>4641</v>
      </c>
      <c r="AA4547" s="218">
        <v>10</v>
      </c>
    </row>
    <row r="4548" spans="1:27" x14ac:dyDescent="0.25">
      <c r="A4548" s="405">
        <v>3003537</v>
      </c>
      <c r="B4548" s="406">
        <v>42586</v>
      </c>
      <c r="C4548" s="405" t="s">
        <v>63</v>
      </c>
      <c r="D4548" s="401" t="s">
        <v>2728</v>
      </c>
      <c r="E4548" s="120">
        <v>250</v>
      </c>
      <c r="F4548" s="133" t="s">
        <v>874</v>
      </c>
      <c r="G4548" s="404" t="s">
        <v>7486</v>
      </c>
      <c r="H4548" s="411">
        <v>800</v>
      </c>
      <c r="I4548" s="411">
        <v>0</v>
      </c>
      <c r="J4548" s="258">
        <f>-((H4548*0.022)+0.3)</f>
        <v>-17.899999999999999</v>
      </c>
      <c r="K4548" s="90">
        <f t="shared" si="933"/>
        <v>782.1</v>
      </c>
      <c r="L4548" s="131">
        <v>1795</v>
      </c>
      <c r="M4548" s="187">
        <v>221.01</v>
      </c>
      <c r="N4548" s="91">
        <f t="shared" si="934"/>
        <v>669.76</v>
      </c>
      <c r="O4548" s="411">
        <f t="shared" ref="O4548:O4611" si="940">K4548-N4548</f>
        <v>112.34000000000003</v>
      </c>
      <c r="P4548" s="132" t="s">
        <v>52</v>
      </c>
      <c r="Q4548" s="232"/>
      <c r="R4548" s="411"/>
      <c r="T4548" s="172" t="s">
        <v>97</v>
      </c>
      <c r="U4548" s="259" t="s">
        <v>10112</v>
      </c>
      <c r="V4548" s="133" t="s">
        <v>55</v>
      </c>
      <c r="W4548" s="153" t="s">
        <v>2730</v>
      </c>
      <c r="AA4548" s="218"/>
    </row>
    <row r="4549" spans="1:27" ht="24" x14ac:dyDescent="0.25">
      <c r="A4549" s="405">
        <v>3003538</v>
      </c>
      <c r="B4549" s="406">
        <v>42586</v>
      </c>
      <c r="C4549" s="405" t="s">
        <v>63</v>
      </c>
      <c r="D4549" s="401" t="s">
        <v>10113</v>
      </c>
      <c r="E4549" s="120">
        <v>250</v>
      </c>
      <c r="F4549" s="133" t="s">
        <v>3685</v>
      </c>
      <c r="G4549" s="404" t="s">
        <v>7486</v>
      </c>
      <c r="H4549" s="411">
        <v>300</v>
      </c>
      <c r="I4549" s="411">
        <v>0</v>
      </c>
      <c r="J4549" s="258">
        <f>-((H4549*0.022)+0.3)</f>
        <v>-6.8999999999999995</v>
      </c>
      <c r="K4549" s="90">
        <f t="shared" si="933"/>
        <v>293.10000000000002</v>
      </c>
      <c r="L4549" s="187">
        <v>735</v>
      </c>
      <c r="M4549" s="131">
        <v>0</v>
      </c>
      <c r="N4549" s="91">
        <f t="shared" si="934"/>
        <v>183.75</v>
      </c>
      <c r="O4549" s="411">
        <f t="shared" si="940"/>
        <v>109.35000000000002</v>
      </c>
      <c r="P4549" s="132" t="s">
        <v>46</v>
      </c>
      <c r="Q4549" s="232"/>
      <c r="R4549" s="411"/>
      <c r="T4549" s="134" t="s">
        <v>10114</v>
      </c>
      <c r="U4549" s="266" t="s">
        <v>10114</v>
      </c>
      <c r="W4549" s="153" t="s">
        <v>10115</v>
      </c>
      <c r="AA4549" s="218"/>
    </row>
    <row r="4550" spans="1:27" ht="24" x14ac:dyDescent="0.25">
      <c r="A4550" s="405" t="s">
        <v>10116</v>
      </c>
      <c r="B4550" s="406">
        <v>42586</v>
      </c>
      <c r="C4550" s="405" t="s">
        <v>141</v>
      </c>
      <c r="D4550" s="401" t="s">
        <v>10117</v>
      </c>
      <c r="E4550" s="120">
        <v>250</v>
      </c>
      <c r="F4550" s="133" t="s">
        <v>3685</v>
      </c>
      <c r="G4550" s="404" t="s">
        <v>7486</v>
      </c>
      <c r="H4550" s="411">
        <v>300</v>
      </c>
      <c r="I4550" s="411">
        <v>0</v>
      </c>
      <c r="J4550" s="258">
        <f>-((H4550*0.0325)+0.3)</f>
        <v>-10.050000000000001</v>
      </c>
      <c r="K4550" s="90">
        <f t="shared" si="933"/>
        <v>289.95</v>
      </c>
      <c r="L4550" s="131">
        <v>735</v>
      </c>
      <c r="M4550" s="131">
        <v>0</v>
      </c>
      <c r="N4550" s="91">
        <f t="shared" si="934"/>
        <v>183.75</v>
      </c>
      <c r="O4550" s="411">
        <f t="shared" si="940"/>
        <v>106.19999999999999</v>
      </c>
      <c r="P4550" s="132" t="s">
        <v>46</v>
      </c>
      <c r="Q4550" s="232"/>
      <c r="R4550" s="411"/>
      <c r="T4550" s="134" t="s">
        <v>10114</v>
      </c>
      <c r="U4550" s="266" t="s">
        <v>10114</v>
      </c>
      <c r="W4550" s="153" t="s">
        <v>10115</v>
      </c>
      <c r="AA4550" s="218"/>
    </row>
    <row r="4551" spans="1:27" ht="24" x14ac:dyDescent="0.25">
      <c r="A4551" s="405">
        <v>3003539</v>
      </c>
      <c r="B4551" s="406">
        <v>42586</v>
      </c>
      <c r="C4551" s="405" t="s">
        <v>5682</v>
      </c>
      <c r="D4551" s="401" t="s">
        <v>10118</v>
      </c>
      <c r="E4551" s="120">
        <v>250</v>
      </c>
      <c r="F4551" s="133" t="s">
        <v>1137</v>
      </c>
      <c r="G4551" s="404" t="s">
        <v>7486</v>
      </c>
      <c r="H4551" s="411">
        <v>133</v>
      </c>
      <c r="I4551" s="89">
        <f t="shared" ref="I4551:I4563" si="941">-(H4551*0.09)</f>
        <v>-11.969999999999999</v>
      </c>
      <c r="J4551" s="258">
        <f t="shared" ref="J4551:J4563" si="942">-((H4551*0.019)+0.3)</f>
        <v>-2.827</v>
      </c>
      <c r="K4551" s="90">
        <f t="shared" si="933"/>
        <v>118.203</v>
      </c>
      <c r="L4551" s="131">
        <v>263.75</v>
      </c>
      <c r="M4551" s="187">
        <v>14.28</v>
      </c>
      <c r="N4551" s="91">
        <f t="shared" si="934"/>
        <v>80.217500000000001</v>
      </c>
      <c r="O4551" s="411">
        <f t="shared" si="940"/>
        <v>37.985500000000002</v>
      </c>
      <c r="P4551" s="132" t="s">
        <v>86</v>
      </c>
      <c r="Q4551" s="232"/>
      <c r="R4551" s="411"/>
      <c r="T4551" s="172" t="s">
        <v>145</v>
      </c>
      <c r="U4551" s="304" t="s">
        <v>10119</v>
      </c>
      <c r="AA4551" s="218"/>
    </row>
    <row r="4552" spans="1:27" x14ac:dyDescent="0.25">
      <c r="A4552" s="405">
        <v>3003540</v>
      </c>
      <c r="B4552" s="406">
        <v>42586</v>
      </c>
      <c r="C4552" s="405" t="s">
        <v>5682</v>
      </c>
      <c r="D4552" s="401" t="s">
        <v>10120</v>
      </c>
      <c r="E4552" s="120">
        <v>300</v>
      </c>
      <c r="F4552" s="133" t="s">
        <v>860</v>
      </c>
      <c r="G4552" s="404" t="s">
        <v>7486</v>
      </c>
      <c r="H4552" s="411">
        <v>1800</v>
      </c>
      <c r="I4552" s="89">
        <f t="shared" si="941"/>
        <v>-162</v>
      </c>
      <c r="J4552" s="258">
        <f t="shared" si="942"/>
        <v>-34.499999999999993</v>
      </c>
      <c r="K4552" s="90">
        <f t="shared" si="933"/>
        <v>1603.5</v>
      </c>
      <c r="L4552" s="131">
        <v>3300</v>
      </c>
      <c r="M4552" s="187">
        <v>183.75</v>
      </c>
      <c r="N4552" s="91">
        <f t="shared" si="934"/>
        <v>1173.75</v>
      </c>
      <c r="O4552" s="411">
        <f t="shared" si="940"/>
        <v>429.75</v>
      </c>
      <c r="P4552" s="132" t="s">
        <v>52</v>
      </c>
      <c r="Q4552" s="232"/>
      <c r="R4552" s="411"/>
      <c r="T4552" s="172" t="s">
        <v>1743</v>
      </c>
      <c r="U4552" s="259" t="s">
        <v>10121</v>
      </c>
      <c r="V4552" s="133" t="s">
        <v>10122</v>
      </c>
      <c r="AA4552" s="218"/>
    </row>
    <row r="4553" spans="1:27" ht="24" x14ac:dyDescent="0.25">
      <c r="A4553" s="405">
        <v>3003541</v>
      </c>
      <c r="B4553" s="406">
        <v>42586</v>
      </c>
      <c r="C4553" s="405" t="s">
        <v>5682</v>
      </c>
      <c r="D4553" s="401" t="s">
        <v>10123</v>
      </c>
      <c r="E4553" s="120">
        <v>150</v>
      </c>
      <c r="F4553" s="133" t="s">
        <v>431</v>
      </c>
      <c r="G4553" s="404" t="s">
        <v>7486</v>
      </c>
      <c r="H4553" s="411">
        <v>319.27999999999997</v>
      </c>
      <c r="I4553" s="89">
        <f t="shared" si="941"/>
        <v>-28.735199999999995</v>
      </c>
      <c r="J4553" s="258">
        <f t="shared" si="942"/>
        <v>-6.3663199999999991</v>
      </c>
      <c r="K4553" s="90">
        <f t="shared" si="933"/>
        <v>284.17847999999998</v>
      </c>
      <c r="L4553" s="131">
        <v>990</v>
      </c>
      <c r="M4553" s="187">
        <v>48.3</v>
      </c>
      <c r="N4553" s="91">
        <f t="shared" si="934"/>
        <v>196.8</v>
      </c>
      <c r="O4553" s="411">
        <f t="shared" si="940"/>
        <v>87.378479999999968</v>
      </c>
      <c r="P4553" s="132" t="s">
        <v>52</v>
      </c>
      <c r="Q4553" s="232"/>
      <c r="R4553" s="411"/>
      <c r="T4553" s="134" t="s">
        <v>145</v>
      </c>
      <c r="U4553" s="267" t="s">
        <v>10124</v>
      </c>
      <c r="AA4553" s="218"/>
    </row>
    <row r="4554" spans="1:27" ht="24" x14ac:dyDescent="0.25">
      <c r="A4554" s="405">
        <v>3003542</v>
      </c>
      <c r="B4554" s="406">
        <v>42586</v>
      </c>
      <c r="C4554" s="405" t="s">
        <v>5682</v>
      </c>
      <c r="D4554" s="401" t="s">
        <v>10125</v>
      </c>
      <c r="E4554" s="120">
        <v>100</v>
      </c>
      <c r="F4554" s="133" t="s">
        <v>2675</v>
      </c>
      <c r="G4554" s="404" t="s">
        <v>7486</v>
      </c>
      <c r="H4554" s="411">
        <v>155.63</v>
      </c>
      <c r="I4554" s="89">
        <f t="shared" si="941"/>
        <v>-14.006699999999999</v>
      </c>
      <c r="J4554" s="258">
        <f t="shared" si="942"/>
        <v>-3.2569699999999995</v>
      </c>
      <c r="K4554" s="90">
        <f t="shared" si="933"/>
        <v>138.36633</v>
      </c>
      <c r="L4554" s="187">
        <v>1100</v>
      </c>
      <c r="M4554" s="187">
        <v>28.52</v>
      </c>
      <c r="N4554" s="91">
        <f t="shared" si="934"/>
        <v>138.52000000000001</v>
      </c>
      <c r="O4554" s="411">
        <f t="shared" si="940"/>
        <v>-0.1536700000000053</v>
      </c>
      <c r="P4554" s="132" t="s">
        <v>183</v>
      </c>
      <c r="Q4554" s="232"/>
      <c r="R4554" s="411"/>
      <c r="T4554" s="134" t="s">
        <v>145</v>
      </c>
      <c r="U4554" s="267" t="s">
        <v>10126</v>
      </c>
      <c r="AA4554" s="218"/>
    </row>
    <row r="4555" spans="1:27" ht="24" x14ac:dyDescent="0.25">
      <c r="A4555" s="405">
        <v>3003543</v>
      </c>
      <c r="B4555" s="406">
        <v>42586</v>
      </c>
      <c r="C4555" s="405" t="s">
        <v>5682</v>
      </c>
      <c r="D4555" s="401" t="s">
        <v>10127</v>
      </c>
      <c r="E4555" s="120">
        <v>150</v>
      </c>
      <c r="F4555" s="133" t="s">
        <v>182</v>
      </c>
      <c r="G4555" s="404" t="s">
        <v>7486</v>
      </c>
      <c r="H4555" s="411">
        <v>289.75</v>
      </c>
      <c r="I4555" s="89">
        <f t="shared" si="941"/>
        <v>-26.077500000000001</v>
      </c>
      <c r="J4555" s="258">
        <f t="shared" si="942"/>
        <v>-5.80525</v>
      </c>
      <c r="K4555" s="90">
        <f t="shared" si="933"/>
        <v>257.86725000000001</v>
      </c>
      <c r="L4555" s="131">
        <v>1060</v>
      </c>
      <c r="M4555" s="187">
        <v>47.23</v>
      </c>
      <c r="N4555" s="91">
        <f t="shared" si="934"/>
        <v>206.23</v>
      </c>
      <c r="O4555" s="411">
        <f t="shared" si="940"/>
        <v>51.637250000000023</v>
      </c>
      <c r="P4555" s="132" t="s">
        <v>52</v>
      </c>
      <c r="Q4555" s="232"/>
      <c r="R4555" s="411"/>
      <c r="T4555" s="172" t="s">
        <v>145</v>
      </c>
      <c r="U4555" s="304" t="s">
        <v>10128</v>
      </c>
      <c r="AA4555" s="218"/>
    </row>
    <row r="4556" spans="1:27" ht="24" x14ac:dyDescent="0.25">
      <c r="A4556" s="405">
        <v>3003544</v>
      </c>
      <c r="B4556" s="406">
        <v>42586</v>
      </c>
      <c r="C4556" s="405" t="s">
        <v>5682</v>
      </c>
      <c r="D4556" s="401" t="s">
        <v>10129</v>
      </c>
      <c r="E4556" s="120">
        <v>75</v>
      </c>
      <c r="F4556" s="133" t="s">
        <v>874</v>
      </c>
      <c r="G4556" s="404" t="s">
        <v>7486</v>
      </c>
      <c r="H4556" s="411">
        <v>256.5</v>
      </c>
      <c r="I4556" s="89">
        <f t="shared" si="941"/>
        <v>-23.085000000000001</v>
      </c>
      <c r="J4556" s="258">
        <f t="shared" si="942"/>
        <v>-5.1734999999999998</v>
      </c>
      <c r="K4556" s="90">
        <f t="shared" si="933"/>
        <v>228.2415</v>
      </c>
      <c r="L4556" s="131">
        <v>1795</v>
      </c>
      <c r="M4556" s="187">
        <v>53.59</v>
      </c>
      <c r="N4556" s="91">
        <f t="shared" si="934"/>
        <v>188.215</v>
      </c>
      <c r="O4556" s="411">
        <f t="shared" si="940"/>
        <v>40.026499999999999</v>
      </c>
      <c r="P4556" s="132" t="s">
        <v>52</v>
      </c>
      <c r="Q4556" s="232"/>
      <c r="R4556" s="411"/>
      <c r="T4556" s="172" t="s">
        <v>145</v>
      </c>
      <c r="U4556" s="259" t="s">
        <v>10130</v>
      </c>
      <c r="AA4556" s="218"/>
    </row>
    <row r="4557" spans="1:27" ht="24" x14ac:dyDescent="0.25">
      <c r="A4557" s="405">
        <v>3003545</v>
      </c>
      <c r="B4557" s="406">
        <v>42586</v>
      </c>
      <c r="C4557" s="405" t="s">
        <v>5682</v>
      </c>
      <c r="D4557" s="401" t="s">
        <v>10131</v>
      </c>
      <c r="E4557" s="120">
        <v>160</v>
      </c>
      <c r="F4557" s="133" t="s">
        <v>51</v>
      </c>
      <c r="G4557" s="404" t="s">
        <v>7486</v>
      </c>
      <c r="H4557" s="411">
        <v>316</v>
      </c>
      <c r="I4557" s="89">
        <f t="shared" si="941"/>
        <v>-28.439999999999998</v>
      </c>
      <c r="J4557" s="258">
        <f t="shared" si="942"/>
        <v>-6.3039999999999994</v>
      </c>
      <c r="K4557" s="90">
        <f t="shared" si="933"/>
        <v>281.25600000000003</v>
      </c>
      <c r="L4557" s="131">
        <v>1015</v>
      </c>
      <c r="M4557" s="187">
        <v>60.88</v>
      </c>
      <c r="N4557" s="91">
        <f t="shared" si="934"/>
        <v>223.28</v>
      </c>
      <c r="O4557" s="411">
        <f t="shared" si="940"/>
        <v>57.976000000000028</v>
      </c>
      <c r="P4557" s="132" t="s">
        <v>52</v>
      </c>
      <c r="Q4557" s="232"/>
      <c r="R4557" s="411"/>
      <c r="T4557" s="172" t="s">
        <v>145</v>
      </c>
      <c r="U4557" s="259" t="s">
        <v>10132</v>
      </c>
      <c r="AA4557" s="218"/>
    </row>
    <row r="4558" spans="1:27" ht="24" x14ac:dyDescent="0.25">
      <c r="A4558" s="405">
        <v>3003546</v>
      </c>
      <c r="B4558" s="406">
        <v>42586</v>
      </c>
      <c r="C4558" s="405" t="s">
        <v>5682</v>
      </c>
      <c r="D4558" s="401" t="s">
        <v>10133</v>
      </c>
      <c r="E4558" s="120">
        <v>200</v>
      </c>
      <c r="F4558" s="133" t="s">
        <v>582</v>
      </c>
      <c r="G4558" s="404" t="s">
        <v>7486</v>
      </c>
      <c r="H4558" s="411">
        <v>197.61</v>
      </c>
      <c r="I4558" s="89">
        <f t="shared" si="941"/>
        <v>-17.7849</v>
      </c>
      <c r="J4558" s="258">
        <f t="shared" si="942"/>
        <v>-4.0545900000000001</v>
      </c>
      <c r="K4558" s="90">
        <f t="shared" si="933"/>
        <v>175.77051000000003</v>
      </c>
      <c r="M4558" s="187">
        <v>23.64</v>
      </c>
      <c r="N4558" s="91">
        <f t="shared" si="934"/>
        <v>23.64</v>
      </c>
      <c r="O4558" s="411">
        <f t="shared" si="940"/>
        <v>152.13051000000002</v>
      </c>
      <c r="P4558" s="132" t="s">
        <v>86</v>
      </c>
      <c r="Q4558" s="232"/>
      <c r="R4558" s="411"/>
      <c r="T4558" s="134" t="s">
        <v>145</v>
      </c>
      <c r="U4558" s="267" t="s">
        <v>10134</v>
      </c>
      <c r="AA4558" s="218"/>
    </row>
    <row r="4559" spans="1:27" ht="24" x14ac:dyDescent="0.25">
      <c r="A4559" s="405">
        <v>3003547</v>
      </c>
      <c r="B4559" s="406">
        <v>42586</v>
      </c>
      <c r="C4559" s="405" t="s">
        <v>5682</v>
      </c>
      <c r="D4559" s="401" t="s">
        <v>8509</v>
      </c>
      <c r="E4559" s="120">
        <v>100</v>
      </c>
      <c r="F4559" s="133" t="s">
        <v>161</v>
      </c>
      <c r="G4559" s="404" t="s">
        <v>7486</v>
      </c>
      <c r="H4559" s="411">
        <v>230</v>
      </c>
      <c r="I4559" s="89">
        <f t="shared" si="941"/>
        <v>-20.7</v>
      </c>
      <c r="J4559" s="258">
        <f t="shared" si="942"/>
        <v>-4.67</v>
      </c>
      <c r="K4559" s="90">
        <f t="shared" si="933"/>
        <v>204.63000000000002</v>
      </c>
      <c r="L4559" s="131">
        <v>1322</v>
      </c>
      <c r="M4559" s="187">
        <v>25.59</v>
      </c>
      <c r="N4559" s="91">
        <f t="shared" si="934"/>
        <v>157.79000000000002</v>
      </c>
      <c r="O4559" s="411">
        <f t="shared" si="940"/>
        <v>46.84</v>
      </c>
      <c r="P4559" s="132" t="s">
        <v>52</v>
      </c>
      <c r="Q4559" s="232"/>
      <c r="R4559" s="411"/>
      <c r="T4559" s="134" t="s">
        <v>145</v>
      </c>
      <c r="U4559" s="267" t="s">
        <v>10135</v>
      </c>
      <c r="AA4559" s="218"/>
    </row>
    <row r="4560" spans="1:27" ht="24" x14ac:dyDescent="0.25">
      <c r="A4560" s="405">
        <v>3003548</v>
      </c>
      <c r="B4560" s="406">
        <v>42586</v>
      </c>
      <c r="C4560" s="405" t="s">
        <v>5682</v>
      </c>
      <c r="D4560" s="401" t="s">
        <v>10136</v>
      </c>
      <c r="E4560" s="120">
        <v>200</v>
      </c>
      <c r="F4560" s="133" t="s">
        <v>227</v>
      </c>
      <c r="G4560" s="404" t="s">
        <v>7486</v>
      </c>
      <c r="H4560" s="411">
        <v>180.26</v>
      </c>
      <c r="I4560" s="89">
        <f t="shared" si="941"/>
        <v>-16.223399999999998</v>
      </c>
      <c r="J4560" s="258">
        <f t="shared" si="942"/>
        <v>-3.7249399999999997</v>
      </c>
      <c r="K4560" s="90">
        <f t="shared" si="933"/>
        <v>160.31165999999999</v>
      </c>
      <c r="L4560" s="131">
        <v>350</v>
      </c>
      <c r="M4560" s="187">
        <v>42.94</v>
      </c>
      <c r="N4560" s="91">
        <f t="shared" si="934"/>
        <v>112.94</v>
      </c>
      <c r="O4560" s="411">
        <f t="shared" si="940"/>
        <v>47.371659999999991</v>
      </c>
      <c r="P4560" s="132" t="s">
        <v>52</v>
      </c>
      <c r="Q4560" s="232"/>
      <c r="R4560" s="411"/>
      <c r="T4560" s="134" t="s">
        <v>145</v>
      </c>
      <c r="U4560" s="267" t="s">
        <v>10137</v>
      </c>
      <c r="AA4560" s="218"/>
    </row>
    <row r="4561" spans="1:27" ht="24" x14ac:dyDescent="0.25">
      <c r="A4561" s="405">
        <v>3003549</v>
      </c>
      <c r="B4561" s="406">
        <v>42586</v>
      </c>
      <c r="C4561" s="405" t="s">
        <v>5682</v>
      </c>
      <c r="D4561" s="401" t="s">
        <v>10138</v>
      </c>
      <c r="E4561" s="120">
        <v>100</v>
      </c>
      <c r="F4561" s="133" t="s">
        <v>1531</v>
      </c>
      <c r="G4561" s="404" t="s">
        <v>7486</v>
      </c>
      <c r="H4561" s="411">
        <v>144.38999999999999</v>
      </c>
      <c r="I4561" s="89">
        <f t="shared" si="941"/>
        <v>-12.995099999999999</v>
      </c>
      <c r="J4561" s="258">
        <f t="shared" si="942"/>
        <v>-3.0434099999999993</v>
      </c>
      <c r="K4561" s="90">
        <f t="shared" si="933"/>
        <v>128.35148999999998</v>
      </c>
      <c r="L4561" s="187">
        <v>979</v>
      </c>
      <c r="M4561" s="187">
        <v>17.77</v>
      </c>
      <c r="N4561" s="91">
        <f t="shared" si="934"/>
        <v>115.67</v>
      </c>
      <c r="O4561" s="411">
        <f t="shared" si="940"/>
        <v>12.681489999999982</v>
      </c>
      <c r="P4561" s="132" t="s">
        <v>601</v>
      </c>
      <c r="Q4561" s="232"/>
      <c r="R4561" s="411">
        <v>10.7</v>
      </c>
      <c r="S4561" s="133" t="s">
        <v>10139</v>
      </c>
      <c r="T4561" s="172" t="s">
        <v>145</v>
      </c>
      <c r="U4561" s="259">
        <v>642286528434</v>
      </c>
      <c r="AA4561" s="218"/>
    </row>
    <row r="4562" spans="1:27" ht="24" x14ac:dyDescent="0.25">
      <c r="A4562" s="405">
        <v>3003550</v>
      </c>
      <c r="B4562" s="406">
        <v>42586</v>
      </c>
      <c r="C4562" s="405" t="s">
        <v>5682</v>
      </c>
      <c r="D4562" s="401" t="s">
        <v>10140</v>
      </c>
      <c r="E4562" s="120">
        <v>225</v>
      </c>
      <c r="F4562" s="133" t="s">
        <v>605</v>
      </c>
      <c r="G4562" s="404" t="s">
        <v>7486</v>
      </c>
      <c r="H4562" s="411">
        <v>355.11</v>
      </c>
      <c r="I4562" s="89">
        <f t="shared" si="941"/>
        <v>-31.959900000000001</v>
      </c>
      <c r="J4562" s="258">
        <f t="shared" si="942"/>
        <v>-7.0470899999999999</v>
      </c>
      <c r="K4562" s="90">
        <f t="shared" si="933"/>
        <v>316.10300999999998</v>
      </c>
      <c r="L4562" s="131">
        <v>595</v>
      </c>
      <c r="M4562" s="187">
        <v>65.819999999999993</v>
      </c>
      <c r="N4562" s="91">
        <f t="shared" si="934"/>
        <v>199.69499999999999</v>
      </c>
      <c r="O4562" s="411">
        <f t="shared" si="940"/>
        <v>116.40800999999999</v>
      </c>
      <c r="P4562" s="132" t="s">
        <v>52</v>
      </c>
      <c r="Q4562" s="232"/>
      <c r="R4562" s="411"/>
      <c r="T4562" s="134" t="s">
        <v>145</v>
      </c>
      <c r="U4562" s="267" t="s">
        <v>10141</v>
      </c>
      <c r="AA4562" s="218"/>
    </row>
    <row r="4563" spans="1:27" ht="24" x14ac:dyDescent="0.25">
      <c r="A4563" s="405">
        <v>3003551</v>
      </c>
      <c r="B4563" s="406">
        <v>42586</v>
      </c>
      <c r="C4563" s="405" t="s">
        <v>5682</v>
      </c>
      <c r="D4563" s="401" t="s">
        <v>7549</v>
      </c>
      <c r="E4563" s="120">
        <v>200</v>
      </c>
      <c r="F4563" s="133" t="s">
        <v>10142</v>
      </c>
      <c r="G4563" s="404" t="s">
        <v>7486</v>
      </c>
      <c r="H4563" s="411">
        <v>677.48</v>
      </c>
      <c r="I4563" s="89">
        <f t="shared" si="941"/>
        <v>-60.973199999999999</v>
      </c>
      <c r="J4563" s="258">
        <f t="shared" si="942"/>
        <v>-13.172120000000001</v>
      </c>
      <c r="K4563" s="90">
        <f t="shared" si="933"/>
        <v>603.33468000000005</v>
      </c>
      <c r="L4563" s="187">
        <v>2430</v>
      </c>
      <c r="M4563" s="131">
        <v>0</v>
      </c>
      <c r="N4563" s="91">
        <f t="shared" si="934"/>
        <v>486</v>
      </c>
      <c r="O4563" s="411">
        <f t="shared" si="940"/>
        <v>117.33468000000005</v>
      </c>
      <c r="P4563" s="132" t="s">
        <v>66</v>
      </c>
      <c r="Q4563" s="232"/>
      <c r="R4563" s="411"/>
      <c r="T4563" s="134" t="s">
        <v>10143</v>
      </c>
      <c r="U4563" s="266">
        <v>260563</v>
      </c>
      <c r="AA4563" s="218"/>
    </row>
    <row r="4564" spans="1:27" ht="24" x14ac:dyDescent="0.25">
      <c r="A4564" s="405">
        <v>3003552</v>
      </c>
      <c r="B4564" s="406">
        <v>42586</v>
      </c>
      <c r="C4564" s="405" t="s">
        <v>237</v>
      </c>
      <c r="D4564" s="401" t="s">
        <v>10144</v>
      </c>
      <c r="E4564" s="120">
        <v>100</v>
      </c>
      <c r="F4564" s="133" t="s">
        <v>590</v>
      </c>
      <c r="G4564" s="404" t="s">
        <v>7486</v>
      </c>
      <c r="H4564" s="411">
        <v>133.97</v>
      </c>
      <c r="I4564" s="397">
        <f t="shared" ref="I4564:I4567" si="943">-(H4564*0.15)</f>
        <v>-20.095499999999998</v>
      </c>
      <c r="J4564" s="411">
        <v>0</v>
      </c>
      <c r="K4564" s="90">
        <f t="shared" si="933"/>
        <v>113.8745</v>
      </c>
      <c r="L4564" s="131">
        <v>577</v>
      </c>
      <c r="M4564" s="187">
        <v>33.159999999999997</v>
      </c>
      <c r="N4564" s="91">
        <f t="shared" si="934"/>
        <v>90.86</v>
      </c>
      <c r="O4564" s="411">
        <f t="shared" si="940"/>
        <v>23.014499999999998</v>
      </c>
      <c r="P4564" s="132" t="s">
        <v>52</v>
      </c>
      <c r="Q4564" s="232"/>
      <c r="R4564" s="411"/>
      <c r="T4564" s="134" t="s">
        <v>145</v>
      </c>
      <c r="U4564" s="267" t="s">
        <v>10145</v>
      </c>
      <c r="AA4564" s="218"/>
    </row>
    <row r="4565" spans="1:27" ht="24" x14ac:dyDescent="0.25">
      <c r="A4565" s="405">
        <v>3003553</v>
      </c>
      <c r="B4565" s="406">
        <v>42586</v>
      </c>
      <c r="C4565" s="405" t="s">
        <v>237</v>
      </c>
      <c r="D4565" s="401" t="s">
        <v>10146</v>
      </c>
      <c r="E4565" s="120">
        <v>100</v>
      </c>
      <c r="F4565" s="133" t="s">
        <v>161</v>
      </c>
      <c r="G4565" s="404" t="s">
        <v>7486</v>
      </c>
      <c r="H4565" s="411">
        <v>250</v>
      </c>
      <c r="I4565" s="397">
        <f t="shared" si="943"/>
        <v>-37.5</v>
      </c>
      <c r="J4565" s="411">
        <v>0</v>
      </c>
      <c r="K4565" s="90">
        <f t="shared" si="933"/>
        <v>212.5</v>
      </c>
      <c r="L4565" s="131">
        <v>1322</v>
      </c>
      <c r="M4565" s="187">
        <v>47.47</v>
      </c>
      <c r="N4565" s="91">
        <f t="shared" si="934"/>
        <v>179.67000000000002</v>
      </c>
      <c r="O4565" s="411">
        <f t="shared" si="940"/>
        <v>32.829999999999984</v>
      </c>
      <c r="P4565" s="132" t="s">
        <v>52</v>
      </c>
      <c r="Q4565" s="232"/>
      <c r="R4565" s="411"/>
      <c r="T4565" s="134" t="s">
        <v>145</v>
      </c>
      <c r="U4565" s="267" t="s">
        <v>10147</v>
      </c>
      <c r="AA4565" s="218"/>
    </row>
    <row r="4566" spans="1:27" ht="24" x14ac:dyDescent="0.25">
      <c r="A4566" s="405">
        <v>3003554</v>
      </c>
      <c r="B4566" s="406">
        <v>42586</v>
      </c>
      <c r="C4566" s="405" t="s">
        <v>237</v>
      </c>
      <c r="D4566" s="401" t="s">
        <v>10148</v>
      </c>
      <c r="E4566" s="120">
        <v>75</v>
      </c>
      <c r="F4566" s="133" t="s">
        <v>161</v>
      </c>
      <c r="G4566" s="404" t="s">
        <v>7486</v>
      </c>
      <c r="H4566" s="411">
        <v>168</v>
      </c>
      <c r="I4566" s="397">
        <f t="shared" si="943"/>
        <v>-25.2</v>
      </c>
      <c r="J4566" s="411">
        <v>0</v>
      </c>
      <c r="K4566" s="90">
        <f t="shared" si="933"/>
        <v>142.80000000000001</v>
      </c>
      <c r="L4566" s="131">
        <v>1322</v>
      </c>
      <c r="M4566" s="187">
        <v>37.119999999999997</v>
      </c>
      <c r="N4566" s="91">
        <f t="shared" si="934"/>
        <v>136.26999999999998</v>
      </c>
      <c r="O4566" s="411">
        <f t="shared" si="940"/>
        <v>6.5300000000000296</v>
      </c>
      <c r="P4566" s="132" t="s">
        <v>52</v>
      </c>
      <c r="Q4566" s="232"/>
      <c r="R4566" s="411"/>
      <c r="T4566" s="172" t="s">
        <v>145</v>
      </c>
      <c r="U4566" s="259" t="s">
        <v>10149</v>
      </c>
      <c r="AA4566" s="218"/>
    </row>
    <row r="4567" spans="1:27" ht="24" x14ac:dyDescent="0.25">
      <c r="A4567" s="405">
        <v>3003555</v>
      </c>
      <c r="B4567" s="406">
        <v>42586</v>
      </c>
      <c r="C4567" s="405" t="s">
        <v>237</v>
      </c>
      <c r="D4567" s="401" t="s">
        <v>10150</v>
      </c>
      <c r="E4567" s="120">
        <v>75</v>
      </c>
      <c r="F4567" s="133" t="s">
        <v>161</v>
      </c>
      <c r="G4567" s="404" t="s">
        <v>7486</v>
      </c>
      <c r="H4567" s="411">
        <v>168</v>
      </c>
      <c r="I4567" s="397">
        <f t="shared" si="943"/>
        <v>-25.2</v>
      </c>
      <c r="J4567" s="411">
        <v>0</v>
      </c>
      <c r="K4567" s="90">
        <f t="shared" si="933"/>
        <v>142.80000000000001</v>
      </c>
      <c r="L4567" s="131">
        <v>1322</v>
      </c>
      <c r="M4567" s="187">
        <v>27.33</v>
      </c>
      <c r="N4567" s="91">
        <f t="shared" si="934"/>
        <v>126.47999999999999</v>
      </c>
      <c r="O4567" s="411">
        <f t="shared" si="940"/>
        <v>16.320000000000022</v>
      </c>
      <c r="P4567" s="132" t="s">
        <v>52</v>
      </c>
      <c r="Q4567" s="232"/>
      <c r="R4567" s="411"/>
      <c r="T4567" s="172" t="s">
        <v>145</v>
      </c>
      <c r="U4567" s="259">
        <v>680483358483</v>
      </c>
      <c r="AA4567" s="218"/>
    </row>
    <row r="4568" spans="1:27" x14ac:dyDescent="0.25">
      <c r="A4568" s="405">
        <v>3003556</v>
      </c>
      <c r="B4568" s="406">
        <v>42586</v>
      </c>
      <c r="C4568" s="405" t="s">
        <v>56</v>
      </c>
      <c r="D4568" s="401" t="s">
        <v>3595</v>
      </c>
      <c r="E4568" s="120">
        <v>1000</v>
      </c>
      <c r="F4568" s="133" t="s">
        <v>10151</v>
      </c>
      <c r="G4568" s="404" t="s">
        <v>7486</v>
      </c>
      <c r="H4568" s="411">
        <v>2260</v>
      </c>
      <c r="I4568" s="411">
        <v>0</v>
      </c>
      <c r="J4568" s="411">
        <v>0</v>
      </c>
      <c r="K4568" s="90">
        <f t="shared" si="933"/>
        <v>2260</v>
      </c>
      <c r="L4568" s="131">
        <v>1632</v>
      </c>
      <c r="M4568" s="177">
        <v>0</v>
      </c>
      <c r="N4568" s="91">
        <f t="shared" si="934"/>
        <v>1632</v>
      </c>
      <c r="O4568" s="411">
        <f t="shared" si="940"/>
        <v>628</v>
      </c>
      <c r="P4568" s="132" t="s">
        <v>52</v>
      </c>
      <c r="Q4568" s="232"/>
      <c r="R4568" s="411"/>
      <c r="T4568" s="134" t="s">
        <v>3644</v>
      </c>
      <c r="U4568" s="267" t="s">
        <v>10152</v>
      </c>
      <c r="V4568" s="133" t="s">
        <v>10153</v>
      </c>
      <c r="W4568" s="153" t="s">
        <v>298</v>
      </c>
      <c r="AA4568" s="218"/>
    </row>
    <row r="4569" spans="1:27" x14ac:dyDescent="0.25">
      <c r="A4569" s="419">
        <v>3003557</v>
      </c>
      <c r="B4569" s="421">
        <v>42586</v>
      </c>
      <c r="C4569" s="419" t="s">
        <v>63</v>
      </c>
      <c r="D4569" s="417" t="s">
        <v>10154</v>
      </c>
      <c r="E4569" s="120">
        <v>500</v>
      </c>
      <c r="F4569" s="133" t="s">
        <v>3345</v>
      </c>
      <c r="G4569" s="434" t="s">
        <v>7486</v>
      </c>
      <c r="H4569" s="427">
        <v>3760</v>
      </c>
      <c r="I4569" s="427">
        <v>0</v>
      </c>
      <c r="J4569" s="425">
        <f>-((H4569*0.022)+0.3)</f>
        <v>-83.02</v>
      </c>
      <c r="K4569" s="425">
        <f t="shared" si="933"/>
        <v>3676.98</v>
      </c>
      <c r="L4569" s="187">
        <v>1420</v>
      </c>
      <c r="N4569" s="91">
        <f t="shared" si="934"/>
        <v>710</v>
      </c>
      <c r="O4569" s="411">
        <f t="shared" si="940"/>
        <v>2966.98</v>
      </c>
      <c r="P4569" s="132" t="s">
        <v>601</v>
      </c>
      <c r="Q4569" s="232"/>
      <c r="R4569" s="411"/>
      <c r="T4569" s="439" t="s">
        <v>473</v>
      </c>
      <c r="U4569" s="446" t="s">
        <v>10155</v>
      </c>
      <c r="W4569" s="153" t="s">
        <v>10156</v>
      </c>
      <c r="AA4569" s="473">
        <v>10</v>
      </c>
    </row>
    <row r="4570" spans="1:27" x14ac:dyDescent="0.25">
      <c r="A4570" s="432"/>
      <c r="B4570" s="433"/>
      <c r="C4570" s="432"/>
      <c r="D4570" s="454"/>
      <c r="E4570" s="120">
        <v>500</v>
      </c>
      <c r="F4570" s="133" t="s">
        <v>5466</v>
      </c>
      <c r="G4570" s="435"/>
      <c r="H4570" s="438"/>
      <c r="I4570" s="438"/>
      <c r="J4570" s="437"/>
      <c r="K4570" s="437"/>
      <c r="L4570" s="187">
        <v>1420</v>
      </c>
      <c r="N4570" s="91">
        <f t="shared" si="934"/>
        <v>710</v>
      </c>
      <c r="O4570" s="411">
        <f t="shared" si="940"/>
        <v>-710</v>
      </c>
      <c r="P4570" s="132" t="s">
        <v>601</v>
      </c>
      <c r="Q4570" s="232"/>
      <c r="R4570" s="411"/>
      <c r="T4570" s="440"/>
      <c r="U4570" s="448"/>
      <c r="AA4570" s="478"/>
    </row>
    <row r="4571" spans="1:27" x14ac:dyDescent="0.25">
      <c r="A4571" s="432"/>
      <c r="B4571" s="433"/>
      <c r="C4571" s="432"/>
      <c r="D4571" s="454"/>
      <c r="E4571" s="120">
        <v>500</v>
      </c>
      <c r="F4571" s="133" t="s">
        <v>2408</v>
      </c>
      <c r="G4571" s="435"/>
      <c r="H4571" s="438"/>
      <c r="I4571" s="438"/>
      <c r="J4571" s="437"/>
      <c r="K4571" s="437"/>
      <c r="L4571" s="187">
        <v>1420</v>
      </c>
      <c r="M4571" s="131">
        <v>0</v>
      </c>
      <c r="N4571" s="91">
        <f t="shared" si="934"/>
        <v>710</v>
      </c>
      <c r="O4571" s="411">
        <f t="shared" si="940"/>
        <v>-710</v>
      </c>
      <c r="P4571" s="132" t="s">
        <v>601</v>
      </c>
      <c r="Q4571" s="232"/>
      <c r="R4571" s="411"/>
      <c r="T4571" s="440"/>
      <c r="U4571" s="448"/>
      <c r="AA4571" s="478"/>
    </row>
    <row r="4572" spans="1:27" x14ac:dyDescent="0.25">
      <c r="A4572" s="420"/>
      <c r="B4572" s="422"/>
      <c r="C4572" s="420"/>
      <c r="D4572" s="418"/>
      <c r="E4572" s="120">
        <v>500</v>
      </c>
      <c r="F4572" s="133" t="s">
        <v>2129</v>
      </c>
      <c r="G4572" s="436"/>
      <c r="H4572" s="428"/>
      <c r="I4572" s="428"/>
      <c r="J4572" s="426"/>
      <c r="K4572" s="426"/>
      <c r="L4572" s="187">
        <v>1420</v>
      </c>
      <c r="N4572" s="91">
        <f t="shared" si="934"/>
        <v>710</v>
      </c>
      <c r="O4572" s="411">
        <f t="shared" si="940"/>
        <v>-710</v>
      </c>
      <c r="P4572" s="132" t="s">
        <v>601</v>
      </c>
      <c r="Q4572" s="232"/>
      <c r="R4572" s="411"/>
      <c r="T4572" s="441"/>
      <c r="U4572" s="447"/>
      <c r="AA4572" s="474"/>
    </row>
    <row r="4573" spans="1:27" ht="24" x14ac:dyDescent="0.25">
      <c r="A4573" s="405">
        <v>3003558</v>
      </c>
      <c r="B4573" s="406">
        <v>42586</v>
      </c>
      <c r="C4573" s="405" t="s">
        <v>5682</v>
      </c>
      <c r="D4573" s="401" t="s">
        <v>10157</v>
      </c>
      <c r="E4573" s="120">
        <v>150</v>
      </c>
      <c r="F4573" s="133" t="s">
        <v>341</v>
      </c>
      <c r="G4573" s="404" t="s">
        <v>45</v>
      </c>
      <c r="H4573" s="411">
        <v>248.2</v>
      </c>
      <c r="I4573" s="89">
        <f t="shared" ref="I4573:I4574" si="944">-(H4573*0.09)</f>
        <v>-22.337999999999997</v>
      </c>
      <c r="J4573" s="258">
        <f t="shared" ref="J4573:J4574" si="945">-((H4573*0.019)+0.3)</f>
        <v>-5.0157999999999996</v>
      </c>
      <c r="K4573" s="90">
        <f t="shared" ref="K4573:K4579" si="946">SUM(H4573:J4573)</f>
        <v>220.84619999999998</v>
      </c>
      <c r="L4573" s="131">
        <v>698</v>
      </c>
      <c r="M4573" s="187">
        <v>31.8</v>
      </c>
      <c r="N4573" s="91">
        <f t="shared" si="934"/>
        <v>136.5</v>
      </c>
      <c r="O4573" s="411">
        <f t="shared" si="940"/>
        <v>84.346199999999982</v>
      </c>
      <c r="P4573" s="132" t="s">
        <v>52</v>
      </c>
      <c r="Q4573" s="232"/>
      <c r="R4573" s="411"/>
      <c r="T4573" s="134" t="s">
        <v>145</v>
      </c>
      <c r="U4573" s="267" t="s">
        <v>10158</v>
      </c>
      <c r="AA4573" s="218"/>
    </row>
    <row r="4574" spans="1:27" ht="36" x14ac:dyDescent="0.25">
      <c r="A4574" s="405">
        <v>3003559</v>
      </c>
      <c r="B4574" s="406">
        <v>42586</v>
      </c>
      <c r="C4574" s="405" t="s">
        <v>237</v>
      </c>
      <c r="D4574" s="401" t="s">
        <v>10159</v>
      </c>
      <c r="E4574" s="120">
        <v>100</v>
      </c>
      <c r="F4574" s="133" t="s">
        <v>860</v>
      </c>
      <c r="G4574" s="404" t="s">
        <v>7486</v>
      </c>
      <c r="H4574" s="411">
        <v>890.37</v>
      </c>
      <c r="I4574" s="89">
        <f t="shared" si="944"/>
        <v>-80.133299999999991</v>
      </c>
      <c r="J4574" s="258">
        <f t="shared" si="945"/>
        <v>-17.217030000000001</v>
      </c>
      <c r="K4574" s="90">
        <f t="shared" si="946"/>
        <v>793.01967000000002</v>
      </c>
      <c r="L4574" s="131">
        <v>3300</v>
      </c>
      <c r="M4574" s="187">
        <v>127.77</v>
      </c>
      <c r="N4574" s="91">
        <f t="shared" si="934"/>
        <v>457.77</v>
      </c>
      <c r="O4574" s="411">
        <f t="shared" si="940"/>
        <v>335.24967000000004</v>
      </c>
      <c r="P4574" s="132" t="s">
        <v>52</v>
      </c>
      <c r="Q4574" s="232"/>
      <c r="R4574" s="411"/>
      <c r="T4574" s="134" t="s">
        <v>2093</v>
      </c>
      <c r="U4574" s="267" t="s">
        <v>10160</v>
      </c>
      <c r="V4574" s="133" t="s">
        <v>55</v>
      </c>
      <c r="AA4574" s="218"/>
    </row>
    <row r="4575" spans="1:27" ht="24" x14ac:dyDescent="0.25">
      <c r="A4575" s="405">
        <v>3003560</v>
      </c>
      <c r="B4575" s="406">
        <v>42586</v>
      </c>
      <c r="C4575" s="405" t="s">
        <v>141</v>
      </c>
      <c r="D4575" s="401" t="s">
        <v>5803</v>
      </c>
      <c r="E4575" s="120">
        <v>1000</v>
      </c>
      <c r="F4575" s="133" t="s">
        <v>5804</v>
      </c>
      <c r="G4575" s="404" t="s">
        <v>7486</v>
      </c>
      <c r="H4575" s="411">
        <v>1500</v>
      </c>
      <c r="I4575" s="411">
        <v>0</v>
      </c>
      <c r="J4575" s="258">
        <f>-((H4575*0.0325)+0.3)</f>
        <v>-49.05</v>
      </c>
      <c r="K4575" s="90">
        <f t="shared" si="946"/>
        <v>1450.95</v>
      </c>
      <c r="L4575" s="187">
        <v>950</v>
      </c>
      <c r="M4575" s="131">
        <v>0</v>
      </c>
      <c r="N4575" s="91">
        <f t="shared" si="934"/>
        <v>950</v>
      </c>
      <c r="O4575" s="411">
        <f t="shared" si="940"/>
        <v>500.95000000000005</v>
      </c>
      <c r="P4575" s="132" t="s">
        <v>66</v>
      </c>
      <c r="Q4575" s="232"/>
      <c r="R4575" s="411"/>
      <c r="T4575" s="134" t="s">
        <v>10161</v>
      </c>
      <c r="U4575" s="266">
        <v>2640447</v>
      </c>
      <c r="W4575" s="153" t="s">
        <v>5807</v>
      </c>
      <c r="AA4575" s="218">
        <v>10</v>
      </c>
    </row>
    <row r="4576" spans="1:27" ht="24" x14ac:dyDescent="0.25">
      <c r="A4576" s="405">
        <v>3003561</v>
      </c>
      <c r="B4576" s="406">
        <v>42586</v>
      </c>
      <c r="C4576" s="405" t="s">
        <v>237</v>
      </c>
      <c r="D4576" s="401" t="s">
        <v>9004</v>
      </c>
      <c r="E4576" s="120">
        <v>250</v>
      </c>
      <c r="F4576" s="133" t="s">
        <v>173</v>
      </c>
      <c r="G4576" s="404" t="s">
        <v>7486</v>
      </c>
      <c r="H4576" s="411">
        <v>221.17</v>
      </c>
      <c r="I4576" s="397">
        <f t="shared" ref="I4576:I4578" si="947">-(H4576*0.15)</f>
        <v>-33.1755</v>
      </c>
      <c r="J4576" s="411">
        <v>0</v>
      </c>
      <c r="K4576" s="90">
        <f t="shared" si="946"/>
        <v>187.99449999999999</v>
      </c>
      <c r="L4576" s="131">
        <v>409</v>
      </c>
      <c r="M4576" s="187">
        <v>25.82</v>
      </c>
      <c r="N4576" s="91">
        <f t="shared" si="934"/>
        <v>128.07</v>
      </c>
      <c r="O4576" s="411">
        <f t="shared" si="940"/>
        <v>59.924499999999995</v>
      </c>
      <c r="P4576" s="132" t="s">
        <v>52</v>
      </c>
      <c r="Q4576" s="232"/>
      <c r="R4576" s="411"/>
      <c r="T4576" s="172" t="s">
        <v>145</v>
      </c>
      <c r="U4576" s="259">
        <v>665651739776</v>
      </c>
      <c r="AA4576" s="218"/>
    </row>
    <row r="4577" spans="1:27" ht="24" x14ac:dyDescent="0.25">
      <c r="A4577" s="405">
        <v>3003562</v>
      </c>
      <c r="B4577" s="406">
        <v>42586</v>
      </c>
      <c r="C4577" s="405" t="s">
        <v>237</v>
      </c>
      <c r="D4577" s="401" t="s">
        <v>10162</v>
      </c>
      <c r="E4577" s="120">
        <v>300</v>
      </c>
      <c r="F4577" s="133" t="s">
        <v>983</v>
      </c>
      <c r="G4577" s="404" t="s">
        <v>7486</v>
      </c>
      <c r="H4577" s="411">
        <v>180</v>
      </c>
      <c r="I4577" s="397">
        <f t="shared" si="947"/>
        <v>-27</v>
      </c>
      <c r="J4577" s="411">
        <v>0</v>
      </c>
      <c r="K4577" s="90">
        <f t="shared" si="946"/>
        <v>153</v>
      </c>
      <c r="L4577" s="131">
        <v>300</v>
      </c>
      <c r="M4577" s="187">
        <v>45.21</v>
      </c>
      <c r="N4577" s="91">
        <f t="shared" si="934"/>
        <v>135.21</v>
      </c>
      <c r="O4577" s="411">
        <f t="shared" si="940"/>
        <v>17.789999999999992</v>
      </c>
      <c r="P4577" s="132" t="s">
        <v>52</v>
      </c>
      <c r="Q4577" s="232"/>
      <c r="R4577" s="411"/>
      <c r="T4577" s="172" t="s">
        <v>145</v>
      </c>
      <c r="U4577" s="259" t="s">
        <v>10163</v>
      </c>
      <c r="AA4577" s="218"/>
    </row>
    <row r="4578" spans="1:27" ht="24" x14ac:dyDescent="0.25">
      <c r="A4578" s="405">
        <v>3003563</v>
      </c>
      <c r="B4578" s="406">
        <v>42586</v>
      </c>
      <c r="C4578" s="405" t="s">
        <v>237</v>
      </c>
      <c r="D4578" s="401" t="s">
        <v>10164</v>
      </c>
      <c r="E4578" s="120">
        <v>200</v>
      </c>
      <c r="F4578" s="133" t="s">
        <v>10165</v>
      </c>
      <c r="G4578" s="404" t="s">
        <v>7486</v>
      </c>
      <c r="H4578" s="411">
        <v>115.4</v>
      </c>
      <c r="I4578" s="397">
        <f t="shared" si="947"/>
        <v>-17.309999999999999</v>
      </c>
      <c r="J4578" s="411">
        <v>0</v>
      </c>
      <c r="K4578" s="90">
        <f t="shared" si="946"/>
        <v>98.09</v>
      </c>
      <c r="L4578" s="187">
        <v>353</v>
      </c>
      <c r="M4578" s="187">
        <v>12.69</v>
      </c>
      <c r="N4578" s="91">
        <f t="shared" si="934"/>
        <v>83.29</v>
      </c>
      <c r="O4578" s="411">
        <f t="shared" si="940"/>
        <v>14.799999999999997</v>
      </c>
      <c r="P4578" s="132" t="s">
        <v>601</v>
      </c>
      <c r="Q4578" s="232"/>
      <c r="R4578" s="411"/>
      <c r="T4578" s="172" t="s">
        <v>145</v>
      </c>
      <c r="U4578" s="259">
        <v>639794969100</v>
      </c>
      <c r="AA4578" s="218"/>
    </row>
    <row r="4579" spans="1:27" x14ac:dyDescent="0.25">
      <c r="A4579" s="419">
        <v>3003564</v>
      </c>
      <c r="B4579" s="421">
        <v>42587</v>
      </c>
      <c r="C4579" s="419" t="s">
        <v>5682</v>
      </c>
      <c r="D4579" s="417" t="s">
        <v>10166</v>
      </c>
      <c r="E4579" s="120">
        <v>250</v>
      </c>
      <c r="F4579" s="133" t="s">
        <v>173</v>
      </c>
      <c r="G4579" s="434" t="s">
        <v>7486</v>
      </c>
      <c r="H4579" s="427">
        <v>343.8</v>
      </c>
      <c r="I4579" s="452">
        <f t="shared" ref="I4579" si="948">-(H4579*0.09)</f>
        <v>-30.942</v>
      </c>
      <c r="J4579" s="425">
        <f t="shared" ref="J4579" si="949">-((H4579*0.019)+0.3)</f>
        <v>-6.8322000000000003</v>
      </c>
      <c r="K4579" s="425">
        <f t="shared" si="946"/>
        <v>306.0258</v>
      </c>
      <c r="L4579" s="131">
        <v>409</v>
      </c>
      <c r="M4579" s="187">
        <v>52.75</v>
      </c>
      <c r="N4579" s="91">
        <f t="shared" si="934"/>
        <v>155</v>
      </c>
      <c r="O4579" s="411">
        <f t="shared" si="940"/>
        <v>151.0258</v>
      </c>
      <c r="P4579" s="132" t="s">
        <v>52</v>
      </c>
      <c r="Q4579" s="232"/>
      <c r="R4579" s="411"/>
      <c r="T4579" s="535" t="s">
        <v>145</v>
      </c>
      <c r="U4579" s="537" t="s">
        <v>10167</v>
      </c>
      <c r="AA4579" s="218"/>
    </row>
    <row r="4580" spans="1:27" x14ac:dyDescent="0.25">
      <c r="A4580" s="420"/>
      <c r="B4580" s="422"/>
      <c r="C4580" s="420"/>
      <c r="D4580" s="418"/>
      <c r="E4580" s="120">
        <v>50</v>
      </c>
      <c r="F4580" s="133" t="s">
        <v>431</v>
      </c>
      <c r="G4580" s="436"/>
      <c r="H4580" s="428"/>
      <c r="I4580" s="453"/>
      <c r="J4580" s="426"/>
      <c r="K4580" s="426"/>
      <c r="L4580" s="131">
        <v>990</v>
      </c>
      <c r="M4580" s="187"/>
      <c r="N4580" s="91">
        <f t="shared" si="934"/>
        <v>49.5</v>
      </c>
      <c r="O4580" s="411">
        <f t="shared" si="940"/>
        <v>-49.5</v>
      </c>
      <c r="P4580" s="132" t="s">
        <v>52</v>
      </c>
      <c r="Q4580" s="232"/>
      <c r="R4580" s="411"/>
      <c r="T4580" s="536"/>
      <c r="U4580" s="538"/>
      <c r="AA4580" s="218"/>
    </row>
    <row r="4581" spans="1:27" x14ac:dyDescent="0.25">
      <c r="A4581" s="405">
        <v>3003565</v>
      </c>
      <c r="B4581" s="406">
        <v>42587</v>
      </c>
      <c r="C4581" s="405" t="s">
        <v>5682</v>
      </c>
      <c r="D4581" s="401" t="s">
        <v>10168</v>
      </c>
      <c r="E4581" s="120">
        <v>150</v>
      </c>
      <c r="F4581" s="133" t="s">
        <v>70</v>
      </c>
      <c r="G4581" s="404" t="s">
        <v>7486</v>
      </c>
      <c r="H4581" s="411">
        <v>416</v>
      </c>
      <c r="I4581" s="89">
        <f t="shared" ref="I4581:I4582" si="950">-(H4581*0.09)</f>
        <v>-37.44</v>
      </c>
      <c r="J4581" s="258">
        <f t="shared" ref="J4581:J4582" si="951">-((H4581*0.019)+0.3)</f>
        <v>-8.2040000000000006</v>
      </c>
      <c r="K4581" s="90">
        <f t="shared" ref="K4581:K4582" si="952">SUM(H4581:J4581)</f>
        <v>370.35599999999999</v>
      </c>
      <c r="L4581" s="131">
        <v>1200</v>
      </c>
      <c r="M4581" s="187">
        <v>154.81</v>
      </c>
      <c r="N4581" s="91">
        <f t="shared" si="934"/>
        <v>334.81</v>
      </c>
      <c r="O4581" s="411">
        <f t="shared" si="940"/>
        <v>35.545999999999992</v>
      </c>
      <c r="P4581" s="132" t="s">
        <v>86</v>
      </c>
      <c r="Q4581" s="232"/>
      <c r="R4581" s="411"/>
      <c r="T4581" s="134" t="s">
        <v>1743</v>
      </c>
      <c r="U4581" s="267" t="s">
        <v>10169</v>
      </c>
      <c r="V4581" s="133" t="s">
        <v>55</v>
      </c>
      <c r="AA4581" s="218"/>
    </row>
    <row r="4582" spans="1:27" ht="24" x14ac:dyDescent="0.25">
      <c r="A4582" s="405">
        <v>3003566</v>
      </c>
      <c r="B4582" s="406">
        <v>42587</v>
      </c>
      <c r="C4582" s="405" t="s">
        <v>5682</v>
      </c>
      <c r="D4582" s="401" t="s">
        <v>10170</v>
      </c>
      <c r="E4582" s="120">
        <v>175</v>
      </c>
      <c r="F4582" s="133" t="s">
        <v>829</v>
      </c>
      <c r="G4582" s="404" t="s">
        <v>7486</v>
      </c>
      <c r="H4582" s="411">
        <v>184.48</v>
      </c>
      <c r="I4582" s="89">
        <f t="shared" si="950"/>
        <v>-16.603199999999998</v>
      </c>
      <c r="J4582" s="258">
        <f t="shared" si="951"/>
        <v>-3.8051199999999996</v>
      </c>
      <c r="K4582" s="90">
        <f t="shared" si="952"/>
        <v>164.07168000000001</v>
      </c>
      <c r="L4582" s="131">
        <v>510</v>
      </c>
      <c r="M4582" s="187">
        <v>38.950000000000003</v>
      </c>
      <c r="N4582" s="91">
        <f t="shared" si="934"/>
        <v>128.20000000000002</v>
      </c>
      <c r="O4582" s="411">
        <f t="shared" si="940"/>
        <v>35.871679999999998</v>
      </c>
      <c r="P4582" s="132" t="s">
        <v>52</v>
      </c>
      <c r="Q4582" s="232"/>
      <c r="R4582" s="411"/>
      <c r="T4582" s="134" t="s">
        <v>145</v>
      </c>
      <c r="U4582" s="267" t="s">
        <v>10171</v>
      </c>
      <c r="AA4582" s="218"/>
    </row>
    <row r="4583" spans="1:27" ht="24" x14ac:dyDescent="0.25">
      <c r="A4583" s="405">
        <v>3003567</v>
      </c>
      <c r="B4583" s="406">
        <v>42587</v>
      </c>
      <c r="C4583" s="405" t="s">
        <v>5682</v>
      </c>
      <c r="D4583" s="401" t="s">
        <v>10172</v>
      </c>
      <c r="E4583" s="120">
        <v>250</v>
      </c>
      <c r="F4583" s="119" t="s">
        <v>10173</v>
      </c>
      <c r="G4583" s="404" t="s">
        <v>45</v>
      </c>
      <c r="H4583" s="411">
        <v>177.13</v>
      </c>
      <c r="I4583" s="89">
        <f t="shared" ref="I4583" si="953">-(H4583*0.09)</f>
        <v>-15.941699999999999</v>
      </c>
      <c r="J4583" s="258">
        <f t="shared" ref="J4583" si="954">-((H4583*0.019)+0.3)</f>
        <v>-3.6654699999999996</v>
      </c>
      <c r="K4583" s="90">
        <f t="shared" ref="K4583:K4584" si="955">SUM(H4583:J4583)</f>
        <v>157.52283</v>
      </c>
      <c r="L4583" s="187">
        <v>305</v>
      </c>
      <c r="M4583" s="187">
        <v>18.100000000000001</v>
      </c>
      <c r="N4583" s="91">
        <f t="shared" si="934"/>
        <v>94.35</v>
      </c>
      <c r="O4583" s="411">
        <f t="shared" si="940"/>
        <v>63.172830000000005</v>
      </c>
      <c r="P4583" s="132" t="s">
        <v>313</v>
      </c>
      <c r="Q4583" s="232"/>
      <c r="R4583" s="411"/>
      <c r="T4583" s="172" t="s">
        <v>145</v>
      </c>
      <c r="U4583" s="259" t="s">
        <v>10174</v>
      </c>
      <c r="AA4583" s="218"/>
    </row>
    <row r="4584" spans="1:27" ht="24" x14ac:dyDescent="0.25">
      <c r="A4584" s="405">
        <v>3003568</v>
      </c>
      <c r="B4584" s="406">
        <v>42587</v>
      </c>
      <c r="C4584" s="405" t="s">
        <v>237</v>
      </c>
      <c r="D4584" s="401" t="s">
        <v>10175</v>
      </c>
      <c r="E4584" s="120">
        <v>100</v>
      </c>
      <c r="F4584" s="133" t="s">
        <v>161</v>
      </c>
      <c r="G4584" s="404" t="s">
        <v>7486</v>
      </c>
      <c r="H4584" s="411">
        <v>260</v>
      </c>
      <c r="I4584" s="397">
        <f t="shared" ref="I4584:I4586" si="956">-(H4584*0.15)</f>
        <v>-39</v>
      </c>
      <c r="J4584" s="411">
        <v>0</v>
      </c>
      <c r="K4584" s="90">
        <f t="shared" si="955"/>
        <v>221</v>
      </c>
      <c r="L4584" s="131">
        <v>1322</v>
      </c>
      <c r="M4584" s="187">
        <v>40.71</v>
      </c>
      <c r="N4584" s="91">
        <f t="shared" si="934"/>
        <v>172.91000000000003</v>
      </c>
      <c r="O4584" s="411">
        <f t="shared" si="940"/>
        <v>48.089999999999975</v>
      </c>
      <c r="P4584" s="132" t="s">
        <v>52</v>
      </c>
      <c r="Q4584" s="232"/>
      <c r="R4584" s="411"/>
      <c r="T4584" s="134" t="s">
        <v>145</v>
      </c>
      <c r="U4584" s="267" t="s">
        <v>10176</v>
      </c>
      <c r="AA4584" s="218"/>
    </row>
    <row r="4585" spans="1:27" ht="24" x14ac:dyDescent="0.25">
      <c r="A4585" s="405">
        <v>3003569</v>
      </c>
      <c r="B4585" s="406">
        <v>42587</v>
      </c>
      <c r="C4585" s="405" t="s">
        <v>5682</v>
      </c>
      <c r="D4585" s="401" t="s">
        <v>9347</v>
      </c>
      <c r="E4585" s="120">
        <v>125</v>
      </c>
      <c r="F4585" s="133" t="s">
        <v>10177</v>
      </c>
      <c r="G4585" s="404" t="s">
        <v>7486</v>
      </c>
      <c r="H4585" s="411">
        <v>127.51</v>
      </c>
      <c r="I4585" s="89">
        <f t="shared" ref="I4585" si="957">-(H4585*0.09)</f>
        <v>-11.475899999999999</v>
      </c>
      <c r="J4585" s="258">
        <f t="shared" ref="J4585" si="958">-((H4585*0.019)+0.3)</f>
        <v>-2.7226900000000001</v>
      </c>
      <c r="K4585" s="90">
        <f t="shared" ref="K4585:K4586" si="959">SUM(H4585:J4585)</f>
        <v>113.31141000000001</v>
      </c>
      <c r="L4585" s="131">
        <v>375</v>
      </c>
      <c r="M4585" s="187">
        <v>44.23</v>
      </c>
      <c r="N4585" s="91">
        <f t="shared" si="934"/>
        <v>91.10499999999999</v>
      </c>
      <c r="O4585" s="411">
        <f t="shared" si="940"/>
        <v>22.20641000000002</v>
      </c>
      <c r="P4585" s="132" t="s">
        <v>52</v>
      </c>
      <c r="Q4585" s="232"/>
      <c r="R4585" s="411"/>
      <c r="T4585" s="134" t="s">
        <v>145</v>
      </c>
      <c r="U4585" s="267" t="s">
        <v>10178</v>
      </c>
      <c r="AA4585" s="218"/>
    </row>
    <row r="4586" spans="1:27" ht="24" x14ac:dyDescent="0.25">
      <c r="A4586" s="405">
        <v>3003570</v>
      </c>
      <c r="B4586" s="406">
        <v>42587</v>
      </c>
      <c r="C4586" s="405" t="s">
        <v>237</v>
      </c>
      <c r="D4586" s="401" t="s">
        <v>10179</v>
      </c>
      <c r="E4586" s="120">
        <v>100</v>
      </c>
      <c r="F4586" s="133" t="s">
        <v>590</v>
      </c>
      <c r="G4586" s="404" t="s">
        <v>7486</v>
      </c>
      <c r="H4586" s="411">
        <v>133.97</v>
      </c>
      <c r="I4586" s="397">
        <f t="shared" si="956"/>
        <v>-20.095499999999998</v>
      </c>
      <c r="J4586" s="411">
        <v>0</v>
      </c>
      <c r="K4586" s="90">
        <f t="shared" si="959"/>
        <v>113.8745</v>
      </c>
      <c r="L4586" s="131">
        <v>577</v>
      </c>
      <c r="M4586" s="187">
        <f>24.84+9.34</f>
        <v>34.18</v>
      </c>
      <c r="N4586" s="91">
        <f t="shared" si="934"/>
        <v>91.88</v>
      </c>
      <c r="O4586" s="411">
        <f t="shared" si="940"/>
        <v>21.994500000000002</v>
      </c>
      <c r="P4586" s="132" t="s">
        <v>52</v>
      </c>
      <c r="Q4586" s="232"/>
      <c r="R4586" s="411"/>
      <c r="T4586" s="172" t="s">
        <v>145</v>
      </c>
      <c r="U4586" s="259" t="s">
        <v>10167</v>
      </c>
      <c r="AA4586" s="218"/>
    </row>
    <row r="4587" spans="1:27" ht="24" x14ac:dyDescent="0.25">
      <c r="A4587" s="405">
        <v>3003571</v>
      </c>
      <c r="B4587" s="406">
        <v>42587</v>
      </c>
      <c r="C4587" s="405" t="s">
        <v>5682</v>
      </c>
      <c r="D4587" s="401" t="s">
        <v>10180</v>
      </c>
      <c r="E4587" s="120">
        <v>500</v>
      </c>
      <c r="F4587" s="133" t="s">
        <v>10181</v>
      </c>
      <c r="G4587" s="404" t="s">
        <v>7486</v>
      </c>
      <c r="H4587" s="411">
        <v>606.51</v>
      </c>
      <c r="I4587" s="89">
        <f t="shared" ref="I4587" si="960">-(H4587*0.09)</f>
        <v>-54.585899999999995</v>
      </c>
      <c r="J4587" s="258">
        <f t="shared" ref="J4587" si="961">-((H4587*0.019)+0.3)</f>
        <v>-11.823690000000001</v>
      </c>
      <c r="K4587" s="90">
        <f t="shared" ref="K4587:K4592" si="962">SUM(H4587:J4587)</f>
        <v>540.1004099999999</v>
      </c>
      <c r="L4587" s="187">
        <v>670</v>
      </c>
      <c r="M4587" s="187">
        <v>115.3</v>
      </c>
      <c r="N4587" s="91">
        <f t="shared" si="934"/>
        <v>450.3</v>
      </c>
      <c r="O4587" s="411">
        <f t="shared" si="940"/>
        <v>89.800409999999886</v>
      </c>
      <c r="P4587" s="132" t="s">
        <v>46</v>
      </c>
      <c r="Q4587" s="232"/>
      <c r="R4587" s="411"/>
      <c r="T4587" s="134" t="s">
        <v>324</v>
      </c>
      <c r="U4587" s="267" t="s">
        <v>10182</v>
      </c>
      <c r="AA4587" s="218"/>
    </row>
    <row r="4588" spans="1:27" ht="24" x14ac:dyDescent="0.25">
      <c r="A4588" s="405">
        <v>3003572</v>
      </c>
      <c r="B4588" s="406">
        <v>42587</v>
      </c>
      <c r="C4588" s="405" t="s">
        <v>63</v>
      </c>
      <c r="D4588" s="401" t="s">
        <v>10183</v>
      </c>
      <c r="E4588" s="120">
        <v>100</v>
      </c>
      <c r="F4588" s="133" t="s">
        <v>161</v>
      </c>
      <c r="G4588" s="404" t="s">
        <v>7486</v>
      </c>
      <c r="H4588" s="411">
        <v>220</v>
      </c>
      <c r="I4588" s="411">
        <v>0</v>
      </c>
      <c r="J4588" s="258">
        <f>-((H4588*0.022)+0.3)</f>
        <v>-5.14</v>
      </c>
      <c r="K4588" s="90">
        <f t="shared" si="962"/>
        <v>214.86</v>
      </c>
      <c r="L4588" s="131">
        <v>1322</v>
      </c>
      <c r="M4588" s="187">
        <v>42.12</v>
      </c>
      <c r="N4588" s="91">
        <f t="shared" si="934"/>
        <v>174.32000000000002</v>
      </c>
      <c r="O4588" s="411">
        <f t="shared" si="940"/>
        <v>40.539999999999992</v>
      </c>
      <c r="P4588" s="132" t="s">
        <v>52</v>
      </c>
      <c r="Q4588" s="232"/>
      <c r="R4588" s="411"/>
      <c r="T4588" s="134" t="s">
        <v>145</v>
      </c>
      <c r="U4588" s="267" t="s">
        <v>10184</v>
      </c>
      <c r="W4588" s="153" t="s">
        <v>10185</v>
      </c>
      <c r="AA4588" s="218"/>
    </row>
    <row r="4589" spans="1:27" ht="36" x14ac:dyDescent="0.25">
      <c r="A4589" s="405">
        <v>3003573</v>
      </c>
      <c r="B4589" s="406">
        <v>42587</v>
      </c>
      <c r="C4589" s="405" t="s">
        <v>237</v>
      </c>
      <c r="D4589" s="401" t="s">
        <v>5152</v>
      </c>
      <c r="E4589" s="120">
        <v>2000</v>
      </c>
      <c r="F4589" s="119" t="s">
        <v>10186</v>
      </c>
      <c r="G4589" s="404" t="s">
        <v>7486</v>
      </c>
      <c r="H4589" s="411">
        <v>560.28</v>
      </c>
      <c r="I4589" s="397">
        <f t="shared" ref="I4589:I4592" si="963">-(H4589*0.15)</f>
        <v>-84.041999999999987</v>
      </c>
      <c r="J4589" s="411">
        <v>0</v>
      </c>
      <c r="K4589" s="90">
        <f t="shared" si="962"/>
        <v>476.238</v>
      </c>
      <c r="L4589" s="187">
        <v>80</v>
      </c>
      <c r="M4589" s="187">
        <v>7.28</v>
      </c>
      <c r="N4589" s="91">
        <f t="shared" ref="N4589:N4652" si="964">((L4589)*(E4589*0.001))+M4589</f>
        <v>167.28</v>
      </c>
      <c r="O4589" s="411">
        <f t="shared" si="940"/>
        <v>308.95799999999997</v>
      </c>
      <c r="P4589" s="132" t="s">
        <v>4288</v>
      </c>
      <c r="Q4589" s="232"/>
      <c r="R4589" s="411"/>
      <c r="T4589" s="134" t="s">
        <v>145</v>
      </c>
      <c r="U4589" s="267" t="s">
        <v>10187</v>
      </c>
      <c r="AA4589" s="218"/>
    </row>
    <row r="4590" spans="1:27" ht="24" x14ac:dyDescent="0.25">
      <c r="A4590" s="405">
        <v>3003574</v>
      </c>
      <c r="B4590" s="406">
        <v>42587</v>
      </c>
      <c r="C4590" s="405" t="s">
        <v>237</v>
      </c>
      <c r="D4590" s="401" t="s">
        <v>10188</v>
      </c>
      <c r="E4590" s="120">
        <v>100</v>
      </c>
      <c r="F4590" s="133" t="s">
        <v>161</v>
      </c>
      <c r="G4590" s="404" t="s">
        <v>45</v>
      </c>
      <c r="H4590" s="411">
        <v>260</v>
      </c>
      <c r="I4590" s="397">
        <f t="shared" ref="I4590" si="965">-(H4590*0.15)</f>
        <v>-39</v>
      </c>
      <c r="J4590" s="411">
        <v>0</v>
      </c>
      <c r="K4590" s="90">
        <f t="shared" ref="K4590" si="966">SUM(H4590:J4590)</f>
        <v>221</v>
      </c>
      <c r="L4590" s="131">
        <v>1322</v>
      </c>
      <c r="M4590" s="187">
        <v>37.159999999999997</v>
      </c>
      <c r="N4590" s="91">
        <f t="shared" si="964"/>
        <v>169.36</v>
      </c>
      <c r="O4590" s="411">
        <f t="shared" si="940"/>
        <v>51.639999999999986</v>
      </c>
      <c r="P4590" s="132" t="s">
        <v>52</v>
      </c>
      <c r="Q4590" s="232"/>
      <c r="R4590" s="411"/>
      <c r="T4590" s="134" t="s">
        <v>145</v>
      </c>
      <c r="U4590" s="267" t="s">
        <v>10189</v>
      </c>
      <c r="AA4590" s="218"/>
    </row>
    <row r="4591" spans="1:27" ht="24" x14ac:dyDescent="0.25">
      <c r="A4591" s="405">
        <v>3003575</v>
      </c>
      <c r="B4591" s="406">
        <v>42587</v>
      </c>
      <c r="C4591" s="405" t="s">
        <v>237</v>
      </c>
      <c r="D4591" s="401" t="s">
        <v>10190</v>
      </c>
      <c r="E4591" s="120">
        <v>175</v>
      </c>
      <c r="F4591" s="133" t="s">
        <v>247</v>
      </c>
      <c r="G4591" s="404" t="s">
        <v>7486</v>
      </c>
      <c r="H4591" s="411">
        <v>180</v>
      </c>
      <c r="I4591" s="397">
        <f t="shared" si="963"/>
        <v>-27</v>
      </c>
      <c r="J4591" s="411">
        <v>0</v>
      </c>
      <c r="K4591" s="90">
        <f t="shared" si="962"/>
        <v>153</v>
      </c>
      <c r="L4591" s="131">
        <v>480</v>
      </c>
      <c r="M4591" s="187">
        <v>39.93</v>
      </c>
      <c r="N4591" s="91">
        <f t="shared" si="964"/>
        <v>123.93</v>
      </c>
      <c r="O4591" s="411">
        <f t="shared" si="940"/>
        <v>29.069999999999993</v>
      </c>
      <c r="P4591" s="132" t="s">
        <v>52</v>
      </c>
      <c r="Q4591" s="232"/>
      <c r="R4591" s="411"/>
      <c r="T4591" s="134" t="s">
        <v>145</v>
      </c>
      <c r="U4591" s="267" t="s">
        <v>10191</v>
      </c>
      <c r="AA4591" s="218"/>
    </row>
    <row r="4592" spans="1:27" ht="24" x14ac:dyDescent="0.25">
      <c r="A4592" s="405">
        <v>3003576</v>
      </c>
      <c r="B4592" s="406">
        <v>42587</v>
      </c>
      <c r="C4592" s="405" t="s">
        <v>237</v>
      </c>
      <c r="D4592" s="401" t="s">
        <v>10192</v>
      </c>
      <c r="E4592" s="120">
        <v>150</v>
      </c>
      <c r="F4592" s="133" t="s">
        <v>10193</v>
      </c>
      <c r="G4592" s="404" t="s">
        <v>7486</v>
      </c>
      <c r="H4592" s="411">
        <v>295.10000000000002</v>
      </c>
      <c r="I4592" s="397">
        <f t="shared" si="963"/>
        <v>-44.265000000000001</v>
      </c>
      <c r="J4592" s="411">
        <v>0</v>
      </c>
      <c r="K4592" s="90">
        <f t="shared" si="962"/>
        <v>250.83500000000004</v>
      </c>
      <c r="L4592" s="187">
        <v>1182</v>
      </c>
      <c r="M4592" s="187">
        <v>40.659999999999997</v>
      </c>
      <c r="N4592" s="91">
        <f t="shared" si="964"/>
        <v>217.95999999999998</v>
      </c>
      <c r="O4592" s="411">
        <f t="shared" si="940"/>
        <v>32.875000000000057</v>
      </c>
      <c r="P4592" s="132" t="s">
        <v>601</v>
      </c>
      <c r="Q4592" s="232"/>
      <c r="R4592" s="411"/>
      <c r="T4592" s="172" t="s">
        <v>145</v>
      </c>
      <c r="U4592" s="259">
        <v>630512244398</v>
      </c>
      <c r="AA4592" s="218"/>
    </row>
    <row r="4593" spans="1:27" ht="24" x14ac:dyDescent="0.25">
      <c r="A4593" s="405">
        <v>3003577</v>
      </c>
      <c r="B4593" s="406">
        <v>42587</v>
      </c>
      <c r="C4593" s="405" t="s">
        <v>237</v>
      </c>
      <c r="D4593" s="401" t="s">
        <v>10194</v>
      </c>
      <c r="E4593" s="120">
        <v>100</v>
      </c>
      <c r="F4593" s="133" t="s">
        <v>304</v>
      </c>
      <c r="G4593" s="404" t="s">
        <v>45</v>
      </c>
      <c r="H4593" s="411">
        <v>210</v>
      </c>
      <c r="I4593" s="397">
        <f t="shared" ref="I4593:I4595" si="967">-(H4593*0.15)</f>
        <v>-31.5</v>
      </c>
      <c r="J4593" s="411">
        <v>0</v>
      </c>
      <c r="K4593" s="90">
        <f t="shared" ref="K4593:K4596" si="968">SUM(H4593:J4593)</f>
        <v>178.5</v>
      </c>
      <c r="M4593" s="187">
        <v>28.71</v>
      </c>
      <c r="N4593" s="91">
        <f t="shared" si="964"/>
        <v>28.71</v>
      </c>
      <c r="O4593" s="411">
        <f t="shared" si="940"/>
        <v>149.79</v>
      </c>
      <c r="P4593" s="132" t="s">
        <v>52</v>
      </c>
      <c r="Q4593" s="232"/>
      <c r="R4593" s="411"/>
      <c r="T4593" s="172" t="s">
        <v>145</v>
      </c>
      <c r="U4593" s="259">
        <v>665651739765</v>
      </c>
      <c r="AA4593" s="218"/>
    </row>
    <row r="4594" spans="1:27" ht="24" x14ac:dyDescent="0.25">
      <c r="A4594" s="405">
        <v>3003578</v>
      </c>
      <c r="B4594" s="406">
        <v>42587</v>
      </c>
      <c r="C4594" s="405" t="s">
        <v>237</v>
      </c>
      <c r="D4594" s="401" t="s">
        <v>10195</v>
      </c>
      <c r="E4594" s="120">
        <v>100</v>
      </c>
      <c r="F4594" s="133" t="s">
        <v>288</v>
      </c>
      <c r="G4594" s="404" t="s">
        <v>7486</v>
      </c>
      <c r="H4594" s="411">
        <v>193</v>
      </c>
      <c r="I4594" s="397">
        <f t="shared" si="967"/>
        <v>-28.95</v>
      </c>
      <c r="J4594" s="411">
        <v>0</v>
      </c>
      <c r="K4594" s="90">
        <f t="shared" si="968"/>
        <v>164.05</v>
      </c>
      <c r="L4594" s="131">
        <v>950</v>
      </c>
      <c r="M4594" s="187">
        <v>51.16</v>
      </c>
      <c r="N4594" s="91">
        <f t="shared" si="964"/>
        <v>146.16</v>
      </c>
      <c r="O4594" s="411">
        <f t="shared" si="940"/>
        <v>17.890000000000015</v>
      </c>
      <c r="P4594" s="132" t="s">
        <v>86</v>
      </c>
      <c r="Q4594" s="232"/>
      <c r="R4594" s="411"/>
      <c r="T4594" s="134" t="s">
        <v>145</v>
      </c>
      <c r="U4594" s="267" t="s">
        <v>10196</v>
      </c>
      <c r="AA4594" s="218"/>
    </row>
    <row r="4595" spans="1:27" ht="24" x14ac:dyDescent="0.25">
      <c r="A4595" s="405">
        <v>3003579</v>
      </c>
      <c r="B4595" s="406">
        <v>42587</v>
      </c>
      <c r="C4595" s="405" t="s">
        <v>237</v>
      </c>
      <c r="D4595" s="401" t="s">
        <v>10197</v>
      </c>
      <c r="E4595" s="120">
        <v>200</v>
      </c>
      <c r="F4595" s="133" t="s">
        <v>9296</v>
      </c>
      <c r="G4595" s="404" t="s">
        <v>7486</v>
      </c>
      <c r="H4595" s="411">
        <v>267.94</v>
      </c>
      <c r="I4595" s="397">
        <f t="shared" si="967"/>
        <v>-40.190999999999995</v>
      </c>
      <c r="J4595" s="411">
        <v>0</v>
      </c>
      <c r="K4595" s="90">
        <f t="shared" si="968"/>
        <v>227.749</v>
      </c>
      <c r="L4595" s="131">
        <v>571.41999999999996</v>
      </c>
      <c r="M4595" s="187">
        <f>34.68+34.68</f>
        <v>69.36</v>
      </c>
      <c r="N4595" s="91">
        <f t="shared" si="964"/>
        <v>183.64400000000001</v>
      </c>
      <c r="O4595" s="411">
        <f t="shared" si="940"/>
        <v>44.10499999999999</v>
      </c>
      <c r="P4595" s="132" t="s">
        <v>86</v>
      </c>
      <c r="Q4595" s="232"/>
      <c r="R4595" s="411"/>
      <c r="T4595" s="134" t="s">
        <v>145</v>
      </c>
      <c r="U4595" s="267" t="s">
        <v>10198</v>
      </c>
      <c r="AA4595" s="218"/>
    </row>
    <row r="4596" spans="1:27" x14ac:dyDescent="0.25">
      <c r="A4596" s="419">
        <v>3003580</v>
      </c>
      <c r="B4596" s="421">
        <v>42587</v>
      </c>
      <c r="C4596" s="419" t="s">
        <v>56</v>
      </c>
      <c r="D4596" s="417" t="s">
        <v>10199</v>
      </c>
      <c r="E4596" s="120">
        <v>500</v>
      </c>
      <c r="F4596" s="133" t="s">
        <v>10200</v>
      </c>
      <c r="G4596" s="434" t="s">
        <v>7486</v>
      </c>
      <c r="H4596" s="427">
        <v>4945.3999999999996</v>
      </c>
      <c r="I4596" s="427">
        <v>0</v>
      </c>
      <c r="J4596" s="427">
        <v>0</v>
      </c>
      <c r="K4596" s="425">
        <f t="shared" si="968"/>
        <v>4945.3999999999996</v>
      </c>
      <c r="L4596" s="187">
        <v>950</v>
      </c>
      <c r="M4596" s="131">
        <v>0</v>
      </c>
      <c r="N4596" s="91">
        <f t="shared" si="964"/>
        <v>475</v>
      </c>
      <c r="O4596" s="411">
        <f t="shared" si="940"/>
        <v>4470.3999999999996</v>
      </c>
      <c r="P4596" s="132" t="s">
        <v>66</v>
      </c>
      <c r="Q4596" s="232"/>
      <c r="R4596" s="411"/>
      <c r="T4596" s="470" t="s">
        <v>389</v>
      </c>
      <c r="U4596" s="444">
        <v>59654833652</v>
      </c>
      <c r="V4596" s="133" t="s">
        <v>10201</v>
      </c>
      <c r="AA4596" s="218"/>
    </row>
    <row r="4597" spans="1:27" x14ac:dyDescent="0.25">
      <c r="A4597" s="432"/>
      <c r="B4597" s="433"/>
      <c r="C4597" s="432"/>
      <c r="D4597" s="454"/>
      <c r="E4597" s="120">
        <v>1500</v>
      </c>
      <c r="F4597" s="133" t="s">
        <v>10202</v>
      </c>
      <c r="G4597" s="435"/>
      <c r="H4597" s="438"/>
      <c r="I4597" s="438"/>
      <c r="J4597" s="438"/>
      <c r="K4597" s="437"/>
      <c r="L4597" s="187">
        <v>400</v>
      </c>
      <c r="N4597" s="91">
        <f t="shared" si="964"/>
        <v>600</v>
      </c>
      <c r="O4597" s="411">
        <f t="shared" si="940"/>
        <v>-600</v>
      </c>
      <c r="P4597" s="132" t="s">
        <v>66</v>
      </c>
      <c r="Q4597" s="232"/>
      <c r="R4597" s="411"/>
      <c r="T4597" s="471"/>
      <c r="U4597" s="539"/>
      <c r="AA4597" s="218"/>
    </row>
    <row r="4598" spans="1:27" x14ac:dyDescent="0.25">
      <c r="A4598" s="432"/>
      <c r="B4598" s="433"/>
      <c r="C4598" s="432"/>
      <c r="D4598" s="454"/>
      <c r="E4598" s="120">
        <v>2000</v>
      </c>
      <c r="F4598" s="133" t="s">
        <v>10203</v>
      </c>
      <c r="G4598" s="435"/>
      <c r="H4598" s="438"/>
      <c r="I4598" s="438"/>
      <c r="J4598" s="438"/>
      <c r="K4598" s="437"/>
      <c r="L4598" s="187">
        <v>300</v>
      </c>
      <c r="N4598" s="91">
        <f t="shared" si="964"/>
        <v>600</v>
      </c>
      <c r="O4598" s="411">
        <f t="shared" si="940"/>
        <v>-600</v>
      </c>
      <c r="P4598" s="132" t="s">
        <v>66</v>
      </c>
      <c r="Q4598" s="232"/>
      <c r="R4598" s="411"/>
      <c r="T4598" s="471"/>
      <c r="U4598" s="539"/>
      <c r="AA4598" s="218"/>
    </row>
    <row r="4599" spans="1:27" x14ac:dyDescent="0.25">
      <c r="A4599" s="432"/>
      <c r="B4599" s="433"/>
      <c r="C4599" s="432"/>
      <c r="D4599" s="454"/>
      <c r="E4599" s="120">
        <v>2000</v>
      </c>
      <c r="F4599" s="133" t="s">
        <v>10204</v>
      </c>
      <c r="G4599" s="435"/>
      <c r="H4599" s="438"/>
      <c r="I4599" s="438"/>
      <c r="J4599" s="438"/>
      <c r="K4599" s="437"/>
      <c r="L4599" s="187">
        <v>220</v>
      </c>
      <c r="N4599" s="91">
        <f t="shared" si="964"/>
        <v>440</v>
      </c>
      <c r="O4599" s="411">
        <f t="shared" si="940"/>
        <v>-440</v>
      </c>
      <c r="P4599" s="132" t="s">
        <v>66</v>
      </c>
      <c r="Q4599" s="232"/>
      <c r="R4599" s="411"/>
      <c r="T4599" s="472"/>
      <c r="U4599" s="445"/>
      <c r="AA4599" s="218"/>
    </row>
    <row r="4600" spans="1:27" x14ac:dyDescent="0.25">
      <c r="A4600" s="432"/>
      <c r="B4600" s="433"/>
      <c r="C4600" s="432"/>
      <c r="D4600" s="454"/>
      <c r="E4600" s="120">
        <v>1500</v>
      </c>
      <c r="F4600" s="133" t="s">
        <v>2323</v>
      </c>
      <c r="G4600" s="435"/>
      <c r="H4600" s="438"/>
      <c r="I4600" s="438"/>
      <c r="J4600" s="438"/>
      <c r="K4600" s="437"/>
      <c r="L4600" s="131">
        <v>150</v>
      </c>
      <c r="M4600" s="252"/>
      <c r="N4600" s="91">
        <f t="shared" si="964"/>
        <v>225</v>
      </c>
      <c r="O4600" s="411">
        <f t="shared" si="940"/>
        <v>-225</v>
      </c>
      <c r="P4600" s="132" t="s">
        <v>52</v>
      </c>
      <c r="Q4600" s="232"/>
      <c r="R4600" s="411"/>
      <c r="T4600" s="134" t="s">
        <v>503</v>
      </c>
      <c r="U4600" s="267" t="s">
        <v>10205</v>
      </c>
      <c r="V4600" s="133" t="s">
        <v>10206</v>
      </c>
      <c r="AA4600" s="218"/>
    </row>
    <row r="4601" spans="1:27" x14ac:dyDescent="0.25">
      <c r="A4601" s="432"/>
      <c r="B4601" s="433"/>
      <c r="C4601" s="432"/>
      <c r="D4601" s="454"/>
      <c r="E4601" s="120">
        <v>500</v>
      </c>
      <c r="F4601" s="133" t="s">
        <v>2029</v>
      </c>
      <c r="G4601" s="435"/>
      <c r="H4601" s="438"/>
      <c r="I4601" s="438"/>
      <c r="J4601" s="438"/>
      <c r="K4601" s="437"/>
      <c r="L4601" s="187">
        <v>587</v>
      </c>
      <c r="M4601" s="252"/>
      <c r="N4601" s="91">
        <f t="shared" si="964"/>
        <v>293.5</v>
      </c>
      <c r="O4601" s="411">
        <f t="shared" si="940"/>
        <v>-293.5</v>
      </c>
      <c r="P4601" s="132" t="s">
        <v>66</v>
      </c>
      <c r="Q4601" s="232"/>
      <c r="R4601" s="411"/>
      <c r="T4601" s="470" t="s">
        <v>389</v>
      </c>
      <c r="U4601" s="446" t="s">
        <v>10207</v>
      </c>
      <c r="AA4601" s="218"/>
    </row>
    <row r="4602" spans="1:27" x14ac:dyDescent="0.25">
      <c r="A4602" s="432"/>
      <c r="B4602" s="433"/>
      <c r="C4602" s="432"/>
      <c r="D4602" s="454"/>
      <c r="E4602" s="120">
        <v>500</v>
      </c>
      <c r="F4602" s="133" t="s">
        <v>10208</v>
      </c>
      <c r="G4602" s="435"/>
      <c r="H4602" s="438"/>
      <c r="I4602" s="438"/>
      <c r="J4602" s="438"/>
      <c r="K4602" s="437"/>
      <c r="L4602" s="187">
        <v>160</v>
      </c>
      <c r="N4602" s="91">
        <f t="shared" si="964"/>
        <v>80</v>
      </c>
      <c r="O4602" s="411">
        <f t="shared" si="940"/>
        <v>-80</v>
      </c>
      <c r="P4602" s="132" t="s">
        <v>66</v>
      </c>
      <c r="Q4602" s="232"/>
      <c r="R4602" s="411"/>
      <c r="T4602" s="471"/>
      <c r="U4602" s="448"/>
      <c r="AA4602" s="218"/>
    </row>
    <row r="4603" spans="1:27" x14ac:dyDescent="0.25">
      <c r="A4603" s="432"/>
      <c r="B4603" s="433"/>
      <c r="C4603" s="432"/>
      <c r="D4603" s="454"/>
      <c r="E4603" s="120">
        <v>500</v>
      </c>
      <c r="F4603" s="133" t="s">
        <v>665</v>
      </c>
      <c r="G4603" s="435"/>
      <c r="H4603" s="438"/>
      <c r="I4603" s="438"/>
      <c r="J4603" s="438"/>
      <c r="K4603" s="437"/>
      <c r="L4603" s="187">
        <v>205</v>
      </c>
      <c r="N4603" s="91">
        <f t="shared" si="964"/>
        <v>102.5</v>
      </c>
      <c r="O4603" s="411">
        <f t="shared" si="940"/>
        <v>-102.5</v>
      </c>
      <c r="P4603" s="132" t="s">
        <v>66</v>
      </c>
      <c r="Q4603" s="232"/>
      <c r="R4603" s="411"/>
      <c r="T4603" s="471"/>
      <c r="U4603" s="448"/>
      <c r="AA4603" s="218"/>
    </row>
    <row r="4604" spans="1:27" x14ac:dyDescent="0.25">
      <c r="A4604" s="432"/>
      <c r="B4604" s="433"/>
      <c r="C4604" s="432"/>
      <c r="D4604" s="454"/>
      <c r="E4604" s="120">
        <v>1000</v>
      </c>
      <c r="F4604" s="133" t="s">
        <v>10209</v>
      </c>
      <c r="G4604" s="435"/>
      <c r="H4604" s="438"/>
      <c r="I4604" s="438"/>
      <c r="J4604" s="438"/>
      <c r="K4604" s="437"/>
      <c r="L4604" s="187">
        <v>425</v>
      </c>
      <c r="N4604" s="91">
        <f t="shared" si="964"/>
        <v>425</v>
      </c>
      <c r="O4604" s="411">
        <f t="shared" si="940"/>
        <v>-425</v>
      </c>
      <c r="P4604" s="132" t="s">
        <v>66</v>
      </c>
      <c r="Q4604" s="232"/>
      <c r="R4604" s="411"/>
      <c r="T4604" s="471"/>
      <c r="U4604" s="448"/>
      <c r="AA4604" s="218"/>
    </row>
    <row r="4605" spans="1:27" x14ac:dyDescent="0.25">
      <c r="A4605" s="432"/>
      <c r="B4605" s="433"/>
      <c r="C4605" s="432"/>
      <c r="D4605" s="454"/>
      <c r="E4605" s="120">
        <v>500</v>
      </c>
      <c r="F4605" s="133" t="s">
        <v>10210</v>
      </c>
      <c r="G4605" s="435"/>
      <c r="H4605" s="438"/>
      <c r="I4605" s="438"/>
      <c r="J4605" s="438"/>
      <c r="K4605" s="437"/>
      <c r="L4605" s="187">
        <v>350</v>
      </c>
      <c r="N4605" s="91">
        <f t="shared" si="964"/>
        <v>175</v>
      </c>
      <c r="O4605" s="411">
        <f t="shared" si="940"/>
        <v>-175</v>
      </c>
      <c r="P4605" s="132" t="s">
        <v>66</v>
      </c>
      <c r="Q4605" s="232"/>
      <c r="R4605" s="411"/>
      <c r="T4605" s="472"/>
      <c r="U4605" s="447"/>
      <c r="AA4605" s="218"/>
    </row>
    <row r="4606" spans="1:27" x14ac:dyDescent="0.25">
      <c r="A4606" s="420"/>
      <c r="B4606" s="422"/>
      <c r="C4606" s="420"/>
      <c r="D4606" s="418"/>
      <c r="E4606" s="120">
        <v>430</v>
      </c>
      <c r="F4606" s="133" t="s">
        <v>7610</v>
      </c>
      <c r="G4606" s="436"/>
      <c r="H4606" s="428"/>
      <c r="I4606" s="428"/>
      <c r="J4606" s="428"/>
      <c r="K4606" s="426"/>
      <c r="L4606" s="131">
        <v>500</v>
      </c>
      <c r="M4606" s="187">
        <v>107.96</v>
      </c>
      <c r="N4606" s="91">
        <f t="shared" si="964"/>
        <v>322.95999999999998</v>
      </c>
      <c r="O4606" s="411">
        <f t="shared" si="940"/>
        <v>-322.95999999999998</v>
      </c>
      <c r="P4606" s="132" t="s">
        <v>52</v>
      </c>
      <c r="Q4606" s="232"/>
      <c r="R4606" s="411"/>
      <c r="T4606" s="134" t="s">
        <v>503</v>
      </c>
      <c r="U4606" s="267" t="s">
        <v>10205</v>
      </c>
      <c r="V4606" s="133" t="s">
        <v>10206</v>
      </c>
      <c r="AA4606" s="218"/>
    </row>
    <row r="4607" spans="1:27" ht="24" x14ac:dyDescent="0.25">
      <c r="A4607" s="405">
        <v>3003581</v>
      </c>
      <c r="B4607" s="406">
        <v>42587</v>
      </c>
      <c r="C4607" s="405" t="s">
        <v>141</v>
      </c>
      <c r="D4607" s="401" t="s">
        <v>10211</v>
      </c>
      <c r="E4607" s="120">
        <v>775</v>
      </c>
      <c r="F4607" s="119" t="s">
        <v>10212</v>
      </c>
      <c r="G4607" s="404" t="s">
        <v>7486</v>
      </c>
      <c r="H4607" s="411">
        <v>6200</v>
      </c>
      <c r="I4607" s="411">
        <v>0</v>
      </c>
      <c r="J4607" s="258">
        <f>-((H4607*0.0325)+0.3)</f>
        <v>-201.8</v>
      </c>
      <c r="K4607" s="90">
        <f t="shared" ref="K4607:K4616" si="969">SUM(H4607:J4607)</f>
        <v>5998.2</v>
      </c>
      <c r="L4607" s="187">
        <v>5250</v>
      </c>
      <c r="M4607" s="224">
        <v>247.79</v>
      </c>
      <c r="N4607" s="91">
        <f t="shared" si="964"/>
        <v>4316.54</v>
      </c>
      <c r="O4607" s="411">
        <f t="shared" si="940"/>
        <v>1681.6599999999999</v>
      </c>
      <c r="P4607" s="132" t="s">
        <v>235</v>
      </c>
      <c r="Q4607" s="232"/>
      <c r="R4607" s="411"/>
      <c r="T4607" s="134" t="s">
        <v>3081</v>
      </c>
      <c r="U4607" s="266">
        <v>364686071</v>
      </c>
      <c r="V4607" s="133" t="s">
        <v>55</v>
      </c>
      <c r="W4607" s="153" t="s">
        <v>10213</v>
      </c>
      <c r="AA4607" s="218">
        <v>50</v>
      </c>
    </row>
    <row r="4608" spans="1:27" ht="24" x14ac:dyDescent="0.25">
      <c r="A4608" s="405">
        <v>3003582</v>
      </c>
      <c r="B4608" s="406">
        <v>42587</v>
      </c>
      <c r="C4608" s="405" t="s">
        <v>5682</v>
      </c>
      <c r="D4608" s="401" t="s">
        <v>10214</v>
      </c>
      <c r="E4608" s="120">
        <v>50</v>
      </c>
      <c r="F4608" s="133" t="s">
        <v>304</v>
      </c>
      <c r="G4608" s="404" t="s">
        <v>7486</v>
      </c>
      <c r="H4608" s="411">
        <v>118.8</v>
      </c>
      <c r="I4608" s="89">
        <f t="shared" ref="I4608:I4615" si="970">-(H4608*0.09)</f>
        <v>-10.692</v>
      </c>
      <c r="J4608" s="258">
        <f t="shared" ref="J4608:J4616" si="971">-((H4608*0.019)+0.3)</f>
        <v>-2.5571999999999999</v>
      </c>
      <c r="K4608" s="90">
        <f t="shared" si="969"/>
        <v>105.55080000000001</v>
      </c>
      <c r="L4608" s="131">
        <v>990</v>
      </c>
      <c r="M4608" s="187">
        <v>28.8</v>
      </c>
      <c r="N4608" s="91">
        <f t="shared" si="964"/>
        <v>78.3</v>
      </c>
      <c r="O4608" s="411">
        <f t="shared" si="940"/>
        <v>27.250800000000012</v>
      </c>
      <c r="P4608" s="132" t="s">
        <v>52</v>
      </c>
      <c r="Q4608" s="232"/>
      <c r="R4608" s="411"/>
      <c r="T4608" s="172" t="s">
        <v>145</v>
      </c>
      <c r="U4608" s="259" t="s">
        <v>10215</v>
      </c>
      <c r="AA4608" s="218"/>
    </row>
    <row r="4609" spans="1:27" ht="24" x14ac:dyDescent="0.25">
      <c r="A4609" s="405">
        <v>3003583</v>
      </c>
      <c r="B4609" s="406">
        <v>42587</v>
      </c>
      <c r="C4609" s="405" t="s">
        <v>5682</v>
      </c>
      <c r="D4609" s="401" t="s">
        <v>5877</v>
      </c>
      <c r="E4609" s="120">
        <v>200</v>
      </c>
      <c r="F4609" s="133" t="s">
        <v>2610</v>
      </c>
      <c r="G4609" s="404" t="s">
        <v>7486</v>
      </c>
      <c r="H4609" s="411">
        <v>212.8</v>
      </c>
      <c r="I4609" s="89">
        <f t="shared" si="970"/>
        <v>-19.152000000000001</v>
      </c>
      <c r="J4609" s="258">
        <f t="shared" si="971"/>
        <v>-4.3431999999999995</v>
      </c>
      <c r="K4609" s="90">
        <f t="shared" si="969"/>
        <v>189.30480000000003</v>
      </c>
      <c r="L4609" s="187">
        <v>499</v>
      </c>
      <c r="M4609" s="187">
        <v>42.69</v>
      </c>
      <c r="N4609" s="91">
        <f t="shared" si="964"/>
        <v>142.49</v>
      </c>
      <c r="O4609" s="411">
        <f t="shared" si="940"/>
        <v>46.81480000000002</v>
      </c>
      <c r="P4609" s="132" t="s">
        <v>183</v>
      </c>
      <c r="Q4609" s="232"/>
      <c r="R4609" s="411"/>
      <c r="T4609" s="172" t="s">
        <v>145</v>
      </c>
      <c r="U4609" s="259">
        <v>675692461520</v>
      </c>
      <c r="AA4609" s="218"/>
    </row>
    <row r="4610" spans="1:27" ht="24" x14ac:dyDescent="0.25">
      <c r="A4610" s="419">
        <v>3003584</v>
      </c>
      <c r="B4610" s="421">
        <v>42587</v>
      </c>
      <c r="C4610" s="419" t="s">
        <v>56</v>
      </c>
      <c r="D4610" s="429" t="s">
        <v>6470</v>
      </c>
      <c r="E4610" s="120">
        <v>230</v>
      </c>
      <c r="F4610" s="119" t="s">
        <v>10216</v>
      </c>
      <c r="G4610" s="434" t="s">
        <v>7486</v>
      </c>
      <c r="H4610" s="427">
        <v>1963.86</v>
      </c>
      <c r="I4610" s="521">
        <v>0</v>
      </c>
      <c r="J4610" s="523">
        <v>0</v>
      </c>
      <c r="K4610" s="396">
        <f t="shared" si="969"/>
        <v>1963.86</v>
      </c>
      <c r="L4610" s="187">
        <v>2170</v>
      </c>
      <c r="N4610" s="91">
        <f t="shared" si="964"/>
        <v>499.1</v>
      </c>
      <c r="O4610" s="411">
        <f t="shared" si="940"/>
        <v>1464.7599999999998</v>
      </c>
      <c r="P4610" s="132" t="s">
        <v>183</v>
      </c>
      <c r="Q4610" s="232"/>
      <c r="R4610" s="411"/>
      <c r="T4610" s="134" t="s">
        <v>10217</v>
      </c>
      <c r="U4610" s="266">
        <v>3615308885</v>
      </c>
      <c r="V4610" s="133" t="s">
        <v>10218</v>
      </c>
      <c r="AA4610" s="218"/>
    </row>
    <row r="4611" spans="1:27" x14ac:dyDescent="0.25">
      <c r="A4611" s="432"/>
      <c r="B4611" s="433"/>
      <c r="C4611" s="432"/>
      <c r="D4611" s="430"/>
      <c r="E4611" s="120">
        <v>500</v>
      </c>
      <c r="F4611" s="133" t="s">
        <v>1273</v>
      </c>
      <c r="G4611" s="435"/>
      <c r="H4611" s="438"/>
      <c r="I4611" s="604"/>
      <c r="J4611" s="534"/>
      <c r="K4611" s="396">
        <f t="shared" si="969"/>
        <v>0</v>
      </c>
      <c r="L4611" s="131">
        <v>616</v>
      </c>
      <c r="N4611" s="91">
        <f t="shared" si="964"/>
        <v>308</v>
      </c>
      <c r="O4611" s="411">
        <f t="shared" si="940"/>
        <v>-308</v>
      </c>
      <c r="P4611" s="132" t="s">
        <v>52</v>
      </c>
      <c r="Q4611" s="232"/>
      <c r="R4611" s="411"/>
      <c r="T4611" s="134" t="s">
        <v>7260</v>
      </c>
      <c r="U4611" s="266" t="s">
        <v>10219</v>
      </c>
      <c r="V4611" s="133" t="s">
        <v>10220</v>
      </c>
      <c r="AA4611" s="218"/>
    </row>
    <row r="4612" spans="1:27" x14ac:dyDescent="0.25">
      <c r="A4612" s="432"/>
      <c r="B4612" s="433"/>
      <c r="C4612" s="432"/>
      <c r="D4612" s="430"/>
      <c r="E4612" s="120">
        <v>1000</v>
      </c>
      <c r="F4612" s="133" t="s">
        <v>6914</v>
      </c>
      <c r="G4612" s="435"/>
      <c r="H4612" s="438"/>
      <c r="I4612" s="604"/>
      <c r="J4612" s="534"/>
      <c r="K4612" s="396">
        <f t="shared" si="969"/>
        <v>0</v>
      </c>
      <c r="L4612" s="224">
        <v>499</v>
      </c>
      <c r="N4612" s="91">
        <f t="shared" si="964"/>
        <v>499</v>
      </c>
      <c r="O4612" s="411">
        <f t="shared" ref="O4612:O4675" si="972">K4612-N4612</f>
        <v>-499</v>
      </c>
      <c r="P4612" s="132" t="s">
        <v>183</v>
      </c>
      <c r="Q4612" s="232"/>
      <c r="R4612" s="411"/>
      <c r="T4612" s="134" t="s">
        <v>10217</v>
      </c>
      <c r="U4612" s="266">
        <v>3615308885</v>
      </c>
      <c r="AA4612" s="218"/>
    </row>
    <row r="4613" spans="1:27" x14ac:dyDescent="0.25">
      <c r="A4613" s="420"/>
      <c r="B4613" s="422"/>
      <c r="C4613" s="420"/>
      <c r="D4613" s="431"/>
      <c r="E4613" s="120">
        <v>500</v>
      </c>
      <c r="F4613" s="133" t="s">
        <v>4729</v>
      </c>
      <c r="G4613" s="436"/>
      <c r="H4613" s="428"/>
      <c r="I4613" s="522"/>
      <c r="J4613" s="524"/>
      <c r="K4613" s="396">
        <f t="shared" si="969"/>
        <v>0</v>
      </c>
      <c r="L4613" s="131">
        <v>300</v>
      </c>
      <c r="M4613" s="187">
        <v>100.94</v>
      </c>
      <c r="N4613" s="91">
        <f t="shared" si="964"/>
        <v>250.94</v>
      </c>
      <c r="O4613" s="411">
        <f t="shared" si="972"/>
        <v>-250.94</v>
      </c>
      <c r="P4613" s="132" t="s">
        <v>52</v>
      </c>
      <c r="Q4613" s="232"/>
      <c r="R4613" s="411"/>
      <c r="T4613" s="134" t="s">
        <v>7260</v>
      </c>
      <c r="U4613" s="266" t="s">
        <v>10219</v>
      </c>
      <c r="V4613" s="133" t="s">
        <v>10221</v>
      </c>
      <c r="AA4613" s="218"/>
    </row>
    <row r="4614" spans="1:27" ht="24" x14ac:dyDescent="0.25">
      <c r="A4614" s="419">
        <v>3003585</v>
      </c>
      <c r="B4614" s="421">
        <v>42590</v>
      </c>
      <c r="C4614" s="419" t="s">
        <v>78</v>
      </c>
      <c r="D4614" s="417" t="s">
        <v>10222</v>
      </c>
      <c r="E4614" s="120">
        <v>325</v>
      </c>
      <c r="F4614" s="133" t="s">
        <v>10223</v>
      </c>
      <c r="G4614" s="434" t="s">
        <v>45</v>
      </c>
      <c r="H4614" s="427">
        <f>334.75+321</f>
        <v>655.75</v>
      </c>
      <c r="I4614" s="89">
        <v>0</v>
      </c>
      <c r="J4614" s="258">
        <f t="shared" si="971"/>
        <v>-12.75925</v>
      </c>
      <c r="K4614" s="396">
        <f t="shared" si="969"/>
        <v>642.99075000000005</v>
      </c>
      <c r="L4614" s="131">
        <v>419</v>
      </c>
      <c r="M4614" s="187">
        <v>57.95</v>
      </c>
      <c r="N4614" s="91">
        <f t="shared" si="964"/>
        <v>194.125</v>
      </c>
      <c r="O4614" s="411">
        <f t="shared" si="972"/>
        <v>448.86575000000005</v>
      </c>
      <c r="P4614" s="132" t="s">
        <v>52</v>
      </c>
      <c r="Q4614" s="232"/>
      <c r="R4614" s="411"/>
      <c r="T4614" s="134" t="s">
        <v>145</v>
      </c>
      <c r="U4614" s="266">
        <v>680483358645</v>
      </c>
      <c r="W4614" s="153" t="s">
        <v>10224</v>
      </c>
      <c r="AA4614" s="218"/>
    </row>
    <row r="4615" spans="1:27" ht="24" x14ac:dyDescent="0.25">
      <c r="A4615" s="420"/>
      <c r="B4615" s="422"/>
      <c r="C4615" s="420"/>
      <c r="D4615" s="418"/>
      <c r="E4615" s="120">
        <v>300</v>
      </c>
      <c r="F4615" s="133" t="s">
        <v>247</v>
      </c>
      <c r="G4615" s="436"/>
      <c r="H4615" s="428"/>
      <c r="I4615" s="89">
        <f t="shared" si="970"/>
        <v>0</v>
      </c>
      <c r="J4615" s="258">
        <f t="shared" si="971"/>
        <v>-0.3</v>
      </c>
      <c r="K4615" s="396">
        <f t="shared" si="969"/>
        <v>-0.3</v>
      </c>
      <c r="L4615" s="131">
        <v>480</v>
      </c>
      <c r="M4615" s="187">
        <v>47.13</v>
      </c>
      <c r="N4615" s="91">
        <f t="shared" si="964"/>
        <v>191.13</v>
      </c>
      <c r="O4615" s="411">
        <f t="shared" si="972"/>
        <v>-191.43</v>
      </c>
      <c r="P4615" s="132" t="s">
        <v>52</v>
      </c>
      <c r="Q4615" s="232"/>
      <c r="R4615" s="411"/>
      <c r="T4615" s="134" t="s">
        <v>145</v>
      </c>
      <c r="U4615" s="266">
        <v>680483358656</v>
      </c>
      <c r="AA4615" s="218"/>
    </row>
    <row r="4616" spans="1:27" ht="24" x14ac:dyDescent="0.25">
      <c r="A4616" s="405">
        <v>3003586</v>
      </c>
      <c r="B4616" s="406">
        <v>42590</v>
      </c>
      <c r="C4616" s="405" t="s">
        <v>159</v>
      </c>
      <c r="D4616" s="401" t="s">
        <v>10225</v>
      </c>
      <c r="E4616" s="120">
        <v>25</v>
      </c>
      <c r="F4616" s="133" t="s">
        <v>10226</v>
      </c>
      <c r="G4616" s="404" t="s">
        <v>7486</v>
      </c>
      <c r="H4616" s="411">
        <v>126.25</v>
      </c>
      <c r="I4616" s="89">
        <v>0</v>
      </c>
      <c r="J4616" s="258">
        <f t="shared" si="971"/>
        <v>-2.69875</v>
      </c>
      <c r="K4616" s="396">
        <f t="shared" si="969"/>
        <v>123.55125</v>
      </c>
      <c r="L4616" s="187">
        <v>3150</v>
      </c>
      <c r="M4616" s="131">
        <v>10</v>
      </c>
      <c r="N4616" s="91">
        <f t="shared" si="964"/>
        <v>88.75</v>
      </c>
      <c r="O4616" s="411">
        <f t="shared" si="972"/>
        <v>34.801249999999996</v>
      </c>
      <c r="P4616" s="132" t="s">
        <v>183</v>
      </c>
      <c r="Q4616" s="232"/>
      <c r="R4616" s="411"/>
      <c r="T4616" s="134" t="s">
        <v>145</v>
      </c>
      <c r="U4616" s="266">
        <v>616712875487</v>
      </c>
      <c r="V4616" s="133" t="s">
        <v>10227</v>
      </c>
      <c r="W4616" s="153" t="s">
        <v>10228</v>
      </c>
      <c r="AA4616" s="218"/>
    </row>
    <row r="4617" spans="1:27" ht="24" x14ac:dyDescent="0.25">
      <c r="A4617" s="405">
        <v>3003587</v>
      </c>
      <c r="B4617" s="406">
        <v>42590</v>
      </c>
      <c r="C4617" s="405" t="s">
        <v>237</v>
      </c>
      <c r="D4617" s="401" t="s">
        <v>10229</v>
      </c>
      <c r="E4617" s="120">
        <v>150</v>
      </c>
      <c r="F4617" s="133" t="s">
        <v>247</v>
      </c>
      <c r="G4617" s="404" t="s">
        <v>7486</v>
      </c>
      <c r="H4617" s="411">
        <v>170</v>
      </c>
      <c r="I4617" s="397">
        <f t="shared" ref="I4617" si="973">-(H4617*0.15)</f>
        <v>-25.5</v>
      </c>
      <c r="J4617" s="411">
        <v>0</v>
      </c>
      <c r="K4617" s="90">
        <f t="shared" ref="K4617" si="974">SUM(H4617:J4617)</f>
        <v>144.5</v>
      </c>
      <c r="L4617" s="131">
        <v>480</v>
      </c>
      <c r="M4617" s="187">
        <v>38.06</v>
      </c>
      <c r="N4617" s="91">
        <f t="shared" si="964"/>
        <v>110.06</v>
      </c>
      <c r="O4617" s="411">
        <f t="shared" si="972"/>
        <v>34.44</v>
      </c>
      <c r="P4617" s="132" t="s">
        <v>52</v>
      </c>
      <c r="Q4617" s="232"/>
      <c r="R4617" s="411"/>
      <c r="T4617" s="172" t="s">
        <v>145</v>
      </c>
      <c r="U4617" s="259" t="s">
        <v>10230</v>
      </c>
      <c r="AA4617" s="218"/>
    </row>
    <row r="4618" spans="1:27" ht="24" x14ac:dyDescent="0.25">
      <c r="A4618" s="405">
        <v>3003588</v>
      </c>
      <c r="B4618" s="406">
        <v>42590</v>
      </c>
      <c r="C4618" s="405" t="s">
        <v>237</v>
      </c>
      <c r="D4618" s="401" t="s">
        <v>10231</v>
      </c>
      <c r="E4618" s="120">
        <v>100</v>
      </c>
      <c r="F4618" s="133" t="s">
        <v>161</v>
      </c>
      <c r="G4618" s="404" t="s">
        <v>7486</v>
      </c>
      <c r="H4618" s="411">
        <v>250</v>
      </c>
      <c r="I4618" s="397">
        <f t="shared" ref="I4618" si="975">-(H4618*0.15)</f>
        <v>-37.5</v>
      </c>
      <c r="J4618" s="411">
        <v>0</v>
      </c>
      <c r="K4618" s="90">
        <f t="shared" ref="K4618" si="976">SUM(H4618:J4618)</f>
        <v>212.5</v>
      </c>
      <c r="L4618" s="131">
        <v>480</v>
      </c>
      <c r="M4618" s="187">
        <v>27.96</v>
      </c>
      <c r="N4618" s="91">
        <f t="shared" si="964"/>
        <v>75.960000000000008</v>
      </c>
      <c r="O4618" s="411">
        <f t="shared" si="972"/>
        <v>136.54</v>
      </c>
      <c r="P4618" s="132" t="s">
        <v>52</v>
      </c>
      <c r="Q4618" s="232"/>
      <c r="R4618" s="411"/>
      <c r="T4618" s="172" t="s">
        <v>145</v>
      </c>
      <c r="U4618" s="259">
        <v>680483358564</v>
      </c>
      <c r="AA4618" s="218"/>
    </row>
    <row r="4619" spans="1:27" ht="24" x14ac:dyDescent="0.25">
      <c r="A4619" s="405">
        <v>3003589</v>
      </c>
      <c r="B4619" s="406">
        <v>42590</v>
      </c>
      <c r="C4619" s="405" t="s">
        <v>237</v>
      </c>
      <c r="D4619" s="401" t="s">
        <v>10232</v>
      </c>
      <c r="E4619" s="120">
        <v>350</v>
      </c>
      <c r="F4619" s="133" t="s">
        <v>165</v>
      </c>
      <c r="G4619" s="404" t="s">
        <v>7486</v>
      </c>
      <c r="H4619" s="411">
        <v>286.62</v>
      </c>
      <c r="I4619" s="397">
        <f t="shared" ref="I4619" si="977">-(H4619*0.15)</f>
        <v>-42.993000000000002</v>
      </c>
      <c r="J4619" s="411">
        <v>0</v>
      </c>
      <c r="K4619" s="90">
        <f t="shared" ref="K4619" si="978">SUM(H4619:J4619)</f>
        <v>243.62700000000001</v>
      </c>
      <c r="M4619" s="187">
        <v>59.69</v>
      </c>
      <c r="N4619" s="91">
        <f t="shared" si="964"/>
        <v>59.69</v>
      </c>
      <c r="O4619" s="411">
        <f t="shared" si="972"/>
        <v>183.93700000000001</v>
      </c>
      <c r="P4619" s="132" t="s">
        <v>52</v>
      </c>
      <c r="Q4619" s="232"/>
      <c r="R4619" s="411"/>
      <c r="T4619" s="172" t="s">
        <v>145</v>
      </c>
      <c r="U4619" s="259">
        <v>665651739824</v>
      </c>
      <c r="AA4619" s="218"/>
    </row>
    <row r="4620" spans="1:27" ht="24" x14ac:dyDescent="0.25">
      <c r="A4620" s="419">
        <v>3003590</v>
      </c>
      <c r="B4620" s="421">
        <v>42590</v>
      </c>
      <c r="C4620" s="419" t="s">
        <v>237</v>
      </c>
      <c r="D4620" s="417" t="s">
        <v>10233</v>
      </c>
      <c r="E4620" s="120">
        <v>500</v>
      </c>
      <c r="F4620" s="133" t="s">
        <v>165</v>
      </c>
      <c r="G4620" s="434" t="s">
        <v>45</v>
      </c>
      <c r="H4620" s="427">
        <f>375+125.88</f>
        <v>500.88</v>
      </c>
      <c r="I4620" s="452">
        <f t="shared" ref="I4620" si="979">-(H4620*0.15)</f>
        <v>-75.131999999999991</v>
      </c>
      <c r="J4620" s="427">
        <v>0</v>
      </c>
      <c r="K4620" s="425">
        <f t="shared" ref="K4620" si="980">SUM(H4620:J4620)</f>
        <v>425.74799999999999</v>
      </c>
      <c r="M4620" s="187">
        <v>17.27</v>
      </c>
      <c r="N4620" s="91">
        <f t="shared" si="964"/>
        <v>17.27</v>
      </c>
      <c r="O4620" s="411">
        <f t="shared" si="972"/>
        <v>408.47800000000001</v>
      </c>
      <c r="P4620" s="132" t="s">
        <v>52</v>
      </c>
      <c r="Q4620" s="232"/>
      <c r="R4620" s="411"/>
      <c r="T4620" s="172" t="s">
        <v>145</v>
      </c>
      <c r="U4620" s="259" t="s">
        <v>10234</v>
      </c>
      <c r="AA4620" s="218"/>
    </row>
    <row r="4621" spans="1:27" ht="24" x14ac:dyDescent="0.25">
      <c r="A4621" s="420"/>
      <c r="B4621" s="422"/>
      <c r="C4621" s="420"/>
      <c r="D4621" s="418"/>
      <c r="E4621" s="120">
        <v>175</v>
      </c>
      <c r="F4621" s="133" t="s">
        <v>877</v>
      </c>
      <c r="G4621" s="436"/>
      <c r="H4621" s="428"/>
      <c r="I4621" s="453"/>
      <c r="J4621" s="428"/>
      <c r="K4621" s="426"/>
      <c r="M4621" s="187">
        <v>62.01</v>
      </c>
      <c r="N4621" s="91">
        <f t="shared" si="964"/>
        <v>62.01</v>
      </c>
      <c r="O4621" s="411">
        <f t="shared" si="972"/>
        <v>-62.01</v>
      </c>
      <c r="P4621" s="132" t="s">
        <v>52</v>
      </c>
      <c r="Q4621" s="232"/>
      <c r="R4621" s="411"/>
      <c r="T4621" s="172" t="s">
        <v>145</v>
      </c>
      <c r="U4621" s="259" t="s">
        <v>10235</v>
      </c>
      <c r="AA4621" s="218"/>
    </row>
    <row r="4622" spans="1:27" ht="24" x14ac:dyDescent="0.25">
      <c r="A4622" s="405">
        <v>3003591</v>
      </c>
      <c r="B4622" s="406">
        <v>42590</v>
      </c>
      <c r="C4622" s="405" t="s">
        <v>237</v>
      </c>
      <c r="D4622" s="401" t="s">
        <v>10236</v>
      </c>
      <c r="E4622" s="120">
        <v>50</v>
      </c>
      <c r="F4622" s="133" t="s">
        <v>341</v>
      </c>
      <c r="G4622" s="404" t="s">
        <v>7486</v>
      </c>
      <c r="H4622" s="411">
        <v>100</v>
      </c>
      <c r="I4622" s="397">
        <f t="shared" ref="I4622" si="981">-(H4622*0.15)</f>
        <v>-15</v>
      </c>
      <c r="J4622" s="411">
        <v>0</v>
      </c>
      <c r="K4622" s="90">
        <f t="shared" ref="K4622" si="982">SUM(H4622:J4622)</f>
        <v>85</v>
      </c>
      <c r="M4622" s="187">
        <v>33.46</v>
      </c>
      <c r="N4622" s="91">
        <f t="shared" si="964"/>
        <v>33.46</v>
      </c>
      <c r="O4622" s="411">
        <f t="shared" si="972"/>
        <v>51.54</v>
      </c>
      <c r="P4622" s="132" t="s">
        <v>52</v>
      </c>
      <c r="Q4622" s="232"/>
      <c r="R4622" s="411"/>
      <c r="T4622" s="172" t="s">
        <v>145</v>
      </c>
      <c r="U4622" s="259" t="s">
        <v>10237</v>
      </c>
      <c r="AA4622" s="218"/>
    </row>
    <row r="4623" spans="1:27" ht="24" x14ac:dyDescent="0.25">
      <c r="A4623" s="405">
        <v>3003592</v>
      </c>
      <c r="B4623" s="406">
        <v>42590</v>
      </c>
      <c r="C4623" s="405" t="s">
        <v>237</v>
      </c>
      <c r="D4623" s="401" t="s">
        <v>2124</v>
      </c>
      <c r="E4623" s="120">
        <v>275</v>
      </c>
      <c r="F4623" s="133" t="s">
        <v>247</v>
      </c>
      <c r="G4623" s="404" t="s">
        <v>7486</v>
      </c>
      <c r="H4623" s="411">
        <v>270</v>
      </c>
      <c r="I4623" s="397">
        <f t="shared" ref="I4623" si="983">-(H4623*0.15)</f>
        <v>-40.5</v>
      </c>
      <c r="J4623" s="411">
        <v>0</v>
      </c>
      <c r="K4623" s="90">
        <f t="shared" ref="K4623" si="984">SUM(H4623:J4623)</f>
        <v>229.5</v>
      </c>
      <c r="L4623" s="131">
        <v>480</v>
      </c>
      <c r="M4623" s="187">
        <v>51.32</v>
      </c>
      <c r="N4623" s="91">
        <f t="shared" si="964"/>
        <v>183.32</v>
      </c>
      <c r="O4623" s="411">
        <f t="shared" si="972"/>
        <v>46.180000000000007</v>
      </c>
      <c r="P4623" s="132" t="s">
        <v>52</v>
      </c>
      <c r="Q4623" s="232"/>
      <c r="R4623" s="411"/>
      <c r="T4623" s="172" t="s">
        <v>145</v>
      </c>
      <c r="U4623" s="259">
        <v>680483358586</v>
      </c>
      <c r="AA4623" s="218"/>
    </row>
    <row r="4624" spans="1:27" ht="24" x14ac:dyDescent="0.25">
      <c r="A4624" s="405">
        <v>3003593</v>
      </c>
      <c r="B4624" s="406">
        <v>42590</v>
      </c>
      <c r="C4624" s="405" t="s">
        <v>237</v>
      </c>
      <c r="D4624" s="401" t="s">
        <v>10238</v>
      </c>
      <c r="E4624" s="120">
        <v>150</v>
      </c>
      <c r="F4624" s="133" t="s">
        <v>247</v>
      </c>
      <c r="G4624" s="404" t="s">
        <v>7486</v>
      </c>
      <c r="H4624" s="411">
        <v>160</v>
      </c>
      <c r="I4624" s="397">
        <f t="shared" ref="I4624" si="985">-(H4624*0.15)</f>
        <v>-24</v>
      </c>
      <c r="J4624" s="411">
        <v>0</v>
      </c>
      <c r="K4624" s="90">
        <f t="shared" ref="K4624" si="986">SUM(H4624:J4624)</f>
        <v>136</v>
      </c>
      <c r="L4624" s="131">
        <v>480</v>
      </c>
      <c r="M4624" s="187">
        <v>36.28</v>
      </c>
      <c r="N4624" s="91">
        <f t="shared" si="964"/>
        <v>108.28</v>
      </c>
      <c r="O4624" s="411">
        <f t="shared" si="972"/>
        <v>27.72</v>
      </c>
      <c r="P4624" s="132" t="s">
        <v>52</v>
      </c>
      <c r="Q4624" s="232"/>
      <c r="R4624" s="411"/>
      <c r="T4624" s="172" t="s">
        <v>145</v>
      </c>
      <c r="U4624" s="259" t="s">
        <v>10239</v>
      </c>
      <c r="AA4624" s="218"/>
    </row>
    <row r="4625" spans="1:27" ht="24" x14ac:dyDescent="0.25">
      <c r="A4625" s="405">
        <v>3003594</v>
      </c>
      <c r="B4625" s="406">
        <v>42590</v>
      </c>
      <c r="C4625" s="405" t="s">
        <v>237</v>
      </c>
      <c r="D4625" s="401" t="s">
        <v>10238</v>
      </c>
      <c r="E4625" s="120">
        <v>150</v>
      </c>
      <c r="F4625" s="133" t="s">
        <v>247</v>
      </c>
      <c r="G4625" s="404" t="s">
        <v>7486</v>
      </c>
      <c r="H4625" s="411">
        <v>170</v>
      </c>
      <c r="I4625" s="397">
        <f t="shared" ref="I4625" si="987">-(H4625*0.15)</f>
        <v>-25.5</v>
      </c>
      <c r="J4625" s="411">
        <v>0</v>
      </c>
      <c r="K4625" s="90">
        <f t="shared" ref="K4625" si="988">SUM(H4625:J4625)</f>
        <v>144.5</v>
      </c>
      <c r="L4625" s="131">
        <v>480</v>
      </c>
      <c r="M4625" s="187">
        <v>46.78</v>
      </c>
      <c r="N4625" s="91">
        <f t="shared" si="964"/>
        <v>118.78</v>
      </c>
      <c r="O4625" s="411">
        <f t="shared" si="972"/>
        <v>25.72</v>
      </c>
      <c r="P4625" s="132" t="s">
        <v>52</v>
      </c>
      <c r="Q4625" s="232"/>
      <c r="R4625" s="411"/>
      <c r="T4625" s="172" t="s">
        <v>145</v>
      </c>
      <c r="U4625" s="259">
        <v>680483358612</v>
      </c>
      <c r="AA4625" s="218"/>
    </row>
    <row r="4626" spans="1:27" ht="24" x14ac:dyDescent="0.25">
      <c r="A4626" s="405">
        <v>3003595</v>
      </c>
      <c r="B4626" s="406">
        <v>42590</v>
      </c>
      <c r="C4626" s="405" t="s">
        <v>237</v>
      </c>
      <c r="D4626" s="401" t="s">
        <v>10240</v>
      </c>
      <c r="E4626" s="120">
        <v>100</v>
      </c>
      <c r="F4626" s="133" t="s">
        <v>247</v>
      </c>
      <c r="G4626" s="404" t="s">
        <v>7486</v>
      </c>
      <c r="H4626" s="411">
        <v>113</v>
      </c>
      <c r="I4626" s="397">
        <f t="shared" ref="I4626" si="989">-(H4626*0.15)</f>
        <v>-16.95</v>
      </c>
      <c r="J4626" s="411">
        <v>0</v>
      </c>
      <c r="K4626" s="90">
        <f t="shared" ref="K4626" si="990">SUM(H4626:J4626)</f>
        <v>96.05</v>
      </c>
      <c r="L4626" s="131">
        <v>480</v>
      </c>
      <c r="M4626" s="187">
        <v>25.95</v>
      </c>
      <c r="N4626" s="91">
        <f t="shared" si="964"/>
        <v>73.95</v>
      </c>
      <c r="O4626" s="411">
        <f t="shared" si="972"/>
        <v>22.099999999999994</v>
      </c>
      <c r="P4626" s="132" t="s">
        <v>52</v>
      </c>
      <c r="Q4626" s="232"/>
      <c r="R4626" s="411"/>
      <c r="T4626" s="172" t="s">
        <v>145</v>
      </c>
      <c r="U4626" s="259" t="s">
        <v>10241</v>
      </c>
      <c r="AA4626" s="218"/>
    </row>
    <row r="4627" spans="1:27" ht="24" x14ac:dyDescent="0.25">
      <c r="A4627" s="405">
        <v>3003596</v>
      </c>
      <c r="B4627" s="406">
        <v>42590</v>
      </c>
      <c r="C4627" s="405" t="s">
        <v>237</v>
      </c>
      <c r="D4627" s="401" t="s">
        <v>10242</v>
      </c>
      <c r="E4627" s="120">
        <v>100</v>
      </c>
      <c r="F4627" s="133" t="s">
        <v>247</v>
      </c>
      <c r="G4627" s="404" t="s">
        <v>7486</v>
      </c>
      <c r="H4627" s="411">
        <v>110</v>
      </c>
      <c r="I4627" s="397">
        <f t="shared" ref="I4627" si="991">-(H4627*0.15)</f>
        <v>-16.5</v>
      </c>
      <c r="J4627" s="411">
        <v>0</v>
      </c>
      <c r="K4627" s="90">
        <f t="shared" ref="K4627" si="992">SUM(H4627:J4627)</f>
        <v>93.5</v>
      </c>
      <c r="L4627" s="131">
        <v>480</v>
      </c>
      <c r="M4627" s="187">
        <v>29.88</v>
      </c>
      <c r="N4627" s="91">
        <f t="shared" si="964"/>
        <v>77.88</v>
      </c>
      <c r="O4627" s="411">
        <f t="shared" si="972"/>
        <v>15.620000000000005</v>
      </c>
      <c r="P4627" s="132" t="s">
        <v>52</v>
      </c>
      <c r="Q4627" s="232"/>
      <c r="R4627" s="411"/>
      <c r="T4627" s="172" t="s">
        <v>145</v>
      </c>
      <c r="U4627" s="259">
        <v>680483358678</v>
      </c>
      <c r="AA4627" s="218"/>
    </row>
    <row r="4628" spans="1:27" ht="24" x14ac:dyDescent="0.25">
      <c r="A4628" s="405">
        <v>3003597</v>
      </c>
      <c r="B4628" s="406">
        <v>42590</v>
      </c>
      <c r="C4628" s="405" t="s">
        <v>237</v>
      </c>
      <c r="D4628" s="401" t="s">
        <v>10243</v>
      </c>
      <c r="E4628" s="120">
        <v>75</v>
      </c>
      <c r="F4628" s="133" t="s">
        <v>161</v>
      </c>
      <c r="G4628" s="404" t="s">
        <v>7486</v>
      </c>
      <c r="H4628" s="411">
        <v>180</v>
      </c>
      <c r="I4628" s="397">
        <f t="shared" ref="I4628" si="993">-(H4628*0.15)</f>
        <v>-27</v>
      </c>
      <c r="J4628" s="411">
        <v>0</v>
      </c>
      <c r="K4628" s="90">
        <f t="shared" ref="K4628" si="994">SUM(H4628:J4628)</f>
        <v>153</v>
      </c>
      <c r="M4628" s="187">
        <v>29.55</v>
      </c>
      <c r="N4628" s="91">
        <f t="shared" si="964"/>
        <v>29.55</v>
      </c>
      <c r="O4628" s="411">
        <f t="shared" si="972"/>
        <v>123.45</v>
      </c>
      <c r="P4628" s="132" t="s">
        <v>52</v>
      </c>
      <c r="Q4628" s="232"/>
      <c r="R4628" s="411"/>
      <c r="T4628" s="172" t="s">
        <v>145</v>
      </c>
      <c r="U4628" s="259">
        <v>665651739905</v>
      </c>
      <c r="AA4628" s="218"/>
    </row>
    <row r="4629" spans="1:27" ht="24" x14ac:dyDescent="0.25">
      <c r="A4629" s="405">
        <v>3003598</v>
      </c>
      <c r="B4629" s="406">
        <v>42590</v>
      </c>
      <c r="C4629" s="405" t="s">
        <v>237</v>
      </c>
      <c r="D4629" s="401" t="s">
        <v>10244</v>
      </c>
      <c r="E4629" s="120">
        <v>250</v>
      </c>
      <c r="F4629" s="133" t="s">
        <v>10245</v>
      </c>
      <c r="G4629" s="404" t="s">
        <v>7486</v>
      </c>
      <c r="H4629" s="411">
        <v>164</v>
      </c>
      <c r="I4629" s="397">
        <f t="shared" ref="I4629" si="995">-(H4629*0.15)</f>
        <v>-24.599999999999998</v>
      </c>
      <c r="J4629" s="411">
        <v>0</v>
      </c>
      <c r="K4629" s="90">
        <f t="shared" ref="K4629" si="996">SUM(H4629:J4629)</f>
        <v>139.4</v>
      </c>
      <c r="L4629" s="187">
        <v>346</v>
      </c>
      <c r="M4629" s="187">
        <v>21.02</v>
      </c>
      <c r="N4629" s="91">
        <f t="shared" si="964"/>
        <v>107.52</v>
      </c>
      <c r="O4629" s="411">
        <f t="shared" si="972"/>
        <v>31.88000000000001</v>
      </c>
      <c r="P4629" s="132" t="s">
        <v>601</v>
      </c>
      <c r="Q4629" s="232"/>
      <c r="R4629" s="411"/>
      <c r="T4629" s="172" t="s">
        <v>145</v>
      </c>
      <c r="U4629" s="304" t="s">
        <v>10246</v>
      </c>
      <c r="AA4629" s="218"/>
    </row>
    <row r="4630" spans="1:27" ht="24" x14ac:dyDescent="0.25">
      <c r="A4630" s="405">
        <v>3003599</v>
      </c>
      <c r="B4630" s="406">
        <v>42590</v>
      </c>
      <c r="C4630" s="405" t="s">
        <v>237</v>
      </c>
      <c r="D4630" s="401" t="s">
        <v>10247</v>
      </c>
      <c r="E4630" s="120">
        <v>1000</v>
      </c>
      <c r="F4630" s="133" t="s">
        <v>10248</v>
      </c>
      <c r="G4630" s="404" t="s">
        <v>7486</v>
      </c>
      <c r="H4630" s="411">
        <v>206.43</v>
      </c>
      <c r="I4630" s="397">
        <f t="shared" ref="I4630" si="997">-(H4630*0.15)</f>
        <v>-30.964500000000001</v>
      </c>
      <c r="J4630" s="411">
        <v>0</v>
      </c>
      <c r="K4630" s="90">
        <f>SUM(H4630:J4630)</f>
        <v>175.46550000000002</v>
      </c>
      <c r="L4630" s="131">
        <v>172</v>
      </c>
      <c r="M4630" s="187">
        <v>39.049999999999997</v>
      </c>
      <c r="N4630" s="91">
        <f t="shared" si="964"/>
        <v>211.05</v>
      </c>
      <c r="O4630" s="411">
        <f t="shared" si="972"/>
        <v>-35.584499999999991</v>
      </c>
      <c r="P4630" s="132" t="s">
        <v>183</v>
      </c>
      <c r="Q4630" s="232"/>
      <c r="R4630" s="411"/>
      <c r="T4630" s="172" t="s">
        <v>145</v>
      </c>
      <c r="U4630" s="259">
        <v>614697965427</v>
      </c>
      <c r="V4630" s="133" t="s">
        <v>10249</v>
      </c>
      <c r="AA4630" s="218"/>
    </row>
    <row r="4631" spans="1:27" x14ac:dyDescent="0.25">
      <c r="A4631" s="419">
        <v>3003600</v>
      </c>
      <c r="B4631" s="421">
        <v>42590</v>
      </c>
      <c r="C4631" s="419" t="s">
        <v>56</v>
      </c>
      <c r="D4631" s="417" t="s">
        <v>10250</v>
      </c>
      <c r="E4631" s="120">
        <v>1000</v>
      </c>
      <c r="F4631" s="119" t="s">
        <v>10251</v>
      </c>
      <c r="G4631" s="589" t="s">
        <v>7486</v>
      </c>
      <c r="H4631" s="427">
        <v>2848.85</v>
      </c>
      <c r="I4631" s="516">
        <v>0</v>
      </c>
      <c r="J4631" s="516">
        <v>0</v>
      </c>
      <c r="K4631" s="516">
        <f>SUM(H4631:J4635)</f>
        <v>2848.85</v>
      </c>
      <c r="L4631" s="187">
        <v>1452.61</v>
      </c>
      <c r="M4631" s="187">
        <v>145.16</v>
      </c>
      <c r="N4631" s="91">
        <f t="shared" si="964"/>
        <v>1597.77</v>
      </c>
      <c r="O4631" s="411">
        <f t="shared" si="972"/>
        <v>1251.08</v>
      </c>
      <c r="P4631" s="132" t="s">
        <v>46</v>
      </c>
      <c r="Q4631" s="232"/>
      <c r="R4631" s="411"/>
      <c r="T4631" s="134" t="s">
        <v>10252</v>
      </c>
      <c r="U4631" s="266">
        <v>187889940</v>
      </c>
      <c r="V4631" s="133" t="s">
        <v>10253</v>
      </c>
      <c r="AA4631" s="218"/>
    </row>
    <row r="4632" spans="1:27" ht="24" x14ac:dyDescent="0.25">
      <c r="A4632" s="432"/>
      <c r="B4632" s="433"/>
      <c r="C4632" s="432"/>
      <c r="D4632" s="454"/>
      <c r="E4632" s="120">
        <v>1000</v>
      </c>
      <c r="F4632" s="133" t="s">
        <v>10254</v>
      </c>
      <c r="G4632" s="605"/>
      <c r="H4632" s="438"/>
      <c r="I4632" s="517"/>
      <c r="J4632" s="517"/>
      <c r="K4632" s="517"/>
      <c r="L4632" s="187">
        <v>200</v>
      </c>
      <c r="M4632" s="187">
        <v>35.159999999999997</v>
      </c>
      <c r="N4632" s="91">
        <f t="shared" si="964"/>
        <v>235.16</v>
      </c>
      <c r="O4632" s="411">
        <f t="shared" si="972"/>
        <v>-235.16</v>
      </c>
      <c r="P4632" s="132" t="s">
        <v>235</v>
      </c>
      <c r="Q4632" s="232"/>
      <c r="R4632" s="411"/>
      <c r="T4632" s="172" t="s">
        <v>145</v>
      </c>
      <c r="U4632" s="259">
        <v>700329328258</v>
      </c>
      <c r="V4632" s="133" t="s">
        <v>9706</v>
      </c>
      <c r="AA4632" s="218"/>
    </row>
    <row r="4633" spans="1:27" ht="24" x14ac:dyDescent="0.25">
      <c r="A4633" s="432"/>
      <c r="B4633" s="433"/>
      <c r="C4633" s="432"/>
      <c r="D4633" s="454"/>
      <c r="E4633" s="120">
        <v>1000</v>
      </c>
      <c r="F4633" s="133" t="s">
        <v>10255</v>
      </c>
      <c r="G4633" s="605"/>
      <c r="H4633" s="438"/>
      <c r="I4633" s="517"/>
      <c r="J4633" s="517"/>
      <c r="K4633" s="517"/>
      <c r="L4633" s="187">
        <v>55</v>
      </c>
      <c r="M4633" s="187">
        <v>10.31</v>
      </c>
      <c r="N4633" s="91">
        <f t="shared" si="964"/>
        <v>65.31</v>
      </c>
      <c r="O4633" s="411">
        <f t="shared" si="972"/>
        <v>-65.31</v>
      </c>
      <c r="P4633" s="132" t="s">
        <v>235</v>
      </c>
      <c r="Q4633" s="232"/>
      <c r="R4633" s="411"/>
      <c r="T4633" s="172" t="s">
        <v>145</v>
      </c>
      <c r="U4633" s="259">
        <v>700329328269</v>
      </c>
      <c r="AA4633" s="218"/>
    </row>
    <row r="4634" spans="1:27" ht="24" x14ac:dyDescent="0.25">
      <c r="A4634" s="432"/>
      <c r="B4634" s="433"/>
      <c r="C4634" s="432"/>
      <c r="D4634" s="454"/>
      <c r="E4634" s="120">
        <v>1000</v>
      </c>
      <c r="F4634" s="133" t="s">
        <v>10256</v>
      </c>
      <c r="G4634" s="605"/>
      <c r="H4634" s="438"/>
      <c r="I4634" s="517"/>
      <c r="J4634" s="517"/>
      <c r="K4634" s="517"/>
      <c r="L4634" s="187">
        <v>200</v>
      </c>
      <c r="M4634" s="187">
        <f>25.81+25.81</f>
        <v>51.62</v>
      </c>
      <c r="N4634" s="91">
        <f t="shared" si="964"/>
        <v>251.62</v>
      </c>
      <c r="O4634" s="411">
        <f t="shared" si="972"/>
        <v>-251.62</v>
      </c>
      <c r="P4634" s="132" t="s">
        <v>235</v>
      </c>
      <c r="Q4634" s="232"/>
      <c r="R4634" s="411"/>
      <c r="T4634" s="172" t="s">
        <v>145</v>
      </c>
      <c r="U4634" s="259" t="s">
        <v>10257</v>
      </c>
      <c r="AA4634" s="218"/>
    </row>
    <row r="4635" spans="1:27" ht="24" x14ac:dyDescent="0.25">
      <c r="A4635" s="420"/>
      <c r="B4635" s="422"/>
      <c r="C4635" s="420"/>
      <c r="D4635" s="418"/>
      <c r="E4635" s="120">
        <v>500</v>
      </c>
      <c r="F4635" s="133" t="s">
        <v>10258</v>
      </c>
      <c r="G4635" s="590"/>
      <c r="H4635" s="428"/>
      <c r="I4635" s="518"/>
      <c r="J4635" s="518"/>
      <c r="K4635" s="518"/>
      <c r="L4635" s="187">
        <v>30</v>
      </c>
      <c r="M4635" s="187">
        <v>8.11</v>
      </c>
      <c r="N4635" s="91">
        <f t="shared" si="964"/>
        <v>23.11</v>
      </c>
      <c r="O4635" s="411">
        <f t="shared" si="972"/>
        <v>-23.11</v>
      </c>
      <c r="P4635" s="132">
        <v>3</v>
      </c>
      <c r="Q4635" s="232"/>
      <c r="R4635" s="411"/>
      <c r="T4635" s="172" t="s">
        <v>145</v>
      </c>
      <c r="U4635" s="259">
        <v>676563244942</v>
      </c>
      <c r="V4635" s="133" t="s">
        <v>10259</v>
      </c>
      <c r="AA4635" s="218"/>
    </row>
    <row r="4636" spans="1:27" ht="24" x14ac:dyDescent="0.25">
      <c r="A4636" s="405">
        <v>3003601</v>
      </c>
      <c r="B4636" s="406">
        <v>42590</v>
      </c>
      <c r="C4636" s="405" t="s">
        <v>5682</v>
      </c>
      <c r="D4636" s="401" t="s">
        <v>10260</v>
      </c>
      <c r="E4636" s="120">
        <v>150</v>
      </c>
      <c r="F4636" s="133" t="s">
        <v>829</v>
      </c>
      <c r="G4636" s="404" t="s">
        <v>7486</v>
      </c>
      <c r="H4636" s="411">
        <v>158.03</v>
      </c>
      <c r="I4636" s="89">
        <f t="shared" ref="I4636" si="998">-(H4636*0.09)</f>
        <v>-14.2227</v>
      </c>
      <c r="J4636" s="258">
        <f t="shared" ref="J4636" si="999">-((H4636*0.019)+0.3)</f>
        <v>-3.3025699999999998</v>
      </c>
      <c r="K4636" s="90">
        <f t="shared" ref="K4636" si="1000">SUM(H4636:J4636)</f>
        <v>140.50473</v>
      </c>
      <c r="M4636" s="187">
        <v>44.29</v>
      </c>
      <c r="N4636" s="91">
        <f t="shared" si="964"/>
        <v>44.29</v>
      </c>
      <c r="O4636" s="411">
        <f t="shared" si="972"/>
        <v>96.214730000000003</v>
      </c>
      <c r="P4636" s="132" t="s">
        <v>52</v>
      </c>
      <c r="Q4636" s="232"/>
      <c r="R4636" s="411"/>
      <c r="T4636" s="172" t="s">
        <v>145</v>
      </c>
      <c r="U4636" s="259" t="s">
        <v>10261</v>
      </c>
      <c r="AA4636" s="218"/>
    </row>
    <row r="4637" spans="1:27" ht="36" x14ac:dyDescent="0.25">
      <c r="A4637" s="405">
        <v>3003602</v>
      </c>
      <c r="B4637" s="406">
        <v>42590</v>
      </c>
      <c r="C4637" s="405" t="s">
        <v>5682</v>
      </c>
      <c r="D4637" s="401" t="s">
        <v>10262</v>
      </c>
      <c r="E4637" s="120">
        <v>200</v>
      </c>
      <c r="F4637" s="119" t="s">
        <v>10263</v>
      </c>
      <c r="G4637" s="404" t="s">
        <v>45</v>
      </c>
      <c r="H4637" s="411">
        <v>237.61</v>
      </c>
      <c r="I4637" s="89">
        <f t="shared" ref="I4637" si="1001">-(H4637*0.09)</f>
        <v>-21.384900000000002</v>
      </c>
      <c r="J4637" s="258">
        <f t="shared" ref="J4637" si="1002">-((H4637*0.019)+0.3)</f>
        <v>-4.8145899999999999</v>
      </c>
      <c r="K4637" s="90">
        <f t="shared" ref="K4637" si="1003">SUM(H4637:J4637)</f>
        <v>211.41050999999999</v>
      </c>
      <c r="M4637" s="187">
        <v>17.899999999999999</v>
      </c>
      <c r="N4637" s="91">
        <f t="shared" si="964"/>
        <v>17.899999999999999</v>
      </c>
      <c r="O4637" s="411">
        <f t="shared" si="972"/>
        <v>193.51050999999998</v>
      </c>
      <c r="P4637" s="132" t="s">
        <v>86</v>
      </c>
      <c r="Q4637" s="232"/>
      <c r="R4637" s="411"/>
      <c r="T4637" s="172" t="s">
        <v>145</v>
      </c>
      <c r="U4637" s="259">
        <v>675157528128</v>
      </c>
      <c r="AA4637" s="218"/>
    </row>
    <row r="4638" spans="1:27" x14ac:dyDescent="0.25">
      <c r="A4638" s="405">
        <v>3003603</v>
      </c>
      <c r="B4638" s="406">
        <v>42590</v>
      </c>
      <c r="C4638" s="405" t="s">
        <v>5682</v>
      </c>
      <c r="D4638" s="401" t="s">
        <v>10264</v>
      </c>
      <c r="E4638" s="120">
        <v>300</v>
      </c>
      <c r="F4638" s="133" t="s">
        <v>222</v>
      </c>
      <c r="G4638" s="404" t="s">
        <v>45</v>
      </c>
      <c r="H4638" s="411">
        <v>483</v>
      </c>
      <c r="I4638" s="89">
        <f t="shared" ref="I4638" si="1004">-(H4638*0.09)</f>
        <v>-43.47</v>
      </c>
      <c r="J4638" s="258">
        <f t="shared" ref="J4638" si="1005">-((H4638*0.019)+0.3)</f>
        <v>-9.4770000000000003</v>
      </c>
      <c r="K4638" s="90">
        <f t="shared" ref="K4638" si="1006">SUM(H4638:J4638)</f>
        <v>430.053</v>
      </c>
      <c r="L4638" s="131">
        <v>670</v>
      </c>
      <c r="M4638" s="187">
        <v>193.35</v>
      </c>
      <c r="N4638" s="91">
        <f t="shared" si="964"/>
        <v>394.35</v>
      </c>
      <c r="O4638" s="411">
        <f t="shared" si="972"/>
        <v>35.702999999999975</v>
      </c>
      <c r="P4638" s="132" t="s">
        <v>86</v>
      </c>
      <c r="Q4638" s="232"/>
      <c r="R4638" s="411"/>
      <c r="T4638" s="134" t="s">
        <v>7260</v>
      </c>
      <c r="U4638" s="266" t="s">
        <v>10265</v>
      </c>
      <c r="V4638" s="133" t="s">
        <v>55</v>
      </c>
      <c r="AA4638" s="218"/>
    </row>
    <row r="4639" spans="1:27" ht="24" x14ac:dyDescent="0.25">
      <c r="A4639" s="405">
        <v>3003604</v>
      </c>
      <c r="B4639" s="406">
        <v>42590</v>
      </c>
      <c r="C4639" s="405" t="s">
        <v>5682</v>
      </c>
      <c r="D4639" s="401" t="s">
        <v>10266</v>
      </c>
      <c r="E4639" s="120">
        <v>500</v>
      </c>
      <c r="F4639" s="119" t="s">
        <v>10267</v>
      </c>
      <c r="G4639" s="404" t="s">
        <v>45</v>
      </c>
      <c r="H4639" s="411">
        <v>119.38</v>
      </c>
      <c r="I4639" s="89">
        <f t="shared" ref="I4639" si="1007">-(H4639*0.09)</f>
        <v>-10.744199999999999</v>
      </c>
      <c r="J4639" s="258">
        <f t="shared" ref="J4639" si="1008">-((H4639*0.019)+0.3)</f>
        <v>-2.5682199999999997</v>
      </c>
      <c r="K4639" s="90">
        <f t="shared" ref="K4639" si="1009">SUM(H4639:J4639)</f>
        <v>106.06757999999999</v>
      </c>
      <c r="M4639" s="187">
        <v>28.45</v>
      </c>
      <c r="N4639" s="91">
        <f t="shared" si="964"/>
        <v>28.45</v>
      </c>
      <c r="O4639" s="411">
        <f t="shared" si="972"/>
        <v>77.61757999999999</v>
      </c>
      <c r="P4639" s="132" t="s">
        <v>52</v>
      </c>
      <c r="Q4639" s="232"/>
      <c r="R4639" s="411"/>
      <c r="T4639" s="172" t="s">
        <v>145</v>
      </c>
      <c r="U4639" s="259" t="s">
        <v>10268</v>
      </c>
      <c r="AA4639" s="218"/>
    </row>
    <row r="4640" spans="1:27" ht="24" x14ac:dyDescent="0.25">
      <c r="A4640" s="405">
        <v>3003605</v>
      </c>
      <c r="B4640" s="406">
        <v>42590</v>
      </c>
      <c r="C4640" s="405" t="s">
        <v>5682</v>
      </c>
      <c r="D4640" s="401" t="s">
        <v>7386</v>
      </c>
      <c r="E4640" s="120">
        <v>250</v>
      </c>
      <c r="F4640" s="133" t="s">
        <v>2014</v>
      </c>
      <c r="G4640" s="404" t="s">
        <v>45</v>
      </c>
      <c r="H4640" s="411">
        <v>233.81</v>
      </c>
      <c r="I4640" s="89">
        <f t="shared" ref="I4640" si="1010">-(H4640*0.09)</f>
        <v>-21.042899999999999</v>
      </c>
      <c r="J4640" s="258">
        <f t="shared" ref="J4640" si="1011">-((H4640*0.019)+0.3)</f>
        <v>-4.7423899999999994</v>
      </c>
      <c r="K4640" s="90">
        <f t="shared" ref="K4640" si="1012">SUM(H4640:J4640)</f>
        <v>208.02471</v>
      </c>
      <c r="M4640" s="187">
        <v>24.09</v>
      </c>
      <c r="N4640" s="91">
        <f t="shared" si="964"/>
        <v>24.09</v>
      </c>
      <c r="O4640" s="411">
        <f t="shared" si="972"/>
        <v>183.93471</v>
      </c>
      <c r="P4640" s="132" t="s">
        <v>52</v>
      </c>
      <c r="Q4640" s="232"/>
      <c r="R4640" s="411"/>
      <c r="T4640" s="172" t="s">
        <v>145</v>
      </c>
      <c r="U4640" s="259">
        <v>680483358678</v>
      </c>
      <c r="AA4640" s="218"/>
    </row>
    <row r="4641" spans="1:27" ht="24" x14ac:dyDescent="0.25">
      <c r="A4641" s="405">
        <v>3003606</v>
      </c>
      <c r="B4641" s="406">
        <v>42590</v>
      </c>
      <c r="C4641" s="405" t="s">
        <v>5682</v>
      </c>
      <c r="D4641" s="401" t="s">
        <v>10269</v>
      </c>
      <c r="E4641" s="120">
        <v>400</v>
      </c>
      <c r="F4641" s="133" t="s">
        <v>10270</v>
      </c>
      <c r="G4641" s="404" t="s">
        <v>45</v>
      </c>
      <c r="H4641" s="411">
        <v>894.04</v>
      </c>
      <c r="I4641" s="89">
        <f t="shared" ref="I4641" si="1013">-(H4641*0.09)</f>
        <v>-80.4636</v>
      </c>
      <c r="J4641" s="258">
        <f t="shared" ref="J4641" si="1014">-((H4641*0.019)+0.3)</f>
        <v>-17.286760000000001</v>
      </c>
      <c r="K4641" s="90">
        <f t="shared" ref="K4641" si="1015">SUM(H4641:J4641)</f>
        <v>796.28963999999996</v>
      </c>
      <c r="M4641" s="264">
        <f>61.1+61.1</f>
        <v>122.2</v>
      </c>
      <c r="N4641" s="91">
        <f t="shared" si="964"/>
        <v>122.2</v>
      </c>
      <c r="O4641" s="411">
        <f t="shared" si="972"/>
        <v>674.08963999999992</v>
      </c>
      <c r="P4641" s="132" t="s">
        <v>52</v>
      </c>
      <c r="Q4641" s="232"/>
      <c r="R4641" s="411"/>
      <c r="T4641" s="172" t="s">
        <v>145</v>
      </c>
      <c r="U4641" s="259" t="s">
        <v>10271</v>
      </c>
      <c r="AA4641" s="218"/>
    </row>
    <row r="4642" spans="1:27" ht="24" x14ac:dyDescent="0.25">
      <c r="A4642" s="405">
        <v>3003607</v>
      </c>
      <c r="B4642" s="406">
        <v>42590</v>
      </c>
      <c r="C4642" s="405" t="s">
        <v>5682</v>
      </c>
      <c r="D4642" s="401" t="s">
        <v>10272</v>
      </c>
      <c r="E4642" s="120">
        <v>200</v>
      </c>
      <c r="F4642" s="176" t="s">
        <v>3946</v>
      </c>
      <c r="G4642" s="404" t="s">
        <v>45</v>
      </c>
      <c r="H4642" s="411">
        <v>270</v>
      </c>
      <c r="I4642" s="89">
        <f t="shared" ref="I4642" si="1016">-(H4642*0.09)</f>
        <v>-24.3</v>
      </c>
      <c r="J4642" s="258">
        <f t="shared" ref="J4642" si="1017">-((H4642*0.019)+0.3)</f>
        <v>-5.43</v>
      </c>
      <c r="K4642" s="90">
        <f t="shared" ref="K4642" si="1018">SUM(H4642:J4642)</f>
        <v>240.26999999999998</v>
      </c>
      <c r="M4642" s="187">
        <v>48.75</v>
      </c>
      <c r="N4642" s="91">
        <f t="shared" si="964"/>
        <v>48.75</v>
      </c>
      <c r="O4642" s="411">
        <f t="shared" si="972"/>
        <v>191.51999999999998</v>
      </c>
      <c r="P4642" s="132" t="s">
        <v>52</v>
      </c>
      <c r="Q4642" s="232"/>
      <c r="R4642" s="411"/>
      <c r="T4642" s="172" t="s">
        <v>145</v>
      </c>
      <c r="U4642" s="263">
        <v>665651740004</v>
      </c>
      <c r="AA4642" s="218"/>
    </row>
    <row r="4643" spans="1:27" ht="24" x14ac:dyDescent="0.25">
      <c r="A4643" s="405">
        <v>3003608</v>
      </c>
      <c r="B4643" s="406">
        <v>42590</v>
      </c>
      <c r="C4643" s="405" t="s">
        <v>5682</v>
      </c>
      <c r="D4643" s="401" t="s">
        <v>10273</v>
      </c>
      <c r="E4643" s="120">
        <v>100</v>
      </c>
      <c r="F4643" s="133" t="s">
        <v>217</v>
      </c>
      <c r="G4643" s="404" t="s">
        <v>45</v>
      </c>
      <c r="H4643" s="411">
        <v>230</v>
      </c>
      <c r="I4643" s="89">
        <f t="shared" ref="I4643" si="1019">-(H4643*0.09)</f>
        <v>-20.7</v>
      </c>
      <c r="J4643" s="258">
        <f t="shared" ref="J4643" si="1020">-((H4643*0.019)+0.3)</f>
        <v>-4.67</v>
      </c>
      <c r="K4643" s="90">
        <f t="shared" ref="K4643" si="1021">SUM(H4643:J4643)</f>
        <v>204.63000000000002</v>
      </c>
      <c r="M4643" s="187">
        <v>40.79</v>
      </c>
      <c r="N4643" s="91">
        <f t="shared" si="964"/>
        <v>40.79</v>
      </c>
      <c r="O4643" s="411">
        <f t="shared" si="972"/>
        <v>163.84000000000003</v>
      </c>
      <c r="P4643" s="132" t="s">
        <v>52</v>
      </c>
      <c r="Q4643" s="232"/>
      <c r="R4643" s="411"/>
      <c r="T4643" s="172" t="s">
        <v>145</v>
      </c>
      <c r="U4643" s="259" t="s">
        <v>10274</v>
      </c>
      <c r="AA4643" s="218"/>
    </row>
    <row r="4644" spans="1:27" ht="24" x14ac:dyDescent="0.25">
      <c r="A4644" s="405">
        <v>3003609</v>
      </c>
      <c r="B4644" s="406">
        <v>42590</v>
      </c>
      <c r="C4644" s="405" t="s">
        <v>5682</v>
      </c>
      <c r="D4644" s="401" t="s">
        <v>10275</v>
      </c>
      <c r="E4644" s="120">
        <v>100</v>
      </c>
      <c r="F4644" s="133" t="s">
        <v>10276</v>
      </c>
      <c r="G4644" s="404" t="s">
        <v>45</v>
      </c>
      <c r="H4644" s="411">
        <v>119.44</v>
      </c>
      <c r="I4644" s="89">
        <f t="shared" ref="I4644" si="1022">-(H4644*0.09)</f>
        <v>-10.749599999999999</v>
      </c>
      <c r="J4644" s="258">
        <f t="shared" ref="J4644" si="1023">-((H4644*0.019)+0.3)</f>
        <v>-2.5693599999999996</v>
      </c>
      <c r="K4644" s="90">
        <f t="shared" ref="K4644" si="1024">SUM(H4644:J4644)</f>
        <v>106.12103999999999</v>
      </c>
      <c r="M4644" s="187">
        <v>53.37</v>
      </c>
      <c r="N4644" s="91">
        <f t="shared" si="964"/>
        <v>53.37</v>
      </c>
      <c r="O4644" s="411">
        <f t="shared" si="972"/>
        <v>52.751039999999996</v>
      </c>
      <c r="P4644" s="132" t="s">
        <v>52</v>
      </c>
      <c r="Q4644" s="232"/>
      <c r="R4644" s="411"/>
      <c r="T4644" s="172" t="s">
        <v>145</v>
      </c>
      <c r="U4644" s="259">
        <v>680483358760</v>
      </c>
      <c r="AA4644" s="218"/>
    </row>
    <row r="4645" spans="1:27" ht="24" x14ac:dyDescent="0.25">
      <c r="A4645" s="405">
        <v>3003610</v>
      </c>
      <c r="B4645" s="406">
        <v>42590</v>
      </c>
      <c r="C4645" s="405" t="s">
        <v>5682</v>
      </c>
      <c r="D4645" s="401" t="s">
        <v>10277</v>
      </c>
      <c r="E4645" s="120">
        <v>100</v>
      </c>
      <c r="F4645" s="133" t="s">
        <v>10278</v>
      </c>
      <c r="G4645" s="404" t="s">
        <v>45</v>
      </c>
      <c r="H4645" s="411">
        <v>251.63</v>
      </c>
      <c r="I4645" s="89">
        <f t="shared" ref="I4645" si="1025">-(H4645*0.09)</f>
        <v>-22.646699999999999</v>
      </c>
      <c r="J4645" s="258">
        <f t="shared" ref="J4645" si="1026">-((H4645*0.019)+0.3)</f>
        <v>-5.0809699999999998</v>
      </c>
      <c r="K4645" s="90">
        <f t="shared" ref="K4645" si="1027">SUM(H4645:J4645)</f>
        <v>223.90232999999998</v>
      </c>
      <c r="M4645" s="187">
        <v>36.130000000000003</v>
      </c>
      <c r="N4645" s="91">
        <f t="shared" si="964"/>
        <v>36.130000000000003</v>
      </c>
      <c r="O4645" s="411">
        <f t="shared" si="972"/>
        <v>187.77232999999998</v>
      </c>
      <c r="P4645" s="132" t="s">
        <v>52</v>
      </c>
      <c r="Q4645" s="232"/>
      <c r="R4645" s="411"/>
      <c r="T4645" s="172" t="s">
        <v>145</v>
      </c>
      <c r="U4645" s="259">
        <v>665651739835</v>
      </c>
      <c r="AA4645" s="218"/>
    </row>
    <row r="4646" spans="1:27" ht="24" x14ac:dyDescent="0.25">
      <c r="A4646" s="405">
        <v>3003611</v>
      </c>
      <c r="B4646" s="406">
        <v>42590</v>
      </c>
      <c r="C4646" s="405" t="s">
        <v>5682</v>
      </c>
      <c r="D4646" s="401" t="s">
        <v>10279</v>
      </c>
      <c r="E4646" s="120">
        <v>50</v>
      </c>
      <c r="F4646" s="119" t="s">
        <v>10280</v>
      </c>
      <c r="G4646" s="404" t="s">
        <v>45</v>
      </c>
      <c r="H4646" s="411">
        <v>292.89999999999998</v>
      </c>
      <c r="I4646" s="89">
        <f t="shared" ref="I4646" si="1028">-(H4646*0.09)</f>
        <v>-26.360999999999997</v>
      </c>
      <c r="J4646" s="258">
        <f t="shared" ref="J4646" si="1029">-((H4646*0.019)+0.3)</f>
        <v>-5.8650999999999991</v>
      </c>
      <c r="K4646" s="90">
        <f t="shared" ref="K4646" si="1030">SUM(H4646:J4646)</f>
        <v>260.6739</v>
      </c>
      <c r="L4646" s="187">
        <v>3050</v>
      </c>
      <c r="N4646" s="91">
        <f t="shared" si="964"/>
        <v>152.5</v>
      </c>
      <c r="O4646" s="411">
        <f t="shared" si="972"/>
        <v>108.1739</v>
      </c>
      <c r="P4646" s="132" t="s">
        <v>183</v>
      </c>
      <c r="Q4646" s="232"/>
      <c r="R4646" s="411"/>
      <c r="T4646" s="172" t="s">
        <v>145</v>
      </c>
      <c r="U4646" s="259">
        <v>616712875476</v>
      </c>
      <c r="AA4646" s="218"/>
    </row>
    <row r="4647" spans="1:27" ht="24" x14ac:dyDescent="0.25">
      <c r="A4647" s="405">
        <v>3003612</v>
      </c>
      <c r="B4647" s="406">
        <v>42590</v>
      </c>
      <c r="C4647" s="405" t="s">
        <v>5682</v>
      </c>
      <c r="D4647" s="401" t="s">
        <v>10281</v>
      </c>
      <c r="E4647" s="120">
        <v>50</v>
      </c>
      <c r="F4647" s="133" t="s">
        <v>300</v>
      </c>
      <c r="G4647" s="404" t="s">
        <v>45</v>
      </c>
      <c r="H4647" s="411">
        <v>213.77</v>
      </c>
      <c r="I4647" s="89">
        <f t="shared" ref="I4647" si="1031">-(H4647*0.09)</f>
        <v>-19.2393</v>
      </c>
      <c r="J4647" s="258">
        <f t="shared" ref="J4647" si="1032">-((H4647*0.019)+0.3)</f>
        <v>-4.3616299999999999</v>
      </c>
      <c r="K4647" s="90">
        <f t="shared" ref="K4647" si="1033">SUM(H4647:J4647)</f>
        <v>190.16907000000003</v>
      </c>
      <c r="M4647" s="187">
        <v>22.1</v>
      </c>
      <c r="N4647" s="91">
        <f t="shared" si="964"/>
        <v>22.1</v>
      </c>
      <c r="O4647" s="411">
        <f t="shared" si="972"/>
        <v>168.06907000000004</v>
      </c>
      <c r="P4647" s="132" t="s">
        <v>52</v>
      </c>
      <c r="Q4647" s="232"/>
      <c r="R4647" s="411"/>
      <c r="T4647" s="172" t="s">
        <v>145</v>
      </c>
      <c r="U4647" s="259">
        <v>680483358770</v>
      </c>
      <c r="AA4647" s="218"/>
    </row>
    <row r="4648" spans="1:27" ht="24" x14ac:dyDescent="0.25">
      <c r="A4648" s="405">
        <v>3003613</v>
      </c>
      <c r="B4648" s="406">
        <v>42590</v>
      </c>
      <c r="C4648" s="405" t="s">
        <v>5682</v>
      </c>
      <c r="D4648" s="401" t="s">
        <v>10282</v>
      </c>
      <c r="E4648" s="120">
        <v>100</v>
      </c>
      <c r="F4648" s="133" t="s">
        <v>247</v>
      </c>
      <c r="G4648" s="404" t="s">
        <v>45</v>
      </c>
      <c r="H4648" s="411">
        <v>119</v>
      </c>
      <c r="I4648" s="89">
        <f t="shared" ref="I4648" si="1034">-(H4648*0.09)</f>
        <v>-10.709999999999999</v>
      </c>
      <c r="J4648" s="258">
        <f t="shared" ref="J4648" si="1035">-((H4648*0.019)+0.3)</f>
        <v>-2.5609999999999999</v>
      </c>
      <c r="K4648" s="90">
        <f t="shared" ref="K4648" si="1036">SUM(H4648:J4648)</f>
        <v>105.72900000000001</v>
      </c>
      <c r="M4648" s="187">
        <v>27.97</v>
      </c>
      <c r="N4648" s="91">
        <f t="shared" si="964"/>
        <v>27.97</v>
      </c>
      <c r="O4648" s="411">
        <f t="shared" si="972"/>
        <v>77.759000000000015</v>
      </c>
      <c r="P4648" s="132" t="s">
        <v>52</v>
      </c>
      <c r="Q4648" s="232"/>
      <c r="R4648" s="411"/>
      <c r="T4648" s="172" t="s">
        <v>145</v>
      </c>
      <c r="U4648" s="259" t="s">
        <v>10283</v>
      </c>
      <c r="AA4648" s="218"/>
    </row>
    <row r="4649" spans="1:27" ht="24" x14ac:dyDescent="0.25">
      <c r="A4649" s="405">
        <v>3003614</v>
      </c>
      <c r="B4649" s="406">
        <v>42590</v>
      </c>
      <c r="C4649" s="405" t="s">
        <v>5682</v>
      </c>
      <c r="D4649" s="401" t="s">
        <v>10284</v>
      </c>
      <c r="E4649" s="120">
        <v>250</v>
      </c>
      <c r="F4649" s="133" t="s">
        <v>10285</v>
      </c>
      <c r="G4649" s="404" t="s">
        <v>45</v>
      </c>
      <c r="H4649" s="411">
        <v>157.97</v>
      </c>
      <c r="I4649" s="89">
        <f t="shared" ref="I4649" si="1037">-(H4649*0.09)</f>
        <v>-14.2173</v>
      </c>
      <c r="J4649" s="258">
        <f t="shared" ref="J4649" si="1038">-((H4649*0.019)+0.3)</f>
        <v>-3.3014299999999999</v>
      </c>
      <c r="K4649" s="90">
        <f t="shared" ref="K4649" si="1039">SUM(H4649:J4649)</f>
        <v>140.45126999999999</v>
      </c>
      <c r="M4649" s="187">
        <v>36.06</v>
      </c>
      <c r="N4649" s="91">
        <f t="shared" si="964"/>
        <v>36.06</v>
      </c>
      <c r="O4649" s="411">
        <f t="shared" si="972"/>
        <v>104.39126999999999</v>
      </c>
      <c r="P4649" s="132" t="s">
        <v>52</v>
      </c>
      <c r="Q4649" s="232"/>
      <c r="R4649" s="411"/>
      <c r="T4649" s="172" t="s">
        <v>145</v>
      </c>
      <c r="U4649" s="259">
        <v>680483358667</v>
      </c>
      <c r="AA4649" s="218"/>
    </row>
    <row r="4650" spans="1:27" ht="24" x14ac:dyDescent="0.25">
      <c r="A4650" s="405">
        <v>3003615</v>
      </c>
      <c r="B4650" s="406">
        <v>42590</v>
      </c>
      <c r="C4650" s="405" t="s">
        <v>5682</v>
      </c>
      <c r="D4650" s="401" t="s">
        <v>10286</v>
      </c>
      <c r="E4650" s="120">
        <v>500</v>
      </c>
      <c r="F4650" s="133" t="s">
        <v>10287</v>
      </c>
      <c r="G4650" s="404" t="s">
        <v>45</v>
      </c>
      <c r="H4650" s="411">
        <v>140.13</v>
      </c>
      <c r="I4650" s="89">
        <f t="shared" ref="I4650" si="1040">-(H4650*0.09)</f>
        <v>-12.611699999999999</v>
      </c>
      <c r="J4650" s="258">
        <f t="shared" ref="J4650" si="1041">-((H4650*0.019)+0.3)</f>
        <v>-2.9624699999999997</v>
      </c>
      <c r="K4650" s="90">
        <f t="shared" ref="K4650" si="1042">SUM(H4650:J4650)</f>
        <v>124.55583</v>
      </c>
      <c r="L4650" s="131">
        <v>172</v>
      </c>
      <c r="M4650" s="187">
        <v>23.16</v>
      </c>
      <c r="N4650" s="91">
        <f t="shared" si="964"/>
        <v>109.16</v>
      </c>
      <c r="O4650" s="411">
        <f t="shared" si="972"/>
        <v>15.395830000000004</v>
      </c>
      <c r="P4650" s="132" t="s">
        <v>183</v>
      </c>
      <c r="Q4650" s="232"/>
      <c r="R4650" s="411"/>
      <c r="T4650" s="172" t="s">
        <v>145</v>
      </c>
      <c r="U4650" s="259">
        <v>700044010640</v>
      </c>
      <c r="AA4650" s="218"/>
    </row>
    <row r="4651" spans="1:27" ht="24" x14ac:dyDescent="0.25">
      <c r="A4651" s="405">
        <v>3003616</v>
      </c>
      <c r="B4651" s="406">
        <v>42590</v>
      </c>
      <c r="C4651" s="405" t="s">
        <v>5682</v>
      </c>
      <c r="D4651" s="401" t="s">
        <v>10288</v>
      </c>
      <c r="E4651" s="120">
        <v>60</v>
      </c>
      <c r="F4651" s="133" t="s">
        <v>247</v>
      </c>
      <c r="G4651" s="404" t="s">
        <v>45</v>
      </c>
      <c r="H4651" s="411">
        <v>76.2</v>
      </c>
      <c r="I4651" s="89">
        <f t="shared" ref="I4651" si="1043">-(H4651*0.09)</f>
        <v>-6.8579999999999997</v>
      </c>
      <c r="J4651" s="258">
        <f t="shared" ref="J4651" si="1044">-((H4651*0.019)+0.3)</f>
        <v>-1.7478</v>
      </c>
      <c r="K4651" s="90">
        <f t="shared" ref="K4651" si="1045">SUM(H4651:J4651)</f>
        <v>67.594200000000001</v>
      </c>
      <c r="M4651" s="187">
        <v>17.52</v>
      </c>
      <c r="N4651" s="91">
        <f t="shared" si="964"/>
        <v>17.52</v>
      </c>
      <c r="O4651" s="411">
        <f t="shared" si="972"/>
        <v>50.074200000000005</v>
      </c>
      <c r="P4651" s="132" t="s">
        <v>52</v>
      </c>
      <c r="Q4651" s="232"/>
      <c r="R4651" s="411"/>
      <c r="T4651" s="172" t="s">
        <v>145</v>
      </c>
      <c r="U4651" s="259" t="s">
        <v>10289</v>
      </c>
      <c r="AA4651" s="218"/>
    </row>
    <row r="4652" spans="1:27" ht="24" x14ac:dyDescent="0.25">
      <c r="A4652" s="405">
        <v>3003617</v>
      </c>
      <c r="B4652" s="406">
        <v>42590</v>
      </c>
      <c r="C4652" s="405" t="s">
        <v>237</v>
      </c>
      <c r="D4652" s="401" t="s">
        <v>10290</v>
      </c>
      <c r="E4652" s="120">
        <v>275</v>
      </c>
      <c r="F4652" s="133" t="s">
        <v>165</v>
      </c>
      <c r="G4652" s="404" t="s">
        <v>45</v>
      </c>
      <c r="H4652" s="411">
        <v>197.59</v>
      </c>
      <c r="I4652" s="397">
        <f t="shared" ref="I4652" si="1046">-(H4652*0.15)</f>
        <v>-29.638500000000001</v>
      </c>
      <c r="J4652" s="411">
        <v>0</v>
      </c>
      <c r="K4652" s="90">
        <f>SUM(H4652:J4652)</f>
        <v>167.95150000000001</v>
      </c>
      <c r="M4652" s="187">
        <v>32.909999999999997</v>
      </c>
      <c r="N4652" s="91">
        <f t="shared" si="964"/>
        <v>32.909999999999997</v>
      </c>
      <c r="O4652" s="411">
        <f t="shared" si="972"/>
        <v>135.04150000000001</v>
      </c>
      <c r="P4652" s="132" t="s">
        <v>86</v>
      </c>
      <c r="Q4652" s="232"/>
      <c r="R4652" s="411"/>
      <c r="T4652" s="172" t="s">
        <v>145</v>
      </c>
      <c r="U4652" s="259">
        <v>675157528140</v>
      </c>
      <c r="AA4652" s="218"/>
    </row>
    <row r="4653" spans="1:27" ht="24" x14ac:dyDescent="0.25">
      <c r="A4653" s="405">
        <v>3003618</v>
      </c>
      <c r="B4653" s="406">
        <v>42590</v>
      </c>
      <c r="C4653" s="405" t="s">
        <v>237</v>
      </c>
      <c r="D4653" s="401" t="s">
        <v>10291</v>
      </c>
      <c r="E4653" s="120">
        <v>350</v>
      </c>
      <c r="F4653" s="133" t="s">
        <v>165</v>
      </c>
      <c r="G4653" s="404" t="s">
        <v>45</v>
      </c>
      <c r="H4653" s="411">
        <v>286.62</v>
      </c>
      <c r="I4653" s="397">
        <f t="shared" ref="I4653" si="1047">-(H4653*0.15)</f>
        <v>-42.993000000000002</v>
      </c>
      <c r="J4653" s="411">
        <v>0</v>
      </c>
      <c r="K4653" s="90">
        <f>SUM(H4653:J4653)</f>
        <v>243.62700000000001</v>
      </c>
      <c r="M4653" s="187">
        <v>49.66</v>
      </c>
      <c r="N4653" s="91">
        <f t="shared" ref="N4653:N4691" si="1048">((L4653)*(E4653*0.001))+M4653</f>
        <v>49.66</v>
      </c>
      <c r="O4653" s="411">
        <f t="shared" si="972"/>
        <v>193.96700000000001</v>
      </c>
      <c r="P4653" s="132" t="s">
        <v>86</v>
      </c>
      <c r="Q4653" s="232"/>
      <c r="R4653" s="411"/>
      <c r="T4653" s="172" t="s">
        <v>145</v>
      </c>
      <c r="U4653" s="259">
        <v>675157528139</v>
      </c>
      <c r="AA4653" s="218"/>
    </row>
    <row r="4654" spans="1:27" x14ac:dyDescent="0.25">
      <c r="A4654" s="405">
        <v>3003619</v>
      </c>
      <c r="B4654" s="406">
        <v>42590</v>
      </c>
      <c r="C4654" s="405" t="s">
        <v>237</v>
      </c>
      <c r="D4654" s="401" t="s">
        <v>10292</v>
      </c>
      <c r="E4654" s="120">
        <v>500</v>
      </c>
      <c r="F4654" s="133" t="s">
        <v>10293</v>
      </c>
      <c r="G4654" s="404" t="s">
        <v>45</v>
      </c>
      <c r="H4654" s="411">
        <v>657.84</v>
      </c>
      <c r="I4654" s="397">
        <f t="shared" ref="I4654" si="1049">-(H4654*0.15)</f>
        <v>-98.676000000000002</v>
      </c>
      <c r="J4654" s="411">
        <v>0</v>
      </c>
      <c r="K4654" s="90">
        <f>SUM(H4654:J4654)</f>
        <v>559.16399999999999</v>
      </c>
      <c r="L4654" s="187">
        <v>741.19</v>
      </c>
      <c r="M4654" s="187">
        <v>154.81</v>
      </c>
      <c r="N4654" s="91">
        <f t="shared" si="1048"/>
        <v>525.40499999999997</v>
      </c>
      <c r="O4654" s="411">
        <f t="shared" si="972"/>
        <v>33.759000000000015</v>
      </c>
      <c r="P4654" s="132" t="s">
        <v>76</v>
      </c>
      <c r="Q4654" s="232"/>
      <c r="R4654" s="411"/>
      <c r="T4654" s="134" t="s">
        <v>1743</v>
      </c>
      <c r="U4654" s="267" t="s">
        <v>10294</v>
      </c>
      <c r="V4654" s="133" t="s">
        <v>55</v>
      </c>
      <c r="AA4654" s="218"/>
    </row>
    <row r="4655" spans="1:27" x14ac:dyDescent="0.25">
      <c r="A4655" s="260">
        <v>3003620</v>
      </c>
      <c r="B4655" s="406">
        <v>42590</v>
      </c>
      <c r="C4655" s="405" t="s">
        <v>56</v>
      </c>
      <c r="D4655" s="401" t="s">
        <v>10062</v>
      </c>
      <c r="E4655" s="120">
        <v>1000</v>
      </c>
      <c r="F4655" s="133" t="s">
        <v>247</v>
      </c>
      <c r="G4655" s="404" t="s">
        <v>7486</v>
      </c>
      <c r="H4655" s="411">
        <f>1000*0.86</f>
        <v>860</v>
      </c>
      <c r="I4655" s="411">
        <v>0</v>
      </c>
      <c r="J4655" s="411">
        <v>0</v>
      </c>
      <c r="K4655" s="90">
        <f>SUM(H4655:J4655)</f>
        <v>860</v>
      </c>
      <c r="L4655" s="131">
        <v>480</v>
      </c>
      <c r="N4655" s="91">
        <f t="shared" si="1048"/>
        <v>480</v>
      </c>
      <c r="O4655" s="411">
        <f t="shared" si="972"/>
        <v>380</v>
      </c>
      <c r="P4655" s="132" t="s">
        <v>52</v>
      </c>
      <c r="Q4655" s="232"/>
      <c r="R4655" s="411"/>
      <c r="T4655" s="134" t="s">
        <v>244</v>
      </c>
      <c r="U4655" s="266" t="s">
        <v>10295</v>
      </c>
      <c r="V4655" s="133" t="s">
        <v>10296</v>
      </c>
      <c r="AA4655" s="218"/>
    </row>
    <row r="4656" spans="1:27" x14ac:dyDescent="0.25">
      <c r="A4656" s="405">
        <v>3003621</v>
      </c>
      <c r="B4656" s="406">
        <v>42590</v>
      </c>
      <c r="C4656" s="405" t="s">
        <v>63</v>
      </c>
      <c r="D4656" s="401" t="s">
        <v>10297</v>
      </c>
      <c r="E4656" s="120">
        <v>1200</v>
      </c>
      <c r="F4656" s="133" t="s">
        <v>528</v>
      </c>
      <c r="G4656" s="404" t="s">
        <v>7486</v>
      </c>
      <c r="H4656" s="411">
        <v>2600</v>
      </c>
      <c r="I4656" s="411">
        <v>0</v>
      </c>
      <c r="J4656" s="258">
        <f>-((H4656*0.022)+0.3)</f>
        <v>-57.499999999999993</v>
      </c>
      <c r="K4656" s="90">
        <f t="shared" ref="K4656:K4657" si="1050">SUM(H4656:J4656)</f>
        <v>2542.5</v>
      </c>
      <c r="L4656" s="131">
        <v>1021</v>
      </c>
      <c r="M4656" s="187">
        <v>317.39999999999998</v>
      </c>
      <c r="N4656" s="91">
        <f t="shared" si="1048"/>
        <v>1542.6</v>
      </c>
      <c r="O4656" s="411">
        <f t="shared" si="972"/>
        <v>999.90000000000009</v>
      </c>
      <c r="P4656" s="132" t="s">
        <v>52</v>
      </c>
      <c r="Q4656" s="232"/>
      <c r="R4656" s="411"/>
      <c r="T4656" s="134" t="s">
        <v>875</v>
      </c>
      <c r="U4656" s="267" t="s">
        <v>10298</v>
      </c>
      <c r="V4656" s="181" t="s">
        <v>55</v>
      </c>
      <c r="W4656" s="153" t="s">
        <v>10299</v>
      </c>
      <c r="AA4656" s="218">
        <v>10</v>
      </c>
    </row>
    <row r="4657" spans="1:27" ht="24" x14ac:dyDescent="0.25">
      <c r="A4657" s="405">
        <v>3003622</v>
      </c>
      <c r="B4657" s="406">
        <v>42590</v>
      </c>
      <c r="C4657" s="405" t="s">
        <v>141</v>
      </c>
      <c r="D4657" s="401" t="s">
        <v>10300</v>
      </c>
      <c r="E4657" s="120">
        <v>100</v>
      </c>
      <c r="F4657" s="119" t="s">
        <v>10280</v>
      </c>
      <c r="G4657" s="404" t="s">
        <v>7486</v>
      </c>
      <c r="H4657" s="411">
        <v>505</v>
      </c>
      <c r="I4657" s="411">
        <v>0</v>
      </c>
      <c r="J4657" s="258">
        <f>-((H4657*0.0325)+0.3)</f>
        <v>-16.712500000000002</v>
      </c>
      <c r="K4657" s="90">
        <f t="shared" si="1050"/>
        <v>488.28750000000002</v>
      </c>
      <c r="L4657" s="187">
        <v>3150</v>
      </c>
      <c r="M4657" s="187">
        <v>37.42</v>
      </c>
      <c r="N4657" s="91">
        <f t="shared" si="1048"/>
        <v>352.42</v>
      </c>
      <c r="O4657" s="411">
        <f t="shared" si="972"/>
        <v>135.86750000000001</v>
      </c>
      <c r="P4657" s="132" t="s">
        <v>183</v>
      </c>
      <c r="Q4657" s="232"/>
      <c r="R4657" s="411"/>
      <c r="T4657" s="134" t="s">
        <v>145</v>
      </c>
      <c r="U4657" s="266">
        <v>614697965438</v>
      </c>
      <c r="V4657" s="133" t="s">
        <v>10301</v>
      </c>
      <c r="AA4657" s="218"/>
    </row>
    <row r="4658" spans="1:27" ht="24" x14ac:dyDescent="0.25">
      <c r="A4658" s="405">
        <v>3003623</v>
      </c>
      <c r="B4658" s="406">
        <v>42590</v>
      </c>
      <c r="C4658" s="405" t="s">
        <v>63</v>
      </c>
      <c r="D4658" s="401" t="s">
        <v>3069</v>
      </c>
      <c r="E4658" s="120">
        <v>50</v>
      </c>
      <c r="F4658" s="119" t="s">
        <v>10302</v>
      </c>
      <c r="G4658" s="404" t="s">
        <v>45</v>
      </c>
      <c r="H4658" s="411">
        <v>894</v>
      </c>
      <c r="I4658" s="411">
        <v>0</v>
      </c>
      <c r="J4658" s="258">
        <f>-((H4658*0.022)+0.3)</f>
        <v>-19.968</v>
      </c>
      <c r="K4658" s="90">
        <f t="shared" ref="K4658" si="1051">SUM(H4658:J4658)</f>
        <v>874.03200000000004</v>
      </c>
      <c r="L4658" s="187">
        <v>11150</v>
      </c>
      <c r="M4658" s="187">
        <v>57.73</v>
      </c>
      <c r="N4658" s="91">
        <f t="shared" si="1048"/>
        <v>615.23</v>
      </c>
      <c r="O4658" s="411">
        <f t="shared" si="972"/>
        <v>258.80200000000002</v>
      </c>
      <c r="P4658" s="132" t="s">
        <v>183</v>
      </c>
      <c r="Q4658" s="232"/>
      <c r="R4658" s="411"/>
      <c r="T4658" s="134" t="s">
        <v>145</v>
      </c>
      <c r="U4658" s="267" t="s">
        <v>10303</v>
      </c>
      <c r="W4658" s="153" t="s">
        <v>10304</v>
      </c>
      <c r="AA4658" s="218"/>
    </row>
    <row r="4659" spans="1:27" ht="24" x14ac:dyDescent="0.25">
      <c r="A4659" s="405">
        <v>3003624</v>
      </c>
      <c r="B4659" s="406">
        <v>42591</v>
      </c>
      <c r="C4659" s="405" t="s">
        <v>63</v>
      </c>
      <c r="D4659" s="401" t="s">
        <v>10305</v>
      </c>
      <c r="E4659" s="120">
        <v>200</v>
      </c>
      <c r="F4659" s="133" t="s">
        <v>1273</v>
      </c>
      <c r="G4659" s="404" t="s">
        <v>45</v>
      </c>
      <c r="H4659" s="411">
        <v>260</v>
      </c>
      <c r="I4659" s="411">
        <v>0</v>
      </c>
      <c r="J4659" s="258">
        <f>-((H4659*0.022)+0.3)</f>
        <v>-6.02</v>
      </c>
      <c r="K4659" s="90">
        <f t="shared" ref="K4659" si="1052">SUM(H4659:J4659)</f>
        <v>253.98</v>
      </c>
      <c r="L4659" s="131">
        <v>616</v>
      </c>
      <c r="M4659" s="187">
        <v>39.93</v>
      </c>
      <c r="N4659" s="91">
        <f t="shared" si="1048"/>
        <v>163.13</v>
      </c>
      <c r="O4659" s="411">
        <f t="shared" si="972"/>
        <v>90.85</v>
      </c>
      <c r="P4659" s="132" t="s">
        <v>52</v>
      </c>
      <c r="Q4659" s="232"/>
      <c r="R4659" s="411"/>
      <c r="T4659" s="172" t="s">
        <v>145</v>
      </c>
      <c r="U4659" s="259" t="s">
        <v>10306</v>
      </c>
      <c r="W4659" s="153" t="s">
        <v>10307</v>
      </c>
      <c r="AA4659" s="218"/>
    </row>
    <row r="4660" spans="1:27" ht="14.25" customHeight="1" x14ac:dyDescent="0.25">
      <c r="A4660" s="419">
        <v>3003625</v>
      </c>
      <c r="B4660" s="421">
        <v>42591</v>
      </c>
      <c r="C4660" s="419" t="s">
        <v>56</v>
      </c>
      <c r="D4660" s="417" t="s">
        <v>10308</v>
      </c>
      <c r="E4660" s="120">
        <v>20000</v>
      </c>
      <c r="F4660" s="119" t="s">
        <v>10309</v>
      </c>
      <c r="G4660" s="434" t="s">
        <v>7486</v>
      </c>
      <c r="H4660" s="427">
        <v>15060</v>
      </c>
      <c r="I4660" s="427">
        <v>0</v>
      </c>
      <c r="J4660" s="427">
        <v>0</v>
      </c>
      <c r="K4660" s="427">
        <f>SUM(H4660:J4662)</f>
        <v>15060</v>
      </c>
      <c r="L4660" s="187">
        <v>162</v>
      </c>
      <c r="N4660" s="91">
        <f t="shared" si="1048"/>
        <v>3240</v>
      </c>
      <c r="O4660" s="411">
        <f t="shared" si="972"/>
        <v>11820</v>
      </c>
      <c r="P4660" s="132" t="s">
        <v>2168</v>
      </c>
      <c r="Q4660" s="232"/>
      <c r="R4660" s="411"/>
      <c r="T4660" s="470" t="s">
        <v>389</v>
      </c>
      <c r="U4660" s="481" t="s">
        <v>10310</v>
      </c>
      <c r="V4660" s="133" t="s">
        <v>10311</v>
      </c>
      <c r="AA4660" s="218"/>
    </row>
    <row r="4661" spans="1:27" ht="14.25" customHeight="1" x14ac:dyDescent="0.25">
      <c r="A4661" s="432"/>
      <c r="B4661" s="433"/>
      <c r="C4661" s="432"/>
      <c r="D4661" s="454"/>
      <c r="E4661" s="120">
        <v>25000</v>
      </c>
      <c r="F4661" s="119" t="s">
        <v>10312</v>
      </c>
      <c r="G4661" s="435"/>
      <c r="H4661" s="438"/>
      <c r="I4661" s="438"/>
      <c r="J4661" s="438"/>
      <c r="K4661" s="438"/>
      <c r="L4661" s="187">
        <v>266</v>
      </c>
      <c r="N4661" s="91">
        <f t="shared" si="1048"/>
        <v>6650</v>
      </c>
      <c r="O4661" s="411">
        <f t="shared" si="972"/>
        <v>-6650</v>
      </c>
      <c r="P4661" s="132" t="s">
        <v>2168</v>
      </c>
      <c r="Q4661" s="232"/>
      <c r="R4661" s="411"/>
      <c r="T4661" s="471"/>
      <c r="U4661" s="482"/>
      <c r="V4661" s="133" t="s">
        <v>10313</v>
      </c>
      <c r="AA4661" s="218"/>
    </row>
    <row r="4662" spans="1:27" ht="14.25" customHeight="1" x14ac:dyDescent="0.25">
      <c r="A4662" s="420"/>
      <c r="B4662" s="422"/>
      <c r="C4662" s="420"/>
      <c r="D4662" s="418"/>
      <c r="E4662" s="120">
        <v>500</v>
      </c>
      <c r="F4662" s="119" t="s">
        <v>10314</v>
      </c>
      <c r="G4662" s="436"/>
      <c r="H4662" s="428"/>
      <c r="I4662" s="428"/>
      <c r="J4662" s="428"/>
      <c r="K4662" s="428"/>
      <c r="L4662" s="187">
        <v>619</v>
      </c>
      <c r="M4662" s="187">
        <v>26.25</v>
      </c>
      <c r="N4662" s="91">
        <f t="shared" si="1048"/>
        <v>335.75</v>
      </c>
      <c r="O4662" s="411">
        <f t="shared" si="972"/>
        <v>-335.75</v>
      </c>
      <c r="P4662" s="132" t="s">
        <v>638</v>
      </c>
      <c r="Q4662" s="232"/>
      <c r="R4662" s="411"/>
      <c r="T4662" s="472"/>
      <c r="U4662" s="483"/>
      <c r="V4662" s="133" t="s">
        <v>10315</v>
      </c>
      <c r="AA4662" s="218"/>
    </row>
    <row r="4663" spans="1:27" ht="24" x14ac:dyDescent="0.25">
      <c r="A4663" s="405">
        <v>3003626</v>
      </c>
      <c r="B4663" s="406">
        <v>42591</v>
      </c>
      <c r="C4663" s="405" t="s">
        <v>237</v>
      </c>
      <c r="D4663" s="401" t="s">
        <v>7221</v>
      </c>
      <c r="E4663" s="120">
        <v>250</v>
      </c>
      <c r="F4663" s="133" t="s">
        <v>173</v>
      </c>
      <c r="G4663" s="404" t="s">
        <v>45</v>
      </c>
      <c r="H4663" s="411">
        <v>221.17</v>
      </c>
      <c r="I4663" s="397">
        <f t="shared" ref="I4663" si="1053">-(H4663*0.15)</f>
        <v>-33.1755</v>
      </c>
      <c r="J4663" s="411">
        <v>0</v>
      </c>
      <c r="K4663" s="90">
        <f t="shared" ref="K4663:K4671" si="1054">SUM(H4663:J4663)</f>
        <v>187.99449999999999</v>
      </c>
      <c r="M4663" s="187">
        <v>30.58</v>
      </c>
      <c r="N4663" s="91">
        <f t="shared" si="1048"/>
        <v>30.58</v>
      </c>
      <c r="O4663" s="411">
        <f t="shared" si="972"/>
        <v>157.41449999999998</v>
      </c>
      <c r="P4663" s="132" t="s">
        <v>52</v>
      </c>
      <c r="Q4663" s="232"/>
      <c r="R4663" s="411"/>
      <c r="T4663" s="172" t="s">
        <v>145</v>
      </c>
      <c r="U4663" s="259" t="s">
        <v>10316</v>
      </c>
      <c r="AA4663" s="218"/>
    </row>
    <row r="4664" spans="1:27" ht="24" x14ac:dyDescent="0.25">
      <c r="A4664" s="405">
        <v>3003627</v>
      </c>
      <c r="B4664" s="406">
        <v>42591</v>
      </c>
      <c r="C4664" s="405" t="s">
        <v>237</v>
      </c>
      <c r="D4664" s="401" t="s">
        <v>10317</v>
      </c>
      <c r="E4664" s="120">
        <v>125</v>
      </c>
      <c r="F4664" s="133" t="s">
        <v>3627</v>
      </c>
      <c r="G4664" s="404" t="s">
        <v>45</v>
      </c>
      <c r="H4664" s="411">
        <v>156.85</v>
      </c>
      <c r="I4664" s="397">
        <f t="shared" ref="I4664" si="1055">-(H4664*0.15)</f>
        <v>-23.5275</v>
      </c>
      <c r="J4664" s="411">
        <v>0</v>
      </c>
      <c r="K4664" s="90">
        <f t="shared" si="1054"/>
        <v>133.32249999999999</v>
      </c>
      <c r="L4664" s="187">
        <v>830</v>
      </c>
      <c r="M4664" s="187">
        <v>23.64</v>
      </c>
      <c r="N4664" s="91">
        <f t="shared" si="1048"/>
        <v>127.39</v>
      </c>
      <c r="O4664" s="411">
        <f t="shared" si="972"/>
        <v>5.9324999999999903</v>
      </c>
      <c r="P4664" s="132" t="s">
        <v>183</v>
      </c>
      <c r="Q4664" s="232"/>
      <c r="R4664" s="411"/>
      <c r="T4664" s="172" t="s">
        <v>145</v>
      </c>
      <c r="U4664" s="259">
        <v>680993424666</v>
      </c>
      <c r="AA4664" s="218"/>
    </row>
    <row r="4665" spans="1:27" ht="24" x14ac:dyDescent="0.25">
      <c r="A4665" s="405">
        <v>3003628</v>
      </c>
      <c r="B4665" s="406">
        <v>42591</v>
      </c>
      <c r="C4665" s="405" t="s">
        <v>237</v>
      </c>
      <c r="D4665" s="401" t="s">
        <v>10318</v>
      </c>
      <c r="E4665" s="120">
        <v>500</v>
      </c>
      <c r="F4665" s="133" t="s">
        <v>10319</v>
      </c>
      <c r="G4665" s="404" t="s">
        <v>45</v>
      </c>
      <c r="H4665" s="411">
        <v>500</v>
      </c>
      <c r="I4665" s="397">
        <f t="shared" ref="I4665" si="1056">-(H4665*0.15)</f>
        <v>-75</v>
      </c>
      <c r="J4665" s="411">
        <v>0</v>
      </c>
      <c r="K4665" s="90">
        <f t="shared" si="1054"/>
        <v>425</v>
      </c>
      <c r="M4665" s="187">
        <v>77.38</v>
      </c>
      <c r="N4665" s="91">
        <f t="shared" si="1048"/>
        <v>77.38</v>
      </c>
      <c r="O4665" s="411">
        <f t="shared" si="972"/>
        <v>347.62</v>
      </c>
      <c r="P4665" s="132" t="s">
        <v>52</v>
      </c>
      <c r="Q4665" s="232"/>
      <c r="R4665" s="411"/>
      <c r="T4665" s="172" t="s">
        <v>145</v>
      </c>
      <c r="U4665" s="259">
        <v>680483358781</v>
      </c>
      <c r="AA4665" s="218"/>
    </row>
    <row r="4666" spans="1:27" ht="24" x14ac:dyDescent="0.25">
      <c r="A4666" s="405">
        <v>3003629</v>
      </c>
      <c r="B4666" s="406">
        <v>42591</v>
      </c>
      <c r="C4666" s="405" t="s">
        <v>237</v>
      </c>
      <c r="D4666" s="401" t="s">
        <v>10320</v>
      </c>
      <c r="E4666" s="120">
        <v>250</v>
      </c>
      <c r="F4666" s="133" t="s">
        <v>247</v>
      </c>
      <c r="G4666" s="404" t="s">
        <v>45</v>
      </c>
      <c r="H4666" s="411">
        <v>250</v>
      </c>
      <c r="I4666" s="397">
        <f t="shared" ref="I4666" si="1057">-(H4666*0.15)</f>
        <v>-37.5</v>
      </c>
      <c r="J4666" s="411">
        <v>0</v>
      </c>
      <c r="K4666" s="90">
        <f t="shared" si="1054"/>
        <v>212.5</v>
      </c>
      <c r="M4666" s="187">
        <v>47.04</v>
      </c>
      <c r="N4666" s="91">
        <f t="shared" si="1048"/>
        <v>47.04</v>
      </c>
      <c r="O4666" s="411">
        <f t="shared" si="972"/>
        <v>165.46</v>
      </c>
      <c r="P4666" s="132" t="s">
        <v>52</v>
      </c>
      <c r="Q4666" s="232"/>
      <c r="R4666" s="411"/>
      <c r="T4666" s="172" t="s">
        <v>145</v>
      </c>
      <c r="U4666" s="259" t="s">
        <v>10321</v>
      </c>
      <c r="AA4666" s="218"/>
    </row>
    <row r="4667" spans="1:27" ht="24" x14ac:dyDescent="0.25">
      <c r="A4667" s="405">
        <v>3003630</v>
      </c>
      <c r="B4667" s="406">
        <v>42591</v>
      </c>
      <c r="C4667" s="405" t="s">
        <v>237</v>
      </c>
      <c r="D4667" s="401" t="s">
        <v>10322</v>
      </c>
      <c r="E4667" s="120">
        <v>150</v>
      </c>
      <c r="F4667" s="133" t="s">
        <v>247</v>
      </c>
      <c r="G4667" s="404" t="s">
        <v>45</v>
      </c>
      <c r="H4667" s="411">
        <v>176.42</v>
      </c>
      <c r="I4667" s="397">
        <f t="shared" ref="I4667" si="1058">-(H4667*0.15)</f>
        <v>-26.462999999999997</v>
      </c>
      <c r="J4667" s="411">
        <v>0</v>
      </c>
      <c r="K4667" s="90">
        <f t="shared" si="1054"/>
        <v>149.95699999999999</v>
      </c>
      <c r="M4667" s="187">
        <v>50.1</v>
      </c>
      <c r="N4667" s="91">
        <f t="shared" si="1048"/>
        <v>50.1</v>
      </c>
      <c r="O4667" s="411">
        <f t="shared" si="972"/>
        <v>99.856999999999999</v>
      </c>
      <c r="P4667" s="132" t="s">
        <v>52</v>
      </c>
      <c r="Q4667" s="232"/>
      <c r="R4667" s="411"/>
      <c r="T4667" s="172" t="s">
        <v>145</v>
      </c>
      <c r="U4667" s="259">
        <v>680483358737</v>
      </c>
      <c r="AA4667" s="218"/>
    </row>
    <row r="4668" spans="1:27" ht="24" x14ac:dyDescent="0.25">
      <c r="A4668" s="405">
        <v>3003631</v>
      </c>
      <c r="B4668" s="406">
        <v>42591</v>
      </c>
      <c r="C4668" s="405" t="s">
        <v>237</v>
      </c>
      <c r="D4668" s="401" t="s">
        <v>10323</v>
      </c>
      <c r="E4668" s="120">
        <v>100</v>
      </c>
      <c r="F4668" s="119" t="s">
        <v>590</v>
      </c>
      <c r="G4668" s="404" t="s">
        <v>45</v>
      </c>
      <c r="H4668" s="411">
        <v>127.35</v>
      </c>
      <c r="I4668" s="397">
        <f t="shared" ref="I4668" si="1059">-(H4668*0.15)</f>
        <v>-19.102499999999999</v>
      </c>
      <c r="J4668" s="411">
        <v>0</v>
      </c>
      <c r="K4668" s="90">
        <f t="shared" si="1054"/>
        <v>108.2475</v>
      </c>
      <c r="M4668" s="187">
        <v>29.64</v>
      </c>
      <c r="N4668" s="91">
        <f t="shared" si="1048"/>
        <v>29.64</v>
      </c>
      <c r="O4668" s="411">
        <f t="shared" si="972"/>
        <v>78.607500000000002</v>
      </c>
      <c r="P4668" s="132" t="s">
        <v>52</v>
      </c>
      <c r="Q4668" s="232"/>
      <c r="R4668" s="411"/>
      <c r="T4668" s="172" t="s">
        <v>145</v>
      </c>
      <c r="U4668" s="259" t="s">
        <v>10324</v>
      </c>
      <c r="AA4668" s="218"/>
    </row>
    <row r="4669" spans="1:27" ht="24" x14ac:dyDescent="0.25">
      <c r="A4669" s="405">
        <v>3003632</v>
      </c>
      <c r="B4669" s="406">
        <v>42591</v>
      </c>
      <c r="C4669" s="405" t="s">
        <v>56</v>
      </c>
      <c r="D4669" s="401" t="s">
        <v>9948</v>
      </c>
      <c r="E4669" s="120">
        <v>100</v>
      </c>
      <c r="F4669" s="133" t="s">
        <v>10325</v>
      </c>
      <c r="G4669" s="404" t="s">
        <v>45</v>
      </c>
      <c r="H4669" s="411">
        <v>400</v>
      </c>
      <c r="I4669" s="411">
        <v>0</v>
      </c>
      <c r="J4669" s="411">
        <v>0</v>
      </c>
      <c r="K4669" s="90">
        <f t="shared" si="1054"/>
        <v>400</v>
      </c>
      <c r="L4669" s="187">
        <v>770</v>
      </c>
      <c r="M4669" s="187">
        <v>16.54</v>
      </c>
      <c r="N4669" s="91">
        <f t="shared" si="1048"/>
        <v>93.539999999999992</v>
      </c>
      <c r="O4669" s="411">
        <f t="shared" si="972"/>
        <v>306.46000000000004</v>
      </c>
      <c r="P4669" s="132" t="s">
        <v>313</v>
      </c>
      <c r="Q4669" s="232"/>
      <c r="R4669" s="411"/>
      <c r="T4669" s="134" t="s">
        <v>145</v>
      </c>
      <c r="U4669" s="266">
        <v>543369480120</v>
      </c>
      <c r="V4669" s="133" t="s">
        <v>9081</v>
      </c>
      <c r="AA4669" s="218"/>
    </row>
    <row r="4670" spans="1:27" x14ac:dyDescent="0.25">
      <c r="A4670" s="405">
        <v>3003633</v>
      </c>
      <c r="B4670" s="406">
        <v>42591</v>
      </c>
      <c r="C4670" s="405" t="s">
        <v>56</v>
      </c>
      <c r="D4670" s="401" t="s">
        <v>9948</v>
      </c>
      <c r="E4670" s="120">
        <v>1</v>
      </c>
      <c r="F4670" s="133" t="s">
        <v>10326</v>
      </c>
      <c r="G4670" s="404" t="s">
        <v>45</v>
      </c>
      <c r="H4670" s="411">
        <v>1834</v>
      </c>
      <c r="I4670" s="411">
        <v>0</v>
      </c>
      <c r="J4670" s="411">
        <v>0</v>
      </c>
      <c r="K4670" s="90">
        <f t="shared" si="1054"/>
        <v>1834</v>
      </c>
      <c r="N4670" s="91">
        <f t="shared" si="1048"/>
        <v>0</v>
      </c>
      <c r="O4670" s="411">
        <f t="shared" si="972"/>
        <v>1834</v>
      </c>
      <c r="Q4670" s="232"/>
      <c r="R4670" s="411"/>
      <c r="T4670" s="134"/>
      <c r="U4670" s="266"/>
      <c r="V4670" s="133" t="s">
        <v>9081</v>
      </c>
      <c r="AA4670" s="218"/>
    </row>
    <row r="4671" spans="1:27" ht="24" x14ac:dyDescent="0.25">
      <c r="A4671" s="405">
        <v>3003634</v>
      </c>
      <c r="B4671" s="406">
        <v>42591</v>
      </c>
      <c r="C4671" s="405" t="s">
        <v>56</v>
      </c>
      <c r="D4671" s="401" t="s">
        <v>10327</v>
      </c>
      <c r="E4671" s="120">
        <v>60</v>
      </c>
      <c r="F4671" s="119" t="s">
        <v>10328</v>
      </c>
      <c r="G4671" s="404" t="s">
        <v>45</v>
      </c>
      <c r="H4671" s="411">
        <v>9520</v>
      </c>
      <c r="I4671" s="411">
        <v>0</v>
      </c>
      <c r="J4671" s="411">
        <v>0</v>
      </c>
      <c r="K4671" s="90">
        <f t="shared" si="1054"/>
        <v>9520</v>
      </c>
      <c r="L4671" s="187">
        <v>51550</v>
      </c>
      <c r="M4671" s="187">
        <f>186.13+256.64</f>
        <v>442.77</v>
      </c>
      <c r="N4671" s="91">
        <f t="shared" si="1048"/>
        <v>3535.77</v>
      </c>
      <c r="O4671" s="411">
        <f t="shared" si="972"/>
        <v>5984.23</v>
      </c>
      <c r="P4671" s="132" t="s">
        <v>1277</v>
      </c>
      <c r="Q4671" s="232"/>
      <c r="R4671" s="411"/>
      <c r="T4671" s="134" t="s">
        <v>97</v>
      </c>
      <c r="U4671" s="266">
        <v>3065642370</v>
      </c>
      <c r="V4671" s="133" t="s">
        <v>10201</v>
      </c>
      <c r="AA4671" s="218"/>
    </row>
    <row r="4672" spans="1:27" ht="24" x14ac:dyDescent="0.25">
      <c r="A4672" s="405">
        <v>3003635</v>
      </c>
      <c r="B4672" s="406">
        <v>42591</v>
      </c>
      <c r="C4672" s="405" t="s">
        <v>5682</v>
      </c>
      <c r="D4672" s="401" t="s">
        <v>10329</v>
      </c>
      <c r="E4672" s="120">
        <v>500</v>
      </c>
      <c r="F4672" s="133" t="s">
        <v>983</v>
      </c>
      <c r="G4672" s="404" t="s">
        <v>45</v>
      </c>
      <c r="H4672" s="411">
        <v>286.85000000000002</v>
      </c>
      <c r="I4672" s="89">
        <f t="shared" ref="I4672" si="1060">-(H4672*0.09)</f>
        <v>-25.816500000000001</v>
      </c>
      <c r="J4672" s="258">
        <f t="shared" ref="J4672" si="1061">-((H4672*0.019)+0.3)</f>
        <v>-5.7501500000000005</v>
      </c>
      <c r="K4672" s="90">
        <f t="shared" ref="K4672" si="1062">SUM(H4672:J4672)</f>
        <v>255.28335000000001</v>
      </c>
      <c r="M4672" s="187">
        <v>54.76</v>
      </c>
      <c r="N4672" s="91">
        <f t="shared" si="1048"/>
        <v>54.76</v>
      </c>
      <c r="O4672" s="411">
        <f t="shared" si="972"/>
        <v>200.52335000000002</v>
      </c>
      <c r="P4672" s="132" t="s">
        <v>52</v>
      </c>
      <c r="Q4672" s="232"/>
      <c r="R4672" s="411"/>
      <c r="T4672" s="172" t="s">
        <v>145</v>
      </c>
      <c r="U4672" s="259" t="s">
        <v>10330</v>
      </c>
      <c r="AA4672" s="218"/>
    </row>
    <row r="4673" spans="1:27" ht="24" x14ac:dyDescent="0.25">
      <c r="A4673" s="405">
        <v>3003636</v>
      </c>
      <c r="B4673" s="406">
        <v>42591</v>
      </c>
      <c r="C4673" s="405" t="s">
        <v>5682</v>
      </c>
      <c r="D4673" s="401" t="s">
        <v>10331</v>
      </c>
      <c r="E4673" s="120">
        <v>500</v>
      </c>
      <c r="F4673" s="133" t="s">
        <v>983</v>
      </c>
      <c r="G4673" s="404" t="s">
        <v>45</v>
      </c>
      <c r="H4673" s="411">
        <v>286.85000000000002</v>
      </c>
      <c r="I4673" s="89">
        <f t="shared" ref="I4673" si="1063">-(H4673*0.09)</f>
        <v>-25.816500000000001</v>
      </c>
      <c r="J4673" s="258">
        <f t="shared" ref="J4673" si="1064">-((H4673*0.019)+0.3)</f>
        <v>-5.7501500000000005</v>
      </c>
      <c r="K4673" s="90">
        <f t="shared" ref="K4673" si="1065">SUM(H4673:J4673)</f>
        <v>255.28335000000001</v>
      </c>
      <c r="M4673" s="187">
        <v>57.15</v>
      </c>
      <c r="N4673" s="91">
        <f t="shared" si="1048"/>
        <v>57.15</v>
      </c>
      <c r="O4673" s="411">
        <f t="shared" si="972"/>
        <v>198.13335000000001</v>
      </c>
      <c r="P4673" s="132" t="s">
        <v>52</v>
      </c>
      <c r="Q4673" s="232"/>
      <c r="R4673" s="411"/>
      <c r="T4673" s="172" t="s">
        <v>145</v>
      </c>
      <c r="U4673" s="259" t="s">
        <v>10332</v>
      </c>
      <c r="AA4673" s="218"/>
    </row>
    <row r="4674" spans="1:27" ht="20.25" customHeight="1" x14ac:dyDescent="0.25">
      <c r="A4674" s="419">
        <v>3003637</v>
      </c>
      <c r="B4674" s="421">
        <v>42591</v>
      </c>
      <c r="C4674" s="419" t="s">
        <v>5682</v>
      </c>
      <c r="D4674" s="417" t="s">
        <v>10333</v>
      </c>
      <c r="E4674" s="120">
        <v>100</v>
      </c>
      <c r="F4674" s="119" t="s">
        <v>10334</v>
      </c>
      <c r="G4674" s="434" t="s">
        <v>45</v>
      </c>
      <c r="H4674" s="427">
        <v>292.39999999999998</v>
      </c>
      <c r="I4674" s="521">
        <f t="shared" ref="I4674" si="1066">-(H4674*0.09)</f>
        <v>-26.315999999999995</v>
      </c>
      <c r="J4674" s="523">
        <f t="shared" ref="J4674" si="1067">-((H4674*0.019)+0.3)</f>
        <v>-5.855599999999999</v>
      </c>
      <c r="K4674" s="425">
        <f t="shared" ref="K4674" si="1068">SUM(H4674:J4674)</f>
        <v>260.22840000000002</v>
      </c>
      <c r="M4674" s="187">
        <v>24.76</v>
      </c>
      <c r="N4674" s="91">
        <f t="shared" si="1048"/>
        <v>24.76</v>
      </c>
      <c r="O4674" s="411">
        <f t="shared" si="972"/>
        <v>235.46840000000003</v>
      </c>
      <c r="P4674" s="132" t="s">
        <v>86</v>
      </c>
      <c r="Q4674" s="232"/>
      <c r="R4674" s="411"/>
      <c r="T4674" s="134" t="s">
        <v>145</v>
      </c>
      <c r="U4674" s="267" t="s">
        <v>10335</v>
      </c>
      <c r="V4674" s="133" t="s">
        <v>10336</v>
      </c>
      <c r="AA4674" s="218"/>
    </row>
    <row r="4675" spans="1:27" ht="24" x14ac:dyDescent="0.25">
      <c r="A4675" s="420"/>
      <c r="B4675" s="422"/>
      <c r="C4675" s="420"/>
      <c r="D4675" s="418"/>
      <c r="E4675" s="120">
        <v>100</v>
      </c>
      <c r="F4675" s="119" t="s">
        <v>422</v>
      </c>
      <c r="G4675" s="436"/>
      <c r="H4675" s="428"/>
      <c r="I4675" s="522"/>
      <c r="J4675" s="524"/>
      <c r="K4675" s="426"/>
      <c r="M4675" s="187">
        <v>42.22</v>
      </c>
      <c r="N4675" s="91">
        <f t="shared" si="1048"/>
        <v>42.22</v>
      </c>
      <c r="O4675" s="411">
        <f t="shared" si="972"/>
        <v>-42.22</v>
      </c>
      <c r="P4675" s="132" t="s">
        <v>52</v>
      </c>
      <c r="Q4675" s="232"/>
      <c r="R4675" s="411"/>
      <c r="T4675" s="172" t="s">
        <v>145</v>
      </c>
      <c r="U4675" s="304" t="s">
        <v>10337</v>
      </c>
      <c r="AA4675" s="218"/>
    </row>
    <row r="4676" spans="1:27" ht="24" x14ac:dyDescent="0.25">
      <c r="A4676" s="405">
        <v>3003638</v>
      </c>
      <c r="B4676" s="406">
        <v>42591</v>
      </c>
      <c r="C4676" s="405" t="s">
        <v>5682</v>
      </c>
      <c r="D4676" s="401" t="s">
        <v>10338</v>
      </c>
      <c r="E4676" s="120">
        <v>335</v>
      </c>
      <c r="F4676" s="133" t="s">
        <v>247</v>
      </c>
      <c r="G4676" s="404" t="s">
        <v>45</v>
      </c>
      <c r="H4676" s="411">
        <v>336.95</v>
      </c>
      <c r="I4676" s="89">
        <f t="shared" ref="I4676" si="1069">-(H4676*0.09)</f>
        <v>-30.325499999999998</v>
      </c>
      <c r="J4676" s="258">
        <f t="shared" ref="J4676" si="1070">-((H4676*0.019)+0.3)</f>
        <v>-6.7020499999999998</v>
      </c>
      <c r="K4676" s="90">
        <f t="shared" ref="K4676" si="1071">SUM(H4676:J4676)</f>
        <v>299.92245000000003</v>
      </c>
      <c r="M4676" s="187">
        <v>57.23</v>
      </c>
      <c r="N4676" s="91">
        <f t="shared" si="1048"/>
        <v>57.23</v>
      </c>
      <c r="O4676" s="411">
        <f t="shared" ref="O4676:O4739" si="1072">K4676-N4676</f>
        <v>242.69245000000004</v>
      </c>
      <c r="P4676" s="132" t="s">
        <v>52</v>
      </c>
      <c r="Q4676" s="232"/>
      <c r="R4676" s="411"/>
      <c r="T4676" s="259" t="s">
        <v>145</v>
      </c>
      <c r="U4676" s="259">
        <v>680483358726</v>
      </c>
      <c r="AA4676" s="218"/>
    </row>
    <row r="4677" spans="1:27" x14ac:dyDescent="0.25">
      <c r="A4677" s="405">
        <v>3003639</v>
      </c>
      <c r="B4677" s="406">
        <v>42591</v>
      </c>
      <c r="C4677" s="405" t="s">
        <v>5682</v>
      </c>
      <c r="D4677" s="401" t="s">
        <v>10339</v>
      </c>
      <c r="E4677" s="120">
        <v>150</v>
      </c>
      <c r="F4677" s="133" t="s">
        <v>70</v>
      </c>
      <c r="G4677" s="404" t="s">
        <v>45</v>
      </c>
      <c r="H4677" s="411">
        <v>449.28</v>
      </c>
      <c r="I4677" s="89">
        <f t="shared" ref="I4677" si="1073">-(H4677*0.09)</f>
        <v>-40.435199999999995</v>
      </c>
      <c r="J4677" s="258">
        <f t="shared" ref="J4677" si="1074">-((H4677*0.019)+0.3)</f>
        <v>-8.8363200000000006</v>
      </c>
      <c r="K4677" s="90">
        <f t="shared" ref="K4677" si="1075">SUM(H4677:J4677)</f>
        <v>400.00847999999996</v>
      </c>
      <c r="M4677" s="187">
        <v>106.84</v>
      </c>
      <c r="N4677" s="91">
        <f t="shared" si="1048"/>
        <v>106.84</v>
      </c>
      <c r="O4677" s="411">
        <f t="shared" si="1072"/>
        <v>293.16847999999993</v>
      </c>
      <c r="P4677" s="132" t="s">
        <v>86</v>
      </c>
      <c r="Q4677" s="232"/>
      <c r="R4677" s="411">
        <v>33.28</v>
      </c>
      <c r="S4677" s="133" t="s">
        <v>1169</v>
      </c>
      <c r="T4677" s="134" t="s">
        <v>1467</v>
      </c>
      <c r="U4677" s="267" t="s">
        <v>10340</v>
      </c>
      <c r="AA4677" s="218"/>
    </row>
    <row r="4678" spans="1:27" ht="24" x14ac:dyDescent="0.25">
      <c r="A4678" s="405">
        <v>3003640</v>
      </c>
      <c r="B4678" s="406">
        <v>42591</v>
      </c>
      <c r="C4678" s="405" t="s">
        <v>10341</v>
      </c>
      <c r="D4678" s="401" t="s">
        <v>10342</v>
      </c>
      <c r="E4678" s="120">
        <v>250</v>
      </c>
      <c r="F4678" s="119" t="s">
        <v>6341</v>
      </c>
      <c r="G4678" s="404" t="s">
        <v>45</v>
      </c>
      <c r="H4678" s="411">
        <v>177.13</v>
      </c>
      <c r="I4678" s="89">
        <f t="shared" ref="I4678" si="1076">-(H4678*0.09)</f>
        <v>-15.941699999999999</v>
      </c>
      <c r="J4678" s="258">
        <f t="shared" ref="J4678" si="1077">-((H4678*0.019)+0.3)</f>
        <v>-3.6654699999999996</v>
      </c>
      <c r="K4678" s="90">
        <f t="shared" ref="K4678" si="1078">SUM(H4678:J4678)</f>
        <v>157.52283</v>
      </c>
      <c r="L4678" s="187">
        <v>324</v>
      </c>
      <c r="M4678" s="187">
        <v>20.96</v>
      </c>
      <c r="N4678" s="91">
        <f t="shared" si="1048"/>
        <v>101.96000000000001</v>
      </c>
      <c r="O4678" s="411">
        <f t="shared" si="1072"/>
        <v>55.562829999999991</v>
      </c>
      <c r="P4678" s="132" t="s">
        <v>313</v>
      </c>
      <c r="Q4678" s="232"/>
      <c r="R4678" s="411"/>
      <c r="T4678" s="172" t="s">
        <v>145</v>
      </c>
      <c r="U4678" s="259">
        <v>543369480131</v>
      </c>
      <c r="AA4678" s="218"/>
    </row>
    <row r="4679" spans="1:27" ht="24" x14ac:dyDescent="0.25">
      <c r="A4679" s="405">
        <v>3003641</v>
      </c>
      <c r="B4679" s="406">
        <v>42591</v>
      </c>
      <c r="C4679" s="405" t="s">
        <v>237</v>
      </c>
      <c r="D4679" s="401" t="s">
        <v>10343</v>
      </c>
      <c r="E4679" s="120">
        <v>100</v>
      </c>
      <c r="F4679" s="133" t="s">
        <v>247</v>
      </c>
      <c r="G4679" s="404" t="s">
        <v>45</v>
      </c>
      <c r="H4679" s="411">
        <v>113</v>
      </c>
      <c r="I4679" s="397">
        <f t="shared" ref="I4679" si="1079">-(H4679*0.15)</f>
        <v>-16.95</v>
      </c>
      <c r="J4679" s="411">
        <v>0</v>
      </c>
      <c r="K4679" s="90">
        <f>SUM(H4679:J4679)</f>
        <v>96.05</v>
      </c>
      <c r="M4679" s="187">
        <v>24.15</v>
      </c>
      <c r="N4679" s="91">
        <f t="shared" si="1048"/>
        <v>24.15</v>
      </c>
      <c r="O4679" s="411">
        <f t="shared" si="1072"/>
        <v>71.900000000000006</v>
      </c>
      <c r="P4679" s="132" t="s">
        <v>52</v>
      </c>
      <c r="Q4679" s="232"/>
      <c r="R4679" s="411"/>
      <c r="T4679" s="172" t="s">
        <v>145</v>
      </c>
      <c r="U4679" s="259" t="s">
        <v>10344</v>
      </c>
      <c r="W4679" s="153"/>
      <c r="AA4679" s="218"/>
    </row>
    <row r="4680" spans="1:27" x14ac:dyDescent="0.25">
      <c r="A4680" s="405">
        <v>3003642</v>
      </c>
      <c r="B4680" s="406">
        <v>42591</v>
      </c>
      <c r="C4680" s="405" t="s">
        <v>63</v>
      </c>
      <c r="D4680" s="401" t="s">
        <v>10345</v>
      </c>
      <c r="E4680" s="120">
        <v>600</v>
      </c>
      <c r="F4680" s="133" t="s">
        <v>288</v>
      </c>
      <c r="G4680" s="404" t="s">
        <v>45</v>
      </c>
      <c r="H4680" s="411">
        <v>954</v>
      </c>
      <c r="I4680" s="411">
        <v>0</v>
      </c>
      <c r="J4680" s="258">
        <f>-((H4680*0.022)+0.3)</f>
        <v>-21.288</v>
      </c>
      <c r="K4680" s="90">
        <f t="shared" ref="K4680:K4681" si="1080">SUM(H4680:J4680)</f>
        <v>932.71199999999999</v>
      </c>
      <c r="L4680" s="131">
        <v>950</v>
      </c>
      <c r="M4680" s="187">
        <v>115.79</v>
      </c>
      <c r="N4680" s="91">
        <f t="shared" si="1048"/>
        <v>685.79</v>
      </c>
      <c r="O4680" s="411">
        <f t="shared" si="1072"/>
        <v>246.92200000000003</v>
      </c>
      <c r="P4680" s="132" t="s">
        <v>52</v>
      </c>
      <c r="Q4680" s="232"/>
      <c r="R4680" s="411"/>
      <c r="T4680" s="134" t="s">
        <v>1743</v>
      </c>
      <c r="U4680" s="267" t="s">
        <v>10346</v>
      </c>
      <c r="V4680" s="133" t="s">
        <v>55</v>
      </c>
      <c r="W4680" s="153" t="s">
        <v>10347</v>
      </c>
      <c r="AA4680" s="218"/>
    </row>
    <row r="4681" spans="1:27" ht="24" x14ac:dyDescent="0.25">
      <c r="A4681" s="405">
        <v>3003643</v>
      </c>
      <c r="B4681" s="406">
        <v>42591</v>
      </c>
      <c r="C4681" s="405" t="s">
        <v>141</v>
      </c>
      <c r="D4681" s="401" t="s">
        <v>9193</v>
      </c>
      <c r="E4681" s="120">
        <v>2325</v>
      </c>
      <c r="F4681" s="133" t="s">
        <v>51</v>
      </c>
      <c r="G4681" s="404" t="s">
        <v>45</v>
      </c>
      <c r="H4681" s="411">
        <v>3255</v>
      </c>
      <c r="I4681" s="411">
        <v>0</v>
      </c>
      <c r="J4681" s="258">
        <f>-((H4681*0.0325)+0.3)</f>
        <v>-106.08750000000001</v>
      </c>
      <c r="K4681" s="90">
        <f t="shared" si="1080"/>
        <v>3148.9124999999999</v>
      </c>
      <c r="L4681" s="131">
        <v>1015</v>
      </c>
      <c r="M4681" s="187">
        <v>320</v>
      </c>
      <c r="N4681" s="91">
        <f t="shared" si="1048"/>
        <v>2679.875</v>
      </c>
      <c r="O4681" s="411">
        <f t="shared" si="1072"/>
        <v>469.03749999999991</v>
      </c>
      <c r="P4681" s="132" t="s">
        <v>52</v>
      </c>
      <c r="Q4681" s="232"/>
      <c r="R4681" s="411"/>
      <c r="T4681" s="134" t="s">
        <v>3081</v>
      </c>
      <c r="U4681" s="267" t="s">
        <v>10348</v>
      </c>
      <c r="V4681" s="133" t="s">
        <v>55</v>
      </c>
      <c r="W4681" s="153" t="s">
        <v>10349</v>
      </c>
      <c r="AA4681" s="218">
        <v>10</v>
      </c>
    </row>
    <row r="4682" spans="1:27" ht="24" x14ac:dyDescent="0.25">
      <c r="A4682" s="419">
        <v>3003644</v>
      </c>
      <c r="B4682" s="421">
        <v>42591</v>
      </c>
      <c r="C4682" s="419" t="s">
        <v>977</v>
      </c>
      <c r="D4682" s="417" t="s">
        <v>3987</v>
      </c>
      <c r="E4682" s="120">
        <v>90</v>
      </c>
      <c r="F4682" s="133" t="s">
        <v>10350</v>
      </c>
      <c r="G4682" s="434" t="s">
        <v>45</v>
      </c>
      <c r="H4682" s="427">
        <v>673.98</v>
      </c>
      <c r="I4682" s="516">
        <v>0</v>
      </c>
      <c r="J4682" s="523">
        <f>-((H4682*0.022)+0.3)</f>
        <v>-15.127560000000001</v>
      </c>
      <c r="K4682" s="516">
        <f>SUM(H4682:J4685)</f>
        <v>658.85244</v>
      </c>
      <c r="L4682" s="187">
        <v>875</v>
      </c>
      <c r="M4682" s="187">
        <v>17.11</v>
      </c>
      <c r="N4682" s="91">
        <f t="shared" si="1048"/>
        <v>95.86</v>
      </c>
      <c r="O4682" s="411">
        <f t="shared" si="1072"/>
        <v>562.99243999999999</v>
      </c>
      <c r="P4682" s="132" t="s">
        <v>235</v>
      </c>
      <c r="Q4682" s="232"/>
      <c r="R4682" s="411"/>
      <c r="T4682" s="172" t="s">
        <v>145</v>
      </c>
      <c r="U4682" s="259">
        <v>700329328626</v>
      </c>
      <c r="W4682" s="153" t="s">
        <v>3989</v>
      </c>
      <c r="AA4682" s="218"/>
    </row>
    <row r="4683" spans="1:27" ht="24" x14ac:dyDescent="0.25">
      <c r="A4683" s="432"/>
      <c r="B4683" s="433"/>
      <c r="C4683" s="432"/>
      <c r="D4683" s="454"/>
      <c r="E4683" s="120">
        <v>90</v>
      </c>
      <c r="F4683" s="133" t="s">
        <v>10351</v>
      </c>
      <c r="G4683" s="435"/>
      <c r="H4683" s="438"/>
      <c r="I4683" s="517"/>
      <c r="J4683" s="534"/>
      <c r="K4683" s="517"/>
      <c r="L4683" s="187">
        <v>875</v>
      </c>
      <c r="M4683" s="187">
        <v>20.02</v>
      </c>
      <c r="N4683" s="91">
        <f t="shared" si="1048"/>
        <v>98.77</v>
      </c>
      <c r="O4683" s="411">
        <f t="shared" si="1072"/>
        <v>-98.77</v>
      </c>
      <c r="P4683" s="132" t="s">
        <v>235</v>
      </c>
      <c r="Q4683" s="232"/>
      <c r="R4683" s="411"/>
      <c r="T4683" s="172" t="s">
        <v>145</v>
      </c>
      <c r="U4683" s="259">
        <v>700329328637</v>
      </c>
      <c r="W4683" s="153"/>
      <c r="AA4683" s="218"/>
    </row>
    <row r="4684" spans="1:27" ht="24" x14ac:dyDescent="0.25">
      <c r="A4684" s="432"/>
      <c r="B4684" s="433"/>
      <c r="C4684" s="432"/>
      <c r="D4684" s="454"/>
      <c r="E4684" s="120">
        <v>90</v>
      </c>
      <c r="F4684" s="133" t="s">
        <v>10352</v>
      </c>
      <c r="G4684" s="435"/>
      <c r="H4684" s="438"/>
      <c r="I4684" s="517"/>
      <c r="J4684" s="534"/>
      <c r="K4684" s="517"/>
      <c r="L4684" s="187">
        <v>875</v>
      </c>
      <c r="M4684" s="187">
        <v>19.149999999999999</v>
      </c>
      <c r="N4684" s="91">
        <f t="shared" si="1048"/>
        <v>97.9</v>
      </c>
      <c r="O4684" s="411">
        <f t="shared" si="1072"/>
        <v>-97.9</v>
      </c>
      <c r="P4684" s="132" t="s">
        <v>235</v>
      </c>
      <c r="Q4684" s="232"/>
      <c r="R4684" s="411"/>
      <c r="T4684" s="172" t="s">
        <v>145</v>
      </c>
      <c r="U4684" s="259">
        <v>700329328648</v>
      </c>
      <c r="AA4684" s="218"/>
    </row>
    <row r="4685" spans="1:27" ht="24" x14ac:dyDescent="0.25">
      <c r="A4685" s="420"/>
      <c r="B4685" s="422"/>
      <c r="C4685" s="420"/>
      <c r="D4685" s="418"/>
      <c r="E4685" s="120">
        <v>90</v>
      </c>
      <c r="F4685" s="133" t="s">
        <v>10353</v>
      </c>
      <c r="G4685" s="436"/>
      <c r="H4685" s="428"/>
      <c r="I4685" s="518"/>
      <c r="J4685" s="524"/>
      <c r="K4685" s="518"/>
      <c r="L4685" s="187">
        <v>560</v>
      </c>
      <c r="M4685" s="187">
        <v>19.149999999999999</v>
      </c>
      <c r="N4685" s="91">
        <f t="shared" si="1048"/>
        <v>69.55</v>
      </c>
      <c r="O4685" s="411">
        <f t="shared" si="1072"/>
        <v>-69.55</v>
      </c>
      <c r="P4685" s="132" t="s">
        <v>235</v>
      </c>
      <c r="Q4685" s="232"/>
      <c r="R4685" s="411"/>
      <c r="T4685" s="172" t="s">
        <v>145</v>
      </c>
      <c r="U4685" s="259">
        <v>700329328659</v>
      </c>
      <c r="AA4685" s="218"/>
    </row>
    <row r="4686" spans="1:27" ht="24" x14ac:dyDescent="0.25">
      <c r="A4686" s="405">
        <v>3003645</v>
      </c>
      <c r="B4686" s="406">
        <v>42591</v>
      </c>
      <c r="C4686" s="405" t="s">
        <v>63</v>
      </c>
      <c r="D4686" s="401" t="s">
        <v>10354</v>
      </c>
      <c r="E4686" s="120">
        <v>170</v>
      </c>
      <c r="F4686" s="133" t="s">
        <v>10355</v>
      </c>
      <c r="G4686" s="404" t="s">
        <v>45</v>
      </c>
      <c r="H4686" s="411">
        <v>165</v>
      </c>
      <c r="I4686" s="411">
        <v>0</v>
      </c>
      <c r="J4686" s="258">
        <f>-((H4686*0.022)+0.3)</f>
        <v>-3.9299999999999997</v>
      </c>
      <c r="K4686" s="90">
        <f t="shared" ref="K4686:K4688" si="1081">SUM(H4686:J4686)</f>
        <v>161.07</v>
      </c>
      <c r="L4686" s="187">
        <v>500</v>
      </c>
      <c r="M4686" s="187">
        <v>42.41</v>
      </c>
      <c r="N4686" s="91">
        <f t="shared" si="1048"/>
        <v>127.41</v>
      </c>
      <c r="O4686" s="411">
        <f t="shared" si="1072"/>
        <v>33.659999999999997</v>
      </c>
      <c r="P4686" s="132" t="s">
        <v>144</v>
      </c>
      <c r="Q4686" s="232"/>
      <c r="R4686" s="411"/>
      <c r="T4686" s="172" t="s">
        <v>145</v>
      </c>
      <c r="U4686" s="259" t="s">
        <v>10356</v>
      </c>
      <c r="W4686" s="153" t="s">
        <v>10357</v>
      </c>
      <c r="AA4686" s="218"/>
    </row>
    <row r="4687" spans="1:27" x14ac:dyDescent="0.25">
      <c r="A4687" s="405">
        <v>3003646</v>
      </c>
      <c r="B4687" s="406">
        <v>42591</v>
      </c>
      <c r="C4687" s="405" t="s">
        <v>141</v>
      </c>
      <c r="D4687" s="401" t="s">
        <v>10358</v>
      </c>
      <c r="E4687" s="120">
        <v>1000</v>
      </c>
      <c r="F4687" s="133" t="s">
        <v>247</v>
      </c>
      <c r="G4687" s="404" t="s">
        <v>45</v>
      </c>
      <c r="H4687" s="411">
        <v>950</v>
      </c>
      <c r="I4687" s="411">
        <v>0</v>
      </c>
      <c r="J4687" s="258">
        <f>-((H4687*0.0325)+0.3)</f>
        <v>-31.175000000000001</v>
      </c>
      <c r="K4687" s="90">
        <f t="shared" si="1081"/>
        <v>918.82500000000005</v>
      </c>
      <c r="L4687" s="131">
        <v>480</v>
      </c>
      <c r="M4687" s="187">
        <v>203.93</v>
      </c>
      <c r="N4687" s="91">
        <f t="shared" si="1048"/>
        <v>683.93000000000006</v>
      </c>
      <c r="O4687" s="411">
        <f t="shared" si="1072"/>
        <v>234.89499999999998</v>
      </c>
      <c r="P4687" s="132" t="s">
        <v>52</v>
      </c>
      <c r="Q4687" s="232"/>
      <c r="R4687" s="411"/>
      <c r="T4687" s="134" t="s">
        <v>97</v>
      </c>
      <c r="U4687" s="267" t="s">
        <v>10359</v>
      </c>
      <c r="V4687" s="133" t="s">
        <v>55</v>
      </c>
      <c r="W4687" s="153" t="s">
        <v>10360</v>
      </c>
      <c r="AA4687" s="218"/>
    </row>
    <row r="4688" spans="1:27" ht="24" x14ac:dyDescent="0.25">
      <c r="A4688" s="405">
        <v>3003647</v>
      </c>
      <c r="B4688" s="406">
        <v>42591</v>
      </c>
      <c r="C4688" s="405" t="s">
        <v>977</v>
      </c>
      <c r="D4688" s="401" t="s">
        <v>5080</v>
      </c>
      <c r="E4688" s="120">
        <v>2000</v>
      </c>
      <c r="F4688" s="133" t="s">
        <v>10361</v>
      </c>
      <c r="G4688" s="404" t="s">
        <v>45</v>
      </c>
      <c r="H4688" s="411">
        <v>580</v>
      </c>
      <c r="I4688" s="411">
        <v>0</v>
      </c>
      <c r="J4688" s="396">
        <f>-((H4688*0.022)+0.3)</f>
        <v>-13.06</v>
      </c>
      <c r="K4688" s="90">
        <f t="shared" si="1081"/>
        <v>566.94000000000005</v>
      </c>
      <c r="L4688" s="187">
        <v>130.01</v>
      </c>
      <c r="M4688" s="131" t="s">
        <v>10362</v>
      </c>
      <c r="N4688" s="91" t="e">
        <f t="shared" si="1048"/>
        <v>#VALUE!</v>
      </c>
      <c r="O4688" s="411" t="e">
        <f t="shared" si="1072"/>
        <v>#VALUE!</v>
      </c>
      <c r="P4688" s="132" t="s">
        <v>46</v>
      </c>
      <c r="Q4688" s="232"/>
      <c r="R4688" s="411"/>
      <c r="T4688" s="134" t="s">
        <v>145</v>
      </c>
      <c r="U4688" s="266">
        <v>675157528209</v>
      </c>
      <c r="W4688" s="153" t="s">
        <v>10363</v>
      </c>
      <c r="AA4688" s="218"/>
    </row>
    <row r="4689" spans="1:27" ht="24" x14ac:dyDescent="0.25">
      <c r="A4689" s="405">
        <v>3003648</v>
      </c>
      <c r="B4689" s="406">
        <v>42591</v>
      </c>
      <c r="C4689" s="405" t="s">
        <v>63</v>
      </c>
      <c r="D4689" s="401" t="s">
        <v>10364</v>
      </c>
      <c r="E4689" s="120">
        <v>200</v>
      </c>
      <c r="F4689" s="133" t="s">
        <v>10365</v>
      </c>
      <c r="G4689" s="404" t="s">
        <v>45</v>
      </c>
      <c r="H4689" s="206">
        <v>160</v>
      </c>
      <c r="I4689" s="411">
        <v>0</v>
      </c>
      <c r="J4689" s="258">
        <f>-((H4689*0.022)+0.3)</f>
        <v>-3.8199999999999994</v>
      </c>
      <c r="K4689" s="90">
        <f t="shared" ref="K4689" si="1082">SUM(H4689:J4689)</f>
        <v>156.18</v>
      </c>
      <c r="L4689" s="190">
        <v>135</v>
      </c>
      <c r="N4689" s="91">
        <f t="shared" si="1048"/>
        <v>27</v>
      </c>
      <c r="O4689" s="411">
        <f t="shared" si="1072"/>
        <v>129.18</v>
      </c>
      <c r="P4689" s="132" t="s">
        <v>183</v>
      </c>
      <c r="Q4689" s="232"/>
      <c r="R4689" s="411"/>
      <c r="T4689" s="172" t="s">
        <v>145</v>
      </c>
      <c r="U4689" s="259">
        <v>609851517680</v>
      </c>
      <c r="W4689" s="153" t="s">
        <v>10366</v>
      </c>
      <c r="AA4689" s="218"/>
    </row>
    <row r="4690" spans="1:27" x14ac:dyDescent="0.25">
      <c r="A4690" s="405">
        <v>3003649</v>
      </c>
      <c r="B4690" s="406">
        <v>42592</v>
      </c>
      <c r="C4690" s="405" t="s">
        <v>63</v>
      </c>
      <c r="D4690" s="401" t="s">
        <v>10120</v>
      </c>
      <c r="E4690" s="120">
        <v>159</v>
      </c>
      <c r="F4690" s="133" t="s">
        <v>4761</v>
      </c>
      <c r="G4690" s="404" t="s">
        <v>45</v>
      </c>
      <c r="H4690" s="411">
        <v>1876.2</v>
      </c>
      <c r="I4690" s="411">
        <v>0</v>
      </c>
      <c r="J4690" s="258">
        <f>-((H4690*0.022)+0.3)</f>
        <v>-41.576399999999992</v>
      </c>
      <c r="K4690" s="90">
        <f t="shared" ref="K4690" si="1083">SUM(H4690:J4690)</f>
        <v>1834.6236000000001</v>
      </c>
      <c r="L4690" s="187">
        <v>6704.97</v>
      </c>
      <c r="M4690" s="187">
        <f>194.21+25</f>
        <v>219.21</v>
      </c>
      <c r="N4690" s="91">
        <f t="shared" si="1048"/>
        <v>1285.3002300000001</v>
      </c>
      <c r="O4690" s="411">
        <f t="shared" si="1072"/>
        <v>549.32337000000007</v>
      </c>
      <c r="P4690" s="132" t="s">
        <v>46</v>
      </c>
      <c r="Q4690" s="232"/>
      <c r="R4690" s="411"/>
      <c r="T4690" s="134" t="s">
        <v>97</v>
      </c>
      <c r="U4690" s="267" t="s">
        <v>10367</v>
      </c>
      <c r="V4690" s="133" t="s">
        <v>10368</v>
      </c>
      <c r="W4690" s="153" t="s">
        <v>10369</v>
      </c>
      <c r="AA4690" s="218">
        <v>10</v>
      </c>
    </row>
    <row r="4691" spans="1:27" x14ac:dyDescent="0.25">
      <c r="A4691" s="405">
        <v>3003650</v>
      </c>
      <c r="B4691" s="406">
        <v>42592</v>
      </c>
      <c r="C4691" s="405" t="s">
        <v>977</v>
      </c>
      <c r="D4691" s="401" t="s">
        <v>10370</v>
      </c>
      <c r="E4691" s="120">
        <v>500</v>
      </c>
      <c r="F4691" s="133" t="s">
        <v>300</v>
      </c>
      <c r="G4691" s="404" t="s">
        <v>45</v>
      </c>
      <c r="H4691" s="411">
        <v>1650</v>
      </c>
      <c r="I4691" s="411">
        <v>0</v>
      </c>
      <c r="J4691" s="258">
        <f>-((H4691*0.022)+0.3)</f>
        <v>-36.599999999999994</v>
      </c>
      <c r="K4691" s="90">
        <f t="shared" ref="K4691:K4693" si="1084">SUM(H4691:J4691)</f>
        <v>1613.4</v>
      </c>
      <c r="L4691" s="158">
        <v>2150</v>
      </c>
      <c r="M4691" s="158">
        <v>0</v>
      </c>
      <c r="N4691" s="91">
        <f t="shared" si="1048"/>
        <v>1075</v>
      </c>
      <c r="O4691" s="411">
        <f t="shared" si="1072"/>
        <v>538.40000000000009</v>
      </c>
      <c r="P4691" s="132" t="s">
        <v>52</v>
      </c>
      <c r="Q4691" s="232"/>
      <c r="R4691" s="411"/>
      <c r="T4691" s="134" t="s">
        <v>755</v>
      </c>
      <c r="U4691" s="266" t="s">
        <v>10371</v>
      </c>
      <c r="AA4691" s="218"/>
    </row>
    <row r="4692" spans="1:27" ht="24" x14ac:dyDescent="0.25">
      <c r="A4692" s="405">
        <v>3003651</v>
      </c>
      <c r="B4692" s="406">
        <v>42592</v>
      </c>
      <c r="C4692" s="405" t="s">
        <v>555</v>
      </c>
      <c r="D4692" s="401" t="s">
        <v>7364</v>
      </c>
      <c r="E4692" s="120">
        <v>105</v>
      </c>
      <c r="F4692" s="133" t="s">
        <v>10372</v>
      </c>
      <c r="G4692" s="404" t="s">
        <v>45</v>
      </c>
      <c r="H4692" s="411">
        <v>990</v>
      </c>
      <c r="I4692" s="411">
        <v>0</v>
      </c>
      <c r="J4692" s="258">
        <f>-((H4692*0.022)+0.3)</f>
        <v>-22.08</v>
      </c>
      <c r="K4692" s="90">
        <f t="shared" si="1084"/>
        <v>967.92</v>
      </c>
      <c r="L4692" s="187">
        <v>7285</v>
      </c>
      <c r="N4692" s="91">
        <f t="shared" ref="N4692:N4755" si="1085">((L4692)*(E4692*0.001))+M4692</f>
        <v>764.92499999999995</v>
      </c>
      <c r="O4692" s="411">
        <f t="shared" si="1072"/>
        <v>202.995</v>
      </c>
      <c r="P4692" s="132" t="s">
        <v>183</v>
      </c>
      <c r="Q4692" s="232"/>
      <c r="R4692" s="411"/>
      <c r="T4692" s="134" t="s">
        <v>145</v>
      </c>
      <c r="U4692" s="266">
        <v>3003652</v>
      </c>
      <c r="AA4692" s="218"/>
    </row>
    <row r="4693" spans="1:27" x14ac:dyDescent="0.25">
      <c r="A4693" s="405">
        <v>3003652</v>
      </c>
      <c r="B4693" s="406">
        <v>42592</v>
      </c>
      <c r="C4693" s="405" t="s">
        <v>141</v>
      </c>
      <c r="D4693" s="401" t="s">
        <v>5446</v>
      </c>
      <c r="E4693" s="120">
        <v>500</v>
      </c>
      <c r="F4693" s="133" t="s">
        <v>10373</v>
      </c>
      <c r="G4693" s="404" t="s">
        <v>45</v>
      </c>
      <c r="H4693" s="411">
        <v>681.9</v>
      </c>
      <c r="I4693" s="411">
        <v>0</v>
      </c>
      <c r="J4693" s="258">
        <f>-((H4693*0.0325)+0.3)</f>
        <v>-22.461750000000002</v>
      </c>
      <c r="K4693" s="90">
        <f t="shared" si="1084"/>
        <v>659.43824999999993</v>
      </c>
      <c r="L4693" s="187">
        <v>885</v>
      </c>
      <c r="M4693" s="187">
        <v>162.12</v>
      </c>
      <c r="N4693" s="91">
        <f t="shared" si="1085"/>
        <v>604.62</v>
      </c>
      <c r="O4693" s="411">
        <f t="shared" si="1072"/>
        <v>54.818249999999921</v>
      </c>
      <c r="P4693" s="132" t="s">
        <v>183</v>
      </c>
      <c r="Q4693" s="232"/>
      <c r="R4693" s="411"/>
      <c r="T4693" s="134" t="s">
        <v>67</v>
      </c>
      <c r="U4693" s="267" t="s">
        <v>10374</v>
      </c>
      <c r="W4693" s="153" t="s">
        <v>5448</v>
      </c>
      <c r="AA4693" s="218"/>
    </row>
    <row r="4694" spans="1:27" x14ac:dyDescent="0.25">
      <c r="A4694" s="405">
        <v>3003653</v>
      </c>
      <c r="B4694" s="406">
        <v>42592</v>
      </c>
      <c r="C4694" s="405" t="s">
        <v>280</v>
      </c>
      <c r="D4694" s="401" t="s">
        <v>10375</v>
      </c>
      <c r="E4694" s="120">
        <v>750</v>
      </c>
      <c r="F4694" s="133" t="s">
        <v>708</v>
      </c>
      <c r="G4694" s="404" t="s">
        <v>45</v>
      </c>
      <c r="H4694" s="411">
        <v>2850</v>
      </c>
      <c r="I4694" s="411">
        <v>0</v>
      </c>
      <c r="J4694" s="258">
        <f>-((H4694*0.0325)+0.3)</f>
        <v>-92.924999999999997</v>
      </c>
      <c r="K4694" s="90">
        <f t="shared" ref="K4694:K4695" si="1086">SUM(H4694:J4694)</f>
        <v>2757.0749999999998</v>
      </c>
      <c r="L4694" s="187">
        <v>2970</v>
      </c>
      <c r="M4694" s="187">
        <v>151.19999999999999</v>
      </c>
      <c r="N4694" s="91">
        <f t="shared" si="1085"/>
        <v>2378.6999999999998</v>
      </c>
      <c r="O4694" s="411">
        <f t="shared" si="1072"/>
        <v>378.375</v>
      </c>
      <c r="P4694" s="132" t="s">
        <v>183</v>
      </c>
      <c r="Q4694" s="232"/>
      <c r="R4694" s="411"/>
      <c r="T4694" s="134" t="s">
        <v>717</v>
      </c>
      <c r="U4694" s="266">
        <v>25182206</v>
      </c>
      <c r="W4694" s="153" t="s">
        <v>10376</v>
      </c>
      <c r="AA4694" s="218">
        <v>10</v>
      </c>
    </row>
    <row r="4695" spans="1:27" ht="24" x14ac:dyDescent="0.25">
      <c r="A4695" s="405">
        <v>3003654</v>
      </c>
      <c r="B4695" s="406">
        <v>42592</v>
      </c>
      <c r="C4695" s="405" t="s">
        <v>5682</v>
      </c>
      <c r="D4695" s="401" t="s">
        <v>10377</v>
      </c>
      <c r="E4695" s="120">
        <v>150</v>
      </c>
      <c r="F4695" s="133" t="s">
        <v>161</v>
      </c>
      <c r="G4695" s="404" t="s">
        <v>45</v>
      </c>
      <c r="H4695" s="411">
        <v>341.55</v>
      </c>
      <c r="I4695" s="89">
        <f t="shared" ref="I4695" si="1087">-(H4695*0.09)</f>
        <v>-30.7395</v>
      </c>
      <c r="J4695" s="258">
        <f t="shared" ref="J4695" si="1088">-((H4695*0.019)+0.3)</f>
        <v>-6.7894499999999995</v>
      </c>
      <c r="K4695" s="90">
        <f t="shared" si="1086"/>
        <v>304.02105</v>
      </c>
      <c r="M4695" s="187">
        <v>60.23</v>
      </c>
      <c r="N4695" s="91">
        <f t="shared" si="1085"/>
        <v>60.23</v>
      </c>
      <c r="O4695" s="411">
        <f t="shared" si="1072"/>
        <v>243.79105000000001</v>
      </c>
      <c r="P4695" s="132" t="s">
        <v>52</v>
      </c>
      <c r="Q4695" s="232"/>
      <c r="R4695" s="411"/>
      <c r="T4695" s="172" t="s">
        <v>145</v>
      </c>
      <c r="U4695" s="259">
        <v>665651740059</v>
      </c>
      <c r="AA4695" s="218"/>
    </row>
    <row r="4696" spans="1:27" ht="24" x14ac:dyDescent="0.25">
      <c r="A4696" s="405">
        <v>3003655</v>
      </c>
      <c r="B4696" s="406">
        <v>42592</v>
      </c>
      <c r="C4696" s="405" t="s">
        <v>5682</v>
      </c>
      <c r="D4696" s="401" t="s">
        <v>10378</v>
      </c>
      <c r="E4696" s="120">
        <v>1000</v>
      </c>
      <c r="F4696" s="133" t="s">
        <v>10379</v>
      </c>
      <c r="G4696" s="404" t="s">
        <v>45</v>
      </c>
      <c r="H4696" s="411">
        <v>256.5</v>
      </c>
      <c r="I4696" s="89">
        <f t="shared" ref="I4696" si="1089">-(H4696*0.09)</f>
        <v>-23.085000000000001</v>
      </c>
      <c r="J4696" s="258">
        <f t="shared" ref="J4696" si="1090">-((H4696*0.019)+0.3)</f>
        <v>-5.1734999999999998</v>
      </c>
      <c r="K4696" s="90">
        <f t="shared" ref="K4696" si="1091">SUM(H4696:J4696)</f>
        <v>228.2415</v>
      </c>
      <c r="L4696" s="187">
        <v>137</v>
      </c>
      <c r="M4696" s="187">
        <v>19.59</v>
      </c>
      <c r="N4696" s="91">
        <f t="shared" si="1085"/>
        <v>156.59</v>
      </c>
      <c r="O4696" s="411">
        <f t="shared" si="1072"/>
        <v>71.651499999999999</v>
      </c>
      <c r="P4696" s="132" t="s">
        <v>183</v>
      </c>
      <c r="Q4696" s="232"/>
      <c r="R4696" s="411">
        <v>19</v>
      </c>
      <c r="S4696" s="133" t="s">
        <v>10380</v>
      </c>
      <c r="T4696" s="172" t="s">
        <v>145</v>
      </c>
      <c r="U4696" s="259">
        <v>675692461748</v>
      </c>
      <c r="AA4696" s="218"/>
    </row>
    <row r="4697" spans="1:27" ht="24" x14ac:dyDescent="0.25">
      <c r="A4697" s="405">
        <v>3003656</v>
      </c>
      <c r="B4697" s="406">
        <v>42592</v>
      </c>
      <c r="C4697" s="405" t="s">
        <v>5682</v>
      </c>
      <c r="D4697" s="401" t="s">
        <v>7209</v>
      </c>
      <c r="E4697" s="120">
        <v>50</v>
      </c>
      <c r="F4697" s="133" t="s">
        <v>10381</v>
      </c>
      <c r="G4697" s="404" t="s">
        <v>45</v>
      </c>
      <c r="H4697" s="411">
        <v>122.5</v>
      </c>
      <c r="I4697" s="89">
        <f t="shared" ref="I4697" si="1092">-(H4697*0.09)</f>
        <v>-11.025</v>
      </c>
      <c r="J4697" s="258">
        <f t="shared" ref="J4697" si="1093">-((H4697*0.019)+0.3)</f>
        <v>-2.6274999999999999</v>
      </c>
      <c r="K4697" s="90">
        <f t="shared" ref="K4697" si="1094">SUM(H4697:J4697)</f>
        <v>108.8475</v>
      </c>
      <c r="L4697" s="187">
        <v>1470</v>
      </c>
      <c r="M4697" s="187">
        <v>13.91</v>
      </c>
      <c r="N4697" s="91">
        <f t="shared" si="1085"/>
        <v>87.41</v>
      </c>
      <c r="O4697" s="411">
        <f t="shared" si="1072"/>
        <v>21.4375</v>
      </c>
      <c r="P4697" s="132" t="s">
        <v>601</v>
      </c>
      <c r="Q4697" s="232"/>
      <c r="R4697" s="411"/>
      <c r="T4697" s="134" t="s">
        <v>145</v>
      </c>
      <c r="U4697" s="267" t="s">
        <v>10382</v>
      </c>
      <c r="AA4697" s="218"/>
    </row>
    <row r="4698" spans="1:27" ht="24" x14ac:dyDescent="0.25">
      <c r="A4698" s="405">
        <v>3003657</v>
      </c>
      <c r="B4698" s="406">
        <v>42592</v>
      </c>
      <c r="C4698" s="405" t="s">
        <v>5682</v>
      </c>
      <c r="D4698" s="401" t="s">
        <v>10383</v>
      </c>
      <c r="E4698" s="120">
        <v>175</v>
      </c>
      <c r="F4698" s="133" t="s">
        <v>829</v>
      </c>
      <c r="G4698" s="404" t="s">
        <v>45</v>
      </c>
      <c r="H4698" s="411">
        <v>184.48</v>
      </c>
      <c r="I4698" s="89">
        <f t="shared" ref="I4698" si="1095">-(H4698*0.09)</f>
        <v>-16.603199999999998</v>
      </c>
      <c r="J4698" s="258">
        <f t="shared" ref="J4698" si="1096">-((H4698*0.019)+0.3)</f>
        <v>-3.8051199999999996</v>
      </c>
      <c r="K4698" s="90">
        <f t="shared" ref="K4698" si="1097">SUM(H4698:J4698)</f>
        <v>164.07168000000001</v>
      </c>
      <c r="M4698" s="187">
        <v>36.619999999999997</v>
      </c>
      <c r="N4698" s="91">
        <f t="shared" si="1085"/>
        <v>36.619999999999997</v>
      </c>
      <c r="O4698" s="411">
        <f t="shared" si="1072"/>
        <v>127.45168000000001</v>
      </c>
      <c r="P4698" s="132" t="s">
        <v>52</v>
      </c>
      <c r="Q4698" s="232"/>
      <c r="R4698" s="411"/>
      <c r="T4698" s="172" t="s">
        <v>145</v>
      </c>
      <c r="U4698" s="259" t="s">
        <v>10384</v>
      </c>
      <c r="AA4698" s="218"/>
    </row>
    <row r="4699" spans="1:27" ht="24" x14ac:dyDescent="0.25">
      <c r="A4699" s="405">
        <v>3003658</v>
      </c>
      <c r="B4699" s="406">
        <v>42592</v>
      </c>
      <c r="C4699" s="405" t="s">
        <v>5682</v>
      </c>
      <c r="D4699" s="401" t="s">
        <v>10385</v>
      </c>
      <c r="E4699" s="120">
        <v>200</v>
      </c>
      <c r="F4699" s="133" t="s">
        <v>175</v>
      </c>
      <c r="G4699" s="404" t="s">
        <v>45</v>
      </c>
      <c r="H4699" s="411">
        <v>139.5</v>
      </c>
      <c r="I4699" s="89">
        <f t="shared" ref="I4699" si="1098">-(H4699*0.09)</f>
        <v>-12.555</v>
      </c>
      <c r="J4699" s="258">
        <f t="shared" ref="J4699" si="1099">-((H4699*0.019)+0.3)</f>
        <v>-2.9504999999999999</v>
      </c>
      <c r="K4699" s="90">
        <f t="shared" ref="K4699" si="1100">SUM(H4699:J4699)</f>
        <v>123.99449999999999</v>
      </c>
      <c r="M4699" s="187">
        <v>34.409999999999997</v>
      </c>
      <c r="N4699" s="91">
        <f t="shared" si="1085"/>
        <v>34.409999999999997</v>
      </c>
      <c r="O4699" s="411">
        <f t="shared" si="1072"/>
        <v>89.584499999999991</v>
      </c>
      <c r="P4699" s="132" t="s">
        <v>52</v>
      </c>
      <c r="Q4699" s="232"/>
      <c r="R4699" s="411"/>
      <c r="T4699" s="172" t="s">
        <v>145</v>
      </c>
      <c r="U4699" s="259">
        <v>665651740026</v>
      </c>
      <c r="AA4699" s="218"/>
    </row>
    <row r="4700" spans="1:27" ht="24" x14ac:dyDescent="0.25">
      <c r="A4700" s="405">
        <v>3003659</v>
      </c>
      <c r="B4700" s="406">
        <v>42592</v>
      </c>
      <c r="C4700" s="405" t="s">
        <v>5682</v>
      </c>
      <c r="D4700" s="401" t="s">
        <v>10386</v>
      </c>
      <c r="E4700" s="120">
        <v>50</v>
      </c>
      <c r="F4700" s="133" t="s">
        <v>288</v>
      </c>
      <c r="G4700" s="404" t="s">
        <v>45</v>
      </c>
      <c r="H4700" s="411">
        <v>107.8</v>
      </c>
      <c r="I4700" s="89">
        <f t="shared" ref="I4700" si="1101">-(H4700*0.09)</f>
        <v>-9.702</v>
      </c>
      <c r="J4700" s="258">
        <f t="shared" ref="J4700" si="1102">-((H4700*0.019)+0.3)</f>
        <v>-2.3481999999999998</v>
      </c>
      <c r="K4700" s="90">
        <f t="shared" ref="K4700" si="1103">SUM(H4700:J4700)</f>
        <v>95.749799999999993</v>
      </c>
      <c r="M4700" s="187">
        <v>30.84</v>
      </c>
      <c r="N4700" s="91">
        <f t="shared" si="1085"/>
        <v>30.84</v>
      </c>
      <c r="O4700" s="411">
        <f t="shared" si="1072"/>
        <v>64.90979999999999</v>
      </c>
      <c r="P4700" s="132" t="s">
        <v>52</v>
      </c>
      <c r="Q4700" s="232"/>
      <c r="R4700" s="411"/>
      <c r="T4700" s="172" t="s">
        <v>145</v>
      </c>
      <c r="U4700" s="259">
        <v>665651740015</v>
      </c>
      <c r="AA4700" s="218"/>
    </row>
    <row r="4701" spans="1:27" ht="24" x14ac:dyDescent="0.25">
      <c r="A4701" s="405">
        <v>3003660</v>
      </c>
      <c r="B4701" s="406">
        <v>42592</v>
      </c>
      <c r="C4701" s="405" t="s">
        <v>5682</v>
      </c>
      <c r="D4701" s="401" t="s">
        <v>10387</v>
      </c>
      <c r="E4701" s="120">
        <v>250</v>
      </c>
      <c r="F4701" s="133" t="s">
        <v>2667</v>
      </c>
      <c r="G4701" s="404" t="s">
        <v>45</v>
      </c>
      <c r="H4701" s="411">
        <v>115</v>
      </c>
      <c r="I4701" s="89">
        <f t="shared" ref="I4701" si="1104">-(H4701*0.09)</f>
        <v>-10.35</v>
      </c>
      <c r="J4701" s="258">
        <f t="shared" ref="J4701" si="1105">-((H4701*0.019)+0.3)</f>
        <v>-2.4849999999999999</v>
      </c>
      <c r="K4701" s="90">
        <f t="shared" ref="K4701" si="1106">SUM(H4701:J4701)</f>
        <v>102.16500000000001</v>
      </c>
      <c r="L4701" s="187">
        <v>165</v>
      </c>
      <c r="M4701" s="187">
        <v>14.62</v>
      </c>
      <c r="N4701" s="91">
        <f t="shared" si="1085"/>
        <v>55.87</v>
      </c>
      <c r="O4701" s="411">
        <f t="shared" si="1072"/>
        <v>46.295000000000009</v>
      </c>
      <c r="P4701" s="132" t="s">
        <v>183</v>
      </c>
      <c r="Q4701" s="232"/>
      <c r="R4701" s="411"/>
      <c r="T4701" s="134" t="s">
        <v>145</v>
      </c>
      <c r="U4701" s="267" t="s">
        <v>10388</v>
      </c>
      <c r="AA4701" s="218"/>
    </row>
    <row r="4702" spans="1:27" ht="24" x14ac:dyDescent="0.25">
      <c r="A4702" s="405">
        <v>3003661</v>
      </c>
      <c r="B4702" s="406">
        <v>42592</v>
      </c>
      <c r="C4702" s="405" t="s">
        <v>5682</v>
      </c>
      <c r="D4702" s="401" t="s">
        <v>10387</v>
      </c>
      <c r="E4702" s="120">
        <v>300</v>
      </c>
      <c r="F4702" s="133" t="s">
        <v>983</v>
      </c>
      <c r="G4702" s="404" t="s">
        <v>45</v>
      </c>
      <c r="H4702" s="411">
        <v>234</v>
      </c>
      <c r="I4702" s="89">
        <f t="shared" ref="I4702" si="1107">-(H4702*0.09)</f>
        <v>-21.06</v>
      </c>
      <c r="J4702" s="258">
        <f t="shared" ref="J4702" si="1108">-((H4702*0.019)+0.3)</f>
        <v>-4.7459999999999996</v>
      </c>
      <c r="K4702" s="90">
        <f t="shared" ref="K4702" si="1109">SUM(H4702:J4702)</f>
        <v>208.19399999999999</v>
      </c>
      <c r="M4702" s="187">
        <v>48.32</v>
      </c>
      <c r="N4702" s="91">
        <f t="shared" si="1085"/>
        <v>48.32</v>
      </c>
      <c r="O4702" s="411">
        <f t="shared" si="1072"/>
        <v>159.874</v>
      </c>
      <c r="P4702" s="132" t="s">
        <v>52</v>
      </c>
      <c r="Q4702" s="232"/>
      <c r="R4702" s="411"/>
      <c r="T4702" s="172" t="s">
        <v>145</v>
      </c>
      <c r="U4702" s="259">
        <v>665651740081</v>
      </c>
      <c r="AA4702" s="218"/>
    </row>
    <row r="4703" spans="1:27" ht="24" customHeight="1" x14ac:dyDescent="0.25">
      <c r="A4703" s="419">
        <v>3003662</v>
      </c>
      <c r="B4703" s="421">
        <v>42592</v>
      </c>
      <c r="C4703" s="419" t="s">
        <v>5682</v>
      </c>
      <c r="D4703" s="417" t="s">
        <v>10389</v>
      </c>
      <c r="E4703" s="120">
        <v>500</v>
      </c>
      <c r="F4703" s="133" t="s">
        <v>10390</v>
      </c>
      <c r="G4703" s="434" t="s">
        <v>45</v>
      </c>
      <c r="H4703" s="427">
        <v>1351.95</v>
      </c>
      <c r="I4703" s="521">
        <f t="shared" ref="I4703" si="1110">-(H4703*0.09)</f>
        <v>-121.6755</v>
      </c>
      <c r="J4703" s="523">
        <f t="shared" ref="J4703" si="1111">-((H4703*0.019)+0.3)</f>
        <v>-25.98705</v>
      </c>
      <c r="K4703" s="523">
        <f t="shared" ref="K4703" si="1112">SUM(H4703:J4703)</f>
        <v>1204.28745</v>
      </c>
      <c r="L4703" s="187">
        <v>1521</v>
      </c>
      <c r="M4703" s="187">
        <v>79.02</v>
      </c>
      <c r="N4703" s="91">
        <f t="shared" si="1085"/>
        <v>839.52</v>
      </c>
      <c r="O4703" s="411">
        <f t="shared" si="1072"/>
        <v>364.76745000000005</v>
      </c>
      <c r="P4703" s="132" t="s">
        <v>638</v>
      </c>
      <c r="Q4703" s="232"/>
      <c r="R4703" s="411"/>
      <c r="T4703" s="439" t="s">
        <v>10391</v>
      </c>
      <c r="U4703" s="602">
        <v>23922003</v>
      </c>
      <c r="AA4703" s="218"/>
    </row>
    <row r="4704" spans="1:27" x14ac:dyDescent="0.25">
      <c r="A4704" s="420"/>
      <c r="B4704" s="422"/>
      <c r="C4704" s="420"/>
      <c r="D4704" s="418"/>
      <c r="E4704" s="120">
        <v>500</v>
      </c>
      <c r="F4704" s="133" t="s">
        <v>10392</v>
      </c>
      <c r="G4704" s="436"/>
      <c r="H4704" s="428"/>
      <c r="I4704" s="522"/>
      <c r="J4704" s="524"/>
      <c r="K4704" s="524"/>
      <c r="L4704" s="187">
        <v>260</v>
      </c>
      <c r="M4704" s="187"/>
      <c r="N4704" s="91">
        <f t="shared" si="1085"/>
        <v>130</v>
      </c>
      <c r="O4704" s="411">
        <f t="shared" si="1072"/>
        <v>-130</v>
      </c>
      <c r="P4704" s="132" t="s">
        <v>638</v>
      </c>
      <c r="Q4704" s="232"/>
      <c r="R4704" s="411"/>
      <c r="T4704" s="441"/>
      <c r="U4704" s="603"/>
      <c r="AA4704" s="218"/>
    </row>
    <row r="4705" spans="1:27" ht="24" x14ac:dyDescent="0.25">
      <c r="A4705" s="405">
        <v>3003663</v>
      </c>
      <c r="B4705" s="406">
        <v>42592</v>
      </c>
      <c r="C4705" s="405" t="s">
        <v>237</v>
      </c>
      <c r="D4705" s="401" t="s">
        <v>10393</v>
      </c>
      <c r="E4705" s="120">
        <v>250</v>
      </c>
      <c r="F4705" s="133" t="s">
        <v>247</v>
      </c>
      <c r="G4705" s="404" t="s">
        <v>45</v>
      </c>
      <c r="H4705" s="411">
        <v>250</v>
      </c>
      <c r="I4705" s="397">
        <f t="shared" ref="I4705" si="1113">-(H4705*0.15)</f>
        <v>-37.5</v>
      </c>
      <c r="J4705" s="411">
        <v>0</v>
      </c>
      <c r="K4705" s="90">
        <f>SUM(H4705:J4705)</f>
        <v>212.5</v>
      </c>
      <c r="M4705" s="187">
        <v>44.38</v>
      </c>
      <c r="N4705" s="91">
        <f t="shared" si="1085"/>
        <v>44.38</v>
      </c>
      <c r="O4705" s="411">
        <f t="shared" si="1072"/>
        <v>168.12</v>
      </c>
      <c r="P4705" s="132" t="s">
        <v>52</v>
      </c>
      <c r="Q4705" s="232"/>
      <c r="R4705" s="411"/>
      <c r="T4705" s="172" t="s">
        <v>145</v>
      </c>
      <c r="U4705" s="259" t="s">
        <v>10394</v>
      </c>
      <c r="AA4705" s="218"/>
    </row>
    <row r="4706" spans="1:27" ht="24" x14ac:dyDescent="0.25">
      <c r="A4706" s="405">
        <v>3003664</v>
      </c>
      <c r="B4706" s="406">
        <v>42592</v>
      </c>
      <c r="C4706" s="405" t="s">
        <v>237</v>
      </c>
      <c r="D4706" s="401" t="s">
        <v>10395</v>
      </c>
      <c r="E4706" s="120">
        <v>250</v>
      </c>
      <c r="F4706" s="133" t="s">
        <v>1547</v>
      </c>
      <c r="G4706" s="404" t="s">
        <v>45</v>
      </c>
      <c r="H4706" s="411">
        <v>200</v>
      </c>
      <c r="I4706" s="397">
        <f t="shared" ref="I4706" si="1114">-(H4706*0.15)</f>
        <v>-30</v>
      </c>
      <c r="J4706" s="411">
        <v>0</v>
      </c>
      <c r="K4706" s="90">
        <f>SUM(H4706:J4706)</f>
        <v>170</v>
      </c>
      <c r="M4706" s="187">
        <v>39.270000000000003</v>
      </c>
      <c r="N4706" s="91">
        <f t="shared" si="1085"/>
        <v>39.270000000000003</v>
      </c>
      <c r="O4706" s="411">
        <f t="shared" si="1072"/>
        <v>130.72999999999999</v>
      </c>
      <c r="P4706" s="132" t="s">
        <v>52</v>
      </c>
      <c r="Q4706" s="232"/>
      <c r="R4706" s="411"/>
      <c r="T4706" s="172" t="s">
        <v>145</v>
      </c>
      <c r="U4706" s="259">
        <v>665651740037</v>
      </c>
      <c r="AA4706" s="218"/>
    </row>
    <row r="4707" spans="1:27" ht="24" x14ac:dyDescent="0.25">
      <c r="A4707" s="405">
        <v>3003665</v>
      </c>
      <c r="B4707" s="406">
        <v>42592</v>
      </c>
      <c r="C4707" s="405" t="s">
        <v>141</v>
      </c>
      <c r="D4707" s="401" t="s">
        <v>10396</v>
      </c>
      <c r="E4707" s="120">
        <v>700</v>
      </c>
      <c r="F4707" s="133" t="s">
        <v>10397</v>
      </c>
      <c r="G4707" s="404" t="s">
        <v>45</v>
      </c>
      <c r="H4707" s="411">
        <v>10710</v>
      </c>
      <c r="I4707" s="411">
        <v>0</v>
      </c>
      <c r="J4707" s="258">
        <f>-((H4707*0.0325)+0.3)</f>
        <v>-348.375</v>
      </c>
      <c r="K4707" s="90">
        <f t="shared" ref="K4707:K4714" si="1115">SUM(H4707:J4707)</f>
        <v>10361.625</v>
      </c>
      <c r="L4707" s="158">
        <v>12460</v>
      </c>
      <c r="M4707" s="158">
        <v>30</v>
      </c>
      <c r="N4707" s="91">
        <f t="shared" si="1085"/>
        <v>8752</v>
      </c>
      <c r="O4707" s="411">
        <f t="shared" si="1072"/>
        <v>1609.625</v>
      </c>
      <c r="P4707" s="132" t="s">
        <v>10398</v>
      </c>
      <c r="Q4707" s="232"/>
      <c r="R4707" s="411"/>
      <c r="T4707" s="134" t="s">
        <v>602</v>
      </c>
      <c r="U4707" s="266" t="s">
        <v>10399</v>
      </c>
      <c r="W4707" s="262" t="s">
        <v>10400</v>
      </c>
      <c r="X4707" s="258">
        <f>-((V4707*0.0325)+0.3)</f>
        <v>-0.3</v>
      </c>
      <c r="Y4707" s="90">
        <f t="shared" ref="Y4707" si="1116">SUM(V4707:X4707)</f>
        <v>-0.3</v>
      </c>
      <c r="AA4707" s="218">
        <v>100</v>
      </c>
    </row>
    <row r="4708" spans="1:27" ht="24" x14ac:dyDescent="0.25">
      <c r="A4708" s="405">
        <v>3003666</v>
      </c>
      <c r="B4708" s="406">
        <v>42592</v>
      </c>
      <c r="C4708" s="405" t="s">
        <v>78</v>
      </c>
      <c r="D4708" s="401" t="s">
        <v>10401</v>
      </c>
      <c r="E4708" s="120">
        <v>40</v>
      </c>
      <c r="F4708" s="133" t="s">
        <v>300</v>
      </c>
      <c r="G4708" s="404" t="s">
        <v>45</v>
      </c>
      <c r="H4708" s="411">
        <v>180</v>
      </c>
      <c r="I4708" s="89">
        <v>0</v>
      </c>
      <c r="J4708" s="258">
        <f t="shared" ref="J4708" si="1117">-((H4708*0.019)+0.3)</f>
        <v>-3.7199999999999998</v>
      </c>
      <c r="K4708" s="396">
        <f t="shared" si="1115"/>
        <v>176.28</v>
      </c>
      <c r="L4708" s="131">
        <v>2150</v>
      </c>
      <c r="M4708" s="187">
        <v>18.920000000000002</v>
      </c>
      <c r="N4708" s="91">
        <f t="shared" si="1085"/>
        <v>104.92</v>
      </c>
      <c r="O4708" s="411">
        <f t="shared" si="1072"/>
        <v>71.36</v>
      </c>
      <c r="P4708" s="132" t="s">
        <v>52</v>
      </c>
      <c r="Q4708" s="232"/>
      <c r="R4708" s="411"/>
      <c r="T4708" s="172" t="s">
        <v>145</v>
      </c>
      <c r="U4708" s="259" t="s">
        <v>10402</v>
      </c>
      <c r="W4708" s="153" t="s">
        <v>10403</v>
      </c>
      <c r="AA4708" s="218"/>
    </row>
    <row r="4709" spans="1:27" ht="24" x14ac:dyDescent="0.25">
      <c r="A4709" s="405">
        <v>3003667</v>
      </c>
      <c r="B4709" s="406">
        <v>42592</v>
      </c>
      <c r="C4709" s="405" t="s">
        <v>237</v>
      </c>
      <c r="D4709" s="401" t="s">
        <v>10404</v>
      </c>
      <c r="E4709" s="120">
        <v>100</v>
      </c>
      <c r="F4709" s="133" t="s">
        <v>161</v>
      </c>
      <c r="G4709" s="404" t="s">
        <v>45</v>
      </c>
      <c r="H4709" s="411">
        <v>246.51</v>
      </c>
      <c r="I4709" s="397">
        <f t="shared" ref="I4709:I4714" si="1118">-(H4709*0.15)</f>
        <v>-36.976499999999994</v>
      </c>
      <c r="J4709" s="411">
        <v>0</v>
      </c>
      <c r="K4709" s="90">
        <f t="shared" si="1115"/>
        <v>209.5335</v>
      </c>
      <c r="M4709" s="187">
        <v>38.450000000000003</v>
      </c>
      <c r="N4709" s="91">
        <f t="shared" si="1085"/>
        <v>38.450000000000003</v>
      </c>
      <c r="O4709" s="411">
        <f t="shared" si="1072"/>
        <v>171.08350000000002</v>
      </c>
      <c r="P4709" s="132" t="s">
        <v>52</v>
      </c>
      <c r="Q4709" s="232"/>
      <c r="R4709" s="411"/>
      <c r="T4709" s="172" t="s">
        <v>145</v>
      </c>
      <c r="U4709" s="259">
        <v>665651740060</v>
      </c>
      <c r="AA4709" s="218"/>
    </row>
    <row r="4710" spans="1:27" ht="24" x14ac:dyDescent="0.25">
      <c r="A4710" s="405">
        <v>3003668</v>
      </c>
      <c r="B4710" s="406">
        <v>42592</v>
      </c>
      <c r="C4710" s="405" t="s">
        <v>237</v>
      </c>
      <c r="D4710" s="401" t="s">
        <v>10405</v>
      </c>
      <c r="E4710" s="120">
        <v>200</v>
      </c>
      <c r="F4710" s="157" t="s">
        <v>10406</v>
      </c>
      <c r="G4710" s="404" t="s">
        <v>45</v>
      </c>
      <c r="H4710" s="411">
        <v>440</v>
      </c>
      <c r="I4710" s="397">
        <f t="shared" si="1118"/>
        <v>-66</v>
      </c>
      <c r="J4710" s="411">
        <v>0</v>
      </c>
      <c r="K4710" s="90">
        <f t="shared" si="1115"/>
        <v>374</v>
      </c>
      <c r="L4710" s="187">
        <v>29.7</v>
      </c>
      <c r="M4710" s="187">
        <v>19.2</v>
      </c>
      <c r="N4710" s="91">
        <f t="shared" si="1085"/>
        <v>25.14</v>
      </c>
      <c r="O4710" s="411">
        <f t="shared" si="1072"/>
        <v>348.86</v>
      </c>
      <c r="P4710" s="132" t="s">
        <v>52</v>
      </c>
      <c r="Q4710" s="232"/>
      <c r="R4710" s="411"/>
      <c r="T4710" s="172" t="s">
        <v>145</v>
      </c>
      <c r="U4710" s="259" t="s">
        <v>10407</v>
      </c>
      <c r="AA4710" s="218"/>
    </row>
    <row r="4711" spans="1:27" ht="24" x14ac:dyDescent="0.25">
      <c r="A4711" s="405">
        <v>3003669</v>
      </c>
      <c r="B4711" s="406">
        <v>42592</v>
      </c>
      <c r="C4711" s="405" t="s">
        <v>237</v>
      </c>
      <c r="D4711" s="401" t="s">
        <v>10408</v>
      </c>
      <c r="E4711" s="120">
        <v>100</v>
      </c>
      <c r="F4711" s="133" t="s">
        <v>323</v>
      </c>
      <c r="G4711" s="404" t="s">
        <v>45</v>
      </c>
      <c r="H4711" s="411">
        <v>100</v>
      </c>
      <c r="I4711" s="397">
        <f t="shared" si="1118"/>
        <v>-15</v>
      </c>
      <c r="J4711" s="411">
        <v>0</v>
      </c>
      <c r="K4711" s="90">
        <f t="shared" si="1115"/>
        <v>85</v>
      </c>
      <c r="M4711" s="187">
        <v>23.25</v>
      </c>
      <c r="N4711" s="91">
        <f t="shared" si="1085"/>
        <v>23.25</v>
      </c>
      <c r="O4711" s="411">
        <f t="shared" si="1072"/>
        <v>61.75</v>
      </c>
      <c r="P4711" s="132" t="s">
        <v>52</v>
      </c>
      <c r="Q4711" s="232"/>
      <c r="R4711" s="411"/>
      <c r="T4711" s="134" t="s">
        <v>145</v>
      </c>
      <c r="U4711" s="267" t="s">
        <v>10409</v>
      </c>
      <c r="AA4711" s="218"/>
    </row>
    <row r="4712" spans="1:27" ht="24" x14ac:dyDescent="0.25">
      <c r="A4712" s="405">
        <v>3003670</v>
      </c>
      <c r="B4712" s="406">
        <v>42592</v>
      </c>
      <c r="C4712" s="405" t="s">
        <v>237</v>
      </c>
      <c r="D4712" s="401" t="s">
        <v>10410</v>
      </c>
      <c r="E4712" s="120">
        <v>100</v>
      </c>
      <c r="F4712" s="133" t="s">
        <v>10411</v>
      </c>
      <c r="G4712" s="404" t="s">
        <v>45</v>
      </c>
      <c r="H4712" s="411">
        <v>180.18</v>
      </c>
      <c r="I4712" s="397">
        <f t="shared" si="1118"/>
        <v>-27.027000000000001</v>
      </c>
      <c r="J4712" s="411">
        <v>0</v>
      </c>
      <c r="K4712" s="90">
        <f t="shared" si="1115"/>
        <v>153.15300000000002</v>
      </c>
      <c r="L4712" s="187">
        <v>1180</v>
      </c>
      <c r="M4712" s="187">
        <v>23.78</v>
      </c>
      <c r="N4712" s="91">
        <f t="shared" si="1085"/>
        <v>141.78</v>
      </c>
      <c r="O4712" s="411">
        <f t="shared" si="1072"/>
        <v>11.373000000000019</v>
      </c>
      <c r="P4712" s="132" t="s">
        <v>601</v>
      </c>
      <c r="Q4712" s="232"/>
      <c r="R4712" s="411"/>
      <c r="T4712" s="134" t="s">
        <v>145</v>
      </c>
      <c r="U4712" s="267" t="s">
        <v>10412</v>
      </c>
      <c r="AA4712" s="218"/>
    </row>
    <row r="4713" spans="1:27" ht="24" x14ac:dyDescent="0.25">
      <c r="A4713" s="405">
        <v>3003671</v>
      </c>
      <c r="B4713" s="406">
        <v>38939</v>
      </c>
      <c r="C4713" s="405" t="s">
        <v>237</v>
      </c>
      <c r="D4713" s="401" t="s">
        <v>10413</v>
      </c>
      <c r="E4713" s="120">
        <v>100</v>
      </c>
      <c r="F4713" s="133" t="s">
        <v>161</v>
      </c>
      <c r="G4713" s="404" t="s">
        <v>45</v>
      </c>
      <c r="H4713" s="411">
        <v>248</v>
      </c>
      <c r="I4713" s="397">
        <f t="shared" si="1118"/>
        <v>-37.199999999999996</v>
      </c>
      <c r="J4713" s="411">
        <v>0</v>
      </c>
      <c r="K4713" s="90">
        <f t="shared" si="1115"/>
        <v>210.8</v>
      </c>
      <c r="M4713" s="187">
        <v>49.46</v>
      </c>
      <c r="N4713" s="91">
        <f t="shared" si="1085"/>
        <v>49.46</v>
      </c>
      <c r="O4713" s="411">
        <f t="shared" si="1072"/>
        <v>161.34</v>
      </c>
      <c r="P4713" s="132" t="s">
        <v>52</v>
      </c>
      <c r="Q4713" s="232"/>
      <c r="R4713" s="411"/>
      <c r="T4713" s="172" t="s">
        <v>145</v>
      </c>
      <c r="U4713" s="259">
        <v>665651740070</v>
      </c>
      <c r="AA4713" s="218"/>
    </row>
    <row r="4714" spans="1:27" ht="24" x14ac:dyDescent="0.25">
      <c r="A4714" s="260">
        <v>3003672</v>
      </c>
      <c r="B4714" s="406">
        <v>42592</v>
      </c>
      <c r="C4714" s="405" t="s">
        <v>237</v>
      </c>
      <c r="D4714" s="401" t="s">
        <v>10414</v>
      </c>
      <c r="E4714" s="120">
        <v>150</v>
      </c>
      <c r="F4714" s="133" t="s">
        <v>247</v>
      </c>
      <c r="G4714" s="404" t="s">
        <v>45</v>
      </c>
      <c r="H4714" s="411">
        <v>176.42</v>
      </c>
      <c r="I4714" s="397">
        <f t="shared" si="1118"/>
        <v>-26.462999999999997</v>
      </c>
      <c r="J4714" s="411">
        <v>0</v>
      </c>
      <c r="K4714" s="90">
        <f t="shared" si="1115"/>
        <v>149.95699999999999</v>
      </c>
      <c r="M4714" s="187">
        <v>51.63</v>
      </c>
      <c r="N4714" s="91">
        <f t="shared" si="1085"/>
        <v>51.63</v>
      </c>
      <c r="O4714" s="411">
        <f t="shared" si="1072"/>
        <v>98.326999999999998</v>
      </c>
      <c r="P4714" s="132" t="s">
        <v>52</v>
      </c>
      <c r="Q4714" s="232"/>
      <c r="R4714" s="411"/>
      <c r="T4714" s="134" t="s">
        <v>145</v>
      </c>
      <c r="U4714" s="266" t="s">
        <v>10415</v>
      </c>
      <c r="AA4714" s="218"/>
    </row>
    <row r="4715" spans="1:27" x14ac:dyDescent="0.25">
      <c r="A4715" s="405">
        <v>3003673</v>
      </c>
      <c r="B4715" s="406">
        <v>42592</v>
      </c>
      <c r="C4715" s="405" t="s">
        <v>5682</v>
      </c>
      <c r="D4715" s="401" t="s">
        <v>10416</v>
      </c>
      <c r="E4715" s="120">
        <v>1000</v>
      </c>
      <c r="F4715" s="133" t="s">
        <v>10417</v>
      </c>
      <c r="G4715" s="404" t="s">
        <v>45</v>
      </c>
      <c r="H4715" s="411">
        <v>1590</v>
      </c>
      <c r="I4715" s="89">
        <f t="shared" ref="I4715" si="1119">-(H4715*0.09)</f>
        <v>-143.1</v>
      </c>
      <c r="J4715" s="258">
        <f t="shared" ref="J4715" si="1120">-((H4715*0.019)+0.3)</f>
        <v>-30.51</v>
      </c>
      <c r="K4715" s="90">
        <f t="shared" ref="K4715" si="1121">SUM(H4715:J4715)</f>
        <v>1416.39</v>
      </c>
      <c r="L4715" s="187">
        <v>1148</v>
      </c>
      <c r="M4715" s="187">
        <v>117.19</v>
      </c>
      <c r="N4715" s="91">
        <f t="shared" si="1085"/>
        <v>1265.19</v>
      </c>
      <c r="O4715" s="411">
        <f t="shared" si="1072"/>
        <v>151.20000000000005</v>
      </c>
      <c r="P4715" s="132" t="s">
        <v>66</v>
      </c>
      <c r="Q4715" s="232"/>
      <c r="R4715" s="411"/>
      <c r="T4715" s="134" t="s">
        <v>67</v>
      </c>
      <c r="U4715" s="267" t="s">
        <v>10418</v>
      </c>
      <c r="AA4715" s="218"/>
    </row>
    <row r="4716" spans="1:27" x14ac:dyDescent="0.25">
      <c r="A4716" s="405">
        <v>3003674</v>
      </c>
      <c r="B4716" s="406">
        <v>42592</v>
      </c>
      <c r="C4716" s="405" t="s">
        <v>5682</v>
      </c>
      <c r="D4716" s="401" t="s">
        <v>10419</v>
      </c>
      <c r="E4716" s="120">
        <v>225</v>
      </c>
      <c r="F4716" s="133" t="s">
        <v>198</v>
      </c>
      <c r="G4716" s="404" t="s">
        <v>45</v>
      </c>
      <c r="H4716" s="411">
        <v>650</v>
      </c>
      <c r="I4716" s="411"/>
      <c r="J4716" s="411"/>
      <c r="K4716" s="411"/>
      <c r="M4716" s="187">
        <v>102.18</v>
      </c>
      <c r="N4716" s="91">
        <f t="shared" si="1085"/>
        <v>102.18</v>
      </c>
      <c r="O4716" s="411">
        <f t="shared" si="1072"/>
        <v>-102.18</v>
      </c>
      <c r="P4716" s="132" t="s">
        <v>52</v>
      </c>
      <c r="Q4716" s="232"/>
      <c r="R4716" s="411"/>
      <c r="T4716" s="134" t="s">
        <v>244</v>
      </c>
      <c r="U4716" s="267" t="s">
        <v>10420</v>
      </c>
      <c r="AA4716" s="218"/>
    </row>
    <row r="4717" spans="1:27" ht="24" x14ac:dyDescent="0.25">
      <c r="A4717" s="405">
        <v>3003675</v>
      </c>
      <c r="B4717" s="406">
        <v>42592</v>
      </c>
      <c r="C4717" s="405" t="s">
        <v>63</v>
      </c>
      <c r="D4717" s="401" t="s">
        <v>10421</v>
      </c>
      <c r="E4717" s="120">
        <v>50</v>
      </c>
      <c r="F4717" s="157" t="s">
        <v>10422</v>
      </c>
      <c r="G4717" s="404" t="s">
        <v>45</v>
      </c>
      <c r="H4717" s="411">
        <v>215</v>
      </c>
      <c r="I4717" s="411">
        <v>0</v>
      </c>
      <c r="J4717" s="258">
        <f>-((H4717*0.022)+0.3)</f>
        <v>-5.0299999999999994</v>
      </c>
      <c r="K4717" s="90">
        <f t="shared" ref="K4717" si="1122">SUM(H4717:J4717)</f>
        <v>209.97</v>
      </c>
      <c r="M4717" s="187">
        <v>28.63</v>
      </c>
      <c r="N4717" s="91">
        <f t="shared" si="1085"/>
        <v>28.63</v>
      </c>
      <c r="O4717" s="411">
        <f t="shared" si="1072"/>
        <v>181.34</v>
      </c>
      <c r="P4717" s="132" t="s">
        <v>52</v>
      </c>
      <c r="Q4717" s="232"/>
      <c r="R4717" s="411"/>
      <c r="T4717" s="172" t="s">
        <v>145</v>
      </c>
      <c r="U4717" s="259" t="s">
        <v>10423</v>
      </c>
      <c r="W4717" s="153" t="s">
        <v>10424</v>
      </c>
      <c r="AA4717" s="218"/>
    </row>
    <row r="4718" spans="1:27" x14ac:dyDescent="0.25">
      <c r="A4718" s="260">
        <v>3003676</v>
      </c>
      <c r="B4718" s="406">
        <v>42592</v>
      </c>
      <c r="C4718" s="405" t="s">
        <v>63</v>
      </c>
      <c r="D4718" s="401" t="s">
        <v>10425</v>
      </c>
      <c r="E4718" s="120">
        <v>3000</v>
      </c>
      <c r="F4718" s="133" t="s">
        <v>10426</v>
      </c>
      <c r="G4718" s="404" t="s">
        <v>45</v>
      </c>
      <c r="H4718" s="411">
        <v>2024</v>
      </c>
      <c r="I4718" s="411">
        <v>0</v>
      </c>
      <c r="J4718" s="258">
        <f>-((H4718*0.022)+0.3)</f>
        <v>-44.827999999999996</v>
      </c>
      <c r="K4718" s="90">
        <f t="shared" ref="K4718:K4722" si="1123">SUM(H4718:J4718)</f>
        <v>1979.172</v>
      </c>
      <c r="L4718" s="187">
        <v>279</v>
      </c>
      <c r="M4718" s="187">
        <v>232.08</v>
      </c>
      <c r="N4718" s="91">
        <f t="shared" si="1085"/>
        <v>1069.08</v>
      </c>
      <c r="O4718" s="411">
        <f t="shared" si="1072"/>
        <v>910.0920000000001</v>
      </c>
      <c r="P4718" s="132" t="s">
        <v>313</v>
      </c>
      <c r="Q4718" s="232"/>
      <c r="R4718" s="411"/>
      <c r="T4718" s="135" t="s">
        <v>755</v>
      </c>
      <c r="U4718" s="261" t="s">
        <v>10427</v>
      </c>
      <c r="W4718" s="262" t="s">
        <v>10428</v>
      </c>
      <c r="X4718" s="258">
        <f>-((V4718*0.022)+0.3)</f>
        <v>-0.3</v>
      </c>
      <c r="Y4718" s="90">
        <f t="shared" ref="Y4718" si="1124">SUM(V4718:X4718)</f>
        <v>-0.3</v>
      </c>
      <c r="AA4718" s="218">
        <v>10</v>
      </c>
    </row>
    <row r="4719" spans="1:27" x14ac:dyDescent="0.25">
      <c r="A4719" s="405">
        <v>3003677</v>
      </c>
      <c r="B4719" s="406">
        <v>42592</v>
      </c>
      <c r="C4719" s="405" t="s">
        <v>977</v>
      </c>
      <c r="D4719" s="401" t="s">
        <v>10429</v>
      </c>
      <c r="E4719" s="120">
        <v>10500</v>
      </c>
      <c r="F4719" s="133" t="s">
        <v>9054</v>
      </c>
      <c r="G4719" s="404" t="s">
        <v>45</v>
      </c>
      <c r="H4719" s="411">
        <v>3057.6</v>
      </c>
      <c r="I4719" s="411">
        <v>0</v>
      </c>
      <c r="J4719" s="258">
        <f>-((H4719*0.022)+0.3)</f>
        <v>-67.567199999999985</v>
      </c>
      <c r="K4719" s="90">
        <f t="shared" si="1123"/>
        <v>2990.0328</v>
      </c>
      <c r="L4719" s="187">
        <v>204</v>
      </c>
      <c r="M4719" s="187">
        <v>190.36</v>
      </c>
      <c r="N4719" s="91">
        <f t="shared" si="1085"/>
        <v>2332.36</v>
      </c>
      <c r="O4719" s="411">
        <f t="shared" si="1072"/>
        <v>657.67279999999982</v>
      </c>
      <c r="P4719" s="132" t="s">
        <v>313</v>
      </c>
      <c r="Q4719" s="232"/>
      <c r="R4719" s="411"/>
      <c r="T4719" s="134" t="s">
        <v>503</v>
      </c>
      <c r="U4719" s="266">
        <v>22403301</v>
      </c>
      <c r="V4719" s="133" t="s">
        <v>55</v>
      </c>
      <c r="W4719" s="153" t="s">
        <v>10430</v>
      </c>
      <c r="AA4719" s="218">
        <v>10</v>
      </c>
    </row>
    <row r="4720" spans="1:27" ht="36" x14ac:dyDescent="0.25">
      <c r="A4720" s="405">
        <v>3003678</v>
      </c>
      <c r="B4720" s="406">
        <v>42592</v>
      </c>
      <c r="C4720" s="405" t="s">
        <v>56</v>
      </c>
      <c r="D4720" s="401" t="s">
        <v>10308</v>
      </c>
      <c r="E4720" s="120">
        <v>57</v>
      </c>
      <c r="F4720" s="133" t="s">
        <v>10431</v>
      </c>
      <c r="G4720" s="404" t="s">
        <v>45</v>
      </c>
      <c r="H4720" s="411">
        <v>302.10000000000002</v>
      </c>
      <c r="I4720" s="411">
        <v>0</v>
      </c>
      <c r="J4720" s="411">
        <v>0</v>
      </c>
      <c r="K4720" s="90">
        <f t="shared" si="1123"/>
        <v>302.10000000000002</v>
      </c>
      <c r="N4720" s="91">
        <f t="shared" si="1085"/>
        <v>0</v>
      </c>
      <c r="O4720" s="411">
        <f t="shared" si="1072"/>
        <v>302.10000000000002</v>
      </c>
      <c r="P4720" s="132" t="s">
        <v>52</v>
      </c>
      <c r="Q4720" s="232"/>
      <c r="R4720" s="411"/>
      <c r="T4720" s="134" t="s">
        <v>324</v>
      </c>
      <c r="U4720" s="267" t="s">
        <v>10432</v>
      </c>
      <c r="V4720" s="133" t="s">
        <v>10433</v>
      </c>
      <c r="AA4720" s="218"/>
    </row>
    <row r="4721" spans="1:27" ht="24" x14ac:dyDescent="0.25">
      <c r="A4721" s="405">
        <v>3003679</v>
      </c>
      <c r="B4721" s="406">
        <v>42593</v>
      </c>
      <c r="C4721" s="405" t="s">
        <v>237</v>
      </c>
      <c r="D4721" s="401" t="s">
        <v>10434</v>
      </c>
      <c r="E4721" s="120">
        <v>100</v>
      </c>
      <c r="F4721" s="119" t="s">
        <v>10435</v>
      </c>
      <c r="G4721" s="404" t="s">
        <v>45</v>
      </c>
      <c r="H4721" s="392">
        <v>173.8</v>
      </c>
      <c r="I4721" s="397">
        <f t="shared" ref="I4721" si="1125">-(H4721*0.15)</f>
        <v>-26.07</v>
      </c>
      <c r="J4721" s="411">
        <v>0</v>
      </c>
      <c r="K4721" s="90">
        <f>SUM(H4721:J4721)</f>
        <v>147.73000000000002</v>
      </c>
      <c r="L4721" s="187">
        <v>775</v>
      </c>
      <c r="M4721" s="187">
        <f>63.97+32.54</f>
        <v>96.509999999999991</v>
      </c>
      <c r="N4721" s="91">
        <f t="shared" si="1085"/>
        <v>174.01</v>
      </c>
      <c r="O4721" s="411">
        <f t="shared" si="1072"/>
        <v>-26.279999999999973</v>
      </c>
      <c r="P4721" s="132" t="s">
        <v>601</v>
      </c>
      <c r="Q4721" s="232"/>
      <c r="R4721" s="411"/>
      <c r="T4721" s="134" t="s">
        <v>145</v>
      </c>
      <c r="U4721" s="267" t="s">
        <v>10436</v>
      </c>
      <c r="AA4721" s="218"/>
    </row>
    <row r="4722" spans="1:27" ht="24" x14ac:dyDescent="0.25">
      <c r="A4722" s="405">
        <v>3003680</v>
      </c>
      <c r="B4722" s="406">
        <v>42593</v>
      </c>
      <c r="C4722" s="405" t="s">
        <v>5682</v>
      </c>
      <c r="D4722" s="401" t="s">
        <v>10437</v>
      </c>
      <c r="E4722" s="120">
        <v>70</v>
      </c>
      <c r="F4722" s="133" t="s">
        <v>300</v>
      </c>
      <c r="G4722" s="404" t="s">
        <v>45</v>
      </c>
      <c r="H4722" s="392">
        <v>330.32</v>
      </c>
      <c r="I4722" s="89">
        <f t="shared" ref="I4722" si="1126">-(H4722*0.09)</f>
        <v>-29.7288</v>
      </c>
      <c r="J4722" s="258">
        <f t="shared" ref="J4722" si="1127">-((H4722*0.019)+0.3)</f>
        <v>-6.5760799999999993</v>
      </c>
      <c r="K4722" s="90">
        <f t="shared" si="1123"/>
        <v>294.01512000000002</v>
      </c>
      <c r="M4722" s="187">
        <v>53.72</v>
      </c>
      <c r="N4722" s="91">
        <f t="shared" si="1085"/>
        <v>53.72</v>
      </c>
      <c r="O4722" s="411">
        <f t="shared" si="1072"/>
        <v>240.29512000000003</v>
      </c>
      <c r="P4722" s="132" t="s">
        <v>52</v>
      </c>
      <c r="Q4722" s="232"/>
      <c r="R4722" s="411"/>
      <c r="T4722" s="134" t="s">
        <v>145</v>
      </c>
      <c r="U4722" s="267" t="s">
        <v>10438</v>
      </c>
      <c r="AA4722" s="218"/>
    </row>
    <row r="4723" spans="1:27" ht="24" x14ac:dyDescent="0.25">
      <c r="A4723" s="405">
        <v>3003681</v>
      </c>
      <c r="B4723" s="406">
        <v>42593</v>
      </c>
      <c r="C4723" s="405" t="s">
        <v>5682</v>
      </c>
      <c r="D4723" s="401" t="s">
        <v>7761</v>
      </c>
      <c r="E4723" s="120">
        <v>100</v>
      </c>
      <c r="F4723" s="133" t="s">
        <v>70</v>
      </c>
      <c r="G4723" s="404" t="s">
        <v>45</v>
      </c>
      <c r="H4723" s="392">
        <v>287</v>
      </c>
      <c r="I4723" s="89">
        <f t="shared" ref="I4723" si="1128">-(H4723*0.09)</f>
        <v>-25.83</v>
      </c>
      <c r="J4723" s="258">
        <f t="shared" ref="J4723" si="1129">-((H4723*0.019)+0.3)</f>
        <v>-5.7530000000000001</v>
      </c>
      <c r="K4723" s="90">
        <f t="shared" ref="K4723" si="1130">SUM(H4723:J4723)</f>
        <v>255.41700000000003</v>
      </c>
      <c r="M4723" s="187">
        <v>53.24</v>
      </c>
      <c r="N4723" s="91">
        <f t="shared" si="1085"/>
        <v>53.24</v>
      </c>
      <c r="O4723" s="411">
        <f t="shared" si="1072"/>
        <v>202.17700000000002</v>
      </c>
      <c r="P4723" s="132" t="s">
        <v>86</v>
      </c>
      <c r="Q4723" s="232"/>
      <c r="R4723" s="411"/>
      <c r="T4723" s="134" t="s">
        <v>145</v>
      </c>
      <c r="U4723" s="267" t="s">
        <v>10439</v>
      </c>
      <c r="AA4723" s="218"/>
    </row>
    <row r="4724" spans="1:27" ht="24" x14ac:dyDescent="0.25">
      <c r="A4724" s="405">
        <v>3003682</v>
      </c>
      <c r="B4724" s="406">
        <v>42593</v>
      </c>
      <c r="C4724" s="405" t="s">
        <v>5682</v>
      </c>
      <c r="D4724" s="401" t="s">
        <v>10440</v>
      </c>
      <c r="E4724" s="120">
        <v>100</v>
      </c>
      <c r="F4724" s="133" t="s">
        <v>1522</v>
      </c>
      <c r="G4724" s="404" t="s">
        <v>45</v>
      </c>
      <c r="H4724" s="392">
        <v>228</v>
      </c>
      <c r="I4724" s="89">
        <f t="shared" ref="I4724" si="1131">-(H4724*0.09)</f>
        <v>-20.52</v>
      </c>
      <c r="J4724" s="258">
        <f t="shared" ref="J4724" si="1132">-((H4724*0.019)+0.3)</f>
        <v>-4.6319999999999997</v>
      </c>
      <c r="K4724" s="90">
        <f t="shared" ref="K4724" si="1133">SUM(H4724:J4724)</f>
        <v>202.84799999999998</v>
      </c>
      <c r="M4724" s="187">
        <v>32.83</v>
      </c>
      <c r="N4724" s="91">
        <f t="shared" si="1085"/>
        <v>32.83</v>
      </c>
      <c r="O4724" s="411">
        <f t="shared" si="1072"/>
        <v>170.01799999999997</v>
      </c>
      <c r="P4724" s="132" t="s">
        <v>52</v>
      </c>
      <c r="Q4724" s="232"/>
      <c r="R4724" s="411"/>
      <c r="T4724" s="172" t="s">
        <v>145</v>
      </c>
      <c r="U4724" s="259" t="s">
        <v>10441</v>
      </c>
      <c r="AA4724" s="218"/>
    </row>
    <row r="4725" spans="1:27" ht="24" x14ac:dyDescent="0.25">
      <c r="A4725" s="405">
        <v>3003683</v>
      </c>
      <c r="B4725" s="406">
        <v>42593</v>
      </c>
      <c r="C4725" s="405" t="s">
        <v>5682</v>
      </c>
      <c r="D4725" s="401" t="s">
        <v>10172</v>
      </c>
      <c r="E4725" s="120">
        <v>250</v>
      </c>
      <c r="F4725" s="119" t="s">
        <v>6341</v>
      </c>
      <c r="G4725" s="404" t="s">
        <v>45</v>
      </c>
      <c r="H4725" s="392">
        <v>177.13</v>
      </c>
      <c r="I4725" s="89">
        <f t="shared" ref="I4725" si="1134">-(H4725*0.09)</f>
        <v>-15.941699999999999</v>
      </c>
      <c r="J4725" s="258">
        <f t="shared" ref="J4725" si="1135">-((H4725*0.019)+0.3)</f>
        <v>-3.6654699999999996</v>
      </c>
      <c r="K4725" s="391">
        <f t="shared" ref="K4725" si="1136">SUM(H4725:J4725)</f>
        <v>157.52283</v>
      </c>
      <c r="L4725" s="187">
        <v>324</v>
      </c>
      <c r="M4725" s="187">
        <v>16.82</v>
      </c>
      <c r="N4725" s="91">
        <f t="shared" si="1085"/>
        <v>97.82</v>
      </c>
      <c r="O4725" s="411">
        <f t="shared" si="1072"/>
        <v>59.702830000000006</v>
      </c>
      <c r="P4725" s="132" t="s">
        <v>313</v>
      </c>
      <c r="Q4725" s="232"/>
      <c r="R4725" s="411"/>
      <c r="T4725" s="172" t="s">
        <v>145</v>
      </c>
      <c r="U4725" s="259">
        <v>566038129</v>
      </c>
      <c r="AA4725" s="218"/>
    </row>
    <row r="4726" spans="1:27" ht="24" x14ac:dyDescent="0.25">
      <c r="A4726" s="405">
        <v>3003684</v>
      </c>
      <c r="B4726" s="406">
        <v>42593</v>
      </c>
      <c r="C4726" s="405" t="s">
        <v>5682</v>
      </c>
      <c r="D4726" s="401" t="s">
        <v>10442</v>
      </c>
      <c r="E4726" s="120">
        <v>200</v>
      </c>
      <c r="F4726" s="119" t="s">
        <v>1547</v>
      </c>
      <c r="G4726" s="404" t="s">
        <v>45</v>
      </c>
      <c r="H4726" s="392">
        <v>210.84</v>
      </c>
      <c r="I4726" s="89">
        <f t="shared" ref="I4726" si="1137">-(H4726*0.09)</f>
        <v>-18.9756</v>
      </c>
      <c r="J4726" s="258">
        <f t="shared" ref="J4726" si="1138">-((H4726*0.019)+0.3)</f>
        <v>-4.3059599999999998</v>
      </c>
      <c r="K4726" s="391">
        <f t="shared" ref="K4726" si="1139">SUM(H4726:J4726)</f>
        <v>187.55843999999999</v>
      </c>
      <c r="M4726" s="187">
        <v>38.97</v>
      </c>
      <c r="N4726" s="91">
        <f t="shared" si="1085"/>
        <v>38.97</v>
      </c>
      <c r="O4726" s="411">
        <f t="shared" si="1072"/>
        <v>148.58843999999999</v>
      </c>
      <c r="P4726" s="132" t="s">
        <v>52</v>
      </c>
      <c r="Q4726" s="232"/>
      <c r="R4726" s="411"/>
      <c r="T4726" s="172" t="s">
        <v>145</v>
      </c>
      <c r="U4726" s="259" t="s">
        <v>10443</v>
      </c>
      <c r="AA4726" s="218"/>
    </row>
    <row r="4727" spans="1:27" ht="24" x14ac:dyDescent="0.25">
      <c r="A4727" s="405">
        <v>3003685</v>
      </c>
      <c r="B4727" s="406">
        <v>42593</v>
      </c>
      <c r="C4727" s="405" t="s">
        <v>5682</v>
      </c>
      <c r="D4727" s="401" t="s">
        <v>10444</v>
      </c>
      <c r="E4727" s="120">
        <v>5</v>
      </c>
      <c r="F4727" s="119" t="s">
        <v>10445</v>
      </c>
      <c r="G4727" s="404" t="s">
        <v>45</v>
      </c>
      <c r="H4727" s="392">
        <v>78.25</v>
      </c>
      <c r="I4727" s="89">
        <f t="shared" ref="I4727" si="1140">-(H4727*0.09)</f>
        <v>-7.0424999999999995</v>
      </c>
      <c r="J4727" s="258">
        <f t="shared" ref="J4727" si="1141">-((H4727*0.019)+0.3)</f>
        <v>-1.7867500000000001</v>
      </c>
      <c r="K4727" s="391">
        <f t="shared" ref="K4727" si="1142">SUM(H4727:J4727)</f>
        <v>69.420749999999998</v>
      </c>
      <c r="L4727" s="187">
        <v>10000</v>
      </c>
      <c r="M4727" s="187">
        <f>60+5+11.66</f>
        <v>76.66</v>
      </c>
      <c r="N4727" s="91">
        <f t="shared" si="1085"/>
        <v>126.66</v>
      </c>
      <c r="O4727" s="411">
        <f t="shared" si="1072"/>
        <v>-57.239249999999998</v>
      </c>
      <c r="P4727" s="132" t="s">
        <v>183</v>
      </c>
      <c r="Q4727" s="232"/>
      <c r="R4727" s="411"/>
      <c r="T4727" s="134" t="s">
        <v>145</v>
      </c>
      <c r="U4727" s="267" t="s">
        <v>10446</v>
      </c>
      <c r="V4727" s="133" t="s">
        <v>10447</v>
      </c>
      <c r="AA4727" s="218"/>
    </row>
    <row r="4728" spans="1:27" ht="24" x14ac:dyDescent="0.25">
      <c r="A4728" s="405">
        <v>3003686</v>
      </c>
      <c r="B4728" s="406">
        <v>42593</v>
      </c>
      <c r="C4728" s="405" t="s">
        <v>5682</v>
      </c>
      <c r="D4728" s="401" t="s">
        <v>10448</v>
      </c>
      <c r="E4728" s="120">
        <v>15</v>
      </c>
      <c r="F4728" s="119" t="s">
        <v>528</v>
      </c>
      <c r="G4728" s="404" t="s">
        <v>45</v>
      </c>
      <c r="H4728" s="392">
        <v>46.45</v>
      </c>
      <c r="I4728" s="89">
        <f t="shared" ref="I4728" si="1143">-(H4728*0.09)</f>
        <v>-4.1805000000000003</v>
      </c>
      <c r="J4728" s="258">
        <f t="shared" ref="J4728" si="1144">-((H4728*0.019)+0.3)</f>
        <v>-1.18255</v>
      </c>
      <c r="K4728" s="391">
        <f t="shared" ref="K4728:K4729" si="1145">SUM(H4728:J4728)</f>
        <v>41.086950000000002</v>
      </c>
      <c r="M4728" s="187">
        <v>20.13</v>
      </c>
      <c r="N4728" s="91">
        <f t="shared" si="1085"/>
        <v>20.13</v>
      </c>
      <c r="O4728" s="411">
        <f t="shared" si="1072"/>
        <v>20.956950000000003</v>
      </c>
      <c r="P4728" s="132" t="s">
        <v>52</v>
      </c>
      <c r="Q4728" s="232"/>
      <c r="R4728" s="411"/>
      <c r="T4728" s="172" t="s">
        <v>145</v>
      </c>
      <c r="U4728" s="259" t="s">
        <v>10443</v>
      </c>
      <c r="AA4728" s="218"/>
    </row>
    <row r="4729" spans="1:27" x14ac:dyDescent="0.25">
      <c r="A4729" s="419">
        <v>3003687</v>
      </c>
      <c r="B4729" s="421">
        <v>42593</v>
      </c>
      <c r="C4729" s="419" t="s">
        <v>63</v>
      </c>
      <c r="D4729" s="417" t="s">
        <v>10449</v>
      </c>
      <c r="E4729" s="120">
        <v>1000</v>
      </c>
      <c r="F4729" s="133" t="s">
        <v>51</v>
      </c>
      <c r="G4729" s="434" t="s">
        <v>45</v>
      </c>
      <c r="H4729" s="427">
        <v>1801</v>
      </c>
      <c r="I4729" s="516">
        <v>0</v>
      </c>
      <c r="J4729" s="523">
        <f>-((H4729*0.022)+0.3)</f>
        <v>-39.921999999999997</v>
      </c>
      <c r="K4729" s="425">
        <f t="shared" si="1145"/>
        <v>1761.078</v>
      </c>
      <c r="L4729" s="187">
        <v>1129</v>
      </c>
      <c r="M4729" s="187">
        <v>162.83000000000001</v>
      </c>
      <c r="N4729" s="91">
        <f t="shared" si="1085"/>
        <v>1291.83</v>
      </c>
      <c r="O4729" s="411">
        <f t="shared" si="1072"/>
        <v>469.24800000000005</v>
      </c>
      <c r="P4729" s="132" t="s">
        <v>723</v>
      </c>
      <c r="Q4729" s="232"/>
      <c r="R4729" s="411"/>
      <c r="T4729" s="134" t="s">
        <v>10450</v>
      </c>
      <c r="U4729" s="267" t="s">
        <v>10451</v>
      </c>
      <c r="V4729" s="133" t="s">
        <v>55</v>
      </c>
      <c r="W4729" s="153" t="s">
        <v>10452</v>
      </c>
      <c r="AA4729" s="595">
        <v>10</v>
      </c>
    </row>
    <row r="4730" spans="1:27" ht="24" x14ac:dyDescent="0.25">
      <c r="A4730" s="420"/>
      <c r="B4730" s="422"/>
      <c r="C4730" s="420"/>
      <c r="D4730" s="418"/>
      <c r="E4730" s="120">
        <v>700</v>
      </c>
      <c r="F4730" s="133" t="s">
        <v>10453</v>
      </c>
      <c r="G4730" s="436"/>
      <c r="H4730" s="428"/>
      <c r="I4730" s="518"/>
      <c r="J4730" s="524"/>
      <c r="K4730" s="426"/>
      <c r="L4730" s="187">
        <v>147</v>
      </c>
      <c r="M4730" s="187">
        <v>25.72</v>
      </c>
      <c r="N4730" s="91">
        <f t="shared" si="1085"/>
        <v>128.62</v>
      </c>
      <c r="O4730" s="411">
        <f t="shared" si="1072"/>
        <v>-128.62</v>
      </c>
      <c r="P4730" s="132" t="s">
        <v>183</v>
      </c>
      <c r="Q4730" s="232"/>
      <c r="R4730" s="411"/>
      <c r="T4730" s="134" t="s">
        <v>145</v>
      </c>
      <c r="U4730" s="267" t="s">
        <v>10454</v>
      </c>
      <c r="AA4730" s="596"/>
    </row>
    <row r="4731" spans="1:27" x14ac:dyDescent="0.25">
      <c r="A4731" s="419">
        <v>3003688</v>
      </c>
      <c r="B4731" s="421">
        <v>42593</v>
      </c>
      <c r="C4731" s="419" t="s">
        <v>9435</v>
      </c>
      <c r="D4731" s="417" t="s">
        <v>9684</v>
      </c>
      <c r="E4731" s="120">
        <v>100</v>
      </c>
      <c r="F4731" s="133" t="s">
        <v>708</v>
      </c>
      <c r="G4731" s="434" t="s">
        <v>45</v>
      </c>
      <c r="H4731" s="427">
        <v>2315</v>
      </c>
      <c r="I4731" s="427">
        <v>0</v>
      </c>
      <c r="J4731" s="425">
        <f t="shared" ref="J4731" si="1146">-((H4731*0.019)+0.3)</f>
        <v>-44.284999999999997</v>
      </c>
      <c r="K4731" s="425">
        <f t="shared" ref="K4731" si="1147">SUM(H4731:J4731)</f>
        <v>2270.7150000000001</v>
      </c>
      <c r="L4731" s="131">
        <v>2500</v>
      </c>
      <c r="M4731" s="187">
        <v>102.19</v>
      </c>
      <c r="N4731" s="91">
        <f t="shared" si="1085"/>
        <v>352.19</v>
      </c>
      <c r="O4731" s="411">
        <f t="shared" si="1072"/>
        <v>1918.5250000000001</v>
      </c>
      <c r="P4731" s="132" t="s">
        <v>52</v>
      </c>
      <c r="Q4731" s="232"/>
      <c r="R4731" s="411"/>
      <c r="T4731" s="134" t="s">
        <v>244</v>
      </c>
      <c r="U4731" s="267" t="s">
        <v>10455</v>
      </c>
      <c r="V4731" s="133" t="s">
        <v>55</v>
      </c>
      <c r="W4731" s="153" t="s">
        <v>9686</v>
      </c>
      <c r="AA4731" s="473">
        <v>10</v>
      </c>
    </row>
    <row r="4732" spans="1:27" x14ac:dyDescent="0.25">
      <c r="A4732" s="420"/>
      <c r="B4732" s="422"/>
      <c r="C4732" s="420"/>
      <c r="D4732" s="418"/>
      <c r="E4732" s="120">
        <v>450</v>
      </c>
      <c r="F4732" s="133" t="s">
        <v>3643</v>
      </c>
      <c r="G4732" s="436"/>
      <c r="H4732" s="428"/>
      <c r="I4732" s="428"/>
      <c r="J4732" s="426"/>
      <c r="K4732" s="426"/>
      <c r="L4732" s="131">
        <v>2500</v>
      </c>
      <c r="M4732" s="187">
        <v>140.69</v>
      </c>
      <c r="N4732" s="91">
        <f t="shared" si="1085"/>
        <v>1265.69</v>
      </c>
      <c r="O4732" s="411">
        <f t="shared" si="1072"/>
        <v>-1265.69</v>
      </c>
      <c r="P4732" s="132" t="s">
        <v>86</v>
      </c>
      <c r="Q4732" s="232"/>
      <c r="R4732" s="411"/>
      <c r="T4732" s="134" t="s">
        <v>503</v>
      </c>
      <c r="U4732" s="267" t="s">
        <v>10456</v>
      </c>
      <c r="V4732" s="133" t="s">
        <v>10457</v>
      </c>
      <c r="AA4732" s="474"/>
    </row>
    <row r="4733" spans="1:27" ht="24" x14ac:dyDescent="0.25">
      <c r="A4733" s="405">
        <v>3003689</v>
      </c>
      <c r="B4733" s="406">
        <v>42593</v>
      </c>
      <c r="C4733" s="405" t="s">
        <v>237</v>
      </c>
      <c r="D4733" s="401" t="s">
        <v>10458</v>
      </c>
      <c r="E4733" s="120">
        <v>250</v>
      </c>
      <c r="F4733" s="133" t="s">
        <v>2238</v>
      </c>
      <c r="G4733" s="404" t="s">
        <v>45</v>
      </c>
      <c r="H4733" s="392">
        <v>116.7</v>
      </c>
      <c r="I4733" s="397">
        <f t="shared" ref="I4733" si="1148">-(H4733*0.15)</f>
        <v>-17.504999999999999</v>
      </c>
      <c r="J4733" s="411">
        <v>0</v>
      </c>
      <c r="K4733" s="90">
        <f>SUM(H4733:J4733)</f>
        <v>99.195000000000007</v>
      </c>
      <c r="M4733" s="187">
        <v>28.02</v>
      </c>
      <c r="N4733" s="91">
        <f t="shared" si="1085"/>
        <v>28.02</v>
      </c>
      <c r="O4733" s="411">
        <f t="shared" si="1072"/>
        <v>71.175000000000011</v>
      </c>
      <c r="P4733" s="132" t="s">
        <v>52</v>
      </c>
      <c r="Q4733" s="232"/>
      <c r="R4733" s="411"/>
      <c r="T4733" s="172" t="s">
        <v>145</v>
      </c>
      <c r="U4733" s="259" t="s">
        <v>10459</v>
      </c>
      <c r="AA4733" s="218"/>
    </row>
    <row r="4734" spans="1:27" x14ac:dyDescent="0.25">
      <c r="A4734" s="405">
        <v>3003690</v>
      </c>
      <c r="B4734" s="406">
        <v>42593</v>
      </c>
      <c r="C4734" s="405" t="s">
        <v>63</v>
      </c>
      <c r="D4734" s="401" t="s">
        <v>10460</v>
      </c>
      <c r="E4734" s="120">
        <v>5265</v>
      </c>
      <c r="F4734" s="133" t="s">
        <v>10461</v>
      </c>
      <c r="G4734" s="404" t="s">
        <v>45</v>
      </c>
      <c r="H4734" s="411">
        <v>2375</v>
      </c>
      <c r="I4734" s="411">
        <v>0</v>
      </c>
      <c r="J4734" s="258">
        <f>-((H4734*0.022)+0.3)</f>
        <v>-52.55</v>
      </c>
      <c r="K4734" s="90">
        <f t="shared" ref="K4734:K4735" si="1149">SUM(H4734:J4734)</f>
        <v>2322.4499999999998</v>
      </c>
      <c r="L4734" s="187">
        <v>250</v>
      </c>
      <c r="M4734" s="187">
        <v>185.32</v>
      </c>
      <c r="N4734" s="91">
        <f t="shared" si="1085"/>
        <v>1501.57</v>
      </c>
      <c r="O4734" s="411">
        <f t="shared" si="1072"/>
        <v>820.87999999999988</v>
      </c>
      <c r="P4734" s="132" t="s">
        <v>2895</v>
      </c>
      <c r="Q4734" s="232"/>
      <c r="R4734" s="411"/>
      <c r="T4734" s="134" t="s">
        <v>97</v>
      </c>
      <c r="U4734" s="267" t="s">
        <v>10462</v>
      </c>
      <c r="V4734" s="133" t="s">
        <v>55</v>
      </c>
      <c r="W4734" s="153" t="s">
        <v>10463</v>
      </c>
      <c r="AA4734" s="218"/>
    </row>
    <row r="4735" spans="1:27" x14ac:dyDescent="0.25">
      <c r="A4735" s="405">
        <v>3003691</v>
      </c>
      <c r="B4735" s="406">
        <v>42593</v>
      </c>
      <c r="C4735" s="405" t="s">
        <v>977</v>
      </c>
      <c r="D4735" s="401" t="s">
        <v>10464</v>
      </c>
      <c r="E4735" s="120">
        <v>2800</v>
      </c>
      <c r="F4735" s="133" t="s">
        <v>899</v>
      </c>
      <c r="G4735" s="404" t="s">
        <v>45</v>
      </c>
      <c r="H4735" s="411">
        <v>8960</v>
      </c>
      <c r="I4735" s="411">
        <v>0</v>
      </c>
      <c r="J4735" s="258">
        <f>-((H4735*0.022)+0.3)</f>
        <v>-197.42</v>
      </c>
      <c r="K4735" s="90">
        <f t="shared" si="1149"/>
        <v>8762.58</v>
      </c>
      <c r="L4735" s="187">
        <v>2350</v>
      </c>
      <c r="M4735" s="158">
        <v>0</v>
      </c>
      <c r="N4735" s="91">
        <f t="shared" si="1085"/>
        <v>6580.0000000000009</v>
      </c>
      <c r="O4735" s="411">
        <f t="shared" si="1072"/>
        <v>2182.579999999999</v>
      </c>
      <c r="P4735" s="132" t="s">
        <v>66</v>
      </c>
      <c r="Q4735" s="232"/>
      <c r="R4735" s="411"/>
      <c r="T4735" s="134" t="s">
        <v>314</v>
      </c>
      <c r="U4735" s="266">
        <v>4217347945</v>
      </c>
      <c r="W4735" s="153" t="s">
        <v>10465</v>
      </c>
      <c r="AA4735" s="218">
        <v>80</v>
      </c>
    </row>
    <row r="4736" spans="1:27" x14ac:dyDescent="0.25">
      <c r="A4736" s="405">
        <v>3003692</v>
      </c>
      <c r="B4736" s="406">
        <v>42593</v>
      </c>
      <c r="C4736" s="405" t="s">
        <v>9435</v>
      </c>
      <c r="D4736" s="401" t="s">
        <v>3790</v>
      </c>
      <c r="E4736" s="120">
        <v>225</v>
      </c>
      <c r="F4736" s="133" t="s">
        <v>10422</v>
      </c>
      <c r="G4736" s="404" t="s">
        <v>45</v>
      </c>
      <c r="H4736" s="411">
        <v>1077.8599999999999</v>
      </c>
      <c r="I4736" s="411">
        <v>0</v>
      </c>
      <c r="J4736" s="258">
        <f>-((H4736*0.022)+0.3)</f>
        <v>-24.012919999999998</v>
      </c>
      <c r="K4736" s="90">
        <f t="shared" ref="K4736:K4738" si="1150">SUM(H4736:J4736)</f>
        <v>1053.84708</v>
      </c>
      <c r="M4736" s="187">
        <v>165.99</v>
      </c>
      <c r="N4736" s="91">
        <f t="shared" si="1085"/>
        <v>165.99</v>
      </c>
      <c r="O4736" s="411">
        <f t="shared" si="1072"/>
        <v>887.85708</v>
      </c>
      <c r="P4736" s="132" t="s">
        <v>52</v>
      </c>
      <c r="Q4736" s="232"/>
      <c r="R4736" s="411"/>
      <c r="T4736" s="134" t="s">
        <v>760</v>
      </c>
      <c r="U4736" s="266">
        <v>32878790</v>
      </c>
      <c r="W4736" s="153" t="s">
        <v>10466</v>
      </c>
      <c r="AA4736" s="218"/>
    </row>
    <row r="4737" spans="1:27" ht="24" x14ac:dyDescent="0.25">
      <c r="A4737" s="405">
        <v>3003693</v>
      </c>
      <c r="B4737" s="406">
        <v>42593</v>
      </c>
      <c r="C4737" s="405" t="s">
        <v>237</v>
      </c>
      <c r="D4737" s="401" t="s">
        <v>6512</v>
      </c>
      <c r="E4737" s="120">
        <v>1000</v>
      </c>
      <c r="F4737" s="133" t="s">
        <v>6500</v>
      </c>
      <c r="G4737" s="404" t="s">
        <v>45</v>
      </c>
      <c r="H4737" s="411">
        <v>614.79</v>
      </c>
      <c r="I4737" s="397">
        <f t="shared" ref="I4737" si="1151">-(H4737*0.15)</f>
        <v>-92.218499999999992</v>
      </c>
      <c r="J4737" s="411">
        <v>0</v>
      </c>
      <c r="K4737" s="90">
        <f>SUM(H4737:J4737)</f>
        <v>522.57150000000001</v>
      </c>
      <c r="M4737" s="187">
        <v>62.15</v>
      </c>
      <c r="N4737" s="91">
        <f t="shared" si="1085"/>
        <v>62.15</v>
      </c>
      <c r="O4737" s="411">
        <f t="shared" si="1072"/>
        <v>460.42150000000004</v>
      </c>
      <c r="P4737" s="132" t="s">
        <v>52</v>
      </c>
      <c r="Q4737" s="232"/>
      <c r="R4737" s="411"/>
      <c r="T4737" s="134" t="s">
        <v>145</v>
      </c>
      <c r="U4737" s="267" t="s">
        <v>10467</v>
      </c>
      <c r="AA4737" s="218"/>
    </row>
    <row r="4738" spans="1:27" ht="24" x14ac:dyDescent="0.25">
      <c r="A4738" s="405">
        <v>3003694</v>
      </c>
      <c r="B4738" s="406">
        <v>42593</v>
      </c>
      <c r="C4738" s="405" t="s">
        <v>5682</v>
      </c>
      <c r="D4738" s="401" t="s">
        <v>10468</v>
      </c>
      <c r="E4738" s="120">
        <v>500</v>
      </c>
      <c r="F4738" s="119" t="s">
        <v>10469</v>
      </c>
      <c r="G4738" s="404" t="s">
        <v>45</v>
      </c>
      <c r="H4738" s="392">
        <v>247</v>
      </c>
      <c r="I4738" s="89">
        <f t="shared" ref="I4738" si="1152">-(H4738*0.09)</f>
        <v>-22.23</v>
      </c>
      <c r="J4738" s="258">
        <f t="shared" ref="J4738" si="1153">-((H4738*0.019)+0.3)</f>
        <v>-4.9929999999999994</v>
      </c>
      <c r="K4738" s="391">
        <f t="shared" si="1150"/>
        <v>219.77700000000002</v>
      </c>
      <c r="L4738" s="131">
        <v>250</v>
      </c>
      <c r="M4738" s="187">
        <v>11.85</v>
      </c>
      <c r="N4738" s="91">
        <f t="shared" si="1085"/>
        <v>136.85</v>
      </c>
      <c r="O4738" s="411">
        <f t="shared" si="1072"/>
        <v>82.927000000000021</v>
      </c>
      <c r="P4738" s="132" t="s">
        <v>183</v>
      </c>
      <c r="Q4738" s="232"/>
      <c r="R4738" s="411"/>
      <c r="T4738" s="134" t="s">
        <v>145</v>
      </c>
      <c r="U4738" s="267" t="s">
        <v>10470</v>
      </c>
      <c r="AA4738" s="218"/>
    </row>
    <row r="4739" spans="1:27" ht="24" x14ac:dyDescent="0.25">
      <c r="A4739" s="405">
        <v>3003695</v>
      </c>
      <c r="B4739" s="406">
        <v>42593</v>
      </c>
      <c r="C4739" s="405" t="s">
        <v>5682</v>
      </c>
      <c r="D4739" s="401" t="s">
        <v>10471</v>
      </c>
      <c r="E4739" s="120">
        <v>500</v>
      </c>
      <c r="F4739" s="119" t="s">
        <v>10472</v>
      </c>
      <c r="G4739" s="404" t="s">
        <v>45</v>
      </c>
      <c r="H4739" s="392">
        <v>89.35</v>
      </c>
      <c r="I4739" s="89">
        <f t="shared" ref="I4739" si="1154">-(H4739*0.09)</f>
        <v>-8.0414999999999992</v>
      </c>
      <c r="J4739" s="258">
        <f t="shared" ref="J4739" si="1155">-((H4739*0.019)+0.3)</f>
        <v>-1.9976499999999999</v>
      </c>
      <c r="K4739" s="391">
        <f t="shared" ref="K4739:K4741" si="1156">SUM(H4739:J4739)</f>
        <v>79.310850000000002</v>
      </c>
      <c r="L4739" s="187">
        <v>120</v>
      </c>
      <c r="M4739" s="187">
        <v>11.65</v>
      </c>
      <c r="N4739" s="91">
        <f t="shared" si="1085"/>
        <v>71.650000000000006</v>
      </c>
      <c r="O4739" s="411">
        <f t="shared" si="1072"/>
        <v>7.6608499999999964</v>
      </c>
      <c r="P4739" s="132" t="s">
        <v>183</v>
      </c>
      <c r="Q4739" s="232"/>
      <c r="R4739" s="411"/>
      <c r="T4739" s="134" t="s">
        <v>145</v>
      </c>
      <c r="U4739" s="267" t="s">
        <v>10473</v>
      </c>
      <c r="AA4739" s="218"/>
    </row>
    <row r="4740" spans="1:27" x14ac:dyDescent="0.25">
      <c r="A4740" s="405">
        <v>3003696</v>
      </c>
      <c r="B4740" s="406">
        <v>42593</v>
      </c>
      <c r="C4740" s="405" t="s">
        <v>141</v>
      </c>
      <c r="D4740" s="401" t="s">
        <v>10474</v>
      </c>
      <c r="E4740" s="120">
        <v>500</v>
      </c>
      <c r="F4740" s="133" t="s">
        <v>10475</v>
      </c>
      <c r="G4740" s="404" t="s">
        <v>45</v>
      </c>
      <c r="H4740" s="411">
        <v>1700</v>
      </c>
      <c r="I4740" s="411">
        <v>0</v>
      </c>
      <c r="J4740" s="258">
        <f>-((H4740*0.0325)+0.3)</f>
        <v>-55.55</v>
      </c>
      <c r="K4740" s="90">
        <f t="shared" si="1156"/>
        <v>1644.45</v>
      </c>
      <c r="L4740" s="187">
        <v>2390</v>
      </c>
      <c r="M4740" s="187">
        <v>185.18</v>
      </c>
      <c r="N4740" s="91">
        <f t="shared" si="1085"/>
        <v>1380.18</v>
      </c>
      <c r="O4740" s="411">
        <f t="shared" ref="O4740:O4803" si="1157">K4740-N4740</f>
        <v>264.27</v>
      </c>
      <c r="P4740" s="132" t="s">
        <v>59</v>
      </c>
      <c r="Q4740" s="232"/>
      <c r="R4740" s="411"/>
      <c r="T4740" s="134" t="s">
        <v>244</v>
      </c>
      <c r="U4740" s="267" t="s">
        <v>10476</v>
      </c>
      <c r="W4740" s="153" t="s">
        <v>10477</v>
      </c>
      <c r="AA4740" s="218">
        <v>10</v>
      </c>
    </row>
    <row r="4741" spans="1:27" x14ac:dyDescent="0.25">
      <c r="A4741" s="405">
        <v>3003697</v>
      </c>
      <c r="B4741" s="406">
        <v>42593</v>
      </c>
      <c r="C4741" s="405" t="s">
        <v>63</v>
      </c>
      <c r="D4741" s="401" t="s">
        <v>2114</v>
      </c>
      <c r="E4741" s="120">
        <v>10000</v>
      </c>
      <c r="F4741" s="133" t="s">
        <v>10478</v>
      </c>
      <c r="G4741" s="404" t="s">
        <v>45</v>
      </c>
      <c r="H4741" s="411">
        <v>3560</v>
      </c>
      <c r="I4741" s="411">
        <v>0</v>
      </c>
      <c r="J4741" s="258">
        <f>-((H4741*0.022)+0.3)</f>
        <v>-78.61999999999999</v>
      </c>
      <c r="K4741" s="90">
        <f t="shared" si="1156"/>
        <v>3481.38</v>
      </c>
      <c r="L4741" s="187">
        <v>300</v>
      </c>
      <c r="M4741" s="187">
        <v>125.71</v>
      </c>
      <c r="N4741" s="91">
        <f t="shared" si="1085"/>
        <v>3125.71</v>
      </c>
      <c r="O4741" s="411">
        <f t="shared" si="1157"/>
        <v>355.67000000000007</v>
      </c>
      <c r="P4741" s="132" t="s">
        <v>638</v>
      </c>
      <c r="Q4741" s="232"/>
      <c r="R4741" s="411"/>
      <c r="T4741" s="134" t="s">
        <v>717</v>
      </c>
      <c r="U4741" s="267" t="s">
        <v>10479</v>
      </c>
      <c r="W4741" s="153" t="s">
        <v>10480</v>
      </c>
      <c r="AA4741" s="218">
        <v>10</v>
      </c>
    </row>
    <row r="4742" spans="1:27" ht="36" x14ac:dyDescent="0.25">
      <c r="A4742" s="405">
        <v>3003698</v>
      </c>
      <c r="B4742" s="406">
        <v>42593</v>
      </c>
      <c r="C4742" s="405" t="s">
        <v>237</v>
      </c>
      <c r="D4742" s="401" t="s">
        <v>10481</v>
      </c>
      <c r="E4742" s="120">
        <v>150</v>
      </c>
      <c r="F4742" s="119" t="s">
        <v>10482</v>
      </c>
      <c r="G4742" s="404" t="s">
        <v>45</v>
      </c>
      <c r="H4742" s="411">
        <v>270.86</v>
      </c>
      <c r="I4742" s="397">
        <f t="shared" ref="I4742" si="1158">-(H4742*0.15)</f>
        <v>-40.628999999999998</v>
      </c>
      <c r="J4742" s="411">
        <v>0</v>
      </c>
      <c r="K4742" s="90">
        <f>SUM(H4742:J4742)</f>
        <v>230.23100000000002</v>
      </c>
      <c r="L4742" s="131">
        <v>698</v>
      </c>
      <c r="M4742" s="187">
        <v>36.03</v>
      </c>
      <c r="N4742" s="91">
        <f t="shared" si="1085"/>
        <v>140.73000000000002</v>
      </c>
      <c r="O4742" s="411">
        <f t="shared" si="1157"/>
        <v>89.501000000000005</v>
      </c>
      <c r="P4742" s="132" t="s">
        <v>52</v>
      </c>
      <c r="Q4742" s="232"/>
      <c r="R4742" s="411"/>
      <c r="T4742" s="134" t="s">
        <v>145</v>
      </c>
      <c r="U4742" s="267" t="s">
        <v>10483</v>
      </c>
      <c r="AA4742" s="218"/>
    </row>
    <row r="4743" spans="1:27" ht="24" x14ac:dyDescent="0.25">
      <c r="A4743" s="405">
        <v>3003699</v>
      </c>
      <c r="B4743" s="406">
        <v>42593</v>
      </c>
      <c r="C4743" s="405" t="s">
        <v>5682</v>
      </c>
      <c r="D4743" s="401" t="s">
        <v>10484</v>
      </c>
      <c r="E4743" s="120">
        <v>200</v>
      </c>
      <c r="F4743" s="119" t="s">
        <v>3946</v>
      </c>
      <c r="G4743" s="404" t="s">
        <v>45</v>
      </c>
      <c r="H4743" s="392">
        <v>400</v>
      </c>
      <c r="I4743" s="89">
        <f t="shared" ref="I4743" si="1159">-(H4743*0.09)</f>
        <v>-36</v>
      </c>
      <c r="J4743" s="258">
        <f t="shared" ref="J4743" si="1160">-((H4743*0.019)+0.3)</f>
        <v>-7.8999999999999995</v>
      </c>
      <c r="K4743" s="391">
        <f t="shared" ref="K4743:K4746" si="1161">SUM(H4743:J4743)</f>
        <v>356.1</v>
      </c>
      <c r="L4743" s="131">
        <v>660</v>
      </c>
      <c r="M4743" s="187">
        <v>45.69</v>
      </c>
      <c r="N4743" s="91">
        <f t="shared" si="1085"/>
        <v>177.69</v>
      </c>
      <c r="O4743" s="411">
        <f t="shared" si="1157"/>
        <v>178.41000000000003</v>
      </c>
      <c r="P4743" s="132" t="s">
        <v>52</v>
      </c>
      <c r="Q4743" s="232"/>
      <c r="R4743" s="411"/>
      <c r="T4743" s="134" t="s">
        <v>145</v>
      </c>
      <c r="U4743" s="267" t="s">
        <v>10485</v>
      </c>
      <c r="AA4743" s="218"/>
    </row>
    <row r="4744" spans="1:27" ht="36" x14ac:dyDescent="0.25">
      <c r="A4744" s="405">
        <v>3003700</v>
      </c>
      <c r="B4744" s="406">
        <v>42593</v>
      </c>
      <c r="C4744" s="405" t="s">
        <v>237</v>
      </c>
      <c r="D4744" s="401" t="s">
        <v>10486</v>
      </c>
      <c r="E4744" s="120">
        <v>170</v>
      </c>
      <c r="F4744" s="119" t="s">
        <v>10487</v>
      </c>
      <c r="G4744" s="404" t="s">
        <v>45</v>
      </c>
      <c r="H4744" s="411">
        <v>208</v>
      </c>
      <c r="I4744" s="397">
        <f t="shared" ref="I4744" si="1162">-(H4744*0.15)</f>
        <v>-31.2</v>
      </c>
      <c r="J4744" s="411">
        <v>0</v>
      </c>
      <c r="K4744" s="90">
        <f>SUM(H4744:J4744)</f>
        <v>176.8</v>
      </c>
      <c r="L4744" s="187">
        <v>775</v>
      </c>
      <c r="M4744" s="187">
        <v>20.420000000000002</v>
      </c>
      <c r="N4744" s="91">
        <f t="shared" si="1085"/>
        <v>152.17000000000002</v>
      </c>
      <c r="O4744" s="411">
        <f t="shared" si="1157"/>
        <v>24.629999999999995</v>
      </c>
      <c r="P4744" s="132" t="s">
        <v>601</v>
      </c>
      <c r="Q4744" s="232"/>
      <c r="R4744" s="411"/>
      <c r="T4744" s="134" t="s">
        <v>145</v>
      </c>
      <c r="U4744" s="267" t="s">
        <v>10488</v>
      </c>
      <c r="AA4744" s="218"/>
    </row>
    <row r="4745" spans="1:27" x14ac:dyDescent="0.25">
      <c r="A4745" s="405">
        <v>3003701</v>
      </c>
      <c r="B4745" s="406">
        <v>42594</v>
      </c>
      <c r="C4745" s="405" t="s">
        <v>141</v>
      </c>
      <c r="D4745" s="401" t="s">
        <v>10489</v>
      </c>
      <c r="E4745" s="120">
        <v>5000</v>
      </c>
      <c r="F4745" s="133" t="s">
        <v>877</v>
      </c>
      <c r="G4745" s="404" t="s">
        <v>45</v>
      </c>
      <c r="H4745" s="411">
        <v>2350</v>
      </c>
      <c r="I4745" s="411">
        <v>0</v>
      </c>
      <c r="J4745" s="258">
        <f>-((H4745*0.0325)+0.3)</f>
        <v>-76.674999999999997</v>
      </c>
      <c r="K4745" s="90">
        <f t="shared" si="1161"/>
        <v>2273.3249999999998</v>
      </c>
      <c r="L4745" s="131">
        <v>175</v>
      </c>
      <c r="M4745" s="224">
        <v>226.87</v>
      </c>
      <c r="N4745" s="91">
        <f t="shared" si="1085"/>
        <v>1101.8699999999999</v>
      </c>
      <c r="O4745" s="411">
        <f t="shared" si="1157"/>
        <v>1171.4549999999999</v>
      </c>
      <c r="P4745" s="132" t="s">
        <v>86</v>
      </c>
      <c r="Q4745" s="232"/>
      <c r="R4745" s="411"/>
      <c r="T4745" s="134" t="s">
        <v>244</v>
      </c>
      <c r="U4745" s="267" t="s">
        <v>10490</v>
      </c>
      <c r="V4745" s="133" t="s">
        <v>55</v>
      </c>
      <c r="W4745" s="153" t="s">
        <v>10491</v>
      </c>
      <c r="AA4745" s="218">
        <v>10</v>
      </c>
    </row>
    <row r="4746" spans="1:27" x14ac:dyDescent="0.25">
      <c r="A4746" s="405">
        <v>3003702</v>
      </c>
      <c r="B4746" s="406">
        <v>42594</v>
      </c>
      <c r="C4746" s="405" t="s">
        <v>63</v>
      </c>
      <c r="D4746" s="401" t="s">
        <v>10492</v>
      </c>
      <c r="E4746" s="120">
        <v>500</v>
      </c>
      <c r="F4746" s="133" t="s">
        <v>51</v>
      </c>
      <c r="G4746" s="404" t="s">
        <v>45</v>
      </c>
      <c r="H4746" s="411">
        <v>850</v>
      </c>
      <c r="I4746" s="411">
        <v>0</v>
      </c>
      <c r="J4746" s="258">
        <f>-((H4746*0.022)+0.3)</f>
        <v>-19</v>
      </c>
      <c r="K4746" s="90">
        <f t="shared" si="1161"/>
        <v>831</v>
      </c>
      <c r="L4746" s="131">
        <v>1035</v>
      </c>
      <c r="M4746" s="224">
        <v>175.11</v>
      </c>
      <c r="N4746" s="91">
        <f t="shared" si="1085"/>
        <v>692.61</v>
      </c>
      <c r="O4746" s="411">
        <f t="shared" si="1157"/>
        <v>138.38999999999999</v>
      </c>
      <c r="P4746" s="132" t="s">
        <v>52</v>
      </c>
      <c r="Q4746" s="232"/>
      <c r="R4746" s="411"/>
      <c r="T4746" s="134" t="s">
        <v>244</v>
      </c>
      <c r="U4746" s="267" t="s">
        <v>10493</v>
      </c>
      <c r="V4746" s="133" t="s">
        <v>55</v>
      </c>
      <c r="W4746" s="153" t="s">
        <v>10494</v>
      </c>
      <c r="AA4746" s="218"/>
    </row>
    <row r="4747" spans="1:27" ht="24" x14ac:dyDescent="0.25">
      <c r="A4747" s="405">
        <v>3003703</v>
      </c>
      <c r="B4747" s="406">
        <v>42594</v>
      </c>
      <c r="C4747" s="405" t="s">
        <v>5682</v>
      </c>
      <c r="D4747" s="401" t="s">
        <v>10495</v>
      </c>
      <c r="E4747" s="120">
        <v>120</v>
      </c>
      <c r="F4747" s="119" t="s">
        <v>247</v>
      </c>
      <c r="G4747" s="404" t="s">
        <v>45</v>
      </c>
      <c r="H4747" s="392">
        <v>140.4</v>
      </c>
      <c r="I4747" s="89">
        <f t="shared" ref="I4747" si="1163">-(H4747*0.09)</f>
        <v>-12.635999999999999</v>
      </c>
      <c r="J4747" s="258">
        <f t="shared" ref="J4747" si="1164">-((H4747*0.019)+0.3)</f>
        <v>-2.9676</v>
      </c>
      <c r="K4747" s="391">
        <f t="shared" ref="K4747" si="1165">SUM(H4747:J4747)</f>
        <v>124.79640000000001</v>
      </c>
      <c r="M4747" s="187">
        <v>39.19</v>
      </c>
      <c r="N4747" s="91">
        <f t="shared" si="1085"/>
        <v>39.19</v>
      </c>
      <c r="O4747" s="411">
        <f t="shared" si="1157"/>
        <v>85.606400000000008</v>
      </c>
      <c r="P4747" s="132" t="s">
        <v>52</v>
      </c>
      <c r="Q4747" s="232"/>
      <c r="R4747" s="411"/>
      <c r="T4747" s="134" t="s">
        <v>145</v>
      </c>
      <c r="U4747" s="267" t="s">
        <v>10496</v>
      </c>
      <c r="AA4747" s="218"/>
    </row>
    <row r="4748" spans="1:27" ht="24" x14ac:dyDescent="0.25">
      <c r="A4748" s="405">
        <v>3003704</v>
      </c>
      <c r="B4748" s="406">
        <v>42594</v>
      </c>
      <c r="C4748" s="405" t="s">
        <v>5682</v>
      </c>
      <c r="D4748" s="401" t="s">
        <v>10497</v>
      </c>
      <c r="E4748" s="120">
        <v>115</v>
      </c>
      <c r="F4748" s="133" t="s">
        <v>247</v>
      </c>
      <c r="G4748" s="404" t="s">
        <v>45</v>
      </c>
      <c r="H4748" s="392">
        <v>135.05000000000001</v>
      </c>
      <c r="I4748" s="89">
        <f t="shared" ref="I4748" si="1166">-(H4748*0.09)</f>
        <v>-12.154500000000001</v>
      </c>
      <c r="J4748" s="258">
        <f t="shared" ref="J4748" si="1167">-((H4748*0.019)+0.3)</f>
        <v>-2.8659499999999998</v>
      </c>
      <c r="K4748" s="391">
        <f t="shared" ref="K4748" si="1168">SUM(H4748:J4748)</f>
        <v>120.02955000000001</v>
      </c>
      <c r="M4748" s="187">
        <v>23.68</v>
      </c>
      <c r="N4748" s="91">
        <f t="shared" si="1085"/>
        <v>23.68</v>
      </c>
      <c r="O4748" s="411">
        <f t="shared" si="1157"/>
        <v>96.349550000000022</v>
      </c>
      <c r="P4748" s="132" t="s">
        <v>52</v>
      </c>
      <c r="Q4748" s="232"/>
      <c r="R4748" s="411"/>
      <c r="T4748" s="134" t="s">
        <v>145</v>
      </c>
      <c r="U4748" s="267" t="s">
        <v>10498</v>
      </c>
      <c r="AA4748" s="218"/>
    </row>
    <row r="4749" spans="1:27" ht="24" x14ac:dyDescent="0.25">
      <c r="A4749" s="405">
        <v>3003705</v>
      </c>
      <c r="B4749" s="406">
        <v>42594</v>
      </c>
      <c r="C4749" s="405" t="s">
        <v>5682</v>
      </c>
      <c r="D4749" s="401" t="s">
        <v>10499</v>
      </c>
      <c r="E4749" s="120">
        <v>100</v>
      </c>
      <c r="F4749" s="119" t="s">
        <v>217</v>
      </c>
      <c r="G4749" s="404" t="s">
        <v>45</v>
      </c>
      <c r="H4749" s="392">
        <v>248.4</v>
      </c>
      <c r="I4749" s="89">
        <f t="shared" ref="I4749" si="1169">-(H4749*0.09)</f>
        <v>-22.355999999999998</v>
      </c>
      <c r="J4749" s="258">
        <f t="shared" ref="J4749" si="1170">-((H4749*0.019)+0.3)</f>
        <v>-5.0195999999999996</v>
      </c>
      <c r="K4749" s="391">
        <f t="shared" ref="K4749" si="1171">SUM(H4749:J4749)</f>
        <v>221.02440000000001</v>
      </c>
      <c r="M4749" s="187">
        <v>29.38</v>
      </c>
      <c r="N4749" s="91">
        <f t="shared" si="1085"/>
        <v>29.38</v>
      </c>
      <c r="O4749" s="411">
        <f t="shared" si="1157"/>
        <v>191.64440000000002</v>
      </c>
      <c r="P4749" s="132" t="s">
        <v>52</v>
      </c>
      <c r="Q4749" s="232"/>
      <c r="R4749" s="411">
        <v>18.399999999999999</v>
      </c>
      <c r="S4749" s="133" t="s">
        <v>1169</v>
      </c>
      <c r="T4749" s="134" t="s">
        <v>145</v>
      </c>
      <c r="U4749" s="267" t="s">
        <v>10500</v>
      </c>
      <c r="AA4749" s="218"/>
    </row>
    <row r="4750" spans="1:27" ht="24" x14ac:dyDescent="0.25">
      <c r="A4750" s="405">
        <v>3003706</v>
      </c>
      <c r="B4750" s="406">
        <v>42594</v>
      </c>
      <c r="C4750" s="405" t="s">
        <v>5682</v>
      </c>
      <c r="D4750" s="401" t="s">
        <v>10501</v>
      </c>
      <c r="E4750" s="120">
        <v>250</v>
      </c>
      <c r="F4750" s="119" t="s">
        <v>10502</v>
      </c>
      <c r="G4750" s="404" t="s">
        <v>45</v>
      </c>
      <c r="H4750" s="392">
        <v>84</v>
      </c>
      <c r="I4750" s="89">
        <f t="shared" ref="I4750" si="1172">-(H4750*0.09)</f>
        <v>-7.56</v>
      </c>
      <c r="J4750" s="258">
        <f t="shared" ref="J4750" si="1173">-((H4750*0.019)+0.3)</f>
        <v>-1.8959999999999999</v>
      </c>
      <c r="K4750" s="391">
        <f t="shared" ref="K4750:K4752" si="1174">SUM(H4750:J4750)</f>
        <v>74.543999999999997</v>
      </c>
      <c r="M4750" s="187">
        <v>28.45</v>
      </c>
      <c r="N4750" s="91">
        <f t="shared" si="1085"/>
        <v>28.45</v>
      </c>
      <c r="O4750" s="411">
        <f t="shared" si="1157"/>
        <v>46.093999999999994</v>
      </c>
      <c r="P4750" s="132" t="s">
        <v>52</v>
      </c>
      <c r="Q4750" s="232"/>
      <c r="R4750" s="411"/>
      <c r="T4750" s="134" t="s">
        <v>145</v>
      </c>
      <c r="U4750" s="267" t="s">
        <v>10503</v>
      </c>
      <c r="AA4750" s="218"/>
    </row>
    <row r="4751" spans="1:27" ht="24" x14ac:dyDescent="0.25">
      <c r="A4751" s="405">
        <v>3003707</v>
      </c>
      <c r="B4751" s="406">
        <v>42594</v>
      </c>
      <c r="C4751" s="405" t="s">
        <v>237</v>
      </c>
      <c r="D4751" s="401" t="s">
        <v>10504</v>
      </c>
      <c r="E4751" s="120">
        <v>300</v>
      </c>
      <c r="F4751" s="119" t="s">
        <v>605</v>
      </c>
      <c r="G4751" s="404" t="s">
        <v>45</v>
      </c>
      <c r="H4751" s="411">
        <v>359.05</v>
      </c>
      <c r="I4751" s="397">
        <f t="shared" ref="I4751:I4752" si="1175">-(H4751*0.15)</f>
        <v>-53.857500000000002</v>
      </c>
      <c r="J4751" s="411">
        <v>0</v>
      </c>
      <c r="K4751" s="90">
        <f t="shared" si="1174"/>
        <v>305.1925</v>
      </c>
      <c r="M4751" s="187">
        <v>59.81</v>
      </c>
      <c r="N4751" s="91">
        <f t="shared" si="1085"/>
        <v>59.81</v>
      </c>
      <c r="O4751" s="411">
        <f t="shared" si="1157"/>
        <v>245.38249999999999</v>
      </c>
      <c r="P4751" s="132" t="s">
        <v>86</v>
      </c>
      <c r="Q4751" s="232"/>
      <c r="R4751" s="411"/>
      <c r="T4751" s="134" t="s">
        <v>145</v>
      </c>
      <c r="U4751" s="267" t="s">
        <v>10505</v>
      </c>
      <c r="AA4751" s="218"/>
    </row>
    <row r="4752" spans="1:27" ht="24" x14ac:dyDescent="0.25">
      <c r="A4752" s="405">
        <v>3003708</v>
      </c>
      <c r="B4752" s="406">
        <v>42594</v>
      </c>
      <c r="C4752" s="405" t="s">
        <v>237</v>
      </c>
      <c r="D4752" s="401" t="s">
        <v>10506</v>
      </c>
      <c r="E4752" s="120">
        <v>50</v>
      </c>
      <c r="F4752" s="119" t="s">
        <v>10507</v>
      </c>
      <c r="G4752" s="404" t="s">
        <v>45</v>
      </c>
      <c r="H4752" s="411">
        <v>126.97</v>
      </c>
      <c r="I4752" s="397">
        <f t="shared" si="1175"/>
        <v>-19.045500000000001</v>
      </c>
      <c r="J4752" s="411">
        <v>0</v>
      </c>
      <c r="K4752" s="90">
        <f t="shared" si="1174"/>
        <v>107.92449999999999</v>
      </c>
      <c r="M4752" s="187">
        <v>41.44</v>
      </c>
      <c r="N4752" s="91">
        <f t="shared" si="1085"/>
        <v>41.44</v>
      </c>
      <c r="O4752" s="411">
        <f t="shared" si="1157"/>
        <v>66.484499999999997</v>
      </c>
      <c r="P4752" s="132" t="s">
        <v>52</v>
      </c>
      <c r="Q4752" s="232"/>
      <c r="R4752" s="411"/>
      <c r="T4752" s="134" t="s">
        <v>145</v>
      </c>
      <c r="U4752" s="267" t="s">
        <v>10508</v>
      </c>
      <c r="AA4752" s="218"/>
    </row>
    <row r="4753" spans="1:27" x14ac:dyDescent="0.25">
      <c r="A4753" s="419">
        <v>3003709</v>
      </c>
      <c r="B4753" s="421">
        <v>42594</v>
      </c>
      <c r="C4753" s="419" t="s">
        <v>141</v>
      </c>
      <c r="D4753" s="417" t="s">
        <v>10509</v>
      </c>
      <c r="E4753" s="120">
        <v>1000</v>
      </c>
      <c r="F4753" s="133" t="s">
        <v>2491</v>
      </c>
      <c r="G4753" s="434" t="s">
        <v>45</v>
      </c>
      <c r="H4753" s="427">
        <v>3950</v>
      </c>
      <c r="I4753" s="516">
        <v>0</v>
      </c>
      <c r="J4753" s="523">
        <f>-((H4753*0.0325)+0.3)</f>
        <v>-128.67500000000001</v>
      </c>
      <c r="K4753" s="523">
        <f t="shared" ref="K4753" si="1176">SUM(H4753:J4753)</f>
        <v>3821.3249999999998</v>
      </c>
      <c r="L4753" s="187">
        <v>523</v>
      </c>
      <c r="M4753" s="187">
        <v>117.8</v>
      </c>
      <c r="N4753" s="91">
        <f t="shared" si="1085"/>
        <v>640.79999999999995</v>
      </c>
      <c r="O4753" s="411">
        <f t="shared" si="1157"/>
        <v>3180.5249999999996</v>
      </c>
      <c r="P4753" s="132" t="s">
        <v>638</v>
      </c>
      <c r="Q4753" s="232"/>
      <c r="R4753" s="411"/>
      <c r="T4753" s="439" t="s">
        <v>2652</v>
      </c>
      <c r="U4753" s="446" t="s">
        <v>10510</v>
      </c>
      <c r="W4753" s="153" t="s">
        <v>10511</v>
      </c>
      <c r="AA4753" s="473">
        <v>10</v>
      </c>
    </row>
    <row r="4754" spans="1:27" x14ac:dyDescent="0.25">
      <c r="A4754" s="420"/>
      <c r="B4754" s="422"/>
      <c r="C4754" s="420"/>
      <c r="D4754" s="418"/>
      <c r="E4754" s="120">
        <v>2000</v>
      </c>
      <c r="F4754" s="133" t="s">
        <v>2949</v>
      </c>
      <c r="G4754" s="436"/>
      <c r="H4754" s="428"/>
      <c r="I4754" s="518"/>
      <c r="J4754" s="524"/>
      <c r="K4754" s="524"/>
      <c r="L4754" s="187">
        <v>1154</v>
      </c>
      <c r="M4754" s="187">
        <v>161.58000000000001</v>
      </c>
      <c r="N4754" s="91">
        <f t="shared" si="1085"/>
        <v>2469.58</v>
      </c>
      <c r="O4754" s="411">
        <f t="shared" si="1157"/>
        <v>-2469.58</v>
      </c>
      <c r="P4754" s="132" t="s">
        <v>638</v>
      </c>
      <c r="Q4754" s="232"/>
      <c r="R4754" s="411"/>
      <c r="T4754" s="441"/>
      <c r="U4754" s="447"/>
      <c r="AA4754" s="474"/>
    </row>
    <row r="4755" spans="1:27" ht="24" x14ac:dyDescent="0.25">
      <c r="A4755" s="405">
        <v>3003710</v>
      </c>
      <c r="B4755" s="406">
        <v>42594</v>
      </c>
      <c r="C4755" s="405" t="s">
        <v>977</v>
      </c>
      <c r="D4755" s="401" t="s">
        <v>10512</v>
      </c>
      <c r="E4755" s="120">
        <v>250</v>
      </c>
      <c r="F4755" s="133" t="s">
        <v>6171</v>
      </c>
      <c r="G4755" s="404" t="s">
        <v>45</v>
      </c>
      <c r="H4755" s="411">
        <v>573.75</v>
      </c>
      <c r="I4755" s="411">
        <v>0</v>
      </c>
      <c r="J4755" s="258">
        <f>-((H4755*0.022)+0.3)</f>
        <v>-12.922499999999999</v>
      </c>
      <c r="K4755" s="90">
        <f t="shared" ref="K4755:K4756" si="1177">SUM(H4755:J4755)</f>
        <v>560.82749999999999</v>
      </c>
      <c r="L4755" s="131">
        <v>350</v>
      </c>
      <c r="M4755" s="187">
        <v>24.17</v>
      </c>
      <c r="N4755" s="91">
        <f t="shared" si="1085"/>
        <v>111.67</v>
      </c>
      <c r="O4755" s="411">
        <f t="shared" si="1157"/>
        <v>449.15749999999997</v>
      </c>
      <c r="P4755" s="132" t="s">
        <v>52</v>
      </c>
      <c r="Q4755" s="232"/>
      <c r="R4755" s="411"/>
      <c r="T4755" s="134" t="s">
        <v>145</v>
      </c>
      <c r="U4755" s="267" t="s">
        <v>10513</v>
      </c>
      <c r="W4755" s="153" t="s">
        <v>10514</v>
      </c>
      <c r="AA4755" s="218"/>
    </row>
    <row r="4756" spans="1:27" x14ac:dyDescent="0.25">
      <c r="A4756" s="419">
        <v>3003711</v>
      </c>
      <c r="B4756" s="421">
        <v>42594</v>
      </c>
      <c r="C4756" s="419" t="s">
        <v>63</v>
      </c>
      <c r="D4756" s="417" t="s">
        <v>10515</v>
      </c>
      <c r="E4756" s="120">
        <v>500</v>
      </c>
      <c r="F4756" s="133" t="s">
        <v>10431</v>
      </c>
      <c r="G4756" s="434" t="s">
        <v>45</v>
      </c>
      <c r="H4756" s="427">
        <v>9306.4</v>
      </c>
      <c r="I4756" s="516">
        <v>0</v>
      </c>
      <c r="J4756" s="523">
        <f>-((H4756*0.022)+0.3)</f>
        <v>-205.04079999999999</v>
      </c>
      <c r="K4756" s="523">
        <f t="shared" si="1177"/>
        <v>9101.359199999999</v>
      </c>
      <c r="L4756" s="187">
        <v>3840</v>
      </c>
      <c r="N4756" s="91">
        <f t="shared" ref="N4756:N4821" si="1178">((L4756)*(E4756*0.001))+M4756</f>
        <v>1920</v>
      </c>
      <c r="O4756" s="411">
        <f t="shared" si="1157"/>
        <v>7181.359199999999</v>
      </c>
      <c r="P4756" s="132" t="s">
        <v>638</v>
      </c>
      <c r="Q4756" s="232"/>
      <c r="R4756" s="411"/>
      <c r="T4756" s="439" t="s">
        <v>10516</v>
      </c>
      <c r="U4756" s="602">
        <v>594864852</v>
      </c>
      <c r="W4756" s="153" t="s">
        <v>10517</v>
      </c>
      <c r="AA4756" s="473">
        <v>50</v>
      </c>
    </row>
    <row r="4757" spans="1:27" x14ac:dyDescent="0.25">
      <c r="A4757" s="432"/>
      <c r="B4757" s="433"/>
      <c r="C4757" s="432"/>
      <c r="D4757" s="454"/>
      <c r="E4757" s="120">
        <v>485</v>
      </c>
      <c r="F4757" s="133" t="s">
        <v>10431</v>
      </c>
      <c r="G4757" s="435"/>
      <c r="H4757" s="438"/>
      <c r="I4757" s="517"/>
      <c r="J4757" s="534"/>
      <c r="K4757" s="534"/>
      <c r="L4757" s="187">
        <v>3840</v>
      </c>
      <c r="N4757" s="91">
        <f t="shared" si="1178"/>
        <v>1862.3999999999999</v>
      </c>
      <c r="O4757" s="411">
        <f t="shared" si="1157"/>
        <v>-1862.3999999999999</v>
      </c>
      <c r="P4757" s="132" t="s">
        <v>638</v>
      </c>
      <c r="Q4757" s="232"/>
      <c r="R4757" s="411"/>
      <c r="T4757" s="440"/>
      <c r="U4757" s="606"/>
      <c r="AA4757" s="478"/>
    </row>
    <row r="4758" spans="1:27" x14ac:dyDescent="0.25">
      <c r="A4758" s="432"/>
      <c r="B4758" s="433"/>
      <c r="C4758" s="432"/>
      <c r="D4758" s="454"/>
      <c r="E4758" s="120">
        <v>488</v>
      </c>
      <c r="F4758" s="133" t="s">
        <v>10431</v>
      </c>
      <c r="G4758" s="435"/>
      <c r="H4758" s="438"/>
      <c r="I4758" s="517"/>
      <c r="J4758" s="534"/>
      <c r="K4758" s="534"/>
      <c r="L4758" s="187">
        <v>3840</v>
      </c>
      <c r="M4758" s="131">
        <v>0</v>
      </c>
      <c r="N4758" s="91">
        <f t="shared" si="1178"/>
        <v>1873.92</v>
      </c>
      <c r="O4758" s="411">
        <f t="shared" si="1157"/>
        <v>-1873.92</v>
      </c>
      <c r="P4758" s="132" t="s">
        <v>638</v>
      </c>
      <c r="Q4758" s="232"/>
      <c r="R4758" s="411"/>
      <c r="T4758" s="440"/>
      <c r="U4758" s="606"/>
      <c r="AA4758" s="478"/>
    </row>
    <row r="4759" spans="1:27" x14ac:dyDescent="0.25">
      <c r="A4759" s="432"/>
      <c r="B4759" s="433"/>
      <c r="C4759" s="432"/>
      <c r="D4759" s="454"/>
      <c r="E4759" s="120">
        <v>483</v>
      </c>
      <c r="F4759" s="133" t="s">
        <v>10431</v>
      </c>
      <c r="G4759" s="435"/>
      <c r="H4759" s="438"/>
      <c r="I4759" s="517"/>
      <c r="J4759" s="534"/>
      <c r="K4759" s="534"/>
      <c r="L4759" s="187">
        <v>3840</v>
      </c>
      <c r="N4759" s="91">
        <f t="shared" si="1178"/>
        <v>1854.72</v>
      </c>
      <c r="O4759" s="411">
        <f t="shared" si="1157"/>
        <v>-1854.72</v>
      </c>
      <c r="P4759" s="132" t="s">
        <v>638</v>
      </c>
      <c r="Q4759" s="232"/>
      <c r="R4759" s="411"/>
      <c r="T4759" s="440"/>
      <c r="U4759" s="606"/>
      <c r="AA4759" s="478"/>
    </row>
    <row r="4760" spans="1:27" x14ac:dyDescent="0.25">
      <c r="A4760" s="420"/>
      <c r="B4760" s="422"/>
      <c r="C4760" s="420"/>
      <c r="D4760" s="418"/>
      <c r="E4760" s="120">
        <v>140</v>
      </c>
      <c r="F4760" s="133" t="s">
        <v>10431</v>
      </c>
      <c r="G4760" s="436"/>
      <c r="H4760" s="428"/>
      <c r="I4760" s="518"/>
      <c r="J4760" s="524"/>
      <c r="K4760" s="524"/>
      <c r="L4760" s="187">
        <v>3840</v>
      </c>
      <c r="N4760" s="91">
        <f t="shared" si="1178"/>
        <v>537.6</v>
      </c>
      <c r="O4760" s="411">
        <f t="shared" si="1157"/>
        <v>-537.6</v>
      </c>
      <c r="P4760" s="132" t="s">
        <v>638</v>
      </c>
      <c r="Q4760" s="232"/>
      <c r="R4760" s="411"/>
      <c r="T4760" s="441"/>
      <c r="U4760" s="603"/>
      <c r="AA4760" s="474"/>
    </row>
    <row r="4761" spans="1:27" ht="24" x14ac:dyDescent="0.25">
      <c r="A4761" s="405">
        <v>3003712</v>
      </c>
      <c r="B4761" s="406">
        <v>42597</v>
      </c>
      <c r="C4761" s="405" t="s">
        <v>280</v>
      </c>
      <c r="D4761" s="401" t="s">
        <v>10518</v>
      </c>
      <c r="E4761" s="120">
        <v>120</v>
      </c>
      <c r="F4761" s="133" t="s">
        <v>247</v>
      </c>
      <c r="G4761" s="404" t="s">
        <v>45</v>
      </c>
      <c r="H4761" s="411">
        <v>124.5</v>
      </c>
      <c r="I4761" s="411">
        <v>0</v>
      </c>
      <c r="J4761" s="258">
        <f>-((H4761*0.022)+0.3)</f>
        <v>-3.0389999999999997</v>
      </c>
      <c r="K4761" s="90">
        <f t="shared" ref="K4761:K4768" si="1179">SUM(H4761:J4761)</f>
        <v>121.461</v>
      </c>
      <c r="L4761" s="131">
        <v>480</v>
      </c>
      <c r="M4761" s="187">
        <f>24.34</f>
        <v>24.34</v>
      </c>
      <c r="N4761" s="91">
        <f t="shared" si="1178"/>
        <v>81.94</v>
      </c>
      <c r="O4761" s="411">
        <f t="shared" si="1157"/>
        <v>39.521000000000001</v>
      </c>
      <c r="P4761" s="132" t="s">
        <v>52</v>
      </c>
      <c r="Q4761" s="232"/>
      <c r="R4761" s="411"/>
      <c r="T4761" s="134" t="s">
        <v>145</v>
      </c>
      <c r="U4761" s="267" t="s">
        <v>10519</v>
      </c>
      <c r="W4761" s="153" t="s">
        <v>10520</v>
      </c>
      <c r="AA4761" s="218"/>
    </row>
    <row r="4762" spans="1:27" ht="24" x14ac:dyDescent="0.25">
      <c r="A4762" s="405">
        <v>3003713</v>
      </c>
      <c r="B4762" s="406">
        <v>42597</v>
      </c>
      <c r="C4762" s="405" t="s">
        <v>9435</v>
      </c>
      <c r="D4762" s="401" t="s">
        <v>10521</v>
      </c>
      <c r="E4762" s="120">
        <v>100</v>
      </c>
      <c r="F4762" s="133" t="s">
        <v>300</v>
      </c>
      <c r="G4762" s="404" t="s">
        <v>45</v>
      </c>
      <c r="H4762" s="411">
        <v>395</v>
      </c>
      <c r="I4762" s="411">
        <v>0</v>
      </c>
      <c r="J4762" s="258">
        <f>-((H4762*0.022)+0.3)</f>
        <v>-8.99</v>
      </c>
      <c r="K4762" s="90">
        <f t="shared" si="1179"/>
        <v>386.01</v>
      </c>
      <c r="L4762" s="131">
        <v>2150</v>
      </c>
      <c r="M4762" s="187">
        <v>51.86</v>
      </c>
      <c r="N4762" s="91">
        <f t="shared" si="1178"/>
        <v>266.86</v>
      </c>
      <c r="O4762" s="411">
        <f t="shared" si="1157"/>
        <v>119.14999999999998</v>
      </c>
      <c r="P4762" s="132" t="s">
        <v>52</v>
      </c>
      <c r="Q4762" s="232"/>
      <c r="R4762" s="411"/>
      <c r="T4762" s="134" t="s">
        <v>145</v>
      </c>
      <c r="U4762" s="267" t="s">
        <v>10522</v>
      </c>
      <c r="W4762" s="153" t="s">
        <v>10523</v>
      </c>
      <c r="AA4762" s="218"/>
    </row>
    <row r="4763" spans="1:27" x14ac:dyDescent="0.25">
      <c r="A4763" s="405">
        <v>3003714</v>
      </c>
      <c r="B4763" s="406">
        <v>42597</v>
      </c>
      <c r="C4763" s="405" t="s">
        <v>555</v>
      </c>
      <c r="D4763" s="401" t="s">
        <v>10524</v>
      </c>
      <c r="E4763" s="120">
        <v>1</v>
      </c>
      <c r="F4763" s="133" t="s">
        <v>10525</v>
      </c>
      <c r="G4763" s="404" t="s">
        <v>45</v>
      </c>
      <c r="H4763" s="411">
        <v>2931.5</v>
      </c>
      <c r="I4763" s="411">
        <v>0</v>
      </c>
      <c r="J4763" s="411">
        <v>0</v>
      </c>
      <c r="K4763" s="90">
        <f t="shared" si="1179"/>
        <v>2931.5</v>
      </c>
      <c r="L4763" s="131">
        <v>0</v>
      </c>
      <c r="M4763" s="131">
        <v>0</v>
      </c>
      <c r="N4763" s="91">
        <f t="shared" si="1178"/>
        <v>0</v>
      </c>
      <c r="O4763" s="411">
        <f t="shared" si="1157"/>
        <v>2931.5</v>
      </c>
      <c r="P4763" s="132" t="s">
        <v>52</v>
      </c>
      <c r="Q4763" s="232"/>
      <c r="R4763" s="411"/>
      <c r="T4763" s="134"/>
      <c r="U4763" s="266"/>
      <c r="AA4763" s="218"/>
    </row>
    <row r="4764" spans="1:27" x14ac:dyDescent="0.25">
      <c r="A4764" s="405">
        <v>3003715</v>
      </c>
      <c r="B4764" s="406">
        <v>42597</v>
      </c>
      <c r="C4764" s="405" t="s">
        <v>56</v>
      </c>
      <c r="D4764" s="401" t="s">
        <v>1192</v>
      </c>
      <c r="E4764" s="120">
        <v>1000</v>
      </c>
      <c r="F4764" s="133" t="s">
        <v>173</v>
      </c>
      <c r="G4764" s="404" t="s">
        <v>45</v>
      </c>
      <c r="H4764" s="411">
        <v>680</v>
      </c>
      <c r="I4764" s="411">
        <v>0</v>
      </c>
      <c r="J4764" s="411">
        <v>0</v>
      </c>
      <c r="K4764" s="90">
        <f t="shared" si="1179"/>
        <v>680</v>
      </c>
      <c r="L4764" s="131">
        <v>409</v>
      </c>
      <c r="M4764" s="187">
        <v>138.4</v>
      </c>
      <c r="N4764" s="91">
        <f t="shared" si="1178"/>
        <v>547.4</v>
      </c>
      <c r="O4764" s="411">
        <f t="shared" si="1157"/>
        <v>132.60000000000002</v>
      </c>
      <c r="P4764" s="132" t="s">
        <v>52</v>
      </c>
      <c r="Q4764" s="232"/>
      <c r="R4764" s="411"/>
      <c r="T4764" s="134" t="s">
        <v>97</v>
      </c>
      <c r="U4764" s="267" t="s">
        <v>10526</v>
      </c>
      <c r="V4764" s="133" t="s">
        <v>9706</v>
      </c>
      <c r="W4764" s="153" t="s">
        <v>2090</v>
      </c>
      <c r="AA4764" s="218"/>
    </row>
    <row r="4765" spans="1:27" x14ac:dyDescent="0.25">
      <c r="A4765" s="405">
        <v>3003716</v>
      </c>
      <c r="B4765" s="406">
        <v>42597</v>
      </c>
      <c r="C4765" s="405" t="s">
        <v>78</v>
      </c>
      <c r="D4765" s="401" t="s">
        <v>181</v>
      </c>
      <c r="E4765" s="120">
        <v>250</v>
      </c>
      <c r="F4765" s="133" t="s">
        <v>5955</v>
      </c>
      <c r="G4765" s="404" t="s">
        <v>45</v>
      </c>
      <c r="H4765" s="411">
        <v>550</v>
      </c>
      <c r="I4765" s="411">
        <v>0</v>
      </c>
      <c r="J4765" s="258">
        <f t="shared" ref="J4765" si="1180">-((H4765*0.019)+0.3)</f>
        <v>-10.75</v>
      </c>
      <c r="K4765" s="90">
        <f t="shared" si="1179"/>
        <v>539.25</v>
      </c>
      <c r="L4765" s="187">
        <v>988</v>
      </c>
      <c r="M4765" s="187">
        <v>105</v>
      </c>
      <c r="N4765" s="91">
        <f t="shared" si="1178"/>
        <v>352</v>
      </c>
      <c r="O4765" s="411">
        <f t="shared" si="1157"/>
        <v>187.25</v>
      </c>
      <c r="P4765" s="132" t="s">
        <v>183</v>
      </c>
      <c r="Q4765" s="232"/>
      <c r="R4765" s="411"/>
      <c r="T4765" s="134" t="s">
        <v>10527</v>
      </c>
      <c r="U4765" s="267" t="s">
        <v>10528</v>
      </c>
      <c r="W4765" s="153" t="s">
        <v>10529</v>
      </c>
      <c r="AA4765" s="218"/>
    </row>
    <row r="4766" spans="1:27" x14ac:dyDescent="0.25">
      <c r="A4766" s="405">
        <v>3003717</v>
      </c>
      <c r="B4766" s="406">
        <v>42597</v>
      </c>
      <c r="C4766" s="405" t="s">
        <v>141</v>
      </c>
      <c r="D4766" s="401" t="s">
        <v>3960</v>
      </c>
      <c r="E4766" s="120">
        <v>500</v>
      </c>
      <c r="F4766" s="133" t="s">
        <v>161</v>
      </c>
      <c r="G4766" s="404" t="s">
        <v>45</v>
      </c>
      <c r="H4766" s="411">
        <v>1080</v>
      </c>
      <c r="I4766" s="411">
        <v>0</v>
      </c>
      <c r="J4766" s="258">
        <f>-((H4766*0.0325)+0.3)</f>
        <v>-35.4</v>
      </c>
      <c r="K4766" s="90">
        <f t="shared" si="1179"/>
        <v>1044.5999999999999</v>
      </c>
      <c r="L4766" s="131">
        <v>1322</v>
      </c>
      <c r="M4766" s="187">
        <v>113.84</v>
      </c>
      <c r="N4766" s="91">
        <f t="shared" si="1178"/>
        <v>774.84</v>
      </c>
      <c r="O4766" s="411">
        <f t="shared" si="1157"/>
        <v>269.75999999999988</v>
      </c>
      <c r="P4766" s="132" t="s">
        <v>86</v>
      </c>
      <c r="Q4766" s="232"/>
      <c r="R4766" s="411"/>
      <c r="T4766" s="134" t="s">
        <v>244</v>
      </c>
      <c r="U4766" s="267" t="s">
        <v>10530</v>
      </c>
      <c r="V4766" s="133" t="s">
        <v>55</v>
      </c>
      <c r="W4766" s="153" t="s">
        <v>3962</v>
      </c>
      <c r="AA4766" s="218">
        <v>25</v>
      </c>
    </row>
    <row r="4767" spans="1:27" ht="24" x14ac:dyDescent="0.25">
      <c r="A4767" s="405">
        <v>3003718</v>
      </c>
      <c r="B4767" s="406">
        <v>42597</v>
      </c>
      <c r="C4767" s="405" t="s">
        <v>5682</v>
      </c>
      <c r="D4767" s="401" t="s">
        <v>10531</v>
      </c>
      <c r="E4767" s="120">
        <v>250</v>
      </c>
      <c r="F4767" s="133" t="s">
        <v>3946</v>
      </c>
      <c r="G4767" s="404" t="s">
        <v>45</v>
      </c>
      <c r="H4767" s="411">
        <v>431.64</v>
      </c>
      <c r="I4767" s="89">
        <f t="shared" ref="I4767:I4768" si="1181">-(H4767*0.09)</f>
        <v>-38.8476</v>
      </c>
      <c r="J4767" s="258">
        <f t="shared" ref="J4767:J4768" si="1182">-((H4767*0.019)+0.3)</f>
        <v>-8.5011600000000005</v>
      </c>
      <c r="K4767" s="90">
        <f t="shared" si="1179"/>
        <v>384.29123999999996</v>
      </c>
      <c r="M4767" s="187">
        <v>51.68</v>
      </c>
      <c r="N4767" s="91">
        <f t="shared" si="1178"/>
        <v>51.68</v>
      </c>
      <c r="O4767" s="411">
        <f t="shared" si="1157"/>
        <v>332.61123999999995</v>
      </c>
      <c r="P4767" s="132" t="s">
        <v>52</v>
      </c>
      <c r="Q4767" s="232"/>
      <c r="R4767" s="411"/>
      <c r="T4767" s="134" t="s">
        <v>145</v>
      </c>
      <c r="U4767" s="267" t="s">
        <v>10532</v>
      </c>
      <c r="AA4767" s="218"/>
    </row>
    <row r="4768" spans="1:27" ht="24" x14ac:dyDescent="0.25">
      <c r="A4768" s="405">
        <v>3003719</v>
      </c>
      <c r="B4768" s="406">
        <v>42597</v>
      </c>
      <c r="C4768" s="405" t="s">
        <v>5682</v>
      </c>
      <c r="D4768" s="401" t="s">
        <v>10533</v>
      </c>
      <c r="E4768" s="120">
        <v>1500</v>
      </c>
      <c r="F4768" s="133" t="s">
        <v>10534</v>
      </c>
      <c r="G4768" s="404" t="s">
        <v>45</v>
      </c>
      <c r="H4768" s="411">
        <v>1006.2</v>
      </c>
      <c r="I4768" s="89">
        <f t="shared" si="1181"/>
        <v>-90.558000000000007</v>
      </c>
      <c r="J4768" s="258">
        <f t="shared" si="1182"/>
        <v>-19.4178</v>
      </c>
      <c r="K4768" s="90">
        <f t="shared" si="1179"/>
        <v>896.22420000000011</v>
      </c>
      <c r="L4768" s="187">
        <v>325</v>
      </c>
      <c r="M4768" s="187">
        <v>189.29</v>
      </c>
      <c r="N4768" s="91">
        <f t="shared" si="1178"/>
        <v>676.79</v>
      </c>
      <c r="O4768" s="411">
        <f t="shared" si="1157"/>
        <v>219.43420000000015</v>
      </c>
      <c r="P4768" s="132" t="s">
        <v>7593</v>
      </c>
      <c r="Q4768" s="232"/>
      <c r="R4768" s="411"/>
      <c r="T4768" s="134" t="s">
        <v>260</v>
      </c>
      <c r="U4768" s="267" t="s">
        <v>10535</v>
      </c>
      <c r="AA4768" s="218"/>
    </row>
    <row r="4769" spans="1:27" ht="24" x14ac:dyDescent="0.25">
      <c r="A4769" s="405">
        <v>3003720</v>
      </c>
      <c r="B4769" s="406">
        <v>42597</v>
      </c>
      <c r="C4769" s="405" t="s">
        <v>5682</v>
      </c>
      <c r="D4769" s="401" t="s">
        <v>10536</v>
      </c>
      <c r="E4769" s="120">
        <v>100</v>
      </c>
      <c r="F4769" s="133" t="s">
        <v>247</v>
      </c>
      <c r="G4769" s="404" t="s">
        <v>45</v>
      </c>
      <c r="H4769" s="411">
        <v>125.44</v>
      </c>
      <c r="I4769" s="89">
        <f t="shared" ref="I4769" si="1183">-(H4769*0.09)</f>
        <v>-11.2896</v>
      </c>
      <c r="J4769" s="258">
        <f t="shared" ref="J4769" si="1184">-((H4769*0.019)+0.3)</f>
        <v>-2.6833599999999995</v>
      </c>
      <c r="K4769" s="90">
        <f t="shared" ref="K4769" si="1185">SUM(H4769:J4769)</f>
        <v>111.46704</v>
      </c>
      <c r="L4769" s="131">
        <v>480</v>
      </c>
      <c r="M4769" s="187">
        <v>36.01</v>
      </c>
      <c r="N4769" s="91">
        <f t="shared" si="1178"/>
        <v>84.009999999999991</v>
      </c>
      <c r="O4769" s="411">
        <f t="shared" si="1157"/>
        <v>27.457040000000006</v>
      </c>
      <c r="P4769" s="132" t="s">
        <v>52</v>
      </c>
      <c r="Q4769" s="232"/>
      <c r="R4769" s="411"/>
      <c r="T4769" s="134" t="s">
        <v>145</v>
      </c>
      <c r="U4769" s="267" t="s">
        <v>10537</v>
      </c>
      <c r="AA4769" s="218"/>
    </row>
    <row r="4770" spans="1:27" ht="24" x14ac:dyDescent="0.25">
      <c r="A4770" s="405">
        <v>3003721</v>
      </c>
      <c r="B4770" s="406">
        <v>42597</v>
      </c>
      <c r="C4770" s="405" t="s">
        <v>5682</v>
      </c>
      <c r="D4770" s="401" t="s">
        <v>10538</v>
      </c>
      <c r="E4770" s="120">
        <v>500</v>
      </c>
      <c r="F4770" s="133" t="s">
        <v>983</v>
      </c>
      <c r="G4770" s="404" t="s">
        <v>45</v>
      </c>
      <c r="H4770" s="411">
        <v>286.85000000000002</v>
      </c>
      <c r="I4770" s="89">
        <f t="shared" ref="I4770" si="1186">-(H4770*0.09)</f>
        <v>-25.816500000000001</v>
      </c>
      <c r="J4770" s="258">
        <f t="shared" ref="J4770" si="1187">-((H4770*0.019)+0.3)</f>
        <v>-5.7501500000000005</v>
      </c>
      <c r="K4770" s="90">
        <f t="shared" ref="K4770:K4771" si="1188">SUM(H4770:J4770)</f>
        <v>255.28335000000001</v>
      </c>
      <c r="L4770" s="131">
        <v>300</v>
      </c>
      <c r="M4770" s="187">
        <v>33.35</v>
      </c>
      <c r="N4770" s="91">
        <f t="shared" si="1178"/>
        <v>183.35</v>
      </c>
      <c r="O4770" s="411">
        <f t="shared" si="1157"/>
        <v>71.933350000000019</v>
      </c>
      <c r="P4770" s="132" t="s">
        <v>52</v>
      </c>
      <c r="Q4770" s="232"/>
      <c r="R4770" s="411"/>
      <c r="T4770" s="134" t="s">
        <v>145</v>
      </c>
      <c r="U4770" s="267" t="s">
        <v>10539</v>
      </c>
      <c r="AA4770" s="218"/>
    </row>
    <row r="4771" spans="1:27" ht="24" x14ac:dyDescent="0.25">
      <c r="A4771" s="405">
        <v>3003722</v>
      </c>
      <c r="B4771" s="406">
        <v>42597</v>
      </c>
      <c r="C4771" s="405" t="s">
        <v>9435</v>
      </c>
      <c r="D4771" s="401" t="s">
        <v>7876</v>
      </c>
      <c r="E4771" s="120">
        <v>75</v>
      </c>
      <c r="F4771" s="133" t="s">
        <v>10540</v>
      </c>
      <c r="G4771" s="404" t="s">
        <v>45</v>
      </c>
      <c r="H4771" s="411">
        <v>225</v>
      </c>
      <c r="I4771" s="411">
        <v>0</v>
      </c>
      <c r="J4771" s="258">
        <f>-((H4771*0.022)+0.3)</f>
        <v>-5.2499999999999991</v>
      </c>
      <c r="K4771" s="90">
        <f t="shared" si="1188"/>
        <v>219.75</v>
      </c>
      <c r="L4771" s="187">
        <v>950</v>
      </c>
      <c r="M4771" s="187">
        <v>22.88</v>
      </c>
      <c r="N4771" s="91">
        <f t="shared" si="1178"/>
        <v>94.13</v>
      </c>
      <c r="O4771" s="411">
        <f t="shared" si="1157"/>
        <v>125.62</v>
      </c>
      <c r="P4771" s="132" t="s">
        <v>313</v>
      </c>
      <c r="Q4771" s="232"/>
      <c r="R4771" s="411"/>
      <c r="T4771" s="134" t="s">
        <v>145</v>
      </c>
      <c r="U4771" s="267" t="s">
        <v>10541</v>
      </c>
      <c r="W4771" s="153" t="s">
        <v>7879</v>
      </c>
      <c r="AA4771" s="218"/>
    </row>
    <row r="4772" spans="1:27" ht="24" x14ac:dyDescent="0.25">
      <c r="A4772" s="405">
        <v>3003723</v>
      </c>
      <c r="B4772" s="406">
        <v>42597</v>
      </c>
      <c r="C4772" s="405" t="s">
        <v>5682</v>
      </c>
      <c r="D4772" s="401" t="s">
        <v>9655</v>
      </c>
      <c r="E4772" s="120">
        <v>50</v>
      </c>
      <c r="F4772" s="133" t="s">
        <v>161</v>
      </c>
      <c r="G4772" s="404" t="s">
        <v>45</v>
      </c>
      <c r="H4772" s="411">
        <v>134.75</v>
      </c>
      <c r="I4772" s="89">
        <f t="shared" ref="I4772" si="1189">-(H4772*0.09)</f>
        <v>-12.1275</v>
      </c>
      <c r="J4772" s="258">
        <f t="shared" ref="J4772" si="1190">-((H4772*0.019)+0.3)</f>
        <v>-2.8602499999999997</v>
      </c>
      <c r="K4772" s="90">
        <f t="shared" ref="K4772" si="1191">SUM(H4772:J4772)</f>
        <v>119.76225000000001</v>
      </c>
      <c r="L4772" s="131">
        <v>1322</v>
      </c>
      <c r="M4772" s="187">
        <v>17.989999999999998</v>
      </c>
      <c r="N4772" s="91">
        <f t="shared" si="1178"/>
        <v>84.09</v>
      </c>
      <c r="O4772" s="411">
        <f t="shared" si="1157"/>
        <v>35.672250000000005</v>
      </c>
      <c r="P4772" s="132" t="s">
        <v>86</v>
      </c>
      <c r="Q4772" s="232"/>
      <c r="R4772" s="411"/>
      <c r="T4772" s="134" t="s">
        <v>145</v>
      </c>
      <c r="U4772" s="267" t="s">
        <v>10542</v>
      </c>
      <c r="AA4772" s="218"/>
    </row>
    <row r="4773" spans="1:27" x14ac:dyDescent="0.25">
      <c r="A4773" s="405">
        <v>3003724</v>
      </c>
      <c r="B4773" s="406">
        <v>42597</v>
      </c>
      <c r="C4773" s="405" t="s">
        <v>5682</v>
      </c>
      <c r="D4773" s="401" t="s">
        <v>10543</v>
      </c>
      <c r="E4773" s="120">
        <v>250</v>
      </c>
      <c r="F4773" s="133" t="s">
        <v>5955</v>
      </c>
      <c r="G4773" s="404" t="s">
        <v>45</v>
      </c>
      <c r="H4773" s="411">
        <v>474.5</v>
      </c>
      <c r="I4773" s="89">
        <f t="shared" ref="I4773" si="1192">-(H4773*0.09)</f>
        <v>-42.704999999999998</v>
      </c>
      <c r="J4773" s="258">
        <f t="shared" ref="J4773" si="1193">-((H4773*0.019)+0.3)</f>
        <v>-9.3155000000000001</v>
      </c>
      <c r="K4773" s="90">
        <f t="shared" ref="K4773" si="1194">SUM(H4773:J4773)</f>
        <v>422.47950000000003</v>
      </c>
      <c r="L4773" s="187">
        <v>988</v>
      </c>
      <c r="M4773" s="187">
        <v>105</v>
      </c>
      <c r="N4773" s="91">
        <f t="shared" si="1178"/>
        <v>352</v>
      </c>
      <c r="O4773" s="411">
        <f t="shared" si="1157"/>
        <v>70.47950000000003</v>
      </c>
      <c r="P4773" s="132" t="s">
        <v>183</v>
      </c>
      <c r="Q4773" s="232"/>
      <c r="R4773" s="411"/>
      <c r="T4773" s="134" t="s">
        <v>10527</v>
      </c>
      <c r="U4773" s="267" t="s">
        <v>10544</v>
      </c>
      <c r="AA4773" s="218"/>
    </row>
    <row r="4774" spans="1:27" ht="24" x14ac:dyDescent="0.25">
      <c r="A4774" s="405">
        <v>3003725</v>
      </c>
      <c r="B4774" s="406">
        <v>42597</v>
      </c>
      <c r="C4774" s="405" t="s">
        <v>5682</v>
      </c>
      <c r="D4774" s="401" t="s">
        <v>10545</v>
      </c>
      <c r="E4774" s="120">
        <v>5</v>
      </c>
      <c r="F4774" s="133" t="s">
        <v>178</v>
      </c>
      <c r="G4774" s="404" t="s">
        <v>45</v>
      </c>
      <c r="H4774" s="411">
        <v>21.99</v>
      </c>
      <c r="I4774" s="89">
        <f t="shared" ref="I4774" si="1195">-(H4774*0.09)</f>
        <v>-1.9790999999999999</v>
      </c>
      <c r="J4774" s="258">
        <f t="shared" ref="J4774" si="1196">-((H4774*0.019)+0.3)</f>
        <v>-0.71780999999999995</v>
      </c>
      <c r="K4774" s="90">
        <f t="shared" ref="K4774" si="1197">SUM(H4774:J4774)</f>
        <v>19.293089999999999</v>
      </c>
      <c r="L4774" s="131">
        <v>1170</v>
      </c>
      <c r="M4774" s="187">
        <v>17.73</v>
      </c>
      <c r="N4774" s="91">
        <f t="shared" si="1178"/>
        <v>23.580000000000002</v>
      </c>
      <c r="O4774" s="411">
        <f t="shared" si="1157"/>
        <v>-4.2869100000000024</v>
      </c>
      <c r="P4774" s="132" t="s">
        <v>52</v>
      </c>
      <c r="Q4774" s="232"/>
      <c r="R4774" s="411">
        <v>0.74</v>
      </c>
      <c r="S4774" s="133" t="s">
        <v>1396</v>
      </c>
      <c r="T4774" s="134" t="s">
        <v>145</v>
      </c>
      <c r="U4774" s="267" t="s">
        <v>10546</v>
      </c>
      <c r="AA4774" s="218"/>
    </row>
    <row r="4775" spans="1:27" ht="24" x14ac:dyDescent="0.25">
      <c r="A4775" s="405">
        <v>3003726</v>
      </c>
      <c r="B4775" s="406">
        <v>42597</v>
      </c>
      <c r="C4775" s="405" t="s">
        <v>5682</v>
      </c>
      <c r="D4775" s="401" t="s">
        <v>10547</v>
      </c>
      <c r="E4775" s="120">
        <v>55</v>
      </c>
      <c r="F4775" s="133" t="s">
        <v>178</v>
      </c>
      <c r="G4775" s="404" t="s">
        <v>45</v>
      </c>
      <c r="H4775" s="411">
        <v>101.75</v>
      </c>
      <c r="I4775" s="89">
        <f t="shared" ref="I4775" si="1198">-(H4775*0.09)</f>
        <v>-9.1574999999999989</v>
      </c>
      <c r="J4775" s="258">
        <f t="shared" ref="J4775" si="1199">-((H4775*0.019)+0.3)</f>
        <v>-2.23325</v>
      </c>
      <c r="K4775" s="90">
        <f t="shared" ref="K4775" si="1200">SUM(H4775:J4775)</f>
        <v>90.359250000000003</v>
      </c>
      <c r="L4775" s="131">
        <v>1170</v>
      </c>
      <c r="M4775" s="187">
        <v>48.75</v>
      </c>
      <c r="N4775" s="91">
        <f t="shared" si="1178"/>
        <v>113.1</v>
      </c>
      <c r="O4775" s="411">
        <f t="shared" si="1157"/>
        <v>-22.740749999999991</v>
      </c>
      <c r="P4775" s="132" t="s">
        <v>52</v>
      </c>
      <c r="Q4775" s="232"/>
      <c r="R4775" s="411"/>
      <c r="T4775" s="134" t="s">
        <v>145</v>
      </c>
      <c r="U4775" s="267" t="s">
        <v>10548</v>
      </c>
      <c r="AA4775" s="218"/>
    </row>
    <row r="4776" spans="1:27" ht="24" x14ac:dyDescent="0.25">
      <c r="A4776" s="405">
        <v>3003727</v>
      </c>
      <c r="B4776" s="406">
        <v>42597</v>
      </c>
      <c r="C4776" s="405" t="s">
        <v>5682</v>
      </c>
      <c r="D4776" s="401" t="s">
        <v>10083</v>
      </c>
      <c r="E4776" s="120">
        <v>50</v>
      </c>
      <c r="F4776" s="133" t="s">
        <v>431</v>
      </c>
      <c r="G4776" s="404" t="s">
        <v>45</v>
      </c>
      <c r="H4776" s="411">
        <v>118.8</v>
      </c>
      <c r="I4776" s="89">
        <f t="shared" ref="I4776" si="1201">-(H4776*0.09)</f>
        <v>-10.692</v>
      </c>
      <c r="J4776" s="258">
        <f t="shared" ref="J4776" si="1202">-((H4776*0.019)+0.3)</f>
        <v>-2.5571999999999999</v>
      </c>
      <c r="K4776" s="90">
        <f t="shared" ref="K4776" si="1203">SUM(H4776:J4776)</f>
        <v>105.55080000000001</v>
      </c>
      <c r="L4776" s="131">
        <v>990</v>
      </c>
      <c r="M4776" s="187">
        <v>30.81</v>
      </c>
      <c r="N4776" s="91">
        <f t="shared" si="1178"/>
        <v>80.31</v>
      </c>
      <c r="O4776" s="411">
        <f t="shared" si="1157"/>
        <v>25.240800000000007</v>
      </c>
      <c r="P4776" s="132" t="s">
        <v>52</v>
      </c>
      <c r="Q4776" s="232"/>
      <c r="R4776" s="411"/>
      <c r="T4776" s="134" t="s">
        <v>145</v>
      </c>
      <c r="U4776" s="267" t="s">
        <v>10549</v>
      </c>
      <c r="AA4776" s="218"/>
    </row>
    <row r="4777" spans="1:27" ht="24" x14ac:dyDescent="0.25">
      <c r="A4777" s="405">
        <v>3003728</v>
      </c>
      <c r="B4777" s="406">
        <v>42597</v>
      </c>
      <c r="C4777" s="405" t="s">
        <v>5682</v>
      </c>
      <c r="D4777" s="401" t="s">
        <v>10550</v>
      </c>
      <c r="E4777" s="120">
        <v>80</v>
      </c>
      <c r="F4777" s="133" t="s">
        <v>157</v>
      </c>
      <c r="G4777" s="404" t="s">
        <v>45</v>
      </c>
      <c r="H4777" s="411">
        <v>129.6</v>
      </c>
      <c r="I4777" s="89">
        <f t="shared" ref="I4777" si="1204">-(H4777*0.09)</f>
        <v>-11.664</v>
      </c>
      <c r="J4777" s="258">
        <f t="shared" ref="J4777" si="1205">-((H4777*0.019)+0.3)</f>
        <v>-2.7623999999999995</v>
      </c>
      <c r="K4777" s="90">
        <f t="shared" ref="K4777" si="1206">SUM(H4777:J4777)</f>
        <v>115.17359999999999</v>
      </c>
      <c r="L4777" s="131">
        <v>300</v>
      </c>
      <c r="M4777" s="187">
        <v>43.32</v>
      </c>
      <c r="N4777" s="91">
        <f t="shared" si="1178"/>
        <v>67.319999999999993</v>
      </c>
      <c r="O4777" s="411">
        <f t="shared" si="1157"/>
        <v>47.8536</v>
      </c>
      <c r="P4777" s="132" t="s">
        <v>52</v>
      </c>
      <c r="Q4777" s="232"/>
      <c r="R4777" s="411"/>
      <c r="T4777" s="134" t="s">
        <v>145</v>
      </c>
      <c r="U4777" s="267" t="s">
        <v>10551</v>
      </c>
      <c r="AA4777" s="218"/>
    </row>
    <row r="4778" spans="1:27" ht="24" x14ac:dyDescent="0.25">
      <c r="A4778" s="405">
        <v>3003729</v>
      </c>
      <c r="B4778" s="406">
        <v>42597</v>
      </c>
      <c r="C4778" s="405" t="s">
        <v>5682</v>
      </c>
      <c r="D4778" s="401" t="s">
        <v>10552</v>
      </c>
      <c r="E4778" s="120">
        <v>100</v>
      </c>
      <c r="F4778" s="133" t="s">
        <v>176</v>
      </c>
      <c r="G4778" s="404" t="s">
        <v>45</v>
      </c>
      <c r="H4778" s="411">
        <v>343</v>
      </c>
      <c r="I4778" s="89">
        <f t="shared" ref="I4778" si="1207">-(H4778*0.09)</f>
        <v>-30.869999999999997</v>
      </c>
      <c r="J4778" s="258">
        <f t="shared" ref="J4778" si="1208">-((H4778*0.019)+0.3)</f>
        <v>-6.8169999999999993</v>
      </c>
      <c r="K4778" s="90">
        <f t="shared" ref="K4778" si="1209">SUM(H4778:J4778)</f>
        <v>305.31299999999999</v>
      </c>
      <c r="L4778" s="131">
        <v>1693</v>
      </c>
      <c r="M4778" s="187">
        <v>51.11</v>
      </c>
      <c r="N4778" s="91">
        <f t="shared" si="1178"/>
        <v>220.41000000000003</v>
      </c>
      <c r="O4778" s="411">
        <f t="shared" si="1157"/>
        <v>84.902999999999963</v>
      </c>
      <c r="P4778" s="132" t="s">
        <v>52</v>
      </c>
      <c r="Q4778" s="232"/>
      <c r="R4778" s="411"/>
      <c r="T4778" s="134" t="s">
        <v>145</v>
      </c>
      <c r="U4778" s="267" t="s">
        <v>10553</v>
      </c>
      <c r="AA4778" s="218"/>
    </row>
    <row r="4779" spans="1:27" ht="24" x14ac:dyDescent="0.25">
      <c r="A4779" s="405">
        <v>3003730</v>
      </c>
      <c r="B4779" s="406">
        <v>42597</v>
      </c>
      <c r="C4779" s="405" t="s">
        <v>5682</v>
      </c>
      <c r="D4779" s="401" t="s">
        <v>10554</v>
      </c>
      <c r="E4779" s="120">
        <v>50</v>
      </c>
      <c r="F4779" s="133" t="s">
        <v>4183</v>
      </c>
      <c r="G4779" s="404" t="s">
        <v>45</v>
      </c>
      <c r="H4779" s="411">
        <v>139.51</v>
      </c>
      <c r="I4779" s="89">
        <f t="shared" ref="I4779" si="1210">-(H4779*0.09)</f>
        <v>-12.555899999999999</v>
      </c>
      <c r="J4779" s="258">
        <f t="shared" ref="J4779" si="1211">-((H4779*0.019)+0.3)</f>
        <v>-2.9506899999999994</v>
      </c>
      <c r="K4779" s="90">
        <f t="shared" ref="K4779" si="1212">SUM(H4779:J4779)</f>
        <v>124.00341</v>
      </c>
      <c r="L4779" s="187">
        <v>1100</v>
      </c>
      <c r="M4779" s="187">
        <v>22.69</v>
      </c>
      <c r="N4779" s="91">
        <f t="shared" si="1178"/>
        <v>77.69</v>
      </c>
      <c r="O4779" s="411">
        <f t="shared" si="1157"/>
        <v>46.313410000000005</v>
      </c>
      <c r="P4779" s="132" t="s">
        <v>235</v>
      </c>
      <c r="Q4779" s="232"/>
      <c r="R4779" s="411"/>
      <c r="T4779" s="134" t="s">
        <v>145</v>
      </c>
      <c r="U4779" s="267" t="s">
        <v>10555</v>
      </c>
      <c r="AA4779" s="218"/>
    </row>
    <row r="4780" spans="1:27" ht="24" x14ac:dyDescent="0.25">
      <c r="A4780" s="405">
        <v>3003731</v>
      </c>
      <c r="B4780" s="406">
        <v>42597</v>
      </c>
      <c r="C4780" s="405" t="s">
        <v>5682</v>
      </c>
      <c r="D4780" s="401" t="s">
        <v>10556</v>
      </c>
      <c r="E4780" s="120">
        <v>50</v>
      </c>
      <c r="F4780" s="133" t="s">
        <v>431</v>
      </c>
      <c r="G4780" s="404" t="s">
        <v>45</v>
      </c>
      <c r="H4780" s="411">
        <v>128.30000000000001</v>
      </c>
      <c r="I4780" s="89">
        <f t="shared" ref="I4780" si="1213">-(H4780*0.09)</f>
        <v>-11.547000000000001</v>
      </c>
      <c r="J4780" s="258">
        <f t="shared" ref="J4780" si="1214">-((H4780*0.019)+0.3)</f>
        <v>-2.7376999999999998</v>
      </c>
      <c r="K4780" s="90">
        <f t="shared" ref="K4780" si="1215">SUM(H4780:J4780)</f>
        <v>114.01530000000001</v>
      </c>
      <c r="L4780" s="131">
        <v>990</v>
      </c>
      <c r="M4780" s="187">
        <v>20.76</v>
      </c>
      <c r="N4780" s="91">
        <f t="shared" si="1178"/>
        <v>70.260000000000005</v>
      </c>
      <c r="O4780" s="411">
        <f t="shared" si="1157"/>
        <v>43.755300000000005</v>
      </c>
      <c r="P4780" s="132" t="s">
        <v>52</v>
      </c>
      <c r="Q4780" s="232"/>
      <c r="R4780" s="411">
        <v>9.5</v>
      </c>
      <c r="S4780" s="133" t="s">
        <v>3610</v>
      </c>
      <c r="T4780" s="134" t="s">
        <v>145</v>
      </c>
      <c r="U4780" s="267" t="s">
        <v>10557</v>
      </c>
      <c r="AA4780" s="218"/>
    </row>
    <row r="4781" spans="1:27" ht="24" x14ac:dyDescent="0.25">
      <c r="A4781" s="405">
        <v>3003732</v>
      </c>
      <c r="B4781" s="406">
        <v>42597</v>
      </c>
      <c r="C4781" s="405" t="s">
        <v>5682</v>
      </c>
      <c r="D4781" s="401" t="s">
        <v>10558</v>
      </c>
      <c r="E4781" s="120">
        <v>60</v>
      </c>
      <c r="F4781" s="133" t="s">
        <v>165</v>
      </c>
      <c r="G4781" s="404" t="s">
        <v>45</v>
      </c>
      <c r="H4781" s="411">
        <v>71.400000000000006</v>
      </c>
      <c r="I4781" s="89">
        <f t="shared" ref="I4781" si="1216">-(H4781*0.09)</f>
        <v>-6.4260000000000002</v>
      </c>
      <c r="J4781" s="258">
        <f t="shared" ref="J4781" si="1217">-((H4781*0.019)+0.3)</f>
        <v>-1.6566000000000001</v>
      </c>
      <c r="K4781" s="90">
        <f t="shared" ref="K4781" si="1218">SUM(H4781:J4781)</f>
        <v>63.317400000000006</v>
      </c>
      <c r="L4781" s="131">
        <v>375</v>
      </c>
      <c r="M4781" s="187">
        <v>28.7</v>
      </c>
      <c r="N4781" s="91">
        <f t="shared" si="1178"/>
        <v>51.2</v>
      </c>
      <c r="O4781" s="411">
        <f t="shared" si="1157"/>
        <v>12.117400000000004</v>
      </c>
      <c r="P4781" s="132" t="s">
        <v>52</v>
      </c>
      <c r="Q4781" s="232"/>
      <c r="R4781" s="411"/>
      <c r="T4781" s="134" t="s">
        <v>145</v>
      </c>
      <c r="U4781" s="267" t="s">
        <v>10559</v>
      </c>
      <c r="AA4781" s="218"/>
    </row>
    <row r="4782" spans="1:27" ht="24" x14ac:dyDescent="0.25">
      <c r="A4782" s="405">
        <v>3003733</v>
      </c>
      <c r="B4782" s="406">
        <v>42597</v>
      </c>
      <c r="C4782" s="405" t="s">
        <v>5682</v>
      </c>
      <c r="D4782" s="401" t="s">
        <v>10560</v>
      </c>
      <c r="E4782" s="120">
        <v>50</v>
      </c>
      <c r="F4782" s="133" t="s">
        <v>2517</v>
      </c>
      <c r="G4782" s="404" t="s">
        <v>45</v>
      </c>
      <c r="H4782" s="411">
        <v>214.22</v>
      </c>
      <c r="I4782" s="89">
        <f t="shared" ref="I4782" si="1219">-(H4782*0.09)</f>
        <v>-19.279799999999998</v>
      </c>
      <c r="J4782" s="258">
        <f t="shared" ref="J4782" si="1220">-((H4782*0.019)+0.3)</f>
        <v>-4.3701799999999995</v>
      </c>
      <c r="K4782" s="90">
        <f t="shared" ref="K4782" si="1221">SUM(H4782:J4782)</f>
        <v>190.57002</v>
      </c>
      <c r="L4782" s="131">
        <v>2230</v>
      </c>
      <c r="M4782" s="187">
        <v>36.57</v>
      </c>
      <c r="N4782" s="91">
        <f t="shared" si="1178"/>
        <v>148.07</v>
      </c>
      <c r="O4782" s="411">
        <f t="shared" si="1157"/>
        <v>42.500020000000006</v>
      </c>
      <c r="P4782" s="132" t="s">
        <v>52</v>
      </c>
      <c r="Q4782" s="232"/>
      <c r="R4782" s="411"/>
      <c r="T4782" s="134" t="s">
        <v>145</v>
      </c>
      <c r="U4782" s="267" t="s">
        <v>10561</v>
      </c>
      <c r="AA4782" s="218"/>
    </row>
    <row r="4783" spans="1:27" ht="24" x14ac:dyDescent="0.25">
      <c r="A4783" s="405">
        <v>3003734</v>
      </c>
      <c r="B4783" s="406">
        <v>42597</v>
      </c>
      <c r="C4783" s="405" t="s">
        <v>5682</v>
      </c>
      <c r="D4783" s="401" t="s">
        <v>10562</v>
      </c>
      <c r="E4783" s="120">
        <v>500</v>
      </c>
      <c r="F4783" s="133" t="s">
        <v>983</v>
      </c>
      <c r="G4783" s="404" t="s">
        <v>45</v>
      </c>
      <c r="H4783" s="411">
        <v>286.85000000000002</v>
      </c>
      <c r="I4783" s="89">
        <f t="shared" ref="I4783" si="1222">-(H4783*0.09)</f>
        <v>-25.816500000000001</v>
      </c>
      <c r="J4783" s="258">
        <f t="shared" ref="J4783" si="1223">-((H4783*0.019)+0.3)</f>
        <v>-5.7501500000000005</v>
      </c>
      <c r="K4783" s="90">
        <f t="shared" ref="K4783" si="1224">SUM(H4783:J4783)</f>
        <v>255.28335000000001</v>
      </c>
      <c r="L4783" s="131">
        <v>300</v>
      </c>
      <c r="M4783" s="187">
        <v>55.39</v>
      </c>
      <c r="N4783" s="91">
        <f t="shared" si="1178"/>
        <v>205.39</v>
      </c>
      <c r="O4783" s="411">
        <f t="shared" si="1157"/>
        <v>49.893350000000027</v>
      </c>
      <c r="P4783" s="132" t="s">
        <v>52</v>
      </c>
      <c r="Q4783" s="232"/>
      <c r="R4783" s="411"/>
      <c r="T4783" s="134" t="s">
        <v>145</v>
      </c>
      <c r="U4783" s="267" t="s">
        <v>10563</v>
      </c>
      <c r="AA4783" s="218"/>
    </row>
    <row r="4784" spans="1:27" ht="24" x14ac:dyDescent="0.25">
      <c r="A4784" s="405">
        <v>3003735</v>
      </c>
      <c r="B4784" s="406">
        <v>42597</v>
      </c>
      <c r="C4784" s="405" t="s">
        <v>5682</v>
      </c>
      <c r="D4784" s="401" t="s">
        <v>10564</v>
      </c>
      <c r="E4784" s="120">
        <v>150</v>
      </c>
      <c r="F4784" s="133" t="s">
        <v>222</v>
      </c>
      <c r="G4784" s="404" t="s">
        <v>45</v>
      </c>
      <c r="H4784" s="411">
        <v>335.45</v>
      </c>
      <c r="I4784" s="89">
        <f t="shared" ref="I4784" si="1225">-(H4784*0.09)</f>
        <v>-30.190499999999997</v>
      </c>
      <c r="J4784" s="258">
        <f t="shared" ref="J4784:J4785" si="1226">-((H4784*0.019)+0.3)</f>
        <v>-6.6735499999999996</v>
      </c>
      <c r="K4784" s="90">
        <f t="shared" ref="K4784:K4785" si="1227">SUM(H4784:J4784)</f>
        <v>298.58595000000003</v>
      </c>
      <c r="L4784" s="131">
        <v>806</v>
      </c>
      <c r="M4784" s="187">
        <v>46.97</v>
      </c>
      <c r="N4784" s="91">
        <f t="shared" si="1178"/>
        <v>167.87</v>
      </c>
      <c r="O4784" s="411">
        <f t="shared" si="1157"/>
        <v>130.71595000000002</v>
      </c>
      <c r="P4784" s="132" t="s">
        <v>52</v>
      </c>
      <c r="Q4784" s="232"/>
      <c r="R4784" s="411">
        <v>21.95</v>
      </c>
      <c r="S4784" s="133" t="s">
        <v>10565</v>
      </c>
      <c r="T4784" s="134" t="s">
        <v>145</v>
      </c>
      <c r="U4784" s="267" t="s">
        <v>10566</v>
      </c>
      <c r="AA4784" s="218"/>
    </row>
    <row r="4785" spans="1:27" ht="24" x14ac:dyDescent="0.25">
      <c r="A4785" s="405">
        <v>3003736</v>
      </c>
      <c r="B4785" s="406">
        <v>42597</v>
      </c>
      <c r="C4785" s="405" t="s">
        <v>5682</v>
      </c>
      <c r="D4785" s="401" t="s">
        <v>8666</v>
      </c>
      <c r="E4785" s="120">
        <v>200</v>
      </c>
      <c r="F4785" s="133" t="s">
        <v>161</v>
      </c>
      <c r="G4785" s="404" t="s">
        <v>45</v>
      </c>
      <c r="H4785" s="411">
        <v>447.02</v>
      </c>
      <c r="I4785" s="89">
        <f t="shared" ref="I4785:I4790" si="1228">-(H4785*0.09)</f>
        <v>-40.2318</v>
      </c>
      <c r="J4785" s="258">
        <f t="shared" si="1226"/>
        <v>-8.7933800000000009</v>
      </c>
      <c r="K4785" s="90">
        <f t="shared" si="1227"/>
        <v>397.99481999999995</v>
      </c>
      <c r="L4785" s="131">
        <v>1322</v>
      </c>
      <c r="M4785" s="187">
        <v>74.650000000000006</v>
      </c>
      <c r="N4785" s="91">
        <f t="shared" si="1178"/>
        <v>339.05000000000007</v>
      </c>
      <c r="O4785" s="411">
        <f t="shared" si="1157"/>
        <v>58.944819999999879</v>
      </c>
      <c r="P4785" s="132" t="s">
        <v>86</v>
      </c>
      <c r="Q4785" s="232"/>
      <c r="R4785" s="411"/>
      <c r="T4785" s="134" t="s">
        <v>145</v>
      </c>
      <c r="U4785" s="267" t="s">
        <v>10567</v>
      </c>
      <c r="AA4785" s="218"/>
    </row>
    <row r="4786" spans="1:27" ht="24" x14ac:dyDescent="0.25">
      <c r="A4786" s="405">
        <v>3003737</v>
      </c>
      <c r="B4786" s="406">
        <v>42597</v>
      </c>
      <c r="C4786" s="405" t="s">
        <v>5682</v>
      </c>
      <c r="D4786" s="401" t="s">
        <v>10568</v>
      </c>
      <c r="E4786" s="120">
        <v>60</v>
      </c>
      <c r="F4786" s="133" t="s">
        <v>1991</v>
      </c>
      <c r="G4786" s="404" t="s">
        <v>45</v>
      </c>
      <c r="H4786" s="411">
        <v>350.55</v>
      </c>
      <c r="I4786" s="89">
        <f t="shared" si="1228"/>
        <v>-31.549499999999998</v>
      </c>
      <c r="J4786" s="258">
        <f t="shared" ref="J4786" si="1229">-((H4786*0.019)+0.3)</f>
        <v>-6.9604499999999998</v>
      </c>
      <c r="K4786" s="90">
        <f t="shared" ref="K4786" si="1230">SUM(H4786:J4786)</f>
        <v>312.04005000000001</v>
      </c>
      <c r="L4786" s="187">
        <v>3150</v>
      </c>
      <c r="M4786" s="187">
        <f>10+20.55</f>
        <v>30.55</v>
      </c>
      <c r="N4786" s="91">
        <f t="shared" si="1178"/>
        <v>219.55</v>
      </c>
      <c r="O4786" s="411">
        <f t="shared" si="1157"/>
        <v>92.490049999999997</v>
      </c>
      <c r="P4786" s="132" t="s">
        <v>183</v>
      </c>
      <c r="Q4786" s="232"/>
      <c r="R4786" s="411"/>
      <c r="T4786" s="134" t="s">
        <v>145</v>
      </c>
      <c r="U4786" s="267" t="s">
        <v>10569</v>
      </c>
      <c r="V4786" s="133" t="s">
        <v>10227</v>
      </c>
      <c r="AA4786" s="218"/>
    </row>
    <row r="4787" spans="1:27" ht="24" x14ac:dyDescent="0.25">
      <c r="A4787" s="405">
        <v>3003738</v>
      </c>
      <c r="B4787" s="406">
        <v>42597</v>
      </c>
      <c r="C4787" s="405" t="s">
        <v>5682</v>
      </c>
      <c r="D4787" s="401" t="s">
        <v>2031</v>
      </c>
      <c r="E4787" s="120">
        <v>50</v>
      </c>
      <c r="F4787" s="133" t="s">
        <v>288</v>
      </c>
      <c r="G4787" s="404" t="s">
        <v>45</v>
      </c>
      <c r="H4787" s="411">
        <v>107.8</v>
      </c>
      <c r="I4787" s="89">
        <f t="shared" si="1228"/>
        <v>-9.702</v>
      </c>
      <c r="J4787" s="258">
        <f t="shared" ref="J4787" si="1231">-((H4787*0.019)+0.3)</f>
        <v>-2.3481999999999998</v>
      </c>
      <c r="K4787" s="90">
        <f t="shared" ref="K4787" si="1232">SUM(H4787:J4787)</f>
        <v>95.749799999999993</v>
      </c>
      <c r="L4787" s="131">
        <v>950</v>
      </c>
      <c r="M4787" s="187">
        <v>24.65</v>
      </c>
      <c r="N4787" s="91">
        <f t="shared" si="1178"/>
        <v>72.150000000000006</v>
      </c>
      <c r="O4787" s="411">
        <f t="shared" si="1157"/>
        <v>23.599799999999988</v>
      </c>
      <c r="P4787" s="132" t="s">
        <v>52</v>
      </c>
      <c r="Q4787" s="232"/>
      <c r="R4787" s="411"/>
      <c r="T4787" s="134" t="s">
        <v>145</v>
      </c>
      <c r="U4787" s="267" t="s">
        <v>10570</v>
      </c>
      <c r="AA4787" s="218"/>
    </row>
    <row r="4788" spans="1:27" ht="24" x14ac:dyDescent="0.25">
      <c r="A4788" s="405">
        <v>3003739</v>
      </c>
      <c r="B4788" s="406">
        <v>42597</v>
      </c>
      <c r="C4788" s="405" t="s">
        <v>5682</v>
      </c>
      <c r="D4788" s="401" t="s">
        <v>10571</v>
      </c>
      <c r="E4788" s="120">
        <v>1000</v>
      </c>
      <c r="F4788" s="133" t="s">
        <v>2667</v>
      </c>
      <c r="G4788" s="404" t="s">
        <v>45</v>
      </c>
      <c r="H4788" s="411">
        <v>294.25</v>
      </c>
      <c r="I4788" s="89">
        <f t="shared" si="1228"/>
        <v>-26.482499999999998</v>
      </c>
      <c r="J4788" s="258">
        <f t="shared" ref="J4788" si="1233">-((H4788*0.019)+0.3)</f>
        <v>-5.8907499999999997</v>
      </c>
      <c r="K4788" s="90">
        <f t="shared" ref="K4788" si="1234">SUM(H4788:J4788)</f>
        <v>261.87674999999996</v>
      </c>
      <c r="L4788" s="187">
        <v>164</v>
      </c>
      <c r="M4788" s="187">
        <v>28.42</v>
      </c>
      <c r="N4788" s="91">
        <f t="shared" si="1178"/>
        <v>192.42000000000002</v>
      </c>
      <c r="O4788" s="411">
        <f t="shared" si="1157"/>
        <v>69.456749999999943</v>
      </c>
      <c r="P4788" s="132" t="s">
        <v>183</v>
      </c>
      <c r="Q4788" s="232"/>
      <c r="R4788" s="411">
        <v>19.25</v>
      </c>
      <c r="S4788" s="133" t="s">
        <v>10572</v>
      </c>
      <c r="T4788" s="134" t="s">
        <v>145</v>
      </c>
      <c r="U4788" s="267" t="s">
        <v>10573</v>
      </c>
      <c r="AA4788" s="218"/>
    </row>
    <row r="4789" spans="1:27" x14ac:dyDescent="0.25">
      <c r="A4789" s="405">
        <v>3003740</v>
      </c>
      <c r="B4789" s="406">
        <v>42597</v>
      </c>
      <c r="C4789" s="405" t="s">
        <v>5682</v>
      </c>
      <c r="D4789" s="401" t="s">
        <v>8075</v>
      </c>
      <c r="E4789" s="120">
        <v>1000</v>
      </c>
      <c r="F4789" s="133" t="s">
        <v>307</v>
      </c>
      <c r="G4789" s="404" t="s">
        <v>45</v>
      </c>
      <c r="H4789" s="411">
        <v>1250.22</v>
      </c>
      <c r="I4789" s="89">
        <f t="shared" si="1228"/>
        <v>-112.5198</v>
      </c>
      <c r="J4789" s="258">
        <f t="shared" ref="J4789" si="1235">-((H4789*0.019)+0.3)</f>
        <v>-24.054180000000002</v>
      </c>
      <c r="K4789" s="90">
        <f t="shared" ref="K4789" si="1236">SUM(H4789:J4789)</f>
        <v>1113.6460199999999</v>
      </c>
      <c r="L4789" s="187">
        <v>780</v>
      </c>
      <c r="M4789" s="131">
        <v>0</v>
      </c>
      <c r="N4789" s="91">
        <f t="shared" si="1178"/>
        <v>780</v>
      </c>
      <c r="O4789" s="411">
        <f t="shared" si="1157"/>
        <v>333.64601999999991</v>
      </c>
      <c r="P4789" s="132" t="s">
        <v>66</v>
      </c>
      <c r="Q4789" s="232"/>
      <c r="R4789" s="411"/>
      <c r="T4789" s="134" t="s">
        <v>47</v>
      </c>
      <c r="U4789" s="267" t="s">
        <v>10574</v>
      </c>
      <c r="AA4789" s="218"/>
    </row>
    <row r="4790" spans="1:27" ht="24" x14ac:dyDescent="0.25">
      <c r="A4790" s="405">
        <v>3003741</v>
      </c>
      <c r="B4790" s="406">
        <v>42597</v>
      </c>
      <c r="C4790" s="405" t="s">
        <v>5682</v>
      </c>
      <c r="D4790" s="401" t="s">
        <v>10575</v>
      </c>
      <c r="E4790" s="120">
        <v>250</v>
      </c>
      <c r="F4790" s="133" t="s">
        <v>288</v>
      </c>
      <c r="G4790" s="404" t="s">
        <v>45</v>
      </c>
      <c r="H4790" s="411">
        <v>423.62</v>
      </c>
      <c r="I4790" s="89">
        <f t="shared" si="1228"/>
        <v>-38.125799999999998</v>
      </c>
      <c r="J4790" s="258">
        <f t="shared" ref="J4790" si="1237">-((H4790*0.019)+0.3)</f>
        <v>-8.3487800000000014</v>
      </c>
      <c r="K4790" s="90">
        <f t="shared" ref="K4790" si="1238">SUM(H4790:J4790)</f>
        <v>377.14542</v>
      </c>
      <c r="L4790" s="131">
        <v>950</v>
      </c>
      <c r="M4790" s="187">
        <v>51.85</v>
      </c>
      <c r="N4790" s="91">
        <f t="shared" si="1178"/>
        <v>289.35000000000002</v>
      </c>
      <c r="O4790" s="411">
        <f t="shared" si="1157"/>
        <v>87.795419999999979</v>
      </c>
      <c r="P4790" s="132" t="s">
        <v>86</v>
      </c>
      <c r="Q4790" s="232"/>
      <c r="R4790" s="411"/>
      <c r="T4790" s="134" t="s">
        <v>145</v>
      </c>
      <c r="U4790" s="267" t="s">
        <v>10576</v>
      </c>
      <c r="AA4790" s="218"/>
    </row>
    <row r="4791" spans="1:27" ht="24" x14ac:dyDescent="0.25">
      <c r="A4791" s="405">
        <v>3003742</v>
      </c>
      <c r="B4791" s="406">
        <v>42597</v>
      </c>
      <c r="C4791" s="405" t="s">
        <v>237</v>
      </c>
      <c r="D4791" s="401" t="s">
        <v>10577</v>
      </c>
      <c r="E4791" s="120">
        <v>250</v>
      </c>
      <c r="F4791" s="133" t="s">
        <v>247</v>
      </c>
      <c r="G4791" s="404" t="s">
        <v>45</v>
      </c>
      <c r="H4791" s="411">
        <v>252.74</v>
      </c>
      <c r="I4791" s="397">
        <f t="shared" ref="I4791" si="1239">-(H4791*0.15)</f>
        <v>-37.911000000000001</v>
      </c>
      <c r="J4791" s="411">
        <v>0</v>
      </c>
      <c r="K4791" s="90">
        <f t="shared" ref="K4791:K4802" si="1240">SUM(H4791:J4791)</f>
        <v>214.82900000000001</v>
      </c>
      <c r="L4791" s="131">
        <v>480</v>
      </c>
      <c r="M4791" s="187">
        <v>59.24</v>
      </c>
      <c r="N4791" s="91">
        <f t="shared" si="1178"/>
        <v>179.24</v>
      </c>
      <c r="O4791" s="411">
        <f t="shared" si="1157"/>
        <v>35.588999999999999</v>
      </c>
      <c r="P4791" s="132" t="s">
        <v>52</v>
      </c>
      <c r="Q4791" s="232"/>
      <c r="R4791" s="411"/>
      <c r="T4791" s="134" t="s">
        <v>145</v>
      </c>
      <c r="U4791" s="267" t="s">
        <v>10578</v>
      </c>
      <c r="AA4791" s="218"/>
    </row>
    <row r="4792" spans="1:27" ht="24" x14ac:dyDescent="0.25">
      <c r="A4792" s="405">
        <v>3003743</v>
      </c>
      <c r="B4792" s="406">
        <v>42597</v>
      </c>
      <c r="C4792" s="405" t="s">
        <v>237</v>
      </c>
      <c r="D4792" s="401" t="s">
        <v>10579</v>
      </c>
      <c r="E4792" s="120">
        <v>100</v>
      </c>
      <c r="F4792" s="133" t="s">
        <v>161</v>
      </c>
      <c r="G4792" s="404" t="s">
        <v>45</v>
      </c>
      <c r="H4792" s="411">
        <v>228</v>
      </c>
      <c r="I4792" s="397">
        <f t="shared" ref="I4792" si="1241">-(H4792*0.15)</f>
        <v>-34.199999999999996</v>
      </c>
      <c r="J4792" s="411">
        <v>0</v>
      </c>
      <c r="K4792" s="90">
        <f t="shared" si="1240"/>
        <v>193.8</v>
      </c>
      <c r="L4792" s="131">
        <v>1322</v>
      </c>
      <c r="M4792" s="187">
        <v>36.99</v>
      </c>
      <c r="N4792" s="91">
        <f t="shared" si="1178"/>
        <v>169.19000000000003</v>
      </c>
      <c r="O4792" s="411">
        <f t="shared" si="1157"/>
        <v>24.609999999999985</v>
      </c>
      <c r="P4792" s="132" t="s">
        <v>86</v>
      </c>
      <c r="Q4792" s="232"/>
      <c r="R4792" s="411"/>
      <c r="T4792" s="134" t="s">
        <v>145</v>
      </c>
      <c r="U4792" s="267" t="s">
        <v>10580</v>
      </c>
      <c r="AA4792" s="218"/>
    </row>
    <row r="4793" spans="1:27" ht="24" x14ac:dyDescent="0.25">
      <c r="A4793" s="405">
        <v>3003744</v>
      </c>
      <c r="B4793" s="406">
        <v>42597</v>
      </c>
      <c r="C4793" s="405" t="s">
        <v>237</v>
      </c>
      <c r="D4793" s="401" t="s">
        <v>10581</v>
      </c>
      <c r="E4793" s="120">
        <v>225</v>
      </c>
      <c r="F4793" s="133" t="s">
        <v>247</v>
      </c>
      <c r="G4793" s="404" t="s">
        <v>45</v>
      </c>
      <c r="H4793" s="411">
        <v>225</v>
      </c>
      <c r="I4793" s="397">
        <f t="shared" ref="I4793" si="1242">-(H4793*0.15)</f>
        <v>-33.75</v>
      </c>
      <c r="J4793" s="411">
        <v>0</v>
      </c>
      <c r="K4793" s="90">
        <f t="shared" si="1240"/>
        <v>191.25</v>
      </c>
      <c r="L4793" s="131">
        <v>480</v>
      </c>
      <c r="M4793" s="187">
        <v>54.16</v>
      </c>
      <c r="N4793" s="91">
        <f t="shared" si="1178"/>
        <v>162.16</v>
      </c>
      <c r="O4793" s="411">
        <f t="shared" si="1157"/>
        <v>29.090000000000003</v>
      </c>
      <c r="P4793" s="132" t="s">
        <v>52</v>
      </c>
      <c r="Q4793" s="232"/>
      <c r="R4793" s="411"/>
      <c r="T4793" s="134" t="s">
        <v>145</v>
      </c>
      <c r="U4793" s="267" t="s">
        <v>10582</v>
      </c>
      <c r="AA4793" s="218"/>
    </row>
    <row r="4794" spans="1:27" ht="24" x14ac:dyDescent="0.25">
      <c r="A4794" s="405">
        <v>3003745</v>
      </c>
      <c r="B4794" s="406">
        <v>42597</v>
      </c>
      <c r="C4794" s="405" t="s">
        <v>237</v>
      </c>
      <c r="D4794" s="401" t="s">
        <v>10583</v>
      </c>
      <c r="E4794" s="120">
        <v>50</v>
      </c>
      <c r="F4794" s="133" t="s">
        <v>161</v>
      </c>
      <c r="G4794" s="404" t="s">
        <v>45</v>
      </c>
      <c r="H4794" s="411">
        <v>126.97</v>
      </c>
      <c r="I4794" s="397">
        <f t="shared" ref="I4794" si="1243">-(H4794*0.15)</f>
        <v>-19.045500000000001</v>
      </c>
      <c r="J4794" s="411">
        <v>0</v>
      </c>
      <c r="K4794" s="90">
        <f t="shared" si="1240"/>
        <v>107.92449999999999</v>
      </c>
      <c r="L4794" s="131">
        <v>1322</v>
      </c>
      <c r="M4794" s="187">
        <v>21.26</v>
      </c>
      <c r="N4794" s="91">
        <f t="shared" si="1178"/>
        <v>87.360000000000014</v>
      </c>
      <c r="O4794" s="411">
        <f t="shared" si="1157"/>
        <v>20.564499999999981</v>
      </c>
      <c r="P4794" s="132" t="s">
        <v>86</v>
      </c>
      <c r="Q4794" s="232"/>
      <c r="R4794" s="411"/>
      <c r="T4794" s="134" t="s">
        <v>145</v>
      </c>
      <c r="U4794" s="267" t="s">
        <v>10584</v>
      </c>
      <c r="AA4794" s="218"/>
    </row>
    <row r="4795" spans="1:27" ht="24" x14ac:dyDescent="0.25">
      <c r="A4795" s="405">
        <v>3003746</v>
      </c>
      <c r="B4795" s="406">
        <v>42597</v>
      </c>
      <c r="C4795" s="405" t="s">
        <v>237</v>
      </c>
      <c r="D4795" s="401" t="s">
        <v>10585</v>
      </c>
      <c r="E4795" s="120">
        <v>100</v>
      </c>
      <c r="F4795" s="133" t="s">
        <v>590</v>
      </c>
      <c r="G4795" s="404" t="s">
        <v>45</v>
      </c>
      <c r="H4795" s="411">
        <v>115.08</v>
      </c>
      <c r="I4795" s="397">
        <f t="shared" ref="I4795" si="1244">-(H4795*0.15)</f>
        <v>-17.262</v>
      </c>
      <c r="J4795" s="411">
        <v>0</v>
      </c>
      <c r="K4795" s="90">
        <f t="shared" si="1240"/>
        <v>97.817999999999998</v>
      </c>
      <c r="L4795" s="131">
        <v>577</v>
      </c>
      <c r="M4795" s="187">
        <v>40.74</v>
      </c>
      <c r="N4795" s="91">
        <f t="shared" si="1178"/>
        <v>98.44</v>
      </c>
      <c r="O4795" s="411">
        <f t="shared" si="1157"/>
        <v>-0.62199999999999989</v>
      </c>
      <c r="P4795" s="132" t="s">
        <v>52</v>
      </c>
      <c r="Q4795" s="232"/>
      <c r="R4795" s="411"/>
      <c r="T4795" s="134" t="s">
        <v>145</v>
      </c>
      <c r="U4795" s="267" t="s">
        <v>10586</v>
      </c>
      <c r="AA4795" s="218"/>
    </row>
    <row r="4796" spans="1:27" ht="24" x14ac:dyDescent="0.25">
      <c r="A4796" s="405">
        <v>3003747</v>
      </c>
      <c r="B4796" s="406">
        <v>42597</v>
      </c>
      <c r="C4796" s="405" t="s">
        <v>237</v>
      </c>
      <c r="D4796" s="401" t="s">
        <v>10587</v>
      </c>
      <c r="E4796" s="120">
        <v>100</v>
      </c>
      <c r="F4796" s="133" t="s">
        <v>288</v>
      </c>
      <c r="G4796" s="404" t="s">
        <v>45</v>
      </c>
      <c r="H4796" s="411">
        <v>193.04</v>
      </c>
      <c r="I4796" s="397">
        <f t="shared" ref="I4796" si="1245">-(H4796*0.15)</f>
        <v>-28.955999999999996</v>
      </c>
      <c r="J4796" s="411">
        <v>0</v>
      </c>
      <c r="K4796" s="90">
        <f t="shared" si="1240"/>
        <v>164.084</v>
      </c>
      <c r="L4796" s="131">
        <v>950</v>
      </c>
      <c r="M4796" s="187">
        <v>39.74</v>
      </c>
      <c r="N4796" s="91">
        <f t="shared" si="1178"/>
        <v>134.74</v>
      </c>
      <c r="O4796" s="411">
        <f t="shared" si="1157"/>
        <v>29.343999999999994</v>
      </c>
      <c r="P4796" s="132" t="s">
        <v>52</v>
      </c>
      <c r="Q4796" s="232"/>
      <c r="R4796" s="411"/>
      <c r="T4796" s="134" t="s">
        <v>145</v>
      </c>
      <c r="U4796" s="267" t="s">
        <v>10588</v>
      </c>
      <c r="AA4796" s="218"/>
    </row>
    <row r="4797" spans="1:27" ht="24" x14ac:dyDescent="0.25">
      <c r="A4797" s="405">
        <v>3003748</v>
      </c>
      <c r="B4797" s="406">
        <v>42597</v>
      </c>
      <c r="C4797" s="405" t="s">
        <v>237</v>
      </c>
      <c r="D4797" s="401" t="s">
        <v>10589</v>
      </c>
      <c r="E4797" s="120">
        <v>150</v>
      </c>
      <c r="F4797" s="133" t="s">
        <v>247</v>
      </c>
      <c r="G4797" s="404" t="s">
        <v>45</v>
      </c>
      <c r="H4797" s="411">
        <v>164.07</v>
      </c>
      <c r="I4797" s="397">
        <f t="shared" ref="I4797" si="1246">-(H4797*0.15)</f>
        <v>-24.610499999999998</v>
      </c>
      <c r="J4797" s="411">
        <v>0</v>
      </c>
      <c r="K4797" s="90">
        <f t="shared" si="1240"/>
        <v>139.45949999999999</v>
      </c>
      <c r="L4797" s="131">
        <v>480</v>
      </c>
      <c r="M4797" s="187">
        <v>38.97</v>
      </c>
      <c r="N4797" s="91">
        <f t="shared" si="1178"/>
        <v>110.97</v>
      </c>
      <c r="O4797" s="411">
        <f t="shared" si="1157"/>
        <v>28.489499999999992</v>
      </c>
      <c r="P4797" s="132" t="s">
        <v>52</v>
      </c>
      <c r="Q4797" s="232"/>
      <c r="R4797" s="411"/>
      <c r="T4797" s="134" t="s">
        <v>145</v>
      </c>
      <c r="U4797" s="267" t="s">
        <v>10590</v>
      </c>
      <c r="AA4797" s="218"/>
    </row>
    <row r="4798" spans="1:27" ht="24" x14ac:dyDescent="0.25">
      <c r="A4798" s="405">
        <v>3003749</v>
      </c>
      <c r="B4798" s="406">
        <v>42597</v>
      </c>
      <c r="C4798" s="405" t="s">
        <v>237</v>
      </c>
      <c r="D4798" s="401" t="s">
        <v>10591</v>
      </c>
      <c r="E4798" s="120">
        <v>150</v>
      </c>
      <c r="F4798" s="133" t="s">
        <v>247</v>
      </c>
      <c r="G4798" s="404" t="s">
        <v>45</v>
      </c>
      <c r="H4798" s="411">
        <v>164.07</v>
      </c>
      <c r="I4798" s="397">
        <f t="shared" ref="I4798" si="1247">-(H4798*0.15)</f>
        <v>-24.610499999999998</v>
      </c>
      <c r="J4798" s="411">
        <v>0</v>
      </c>
      <c r="K4798" s="90">
        <f t="shared" si="1240"/>
        <v>139.45949999999999</v>
      </c>
      <c r="L4798" s="131">
        <v>480</v>
      </c>
      <c r="M4798" s="187">
        <v>23.45</v>
      </c>
      <c r="N4798" s="91">
        <f t="shared" si="1178"/>
        <v>95.45</v>
      </c>
      <c r="O4798" s="411">
        <f t="shared" si="1157"/>
        <v>44.009499999999989</v>
      </c>
      <c r="P4798" s="132" t="s">
        <v>52</v>
      </c>
      <c r="Q4798" s="232"/>
      <c r="R4798" s="411"/>
      <c r="T4798" s="134" t="s">
        <v>145</v>
      </c>
      <c r="U4798" s="267" t="s">
        <v>10592</v>
      </c>
      <c r="AA4798" s="218"/>
    </row>
    <row r="4799" spans="1:27" ht="24" x14ac:dyDescent="0.25">
      <c r="A4799" s="405">
        <v>3003750</v>
      </c>
      <c r="B4799" s="406">
        <v>42597</v>
      </c>
      <c r="C4799" s="405" t="s">
        <v>237</v>
      </c>
      <c r="D4799" s="401" t="s">
        <v>10593</v>
      </c>
      <c r="E4799" s="120">
        <v>75</v>
      </c>
      <c r="F4799" s="133" t="s">
        <v>341</v>
      </c>
      <c r="G4799" s="404" t="s">
        <v>45</v>
      </c>
      <c r="H4799" s="411">
        <v>126.71</v>
      </c>
      <c r="I4799" s="397">
        <f t="shared" ref="I4799" si="1248">-(H4799*0.15)</f>
        <v>-19.006499999999999</v>
      </c>
      <c r="J4799" s="411">
        <v>0</v>
      </c>
      <c r="K4799" s="90">
        <f t="shared" si="1240"/>
        <v>107.70349999999999</v>
      </c>
      <c r="L4799" s="131">
        <v>698</v>
      </c>
      <c r="M4799" s="187">
        <v>28.32</v>
      </c>
      <c r="N4799" s="91">
        <f t="shared" si="1178"/>
        <v>80.67</v>
      </c>
      <c r="O4799" s="411">
        <f t="shared" si="1157"/>
        <v>27.033499999999989</v>
      </c>
      <c r="P4799" s="132" t="s">
        <v>52</v>
      </c>
      <c r="Q4799" s="232"/>
      <c r="R4799" s="411"/>
      <c r="T4799" s="134" t="s">
        <v>145</v>
      </c>
      <c r="U4799" s="267" t="s">
        <v>10594</v>
      </c>
      <c r="AA4799" s="218"/>
    </row>
    <row r="4800" spans="1:27" ht="24" x14ac:dyDescent="0.25">
      <c r="A4800" s="405">
        <v>3003751</v>
      </c>
      <c r="B4800" s="406">
        <v>42597</v>
      </c>
      <c r="C4800" s="405" t="s">
        <v>237</v>
      </c>
      <c r="D4800" s="401" t="s">
        <v>10595</v>
      </c>
      <c r="E4800" s="120">
        <v>250</v>
      </c>
      <c r="F4800" s="133" t="s">
        <v>341</v>
      </c>
      <c r="G4800" s="404" t="s">
        <v>45</v>
      </c>
      <c r="H4800" s="411">
        <v>347.11</v>
      </c>
      <c r="I4800" s="397">
        <f t="shared" ref="I4800" si="1249">-(H4800*0.15)</f>
        <v>-52.066499999999998</v>
      </c>
      <c r="J4800" s="411">
        <v>0</v>
      </c>
      <c r="K4800" s="90">
        <f t="shared" si="1240"/>
        <v>295.04349999999999</v>
      </c>
      <c r="L4800" s="131">
        <v>698</v>
      </c>
      <c r="M4800" s="187">
        <v>50.11</v>
      </c>
      <c r="N4800" s="91">
        <f t="shared" si="1178"/>
        <v>224.61</v>
      </c>
      <c r="O4800" s="411">
        <f t="shared" si="1157"/>
        <v>70.433499999999981</v>
      </c>
      <c r="P4800" s="132" t="s">
        <v>52</v>
      </c>
      <c r="Q4800" s="232"/>
      <c r="R4800" s="411"/>
      <c r="T4800" s="134" t="s">
        <v>145</v>
      </c>
      <c r="U4800" s="267" t="s">
        <v>10596</v>
      </c>
      <c r="AA4800" s="218"/>
    </row>
    <row r="4801" spans="1:27" ht="24" x14ac:dyDescent="0.25">
      <c r="A4801" s="405">
        <v>3003752</v>
      </c>
      <c r="B4801" s="406">
        <v>42597</v>
      </c>
      <c r="C4801" s="405" t="s">
        <v>237</v>
      </c>
      <c r="D4801" s="401" t="s">
        <v>10597</v>
      </c>
      <c r="E4801" s="120">
        <v>75</v>
      </c>
      <c r="F4801" s="133" t="s">
        <v>341</v>
      </c>
      <c r="G4801" s="404" t="s">
        <v>45</v>
      </c>
      <c r="H4801" s="411">
        <v>126.71</v>
      </c>
      <c r="I4801" s="397">
        <f t="shared" ref="I4801" si="1250">-(H4801*0.15)</f>
        <v>-19.006499999999999</v>
      </c>
      <c r="J4801" s="411">
        <v>0</v>
      </c>
      <c r="K4801" s="90">
        <f t="shared" si="1240"/>
        <v>107.70349999999999</v>
      </c>
      <c r="L4801" s="131">
        <v>698</v>
      </c>
      <c r="M4801" s="187">
        <v>20.309999999999999</v>
      </c>
      <c r="N4801" s="91">
        <f t="shared" si="1178"/>
        <v>72.66</v>
      </c>
      <c r="O4801" s="411">
        <f t="shared" si="1157"/>
        <v>35.043499999999995</v>
      </c>
      <c r="P4801" s="132" t="s">
        <v>52</v>
      </c>
      <c r="Q4801" s="232"/>
      <c r="R4801" s="411"/>
      <c r="T4801" s="134" t="s">
        <v>145</v>
      </c>
      <c r="U4801" s="267" t="s">
        <v>10598</v>
      </c>
      <c r="AA4801" s="218"/>
    </row>
    <row r="4802" spans="1:27" x14ac:dyDescent="0.25">
      <c r="A4802" s="419">
        <v>3003753</v>
      </c>
      <c r="B4802" s="421">
        <v>42597</v>
      </c>
      <c r="C4802" s="419" t="s">
        <v>237</v>
      </c>
      <c r="D4802" s="429" t="s">
        <v>10599</v>
      </c>
      <c r="E4802" s="120">
        <v>50</v>
      </c>
      <c r="F4802" s="133" t="s">
        <v>3301</v>
      </c>
      <c r="G4802" s="434" t="s">
        <v>45</v>
      </c>
      <c r="H4802" s="427">
        <v>130</v>
      </c>
      <c r="I4802" s="452">
        <f t="shared" ref="I4802" si="1251">-(H4802*0.15)</f>
        <v>-19.5</v>
      </c>
      <c r="J4802" s="427">
        <v>0</v>
      </c>
      <c r="K4802" s="425">
        <f t="shared" si="1240"/>
        <v>110.5</v>
      </c>
      <c r="L4802" s="187">
        <v>775</v>
      </c>
      <c r="M4802" s="187">
        <v>23.56</v>
      </c>
      <c r="N4802" s="91">
        <f t="shared" si="1178"/>
        <v>62.31</v>
      </c>
      <c r="O4802" s="411">
        <f t="shared" si="1157"/>
        <v>48.19</v>
      </c>
      <c r="P4802" s="132" t="s">
        <v>601</v>
      </c>
      <c r="Q4802" s="232"/>
      <c r="R4802" s="411"/>
      <c r="T4802" s="439" t="s">
        <v>145</v>
      </c>
      <c r="U4802" s="446" t="s">
        <v>10600</v>
      </c>
      <c r="AA4802" s="218"/>
    </row>
    <row r="4803" spans="1:27" x14ac:dyDescent="0.25">
      <c r="A4803" s="420"/>
      <c r="B4803" s="422"/>
      <c r="C4803" s="420"/>
      <c r="D4803" s="431"/>
      <c r="E4803" s="120">
        <v>50</v>
      </c>
      <c r="F4803" s="133" t="s">
        <v>3299</v>
      </c>
      <c r="G4803" s="436"/>
      <c r="H4803" s="428"/>
      <c r="I4803" s="453"/>
      <c r="J4803" s="428"/>
      <c r="K4803" s="426"/>
      <c r="L4803" s="187">
        <v>775</v>
      </c>
      <c r="M4803" s="187"/>
      <c r="N4803" s="91">
        <f t="shared" si="1178"/>
        <v>38.75</v>
      </c>
      <c r="O4803" s="411">
        <f t="shared" si="1157"/>
        <v>-38.75</v>
      </c>
      <c r="P4803" s="132" t="s">
        <v>601</v>
      </c>
      <c r="Q4803" s="232"/>
      <c r="R4803" s="411"/>
      <c r="T4803" s="441"/>
      <c r="U4803" s="447"/>
      <c r="AA4803" s="218"/>
    </row>
    <row r="4804" spans="1:27" ht="24" x14ac:dyDescent="0.25">
      <c r="A4804" s="405">
        <v>3003754</v>
      </c>
      <c r="B4804" s="406">
        <v>42597</v>
      </c>
      <c r="C4804" s="405" t="s">
        <v>237</v>
      </c>
      <c r="D4804" s="401" t="s">
        <v>10601</v>
      </c>
      <c r="E4804" s="120">
        <v>200</v>
      </c>
      <c r="F4804" s="133" t="s">
        <v>4092</v>
      </c>
      <c r="G4804" s="404" t="s">
        <v>45</v>
      </c>
      <c r="H4804" s="411">
        <v>160.37</v>
      </c>
      <c r="I4804" s="397">
        <f t="shared" ref="I4804" si="1252">-(H4804*0.15)</f>
        <v>-24.055499999999999</v>
      </c>
      <c r="J4804" s="411">
        <v>0</v>
      </c>
      <c r="K4804" s="90">
        <f>SUM(H4804:J4804)</f>
        <v>136.31450000000001</v>
      </c>
      <c r="L4804" s="187">
        <v>350</v>
      </c>
      <c r="M4804" s="187">
        <v>8.11</v>
      </c>
      <c r="N4804" s="91">
        <f t="shared" si="1178"/>
        <v>78.11</v>
      </c>
      <c r="O4804" s="411">
        <f t="shared" ref="O4804:O4867" si="1253">K4804-N4804</f>
        <v>58.20450000000001</v>
      </c>
      <c r="P4804" s="132" t="s">
        <v>183</v>
      </c>
      <c r="Q4804" s="232"/>
      <c r="R4804" s="411"/>
      <c r="T4804" s="134" t="s">
        <v>145</v>
      </c>
      <c r="U4804" s="267" t="s">
        <v>10602</v>
      </c>
      <c r="AA4804" s="218"/>
    </row>
    <row r="4805" spans="1:27" ht="24" x14ac:dyDescent="0.25">
      <c r="A4805" s="405">
        <v>3003755</v>
      </c>
      <c r="B4805" s="406">
        <v>42597</v>
      </c>
      <c r="C4805" s="405" t="s">
        <v>237</v>
      </c>
      <c r="D4805" s="401" t="s">
        <v>10603</v>
      </c>
      <c r="E4805" s="120">
        <v>100</v>
      </c>
      <c r="F4805" s="133" t="s">
        <v>3719</v>
      </c>
      <c r="G4805" s="404" t="s">
        <v>45</v>
      </c>
      <c r="H4805" s="411">
        <v>180.18</v>
      </c>
      <c r="I4805" s="397">
        <f t="shared" ref="I4805:I4806" si="1254">-(H4805*0.15)</f>
        <v>-27.027000000000001</v>
      </c>
      <c r="J4805" s="411">
        <v>0</v>
      </c>
      <c r="K4805" s="90">
        <f>SUM(H4805:J4805)</f>
        <v>153.15300000000002</v>
      </c>
      <c r="L4805" s="187">
        <v>1150</v>
      </c>
      <c r="M4805" s="187">
        <v>15.26</v>
      </c>
      <c r="N4805" s="91">
        <f t="shared" si="1178"/>
        <v>130.26</v>
      </c>
      <c r="O4805" s="411">
        <f t="shared" si="1253"/>
        <v>22.893000000000029</v>
      </c>
      <c r="P4805" s="132" t="s">
        <v>601</v>
      </c>
      <c r="Q4805" s="232"/>
      <c r="R4805" s="411"/>
      <c r="T4805" s="134" t="s">
        <v>145</v>
      </c>
      <c r="U4805" s="267" t="s">
        <v>10604</v>
      </c>
      <c r="AA4805" s="218"/>
    </row>
    <row r="4806" spans="1:27" x14ac:dyDescent="0.25">
      <c r="A4806" s="419">
        <v>3003756</v>
      </c>
      <c r="B4806" s="421">
        <v>42597</v>
      </c>
      <c r="C4806" s="419" t="s">
        <v>237</v>
      </c>
      <c r="D4806" s="417" t="s">
        <v>10605</v>
      </c>
      <c r="E4806" s="120">
        <v>50</v>
      </c>
      <c r="F4806" s="133" t="s">
        <v>3301</v>
      </c>
      <c r="G4806" s="434" t="s">
        <v>45</v>
      </c>
      <c r="H4806" s="427">
        <v>130</v>
      </c>
      <c r="I4806" s="452">
        <f t="shared" si="1254"/>
        <v>-19.5</v>
      </c>
      <c r="J4806" s="427">
        <v>0</v>
      </c>
      <c r="K4806" s="425">
        <f>SUM(H4806:J4806)</f>
        <v>110.5</v>
      </c>
      <c r="L4806" s="187">
        <v>775</v>
      </c>
      <c r="M4806" s="187">
        <v>14.47</v>
      </c>
      <c r="N4806" s="91">
        <f t="shared" si="1178"/>
        <v>53.22</v>
      </c>
      <c r="O4806" s="411">
        <f t="shared" si="1253"/>
        <v>57.28</v>
      </c>
      <c r="P4806" s="132" t="s">
        <v>601</v>
      </c>
      <c r="Q4806" s="232"/>
      <c r="R4806" s="411"/>
      <c r="T4806" s="439" t="s">
        <v>145</v>
      </c>
      <c r="U4806" s="446" t="s">
        <v>10606</v>
      </c>
      <c r="AA4806" s="218"/>
    </row>
    <row r="4807" spans="1:27" x14ac:dyDescent="0.25">
      <c r="A4807" s="420"/>
      <c r="B4807" s="422"/>
      <c r="C4807" s="420"/>
      <c r="D4807" s="418"/>
      <c r="E4807" s="120">
        <v>50</v>
      </c>
      <c r="F4807" s="133" t="s">
        <v>3299</v>
      </c>
      <c r="G4807" s="436"/>
      <c r="H4807" s="428"/>
      <c r="I4807" s="453"/>
      <c r="J4807" s="428"/>
      <c r="K4807" s="426"/>
      <c r="L4807" s="187">
        <v>775</v>
      </c>
      <c r="M4807" s="187"/>
      <c r="N4807" s="91">
        <f t="shared" si="1178"/>
        <v>38.75</v>
      </c>
      <c r="O4807" s="411">
        <f t="shared" si="1253"/>
        <v>-38.75</v>
      </c>
      <c r="P4807" s="132" t="s">
        <v>601</v>
      </c>
      <c r="Q4807" s="232"/>
      <c r="R4807" s="411"/>
      <c r="T4807" s="441"/>
      <c r="U4807" s="447"/>
      <c r="AA4807" s="218"/>
    </row>
    <row r="4808" spans="1:27" ht="24" x14ac:dyDescent="0.25">
      <c r="A4808" s="405">
        <v>3003757</v>
      </c>
      <c r="B4808" s="406">
        <v>42597</v>
      </c>
      <c r="C4808" s="405" t="s">
        <v>237</v>
      </c>
      <c r="D4808" s="401" t="s">
        <v>10607</v>
      </c>
      <c r="E4808" s="120">
        <v>100</v>
      </c>
      <c r="F4808" s="133" t="s">
        <v>288</v>
      </c>
      <c r="G4808" s="404" t="s">
        <v>45</v>
      </c>
      <c r="H4808" s="411">
        <v>193.04</v>
      </c>
      <c r="I4808" s="397">
        <f t="shared" ref="I4808" si="1255">-(H4808*0.15)</f>
        <v>-28.955999999999996</v>
      </c>
      <c r="J4808" s="411">
        <v>0</v>
      </c>
      <c r="K4808" s="90">
        <f t="shared" ref="K4808:K4829" si="1256">SUM(H4808:J4808)</f>
        <v>164.084</v>
      </c>
      <c r="L4808" s="131">
        <v>950</v>
      </c>
      <c r="M4808" s="187">
        <v>11.38</v>
      </c>
      <c r="N4808" s="91">
        <f t="shared" si="1178"/>
        <v>106.38</v>
      </c>
      <c r="O4808" s="411">
        <f t="shared" si="1253"/>
        <v>57.704000000000008</v>
      </c>
      <c r="P4808" s="132" t="s">
        <v>86</v>
      </c>
      <c r="Q4808" s="232"/>
      <c r="R4808" s="411"/>
      <c r="T4808" s="134" t="s">
        <v>145</v>
      </c>
      <c r="U4808" s="267" t="s">
        <v>10608</v>
      </c>
      <c r="AA4808" s="218"/>
    </row>
    <row r="4809" spans="1:27" ht="24" x14ac:dyDescent="0.25">
      <c r="A4809" s="405">
        <v>3003758</v>
      </c>
      <c r="B4809" s="406">
        <v>42597</v>
      </c>
      <c r="C4809" s="405" t="s">
        <v>237</v>
      </c>
      <c r="D4809" s="401" t="s">
        <v>10609</v>
      </c>
      <c r="E4809" s="120">
        <v>100</v>
      </c>
      <c r="F4809" s="133" t="s">
        <v>590</v>
      </c>
      <c r="G4809" s="404" t="s">
        <v>45</v>
      </c>
      <c r="H4809" s="411">
        <v>115.08</v>
      </c>
      <c r="I4809" s="397">
        <f t="shared" ref="I4809" si="1257">-(H4809*0.15)</f>
        <v>-17.262</v>
      </c>
      <c r="J4809" s="411">
        <v>0</v>
      </c>
      <c r="K4809" s="90">
        <f t="shared" si="1256"/>
        <v>97.817999999999998</v>
      </c>
      <c r="L4809" s="131">
        <v>571.41999999999996</v>
      </c>
      <c r="M4809" s="187">
        <v>32.82</v>
      </c>
      <c r="N4809" s="91">
        <f t="shared" si="1178"/>
        <v>89.961999999999989</v>
      </c>
      <c r="O4809" s="411">
        <f t="shared" si="1253"/>
        <v>7.8560000000000088</v>
      </c>
      <c r="P4809" s="132" t="s">
        <v>86</v>
      </c>
      <c r="Q4809" s="232"/>
      <c r="R4809" s="411"/>
      <c r="T4809" s="134" t="s">
        <v>145</v>
      </c>
      <c r="U4809" s="267" t="s">
        <v>10610</v>
      </c>
      <c r="AA4809" s="218"/>
    </row>
    <row r="4810" spans="1:27" ht="24" x14ac:dyDescent="0.25">
      <c r="A4810" s="405">
        <v>3003759</v>
      </c>
      <c r="B4810" s="406">
        <v>42597</v>
      </c>
      <c r="C4810" s="405" t="s">
        <v>237</v>
      </c>
      <c r="D4810" s="401" t="s">
        <v>10611</v>
      </c>
      <c r="E4810" s="120">
        <v>75</v>
      </c>
      <c r="F4810" s="133" t="s">
        <v>161</v>
      </c>
      <c r="G4810" s="404" t="s">
        <v>45</v>
      </c>
      <c r="H4810" s="411">
        <v>177.31</v>
      </c>
      <c r="I4810" s="397">
        <f t="shared" ref="I4810" si="1258">-(H4810*0.15)</f>
        <v>-26.596499999999999</v>
      </c>
      <c r="J4810" s="411">
        <v>0</v>
      </c>
      <c r="K4810" s="90">
        <f t="shared" si="1256"/>
        <v>150.71350000000001</v>
      </c>
      <c r="L4810" s="131">
        <v>1322</v>
      </c>
      <c r="M4810" s="187">
        <v>31.14</v>
      </c>
      <c r="N4810" s="91">
        <f t="shared" si="1178"/>
        <v>130.29</v>
      </c>
      <c r="O4810" s="411">
        <f t="shared" si="1253"/>
        <v>20.423500000000018</v>
      </c>
      <c r="P4810" s="132" t="s">
        <v>86</v>
      </c>
      <c r="Q4810" s="232"/>
      <c r="R4810" s="411"/>
      <c r="T4810" s="134" t="s">
        <v>145</v>
      </c>
      <c r="U4810" s="267" t="s">
        <v>10612</v>
      </c>
      <c r="AA4810" s="218"/>
    </row>
    <row r="4811" spans="1:27" ht="24" x14ac:dyDescent="0.25">
      <c r="A4811" s="405">
        <v>3003760</v>
      </c>
      <c r="B4811" s="406">
        <v>42597</v>
      </c>
      <c r="C4811" s="405" t="s">
        <v>237</v>
      </c>
      <c r="D4811" s="401" t="s">
        <v>10613</v>
      </c>
      <c r="E4811" s="120">
        <v>300</v>
      </c>
      <c r="F4811" s="133" t="s">
        <v>5487</v>
      </c>
      <c r="G4811" s="404" t="s">
        <v>45</v>
      </c>
      <c r="H4811" s="411">
        <v>540.54</v>
      </c>
      <c r="I4811" s="397">
        <f t="shared" ref="I4811" si="1259">-(H4811*0.15)</f>
        <v>-81.080999999999989</v>
      </c>
      <c r="J4811" s="411">
        <v>0</v>
      </c>
      <c r="K4811" s="90">
        <f t="shared" si="1256"/>
        <v>459.45899999999995</v>
      </c>
      <c r="L4811" s="187">
        <v>1150</v>
      </c>
      <c r="M4811" s="187">
        <v>50.31</v>
      </c>
      <c r="N4811" s="91">
        <f t="shared" si="1178"/>
        <v>395.31</v>
      </c>
      <c r="O4811" s="411">
        <f t="shared" si="1253"/>
        <v>64.148999999999944</v>
      </c>
      <c r="P4811" s="132" t="s">
        <v>601</v>
      </c>
      <c r="Q4811" s="232"/>
      <c r="R4811" s="411"/>
      <c r="T4811" s="134" t="s">
        <v>145</v>
      </c>
      <c r="U4811" s="267" t="s">
        <v>10614</v>
      </c>
      <c r="AA4811" s="218"/>
    </row>
    <row r="4812" spans="1:27" ht="24" x14ac:dyDescent="0.25">
      <c r="A4812" s="405">
        <v>3003761</v>
      </c>
      <c r="B4812" s="406">
        <v>42597</v>
      </c>
      <c r="C4812" s="405" t="s">
        <v>327</v>
      </c>
      <c r="D4812" s="401" t="s">
        <v>10615</v>
      </c>
      <c r="E4812" s="120">
        <v>300</v>
      </c>
      <c r="F4812" s="133" t="s">
        <v>605</v>
      </c>
      <c r="G4812" s="404" t="s">
        <v>45</v>
      </c>
      <c r="H4812" s="411">
        <v>432</v>
      </c>
      <c r="I4812" s="411">
        <v>0</v>
      </c>
      <c r="J4812" s="258">
        <f t="shared" ref="J4812:J4817" si="1260">-((H4812*0.022)+0.3)</f>
        <v>-9.8040000000000003</v>
      </c>
      <c r="K4812" s="90">
        <f t="shared" si="1256"/>
        <v>422.19600000000003</v>
      </c>
      <c r="L4812" s="131">
        <v>480</v>
      </c>
      <c r="M4812" s="187">
        <v>60.2</v>
      </c>
      <c r="N4812" s="91">
        <f t="shared" si="1178"/>
        <v>204.2</v>
      </c>
      <c r="O4812" s="411">
        <f t="shared" si="1253"/>
        <v>217.99600000000004</v>
      </c>
      <c r="P4812" s="132" t="s">
        <v>52</v>
      </c>
      <c r="Q4812" s="232"/>
      <c r="R4812" s="411"/>
      <c r="T4812" s="134" t="s">
        <v>145</v>
      </c>
      <c r="U4812" s="267" t="s">
        <v>10616</v>
      </c>
      <c r="W4812" s="153" t="s">
        <v>10617</v>
      </c>
      <c r="AA4812" s="218"/>
    </row>
    <row r="4813" spans="1:27" ht="48" x14ac:dyDescent="0.25">
      <c r="A4813" s="405">
        <v>3003762</v>
      </c>
      <c r="B4813" s="406">
        <v>42597</v>
      </c>
      <c r="C4813" s="405" t="s">
        <v>327</v>
      </c>
      <c r="D4813" s="401" t="s">
        <v>10618</v>
      </c>
      <c r="E4813" s="120">
        <v>1000</v>
      </c>
      <c r="F4813" s="133" t="s">
        <v>654</v>
      </c>
      <c r="G4813" s="404" t="s">
        <v>45</v>
      </c>
      <c r="H4813" s="411">
        <v>525</v>
      </c>
      <c r="I4813" s="411">
        <v>0</v>
      </c>
      <c r="J4813" s="258">
        <f t="shared" si="1260"/>
        <v>-11.85</v>
      </c>
      <c r="K4813" s="90">
        <f t="shared" si="1256"/>
        <v>513.15</v>
      </c>
      <c r="L4813" s="131">
        <v>150</v>
      </c>
      <c r="M4813" s="187">
        <f>17.61+27.91+27.91+27.91</f>
        <v>101.33999999999999</v>
      </c>
      <c r="N4813" s="91">
        <f t="shared" si="1178"/>
        <v>251.33999999999997</v>
      </c>
      <c r="O4813" s="411">
        <f t="shared" si="1253"/>
        <v>261.81</v>
      </c>
      <c r="P4813" s="132" t="s">
        <v>52</v>
      </c>
      <c r="Q4813" s="232"/>
      <c r="R4813" s="411"/>
      <c r="T4813" s="134" t="s">
        <v>145</v>
      </c>
      <c r="U4813" s="267" t="s">
        <v>10619</v>
      </c>
      <c r="W4813" s="153" t="s">
        <v>10620</v>
      </c>
      <c r="AA4813" s="218"/>
    </row>
    <row r="4814" spans="1:27" x14ac:dyDescent="0.25">
      <c r="A4814" s="405">
        <v>3003763</v>
      </c>
      <c r="B4814" s="406">
        <v>42597</v>
      </c>
      <c r="C4814" s="405" t="s">
        <v>63</v>
      </c>
      <c r="D4814" s="401" t="s">
        <v>10621</v>
      </c>
      <c r="E4814" s="120">
        <v>300</v>
      </c>
      <c r="F4814" s="133" t="s">
        <v>70</v>
      </c>
      <c r="G4814" s="404" t="s">
        <v>45</v>
      </c>
      <c r="H4814" s="411">
        <v>735</v>
      </c>
      <c r="I4814" s="411">
        <v>0</v>
      </c>
      <c r="J4814" s="258">
        <f t="shared" si="1260"/>
        <v>-16.47</v>
      </c>
      <c r="K4814" s="90">
        <f t="shared" si="1256"/>
        <v>718.53</v>
      </c>
      <c r="L4814" s="131">
        <v>1200</v>
      </c>
      <c r="M4814" s="187">
        <v>218.28</v>
      </c>
      <c r="N4814" s="91">
        <f t="shared" si="1178"/>
        <v>578.28</v>
      </c>
      <c r="O4814" s="411">
        <f t="shared" si="1253"/>
        <v>140.25</v>
      </c>
      <c r="P4814" s="132" t="s">
        <v>86</v>
      </c>
      <c r="Q4814" s="232"/>
      <c r="R4814" s="411"/>
      <c r="T4814" s="134" t="s">
        <v>97</v>
      </c>
      <c r="U4814" s="267" t="s">
        <v>10622</v>
      </c>
      <c r="V4814" s="133" t="s">
        <v>55</v>
      </c>
      <c r="W4814" s="153" t="s">
        <v>10623</v>
      </c>
      <c r="AA4814" s="218"/>
    </row>
    <row r="4815" spans="1:27" ht="24" x14ac:dyDescent="0.25">
      <c r="A4815" s="405">
        <v>3003764</v>
      </c>
      <c r="B4815" s="406">
        <v>42597</v>
      </c>
      <c r="C4815" s="405" t="s">
        <v>63</v>
      </c>
      <c r="D4815" s="401" t="s">
        <v>10624</v>
      </c>
      <c r="E4815" s="120">
        <v>250</v>
      </c>
      <c r="F4815" s="133" t="s">
        <v>1810</v>
      </c>
      <c r="G4815" s="404" t="s">
        <v>45</v>
      </c>
      <c r="H4815" s="411">
        <v>115.75</v>
      </c>
      <c r="I4815" s="411">
        <v>0</v>
      </c>
      <c r="J4815" s="258">
        <f t="shared" si="1260"/>
        <v>-2.8464999999999998</v>
      </c>
      <c r="K4815" s="90">
        <f t="shared" si="1256"/>
        <v>112.90349999999999</v>
      </c>
      <c r="L4815" s="131">
        <v>200</v>
      </c>
      <c r="M4815" s="187">
        <v>20.66</v>
      </c>
      <c r="N4815" s="91">
        <f t="shared" si="1178"/>
        <v>70.66</v>
      </c>
      <c r="O4815" s="411">
        <f t="shared" si="1253"/>
        <v>42.243499999999997</v>
      </c>
      <c r="P4815" s="132" t="s">
        <v>52</v>
      </c>
      <c r="Q4815" s="232"/>
      <c r="R4815" s="411"/>
      <c r="T4815" s="134" t="s">
        <v>145</v>
      </c>
      <c r="U4815" s="267" t="s">
        <v>10625</v>
      </c>
      <c r="W4815" s="153" t="s">
        <v>10626</v>
      </c>
      <c r="AA4815" s="218"/>
    </row>
    <row r="4816" spans="1:27" ht="24" x14ac:dyDescent="0.25">
      <c r="A4816" s="405">
        <v>3003765</v>
      </c>
      <c r="B4816" s="406">
        <v>42597</v>
      </c>
      <c r="C4816" s="405" t="s">
        <v>327</v>
      </c>
      <c r="D4816" s="401" t="s">
        <v>10627</v>
      </c>
      <c r="E4816" s="120">
        <v>125</v>
      </c>
      <c r="F4816" s="133" t="s">
        <v>2949</v>
      </c>
      <c r="G4816" s="404" t="s">
        <v>45</v>
      </c>
      <c r="H4816" s="411">
        <v>250</v>
      </c>
      <c r="I4816" s="411">
        <v>0</v>
      </c>
      <c r="J4816" s="258">
        <f t="shared" si="1260"/>
        <v>-5.8</v>
      </c>
      <c r="K4816" s="90">
        <f t="shared" si="1256"/>
        <v>244.2</v>
      </c>
      <c r="L4816" s="131">
        <v>1150</v>
      </c>
      <c r="M4816" s="187">
        <v>29.35</v>
      </c>
      <c r="N4816" s="91">
        <f t="shared" si="1178"/>
        <v>173.1</v>
      </c>
      <c r="O4816" s="411">
        <f t="shared" si="1253"/>
        <v>71.099999999999994</v>
      </c>
      <c r="P4816" s="132" t="s">
        <v>52</v>
      </c>
      <c r="Q4816" s="232"/>
      <c r="R4816" s="411"/>
      <c r="T4816" s="134" t="s">
        <v>145</v>
      </c>
      <c r="U4816" s="267" t="s">
        <v>10628</v>
      </c>
      <c r="W4816" s="153" t="s">
        <v>10629</v>
      </c>
      <c r="AA4816" s="218"/>
    </row>
    <row r="4817" spans="1:27" ht="24" x14ac:dyDescent="0.25">
      <c r="A4817" s="405">
        <v>3003766</v>
      </c>
      <c r="B4817" s="406">
        <v>42598</v>
      </c>
      <c r="C4817" s="405" t="s">
        <v>9435</v>
      </c>
      <c r="D4817" s="401" t="s">
        <v>10630</v>
      </c>
      <c r="E4817" s="120">
        <v>178</v>
      </c>
      <c r="F4817" s="133" t="s">
        <v>2796</v>
      </c>
      <c r="G4817" s="404" t="s">
        <v>45</v>
      </c>
      <c r="H4817" s="411">
        <v>185</v>
      </c>
      <c r="I4817" s="411">
        <v>0</v>
      </c>
      <c r="J4817" s="258">
        <f t="shared" si="1260"/>
        <v>-4.3699999999999992</v>
      </c>
      <c r="K4817" s="90">
        <f t="shared" si="1256"/>
        <v>180.63</v>
      </c>
      <c r="L4817" s="187">
        <v>350</v>
      </c>
      <c r="M4817" s="187">
        <v>8.36</v>
      </c>
      <c r="N4817" s="91">
        <f t="shared" si="1178"/>
        <v>70.66</v>
      </c>
      <c r="O4817" s="411">
        <f t="shared" si="1253"/>
        <v>109.97</v>
      </c>
      <c r="P4817" s="132" t="s">
        <v>183</v>
      </c>
      <c r="Q4817" s="232"/>
      <c r="R4817" s="411"/>
      <c r="T4817" s="134" t="s">
        <v>145</v>
      </c>
      <c r="U4817" s="267" t="s">
        <v>10631</v>
      </c>
      <c r="W4817" s="153" t="s">
        <v>10632</v>
      </c>
      <c r="AA4817" s="218"/>
    </row>
    <row r="4818" spans="1:27" ht="24" x14ac:dyDescent="0.25">
      <c r="A4818" s="405">
        <v>3003767</v>
      </c>
      <c r="B4818" s="406">
        <v>42598</v>
      </c>
      <c r="C4818" s="405" t="s">
        <v>141</v>
      </c>
      <c r="D4818" s="401" t="s">
        <v>10633</v>
      </c>
      <c r="E4818" s="120">
        <v>1500</v>
      </c>
      <c r="F4818" s="133" t="s">
        <v>10634</v>
      </c>
      <c r="G4818" s="404" t="s">
        <v>45</v>
      </c>
      <c r="H4818" s="411">
        <v>252</v>
      </c>
      <c r="I4818" s="411">
        <v>0</v>
      </c>
      <c r="J4818" s="258">
        <f>-((H4818*0.0325)+0.3)</f>
        <v>-8.49</v>
      </c>
      <c r="K4818" s="90">
        <f t="shared" si="1256"/>
        <v>243.51</v>
      </c>
      <c r="L4818" s="187">
        <v>90</v>
      </c>
      <c r="M4818" s="187">
        <v>15.48</v>
      </c>
      <c r="N4818" s="91">
        <f t="shared" si="1178"/>
        <v>150.47999999999999</v>
      </c>
      <c r="O4818" s="411">
        <f t="shared" si="1253"/>
        <v>93.03</v>
      </c>
      <c r="P4818" s="132" t="s">
        <v>183</v>
      </c>
      <c r="Q4818" s="232"/>
      <c r="R4818" s="411"/>
      <c r="T4818" s="134" t="s">
        <v>145</v>
      </c>
      <c r="U4818" s="267" t="s">
        <v>10635</v>
      </c>
      <c r="V4818" s="133">
        <v>3003761</v>
      </c>
      <c r="W4818" s="153" t="s">
        <v>10636</v>
      </c>
      <c r="AA4818" s="218"/>
    </row>
    <row r="4819" spans="1:27" x14ac:dyDescent="0.25">
      <c r="A4819" s="405">
        <v>3003768</v>
      </c>
      <c r="B4819" s="406">
        <v>42598</v>
      </c>
      <c r="C4819" s="405" t="s">
        <v>9435</v>
      </c>
      <c r="D4819" s="401" t="s">
        <v>10364</v>
      </c>
      <c r="E4819" s="120">
        <v>2800</v>
      </c>
      <c r="F4819" s="133" t="s">
        <v>10365</v>
      </c>
      <c r="G4819" s="404" t="s">
        <v>45</v>
      </c>
      <c r="H4819" s="411">
        <v>1400</v>
      </c>
      <c r="I4819" s="411">
        <v>0</v>
      </c>
      <c r="J4819" s="258">
        <f>-((H4819*0.022)+0.3)</f>
        <v>-31.099999999999998</v>
      </c>
      <c r="K4819" s="90">
        <f t="shared" si="1256"/>
        <v>1368.9</v>
      </c>
      <c r="L4819" s="187">
        <v>130</v>
      </c>
      <c r="M4819" s="187">
        <v>132.08000000000001</v>
      </c>
      <c r="N4819" s="91">
        <f t="shared" si="1178"/>
        <v>496.08000000000004</v>
      </c>
      <c r="O4819" s="411">
        <f t="shared" si="1253"/>
        <v>872.82</v>
      </c>
      <c r="P4819" s="132" t="s">
        <v>183</v>
      </c>
      <c r="Q4819" s="232"/>
      <c r="R4819" s="411"/>
      <c r="T4819" s="134" t="s">
        <v>565</v>
      </c>
      <c r="U4819" s="267" t="s">
        <v>10637</v>
      </c>
      <c r="W4819" s="153" t="s">
        <v>10638</v>
      </c>
      <c r="AA4819" s="218"/>
    </row>
    <row r="4820" spans="1:27" ht="24" x14ac:dyDescent="0.25">
      <c r="A4820" s="405">
        <v>3003769</v>
      </c>
      <c r="B4820" s="406">
        <v>42598</v>
      </c>
      <c r="C4820" s="405" t="s">
        <v>9435</v>
      </c>
      <c r="D4820" s="401" t="s">
        <v>8969</v>
      </c>
      <c r="E4820" s="120">
        <v>100</v>
      </c>
      <c r="F4820" s="133" t="s">
        <v>173</v>
      </c>
      <c r="G4820" s="404" t="s">
        <v>45</v>
      </c>
      <c r="H4820" s="411">
        <v>99</v>
      </c>
      <c r="I4820" s="411">
        <v>0</v>
      </c>
      <c r="J4820" s="258">
        <f>-((H4820*0.022)+0.3)</f>
        <v>-2.4779999999999998</v>
      </c>
      <c r="K4820" s="90">
        <f t="shared" si="1256"/>
        <v>96.522000000000006</v>
      </c>
      <c r="L4820" s="131">
        <v>409</v>
      </c>
      <c r="M4820" s="187">
        <v>30.02</v>
      </c>
      <c r="N4820" s="91">
        <f t="shared" si="1178"/>
        <v>70.92</v>
      </c>
      <c r="O4820" s="411">
        <f t="shared" si="1253"/>
        <v>25.602000000000004</v>
      </c>
      <c r="P4820" s="132" t="s">
        <v>52</v>
      </c>
      <c r="Q4820" s="232"/>
      <c r="R4820" s="411"/>
      <c r="T4820" s="134" t="s">
        <v>145</v>
      </c>
      <c r="U4820" s="267" t="s">
        <v>10639</v>
      </c>
      <c r="W4820" s="153" t="s">
        <v>9333</v>
      </c>
      <c r="AA4820" s="218"/>
    </row>
    <row r="4821" spans="1:27" x14ac:dyDescent="0.25">
      <c r="A4821" s="405">
        <v>3003770</v>
      </c>
      <c r="B4821" s="406">
        <v>42598</v>
      </c>
      <c r="C4821" s="405" t="s">
        <v>327</v>
      </c>
      <c r="D4821" s="401" t="s">
        <v>10640</v>
      </c>
      <c r="E4821" s="120">
        <v>600</v>
      </c>
      <c r="F4821" s="133" t="s">
        <v>300</v>
      </c>
      <c r="G4821" s="404" t="s">
        <v>45</v>
      </c>
      <c r="H4821" s="411">
        <v>2380</v>
      </c>
      <c r="I4821" s="411">
        <v>0</v>
      </c>
      <c r="J4821" s="258">
        <f>-((H4821*0.022)+0.3)</f>
        <v>-52.66</v>
      </c>
      <c r="K4821" s="90">
        <f t="shared" si="1256"/>
        <v>2327.34</v>
      </c>
      <c r="L4821" s="131">
        <v>2150</v>
      </c>
      <c r="M4821" s="187">
        <v>295.57</v>
      </c>
      <c r="N4821" s="91">
        <f t="shared" si="1178"/>
        <v>1585.57</v>
      </c>
      <c r="O4821" s="411">
        <f t="shared" si="1253"/>
        <v>741.77000000000021</v>
      </c>
      <c r="P4821" s="132" t="s">
        <v>52</v>
      </c>
      <c r="Q4821" s="232"/>
      <c r="R4821" s="411"/>
      <c r="T4821" s="134" t="s">
        <v>97</v>
      </c>
      <c r="U4821" s="267" t="s">
        <v>10641</v>
      </c>
      <c r="V4821" s="133" t="s">
        <v>55</v>
      </c>
      <c r="W4821" s="153" t="s">
        <v>10642</v>
      </c>
      <c r="AA4821" s="218">
        <v>10</v>
      </c>
    </row>
    <row r="4822" spans="1:27" ht="24" x14ac:dyDescent="0.25">
      <c r="A4822" s="405">
        <v>3003771</v>
      </c>
      <c r="B4822" s="406">
        <v>42598</v>
      </c>
      <c r="C4822" s="405" t="s">
        <v>237</v>
      </c>
      <c r="D4822" s="401" t="s">
        <v>10643</v>
      </c>
      <c r="E4822" s="120">
        <v>250</v>
      </c>
      <c r="F4822" s="133" t="s">
        <v>341</v>
      </c>
      <c r="G4822" s="404" t="s">
        <v>45</v>
      </c>
      <c r="H4822" s="411">
        <v>347.11</v>
      </c>
      <c r="I4822" s="397">
        <f t="shared" ref="I4822" si="1261">-(H4822*0.15)</f>
        <v>-52.066499999999998</v>
      </c>
      <c r="J4822" s="411">
        <v>0</v>
      </c>
      <c r="K4822" s="90">
        <f t="shared" si="1256"/>
        <v>295.04349999999999</v>
      </c>
      <c r="L4822" s="131">
        <v>698</v>
      </c>
      <c r="M4822" s="187">
        <v>41.11</v>
      </c>
      <c r="N4822" s="91">
        <f t="shared" ref="N4822:N4858" si="1262">((L4822)*(E4822*0.001))+M4822</f>
        <v>215.61</v>
      </c>
      <c r="O4822" s="411">
        <f t="shared" si="1253"/>
        <v>79.433499999999981</v>
      </c>
      <c r="P4822" s="132" t="s">
        <v>52</v>
      </c>
      <c r="Q4822" s="232"/>
      <c r="R4822" s="411"/>
      <c r="T4822" s="134" t="s">
        <v>145</v>
      </c>
      <c r="U4822" s="267" t="s">
        <v>10644</v>
      </c>
      <c r="AA4822" s="218"/>
    </row>
    <row r="4823" spans="1:27" ht="24" x14ac:dyDescent="0.25">
      <c r="A4823" s="405">
        <v>3003772</v>
      </c>
      <c r="B4823" s="406">
        <v>42598</v>
      </c>
      <c r="C4823" s="405" t="s">
        <v>237</v>
      </c>
      <c r="D4823" s="401" t="s">
        <v>10645</v>
      </c>
      <c r="E4823" s="120">
        <v>100</v>
      </c>
      <c r="F4823" s="133" t="s">
        <v>288</v>
      </c>
      <c r="G4823" s="404" t="s">
        <v>45</v>
      </c>
      <c r="H4823" s="411">
        <v>193.04</v>
      </c>
      <c r="I4823" s="397">
        <f t="shared" ref="I4823" si="1263">-(H4823*0.15)</f>
        <v>-28.955999999999996</v>
      </c>
      <c r="J4823" s="411">
        <v>0</v>
      </c>
      <c r="K4823" s="90">
        <f t="shared" si="1256"/>
        <v>164.084</v>
      </c>
      <c r="L4823" s="131">
        <v>950</v>
      </c>
      <c r="M4823" s="187">
        <v>31.54</v>
      </c>
      <c r="N4823" s="91">
        <f t="shared" si="1262"/>
        <v>126.53999999999999</v>
      </c>
      <c r="O4823" s="411">
        <f t="shared" si="1253"/>
        <v>37.544000000000011</v>
      </c>
      <c r="P4823" s="132" t="s">
        <v>52</v>
      </c>
      <c r="Q4823" s="232"/>
      <c r="R4823" s="411"/>
      <c r="T4823" s="134" t="s">
        <v>145</v>
      </c>
      <c r="U4823" s="267" t="s">
        <v>10646</v>
      </c>
      <c r="AA4823" s="218"/>
    </row>
    <row r="4824" spans="1:27" ht="24" x14ac:dyDescent="0.25">
      <c r="A4824" s="405">
        <v>3003773</v>
      </c>
      <c r="B4824" s="406">
        <v>42598</v>
      </c>
      <c r="C4824" s="405" t="s">
        <v>237</v>
      </c>
      <c r="D4824" s="401" t="s">
        <v>10647</v>
      </c>
      <c r="E4824" s="120">
        <v>50</v>
      </c>
      <c r="F4824" s="133" t="s">
        <v>10648</v>
      </c>
      <c r="G4824" s="404" t="s">
        <v>45</v>
      </c>
      <c r="H4824" s="411">
        <v>170.92</v>
      </c>
      <c r="I4824" s="397">
        <f t="shared" ref="I4824" si="1264">-(H4824*0.15)</f>
        <v>-25.637999999999998</v>
      </c>
      <c r="J4824" s="411">
        <v>0</v>
      </c>
      <c r="K4824" s="90">
        <f t="shared" si="1256"/>
        <v>145.28199999999998</v>
      </c>
      <c r="L4824" s="187">
        <v>1750</v>
      </c>
      <c r="M4824" s="187">
        <f>8.68+7.22</f>
        <v>15.899999999999999</v>
      </c>
      <c r="N4824" s="91">
        <f t="shared" si="1262"/>
        <v>103.4</v>
      </c>
      <c r="O4824" s="411">
        <f t="shared" si="1253"/>
        <v>41.881999999999977</v>
      </c>
      <c r="P4824" s="132" t="s">
        <v>643</v>
      </c>
      <c r="Q4824" s="232"/>
      <c r="R4824" s="411"/>
      <c r="T4824" s="134" t="s">
        <v>145</v>
      </c>
      <c r="U4824" s="267" t="s">
        <v>10649</v>
      </c>
      <c r="AA4824" s="218"/>
    </row>
    <row r="4825" spans="1:27" ht="24" x14ac:dyDescent="0.25">
      <c r="A4825" s="405">
        <v>3003774</v>
      </c>
      <c r="B4825" s="406">
        <v>42598</v>
      </c>
      <c r="C4825" s="405" t="s">
        <v>237</v>
      </c>
      <c r="D4825" s="401" t="s">
        <v>10650</v>
      </c>
      <c r="E4825" s="120">
        <v>100</v>
      </c>
      <c r="F4825" s="133" t="s">
        <v>590</v>
      </c>
      <c r="G4825" s="404" t="s">
        <v>45</v>
      </c>
      <c r="H4825" s="411">
        <v>115.08</v>
      </c>
      <c r="I4825" s="397">
        <f t="shared" ref="I4825" si="1265">-(H4825*0.15)</f>
        <v>-17.262</v>
      </c>
      <c r="J4825" s="411">
        <v>0</v>
      </c>
      <c r="K4825" s="90">
        <f t="shared" si="1256"/>
        <v>97.817999999999998</v>
      </c>
      <c r="L4825" s="131">
        <v>571.41999999999996</v>
      </c>
      <c r="M4825" s="187">
        <v>29.29</v>
      </c>
      <c r="N4825" s="91">
        <f t="shared" si="1262"/>
        <v>86.431999999999988</v>
      </c>
      <c r="O4825" s="411">
        <f t="shared" si="1253"/>
        <v>11.38600000000001</v>
      </c>
      <c r="P4825" s="132" t="s">
        <v>86</v>
      </c>
      <c r="Q4825" s="232"/>
      <c r="R4825" s="411"/>
      <c r="T4825" s="134" t="s">
        <v>145</v>
      </c>
      <c r="U4825" s="267" t="s">
        <v>10651</v>
      </c>
      <c r="AA4825" s="218"/>
    </row>
    <row r="4826" spans="1:27" ht="24" x14ac:dyDescent="0.25">
      <c r="A4826" s="405">
        <v>3003775</v>
      </c>
      <c r="B4826" s="406">
        <v>42598</v>
      </c>
      <c r="C4826" s="405" t="s">
        <v>237</v>
      </c>
      <c r="D4826" s="401" t="s">
        <v>10652</v>
      </c>
      <c r="E4826" s="120">
        <v>500</v>
      </c>
      <c r="F4826" s="133" t="s">
        <v>10653</v>
      </c>
      <c r="G4826" s="404" t="s">
        <v>45</v>
      </c>
      <c r="H4826" s="411">
        <v>228.67</v>
      </c>
      <c r="I4826" s="397">
        <f t="shared" ref="I4826" si="1266">-(H4826*0.15)</f>
        <v>-34.3005</v>
      </c>
      <c r="J4826" s="411">
        <v>0</v>
      </c>
      <c r="K4826" s="90">
        <f t="shared" si="1256"/>
        <v>194.36949999999999</v>
      </c>
      <c r="L4826" s="187">
        <v>271.25</v>
      </c>
      <c r="M4826" s="187">
        <v>22.93</v>
      </c>
      <c r="N4826" s="91">
        <f t="shared" si="1262"/>
        <v>158.55500000000001</v>
      </c>
      <c r="O4826" s="411">
        <f t="shared" si="1253"/>
        <v>35.814499999999981</v>
      </c>
      <c r="P4826" s="132" t="s">
        <v>76</v>
      </c>
      <c r="Q4826" s="232"/>
      <c r="R4826" s="411"/>
      <c r="T4826" s="134" t="s">
        <v>145</v>
      </c>
      <c r="U4826" s="267" t="s">
        <v>10654</v>
      </c>
      <c r="AA4826" s="218"/>
    </row>
    <row r="4827" spans="1:27" ht="48" x14ac:dyDescent="0.25">
      <c r="A4827" s="405">
        <v>3003776</v>
      </c>
      <c r="B4827" s="406">
        <v>42598</v>
      </c>
      <c r="C4827" s="405" t="s">
        <v>56</v>
      </c>
      <c r="D4827" s="401" t="s">
        <v>10655</v>
      </c>
      <c r="E4827" s="120">
        <v>1617</v>
      </c>
      <c r="F4827" s="119" t="s">
        <v>10656</v>
      </c>
      <c r="G4827" s="404" t="s">
        <v>45</v>
      </c>
      <c r="H4827" s="411">
        <v>12640</v>
      </c>
      <c r="I4827" s="411">
        <v>0</v>
      </c>
      <c r="J4827" s="411">
        <v>0</v>
      </c>
      <c r="K4827" s="90">
        <f t="shared" si="1256"/>
        <v>12640</v>
      </c>
      <c r="L4827" s="187">
        <v>6000</v>
      </c>
      <c r="M4827" s="187">
        <v>1250</v>
      </c>
      <c r="N4827" s="91">
        <f t="shared" si="1262"/>
        <v>10952</v>
      </c>
      <c r="O4827" s="411">
        <f t="shared" si="1253"/>
        <v>1688</v>
      </c>
      <c r="P4827" s="132" t="s">
        <v>4568</v>
      </c>
      <c r="Q4827" s="232"/>
      <c r="R4827" s="411"/>
      <c r="T4827" s="134" t="s">
        <v>10657</v>
      </c>
      <c r="U4827" s="266" t="s">
        <v>10658</v>
      </c>
      <c r="AA4827" s="218"/>
    </row>
    <row r="4828" spans="1:27" ht="24" x14ac:dyDescent="0.25">
      <c r="A4828" s="405">
        <v>3003777</v>
      </c>
      <c r="B4828" s="406">
        <v>42598</v>
      </c>
      <c r="C4828" s="405" t="s">
        <v>237</v>
      </c>
      <c r="D4828" s="401" t="s">
        <v>10659</v>
      </c>
      <c r="E4828" s="120">
        <v>50</v>
      </c>
      <c r="F4828" s="133" t="s">
        <v>288</v>
      </c>
      <c r="G4828" s="404" t="s">
        <v>45</v>
      </c>
      <c r="H4828" s="411">
        <v>110.04</v>
      </c>
      <c r="I4828" s="397">
        <f t="shared" ref="I4828" si="1267">-(H4828*0.15)</f>
        <v>-16.506</v>
      </c>
      <c r="J4828" s="411">
        <v>0</v>
      </c>
      <c r="K4828" s="90">
        <f t="shared" si="1256"/>
        <v>93.534000000000006</v>
      </c>
      <c r="L4828" s="131">
        <v>950</v>
      </c>
      <c r="M4828" s="187">
        <v>27.15</v>
      </c>
      <c r="N4828" s="91">
        <f t="shared" si="1262"/>
        <v>74.650000000000006</v>
      </c>
      <c r="O4828" s="411">
        <f t="shared" si="1253"/>
        <v>18.884</v>
      </c>
      <c r="P4828" s="132" t="s">
        <v>52</v>
      </c>
      <c r="Q4828" s="232"/>
      <c r="R4828" s="411"/>
      <c r="T4828" s="134" t="s">
        <v>145</v>
      </c>
      <c r="U4828" s="267" t="s">
        <v>10660</v>
      </c>
      <c r="AA4828" s="218"/>
    </row>
    <row r="4829" spans="1:27" ht="24" x14ac:dyDescent="0.25">
      <c r="A4829" s="405">
        <v>3003778</v>
      </c>
      <c r="B4829" s="406">
        <v>42598</v>
      </c>
      <c r="C4829" s="405" t="s">
        <v>237</v>
      </c>
      <c r="D4829" s="401" t="s">
        <v>10661</v>
      </c>
      <c r="E4829" s="120">
        <v>150</v>
      </c>
      <c r="F4829" s="133" t="s">
        <v>247</v>
      </c>
      <c r="G4829" s="404" t="s">
        <v>45</v>
      </c>
      <c r="H4829" s="411">
        <v>164.07</v>
      </c>
      <c r="I4829" s="397">
        <f t="shared" ref="I4829" si="1268">-(H4829*0.15)</f>
        <v>-24.610499999999998</v>
      </c>
      <c r="J4829" s="411">
        <v>0</v>
      </c>
      <c r="K4829" s="90">
        <f t="shared" si="1256"/>
        <v>139.45949999999999</v>
      </c>
      <c r="L4829" s="131">
        <v>480</v>
      </c>
      <c r="M4829" s="187">
        <v>38.64</v>
      </c>
      <c r="N4829" s="91">
        <f t="shared" si="1262"/>
        <v>110.64</v>
      </c>
      <c r="O4829" s="411">
        <f t="shared" si="1253"/>
        <v>28.819499999999991</v>
      </c>
      <c r="P4829" s="132" t="s">
        <v>52</v>
      </c>
      <c r="Q4829" s="232"/>
      <c r="R4829" s="411"/>
      <c r="T4829" s="134" t="s">
        <v>145</v>
      </c>
      <c r="U4829" s="267" t="s">
        <v>10662</v>
      </c>
      <c r="AA4829" s="218"/>
    </row>
    <row r="4830" spans="1:27" ht="24" x14ac:dyDescent="0.25">
      <c r="A4830" s="405">
        <v>3003779</v>
      </c>
      <c r="B4830" s="406">
        <v>42598</v>
      </c>
      <c r="C4830" s="405" t="s">
        <v>42</v>
      </c>
      <c r="D4830" s="401" t="s">
        <v>10663</v>
      </c>
      <c r="E4830" s="120">
        <v>500</v>
      </c>
      <c r="F4830" s="119" t="s">
        <v>8451</v>
      </c>
      <c r="G4830" s="404" t="s">
        <v>45</v>
      </c>
      <c r="H4830" s="411">
        <v>351.5</v>
      </c>
      <c r="I4830" s="89">
        <f>-(H4830*0.09)</f>
        <v>-31.634999999999998</v>
      </c>
      <c r="J4830" s="258">
        <f t="shared" ref="J4830" si="1269">-((H4830*0.019)+0.3)</f>
        <v>-6.9784999999999995</v>
      </c>
      <c r="K4830" s="90">
        <f t="shared" ref="K4830" si="1270">SUM(H4830:J4830)</f>
        <v>312.88650000000001</v>
      </c>
      <c r="L4830" s="187">
        <v>415.65</v>
      </c>
      <c r="M4830" s="187">
        <v>34.020000000000003</v>
      </c>
      <c r="N4830" s="91">
        <f t="shared" si="1262"/>
        <v>241.845</v>
      </c>
      <c r="O4830" s="411">
        <f t="shared" si="1253"/>
        <v>71.041500000000013</v>
      </c>
      <c r="P4830" s="132" t="s">
        <v>926</v>
      </c>
      <c r="Q4830" s="232"/>
      <c r="R4830" s="411"/>
      <c r="T4830" s="134" t="s">
        <v>145</v>
      </c>
      <c r="U4830" s="267" t="s">
        <v>10664</v>
      </c>
      <c r="AA4830" s="218"/>
    </row>
    <row r="4831" spans="1:27" ht="24" x14ac:dyDescent="0.25">
      <c r="A4831" s="405">
        <v>3003780</v>
      </c>
      <c r="B4831" s="406">
        <v>42598</v>
      </c>
      <c r="C4831" s="405" t="s">
        <v>5682</v>
      </c>
      <c r="D4831" s="401" t="s">
        <v>10665</v>
      </c>
      <c r="E4831" s="120">
        <v>250</v>
      </c>
      <c r="F4831" s="133" t="s">
        <v>6159</v>
      </c>
      <c r="G4831" s="404" t="s">
        <v>45</v>
      </c>
      <c r="H4831" s="411">
        <v>198.08</v>
      </c>
      <c r="I4831" s="89">
        <f>-(H4831*0.09)</f>
        <v>-17.827200000000001</v>
      </c>
      <c r="J4831" s="258">
        <f t="shared" ref="J4831" si="1271">-((H4831*0.019)+0.3)</f>
        <v>-4.0635200000000005</v>
      </c>
      <c r="K4831" s="90">
        <f t="shared" ref="K4831" si="1272">SUM(H4831:J4831)</f>
        <v>176.18928</v>
      </c>
      <c r="M4831" s="187">
        <v>28.34</v>
      </c>
      <c r="N4831" s="91">
        <f t="shared" si="1262"/>
        <v>28.34</v>
      </c>
      <c r="O4831" s="411">
        <f t="shared" si="1253"/>
        <v>147.84927999999999</v>
      </c>
      <c r="P4831" s="132" t="s">
        <v>52</v>
      </c>
      <c r="Q4831" s="232"/>
      <c r="R4831" s="411"/>
      <c r="T4831" s="134" t="s">
        <v>145</v>
      </c>
      <c r="U4831" s="267" t="s">
        <v>10666</v>
      </c>
      <c r="AA4831" s="218"/>
    </row>
    <row r="4832" spans="1:27" ht="24" x14ac:dyDescent="0.25">
      <c r="A4832" s="405">
        <v>3003781</v>
      </c>
      <c r="B4832" s="406">
        <v>42598</v>
      </c>
      <c r="C4832" s="405" t="s">
        <v>5682</v>
      </c>
      <c r="D4832" s="401" t="s">
        <v>10667</v>
      </c>
      <c r="E4832" s="120">
        <v>100</v>
      </c>
      <c r="F4832" s="133" t="s">
        <v>161</v>
      </c>
      <c r="G4832" s="404" t="s">
        <v>45</v>
      </c>
      <c r="H4832" s="411">
        <v>246</v>
      </c>
      <c r="I4832" s="89">
        <f>-(H4832*0.09)</f>
        <v>-22.14</v>
      </c>
      <c r="J4832" s="258">
        <f t="shared" ref="J4832" si="1273">-((H4832*0.019)+0.3)</f>
        <v>-4.9739999999999993</v>
      </c>
      <c r="K4832" s="90">
        <f t="shared" ref="K4832" si="1274">SUM(H4832:J4832)</f>
        <v>218.88600000000002</v>
      </c>
      <c r="L4832" s="131">
        <v>1322</v>
      </c>
      <c r="M4832" s="187">
        <v>24.84</v>
      </c>
      <c r="N4832" s="91">
        <f t="shared" si="1262"/>
        <v>157.04000000000002</v>
      </c>
      <c r="O4832" s="411">
        <f t="shared" si="1253"/>
        <v>61.846000000000004</v>
      </c>
      <c r="P4832" s="132" t="s">
        <v>86</v>
      </c>
      <c r="Q4832" s="232"/>
      <c r="R4832" s="411"/>
      <c r="T4832" s="134" t="s">
        <v>145</v>
      </c>
      <c r="U4832" s="267" t="s">
        <v>10668</v>
      </c>
      <c r="AA4832" s="218"/>
    </row>
    <row r="4833" spans="1:27" x14ac:dyDescent="0.25">
      <c r="A4833" s="419">
        <v>3003782</v>
      </c>
      <c r="B4833" s="421">
        <v>42598</v>
      </c>
      <c r="C4833" s="419" t="s">
        <v>5682</v>
      </c>
      <c r="D4833" s="429" t="s">
        <v>10669</v>
      </c>
      <c r="E4833" s="120">
        <v>500</v>
      </c>
      <c r="F4833" s="133" t="s">
        <v>1463</v>
      </c>
      <c r="G4833" s="434" t="s">
        <v>45</v>
      </c>
      <c r="H4833" s="427">
        <v>1199.3800000000001</v>
      </c>
      <c r="I4833" s="452">
        <f>-(H4833*0.09)</f>
        <v>-107.94420000000001</v>
      </c>
      <c r="J4833" s="425">
        <f t="shared" ref="J4833" si="1275">-((H4833*0.019)+0.3)</f>
        <v>-23.088220000000003</v>
      </c>
      <c r="K4833" s="425">
        <f t="shared" ref="K4833" si="1276">SUM(H4833:J4833)</f>
        <v>1068.3475800000001</v>
      </c>
      <c r="L4833" s="187">
        <v>294</v>
      </c>
      <c r="M4833" s="187">
        <v>183.74</v>
      </c>
      <c r="N4833" s="91">
        <f t="shared" si="1262"/>
        <v>330.74</v>
      </c>
      <c r="O4833" s="411">
        <f t="shared" si="1253"/>
        <v>737.6075800000001</v>
      </c>
      <c r="P4833" s="132" t="s">
        <v>183</v>
      </c>
      <c r="Q4833" s="232"/>
      <c r="R4833" s="411"/>
      <c r="T4833" s="439" t="s">
        <v>1346</v>
      </c>
      <c r="U4833" s="446" t="s">
        <v>10670</v>
      </c>
      <c r="AA4833" s="218"/>
    </row>
    <row r="4834" spans="1:27" x14ac:dyDescent="0.25">
      <c r="A4834" s="420"/>
      <c r="B4834" s="422"/>
      <c r="C4834" s="420"/>
      <c r="D4834" s="431"/>
      <c r="E4834" s="120">
        <v>1000</v>
      </c>
      <c r="F4834" s="133" t="s">
        <v>4491</v>
      </c>
      <c r="G4834" s="436"/>
      <c r="H4834" s="428"/>
      <c r="I4834" s="453"/>
      <c r="J4834" s="426"/>
      <c r="K4834" s="426"/>
      <c r="L4834" s="187">
        <v>585</v>
      </c>
      <c r="M4834" s="187"/>
      <c r="N4834" s="91">
        <f t="shared" si="1262"/>
        <v>585</v>
      </c>
      <c r="O4834" s="411">
        <f t="shared" si="1253"/>
        <v>-585</v>
      </c>
      <c r="P4834" s="132" t="s">
        <v>183</v>
      </c>
      <c r="Q4834" s="232"/>
      <c r="R4834" s="411"/>
      <c r="T4834" s="441"/>
      <c r="U4834" s="447"/>
      <c r="AA4834" s="218"/>
    </row>
    <row r="4835" spans="1:27" ht="24" x14ac:dyDescent="0.25">
      <c r="A4835" s="405">
        <v>3003783</v>
      </c>
      <c r="B4835" s="406">
        <v>42598</v>
      </c>
      <c r="C4835" s="405" t="s">
        <v>5682</v>
      </c>
      <c r="D4835" s="401" t="s">
        <v>10671</v>
      </c>
      <c r="E4835" s="120">
        <v>250</v>
      </c>
      <c r="F4835" s="133" t="s">
        <v>1002</v>
      </c>
      <c r="G4835" s="404" t="s">
        <v>45</v>
      </c>
      <c r="H4835" s="411">
        <v>192.38</v>
      </c>
      <c r="I4835" s="89">
        <f>-(H4835*0.09)</f>
        <v>-17.3142</v>
      </c>
      <c r="J4835" s="258">
        <f t="shared" ref="J4835" si="1277">-((H4835*0.019)+0.3)</f>
        <v>-3.9552199999999997</v>
      </c>
      <c r="K4835" s="90">
        <f t="shared" ref="K4835" si="1278">SUM(H4835:J4835)</f>
        <v>171.11058</v>
      </c>
      <c r="L4835" s="187">
        <v>320</v>
      </c>
      <c r="M4835" s="187">
        <v>9.34</v>
      </c>
      <c r="N4835" s="91">
        <f t="shared" si="1262"/>
        <v>89.34</v>
      </c>
      <c r="O4835" s="411">
        <f t="shared" si="1253"/>
        <v>81.770579999999995</v>
      </c>
      <c r="P4835" s="132" t="s">
        <v>183</v>
      </c>
      <c r="Q4835" s="232"/>
      <c r="R4835" s="411"/>
      <c r="T4835" s="134" t="s">
        <v>145</v>
      </c>
      <c r="U4835" s="267" t="s">
        <v>10672</v>
      </c>
      <c r="AA4835" s="218"/>
    </row>
    <row r="4836" spans="1:27" ht="24" x14ac:dyDescent="0.25">
      <c r="A4836" s="405">
        <v>3003784</v>
      </c>
      <c r="B4836" s="406">
        <v>42598</v>
      </c>
      <c r="C4836" s="405" t="s">
        <v>5682</v>
      </c>
      <c r="D4836" s="401" t="s">
        <v>10673</v>
      </c>
      <c r="E4836" s="120">
        <v>250</v>
      </c>
      <c r="F4836" s="133" t="s">
        <v>829</v>
      </c>
      <c r="G4836" s="404" t="s">
        <v>45</v>
      </c>
      <c r="H4836" s="411">
        <v>234.18</v>
      </c>
      <c r="I4836" s="89">
        <f>-(H4836*0.09)</f>
        <v>-21.0762</v>
      </c>
      <c r="J4836" s="258">
        <f t="shared" ref="J4836" si="1279">-((H4836*0.019)+0.3)</f>
        <v>-4.7494199999999998</v>
      </c>
      <c r="K4836" s="90">
        <f t="shared" ref="K4836" si="1280">SUM(H4836:J4836)</f>
        <v>208.35438000000002</v>
      </c>
      <c r="L4836" s="131">
        <v>510</v>
      </c>
      <c r="M4836" s="187">
        <v>49.47</v>
      </c>
      <c r="N4836" s="91">
        <f t="shared" si="1262"/>
        <v>176.97</v>
      </c>
      <c r="O4836" s="411">
        <f t="shared" si="1253"/>
        <v>31.384380000000021</v>
      </c>
      <c r="P4836" s="132" t="s">
        <v>52</v>
      </c>
      <c r="Q4836" s="232"/>
      <c r="R4836" s="411"/>
      <c r="T4836" s="134" t="s">
        <v>145</v>
      </c>
      <c r="U4836" s="267" t="s">
        <v>10674</v>
      </c>
      <c r="AA4836" s="218"/>
    </row>
    <row r="4837" spans="1:27" ht="24" x14ac:dyDescent="0.25">
      <c r="A4837" s="405">
        <v>3003785</v>
      </c>
      <c r="B4837" s="406">
        <v>42598</v>
      </c>
      <c r="C4837" s="405" t="s">
        <v>5682</v>
      </c>
      <c r="D4837" s="401" t="s">
        <v>10675</v>
      </c>
      <c r="E4837" s="120">
        <v>100</v>
      </c>
      <c r="F4837" s="133" t="s">
        <v>247</v>
      </c>
      <c r="G4837" s="404" t="s">
        <v>45</v>
      </c>
      <c r="H4837" s="411">
        <v>142</v>
      </c>
      <c r="I4837" s="89">
        <f>-(H4837*0.09)</f>
        <v>-12.78</v>
      </c>
      <c r="J4837" s="258">
        <f t="shared" ref="J4837" si="1281">-((H4837*0.019)+0.3)</f>
        <v>-2.9979999999999998</v>
      </c>
      <c r="K4837" s="90">
        <f t="shared" ref="K4837" si="1282">SUM(H4837:J4837)</f>
        <v>126.22199999999999</v>
      </c>
      <c r="L4837" s="131">
        <v>480</v>
      </c>
      <c r="M4837" s="187">
        <v>32.6</v>
      </c>
      <c r="N4837" s="91">
        <f t="shared" si="1262"/>
        <v>80.599999999999994</v>
      </c>
      <c r="O4837" s="411">
        <f t="shared" si="1253"/>
        <v>45.622</v>
      </c>
      <c r="P4837" s="132" t="s">
        <v>52</v>
      </c>
      <c r="Q4837" s="232"/>
      <c r="R4837" s="411"/>
      <c r="T4837" s="134" t="s">
        <v>145</v>
      </c>
      <c r="U4837" s="267" t="s">
        <v>10676</v>
      </c>
      <c r="AA4837" s="218"/>
    </row>
    <row r="4838" spans="1:27" x14ac:dyDescent="0.25">
      <c r="A4838" s="405">
        <v>3003786</v>
      </c>
      <c r="B4838" s="406">
        <v>42598</v>
      </c>
      <c r="C4838" s="405" t="s">
        <v>5682</v>
      </c>
      <c r="D4838" s="401" t="s">
        <v>10677</v>
      </c>
      <c r="E4838" s="120">
        <v>1000</v>
      </c>
      <c r="F4838" s="133" t="s">
        <v>51</v>
      </c>
      <c r="G4838" s="404" t="s">
        <v>45</v>
      </c>
      <c r="H4838" s="411">
        <v>1778.4</v>
      </c>
      <c r="I4838" s="89">
        <f>-(H4838*0.09)</f>
        <v>-160.05600000000001</v>
      </c>
      <c r="J4838" s="258">
        <f t="shared" ref="J4838" si="1283">-((H4838*0.019)+0.3)</f>
        <v>-34.089599999999997</v>
      </c>
      <c r="K4838" s="90">
        <f t="shared" ref="K4838" si="1284">SUM(H4838:J4838)</f>
        <v>1584.2544</v>
      </c>
      <c r="L4838" s="131">
        <v>1015</v>
      </c>
      <c r="M4838" s="187">
        <v>161.94</v>
      </c>
      <c r="N4838" s="91">
        <f t="shared" si="1262"/>
        <v>1176.94</v>
      </c>
      <c r="O4838" s="411">
        <f t="shared" si="1253"/>
        <v>407.31439999999998</v>
      </c>
      <c r="P4838" s="132" t="s">
        <v>52</v>
      </c>
      <c r="Q4838" s="232"/>
      <c r="R4838" s="411"/>
      <c r="T4838" s="134" t="s">
        <v>875</v>
      </c>
      <c r="U4838" s="267" t="s">
        <v>10678</v>
      </c>
      <c r="V4838" s="133" t="s">
        <v>55</v>
      </c>
      <c r="AA4838" s="218"/>
    </row>
    <row r="4839" spans="1:27" ht="24" x14ac:dyDescent="0.25">
      <c r="A4839" s="405">
        <v>3003787</v>
      </c>
      <c r="B4839" s="406">
        <v>42598</v>
      </c>
      <c r="C4839" s="405" t="s">
        <v>327</v>
      </c>
      <c r="D4839" s="401" t="s">
        <v>10679</v>
      </c>
      <c r="E4839" s="120">
        <v>200</v>
      </c>
      <c r="F4839" s="133" t="s">
        <v>2610</v>
      </c>
      <c r="G4839" s="404" t="s">
        <v>45</v>
      </c>
      <c r="H4839" s="411">
        <v>205</v>
      </c>
      <c r="I4839" s="411">
        <v>0</v>
      </c>
      <c r="J4839" s="258">
        <f>-((H4839*0.022)+0.3)</f>
        <v>-4.8099999999999996</v>
      </c>
      <c r="K4839" s="90">
        <f>SUM(H4839:J4839)</f>
        <v>200.19</v>
      </c>
      <c r="L4839" s="187">
        <v>513</v>
      </c>
      <c r="M4839" s="187">
        <v>20.21</v>
      </c>
      <c r="N4839" s="91">
        <f t="shared" si="1262"/>
        <v>122.81</v>
      </c>
      <c r="O4839" s="411">
        <f t="shared" si="1253"/>
        <v>77.38</v>
      </c>
      <c r="P4839" s="132" t="s">
        <v>183</v>
      </c>
      <c r="Q4839" s="232"/>
      <c r="R4839" s="411"/>
      <c r="T4839" s="134" t="s">
        <v>145</v>
      </c>
      <c r="U4839" s="267" t="s">
        <v>10680</v>
      </c>
      <c r="W4839" s="153" t="s">
        <v>10681</v>
      </c>
      <c r="AA4839" s="218"/>
    </row>
    <row r="4840" spans="1:27" ht="24" x14ac:dyDescent="0.25">
      <c r="A4840" s="419">
        <v>3003788</v>
      </c>
      <c r="B4840" s="421">
        <v>42598</v>
      </c>
      <c r="C4840" s="419" t="s">
        <v>141</v>
      </c>
      <c r="D4840" s="532" t="s">
        <v>10682</v>
      </c>
      <c r="E4840" s="120">
        <v>160</v>
      </c>
      <c r="F4840" s="119" t="s">
        <v>10683</v>
      </c>
      <c r="G4840" s="434" t="s">
        <v>45</v>
      </c>
      <c r="H4840" s="427">
        <v>2485.2800000000002</v>
      </c>
      <c r="I4840" s="427">
        <v>0</v>
      </c>
      <c r="J4840" s="425">
        <f>-((H4840*0.0325)+0.3)</f>
        <v>-81.071600000000004</v>
      </c>
      <c r="K4840" s="425">
        <f>SUM(H4840:J4840)</f>
        <v>2404.2084</v>
      </c>
      <c r="L4840" s="187">
        <v>6500</v>
      </c>
      <c r="M4840" s="187">
        <v>99</v>
      </c>
      <c r="N4840" s="91">
        <f t="shared" si="1262"/>
        <v>1139</v>
      </c>
      <c r="O4840" s="411">
        <f t="shared" si="1253"/>
        <v>1265.2084</v>
      </c>
      <c r="P4840" s="132" t="s">
        <v>46</v>
      </c>
      <c r="Q4840" s="232"/>
      <c r="R4840" s="411"/>
      <c r="T4840" s="134" t="s">
        <v>463</v>
      </c>
      <c r="U4840" s="267" t="s">
        <v>10684</v>
      </c>
      <c r="W4840" s="153" t="s">
        <v>10685</v>
      </c>
      <c r="AA4840" s="473">
        <v>10</v>
      </c>
    </row>
    <row r="4841" spans="1:27" ht="24" x14ac:dyDescent="0.25">
      <c r="A4841" s="420"/>
      <c r="B4841" s="422"/>
      <c r="C4841" s="420"/>
      <c r="D4841" s="533"/>
      <c r="E4841" s="120">
        <v>160</v>
      </c>
      <c r="F4841" s="119" t="s">
        <v>10686</v>
      </c>
      <c r="G4841" s="436"/>
      <c r="H4841" s="428"/>
      <c r="I4841" s="428"/>
      <c r="J4841" s="426"/>
      <c r="K4841" s="426"/>
      <c r="L4841" s="187">
        <v>197</v>
      </c>
      <c r="M4841" s="187">
        <v>10.49</v>
      </c>
      <c r="N4841" s="91">
        <f t="shared" si="1262"/>
        <v>42.01</v>
      </c>
      <c r="O4841" s="411">
        <f t="shared" si="1253"/>
        <v>-42.01</v>
      </c>
      <c r="P4841" s="132" t="s">
        <v>643</v>
      </c>
      <c r="Q4841" s="232"/>
      <c r="R4841" s="411"/>
      <c r="T4841" s="134" t="s">
        <v>145</v>
      </c>
      <c r="U4841" s="267" t="s">
        <v>10687</v>
      </c>
      <c r="V4841" s="133" t="s">
        <v>10688</v>
      </c>
      <c r="AA4841" s="474"/>
    </row>
    <row r="4842" spans="1:27" x14ac:dyDescent="0.25">
      <c r="A4842" s="405">
        <v>3003789</v>
      </c>
      <c r="B4842" s="406">
        <v>42598</v>
      </c>
      <c r="C4842" s="405" t="s">
        <v>9435</v>
      </c>
      <c r="D4842" s="401" t="s">
        <v>10689</v>
      </c>
      <c r="E4842" s="120">
        <v>500</v>
      </c>
      <c r="F4842" s="133" t="s">
        <v>597</v>
      </c>
      <c r="G4842" s="404" t="s">
        <v>45</v>
      </c>
      <c r="H4842" s="411">
        <v>1650</v>
      </c>
      <c r="I4842" s="411">
        <v>0</v>
      </c>
      <c r="J4842" s="258">
        <f>-((H4842*0.022)+0.3)</f>
        <v>-36.599999999999994</v>
      </c>
      <c r="K4842" s="90">
        <f>SUM(H4842:J4842)</f>
        <v>1613.4</v>
      </c>
      <c r="L4842" s="187">
        <v>2250</v>
      </c>
      <c r="M4842" s="158">
        <v>0</v>
      </c>
      <c r="N4842" s="91">
        <f t="shared" si="1262"/>
        <v>1125</v>
      </c>
      <c r="O4842" s="411">
        <f t="shared" si="1253"/>
        <v>488.40000000000009</v>
      </c>
      <c r="P4842" s="132" t="s">
        <v>66</v>
      </c>
      <c r="Q4842" s="232"/>
      <c r="R4842" s="411"/>
      <c r="T4842" s="134" t="s">
        <v>364</v>
      </c>
      <c r="U4842" s="267" t="s">
        <v>10690</v>
      </c>
      <c r="W4842" s="153" t="s">
        <v>10691</v>
      </c>
      <c r="AA4842" s="218">
        <v>10</v>
      </c>
    </row>
    <row r="4843" spans="1:27" ht="24" x14ac:dyDescent="0.25">
      <c r="A4843" s="405">
        <v>3003790</v>
      </c>
      <c r="B4843" s="406">
        <v>42598</v>
      </c>
      <c r="C4843" s="405" t="s">
        <v>5682</v>
      </c>
      <c r="D4843" s="401" t="s">
        <v>10692</v>
      </c>
      <c r="E4843" s="120">
        <v>200</v>
      </c>
      <c r="F4843" s="133" t="s">
        <v>10693</v>
      </c>
      <c r="G4843" s="404" t="s">
        <v>45</v>
      </c>
      <c r="H4843" s="411">
        <v>677.16</v>
      </c>
      <c r="I4843" s="89">
        <f>-(H4843*0.09)</f>
        <v>-60.944399999999995</v>
      </c>
      <c r="J4843" s="258">
        <f t="shared" ref="J4843" si="1285">-((H4843*0.019)+0.3)</f>
        <v>-13.166040000000001</v>
      </c>
      <c r="K4843" s="90">
        <f t="shared" ref="K4843" si="1286">SUM(H4843:J4843)</f>
        <v>603.04956000000004</v>
      </c>
      <c r="L4843" s="269">
        <v>1999</v>
      </c>
      <c r="M4843" s="187">
        <v>25</v>
      </c>
      <c r="N4843" s="91">
        <f t="shared" si="1262"/>
        <v>424.8</v>
      </c>
      <c r="O4843" s="411">
        <f t="shared" si="1253"/>
        <v>178.24956000000003</v>
      </c>
      <c r="P4843" s="132" t="s">
        <v>601</v>
      </c>
      <c r="Q4843" s="232"/>
      <c r="R4843" s="411"/>
      <c r="T4843" s="134" t="s">
        <v>145</v>
      </c>
      <c r="U4843" s="267" t="s">
        <v>10694</v>
      </c>
      <c r="AA4843" s="218"/>
    </row>
    <row r="4844" spans="1:27" x14ac:dyDescent="0.25">
      <c r="A4844" s="419">
        <v>3003791</v>
      </c>
      <c r="B4844" s="421">
        <v>42599</v>
      </c>
      <c r="C4844" s="419" t="s">
        <v>141</v>
      </c>
      <c r="D4844" s="417" t="s">
        <v>10695</v>
      </c>
      <c r="E4844" s="120">
        <v>20</v>
      </c>
      <c r="F4844" s="133" t="s">
        <v>3719</v>
      </c>
      <c r="G4844" s="434" t="s">
        <v>45</v>
      </c>
      <c r="H4844" s="427">
        <v>484</v>
      </c>
      <c r="I4844" s="427">
        <v>0</v>
      </c>
      <c r="J4844" s="425">
        <f>-((H4844*0.0325)+0.3)</f>
        <v>-16.03</v>
      </c>
      <c r="K4844" s="425">
        <f>SUM(H4844:J4844)</f>
        <v>467.97</v>
      </c>
      <c r="L4844" s="187">
        <v>1250</v>
      </c>
      <c r="M4844" s="187">
        <v>9.15</v>
      </c>
      <c r="N4844" s="91">
        <f t="shared" si="1262"/>
        <v>34.15</v>
      </c>
      <c r="O4844" s="411">
        <f t="shared" si="1253"/>
        <v>433.82000000000005</v>
      </c>
      <c r="P4844" s="132" t="s">
        <v>601</v>
      </c>
      <c r="Q4844" s="232"/>
      <c r="R4844" s="411"/>
      <c r="T4844" s="439" t="s">
        <v>145</v>
      </c>
      <c r="U4844" s="446" t="s">
        <v>10696</v>
      </c>
      <c r="W4844" s="153" t="s">
        <v>10697</v>
      </c>
      <c r="Z4844" s="268"/>
      <c r="AA4844" s="218"/>
    </row>
    <row r="4845" spans="1:27" x14ac:dyDescent="0.25">
      <c r="A4845" s="432"/>
      <c r="B4845" s="433"/>
      <c r="C4845" s="432"/>
      <c r="D4845" s="454"/>
      <c r="E4845" s="120">
        <v>20</v>
      </c>
      <c r="F4845" s="133" t="s">
        <v>3307</v>
      </c>
      <c r="G4845" s="435"/>
      <c r="H4845" s="438"/>
      <c r="I4845" s="438"/>
      <c r="J4845" s="437"/>
      <c r="K4845" s="437"/>
      <c r="L4845" s="187">
        <v>1250</v>
      </c>
      <c r="M4845" s="158">
        <v>0</v>
      </c>
      <c r="N4845" s="91">
        <f t="shared" si="1262"/>
        <v>25</v>
      </c>
      <c r="O4845" s="411">
        <f t="shared" si="1253"/>
        <v>-25</v>
      </c>
      <c r="P4845" s="132" t="s">
        <v>601</v>
      </c>
      <c r="Q4845" s="232"/>
      <c r="R4845" s="411"/>
      <c r="T4845" s="440"/>
      <c r="U4845" s="448"/>
      <c r="Z4845" s="268"/>
      <c r="AA4845" s="218"/>
    </row>
    <row r="4846" spans="1:27" x14ac:dyDescent="0.25">
      <c r="A4846" s="432"/>
      <c r="B4846" s="433"/>
      <c r="C4846" s="432"/>
      <c r="D4846" s="454"/>
      <c r="E4846" s="120">
        <v>8</v>
      </c>
      <c r="F4846" s="133" t="s">
        <v>4881</v>
      </c>
      <c r="G4846" s="435"/>
      <c r="H4846" s="438"/>
      <c r="I4846" s="438"/>
      <c r="J4846" s="437"/>
      <c r="K4846" s="437"/>
      <c r="L4846" s="187">
        <v>550</v>
      </c>
      <c r="M4846" s="158"/>
      <c r="N4846" s="91">
        <f t="shared" si="1262"/>
        <v>4.4000000000000004</v>
      </c>
      <c r="O4846" s="411">
        <f t="shared" si="1253"/>
        <v>-4.4000000000000004</v>
      </c>
      <c r="P4846" s="132" t="s">
        <v>601</v>
      </c>
      <c r="Q4846" s="232"/>
      <c r="R4846" s="411"/>
      <c r="T4846" s="440"/>
      <c r="U4846" s="448"/>
      <c r="Z4846" s="268"/>
      <c r="AA4846" s="218"/>
    </row>
    <row r="4847" spans="1:27" x14ac:dyDescent="0.25">
      <c r="A4847" s="432"/>
      <c r="B4847" s="433"/>
      <c r="C4847" s="432"/>
      <c r="D4847" s="454"/>
      <c r="E4847" s="120">
        <v>8</v>
      </c>
      <c r="F4847" s="133" t="s">
        <v>10698</v>
      </c>
      <c r="G4847" s="435"/>
      <c r="H4847" s="438"/>
      <c r="I4847" s="438"/>
      <c r="J4847" s="437"/>
      <c r="K4847" s="437"/>
      <c r="L4847" s="187">
        <v>550</v>
      </c>
      <c r="M4847" s="158"/>
      <c r="N4847" s="91">
        <f t="shared" si="1262"/>
        <v>4.4000000000000004</v>
      </c>
      <c r="O4847" s="411">
        <f t="shared" si="1253"/>
        <v>-4.4000000000000004</v>
      </c>
      <c r="P4847" s="132" t="s">
        <v>601</v>
      </c>
      <c r="Q4847" s="232"/>
      <c r="R4847" s="411"/>
      <c r="T4847" s="440"/>
      <c r="U4847" s="448"/>
      <c r="Z4847" s="268"/>
      <c r="AA4847" s="218"/>
    </row>
    <row r="4848" spans="1:27" x14ac:dyDescent="0.25">
      <c r="A4848" s="432"/>
      <c r="B4848" s="433"/>
      <c r="C4848" s="432"/>
      <c r="D4848" s="454"/>
      <c r="E4848" s="120">
        <v>8</v>
      </c>
      <c r="F4848" s="133" t="s">
        <v>10699</v>
      </c>
      <c r="G4848" s="435"/>
      <c r="H4848" s="438"/>
      <c r="I4848" s="438"/>
      <c r="J4848" s="437"/>
      <c r="K4848" s="437"/>
      <c r="L4848" s="187">
        <v>450</v>
      </c>
      <c r="M4848" s="158"/>
      <c r="N4848" s="91">
        <f t="shared" si="1262"/>
        <v>3.6</v>
      </c>
      <c r="O4848" s="411">
        <f t="shared" si="1253"/>
        <v>-3.6</v>
      </c>
      <c r="P4848" s="132" t="s">
        <v>601</v>
      </c>
      <c r="Q4848" s="232"/>
      <c r="R4848" s="411"/>
      <c r="T4848" s="440"/>
      <c r="U4848" s="448"/>
      <c r="Z4848" s="268"/>
      <c r="AA4848" s="218"/>
    </row>
    <row r="4849" spans="1:27" x14ac:dyDescent="0.25">
      <c r="A4849" s="432"/>
      <c r="B4849" s="433"/>
      <c r="C4849" s="432"/>
      <c r="D4849" s="454"/>
      <c r="E4849" s="120">
        <v>8</v>
      </c>
      <c r="F4849" s="133" t="s">
        <v>10165</v>
      </c>
      <c r="G4849" s="435"/>
      <c r="H4849" s="438"/>
      <c r="I4849" s="438"/>
      <c r="J4849" s="437"/>
      <c r="K4849" s="437"/>
      <c r="L4849" s="187">
        <v>450</v>
      </c>
      <c r="M4849" s="158"/>
      <c r="N4849" s="91">
        <f t="shared" si="1262"/>
        <v>3.6</v>
      </c>
      <c r="O4849" s="411">
        <f t="shared" si="1253"/>
        <v>-3.6</v>
      </c>
      <c r="P4849" s="132" t="s">
        <v>601</v>
      </c>
      <c r="Q4849" s="232"/>
      <c r="R4849" s="411"/>
      <c r="T4849" s="441"/>
      <c r="U4849" s="447"/>
      <c r="Z4849" s="268"/>
      <c r="AA4849" s="218"/>
    </row>
    <row r="4850" spans="1:27" ht="24" x14ac:dyDescent="0.25">
      <c r="A4850" s="420"/>
      <c r="B4850" s="422"/>
      <c r="C4850" s="420"/>
      <c r="D4850" s="418"/>
      <c r="E4850" s="120">
        <v>36</v>
      </c>
      <c r="F4850" s="133" t="s">
        <v>2213</v>
      </c>
      <c r="G4850" s="436"/>
      <c r="H4850" s="428"/>
      <c r="I4850" s="428"/>
      <c r="J4850" s="426"/>
      <c r="K4850" s="426"/>
      <c r="L4850" s="187">
        <v>1000</v>
      </c>
      <c r="M4850" s="187">
        <v>8.1</v>
      </c>
      <c r="N4850" s="91">
        <f t="shared" si="1262"/>
        <v>44.100000000000009</v>
      </c>
      <c r="O4850" s="411">
        <f t="shared" si="1253"/>
        <v>-44.100000000000009</v>
      </c>
      <c r="P4850" s="132" t="s">
        <v>183</v>
      </c>
      <c r="Q4850" s="232"/>
      <c r="R4850" s="411"/>
      <c r="T4850" s="134" t="s">
        <v>145</v>
      </c>
      <c r="U4850" s="267" t="s">
        <v>10700</v>
      </c>
      <c r="V4850" s="133" t="s">
        <v>10701</v>
      </c>
      <c r="Z4850" s="268"/>
      <c r="AA4850" s="218"/>
    </row>
    <row r="4851" spans="1:27" x14ac:dyDescent="0.25">
      <c r="A4851" s="405">
        <v>3003792</v>
      </c>
      <c r="B4851" s="406">
        <v>42599</v>
      </c>
      <c r="C4851" s="405" t="s">
        <v>56</v>
      </c>
      <c r="D4851" s="401" t="s">
        <v>10702</v>
      </c>
      <c r="E4851" s="120">
        <v>1000</v>
      </c>
      <c r="F4851" s="133" t="s">
        <v>70</v>
      </c>
      <c r="G4851" s="404" t="s">
        <v>45</v>
      </c>
      <c r="H4851" s="411">
        <v>1800</v>
      </c>
      <c r="I4851" s="411">
        <v>0</v>
      </c>
      <c r="J4851" s="411">
        <v>0</v>
      </c>
      <c r="K4851" s="90">
        <f t="shared" ref="K4851" si="1287">SUM(H4851:J4851)</f>
        <v>1800</v>
      </c>
      <c r="L4851" s="131">
        <v>1200</v>
      </c>
      <c r="M4851" s="187">
        <v>142</v>
      </c>
      <c r="N4851" s="91">
        <f t="shared" si="1262"/>
        <v>1342</v>
      </c>
      <c r="O4851" s="411">
        <f t="shared" si="1253"/>
        <v>458</v>
      </c>
      <c r="P4851" s="132" t="s">
        <v>86</v>
      </c>
      <c r="Q4851" s="232"/>
      <c r="R4851" s="411"/>
      <c r="T4851" s="172" t="s">
        <v>1467</v>
      </c>
      <c r="U4851" s="259">
        <v>88426184</v>
      </c>
      <c r="V4851" s="133" t="s">
        <v>10703</v>
      </c>
      <c r="AA4851" s="218"/>
    </row>
    <row r="4852" spans="1:27" ht="24" customHeight="1" x14ac:dyDescent="0.25">
      <c r="A4852" s="419">
        <v>3003793</v>
      </c>
      <c r="B4852" s="421">
        <v>42599</v>
      </c>
      <c r="C4852" s="419" t="s">
        <v>56</v>
      </c>
      <c r="D4852" s="417" t="s">
        <v>10704</v>
      </c>
      <c r="E4852" s="120">
        <v>250</v>
      </c>
      <c r="F4852" s="133" t="s">
        <v>8056</v>
      </c>
      <c r="G4852" s="434" t="s">
        <v>45</v>
      </c>
      <c r="H4852" s="427">
        <v>1098</v>
      </c>
      <c r="I4852" s="427">
        <v>0</v>
      </c>
      <c r="J4852" s="427">
        <v>0</v>
      </c>
      <c r="K4852" s="425">
        <f t="shared" ref="K4852" si="1288">SUM(H4852:J4852)</f>
        <v>1098</v>
      </c>
      <c r="N4852" s="91">
        <f t="shared" si="1262"/>
        <v>0</v>
      </c>
      <c r="O4852" s="411">
        <f t="shared" si="1253"/>
        <v>1098</v>
      </c>
      <c r="P4852" s="132" t="s">
        <v>52</v>
      </c>
      <c r="Q4852" s="232"/>
      <c r="R4852" s="411"/>
      <c r="T4852" s="470" t="s">
        <v>473</v>
      </c>
      <c r="U4852" s="446" t="s">
        <v>10705</v>
      </c>
      <c r="V4852" s="133" t="s">
        <v>9081</v>
      </c>
      <c r="AA4852" s="218"/>
    </row>
    <row r="4853" spans="1:27" x14ac:dyDescent="0.25">
      <c r="A4853" s="432"/>
      <c r="B4853" s="433"/>
      <c r="C4853" s="432"/>
      <c r="D4853" s="454"/>
      <c r="E4853" s="120">
        <v>250</v>
      </c>
      <c r="F4853" s="133" t="s">
        <v>1472</v>
      </c>
      <c r="G4853" s="435"/>
      <c r="H4853" s="438"/>
      <c r="I4853" s="438"/>
      <c r="J4853" s="438"/>
      <c r="K4853" s="437"/>
      <c r="N4853" s="91">
        <f t="shared" si="1262"/>
        <v>0</v>
      </c>
      <c r="O4853" s="411">
        <f t="shared" si="1253"/>
        <v>0</v>
      </c>
      <c r="P4853" s="132" t="s">
        <v>52</v>
      </c>
      <c r="Q4853" s="232"/>
      <c r="R4853" s="411"/>
      <c r="T4853" s="471"/>
      <c r="U4853" s="448"/>
      <c r="AA4853" s="218"/>
    </row>
    <row r="4854" spans="1:27" x14ac:dyDescent="0.25">
      <c r="A4854" s="432"/>
      <c r="B4854" s="433"/>
      <c r="C4854" s="432"/>
      <c r="D4854" s="454"/>
      <c r="E4854" s="120">
        <v>250</v>
      </c>
      <c r="F4854" s="133" t="s">
        <v>972</v>
      </c>
      <c r="G4854" s="435"/>
      <c r="H4854" s="438"/>
      <c r="I4854" s="438"/>
      <c r="J4854" s="438"/>
      <c r="K4854" s="437"/>
      <c r="N4854" s="91">
        <f t="shared" si="1262"/>
        <v>0</v>
      </c>
      <c r="O4854" s="411">
        <f t="shared" si="1253"/>
        <v>0</v>
      </c>
      <c r="P4854" s="132" t="s">
        <v>52</v>
      </c>
      <c r="Q4854" s="232"/>
      <c r="R4854" s="411"/>
      <c r="T4854" s="472"/>
      <c r="U4854" s="447"/>
      <c r="AA4854" s="218"/>
    </row>
    <row r="4855" spans="1:27" ht="24" x14ac:dyDescent="0.25">
      <c r="A4855" s="432"/>
      <c r="B4855" s="433"/>
      <c r="C4855" s="432"/>
      <c r="D4855" s="454"/>
      <c r="E4855" s="120">
        <v>250</v>
      </c>
      <c r="F4855" s="133" t="s">
        <v>2667</v>
      </c>
      <c r="G4855" s="435"/>
      <c r="H4855" s="438"/>
      <c r="I4855" s="438"/>
      <c r="J4855" s="438"/>
      <c r="K4855" s="437"/>
      <c r="L4855" s="187">
        <v>164</v>
      </c>
      <c r="N4855" s="91">
        <f t="shared" si="1262"/>
        <v>41</v>
      </c>
      <c r="O4855" s="411">
        <f t="shared" si="1253"/>
        <v>-41</v>
      </c>
      <c r="P4855" s="132" t="s">
        <v>183</v>
      </c>
      <c r="Q4855" s="232"/>
      <c r="R4855" s="411"/>
      <c r="T4855" s="134" t="s">
        <v>145</v>
      </c>
      <c r="U4855" s="267" t="s">
        <v>10706</v>
      </c>
      <c r="V4855" s="133" t="s">
        <v>10707</v>
      </c>
      <c r="AA4855" s="218"/>
    </row>
    <row r="4856" spans="1:27" ht="24" x14ac:dyDescent="0.25">
      <c r="A4856" s="420"/>
      <c r="B4856" s="422"/>
      <c r="C4856" s="420"/>
      <c r="D4856" s="418"/>
      <c r="E4856" s="120">
        <v>250</v>
      </c>
      <c r="F4856" s="133" t="s">
        <v>10699</v>
      </c>
      <c r="G4856" s="436"/>
      <c r="H4856" s="428"/>
      <c r="I4856" s="428"/>
      <c r="J4856" s="428"/>
      <c r="K4856" s="426"/>
      <c r="N4856" s="91">
        <f t="shared" si="1262"/>
        <v>0</v>
      </c>
      <c r="O4856" s="411">
        <f t="shared" si="1253"/>
        <v>0</v>
      </c>
      <c r="P4856" s="132" t="s">
        <v>52</v>
      </c>
      <c r="Q4856" s="232"/>
      <c r="R4856" s="411"/>
      <c r="T4856" s="134" t="s">
        <v>473</v>
      </c>
      <c r="U4856" s="267" t="s">
        <v>10705</v>
      </c>
      <c r="AA4856" s="218"/>
    </row>
    <row r="4857" spans="1:27" x14ac:dyDescent="0.25">
      <c r="A4857" s="405">
        <v>3003794</v>
      </c>
      <c r="B4857" s="406">
        <v>42599</v>
      </c>
      <c r="C4857" s="405" t="s">
        <v>9435</v>
      </c>
      <c r="D4857" s="401" t="s">
        <v>10708</v>
      </c>
      <c r="E4857" s="120">
        <v>1000</v>
      </c>
      <c r="F4857" s="133" t="s">
        <v>51</v>
      </c>
      <c r="G4857" s="404" t="s">
        <v>45</v>
      </c>
      <c r="H4857" s="411">
        <v>1500</v>
      </c>
      <c r="I4857" s="411">
        <v>0</v>
      </c>
      <c r="J4857" s="258">
        <f>-((H4857*0.022)+0.3)</f>
        <v>-33.299999999999997</v>
      </c>
      <c r="K4857" s="90">
        <f t="shared" ref="K4857:K4864" si="1289">SUM(H4857:J4857)</f>
        <v>1466.7</v>
      </c>
      <c r="L4857" s="187">
        <v>1190</v>
      </c>
      <c r="M4857" s="187">
        <v>156.80000000000001</v>
      </c>
      <c r="N4857" s="91">
        <f t="shared" si="1262"/>
        <v>1346.8</v>
      </c>
      <c r="O4857" s="411">
        <f t="shared" si="1253"/>
        <v>119.90000000000009</v>
      </c>
      <c r="P4857" s="132" t="s">
        <v>183</v>
      </c>
      <c r="Q4857" s="232"/>
      <c r="R4857" s="411"/>
      <c r="T4857" s="134" t="s">
        <v>10709</v>
      </c>
      <c r="U4857" s="267" t="s">
        <v>10710</v>
      </c>
      <c r="W4857" s="153" t="s">
        <v>10711</v>
      </c>
      <c r="AA4857" s="218">
        <v>10</v>
      </c>
    </row>
    <row r="4858" spans="1:27" ht="24" x14ac:dyDescent="0.25">
      <c r="A4858" s="405">
        <v>3003795</v>
      </c>
      <c r="B4858" s="406">
        <v>42599</v>
      </c>
      <c r="C4858" s="405" t="s">
        <v>78</v>
      </c>
      <c r="D4858" s="401" t="s">
        <v>1292</v>
      </c>
      <c r="E4858" s="120">
        <v>500</v>
      </c>
      <c r="F4858" s="133" t="s">
        <v>10712</v>
      </c>
      <c r="G4858" s="404" t="s">
        <v>45</v>
      </c>
      <c r="H4858" s="411">
        <v>291</v>
      </c>
      <c r="I4858" s="411">
        <v>0</v>
      </c>
      <c r="J4858" s="258">
        <f t="shared" ref="J4858" si="1290">-((H4858*0.019)+0.3)</f>
        <v>-5.8289999999999997</v>
      </c>
      <c r="K4858" s="90">
        <f t="shared" si="1289"/>
        <v>285.17099999999999</v>
      </c>
      <c r="L4858" s="131">
        <v>350</v>
      </c>
      <c r="M4858" s="187">
        <v>50.33</v>
      </c>
      <c r="N4858" s="91">
        <f t="shared" si="1262"/>
        <v>225.32999999999998</v>
      </c>
      <c r="O4858" s="411">
        <f t="shared" si="1253"/>
        <v>59.841000000000008</v>
      </c>
      <c r="P4858" s="132" t="s">
        <v>52</v>
      </c>
      <c r="Q4858" s="232"/>
      <c r="R4858" s="411"/>
      <c r="T4858" s="134" t="s">
        <v>145</v>
      </c>
      <c r="U4858" s="267" t="s">
        <v>10713</v>
      </c>
      <c r="W4858" s="153" t="s">
        <v>9206</v>
      </c>
      <c r="AA4858" s="218"/>
    </row>
    <row r="4859" spans="1:27" ht="24" x14ac:dyDescent="0.25">
      <c r="A4859" s="405">
        <v>3003796</v>
      </c>
      <c r="B4859" s="406">
        <v>42599</v>
      </c>
      <c r="C4859" s="405" t="s">
        <v>237</v>
      </c>
      <c r="D4859" s="401" t="s">
        <v>10714</v>
      </c>
      <c r="E4859" s="120">
        <v>100</v>
      </c>
      <c r="F4859" s="133" t="s">
        <v>10715</v>
      </c>
      <c r="G4859" s="404" t="s">
        <v>45</v>
      </c>
      <c r="H4859" s="411">
        <v>220</v>
      </c>
      <c r="I4859" s="397">
        <f t="shared" ref="I4859" si="1291">-(H4859*0.15)</f>
        <v>-33</v>
      </c>
      <c r="J4859" s="411">
        <v>0</v>
      </c>
      <c r="K4859" s="90">
        <f t="shared" si="1289"/>
        <v>187</v>
      </c>
      <c r="L4859" s="131">
        <v>990</v>
      </c>
      <c r="M4859" s="187">
        <v>26.19</v>
      </c>
      <c r="N4859" s="91">
        <f>((L4859)*(E4859*0.001))+M4859</f>
        <v>125.19</v>
      </c>
      <c r="O4859" s="411">
        <f t="shared" si="1253"/>
        <v>61.81</v>
      </c>
      <c r="P4859" s="132" t="s">
        <v>52</v>
      </c>
      <c r="Q4859" s="232"/>
      <c r="R4859" s="411"/>
      <c r="T4859" s="134" t="s">
        <v>145</v>
      </c>
      <c r="U4859" s="267" t="s">
        <v>10716</v>
      </c>
      <c r="AA4859" s="218"/>
    </row>
    <row r="4860" spans="1:27" ht="24" x14ac:dyDescent="0.25">
      <c r="A4860" s="405">
        <v>3003797</v>
      </c>
      <c r="B4860" s="406">
        <v>42599</v>
      </c>
      <c r="C4860" s="405" t="s">
        <v>237</v>
      </c>
      <c r="D4860" s="401" t="s">
        <v>10717</v>
      </c>
      <c r="E4860" s="120">
        <v>50</v>
      </c>
      <c r="F4860" s="133" t="s">
        <v>431</v>
      </c>
      <c r="G4860" s="404" t="s">
        <v>45</v>
      </c>
      <c r="H4860" s="411">
        <v>143.84</v>
      </c>
      <c r="I4860" s="397">
        <f t="shared" ref="I4860" si="1292">-(H4860*0.15)</f>
        <v>-21.576000000000001</v>
      </c>
      <c r="J4860" s="411">
        <v>0</v>
      </c>
      <c r="K4860" s="90">
        <f t="shared" si="1289"/>
        <v>122.26400000000001</v>
      </c>
      <c r="L4860" s="131">
        <v>990</v>
      </c>
      <c r="M4860" s="187">
        <v>34.25</v>
      </c>
      <c r="N4860" s="91">
        <f t="shared" ref="N4860:N4877" si="1293">((L4860)*(E4860*0.001))+M4860</f>
        <v>83.75</v>
      </c>
      <c r="O4860" s="411">
        <f t="shared" si="1253"/>
        <v>38.51400000000001</v>
      </c>
      <c r="P4860" s="132" t="s">
        <v>52</v>
      </c>
      <c r="Q4860" s="232"/>
      <c r="R4860" s="411"/>
      <c r="T4860" s="134" t="s">
        <v>145</v>
      </c>
      <c r="U4860" s="267" t="s">
        <v>10718</v>
      </c>
      <c r="AA4860" s="218"/>
    </row>
    <row r="4861" spans="1:27" ht="24" x14ac:dyDescent="0.25">
      <c r="A4861" s="405">
        <v>3003798</v>
      </c>
      <c r="B4861" s="406">
        <v>42599</v>
      </c>
      <c r="C4861" s="405" t="s">
        <v>237</v>
      </c>
      <c r="D4861" s="401" t="s">
        <v>10719</v>
      </c>
      <c r="E4861" s="120">
        <v>175</v>
      </c>
      <c r="F4861" s="133" t="s">
        <v>829</v>
      </c>
      <c r="G4861" s="404" t="s">
        <v>45</v>
      </c>
      <c r="H4861" s="411">
        <v>169.64</v>
      </c>
      <c r="I4861" s="397">
        <f t="shared" ref="I4861" si="1294">-(H4861*0.15)</f>
        <v>-25.445999999999998</v>
      </c>
      <c r="J4861" s="411">
        <v>0</v>
      </c>
      <c r="K4861" s="90">
        <f t="shared" si="1289"/>
        <v>144.19399999999999</v>
      </c>
      <c r="L4861" s="131">
        <v>510</v>
      </c>
      <c r="M4861" s="187">
        <v>35.520000000000003</v>
      </c>
      <c r="N4861" s="91">
        <f t="shared" si="1293"/>
        <v>124.77000000000001</v>
      </c>
      <c r="O4861" s="411">
        <f t="shared" si="1253"/>
        <v>19.423999999999978</v>
      </c>
      <c r="P4861" s="132" t="s">
        <v>52</v>
      </c>
      <c r="Q4861" s="232"/>
      <c r="R4861" s="411"/>
      <c r="T4861" s="134" t="s">
        <v>145</v>
      </c>
      <c r="U4861" s="267" t="s">
        <v>10720</v>
      </c>
      <c r="AA4861" s="218"/>
    </row>
    <row r="4862" spans="1:27" ht="24" x14ac:dyDescent="0.25">
      <c r="A4862" s="405">
        <v>3003799</v>
      </c>
      <c r="B4862" s="406">
        <v>42599</v>
      </c>
      <c r="C4862" s="405" t="s">
        <v>237</v>
      </c>
      <c r="D4862" s="401" t="s">
        <v>10721</v>
      </c>
      <c r="E4862" s="120">
        <v>150</v>
      </c>
      <c r="F4862" s="133" t="s">
        <v>247</v>
      </c>
      <c r="G4862" s="404" t="s">
        <v>45</v>
      </c>
      <c r="H4862" s="411">
        <v>164.07</v>
      </c>
      <c r="I4862" s="397">
        <f t="shared" ref="I4862" si="1295">-(H4862*0.15)</f>
        <v>-24.610499999999998</v>
      </c>
      <c r="J4862" s="411">
        <v>0</v>
      </c>
      <c r="K4862" s="90">
        <f t="shared" si="1289"/>
        <v>139.45949999999999</v>
      </c>
      <c r="L4862" s="131">
        <v>480</v>
      </c>
      <c r="M4862" s="187">
        <v>27.7</v>
      </c>
      <c r="N4862" s="91">
        <f t="shared" si="1293"/>
        <v>99.7</v>
      </c>
      <c r="O4862" s="411">
        <f t="shared" si="1253"/>
        <v>39.759499999999989</v>
      </c>
      <c r="P4862" s="132" t="s">
        <v>52</v>
      </c>
      <c r="Q4862" s="232"/>
      <c r="R4862" s="411"/>
      <c r="T4862" s="134" t="s">
        <v>145</v>
      </c>
      <c r="U4862" s="267" t="s">
        <v>10722</v>
      </c>
      <c r="AA4862" s="218"/>
    </row>
    <row r="4863" spans="1:27" ht="24" x14ac:dyDescent="0.25">
      <c r="A4863" s="405">
        <v>3003800</v>
      </c>
      <c r="B4863" s="406">
        <v>42599</v>
      </c>
      <c r="C4863" s="405" t="s">
        <v>237</v>
      </c>
      <c r="D4863" s="401" t="s">
        <v>10723</v>
      </c>
      <c r="E4863" s="120">
        <v>100</v>
      </c>
      <c r="F4863" s="133" t="s">
        <v>288</v>
      </c>
      <c r="G4863" s="404" t="s">
        <v>45</v>
      </c>
      <c r="H4863" s="411">
        <v>193.04</v>
      </c>
      <c r="I4863" s="397">
        <f t="shared" ref="I4863" si="1296">-(H4863*0.15)</f>
        <v>-28.955999999999996</v>
      </c>
      <c r="J4863" s="411">
        <v>0</v>
      </c>
      <c r="K4863" s="90">
        <f t="shared" si="1289"/>
        <v>164.084</v>
      </c>
      <c r="L4863" s="131">
        <v>950</v>
      </c>
      <c r="M4863" s="187">
        <v>20.68</v>
      </c>
      <c r="N4863" s="91">
        <f t="shared" si="1293"/>
        <v>115.68</v>
      </c>
      <c r="O4863" s="411">
        <f t="shared" si="1253"/>
        <v>48.403999999999996</v>
      </c>
      <c r="P4863" s="132" t="s">
        <v>52</v>
      </c>
      <c r="Q4863" s="232"/>
      <c r="R4863" s="411"/>
      <c r="T4863" s="134" t="s">
        <v>145</v>
      </c>
      <c r="U4863" s="267" t="s">
        <v>10724</v>
      </c>
      <c r="AA4863" s="218"/>
    </row>
    <row r="4864" spans="1:27" x14ac:dyDescent="0.25">
      <c r="A4864" s="419">
        <v>3003801</v>
      </c>
      <c r="B4864" s="421">
        <v>42599</v>
      </c>
      <c r="C4864" s="419" t="s">
        <v>237</v>
      </c>
      <c r="D4864" s="417" t="s">
        <v>10725</v>
      </c>
      <c r="E4864" s="120">
        <v>50</v>
      </c>
      <c r="F4864" s="133" t="s">
        <v>3719</v>
      </c>
      <c r="G4864" s="434" t="s">
        <v>45</v>
      </c>
      <c r="H4864" s="427">
        <v>178.36</v>
      </c>
      <c r="I4864" s="452">
        <f t="shared" ref="I4864" si="1297">-(H4864*0.15)</f>
        <v>-26.754000000000001</v>
      </c>
      <c r="J4864" s="427">
        <v>0</v>
      </c>
      <c r="K4864" s="425">
        <f t="shared" si="1289"/>
        <v>151.60600000000002</v>
      </c>
      <c r="L4864" s="187">
        <v>1150</v>
      </c>
      <c r="M4864" s="187">
        <v>24.18</v>
      </c>
      <c r="N4864" s="91">
        <f t="shared" si="1293"/>
        <v>81.680000000000007</v>
      </c>
      <c r="O4864" s="411">
        <f t="shared" si="1253"/>
        <v>69.926000000000016</v>
      </c>
      <c r="P4864" s="132" t="s">
        <v>601</v>
      </c>
      <c r="Q4864" s="232"/>
      <c r="R4864" s="411"/>
      <c r="T4864" s="439" t="s">
        <v>145</v>
      </c>
      <c r="U4864" s="446" t="s">
        <v>10726</v>
      </c>
      <c r="AA4864" s="218"/>
    </row>
    <row r="4865" spans="1:27" x14ac:dyDescent="0.25">
      <c r="A4865" s="420"/>
      <c r="B4865" s="422"/>
      <c r="C4865" s="420"/>
      <c r="D4865" s="418"/>
      <c r="E4865" s="120">
        <v>50</v>
      </c>
      <c r="F4865" s="133" t="s">
        <v>3307</v>
      </c>
      <c r="G4865" s="436"/>
      <c r="H4865" s="428"/>
      <c r="I4865" s="453"/>
      <c r="J4865" s="428"/>
      <c r="K4865" s="426"/>
      <c r="L4865" s="187">
        <v>1150</v>
      </c>
      <c r="M4865" s="187"/>
      <c r="N4865" s="91">
        <f t="shared" si="1293"/>
        <v>57.5</v>
      </c>
      <c r="O4865" s="411">
        <f t="shared" si="1253"/>
        <v>-57.5</v>
      </c>
      <c r="P4865" s="132" t="s">
        <v>601</v>
      </c>
      <c r="Q4865" s="232"/>
      <c r="R4865" s="411"/>
      <c r="T4865" s="441"/>
      <c r="U4865" s="447"/>
      <c r="AA4865" s="218"/>
    </row>
    <row r="4866" spans="1:27" ht="24" customHeight="1" x14ac:dyDescent="0.25">
      <c r="A4866" s="419">
        <v>3003802</v>
      </c>
      <c r="B4866" s="421">
        <v>42599</v>
      </c>
      <c r="C4866" s="419" t="s">
        <v>42</v>
      </c>
      <c r="D4866" s="417" t="s">
        <v>10727</v>
      </c>
      <c r="E4866" s="120">
        <v>500</v>
      </c>
      <c r="F4866" s="133" t="s">
        <v>451</v>
      </c>
      <c r="G4866" s="434" t="s">
        <v>45</v>
      </c>
      <c r="H4866" s="427">
        <v>898.36</v>
      </c>
      <c r="I4866" s="452">
        <f>-(H4866*0.09)</f>
        <v>-80.852400000000003</v>
      </c>
      <c r="J4866" s="498">
        <f t="shared" ref="J4866" si="1298">-((H4866*0.019)+0.3)</f>
        <v>-17.368840000000002</v>
      </c>
      <c r="K4866" s="425">
        <f t="shared" ref="K4866" si="1299">SUM(H4866:J4866)</f>
        <v>800.13876000000005</v>
      </c>
      <c r="L4866" s="187">
        <v>346</v>
      </c>
      <c r="N4866" s="91">
        <f t="shared" si="1293"/>
        <v>173</v>
      </c>
      <c r="O4866" s="411">
        <f t="shared" si="1253"/>
        <v>627.13876000000005</v>
      </c>
      <c r="P4866" s="132" t="s">
        <v>66</v>
      </c>
      <c r="Q4866" s="232"/>
      <c r="R4866" s="411"/>
      <c r="T4866" s="439" t="s">
        <v>47</v>
      </c>
      <c r="U4866" s="446" t="s">
        <v>10728</v>
      </c>
      <c r="AA4866" s="218"/>
    </row>
    <row r="4867" spans="1:27" x14ac:dyDescent="0.25">
      <c r="A4867" s="420"/>
      <c r="B4867" s="422"/>
      <c r="C4867" s="420"/>
      <c r="D4867" s="418"/>
      <c r="E4867" s="120">
        <v>500</v>
      </c>
      <c r="F4867" s="133" t="s">
        <v>1586</v>
      </c>
      <c r="G4867" s="436"/>
      <c r="H4867" s="428"/>
      <c r="I4867" s="453"/>
      <c r="J4867" s="499"/>
      <c r="K4867" s="426"/>
      <c r="L4867" s="187">
        <v>720</v>
      </c>
      <c r="M4867" s="131">
        <v>0</v>
      </c>
      <c r="N4867" s="91">
        <f t="shared" si="1293"/>
        <v>360</v>
      </c>
      <c r="O4867" s="411">
        <f t="shared" si="1253"/>
        <v>-360</v>
      </c>
      <c r="P4867" s="132" t="s">
        <v>66</v>
      </c>
      <c r="Q4867" s="232"/>
      <c r="R4867" s="411"/>
      <c r="T4867" s="441"/>
      <c r="U4867" s="447"/>
      <c r="AA4867" s="218"/>
    </row>
    <row r="4868" spans="1:27" ht="24" x14ac:dyDescent="0.25">
      <c r="A4868" s="405">
        <v>3003803</v>
      </c>
      <c r="B4868" s="406">
        <v>42599</v>
      </c>
      <c r="C4868" s="405" t="s">
        <v>42</v>
      </c>
      <c r="D4868" s="401" t="s">
        <v>10729</v>
      </c>
      <c r="E4868" s="120">
        <v>250</v>
      </c>
      <c r="F4868" s="133" t="s">
        <v>1747</v>
      </c>
      <c r="G4868" s="404" t="s">
        <v>45</v>
      </c>
      <c r="H4868" s="411">
        <v>183.88</v>
      </c>
      <c r="I4868" s="89">
        <f>-(H4868*0.09)</f>
        <v>-16.549199999999999</v>
      </c>
      <c r="J4868" s="258">
        <f t="shared" ref="J4868" si="1300">-((H4868*0.019)+0.3)</f>
        <v>-3.7937199999999995</v>
      </c>
      <c r="K4868" s="90">
        <f t="shared" ref="K4868" si="1301">SUM(H4868:J4868)</f>
        <v>163.53708</v>
      </c>
      <c r="L4868" s="187">
        <v>350</v>
      </c>
      <c r="M4868" s="187">
        <v>10.95</v>
      </c>
      <c r="N4868" s="91">
        <f t="shared" si="1293"/>
        <v>98.45</v>
      </c>
      <c r="O4868" s="411">
        <f t="shared" ref="O4868:O4931" si="1302">K4868-N4868</f>
        <v>65.08708</v>
      </c>
      <c r="P4868" s="132" t="s">
        <v>183</v>
      </c>
      <c r="Q4868" s="232"/>
      <c r="R4868" s="411">
        <v>13.62</v>
      </c>
      <c r="S4868" s="133" t="s">
        <v>10730</v>
      </c>
      <c r="T4868" s="134" t="s">
        <v>145</v>
      </c>
      <c r="U4868" s="267" t="s">
        <v>10731</v>
      </c>
      <c r="AA4868" s="218"/>
    </row>
    <row r="4869" spans="1:27" ht="24" x14ac:dyDescent="0.25">
      <c r="A4869" s="405">
        <v>3003804</v>
      </c>
      <c r="B4869" s="406">
        <v>42599</v>
      </c>
      <c r="C4869" s="405" t="s">
        <v>42</v>
      </c>
      <c r="D4869" s="401" t="s">
        <v>10732</v>
      </c>
      <c r="E4869" s="120">
        <v>500</v>
      </c>
      <c r="F4869" s="119" t="s">
        <v>7973</v>
      </c>
      <c r="G4869" s="404" t="s">
        <v>45</v>
      </c>
      <c r="H4869" s="411">
        <v>168</v>
      </c>
      <c r="I4869" s="89">
        <f>-(H4869*0.09)</f>
        <v>-15.12</v>
      </c>
      <c r="J4869" s="258">
        <f t="shared" ref="J4869" si="1303">-((H4869*0.019)+0.3)</f>
        <v>-3.4919999999999995</v>
      </c>
      <c r="K4869" s="90">
        <f t="shared" ref="K4869" si="1304">SUM(H4869:J4869)</f>
        <v>149.38800000000001</v>
      </c>
      <c r="L4869" s="187">
        <v>175</v>
      </c>
      <c r="M4869" s="187">
        <v>12.07</v>
      </c>
      <c r="N4869" s="91">
        <f t="shared" si="1293"/>
        <v>99.57</v>
      </c>
      <c r="O4869" s="411">
        <f t="shared" si="1302"/>
        <v>49.818000000000012</v>
      </c>
      <c r="P4869" s="132" t="s">
        <v>183</v>
      </c>
      <c r="Q4869" s="232"/>
      <c r="R4869" s="411"/>
      <c r="T4869" s="134" t="s">
        <v>145</v>
      </c>
      <c r="U4869" s="267" t="s">
        <v>10733</v>
      </c>
      <c r="AA4869" s="218"/>
    </row>
    <row r="4870" spans="1:27" ht="24" x14ac:dyDescent="0.25">
      <c r="A4870" s="405">
        <v>3003805</v>
      </c>
      <c r="B4870" s="406">
        <v>42599</v>
      </c>
      <c r="C4870" s="405" t="s">
        <v>327</v>
      </c>
      <c r="D4870" s="401" t="s">
        <v>10734</v>
      </c>
      <c r="E4870" s="120">
        <v>50</v>
      </c>
      <c r="F4870" s="133" t="s">
        <v>161</v>
      </c>
      <c r="G4870" s="404" t="s">
        <v>45</v>
      </c>
      <c r="H4870" s="411">
        <v>145</v>
      </c>
      <c r="I4870" s="411">
        <v>0</v>
      </c>
      <c r="J4870" s="258">
        <f>-((H4870*0.022)+0.3)</f>
        <v>-3.4899999999999998</v>
      </c>
      <c r="K4870" s="90">
        <f>SUM(H4870:J4870)</f>
        <v>141.51</v>
      </c>
      <c r="L4870" s="131">
        <v>1322</v>
      </c>
      <c r="M4870" s="187">
        <v>13.14</v>
      </c>
      <c r="N4870" s="91">
        <f t="shared" si="1293"/>
        <v>79.240000000000009</v>
      </c>
      <c r="O4870" s="411">
        <f t="shared" si="1302"/>
        <v>62.269999999999982</v>
      </c>
      <c r="P4870" s="132" t="s">
        <v>52</v>
      </c>
      <c r="Q4870" s="232"/>
      <c r="R4870" s="411"/>
      <c r="T4870" s="134" t="s">
        <v>145</v>
      </c>
      <c r="U4870" s="267" t="s">
        <v>10735</v>
      </c>
      <c r="W4870" s="153" t="s">
        <v>10736</v>
      </c>
      <c r="AA4870" s="218"/>
    </row>
    <row r="4871" spans="1:27" ht="24" x14ac:dyDescent="0.25">
      <c r="A4871" s="405">
        <v>3003806</v>
      </c>
      <c r="B4871" s="406">
        <v>42599</v>
      </c>
      <c r="C4871" s="405" t="s">
        <v>42</v>
      </c>
      <c r="D4871" s="401" t="s">
        <v>10737</v>
      </c>
      <c r="E4871" s="120">
        <v>125</v>
      </c>
      <c r="F4871" s="133" t="s">
        <v>247</v>
      </c>
      <c r="G4871" s="404" t="s">
        <v>45</v>
      </c>
      <c r="H4871" s="411">
        <v>160.4</v>
      </c>
      <c r="I4871" s="89">
        <f>-(H4871*0.09)</f>
        <v>-14.436</v>
      </c>
      <c r="J4871" s="258">
        <f t="shared" ref="J4871" si="1305">-((H4871*0.019)+0.3)</f>
        <v>-3.3475999999999999</v>
      </c>
      <c r="K4871" s="90">
        <f t="shared" ref="K4871" si="1306">SUM(H4871:J4871)</f>
        <v>142.6164</v>
      </c>
      <c r="L4871" s="131">
        <v>480</v>
      </c>
      <c r="M4871" s="187">
        <v>32</v>
      </c>
      <c r="N4871" s="91">
        <f t="shared" si="1293"/>
        <v>92</v>
      </c>
      <c r="O4871" s="411">
        <f t="shared" si="1302"/>
        <v>50.616399999999999</v>
      </c>
      <c r="P4871" s="132" t="s">
        <v>86</v>
      </c>
      <c r="Q4871" s="232"/>
      <c r="R4871" s="411"/>
      <c r="T4871" s="134" t="s">
        <v>145</v>
      </c>
      <c r="U4871" s="267" t="s">
        <v>10738</v>
      </c>
      <c r="AA4871" s="218"/>
    </row>
    <row r="4872" spans="1:27" ht="24" x14ac:dyDescent="0.25">
      <c r="A4872" s="405">
        <v>3003807</v>
      </c>
      <c r="B4872" s="406">
        <v>42599</v>
      </c>
      <c r="C4872" s="405" t="s">
        <v>42</v>
      </c>
      <c r="D4872" s="401" t="s">
        <v>10739</v>
      </c>
      <c r="E4872" s="120">
        <v>125</v>
      </c>
      <c r="F4872" s="133" t="s">
        <v>161</v>
      </c>
      <c r="G4872" s="404" t="s">
        <v>45</v>
      </c>
      <c r="H4872" s="411">
        <v>350</v>
      </c>
      <c r="I4872" s="89">
        <f>-(H4872*0.09)</f>
        <v>-31.5</v>
      </c>
      <c r="J4872" s="258">
        <f t="shared" ref="J4872" si="1307">-((H4872*0.019)+0.3)</f>
        <v>-6.9499999999999993</v>
      </c>
      <c r="K4872" s="90">
        <f t="shared" ref="K4872" si="1308">SUM(H4872:J4872)</f>
        <v>311.55</v>
      </c>
      <c r="L4872" s="131">
        <v>1322</v>
      </c>
      <c r="M4872" s="187">
        <v>39.99</v>
      </c>
      <c r="N4872" s="91">
        <f t="shared" si="1293"/>
        <v>205.24</v>
      </c>
      <c r="O4872" s="411">
        <f t="shared" si="1302"/>
        <v>106.31</v>
      </c>
      <c r="P4872" s="132" t="s">
        <v>86</v>
      </c>
      <c r="Q4872" s="232"/>
      <c r="R4872" s="411"/>
      <c r="T4872" s="134" t="s">
        <v>145</v>
      </c>
      <c r="U4872" s="267" t="s">
        <v>10740</v>
      </c>
      <c r="AA4872" s="218"/>
    </row>
    <row r="4873" spans="1:27" ht="24" x14ac:dyDescent="0.25">
      <c r="A4873" s="405">
        <v>3003808</v>
      </c>
      <c r="B4873" s="406">
        <v>42599</v>
      </c>
      <c r="C4873" s="405" t="s">
        <v>42</v>
      </c>
      <c r="D4873" s="401" t="s">
        <v>10741</v>
      </c>
      <c r="E4873" s="120">
        <v>100</v>
      </c>
      <c r="F4873" s="133" t="s">
        <v>829</v>
      </c>
      <c r="G4873" s="404" t="s">
        <v>45</v>
      </c>
      <c r="H4873" s="411">
        <v>118.56</v>
      </c>
      <c r="I4873" s="89">
        <f>-(H4873*0.09)</f>
        <v>-10.670399999999999</v>
      </c>
      <c r="J4873" s="258">
        <f t="shared" ref="J4873" si="1309">-((H4873*0.019)+0.3)</f>
        <v>-2.5526399999999998</v>
      </c>
      <c r="K4873" s="90">
        <f t="shared" ref="K4873" si="1310">SUM(H4873:J4873)</f>
        <v>105.33696</v>
      </c>
      <c r="L4873" s="131">
        <v>510</v>
      </c>
      <c r="M4873" s="187">
        <v>47.06</v>
      </c>
      <c r="N4873" s="91">
        <f t="shared" si="1293"/>
        <v>98.06</v>
      </c>
      <c r="O4873" s="411">
        <f t="shared" si="1302"/>
        <v>7.2769600000000025</v>
      </c>
      <c r="P4873" s="132" t="s">
        <v>52</v>
      </c>
      <c r="Q4873" s="232"/>
      <c r="R4873" s="411"/>
      <c r="T4873" s="134" t="s">
        <v>145</v>
      </c>
      <c r="U4873" s="267" t="s">
        <v>10742</v>
      </c>
      <c r="AA4873" s="218"/>
    </row>
    <row r="4874" spans="1:27" ht="24" x14ac:dyDescent="0.25">
      <c r="A4874" s="405">
        <v>3003809</v>
      </c>
      <c r="B4874" s="406">
        <v>42599</v>
      </c>
      <c r="C4874" s="405" t="s">
        <v>42</v>
      </c>
      <c r="D4874" s="401" t="s">
        <v>10743</v>
      </c>
      <c r="E4874" s="120">
        <v>250</v>
      </c>
      <c r="F4874" s="133" t="s">
        <v>972</v>
      </c>
      <c r="G4874" s="404" t="s">
        <v>45</v>
      </c>
      <c r="H4874" s="411">
        <v>108.9</v>
      </c>
      <c r="I4874" s="89">
        <f>-(H4874*0.09)</f>
        <v>-9.8010000000000002</v>
      </c>
      <c r="J4874" s="258">
        <f t="shared" ref="J4874" si="1311">-((H4874*0.019)+0.3)</f>
        <v>-2.3691</v>
      </c>
      <c r="K4874" s="90">
        <f t="shared" ref="K4874" si="1312">SUM(H4874:J4874)</f>
        <v>96.729900000000001</v>
      </c>
      <c r="L4874" s="131">
        <v>205</v>
      </c>
      <c r="M4874" s="187">
        <v>30.55</v>
      </c>
      <c r="N4874" s="91">
        <f t="shared" si="1293"/>
        <v>81.8</v>
      </c>
      <c r="O4874" s="411">
        <f t="shared" si="1302"/>
        <v>14.929900000000004</v>
      </c>
      <c r="P4874" s="132" t="s">
        <v>52</v>
      </c>
      <c r="Q4874" s="232"/>
      <c r="R4874" s="411"/>
      <c r="T4874" s="134" t="s">
        <v>145</v>
      </c>
      <c r="U4874" s="267" t="s">
        <v>10744</v>
      </c>
      <c r="AA4874" s="218"/>
    </row>
    <row r="4875" spans="1:27" ht="24" x14ac:dyDescent="0.25">
      <c r="A4875" s="405">
        <v>3003810</v>
      </c>
      <c r="B4875" s="406">
        <v>42599</v>
      </c>
      <c r="C4875" s="405" t="s">
        <v>42</v>
      </c>
      <c r="D4875" s="401" t="s">
        <v>10745</v>
      </c>
      <c r="E4875" s="120">
        <v>125</v>
      </c>
      <c r="F4875" s="133" t="s">
        <v>165</v>
      </c>
      <c r="G4875" s="404" t="s">
        <v>45</v>
      </c>
      <c r="H4875" s="411">
        <v>132.61000000000001</v>
      </c>
      <c r="I4875" s="89">
        <f>-(H4875*0.09)</f>
        <v>-11.934900000000001</v>
      </c>
      <c r="J4875" s="258">
        <f t="shared" ref="J4875" si="1313">-((H4875*0.019)+0.3)</f>
        <v>-2.8195899999999998</v>
      </c>
      <c r="K4875" s="90">
        <f t="shared" ref="K4875" si="1314">SUM(H4875:J4875)</f>
        <v>117.85551000000001</v>
      </c>
      <c r="L4875" s="131">
        <v>300</v>
      </c>
      <c r="M4875" s="187">
        <v>26.42</v>
      </c>
      <c r="N4875" s="91">
        <f t="shared" si="1293"/>
        <v>63.92</v>
      </c>
      <c r="O4875" s="411">
        <f t="shared" si="1302"/>
        <v>53.935510000000008</v>
      </c>
      <c r="P4875" s="132" t="s">
        <v>86</v>
      </c>
      <c r="Q4875" s="232"/>
      <c r="R4875" s="411"/>
      <c r="T4875" s="134" t="s">
        <v>145</v>
      </c>
      <c r="U4875" s="267" t="s">
        <v>10746</v>
      </c>
      <c r="AA4875" s="218"/>
    </row>
    <row r="4876" spans="1:27" ht="24" x14ac:dyDescent="0.25">
      <c r="A4876" s="419">
        <v>3003811</v>
      </c>
      <c r="B4876" s="421">
        <v>42599</v>
      </c>
      <c r="C4876" s="419" t="s">
        <v>9435</v>
      </c>
      <c r="D4876" s="417" t="s">
        <v>10747</v>
      </c>
      <c r="E4876" s="120">
        <v>6434</v>
      </c>
      <c r="F4876" s="119" t="s">
        <v>10748</v>
      </c>
      <c r="G4876" s="434" t="s">
        <v>45</v>
      </c>
      <c r="H4876" s="427">
        <v>10060</v>
      </c>
      <c r="I4876" s="502">
        <v>0</v>
      </c>
      <c r="J4876" s="425">
        <f>-((H4876*0.022)+0.3)</f>
        <v>-221.62</v>
      </c>
      <c r="K4876" s="425">
        <f>SUM(H4877:J4877)</f>
        <v>0</v>
      </c>
      <c r="L4876" s="187">
        <v>638.77</v>
      </c>
      <c r="M4876" s="187">
        <f>504.81+80</f>
        <v>584.80999999999995</v>
      </c>
      <c r="N4876" s="91">
        <f t="shared" si="1293"/>
        <v>4694.6561799999999</v>
      </c>
      <c r="O4876" s="411">
        <f>H4876-N4876</f>
        <v>5365.3438200000001</v>
      </c>
      <c r="P4876" s="132" t="s">
        <v>46</v>
      </c>
      <c r="Q4876" s="232"/>
      <c r="R4876" s="411"/>
      <c r="T4876" s="439" t="s">
        <v>2652</v>
      </c>
      <c r="U4876" s="444">
        <v>604127112</v>
      </c>
      <c r="V4876" s="133" t="s">
        <v>10749</v>
      </c>
      <c r="AA4876" s="228"/>
    </row>
    <row r="4877" spans="1:27" ht="24" x14ac:dyDescent="0.25">
      <c r="A4877" s="432"/>
      <c r="B4877" s="433"/>
      <c r="C4877" s="432"/>
      <c r="D4877" s="454"/>
      <c r="E4877" s="120">
        <v>1342</v>
      </c>
      <c r="F4877" s="119" t="s">
        <v>10748</v>
      </c>
      <c r="G4877" s="435"/>
      <c r="H4877" s="438"/>
      <c r="I4877" s="503"/>
      <c r="J4877" s="437"/>
      <c r="K4877" s="437"/>
      <c r="L4877" s="187">
        <v>638.77</v>
      </c>
      <c r="M4877" s="187"/>
      <c r="N4877" s="91">
        <f t="shared" si="1293"/>
        <v>857.22933999999998</v>
      </c>
      <c r="O4877" s="411">
        <f t="shared" si="1302"/>
        <v>-857.22933999999998</v>
      </c>
      <c r="P4877" s="132" t="s">
        <v>46</v>
      </c>
      <c r="Q4877" s="232"/>
      <c r="R4877" s="411"/>
      <c r="T4877" s="440"/>
      <c r="U4877" s="539"/>
      <c r="W4877" s="153" t="s">
        <v>1749</v>
      </c>
      <c r="AA4877" s="473">
        <v>175</v>
      </c>
    </row>
    <row r="4878" spans="1:27" ht="24" x14ac:dyDescent="0.25">
      <c r="A4878" s="420"/>
      <c r="B4878" s="422"/>
      <c r="C4878" s="420"/>
      <c r="D4878" s="418"/>
      <c r="E4878" s="120">
        <v>381</v>
      </c>
      <c r="F4878" s="119" t="s">
        <v>10750</v>
      </c>
      <c r="G4878" s="436"/>
      <c r="H4878" s="428"/>
      <c r="I4878" s="504"/>
      <c r="J4878" s="426"/>
      <c r="K4878" s="426"/>
      <c r="L4878" s="187">
        <v>894.45</v>
      </c>
      <c r="M4878" s="187"/>
      <c r="N4878" s="91">
        <f t="shared" ref="N4878:N4941" si="1315">((L4878)*(E4878*0.001))+M4878</f>
        <v>340.78545000000003</v>
      </c>
      <c r="O4878" s="411">
        <f t="shared" si="1302"/>
        <v>-340.78545000000003</v>
      </c>
      <c r="P4878" s="132" t="s">
        <v>46</v>
      </c>
      <c r="Q4878" s="232"/>
      <c r="R4878" s="411"/>
      <c r="T4878" s="441"/>
      <c r="U4878" s="445"/>
      <c r="AA4878" s="474"/>
    </row>
    <row r="4879" spans="1:27" ht="24" x14ac:dyDescent="0.25">
      <c r="A4879" s="405">
        <v>3003812</v>
      </c>
      <c r="B4879" s="406">
        <v>42599</v>
      </c>
      <c r="C4879" s="405" t="s">
        <v>237</v>
      </c>
      <c r="D4879" s="401" t="s">
        <v>10751</v>
      </c>
      <c r="E4879" s="120">
        <v>100</v>
      </c>
      <c r="F4879" s="133" t="s">
        <v>161</v>
      </c>
      <c r="G4879" s="404" t="s">
        <v>45</v>
      </c>
      <c r="H4879" s="411">
        <v>250</v>
      </c>
      <c r="I4879" s="397">
        <f t="shared" ref="I4879" si="1316">-(H4879*0.15)</f>
        <v>-37.5</v>
      </c>
      <c r="J4879" s="411">
        <v>0</v>
      </c>
      <c r="K4879" s="90">
        <f t="shared" ref="K4879:K4885" si="1317">SUM(H4879:J4879)</f>
        <v>212.5</v>
      </c>
      <c r="L4879" s="131">
        <v>1322</v>
      </c>
      <c r="M4879" s="187">
        <v>50.26</v>
      </c>
      <c r="N4879" s="91">
        <f t="shared" si="1315"/>
        <v>182.46</v>
      </c>
      <c r="O4879" s="411">
        <f t="shared" si="1302"/>
        <v>30.039999999999992</v>
      </c>
      <c r="P4879" s="132" t="s">
        <v>86</v>
      </c>
      <c r="Q4879" s="232"/>
      <c r="R4879" s="411"/>
      <c r="T4879" s="134" t="s">
        <v>145</v>
      </c>
      <c r="U4879" s="267" t="s">
        <v>10752</v>
      </c>
      <c r="AA4879" s="218"/>
    </row>
    <row r="4880" spans="1:27" ht="24" x14ac:dyDescent="0.25">
      <c r="A4880" s="405">
        <v>3003813</v>
      </c>
      <c r="B4880" s="406">
        <v>42599</v>
      </c>
      <c r="C4880" s="405" t="s">
        <v>237</v>
      </c>
      <c r="D4880" s="401" t="s">
        <v>10753</v>
      </c>
      <c r="E4880" s="120">
        <v>100</v>
      </c>
      <c r="F4880" s="133" t="s">
        <v>431</v>
      </c>
      <c r="G4880" s="404" t="s">
        <v>45</v>
      </c>
      <c r="H4880" s="411">
        <v>220</v>
      </c>
      <c r="I4880" s="397">
        <f t="shared" ref="I4880" si="1318">-(H4880*0.15)</f>
        <v>-33</v>
      </c>
      <c r="J4880" s="411">
        <v>0</v>
      </c>
      <c r="K4880" s="90">
        <f t="shared" si="1317"/>
        <v>187</v>
      </c>
      <c r="L4880" s="131">
        <v>990</v>
      </c>
      <c r="M4880" s="187">
        <v>42.96</v>
      </c>
      <c r="N4880" s="91">
        <f t="shared" si="1315"/>
        <v>141.96</v>
      </c>
      <c r="O4880" s="411">
        <f t="shared" si="1302"/>
        <v>45.039999999999992</v>
      </c>
      <c r="P4880" s="132" t="s">
        <v>52</v>
      </c>
      <c r="Q4880" s="232"/>
      <c r="R4880" s="411"/>
      <c r="T4880" s="134" t="s">
        <v>145</v>
      </c>
      <c r="U4880" s="267" t="s">
        <v>10754</v>
      </c>
      <c r="AA4880" s="218"/>
    </row>
    <row r="4881" spans="1:27" ht="24" x14ac:dyDescent="0.25">
      <c r="A4881" s="405">
        <v>3003814</v>
      </c>
      <c r="B4881" s="406">
        <v>42599</v>
      </c>
      <c r="C4881" s="405" t="s">
        <v>237</v>
      </c>
      <c r="D4881" s="401" t="s">
        <v>10755</v>
      </c>
      <c r="E4881" s="120">
        <v>100</v>
      </c>
      <c r="F4881" s="133" t="s">
        <v>431</v>
      </c>
      <c r="G4881" s="404" t="s">
        <v>45</v>
      </c>
      <c r="H4881" s="411">
        <v>220</v>
      </c>
      <c r="I4881" s="397">
        <f t="shared" ref="I4881" si="1319">-(H4881*0.15)</f>
        <v>-33</v>
      </c>
      <c r="J4881" s="411">
        <v>0</v>
      </c>
      <c r="K4881" s="90">
        <f t="shared" si="1317"/>
        <v>187</v>
      </c>
      <c r="L4881" s="131">
        <v>990</v>
      </c>
      <c r="M4881" s="187">
        <v>30.39</v>
      </c>
      <c r="N4881" s="91">
        <f t="shared" si="1315"/>
        <v>129.38999999999999</v>
      </c>
      <c r="O4881" s="411">
        <f t="shared" si="1302"/>
        <v>57.610000000000014</v>
      </c>
      <c r="P4881" s="132" t="s">
        <v>52</v>
      </c>
      <c r="Q4881" s="232"/>
      <c r="R4881" s="411"/>
      <c r="T4881" s="134" t="s">
        <v>145</v>
      </c>
      <c r="U4881" s="267" t="s">
        <v>10756</v>
      </c>
      <c r="AA4881" s="218"/>
    </row>
    <row r="4882" spans="1:27" ht="24" x14ac:dyDescent="0.25">
      <c r="A4882" s="405">
        <v>3003815</v>
      </c>
      <c r="B4882" s="406">
        <v>42600</v>
      </c>
      <c r="C4882" s="405" t="s">
        <v>9435</v>
      </c>
      <c r="D4882" s="401" t="s">
        <v>10757</v>
      </c>
      <c r="E4882" s="120">
        <v>350</v>
      </c>
      <c r="F4882" s="133" t="s">
        <v>10758</v>
      </c>
      <c r="G4882" s="404" t="s">
        <v>45</v>
      </c>
      <c r="H4882" s="411">
        <v>550</v>
      </c>
      <c r="I4882" s="411">
        <v>0</v>
      </c>
      <c r="J4882" s="258">
        <f>-((H4882*0.022)+0.3)</f>
        <v>-12.4</v>
      </c>
      <c r="K4882" s="90">
        <f t="shared" si="1317"/>
        <v>537.6</v>
      </c>
      <c r="L4882" s="131">
        <v>660</v>
      </c>
      <c r="M4882" s="187">
        <v>83.06</v>
      </c>
      <c r="N4882" s="91">
        <f t="shared" si="1315"/>
        <v>314.06000000000006</v>
      </c>
      <c r="O4882" s="411">
        <f t="shared" si="1302"/>
        <v>223.53999999999996</v>
      </c>
      <c r="P4882" s="132" t="s">
        <v>52</v>
      </c>
      <c r="Q4882" s="232"/>
      <c r="R4882" s="411"/>
      <c r="T4882" s="134" t="s">
        <v>145</v>
      </c>
      <c r="U4882" s="267" t="s">
        <v>10759</v>
      </c>
      <c r="W4882" s="153" t="s">
        <v>10760</v>
      </c>
      <c r="AA4882" s="218"/>
    </row>
    <row r="4883" spans="1:27" ht="24" x14ac:dyDescent="0.25">
      <c r="A4883" s="405">
        <v>3003816</v>
      </c>
      <c r="B4883" s="406">
        <v>42600</v>
      </c>
      <c r="C4883" s="405" t="s">
        <v>9435</v>
      </c>
      <c r="D4883" s="401" t="s">
        <v>10761</v>
      </c>
      <c r="E4883" s="120">
        <v>125</v>
      </c>
      <c r="F4883" s="133" t="s">
        <v>1522</v>
      </c>
      <c r="G4883" s="404" t="s">
        <v>45</v>
      </c>
      <c r="H4883" s="411">
        <v>228.81</v>
      </c>
      <c r="I4883" s="411">
        <v>0</v>
      </c>
      <c r="J4883" s="258">
        <f>-((H4883*0.022)+0.3)</f>
        <v>-5.3338199999999993</v>
      </c>
      <c r="K4883" s="90">
        <f t="shared" si="1317"/>
        <v>223.47618</v>
      </c>
      <c r="L4883" s="131">
        <v>716</v>
      </c>
      <c r="M4883" s="187">
        <v>50.04</v>
      </c>
      <c r="N4883" s="91">
        <f t="shared" si="1315"/>
        <v>139.54</v>
      </c>
      <c r="O4883" s="411">
        <f t="shared" si="1302"/>
        <v>83.936180000000007</v>
      </c>
      <c r="P4883" s="132" t="s">
        <v>52</v>
      </c>
      <c r="Q4883" s="232"/>
      <c r="R4883" s="411"/>
      <c r="T4883" s="134" t="s">
        <v>145</v>
      </c>
      <c r="U4883" s="267" t="s">
        <v>10762</v>
      </c>
      <c r="W4883" s="153" t="s">
        <v>10763</v>
      </c>
      <c r="AA4883" s="218"/>
    </row>
    <row r="4884" spans="1:27" ht="24" x14ac:dyDescent="0.25">
      <c r="A4884" s="405">
        <v>3003817</v>
      </c>
      <c r="B4884" s="406">
        <v>42600</v>
      </c>
      <c r="C4884" s="405" t="s">
        <v>56</v>
      </c>
      <c r="D4884" s="401" t="s">
        <v>10764</v>
      </c>
      <c r="E4884" s="120">
        <v>500</v>
      </c>
      <c r="F4884" s="133" t="s">
        <v>175</v>
      </c>
      <c r="G4884" s="404" t="s">
        <v>45</v>
      </c>
      <c r="H4884" s="411">
        <v>280</v>
      </c>
      <c r="I4884" s="411">
        <v>0</v>
      </c>
      <c r="J4884" s="411">
        <v>0</v>
      </c>
      <c r="K4884" s="90">
        <f t="shared" si="1317"/>
        <v>280</v>
      </c>
      <c r="L4884" s="131">
        <v>250</v>
      </c>
      <c r="N4884" s="91">
        <f t="shared" si="1315"/>
        <v>125</v>
      </c>
      <c r="O4884" s="411">
        <f t="shared" si="1302"/>
        <v>155</v>
      </c>
      <c r="P4884" s="132" t="s">
        <v>52</v>
      </c>
      <c r="Q4884" s="232"/>
      <c r="R4884" s="411"/>
      <c r="T4884" s="134" t="s">
        <v>473</v>
      </c>
      <c r="U4884" s="267" t="s">
        <v>10706</v>
      </c>
      <c r="V4884" s="133" t="s">
        <v>9081</v>
      </c>
      <c r="AA4884" s="218"/>
    </row>
    <row r="4885" spans="1:27" ht="24" x14ac:dyDescent="0.25">
      <c r="A4885" s="405">
        <v>3003818</v>
      </c>
      <c r="B4885" s="406">
        <v>42600</v>
      </c>
      <c r="C4885" s="405" t="s">
        <v>9435</v>
      </c>
      <c r="D4885" s="401" t="s">
        <v>3790</v>
      </c>
      <c r="E4885" s="120">
        <v>100</v>
      </c>
      <c r="F4885" s="133" t="s">
        <v>10422</v>
      </c>
      <c r="G4885" s="404" t="s">
        <v>45</v>
      </c>
      <c r="H4885" s="411">
        <v>598.84</v>
      </c>
      <c r="I4885" s="411">
        <v>0</v>
      </c>
      <c r="J4885" s="258">
        <f>-((H4885*0.022)+0.3)</f>
        <v>-13.47448</v>
      </c>
      <c r="K4885" s="90">
        <f t="shared" si="1317"/>
        <v>585.36552000000006</v>
      </c>
      <c r="L4885" s="131">
        <v>2450</v>
      </c>
      <c r="M4885" s="187">
        <v>49.79</v>
      </c>
      <c r="N4885" s="91">
        <f t="shared" si="1315"/>
        <v>294.79000000000002</v>
      </c>
      <c r="O4885" s="411">
        <f t="shared" si="1302"/>
        <v>290.57552000000004</v>
      </c>
      <c r="P4885" s="132" t="s">
        <v>52</v>
      </c>
      <c r="Q4885" s="232"/>
      <c r="R4885" s="411">
        <v>48.84</v>
      </c>
      <c r="S4885" s="133" t="s">
        <v>4656</v>
      </c>
      <c r="T4885" s="134" t="s">
        <v>145</v>
      </c>
      <c r="U4885" s="267" t="s">
        <v>10765</v>
      </c>
      <c r="W4885" s="153" t="s">
        <v>3795</v>
      </c>
      <c r="AA4885" s="218"/>
    </row>
    <row r="4886" spans="1:27" x14ac:dyDescent="0.25">
      <c r="A4886" s="405">
        <v>3003819</v>
      </c>
      <c r="B4886" s="406">
        <v>42600</v>
      </c>
      <c r="C4886" s="405" t="s">
        <v>42</v>
      </c>
      <c r="D4886" s="401" t="s">
        <v>10766</v>
      </c>
      <c r="E4886" s="120">
        <v>500</v>
      </c>
      <c r="F4886" s="133" t="s">
        <v>7850</v>
      </c>
      <c r="G4886" s="404" t="s">
        <v>45</v>
      </c>
      <c r="H4886" s="411">
        <v>2026.55</v>
      </c>
      <c r="I4886" s="89">
        <f>-(H4886*0.09)</f>
        <v>-182.3895</v>
      </c>
      <c r="J4886" s="258">
        <f t="shared" ref="J4886" si="1320">-((H4886*0.019)+0.3)</f>
        <v>-38.804449999999996</v>
      </c>
      <c r="K4886" s="90">
        <f t="shared" ref="K4886" si="1321">SUM(H4886:J4886)</f>
        <v>1805.3560499999999</v>
      </c>
      <c r="L4886" s="131">
        <v>2325</v>
      </c>
      <c r="M4886" s="187">
        <v>173.61</v>
      </c>
      <c r="N4886" s="91">
        <f t="shared" si="1315"/>
        <v>1336.1100000000001</v>
      </c>
      <c r="O4886" s="411">
        <f t="shared" si="1302"/>
        <v>469.24604999999974</v>
      </c>
      <c r="P4886" s="132" t="s">
        <v>52</v>
      </c>
      <c r="Q4886" s="232"/>
      <c r="R4886" s="411"/>
      <c r="T4886" s="134" t="s">
        <v>244</v>
      </c>
      <c r="U4886" s="266" t="s">
        <v>10767</v>
      </c>
      <c r="V4886" s="133" t="s">
        <v>55</v>
      </c>
      <c r="AA4886" s="218"/>
    </row>
    <row r="4887" spans="1:27" ht="24" x14ac:dyDescent="0.25">
      <c r="A4887" s="405">
        <v>3003820</v>
      </c>
      <c r="B4887" s="406">
        <v>42600</v>
      </c>
      <c r="C4887" s="405" t="s">
        <v>42</v>
      </c>
      <c r="D4887" s="401" t="s">
        <v>10768</v>
      </c>
      <c r="E4887" s="120">
        <v>500</v>
      </c>
      <c r="F4887" s="133" t="s">
        <v>5220</v>
      </c>
      <c r="G4887" s="404" t="s">
        <v>45</v>
      </c>
      <c r="H4887" s="411">
        <v>260</v>
      </c>
      <c r="I4887" s="89">
        <f>-(H4887*0.09)</f>
        <v>-23.4</v>
      </c>
      <c r="J4887" s="258">
        <f t="shared" ref="J4887" si="1322">-((H4887*0.019)+0.3)</f>
        <v>-5.2399999999999993</v>
      </c>
      <c r="K4887" s="90">
        <f t="shared" ref="K4887" si="1323">SUM(H4887:J4887)</f>
        <v>231.35999999999999</v>
      </c>
      <c r="M4887" s="187">
        <f>16.16+16.16</f>
        <v>32.32</v>
      </c>
      <c r="N4887" s="91">
        <f t="shared" si="1315"/>
        <v>32.32</v>
      </c>
      <c r="O4887" s="411">
        <f t="shared" si="1302"/>
        <v>199.04</v>
      </c>
      <c r="P4887" s="132" t="s">
        <v>52</v>
      </c>
      <c r="Q4887" s="232"/>
      <c r="R4887" s="411">
        <v>19.260000000000002</v>
      </c>
      <c r="S4887" s="133" t="s">
        <v>502</v>
      </c>
      <c r="T4887" s="134" t="s">
        <v>145</v>
      </c>
      <c r="U4887" s="267" t="s">
        <v>10769</v>
      </c>
      <c r="AA4887" s="218"/>
    </row>
    <row r="4888" spans="1:27" ht="24" x14ac:dyDescent="0.25">
      <c r="A4888" s="405">
        <v>3003821</v>
      </c>
      <c r="B4888" s="406">
        <v>42600</v>
      </c>
      <c r="C4888" s="405" t="s">
        <v>42</v>
      </c>
      <c r="D4888" s="401" t="s">
        <v>10770</v>
      </c>
      <c r="E4888" s="120">
        <v>50</v>
      </c>
      <c r="F4888" s="133" t="s">
        <v>161</v>
      </c>
      <c r="G4888" s="404" t="s">
        <v>45</v>
      </c>
      <c r="H4888" s="411">
        <v>142.75</v>
      </c>
      <c r="I4888" s="89">
        <f>-(H4888*0.09)</f>
        <v>-12.8475</v>
      </c>
      <c r="J4888" s="258">
        <f t="shared" ref="J4888" si="1324">-((H4888*0.019)+0.3)</f>
        <v>-3.0122499999999999</v>
      </c>
      <c r="K4888" s="90">
        <f t="shared" ref="K4888" si="1325">SUM(H4888:J4888)</f>
        <v>126.89025000000001</v>
      </c>
      <c r="L4888" s="131">
        <v>1322</v>
      </c>
      <c r="M4888" s="187">
        <v>35.56</v>
      </c>
      <c r="N4888" s="91">
        <f t="shared" si="1315"/>
        <v>101.66000000000001</v>
      </c>
      <c r="O4888" s="411">
        <f t="shared" si="1302"/>
        <v>25.230249999999998</v>
      </c>
      <c r="P4888" s="132" t="s">
        <v>52</v>
      </c>
      <c r="Q4888" s="232"/>
      <c r="R4888" s="411"/>
      <c r="T4888" s="134" t="s">
        <v>145</v>
      </c>
      <c r="U4888" s="267" t="s">
        <v>10771</v>
      </c>
      <c r="AA4888" s="218"/>
    </row>
    <row r="4889" spans="1:27" ht="24" x14ac:dyDescent="0.25">
      <c r="A4889" s="405">
        <v>3003822</v>
      </c>
      <c r="B4889" s="406">
        <v>42600</v>
      </c>
      <c r="C4889" s="405" t="s">
        <v>42</v>
      </c>
      <c r="D4889" s="401" t="s">
        <v>10772</v>
      </c>
      <c r="E4889" s="120">
        <v>100</v>
      </c>
      <c r="F4889" s="133" t="s">
        <v>161</v>
      </c>
      <c r="G4889" s="404" t="s">
        <v>45</v>
      </c>
      <c r="H4889" s="411">
        <v>270</v>
      </c>
      <c r="I4889" s="89">
        <f>-(H4889*0.09)</f>
        <v>-24.3</v>
      </c>
      <c r="J4889" s="258">
        <f t="shared" ref="J4889" si="1326">-((H4889*0.019)+0.3)</f>
        <v>-5.43</v>
      </c>
      <c r="K4889" s="90">
        <f t="shared" ref="K4889" si="1327">SUM(H4889:J4889)</f>
        <v>240.26999999999998</v>
      </c>
      <c r="L4889" s="131">
        <v>1322</v>
      </c>
      <c r="M4889" s="187">
        <v>30.52</v>
      </c>
      <c r="N4889" s="91">
        <f t="shared" si="1315"/>
        <v>162.72000000000003</v>
      </c>
      <c r="O4889" s="411">
        <f t="shared" si="1302"/>
        <v>77.549999999999955</v>
      </c>
      <c r="P4889" s="132" t="s">
        <v>52</v>
      </c>
      <c r="Q4889" s="232"/>
      <c r="R4889" s="411"/>
      <c r="T4889" s="134" t="s">
        <v>145</v>
      </c>
      <c r="U4889" s="267" t="s">
        <v>10773</v>
      </c>
      <c r="AA4889" s="218"/>
    </row>
    <row r="4890" spans="1:27" x14ac:dyDescent="0.25">
      <c r="A4890" s="405">
        <v>3003823</v>
      </c>
      <c r="B4890" s="406">
        <v>42600</v>
      </c>
      <c r="C4890" s="405" t="s">
        <v>42</v>
      </c>
      <c r="D4890" s="401" t="s">
        <v>10774</v>
      </c>
      <c r="E4890" s="120">
        <v>235</v>
      </c>
      <c r="F4890" s="133" t="s">
        <v>51</v>
      </c>
      <c r="G4890" s="404" t="s">
        <v>45</v>
      </c>
      <c r="H4890" s="411">
        <v>561.9</v>
      </c>
      <c r="I4890" s="89">
        <f>-(H4890*0.09)</f>
        <v>-50.570999999999998</v>
      </c>
      <c r="J4890" s="258">
        <f t="shared" ref="J4890" si="1328">-((H4890*0.019)+0.3)</f>
        <v>-10.976100000000001</v>
      </c>
      <c r="K4890" s="90">
        <f t="shared" ref="K4890:K4891" si="1329">SUM(H4890:J4890)</f>
        <v>500.35289999999998</v>
      </c>
      <c r="L4890" s="131">
        <v>1015</v>
      </c>
      <c r="M4890" s="187">
        <v>190.2</v>
      </c>
      <c r="N4890" s="91">
        <f t="shared" si="1315"/>
        <v>428.72500000000002</v>
      </c>
      <c r="O4890" s="411">
        <f t="shared" si="1302"/>
        <v>71.627899999999954</v>
      </c>
      <c r="P4890" s="132" t="s">
        <v>52</v>
      </c>
      <c r="Q4890" s="232"/>
      <c r="R4890" s="411"/>
      <c r="T4890" s="134" t="s">
        <v>1467</v>
      </c>
      <c r="U4890" s="267" t="s">
        <v>10775</v>
      </c>
      <c r="V4890" s="133" t="s">
        <v>55</v>
      </c>
      <c r="AA4890" s="218"/>
    </row>
    <row r="4891" spans="1:27" x14ac:dyDescent="0.25">
      <c r="A4891" s="405">
        <v>3003824</v>
      </c>
      <c r="B4891" s="406">
        <v>42600</v>
      </c>
      <c r="C4891" s="405" t="s">
        <v>327</v>
      </c>
      <c r="D4891" s="401" t="s">
        <v>10776</v>
      </c>
      <c r="E4891" s="120">
        <v>1000</v>
      </c>
      <c r="F4891" s="133" t="s">
        <v>161</v>
      </c>
      <c r="G4891" s="404" t="s">
        <v>45</v>
      </c>
      <c r="H4891" s="411">
        <v>2100</v>
      </c>
      <c r="I4891" s="411">
        <v>0</v>
      </c>
      <c r="J4891" s="258">
        <f>-((H4891*0.022)+0.3)</f>
        <v>-46.499999999999993</v>
      </c>
      <c r="K4891" s="90">
        <f t="shared" si="1329"/>
        <v>2053.5</v>
      </c>
      <c r="L4891" s="131">
        <v>1322</v>
      </c>
      <c r="M4891" s="224">
        <v>142.91</v>
      </c>
      <c r="N4891" s="91">
        <f t="shared" si="1315"/>
        <v>1464.91</v>
      </c>
      <c r="O4891" s="411">
        <f t="shared" si="1302"/>
        <v>588.58999999999992</v>
      </c>
      <c r="P4891" s="132" t="s">
        <v>86</v>
      </c>
      <c r="Q4891" s="232"/>
      <c r="R4891" s="411"/>
      <c r="T4891" s="172" t="s">
        <v>244</v>
      </c>
      <c r="U4891" s="259" t="s">
        <v>10777</v>
      </c>
      <c r="V4891" s="133" t="s">
        <v>55</v>
      </c>
      <c r="W4891" s="153" t="s">
        <v>10778</v>
      </c>
      <c r="AA4891" s="218">
        <v>10</v>
      </c>
    </row>
    <row r="4892" spans="1:27" ht="24" x14ac:dyDescent="0.25">
      <c r="A4892" s="405">
        <v>3003825</v>
      </c>
      <c r="B4892" s="406">
        <v>42600</v>
      </c>
      <c r="C4892" s="405" t="s">
        <v>237</v>
      </c>
      <c r="D4892" s="401" t="s">
        <v>10779</v>
      </c>
      <c r="E4892" s="120">
        <v>150</v>
      </c>
      <c r="F4892" s="133" t="s">
        <v>247</v>
      </c>
      <c r="G4892" s="404" t="s">
        <v>45</v>
      </c>
      <c r="H4892" s="411">
        <v>164.07</v>
      </c>
      <c r="I4892" s="397">
        <f t="shared" ref="I4892" si="1330">-(H4892*0.15)</f>
        <v>-24.610499999999998</v>
      </c>
      <c r="J4892" s="411">
        <v>0</v>
      </c>
      <c r="K4892" s="90">
        <f t="shared" ref="K4892:K4898" si="1331">SUM(H4892:J4892)</f>
        <v>139.45949999999999</v>
      </c>
      <c r="L4892" s="131">
        <v>480</v>
      </c>
      <c r="M4892" s="187">
        <v>34.79</v>
      </c>
      <c r="N4892" s="91">
        <f t="shared" si="1315"/>
        <v>106.78999999999999</v>
      </c>
      <c r="O4892" s="411">
        <f t="shared" si="1302"/>
        <v>32.669499999999999</v>
      </c>
      <c r="P4892" s="132" t="s">
        <v>52</v>
      </c>
      <c r="Q4892" s="232"/>
      <c r="R4892" s="411"/>
      <c r="T4892" s="134" t="s">
        <v>145</v>
      </c>
      <c r="U4892" s="267" t="s">
        <v>10780</v>
      </c>
      <c r="AA4892" s="218"/>
    </row>
    <row r="4893" spans="1:27" ht="24" x14ac:dyDescent="0.25">
      <c r="A4893" s="405">
        <v>3003826</v>
      </c>
      <c r="B4893" s="406">
        <v>42600</v>
      </c>
      <c r="C4893" s="405" t="s">
        <v>237</v>
      </c>
      <c r="D4893" s="401" t="s">
        <v>10781</v>
      </c>
      <c r="E4893" s="120">
        <v>75</v>
      </c>
      <c r="F4893" s="133" t="s">
        <v>161</v>
      </c>
      <c r="G4893" s="404" t="s">
        <v>45</v>
      </c>
      <c r="H4893" s="411">
        <v>182.77</v>
      </c>
      <c r="I4893" s="397">
        <f t="shared" ref="I4893" si="1332">-(H4893*0.15)</f>
        <v>-27.415500000000002</v>
      </c>
      <c r="J4893" s="411">
        <v>0</v>
      </c>
      <c r="K4893" s="90">
        <f t="shared" si="1331"/>
        <v>155.3545</v>
      </c>
      <c r="L4893" s="131">
        <v>1322</v>
      </c>
      <c r="M4893" s="187">
        <v>35.729999999999997</v>
      </c>
      <c r="N4893" s="91">
        <f t="shared" si="1315"/>
        <v>134.88</v>
      </c>
      <c r="O4893" s="411">
        <f t="shared" si="1302"/>
        <v>20.474500000000006</v>
      </c>
      <c r="P4893" s="132" t="s">
        <v>52</v>
      </c>
      <c r="Q4893" s="232"/>
      <c r="R4893" s="411"/>
      <c r="T4893" s="134" t="s">
        <v>145</v>
      </c>
      <c r="U4893" s="267" t="s">
        <v>10782</v>
      </c>
      <c r="AA4893" s="218"/>
    </row>
    <row r="4894" spans="1:27" ht="24" x14ac:dyDescent="0.25">
      <c r="A4894" s="405">
        <v>3003827</v>
      </c>
      <c r="B4894" s="406">
        <v>42600</v>
      </c>
      <c r="C4894" s="405" t="s">
        <v>237</v>
      </c>
      <c r="D4894" s="401" t="s">
        <v>4253</v>
      </c>
      <c r="E4894" s="120">
        <v>250</v>
      </c>
      <c r="F4894" s="133" t="s">
        <v>1042</v>
      </c>
      <c r="G4894" s="404" t="s">
        <v>45</v>
      </c>
      <c r="H4894" s="411">
        <v>150</v>
      </c>
      <c r="I4894" s="397">
        <f t="shared" ref="I4894" si="1333">-(H4894*0.15)</f>
        <v>-22.5</v>
      </c>
      <c r="J4894" s="411">
        <v>0</v>
      </c>
      <c r="K4894" s="90">
        <f t="shared" si="1331"/>
        <v>127.5</v>
      </c>
      <c r="L4894" s="131">
        <v>150</v>
      </c>
      <c r="M4894" s="187">
        <v>31.46</v>
      </c>
      <c r="N4894" s="91">
        <f t="shared" si="1315"/>
        <v>68.960000000000008</v>
      </c>
      <c r="O4894" s="411">
        <f t="shared" si="1302"/>
        <v>58.539999999999992</v>
      </c>
      <c r="P4894" s="132" t="s">
        <v>52</v>
      </c>
      <c r="Q4894" s="232"/>
      <c r="R4894" s="411"/>
      <c r="T4894" s="134" t="s">
        <v>145</v>
      </c>
      <c r="U4894" s="267" t="s">
        <v>10783</v>
      </c>
      <c r="AA4894" s="218"/>
    </row>
    <row r="4895" spans="1:27" ht="24" x14ac:dyDescent="0.25">
      <c r="A4895" s="405">
        <v>3003828</v>
      </c>
      <c r="B4895" s="406">
        <v>42600</v>
      </c>
      <c r="C4895" s="405" t="s">
        <v>237</v>
      </c>
      <c r="D4895" s="401" t="s">
        <v>10784</v>
      </c>
      <c r="E4895" s="120">
        <v>75</v>
      </c>
      <c r="F4895" s="133" t="s">
        <v>341</v>
      </c>
      <c r="G4895" s="404" t="s">
        <v>45</v>
      </c>
      <c r="H4895" s="411">
        <v>126.71</v>
      </c>
      <c r="I4895" s="397">
        <f t="shared" ref="I4895" si="1334">-(H4895*0.15)</f>
        <v>-19.006499999999999</v>
      </c>
      <c r="J4895" s="411">
        <v>0</v>
      </c>
      <c r="K4895" s="90">
        <f t="shared" si="1331"/>
        <v>107.70349999999999</v>
      </c>
      <c r="L4895" s="131">
        <v>698</v>
      </c>
      <c r="M4895" s="187">
        <v>40.71</v>
      </c>
      <c r="N4895" s="91">
        <f t="shared" si="1315"/>
        <v>93.06</v>
      </c>
      <c r="O4895" s="411">
        <f t="shared" si="1302"/>
        <v>14.643499999999989</v>
      </c>
      <c r="P4895" s="132" t="s">
        <v>52</v>
      </c>
      <c r="Q4895" s="232"/>
      <c r="R4895" s="411"/>
      <c r="T4895" s="134" t="s">
        <v>145</v>
      </c>
      <c r="U4895" s="267" t="s">
        <v>10785</v>
      </c>
      <c r="AA4895" s="218"/>
    </row>
    <row r="4896" spans="1:27" ht="24" x14ac:dyDescent="0.25">
      <c r="A4896" s="405">
        <v>3003829</v>
      </c>
      <c r="B4896" s="406">
        <v>42600</v>
      </c>
      <c r="C4896" s="405" t="s">
        <v>237</v>
      </c>
      <c r="D4896" s="401" t="s">
        <v>10786</v>
      </c>
      <c r="E4896" s="120">
        <v>350</v>
      </c>
      <c r="F4896" s="133" t="s">
        <v>165</v>
      </c>
      <c r="G4896" s="404" t="s">
        <v>45</v>
      </c>
      <c r="H4896" s="411">
        <v>266.56</v>
      </c>
      <c r="I4896" s="397">
        <f t="shared" ref="I4896" si="1335">-(H4896*0.15)</f>
        <v>-39.984000000000002</v>
      </c>
      <c r="J4896" s="411">
        <v>0</v>
      </c>
      <c r="K4896" s="90">
        <f t="shared" si="1331"/>
        <v>226.57599999999999</v>
      </c>
      <c r="L4896" s="131">
        <v>300</v>
      </c>
      <c r="M4896" s="187">
        <v>43.01</v>
      </c>
      <c r="N4896" s="91">
        <f t="shared" si="1315"/>
        <v>148.01000000000002</v>
      </c>
      <c r="O4896" s="411">
        <f t="shared" si="1302"/>
        <v>78.565999999999974</v>
      </c>
      <c r="P4896" s="132" t="s">
        <v>52</v>
      </c>
      <c r="Q4896" s="232"/>
      <c r="R4896" s="411"/>
      <c r="T4896" s="134" t="s">
        <v>145</v>
      </c>
      <c r="U4896" s="267" t="s">
        <v>10787</v>
      </c>
      <c r="AA4896" s="218"/>
    </row>
    <row r="4897" spans="1:27" ht="24" x14ac:dyDescent="0.25">
      <c r="A4897" s="405">
        <v>3003830</v>
      </c>
      <c r="B4897" s="406">
        <v>42600</v>
      </c>
      <c r="C4897" s="405" t="s">
        <v>237</v>
      </c>
      <c r="D4897" s="401" t="s">
        <v>10788</v>
      </c>
      <c r="E4897" s="120">
        <v>50</v>
      </c>
      <c r="F4897" s="133" t="s">
        <v>161</v>
      </c>
      <c r="G4897" s="404" t="s">
        <v>45</v>
      </c>
      <c r="H4897" s="411">
        <v>126.97</v>
      </c>
      <c r="I4897" s="397">
        <f t="shared" ref="I4897" si="1336">-(H4897*0.15)</f>
        <v>-19.045500000000001</v>
      </c>
      <c r="J4897" s="411">
        <v>0</v>
      </c>
      <c r="K4897" s="90">
        <f t="shared" si="1331"/>
        <v>107.92449999999999</v>
      </c>
      <c r="L4897" s="131">
        <v>1322</v>
      </c>
      <c r="M4897" s="187">
        <v>22.35</v>
      </c>
      <c r="N4897" s="91">
        <f t="shared" si="1315"/>
        <v>88.450000000000017</v>
      </c>
      <c r="O4897" s="411">
        <f t="shared" si="1302"/>
        <v>19.474499999999978</v>
      </c>
      <c r="P4897" s="132" t="s">
        <v>52</v>
      </c>
      <c r="Q4897" s="232"/>
      <c r="R4897" s="411"/>
      <c r="T4897" s="134" t="s">
        <v>145</v>
      </c>
      <c r="U4897" s="267" t="s">
        <v>10789</v>
      </c>
      <c r="AA4897" s="218"/>
    </row>
    <row r="4898" spans="1:27" ht="24" x14ac:dyDescent="0.25">
      <c r="A4898" s="405">
        <v>3003831</v>
      </c>
      <c r="B4898" s="406">
        <v>42600</v>
      </c>
      <c r="C4898" s="405" t="s">
        <v>141</v>
      </c>
      <c r="D4898" s="401" t="s">
        <v>10790</v>
      </c>
      <c r="E4898" s="120">
        <v>2560</v>
      </c>
      <c r="F4898" s="119" t="s">
        <v>10791</v>
      </c>
      <c r="G4898" s="404" t="s">
        <v>45</v>
      </c>
      <c r="H4898" s="411">
        <v>12376</v>
      </c>
      <c r="I4898" s="411">
        <v>0</v>
      </c>
      <c r="J4898" s="258">
        <f>-((H4898*0.0325)+0.3)</f>
        <v>-402.52000000000004</v>
      </c>
      <c r="K4898" s="90">
        <f t="shared" si="1331"/>
        <v>11973.48</v>
      </c>
      <c r="L4898" s="131">
        <v>3840</v>
      </c>
      <c r="M4898" s="131">
        <v>1150</v>
      </c>
      <c r="N4898" s="91">
        <f t="shared" si="1315"/>
        <v>10980.4</v>
      </c>
      <c r="O4898" s="411">
        <f t="shared" si="1302"/>
        <v>993.07999999999993</v>
      </c>
      <c r="P4898" s="132" t="s">
        <v>52</v>
      </c>
      <c r="Q4898" s="232"/>
      <c r="R4898" s="411"/>
      <c r="T4898" s="134" t="s">
        <v>7830</v>
      </c>
      <c r="U4898" s="266" t="s">
        <v>1229</v>
      </c>
      <c r="W4898" s="153" t="s">
        <v>429</v>
      </c>
      <c r="AA4898" s="218">
        <v>100</v>
      </c>
    </row>
    <row r="4899" spans="1:27" ht="24" x14ac:dyDescent="0.25">
      <c r="A4899" s="405">
        <v>3003832</v>
      </c>
      <c r="B4899" s="406">
        <v>42600</v>
      </c>
      <c r="C4899" s="405" t="s">
        <v>9435</v>
      </c>
      <c r="D4899" s="401" t="s">
        <v>10792</v>
      </c>
      <c r="E4899" s="120">
        <v>500</v>
      </c>
      <c r="F4899" s="133" t="s">
        <v>451</v>
      </c>
      <c r="G4899" s="404" t="s">
        <v>45</v>
      </c>
      <c r="H4899" s="411">
        <v>285</v>
      </c>
      <c r="I4899" s="411">
        <v>0</v>
      </c>
      <c r="J4899" s="258">
        <f>-((H4899*0.022)+0.3)</f>
        <v>-6.5699999999999994</v>
      </c>
      <c r="K4899" s="90">
        <f t="shared" ref="K4899" si="1337">SUM(H4899:J4899)</f>
        <v>278.43</v>
      </c>
      <c r="L4899" s="131">
        <v>300</v>
      </c>
      <c r="M4899" s="187">
        <v>39.65</v>
      </c>
      <c r="N4899" s="91">
        <f t="shared" si="1315"/>
        <v>189.65</v>
      </c>
      <c r="O4899" s="411">
        <f t="shared" si="1302"/>
        <v>88.78</v>
      </c>
      <c r="P4899" s="132" t="s">
        <v>52</v>
      </c>
      <c r="Q4899" s="232"/>
      <c r="R4899" s="411"/>
      <c r="T4899" s="134" t="s">
        <v>145</v>
      </c>
      <c r="U4899" s="267" t="s">
        <v>10793</v>
      </c>
      <c r="W4899" s="153" t="s">
        <v>10794</v>
      </c>
      <c r="AA4899" s="218"/>
    </row>
    <row r="4900" spans="1:27" x14ac:dyDescent="0.25">
      <c r="A4900" s="405">
        <v>3003833</v>
      </c>
      <c r="B4900" s="406">
        <v>42600</v>
      </c>
      <c r="C4900" s="405" t="s">
        <v>9435</v>
      </c>
      <c r="D4900" s="401" t="s">
        <v>10795</v>
      </c>
      <c r="E4900" s="120">
        <v>1600</v>
      </c>
      <c r="F4900" s="133" t="s">
        <v>247</v>
      </c>
      <c r="G4900" s="404" t="s">
        <v>45</v>
      </c>
      <c r="H4900" s="411">
        <v>1570</v>
      </c>
      <c r="I4900" s="411">
        <v>0</v>
      </c>
      <c r="J4900" s="258">
        <f>-((H4900*0.022)+0.3)</f>
        <v>-34.839999999999996</v>
      </c>
      <c r="K4900" s="90">
        <f t="shared" ref="K4900" si="1338">SUM(H4900:J4900)</f>
        <v>1535.16</v>
      </c>
      <c r="L4900" s="131">
        <v>400</v>
      </c>
      <c r="M4900" s="187">
        <v>228.32</v>
      </c>
      <c r="N4900" s="91">
        <f t="shared" si="1315"/>
        <v>868.31999999999994</v>
      </c>
      <c r="O4900" s="411">
        <f t="shared" si="1302"/>
        <v>666.84000000000015</v>
      </c>
      <c r="P4900" s="132" t="s">
        <v>86</v>
      </c>
      <c r="Q4900" s="232"/>
      <c r="R4900" s="411"/>
      <c r="T4900" s="134" t="s">
        <v>3598</v>
      </c>
      <c r="U4900" s="267" t="s">
        <v>10796</v>
      </c>
      <c r="V4900" s="133" t="s">
        <v>55</v>
      </c>
      <c r="W4900" s="153" t="s">
        <v>10797</v>
      </c>
      <c r="AA4900" s="218">
        <v>10</v>
      </c>
    </row>
    <row r="4901" spans="1:27" x14ac:dyDescent="0.25">
      <c r="A4901" s="405">
        <v>3003834</v>
      </c>
      <c r="B4901" s="406">
        <v>42600</v>
      </c>
      <c r="C4901" s="405" t="s">
        <v>9435</v>
      </c>
      <c r="D4901" s="401" t="s">
        <v>10798</v>
      </c>
      <c r="E4901" s="120">
        <v>170</v>
      </c>
      <c r="F4901" s="133" t="s">
        <v>860</v>
      </c>
      <c r="G4901" s="404" t="s">
        <v>45</v>
      </c>
      <c r="H4901" s="411">
        <v>1190</v>
      </c>
      <c r="I4901" s="411">
        <v>0</v>
      </c>
      <c r="J4901" s="258">
        <f>-((H4901*0.022)+0.3)</f>
        <v>-26.48</v>
      </c>
      <c r="K4901" s="90">
        <f t="shared" ref="K4901" si="1339">SUM(H4901:J4901)</f>
        <v>1163.52</v>
      </c>
      <c r="L4901" s="131">
        <v>3300</v>
      </c>
      <c r="M4901" s="187">
        <v>145.44</v>
      </c>
      <c r="N4901" s="91">
        <f t="shared" si="1315"/>
        <v>706.44</v>
      </c>
      <c r="O4901" s="411">
        <f t="shared" si="1302"/>
        <v>457.07999999999993</v>
      </c>
      <c r="P4901" s="132" t="s">
        <v>52</v>
      </c>
      <c r="Q4901" s="232"/>
      <c r="R4901" s="411"/>
      <c r="T4901" s="134" t="s">
        <v>463</v>
      </c>
      <c r="U4901" s="267" t="s">
        <v>10799</v>
      </c>
      <c r="W4901" s="153" t="s">
        <v>10800</v>
      </c>
      <c r="AA4901" s="218">
        <v>10</v>
      </c>
    </row>
    <row r="4902" spans="1:27" ht="24" customHeight="1" x14ac:dyDescent="0.25">
      <c r="A4902" s="419">
        <v>3003835</v>
      </c>
      <c r="B4902" s="421">
        <v>42600</v>
      </c>
      <c r="C4902" s="419" t="s">
        <v>327</v>
      </c>
      <c r="D4902" s="417" t="s">
        <v>10801</v>
      </c>
      <c r="E4902" s="120">
        <v>500</v>
      </c>
      <c r="F4902" s="133" t="s">
        <v>161</v>
      </c>
      <c r="G4902" s="434" t="s">
        <v>45</v>
      </c>
      <c r="H4902" s="427">
        <v>1610</v>
      </c>
      <c r="I4902" s="427">
        <v>0</v>
      </c>
      <c r="J4902" s="425">
        <f>-((H4902*0.022)+0.3)</f>
        <v>-35.719999999999992</v>
      </c>
      <c r="K4902" s="425">
        <f t="shared" ref="K4902" si="1340">SUM(H4902:J4902)</f>
        <v>1574.28</v>
      </c>
      <c r="L4902" s="131">
        <v>1322</v>
      </c>
      <c r="M4902" s="468">
        <v>177.54</v>
      </c>
      <c r="N4902" s="91">
        <f t="shared" si="1315"/>
        <v>838.54</v>
      </c>
      <c r="O4902" s="411">
        <f t="shared" si="1302"/>
        <v>735.74</v>
      </c>
      <c r="P4902" s="132" t="s">
        <v>52</v>
      </c>
      <c r="Q4902" s="232"/>
      <c r="R4902" s="411"/>
      <c r="T4902" s="439" t="s">
        <v>10802</v>
      </c>
      <c r="U4902" s="446" t="s">
        <v>10803</v>
      </c>
      <c r="V4902" s="133" t="s">
        <v>55</v>
      </c>
      <c r="W4902" s="153" t="s">
        <v>10804</v>
      </c>
      <c r="AA4902" s="473">
        <v>10</v>
      </c>
    </row>
    <row r="4903" spans="1:27" x14ac:dyDescent="0.25">
      <c r="A4903" s="420"/>
      <c r="B4903" s="422"/>
      <c r="C4903" s="420"/>
      <c r="D4903" s="418"/>
      <c r="E4903" s="120">
        <v>500</v>
      </c>
      <c r="F4903" s="133" t="s">
        <v>590</v>
      </c>
      <c r="G4903" s="436"/>
      <c r="H4903" s="428"/>
      <c r="I4903" s="428"/>
      <c r="J4903" s="426"/>
      <c r="K4903" s="426"/>
      <c r="L4903" s="131">
        <v>577</v>
      </c>
      <c r="M4903" s="469"/>
      <c r="N4903" s="91">
        <f t="shared" si="1315"/>
        <v>288.5</v>
      </c>
      <c r="O4903" s="411">
        <f t="shared" si="1302"/>
        <v>-288.5</v>
      </c>
      <c r="P4903" s="132" t="s">
        <v>52</v>
      </c>
      <c r="Q4903" s="232"/>
      <c r="R4903" s="411"/>
      <c r="T4903" s="441"/>
      <c r="U4903" s="447"/>
      <c r="AA4903" s="474"/>
    </row>
    <row r="4904" spans="1:27" ht="24" x14ac:dyDescent="0.25">
      <c r="A4904" s="405">
        <v>3003836</v>
      </c>
      <c r="B4904" s="406">
        <v>42600</v>
      </c>
      <c r="C4904" s="405" t="s">
        <v>327</v>
      </c>
      <c r="D4904" s="401" t="s">
        <v>10805</v>
      </c>
      <c r="E4904" s="120">
        <v>70</v>
      </c>
      <c r="F4904" s="133" t="s">
        <v>10806</v>
      </c>
      <c r="G4904" s="404" t="s">
        <v>45</v>
      </c>
      <c r="H4904" s="411">
        <v>420</v>
      </c>
      <c r="I4904" s="411">
        <v>0</v>
      </c>
      <c r="J4904" s="258">
        <f>-((H4904*0.022)+0.3)</f>
        <v>-9.5400000000000009</v>
      </c>
      <c r="K4904" s="90">
        <f t="shared" ref="K4904" si="1341">SUM(H4904:J4904)</f>
        <v>410.46</v>
      </c>
      <c r="L4904" s="187">
        <v>4200</v>
      </c>
      <c r="M4904" s="187">
        <v>28.59</v>
      </c>
      <c r="N4904" s="91">
        <f t="shared" si="1315"/>
        <v>322.58999999999997</v>
      </c>
      <c r="O4904" s="411">
        <f t="shared" si="1302"/>
        <v>87.87</v>
      </c>
      <c r="P4904" s="132" t="s">
        <v>183</v>
      </c>
      <c r="Q4904" s="232"/>
      <c r="R4904" s="411"/>
      <c r="T4904" s="134" t="s">
        <v>145</v>
      </c>
      <c r="U4904" s="267" t="s">
        <v>10807</v>
      </c>
      <c r="W4904" s="153" t="s">
        <v>10808</v>
      </c>
      <c r="AA4904" s="218"/>
    </row>
    <row r="4905" spans="1:27" ht="24.75" customHeight="1" x14ac:dyDescent="0.25">
      <c r="A4905" s="405">
        <v>3003837</v>
      </c>
      <c r="B4905" s="406">
        <v>42600</v>
      </c>
      <c r="C4905" s="405" t="s">
        <v>327</v>
      </c>
      <c r="D4905" s="401" t="s">
        <v>729</v>
      </c>
      <c r="E4905" s="120">
        <v>1000</v>
      </c>
      <c r="F4905" s="133" t="s">
        <v>10809</v>
      </c>
      <c r="G4905" s="404" t="s">
        <v>45</v>
      </c>
      <c r="H4905" s="411">
        <v>400</v>
      </c>
      <c r="I4905" s="411">
        <v>0</v>
      </c>
      <c r="J4905" s="258">
        <f>-((H4905*0.022)+0.3)</f>
        <v>-9.1</v>
      </c>
      <c r="K4905" s="90">
        <f t="shared" ref="K4905:K4906" si="1342">SUM(H4905:J4905)</f>
        <v>390.9</v>
      </c>
      <c r="L4905" s="131">
        <v>200</v>
      </c>
      <c r="M4905" s="187">
        <f>23.11+23.11+23.11+23.11</f>
        <v>92.44</v>
      </c>
      <c r="N4905" s="91">
        <f t="shared" si="1315"/>
        <v>292.44</v>
      </c>
      <c r="O4905" s="411">
        <f t="shared" si="1302"/>
        <v>98.45999999999998</v>
      </c>
      <c r="P4905" s="132" t="s">
        <v>52</v>
      </c>
      <c r="Q4905" s="232"/>
      <c r="R4905" s="411"/>
      <c r="T4905" s="134" t="s">
        <v>145</v>
      </c>
      <c r="U4905" s="266" t="s">
        <v>10810</v>
      </c>
      <c r="W4905" s="153" t="s">
        <v>5286</v>
      </c>
      <c r="AA4905" s="218"/>
    </row>
    <row r="4906" spans="1:27" ht="24" x14ac:dyDescent="0.25">
      <c r="A4906" s="405">
        <v>3003838</v>
      </c>
      <c r="B4906" s="406">
        <v>42600</v>
      </c>
      <c r="C4906" s="405" t="s">
        <v>42</v>
      </c>
      <c r="D4906" s="401" t="s">
        <v>10811</v>
      </c>
      <c r="E4906" s="120">
        <v>50</v>
      </c>
      <c r="F4906" s="133" t="s">
        <v>161</v>
      </c>
      <c r="G4906" s="404" t="s">
        <v>45</v>
      </c>
      <c r="H4906" s="411">
        <v>142.75</v>
      </c>
      <c r="I4906" s="89">
        <f>-(H4906*0.09)</f>
        <v>-12.8475</v>
      </c>
      <c r="J4906" s="258">
        <f t="shared" ref="J4906" si="1343">-((H4906*0.019)+0.3)</f>
        <v>-3.0122499999999999</v>
      </c>
      <c r="K4906" s="90">
        <f t="shared" si="1342"/>
        <v>126.89025000000001</v>
      </c>
      <c r="L4906" s="131">
        <v>1322</v>
      </c>
      <c r="M4906" s="187">
        <v>15.59</v>
      </c>
      <c r="N4906" s="91">
        <f t="shared" si="1315"/>
        <v>81.690000000000012</v>
      </c>
      <c r="O4906" s="411">
        <f t="shared" si="1302"/>
        <v>45.200249999999997</v>
      </c>
      <c r="P4906" s="132" t="s">
        <v>52</v>
      </c>
      <c r="Q4906" s="232"/>
      <c r="R4906" s="411"/>
      <c r="T4906" s="134" t="s">
        <v>145</v>
      </c>
      <c r="U4906" s="267" t="s">
        <v>10812</v>
      </c>
      <c r="AA4906" s="218"/>
    </row>
    <row r="4907" spans="1:27" ht="24" x14ac:dyDescent="0.25">
      <c r="A4907" s="405">
        <v>3003839</v>
      </c>
      <c r="B4907" s="406">
        <v>42601</v>
      </c>
      <c r="C4907" s="405" t="s">
        <v>63</v>
      </c>
      <c r="D4907" s="401" t="s">
        <v>10813</v>
      </c>
      <c r="E4907" s="120">
        <v>100</v>
      </c>
      <c r="F4907" s="133" t="s">
        <v>10814</v>
      </c>
      <c r="G4907" s="404" t="s">
        <v>45</v>
      </c>
      <c r="H4907" s="411">
        <v>415.5</v>
      </c>
      <c r="I4907" s="411">
        <v>0</v>
      </c>
      <c r="J4907" s="258">
        <f>-((H4907*0.022)+0.3)</f>
        <v>-9.4410000000000007</v>
      </c>
      <c r="K4907" s="90">
        <f t="shared" ref="K4907:K4908" si="1344">SUM(H4907:J4907)</f>
        <v>406.05900000000003</v>
      </c>
      <c r="L4907" s="131">
        <v>2400</v>
      </c>
      <c r="M4907" s="187">
        <v>76.13</v>
      </c>
      <c r="N4907" s="91">
        <f t="shared" si="1315"/>
        <v>316.13</v>
      </c>
      <c r="O4907" s="411">
        <f t="shared" si="1302"/>
        <v>89.92900000000003</v>
      </c>
      <c r="P4907" s="132" t="s">
        <v>52</v>
      </c>
      <c r="Q4907" s="232"/>
      <c r="R4907" s="411"/>
      <c r="T4907" s="134" t="s">
        <v>145</v>
      </c>
      <c r="U4907" s="267" t="s">
        <v>10815</v>
      </c>
      <c r="W4907" s="153" t="s">
        <v>10816</v>
      </c>
      <c r="AA4907" s="218"/>
    </row>
    <row r="4908" spans="1:27" ht="24" x14ac:dyDescent="0.25">
      <c r="A4908" s="405">
        <v>3003840</v>
      </c>
      <c r="B4908" s="406">
        <v>42601</v>
      </c>
      <c r="C4908" s="405" t="s">
        <v>42</v>
      </c>
      <c r="D4908" s="401" t="s">
        <v>10817</v>
      </c>
      <c r="E4908" s="120">
        <v>250</v>
      </c>
      <c r="F4908" s="133" t="s">
        <v>5656</v>
      </c>
      <c r="G4908" s="404" t="s">
        <v>45</v>
      </c>
      <c r="H4908" s="411">
        <v>453.42</v>
      </c>
      <c r="I4908" s="89">
        <f>-(H4908*0.09)</f>
        <v>-40.8078</v>
      </c>
      <c r="J4908" s="258">
        <f t="shared" ref="J4908" si="1345">-((H4908*0.019)+0.3)</f>
        <v>-8.9149800000000017</v>
      </c>
      <c r="K4908" s="90">
        <f t="shared" si="1344"/>
        <v>403.69722000000002</v>
      </c>
      <c r="L4908" s="187">
        <v>830</v>
      </c>
      <c r="M4908" s="187">
        <v>28.79</v>
      </c>
      <c r="N4908" s="91">
        <f t="shared" si="1315"/>
        <v>236.29</v>
      </c>
      <c r="O4908" s="411">
        <f t="shared" si="1302"/>
        <v>167.40722000000002</v>
      </c>
      <c r="P4908" s="132" t="s">
        <v>926</v>
      </c>
      <c r="Q4908" s="232"/>
      <c r="R4908" s="411"/>
      <c r="T4908" s="134" t="s">
        <v>145</v>
      </c>
      <c r="U4908" s="267" t="s">
        <v>10818</v>
      </c>
      <c r="AA4908" s="218"/>
    </row>
    <row r="4909" spans="1:27" ht="24" x14ac:dyDescent="0.25">
      <c r="A4909" s="405">
        <v>3003841</v>
      </c>
      <c r="B4909" s="406">
        <v>42601</v>
      </c>
      <c r="C4909" s="405" t="s">
        <v>42</v>
      </c>
      <c r="D4909" s="401" t="s">
        <v>10819</v>
      </c>
      <c r="E4909" s="120">
        <v>150</v>
      </c>
      <c r="F4909" s="133" t="s">
        <v>829</v>
      </c>
      <c r="G4909" s="404" t="s">
        <v>45</v>
      </c>
      <c r="H4909" s="411">
        <v>164.35</v>
      </c>
      <c r="I4909" s="89">
        <f>-(H4909*0.09)</f>
        <v>-14.791499999999999</v>
      </c>
      <c r="J4909" s="258">
        <f t="shared" ref="J4909" si="1346">-((H4909*0.019)+0.3)</f>
        <v>-3.4226499999999995</v>
      </c>
      <c r="K4909" s="90">
        <f t="shared" ref="K4909" si="1347">SUM(H4909:J4909)</f>
        <v>146.13584999999998</v>
      </c>
      <c r="L4909" s="131">
        <v>510</v>
      </c>
      <c r="M4909" s="187">
        <v>50.58</v>
      </c>
      <c r="N4909" s="91">
        <f t="shared" si="1315"/>
        <v>127.08</v>
      </c>
      <c r="O4909" s="411">
        <f t="shared" si="1302"/>
        <v>19.055849999999978</v>
      </c>
      <c r="P4909" s="132" t="s">
        <v>52</v>
      </c>
      <c r="Q4909" s="232"/>
      <c r="R4909" s="411"/>
      <c r="T4909" s="134" t="s">
        <v>145</v>
      </c>
      <c r="U4909" s="267" t="s">
        <v>10820</v>
      </c>
      <c r="AA4909" s="218"/>
    </row>
    <row r="4910" spans="1:27" ht="24" x14ac:dyDescent="0.25">
      <c r="A4910" s="405">
        <v>3003842</v>
      </c>
      <c r="B4910" s="406">
        <v>42601</v>
      </c>
      <c r="C4910" s="405" t="s">
        <v>42</v>
      </c>
      <c r="D4910" s="401" t="s">
        <v>9259</v>
      </c>
      <c r="E4910" s="120">
        <v>250</v>
      </c>
      <c r="F4910" s="133" t="s">
        <v>307</v>
      </c>
      <c r="G4910" s="404" t="s">
        <v>45</v>
      </c>
      <c r="H4910" s="411">
        <v>332.6</v>
      </c>
      <c r="I4910" s="89">
        <f>-(H4910*0.09)</f>
        <v>-29.934000000000001</v>
      </c>
      <c r="J4910" s="258">
        <f t="shared" ref="J4910" si="1348">-((H4910*0.019)+0.3)</f>
        <v>-6.6193999999999997</v>
      </c>
      <c r="K4910" s="90">
        <f t="shared" ref="K4910" si="1349">SUM(H4910:J4910)</f>
        <v>296.04660000000001</v>
      </c>
      <c r="L4910" s="131">
        <v>640</v>
      </c>
      <c r="M4910" s="187">
        <v>50.36</v>
      </c>
      <c r="N4910" s="91">
        <f t="shared" si="1315"/>
        <v>210.36</v>
      </c>
      <c r="O4910" s="411">
        <f t="shared" si="1302"/>
        <v>85.686599999999999</v>
      </c>
      <c r="P4910" s="132" t="s">
        <v>52</v>
      </c>
      <c r="Q4910" s="232"/>
      <c r="R4910" s="411"/>
      <c r="T4910" s="134" t="s">
        <v>145</v>
      </c>
      <c r="U4910" s="267" t="s">
        <v>10821</v>
      </c>
      <c r="AA4910" s="218"/>
    </row>
    <row r="4911" spans="1:27" ht="24" x14ac:dyDescent="0.25">
      <c r="A4911" s="405">
        <v>3003843</v>
      </c>
      <c r="B4911" s="406">
        <v>42601</v>
      </c>
      <c r="C4911" s="405" t="s">
        <v>42</v>
      </c>
      <c r="D4911" s="401" t="s">
        <v>10822</v>
      </c>
      <c r="E4911" s="120">
        <v>100</v>
      </c>
      <c r="F4911" s="133" t="s">
        <v>3950</v>
      </c>
      <c r="G4911" s="404" t="s">
        <v>45</v>
      </c>
      <c r="H4911" s="411">
        <v>176.4</v>
      </c>
      <c r="I4911" s="89">
        <f>-(H4911*0.09)</f>
        <v>-15.875999999999999</v>
      </c>
      <c r="J4911" s="258">
        <f t="shared" ref="J4911" si="1350">-((H4911*0.019)+0.3)</f>
        <v>-3.6515999999999997</v>
      </c>
      <c r="K4911" s="90">
        <f t="shared" ref="K4911" si="1351">SUM(H4911:J4911)</f>
        <v>156.8724</v>
      </c>
      <c r="L4911" s="187">
        <v>950</v>
      </c>
      <c r="M4911" s="187">
        <v>14.08</v>
      </c>
      <c r="N4911" s="91">
        <f t="shared" si="1315"/>
        <v>109.08</v>
      </c>
      <c r="O4911" s="411">
        <f t="shared" si="1302"/>
        <v>47.792400000000001</v>
      </c>
      <c r="P4911" s="132" t="s">
        <v>601</v>
      </c>
      <c r="Q4911" s="232"/>
      <c r="R4911" s="411"/>
      <c r="T4911" s="134" t="s">
        <v>145</v>
      </c>
      <c r="U4911" s="267" t="s">
        <v>10823</v>
      </c>
      <c r="AA4911" s="218"/>
    </row>
    <row r="4912" spans="1:27" ht="24" x14ac:dyDescent="0.25">
      <c r="A4912" s="405">
        <v>3003844</v>
      </c>
      <c r="B4912" s="406">
        <v>42601</v>
      </c>
      <c r="C4912" s="405" t="s">
        <v>42</v>
      </c>
      <c r="D4912" s="401" t="s">
        <v>10824</v>
      </c>
      <c r="E4912" s="120">
        <v>50</v>
      </c>
      <c r="F4912" s="133" t="s">
        <v>431</v>
      </c>
      <c r="G4912" s="404" t="s">
        <v>45</v>
      </c>
      <c r="H4912" s="411">
        <v>128.80000000000001</v>
      </c>
      <c r="I4912" s="89">
        <f>-(H4912*0.09)</f>
        <v>-11.592000000000001</v>
      </c>
      <c r="J4912" s="258">
        <f t="shared" ref="J4912" si="1352">-((H4912*0.019)+0.3)</f>
        <v>-2.7471999999999999</v>
      </c>
      <c r="K4912" s="90">
        <f t="shared" ref="K4912" si="1353">SUM(H4912:J4912)</f>
        <v>114.46080000000001</v>
      </c>
      <c r="L4912" s="131">
        <v>990</v>
      </c>
      <c r="M4912" s="187">
        <v>17.82</v>
      </c>
      <c r="N4912" s="91">
        <f t="shared" si="1315"/>
        <v>67.319999999999993</v>
      </c>
      <c r="O4912" s="411">
        <f t="shared" si="1302"/>
        <v>47.140800000000013</v>
      </c>
      <c r="P4912" s="132" t="s">
        <v>52</v>
      </c>
      <c r="Q4912" s="232"/>
      <c r="R4912" s="411"/>
      <c r="T4912" s="134" t="s">
        <v>145</v>
      </c>
      <c r="U4912" s="267" t="s">
        <v>10825</v>
      </c>
      <c r="AA4912" s="218"/>
    </row>
    <row r="4913" spans="1:27" ht="24" x14ac:dyDescent="0.25">
      <c r="A4913" s="405">
        <v>3003845</v>
      </c>
      <c r="B4913" s="406">
        <v>42601</v>
      </c>
      <c r="C4913" s="405" t="s">
        <v>237</v>
      </c>
      <c r="D4913" s="401" t="s">
        <v>10826</v>
      </c>
      <c r="E4913" s="120">
        <v>100</v>
      </c>
      <c r="F4913" s="133" t="s">
        <v>161</v>
      </c>
      <c r="G4913" s="404" t="s">
        <v>45</v>
      </c>
      <c r="H4913" s="411">
        <v>250</v>
      </c>
      <c r="I4913" s="397">
        <f t="shared" ref="I4913" si="1354">-(H4913*0.15)</f>
        <v>-37.5</v>
      </c>
      <c r="J4913" s="411">
        <v>0</v>
      </c>
      <c r="K4913" s="90">
        <f>SUM(H4913:J4913)</f>
        <v>212.5</v>
      </c>
      <c r="L4913" s="131">
        <v>1322</v>
      </c>
      <c r="M4913" s="187">
        <v>25.96</v>
      </c>
      <c r="N4913" s="91">
        <f t="shared" si="1315"/>
        <v>158.16000000000003</v>
      </c>
      <c r="O4913" s="411">
        <f t="shared" si="1302"/>
        <v>54.339999999999975</v>
      </c>
      <c r="P4913" s="132" t="s">
        <v>52</v>
      </c>
      <c r="Q4913" s="232"/>
      <c r="R4913" s="411"/>
      <c r="T4913" s="134" t="s">
        <v>145</v>
      </c>
      <c r="U4913" s="267" t="s">
        <v>10827</v>
      </c>
      <c r="AA4913" s="218"/>
    </row>
    <row r="4914" spans="1:27" ht="24" x14ac:dyDescent="0.25">
      <c r="A4914" s="405">
        <v>3003846</v>
      </c>
      <c r="B4914" s="406">
        <v>42601</v>
      </c>
      <c r="C4914" s="405" t="s">
        <v>237</v>
      </c>
      <c r="D4914" s="401" t="s">
        <v>10828</v>
      </c>
      <c r="E4914" s="120">
        <v>50</v>
      </c>
      <c r="F4914" s="133" t="s">
        <v>161</v>
      </c>
      <c r="G4914" s="404" t="s">
        <v>45</v>
      </c>
      <c r="H4914" s="411">
        <v>126.97</v>
      </c>
      <c r="I4914" s="397">
        <f t="shared" ref="I4914" si="1355">-(H4914*0.15)</f>
        <v>-19.045500000000001</v>
      </c>
      <c r="J4914" s="411">
        <v>0</v>
      </c>
      <c r="K4914" s="90">
        <f>SUM(H4914:J4914)</f>
        <v>107.92449999999999</v>
      </c>
      <c r="L4914" s="131">
        <v>1322</v>
      </c>
      <c r="M4914" s="187">
        <v>39.22</v>
      </c>
      <c r="N4914" s="91">
        <f t="shared" si="1315"/>
        <v>105.32000000000001</v>
      </c>
      <c r="O4914" s="411">
        <f t="shared" si="1302"/>
        <v>2.6044999999999874</v>
      </c>
      <c r="P4914" s="132" t="s">
        <v>52</v>
      </c>
      <c r="Q4914" s="232"/>
      <c r="R4914" s="411"/>
      <c r="T4914" s="134" t="s">
        <v>145</v>
      </c>
      <c r="U4914" s="267" t="s">
        <v>10829</v>
      </c>
      <c r="AA4914" s="218"/>
    </row>
    <row r="4915" spans="1:27" ht="24" x14ac:dyDescent="0.25">
      <c r="A4915" s="405">
        <v>3003847</v>
      </c>
      <c r="B4915" s="406">
        <v>42601</v>
      </c>
      <c r="C4915" s="405" t="s">
        <v>237</v>
      </c>
      <c r="D4915" s="401" t="s">
        <v>10830</v>
      </c>
      <c r="E4915" s="120">
        <v>150</v>
      </c>
      <c r="F4915" s="133" t="s">
        <v>247</v>
      </c>
      <c r="G4915" s="404" t="s">
        <v>45</v>
      </c>
      <c r="H4915" s="411">
        <v>164.07</v>
      </c>
      <c r="I4915" s="397">
        <f t="shared" ref="I4915" si="1356">-(H4915*0.15)</f>
        <v>-24.610499999999998</v>
      </c>
      <c r="J4915" s="411">
        <v>0</v>
      </c>
      <c r="K4915" s="90">
        <f>SUM(H4915:J4915)</f>
        <v>139.45949999999999</v>
      </c>
      <c r="L4915" s="131">
        <v>480</v>
      </c>
      <c r="M4915" s="187">
        <v>27.41</v>
      </c>
      <c r="N4915" s="91">
        <f t="shared" si="1315"/>
        <v>99.41</v>
      </c>
      <c r="O4915" s="411">
        <f t="shared" si="1302"/>
        <v>40.049499999999995</v>
      </c>
      <c r="P4915" s="132" t="s">
        <v>52</v>
      </c>
      <c r="Q4915" s="232"/>
      <c r="R4915" s="411"/>
      <c r="T4915" s="134" t="s">
        <v>145</v>
      </c>
      <c r="U4915" s="267" t="s">
        <v>10831</v>
      </c>
      <c r="AA4915" s="218"/>
    </row>
    <row r="4916" spans="1:27" ht="24" x14ac:dyDescent="0.25">
      <c r="A4916" s="405">
        <v>3003848</v>
      </c>
      <c r="B4916" s="406">
        <v>42601</v>
      </c>
      <c r="C4916" s="405" t="s">
        <v>9435</v>
      </c>
      <c r="D4916" s="401" t="s">
        <v>8581</v>
      </c>
      <c r="E4916" s="120">
        <v>500</v>
      </c>
      <c r="F4916" s="133" t="s">
        <v>182</v>
      </c>
      <c r="G4916" s="404" t="s">
        <v>45</v>
      </c>
      <c r="H4916" s="411">
        <v>825</v>
      </c>
      <c r="I4916" s="411">
        <v>0</v>
      </c>
      <c r="J4916" s="258">
        <f>-((H4916*0.022)+0.3)</f>
        <v>-18.45</v>
      </c>
      <c r="K4916" s="90">
        <f t="shared" ref="K4916:K4919" si="1357">SUM(H4916:J4916)</f>
        <v>806.55</v>
      </c>
      <c r="L4916" s="187">
        <v>1230</v>
      </c>
      <c r="M4916" s="131">
        <v>0</v>
      </c>
      <c r="N4916" s="91">
        <f t="shared" si="1315"/>
        <v>615</v>
      </c>
      <c r="O4916" s="411">
        <f t="shared" si="1302"/>
        <v>191.54999999999995</v>
      </c>
      <c r="P4916" s="132" t="s">
        <v>183</v>
      </c>
      <c r="Q4916" s="232"/>
      <c r="R4916" s="411"/>
      <c r="T4916" s="134" t="s">
        <v>10832</v>
      </c>
      <c r="U4916" s="266" t="s">
        <v>10832</v>
      </c>
      <c r="W4916" s="153" t="s">
        <v>6899</v>
      </c>
      <c r="AA4916" s="218"/>
    </row>
    <row r="4917" spans="1:27" ht="24" x14ac:dyDescent="0.25">
      <c r="A4917" s="405">
        <v>3003849</v>
      </c>
      <c r="B4917" s="406">
        <v>42601</v>
      </c>
      <c r="C4917" s="405" t="s">
        <v>42</v>
      </c>
      <c r="D4917" s="401" t="s">
        <v>10833</v>
      </c>
      <c r="E4917" s="120">
        <v>250</v>
      </c>
      <c r="F4917" s="133" t="s">
        <v>10712</v>
      </c>
      <c r="G4917" s="404" t="s">
        <v>45</v>
      </c>
      <c r="H4917" s="411">
        <v>198</v>
      </c>
      <c r="I4917" s="89">
        <f>-(H4917*0.09)</f>
        <v>-17.82</v>
      </c>
      <c r="J4917" s="258">
        <f t="shared" ref="J4917" si="1358">-((H4917*0.019)+0.3)</f>
        <v>-4.0620000000000003</v>
      </c>
      <c r="K4917" s="90">
        <f t="shared" si="1357"/>
        <v>176.11799999999999</v>
      </c>
      <c r="L4917" s="131">
        <v>350</v>
      </c>
      <c r="M4917" s="187">
        <v>46.37</v>
      </c>
      <c r="N4917" s="91">
        <f t="shared" si="1315"/>
        <v>133.87</v>
      </c>
      <c r="O4917" s="411">
        <f t="shared" si="1302"/>
        <v>42.24799999999999</v>
      </c>
      <c r="P4917" s="132" t="s">
        <v>52</v>
      </c>
      <c r="Q4917" s="232"/>
      <c r="R4917" s="411"/>
      <c r="T4917" s="134" t="s">
        <v>145</v>
      </c>
      <c r="U4917" s="267" t="s">
        <v>10834</v>
      </c>
      <c r="AA4917" s="218"/>
    </row>
    <row r="4918" spans="1:27" x14ac:dyDescent="0.25">
      <c r="A4918" s="405">
        <v>3003850</v>
      </c>
      <c r="B4918" s="406">
        <v>42601</v>
      </c>
      <c r="C4918" s="405" t="s">
        <v>56</v>
      </c>
      <c r="D4918" s="401" t="s">
        <v>10835</v>
      </c>
      <c r="E4918" s="120">
        <v>100</v>
      </c>
      <c r="F4918" s="133" t="s">
        <v>10836</v>
      </c>
      <c r="G4918" s="230" t="s">
        <v>45</v>
      </c>
      <c r="H4918" s="411">
        <v>0</v>
      </c>
      <c r="I4918" s="411">
        <v>0</v>
      </c>
      <c r="J4918" s="411">
        <v>0</v>
      </c>
      <c r="K4918" s="90">
        <f t="shared" si="1357"/>
        <v>0</v>
      </c>
      <c r="L4918" s="131">
        <v>0</v>
      </c>
      <c r="M4918" s="131">
        <v>0</v>
      </c>
      <c r="N4918" s="91">
        <f t="shared" si="1315"/>
        <v>0</v>
      </c>
      <c r="O4918" s="411">
        <f t="shared" si="1302"/>
        <v>0</v>
      </c>
      <c r="Q4918" s="232"/>
      <c r="R4918" s="411"/>
      <c r="T4918" s="134"/>
      <c r="U4918" s="266"/>
      <c r="V4918" s="133" t="s">
        <v>8237</v>
      </c>
      <c r="AA4918" s="218"/>
    </row>
    <row r="4919" spans="1:27" x14ac:dyDescent="0.25">
      <c r="A4919" s="419">
        <v>3003851</v>
      </c>
      <c r="B4919" s="421">
        <v>42601</v>
      </c>
      <c r="C4919" s="419" t="s">
        <v>56</v>
      </c>
      <c r="D4919" s="417" t="s">
        <v>10250</v>
      </c>
      <c r="E4919" s="120">
        <v>1750</v>
      </c>
      <c r="F4919" s="133" t="s">
        <v>10837</v>
      </c>
      <c r="G4919" s="434" t="s">
        <v>45</v>
      </c>
      <c r="H4919" s="427">
        <v>5419.99</v>
      </c>
      <c r="I4919" s="427">
        <v>0</v>
      </c>
      <c r="J4919" s="427">
        <v>0</v>
      </c>
      <c r="K4919" s="425">
        <f t="shared" si="1357"/>
        <v>5419.99</v>
      </c>
      <c r="L4919" s="187">
        <v>1452.01</v>
      </c>
      <c r="N4919" s="91">
        <f t="shared" si="1315"/>
        <v>2541.0174999999999</v>
      </c>
      <c r="O4919" s="411">
        <f t="shared" si="1302"/>
        <v>2878.9724999999999</v>
      </c>
      <c r="P4919" s="132" t="s">
        <v>46</v>
      </c>
      <c r="Q4919" s="232"/>
      <c r="R4919" s="411"/>
      <c r="T4919" s="134" t="s">
        <v>2652</v>
      </c>
      <c r="U4919" s="267" t="s">
        <v>10838</v>
      </c>
      <c r="V4919" s="133" t="s">
        <v>10839</v>
      </c>
      <c r="W4919" s="153" t="s">
        <v>1796</v>
      </c>
      <c r="AA4919" s="218"/>
    </row>
    <row r="4920" spans="1:27" x14ac:dyDescent="0.25">
      <c r="A4920" s="432"/>
      <c r="B4920" s="433"/>
      <c r="C4920" s="432"/>
      <c r="D4920" s="454"/>
      <c r="E4920" s="120">
        <v>1000</v>
      </c>
      <c r="F4920" s="133" t="s">
        <v>1311</v>
      </c>
      <c r="G4920" s="435"/>
      <c r="H4920" s="438"/>
      <c r="I4920" s="438"/>
      <c r="J4920" s="438"/>
      <c r="K4920" s="437"/>
      <c r="L4920" s="187">
        <v>660</v>
      </c>
      <c r="M4920" s="187">
        <v>39</v>
      </c>
      <c r="N4920" s="91">
        <f t="shared" si="1315"/>
        <v>699</v>
      </c>
      <c r="O4920" s="411">
        <f t="shared" si="1302"/>
        <v>-699</v>
      </c>
      <c r="P4920" s="132" t="s">
        <v>183</v>
      </c>
      <c r="Q4920" s="232"/>
      <c r="R4920" s="411"/>
      <c r="T4920" s="439" t="s">
        <v>3204</v>
      </c>
      <c r="U4920" s="446" t="s">
        <v>10840</v>
      </c>
      <c r="V4920" s="133" t="s">
        <v>10841</v>
      </c>
      <c r="AA4920" s="218"/>
    </row>
    <row r="4921" spans="1:27" x14ac:dyDescent="0.25">
      <c r="A4921" s="432"/>
      <c r="B4921" s="433"/>
      <c r="C4921" s="432"/>
      <c r="D4921" s="454"/>
      <c r="E4921" s="120">
        <v>1000</v>
      </c>
      <c r="F4921" s="133" t="s">
        <v>1315</v>
      </c>
      <c r="G4921" s="435"/>
      <c r="H4921" s="438"/>
      <c r="I4921" s="438"/>
      <c r="J4921" s="438"/>
      <c r="K4921" s="437"/>
      <c r="L4921" s="187">
        <v>230</v>
      </c>
      <c r="M4921" s="187"/>
      <c r="N4921" s="91">
        <f t="shared" si="1315"/>
        <v>230</v>
      </c>
      <c r="O4921" s="411">
        <f t="shared" si="1302"/>
        <v>-230</v>
      </c>
      <c r="P4921" s="132" t="s">
        <v>183</v>
      </c>
      <c r="Q4921" s="232"/>
      <c r="R4921" s="411"/>
      <c r="T4921" s="441"/>
      <c r="U4921" s="447"/>
      <c r="V4921" s="133" t="s">
        <v>10841</v>
      </c>
      <c r="AA4921" s="218"/>
    </row>
    <row r="4922" spans="1:27" x14ac:dyDescent="0.25">
      <c r="A4922" s="432"/>
      <c r="B4922" s="433"/>
      <c r="C4922" s="432"/>
      <c r="D4922" s="454"/>
      <c r="E4922" s="120">
        <v>500</v>
      </c>
      <c r="F4922" s="133" t="s">
        <v>10842</v>
      </c>
      <c r="G4922" s="435"/>
      <c r="H4922" s="438"/>
      <c r="I4922" s="438"/>
      <c r="J4922" s="438"/>
      <c r="K4922" s="437"/>
      <c r="L4922" s="187">
        <v>80</v>
      </c>
      <c r="M4922" s="187">
        <v>9.27</v>
      </c>
      <c r="N4922" s="91">
        <f t="shared" si="1315"/>
        <v>49.269999999999996</v>
      </c>
      <c r="O4922" s="411">
        <f t="shared" si="1302"/>
        <v>-49.269999999999996</v>
      </c>
      <c r="P4922" s="132" t="s">
        <v>235</v>
      </c>
      <c r="Q4922" s="232"/>
      <c r="R4922" s="411"/>
      <c r="T4922" s="439" t="s">
        <v>145</v>
      </c>
      <c r="U4922" s="267" t="s">
        <v>10843</v>
      </c>
      <c r="V4922" s="133" t="s">
        <v>10844</v>
      </c>
      <c r="AA4922" s="218"/>
    </row>
    <row r="4923" spans="1:27" ht="24" x14ac:dyDescent="0.25">
      <c r="A4923" s="432"/>
      <c r="B4923" s="433"/>
      <c r="C4923" s="432"/>
      <c r="D4923" s="454"/>
      <c r="E4923" s="120">
        <v>1000</v>
      </c>
      <c r="F4923" s="119" t="s">
        <v>10845</v>
      </c>
      <c r="G4923" s="435"/>
      <c r="H4923" s="438"/>
      <c r="I4923" s="438"/>
      <c r="J4923" s="438"/>
      <c r="K4923" s="437"/>
      <c r="L4923" s="187">
        <v>80</v>
      </c>
      <c r="M4923" s="187">
        <f>9.27+8.67</f>
        <v>17.939999999999998</v>
      </c>
      <c r="N4923" s="91">
        <f t="shared" si="1315"/>
        <v>97.94</v>
      </c>
      <c r="O4923" s="411">
        <f t="shared" si="1302"/>
        <v>-97.94</v>
      </c>
      <c r="P4923" s="132" t="s">
        <v>235</v>
      </c>
      <c r="Q4923" s="232"/>
      <c r="R4923" s="411"/>
      <c r="T4923" s="440"/>
      <c r="U4923" s="267" t="s">
        <v>10846</v>
      </c>
      <c r="V4923" s="133" t="s">
        <v>10844</v>
      </c>
      <c r="AA4923" s="218"/>
    </row>
    <row r="4924" spans="1:27" x14ac:dyDescent="0.25">
      <c r="A4924" s="432"/>
      <c r="B4924" s="433"/>
      <c r="C4924" s="432"/>
      <c r="D4924" s="454"/>
      <c r="E4924" s="120">
        <v>500</v>
      </c>
      <c r="F4924" s="133" t="s">
        <v>10847</v>
      </c>
      <c r="G4924" s="435"/>
      <c r="H4924" s="438"/>
      <c r="I4924" s="438"/>
      <c r="J4924" s="438"/>
      <c r="K4924" s="437"/>
      <c r="L4924" s="187">
        <v>55</v>
      </c>
      <c r="M4924" s="187">
        <v>8.85</v>
      </c>
      <c r="N4924" s="91">
        <f t="shared" si="1315"/>
        <v>36.35</v>
      </c>
      <c r="O4924" s="411">
        <f t="shared" si="1302"/>
        <v>-36.35</v>
      </c>
      <c r="P4924" s="132" t="s">
        <v>235</v>
      </c>
      <c r="Q4924" s="232"/>
      <c r="R4924" s="411"/>
      <c r="T4924" s="440"/>
      <c r="U4924" s="267" t="s">
        <v>10848</v>
      </c>
      <c r="V4924" s="133" t="s">
        <v>10844</v>
      </c>
      <c r="AA4924" s="218"/>
    </row>
    <row r="4925" spans="1:27" x14ac:dyDescent="0.25">
      <c r="A4925" s="420"/>
      <c r="B4925" s="422"/>
      <c r="C4925" s="420"/>
      <c r="D4925" s="418"/>
      <c r="E4925" s="120">
        <v>500</v>
      </c>
      <c r="F4925" s="133" t="s">
        <v>10849</v>
      </c>
      <c r="G4925" s="436"/>
      <c r="H4925" s="428"/>
      <c r="I4925" s="428"/>
      <c r="J4925" s="428"/>
      <c r="K4925" s="426"/>
      <c r="L4925" s="187">
        <v>55</v>
      </c>
      <c r="M4925" s="187">
        <v>8.67</v>
      </c>
      <c r="N4925" s="91">
        <f t="shared" si="1315"/>
        <v>36.17</v>
      </c>
      <c r="O4925" s="411">
        <f t="shared" si="1302"/>
        <v>-36.17</v>
      </c>
      <c r="P4925" s="132" t="s">
        <v>235</v>
      </c>
      <c r="Q4925" s="232"/>
      <c r="R4925" s="411"/>
      <c r="T4925" s="441"/>
      <c r="U4925" s="267" t="s">
        <v>10850</v>
      </c>
      <c r="V4925" s="133" t="s">
        <v>10844</v>
      </c>
      <c r="AA4925" s="218"/>
    </row>
    <row r="4926" spans="1:27" x14ac:dyDescent="0.25">
      <c r="A4926" s="405">
        <v>3003852</v>
      </c>
      <c r="B4926" s="406">
        <v>42601</v>
      </c>
      <c r="C4926" s="405" t="s">
        <v>9435</v>
      </c>
      <c r="D4926" s="401" t="s">
        <v>10851</v>
      </c>
      <c r="E4926" s="120">
        <v>0</v>
      </c>
      <c r="F4926" s="133" t="s">
        <v>10852</v>
      </c>
      <c r="G4926" s="404" t="s">
        <v>45</v>
      </c>
      <c r="H4926" s="411">
        <v>0</v>
      </c>
      <c r="I4926" s="411">
        <v>0</v>
      </c>
      <c r="J4926" s="258">
        <f>-((H4926*0.022)+0.3)</f>
        <v>-0.3</v>
      </c>
      <c r="K4926" s="90">
        <f t="shared" ref="K4926:K4927" si="1359">SUM(H4926:J4926)</f>
        <v>-0.3</v>
      </c>
      <c r="N4926" s="91"/>
      <c r="O4926" s="411"/>
      <c r="P4926" s="132" t="s">
        <v>66</v>
      </c>
      <c r="Q4926" s="232"/>
      <c r="R4926" s="411"/>
      <c r="T4926" s="134"/>
      <c r="U4926" s="266"/>
      <c r="W4926" s="153" t="s">
        <v>1441</v>
      </c>
      <c r="AA4926" s="218"/>
    </row>
    <row r="4927" spans="1:27" ht="24" x14ac:dyDescent="0.25">
      <c r="A4927" s="405">
        <v>3003853</v>
      </c>
      <c r="B4927" s="406">
        <v>42601</v>
      </c>
      <c r="C4927" s="405" t="s">
        <v>237</v>
      </c>
      <c r="D4927" s="401" t="s">
        <v>10853</v>
      </c>
      <c r="E4927" s="120">
        <v>400</v>
      </c>
      <c r="F4927" s="133" t="s">
        <v>1137</v>
      </c>
      <c r="G4927" s="404" t="s">
        <v>45</v>
      </c>
      <c r="H4927" s="411">
        <v>220.13</v>
      </c>
      <c r="I4927" s="89">
        <f>-(H4927*0.09)</f>
        <v>-19.811699999999998</v>
      </c>
      <c r="J4927" s="258">
        <f t="shared" ref="J4927" si="1360">-((H4927*0.019)+0.3)</f>
        <v>-4.4824699999999993</v>
      </c>
      <c r="K4927" s="90">
        <f t="shared" si="1359"/>
        <v>195.83582999999999</v>
      </c>
      <c r="L4927" s="131">
        <v>220</v>
      </c>
      <c r="M4927" s="187">
        <v>25.53</v>
      </c>
      <c r="N4927" s="91">
        <f t="shared" si="1315"/>
        <v>113.53</v>
      </c>
      <c r="O4927" s="411">
        <f t="shared" si="1302"/>
        <v>82.305829999999986</v>
      </c>
      <c r="P4927" s="132" t="s">
        <v>52</v>
      </c>
      <c r="Q4927" s="232"/>
      <c r="R4927" s="411"/>
      <c r="T4927" s="134" t="s">
        <v>145</v>
      </c>
      <c r="U4927" s="267" t="s">
        <v>10854</v>
      </c>
      <c r="AA4927" s="218"/>
    </row>
    <row r="4928" spans="1:27" ht="24" x14ac:dyDescent="0.25">
      <c r="A4928" s="405">
        <v>3003854</v>
      </c>
      <c r="B4928" s="406">
        <v>42601</v>
      </c>
      <c r="C4928" s="405" t="s">
        <v>42</v>
      </c>
      <c r="D4928" s="401" t="s">
        <v>10855</v>
      </c>
      <c r="E4928" s="120">
        <v>250</v>
      </c>
      <c r="F4928" s="133" t="s">
        <v>2796</v>
      </c>
      <c r="G4928" s="404" t="s">
        <v>45</v>
      </c>
      <c r="H4928" s="411">
        <v>165.06</v>
      </c>
      <c r="I4928" s="89">
        <f>-(H4928*0.09)</f>
        <v>-14.855399999999999</v>
      </c>
      <c r="J4928" s="258">
        <f t="shared" ref="J4928" si="1361">-((H4928*0.019)+0.3)</f>
        <v>-3.43614</v>
      </c>
      <c r="K4928" s="90">
        <f t="shared" ref="K4928" si="1362">SUM(H4928:J4928)</f>
        <v>146.76846</v>
      </c>
      <c r="L4928" s="187">
        <v>350</v>
      </c>
      <c r="M4928" s="187">
        <v>15.15</v>
      </c>
      <c r="N4928" s="91">
        <f t="shared" si="1315"/>
        <v>102.65</v>
      </c>
      <c r="O4928" s="411">
        <f t="shared" si="1302"/>
        <v>44.118459999999999</v>
      </c>
      <c r="P4928" s="132" t="s">
        <v>183</v>
      </c>
      <c r="Q4928" s="232"/>
      <c r="R4928" s="411"/>
      <c r="T4928" s="134" t="s">
        <v>145</v>
      </c>
      <c r="U4928" s="267" t="s">
        <v>10856</v>
      </c>
      <c r="AA4928" s="218"/>
    </row>
    <row r="4929" spans="1:27" ht="24" x14ac:dyDescent="0.25">
      <c r="A4929" s="405">
        <v>3003855</v>
      </c>
      <c r="B4929" s="406">
        <v>42604</v>
      </c>
      <c r="C4929" s="405" t="s">
        <v>42</v>
      </c>
      <c r="D4929" s="401" t="s">
        <v>10857</v>
      </c>
      <c r="E4929" s="120">
        <v>1000</v>
      </c>
      <c r="F4929" s="133" t="s">
        <v>10858</v>
      </c>
      <c r="G4929" s="404" t="s">
        <v>45</v>
      </c>
      <c r="H4929" s="411">
        <v>6121.26</v>
      </c>
      <c r="I4929" s="89">
        <v>-500</v>
      </c>
      <c r="J4929" s="258">
        <f t="shared" ref="J4929" si="1363">-((H4929*0.019)+0.3)</f>
        <v>-116.60393999999999</v>
      </c>
      <c r="K4929" s="90">
        <f t="shared" ref="K4929:K4930" si="1364">SUM(H4929:J4929)</f>
        <v>5504.6560600000003</v>
      </c>
      <c r="L4929" s="187">
        <v>2999</v>
      </c>
      <c r="M4929" s="131">
        <v>0</v>
      </c>
      <c r="N4929" s="91">
        <f t="shared" si="1315"/>
        <v>2999</v>
      </c>
      <c r="O4929" s="411">
        <f t="shared" si="1302"/>
        <v>2505.6560600000003</v>
      </c>
      <c r="P4929" s="132" t="s">
        <v>183</v>
      </c>
      <c r="Q4929" s="232"/>
      <c r="R4929" s="411"/>
      <c r="T4929" s="134" t="s">
        <v>10859</v>
      </c>
      <c r="U4929" s="266" t="s">
        <v>756</v>
      </c>
      <c r="AA4929" s="218"/>
    </row>
    <row r="4930" spans="1:27" x14ac:dyDescent="0.25">
      <c r="A4930" s="405">
        <v>3003856</v>
      </c>
      <c r="B4930" s="406">
        <v>42604</v>
      </c>
      <c r="C4930" s="405" t="s">
        <v>56</v>
      </c>
      <c r="D4930" s="401" t="s">
        <v>8815</v>
      </c>
      <c r="E4930" s="120">
        <v>1000</v>
      </c>
      <c r="F4930" s="133" t="s">
        <v>178</v>
      </c>
      <c r="G4930" s="404" t="s">
        <v>45</v>
      </c>
      <c r="H4930" s="411">
        <v>1320</v>
      </c>
      <c r="I4930" s="411">
        <v>0</v>
      </c>
      <c r="J4930" s="411">
        <v>0</v>
      </c>
      <c r="K4930" s="90">
        <f t="shared" si="1364"/>
        <v>1320</v>
      </c>
      <c r="L4930" s="131">
        <v>830</v>
      </c>
      <c r="M4930" s="187">
        <v>168.15</v>
      </c>
      <c r="N4930" s="91">
        <f t="shared" si="1315"/>
        <v>998.15</v>
      </c>
      <c r="O4930" s="411">
        <f t="shared" si="1302"/>
        <v>321.85000000000002</v>
      </c>
      <c r="P4930" s="132" t="s">
        <v>86</v>
      </c>
      <c r="Q4930" s="232"/>
      <c r="R4930" s="411"/>
      <c r="T4930" s="134" t="s">
        <v>875</v>
      </c>
      <c r="U4930" s="267" t="s">
        <v>10860</v>
      </c>
      <c r="V4930" s="133" t="s">
        <v>10201</v>
      </c>
      <c r="W4930" s="153" t="s">
        <v>10861</v>
      </c>
      <c r="AA4930" s="218"/>
    </row>
    <row r="4931" spans="1:27" ht="24" x14ac:dyDescent="0.25">
      <c r="A4931" s="405">
        <v>3003857</v>
      </c>
      <c r="B4931" s="406">
        <v>42604</v>
      </c>
      <c r="C4931" s="405" t="s">
        <v>56</v>
      </c>
      <c r="D4931" s="401" t="s">
        <v>10862</v>
      </c>
      <c r="E4931" s="120">
        <v>2500</v>
      </c>
      <c r="F4931" s="133" t="s">
        <v>10863</v>
      </c>
      <c r="G4931" s="404" t="s">
        <v>45</v>
      </c>
      <c r="H4931" s="411">
        <v>4625</v>
      </c>
      <c r="I4931" s="411">
        <v>0</v>
      </c>
      <c r="J4931" s="411">
        <v>0</v>
      </c>
      <c r="K4931" s="90">
        <f t="shared" ref="K4931" si="1365">SUM(H4931:J4931)</f>
        <v>4625</v>
      </c>
      <c r="L4931" s="187">
        <v>1390</v>
      </c>
      <c r="M4931" s="131">
        <v>0</v>
      </c>
      <c r="N4931" s="91">
        <f t="shared" si="1315"/>
        <v>3475</v>
      </c>
      <c r="O4931" s="411">
        <f t="shared" si="1302"/>
        <v>1150</v>
      </c>
      <c r="P4931" s="132" t="s">
        <v>601</v>
      </c>
      <c r="Q4931" s="232"/>
      <c r="R4931" s="411"/>
      <c r="T4931" s="134" t="s">
        <v>260</v>
      </c>
      <c r="U4931" s="267" t="s">
        <v>10864</v>
      </c>
      <c r="V4931" s="133" t="s">
        <v>10865</v>
      </c>
      <c r="W4931" s="153" t="s">
        <v>10866</v>
      </c>
      <c r="AA4931" s="218"/>
    </row>
    <row r="4932" spans="1:27" x14ac:dyDescent="0.25">
      <c r="A4932" s="405">
        <v>3003858</v>
      </c>
      <c r="B4932" s="406">
        <v>42604</v>
      </c>
      <c r="C4932" s="405" t="s">
        <v>56</v>
      </c>
      <c r="D4932" s="401" t="s">
        <v>6840</v>
      </c>
      <c r="E4932" s="120">
        <v>700</v>
      </c>
      <c r="F4932" s="133" t="s">
        <v>1362</v>
      </c>
      <c r="G4932" s="404" t="s">
        <v>45</v>
      </c>
      <c r="H4932" s="411">
        <v>1645</v>
      </c>
      <c r="I4932" s="411">
        <v>0</v>
      </c>
      <c r="J4932" s="411">
        <v>0</v>
      </c>
      <c r="K4932" s="90">
        <f t="shared" ref="K4932:K4933" si="1366">SUM(H4932:J4932)</f>
        <v>1645</v>
      </c>
      <c r="L4932" s="187">
        <v>1711</v>
      </c>
      <c r="M4932" s="224">
        <v>108.38</v>
      </c>
      <c r="N4932" s="91">
        <f t="shared" si="1315"/>
        <v>1306.08</v>
      </c>
      <c r="O4932" s="411">
        <f t="shared" ref="O4932:O4995" si="1367">K4932-N4932</f>
        <v>338.92000000000007</v>
      </c>
      <c r="P4932" s="132" t="s">
        <v>313</v>
      </c>
      <c r="Q4932" s="232"/>
      <c r="R4932" s="411"/>
      <c r="T4932" s="134" t="s">
        <v>503</v>
      </c>
      <c r="U4932" s="267" t="s">
        <v>10867</v>
      </c>
      <c r="V4932" s="133" t="s">
        <v>10868</v>
      </c>
      <c r="W4932" s="153" t="s">
        <v>298</v>
      </c>
      <c r="AA4932" s="218"/>
    </row>
    <row r="4933" spans="1:27" ht="24" x14ac:dyDescent="0.25">
      <c r="A4933" s="405">
        <v>3003859</v>
      </c>
      <c r="B4933" s="406">
        <v>42604</v>
      </c>
      <c r="C4933" s="405" t="s">
        <v>42</v>
      </c>
      <c r="D4933" s="401" t="s">
        <v>10869</v>
      </c>
      <c r="E4933" s="120">
        <v>55</v>
      </c>
      <c r="F4933" s="133" t="s">
        <v>10082</v>
      </c>
      <c r="G4933" s="404" t="s">
        <v>45</v>
      </c>
      <c r="H4933" s="411">
        <v>243</v>
      </c>
      <c r="I4933" s="89">
        <f t="shared" ref="I4933:I4949" si="1368">-(H4933*0.09)</f>
        <v>-21.869999999999997</v>
      </c>
      <c r="J4933" s="258">
        <f t="shared" ref="J4933" si="1369">-((H4933*0.019)+0.3)</f>
        <v>-4.9169999999999998</v>
      </c>
      <c r="K4933" s="90">
        <f t="shared" si="1366"/>
        <v>216.21299999999999</v>
      </c>
      <c r="N4933" s="91">
        <f t="shared" si="1315"/>
        <v>0</v>
      </c>
      <c r="O4933" s="411">
        <f t="shared" si="1367"/>
        <v>216.21299999999999</v>
      </c>
      <c r="P4933" s="132" t="s">
        <v>52</v>
      </c>
      <c r="Q4933" s="232"/>
      <c r="R4933" s="411">
        <v>18</v>
      </c>
      <c r="S4933" s="133" t="s">
        <v>1117</v>
      </c>
      <c r="T4933" s="134" t="s">
        <v>145</v>
      </c>
      <c r="U4933" s="267" t="s">
        <v>10870</v>
      </c>
      <c r="AA4933" s="218"/>
    </row>
    <row r="4934" spans="1:27" ht="24" x14ac:dyDescent="0.25">
      <c r="A4934" s="405">
        <v>3003860</v>
      </c>
      <c r="B4934" s="406">
        <v>42604</v>
      </c>
      <c r="C4934" s="405" t="s">
        <v>42</v>
      </c>
      <c r="D4934" s="401" t="s">
        <v>10871</v>
      </c>
      <c r="E4934" s="120">
        <v>100</v>
      </c>
      <c r="F4934" s="133" t="s">
        <v>217</v>
      </c>
      <c r="G4934" s="404" t="s">
        <v>45</v>
      </c>
      <c r="H4934" s="411">
        <v>245</v>
      </c>
      <c r="I4934" s="89">
        <f t="shared" si="1368"/>
        <v>-22.05</v>
      </c>
      <c r="J4934" s="258">
        <f t="shared" ref="J4934" si="1370">-((H4934*0.019)+0.3)</f>
        <v>-4.9550000000000001</v>
      </c>
      <c r="K4934" s="90">
        <f t="shared" ref="K4934" si="1371">SUM(H4934:J4934)</f>
        <v>217.99499999999998</v>
      </c>
      <c r="L4934" s="131">
        <v>1322</v>
      </c>
      <c r="M4934" s="187">
        <v>55.03</v>
      </c>
      <c r="N4934" s="91">
        <f t="shared" si="1315"/>
        <v>187.23000000000002</v>
      </c>
      <c r="O4934" s="411">
        <f t="shared" si="1367"/>
        <v>30.764999999999958</v>
      </c>
      <c r="P4934" s="132" t="s">
        <v>52</v>
      </c>
      <c r="Q4934" s="232"/>
      <c r="R4934" s="411"/>
      <c r="T4934" s="134" t="s">
        <v>145</v>
      </c>
      <c r="U4934" s="267" t="s">
        <v>10872</v>
      </c>
      <c r="AA4934" s="218"/>
    </row>
    <row r="4935" spans="1:27" ht="24" x14ac:dyDescent="0.25">
      <c r="A4935" s="405">
        <v>3003861</v>
      </c>
      <c r="B4935" s="406">
        <v>42604</v>
      </c>
      <c r="C4935" s="405" t="s">
        <v>42</v>
      </c>
      <c r="D4935" s="401" t="s">
        <v>10873</v>
      </c>
      <c r="E4935" s="120">
        <v>100</v>
      </c>
      <c r="F4935" s="133" t="s">
        <v>70</v>
      </c>
      <c r="G4935" s="404" t="s">
        <v>45</v>
      </c>
      <c r="H4935" s="411">
        <v>303.62</v>
      </c>
      <c r="I4935" s="89">
        <f t="shared" si="1368"/>
        <v>-27.325800000000001</v>
      </c>
      <c r="J4935" s="258">
        <f t="shared" ref="J4935" si="1372">-((H4935*0.019)+0.3)</f>
        <v>-6.0687799999999994</v>
      </c>
      <c r="K4935" s="90">
        <f t="shared" ref="K4935" si="1373">SUM(H4935:J4935)</f>
        <v>270.22541999999999</v>
      </c>
      <c r="L4935" s="131">
        <v>1200</v>
      </c>
      <c r="M4935" s="187">
        <v>61.36</v>
      </c>
      <c r="N4935" s="91">
        <f t="shared" si="1315"/>
        <v>181.36</v>
      </c>
      <c r="O4935" s="411">
        <f t="shared" si="1367"/>
        <v>88.865419999999972</v>
      </c>
      <c r="P4935" s="132" t="s">
        <v>86</v>
      </c>
      <c r="Q4935" s="232"/>
      <c r="R4935" s="411"/>
      <c r="T4935" s="134" t="s">
        <v>145</v>
      </c>
      <c r="U4935" s="267" t="s">
        <v>10874</v>
      </c>
      <c r="AA4935" s="218"/>
    </row>
    <row r="4936" spans="1:27" ht="24" x14ac:dyDescent="0.25">
      <c r="A4936" s="405">
        <v>3003862</v>
      </c>
      <c r="B4936" s="406">
        <v>42604</v>
      </c>
      <c r="C4936" s="405" t="s">
        <v>42</v>
      </c>
      <c r="D4936" s="401" t="s">
        <v>10875</v>
      </c>
      <c r="E4936" s="120">
        <v>190</v>
      </c>
      <c r="F4936" s="133" t="s">
        <v>178</v>
      </c>
      <c r="G4936" s="404" t="s">
        <v>45</v>
      </c>
      <c r="H4936" s="411">
        <v>376.8</v>
      </c>
      <c r="I4936" s="89">
        <f t="shared" si="1368"/>
        <v>-33.911999999999999</v>
      </c>
      <c r="J4936" s="258">
        <f t="shared" ref="J4936" si="1374">-((H4936*0.019)+0.3)</f>
        <v>-7.4592000000000001</v>
      </c>
      <c r="K4936" s="90">
        <f t="shared" ref="K4936" si="1375">SUM(H4936:J4936)</f>
        <v>335.42880000000002</v>
      </c>
      <c r="L4936" s="131">
        <v>830</v>
      </c>
      <c r="M4936" s="187">
        <v>57.36</v>
      </c>
      <c r="N4936" s="91">
        <f t="shared" si="1315"/>
        <v>215.06</v>
      </c>
      <c r="O4936" s="411">
        <f t="shared" si="1367"/>
        <v>120.36880000000002</v>
      </c>
      <c r="P4936" s="132" t="s">
        <v>52</v>
      </c>
      <c r="Q4936" s="232"/>
      <c r="R4936" s="411"/>
      <c r="T4936" s="134" t="s">
        <v>145</v>
      </c>
      <c r="U4936" s="267" t="s">
        <v>10876</v>
      </c>
      <c r="AA4936" s="218"/>
    </row>
    <row r="4937" spans="1:27" ht="24" x14ac:dyDescent="0.25">
      <c r="A4937" s="405">
        <v>3003863</v>
      </c>
      <c r="B4937" s="406">
        <v>42604</v>
      </c>
      <c r="C4937" s="405" t="s">
        <v>42</v>
      </c>
      <c r="D4937" s="401" t="s">
        <v>10877</v>
      </c>
      <c r="E4937" s="120">
        <v>100</v>
      </c>
      <c r="F4937" s="133" t="s">
        <v>445</v>
      </c>
      <c r="G4937" s="404" t="s">
        <v>45</v>
      </c>
      <c r="H4937" s="411">
        <v>227.7</v>
      </c>
      <c r="I4937" s="89">
        <f t="shared" si="1368"/>
        <v>-20.492999999999999</v>
      </c>
      <c r="J4937" s="258">
        <f t="shared" ref="J4937" si="1376">-((H4937*0.019)+0.3)</f>
        <v>-4.6262999999999996</v>
      </c>
      <c r="K4937" s="90">
        <f t="shared" ref="K4937" si="1377">SUM(H4937:J4937)</f>
        <v>202.58070000000001</v>
      </c>
      <c r="N4937" s="91">
        <f t="shared" si="1315"/>
        <v>0</v>
      </c>
      <c r="O4937" s="411">
        <f t="shared" si="1367"/>
        <v>202.58070000000001</v>
      </c>
      <c r="P4937" s="132" t="s">
        <v>52</v>
      </c>
      <c r="Q4937" s="232"/>
      <c r="R4937" s="411"/>
      <c r="T4937" s="134" t="s">
        <v>145</v>
      </c>
      <c r="U4937" s="267" t="s">
        <v>10878</v>
      </c>
      <c r="AA4937" s="218"/>
    </row>
    <row r="4938" spans="1:27" ht="24" x14ac:dyDescent="0.25">
      <c r="A4938" s="405">
        <v>3003864</v>
      </c>
      <c r="B4938" s="406">
        <v>42604</v>
      </c>
      <c r="C4938" s="405" t="s">
        <v>42</v>
      </c>
      <c r="D4938" s="401" t="s">
        <v>10879</v>
      </c>
      <c r="E4938" s="120">
        <v>750</v>
      </c>
      <c r="F4938" s="133" t="s">
        <v>2949</v>
      </c>
      <c r="G4938" s="404" t="s">
        <v>45</v>
      </c>
      <c r="H4938" s="411">
        <v>1476.21</v>
      </c>
      <c r="I4938" s="89">
        <f t="shared" si="1368"/>
        <v>-132.85890000000001</v>
      </c>
      <c r="J4938" s="258">
        <f t="shared" ref="J4938" si="1378">-((H4938*0.019)+0.3)</f>
        <v>-28.347989999999999</v>
      </c>
      <c r="K4938" s="90">
        <f t="shared" ref="K4938" si="1379">SUM(H4938:J4938)</f>
        <v>1315.0031100000001</v>
      </c>
      <c r="L4938" s="131">
        <v>1148</v>
      </c>
      <c r="M4938" s="187">
        <v>225.99</v>
      </c>
      <c r="N4938" s="91">
        <f t="shared" si="1315"/>
        <v>1086.99</v>
      </c>
      <c r="O4938" s="411">
        <f t="shared" si="1367"/>
        <v>228.0131100000001</v>
      </c>
      <c r="P4938" s="132" t="s">
        <v>52</v>
      </c>
      <c r="Q4938" s="232"/>
      <c r="R4938" s="411"/>
      <c r="T4938" s="134" t="s">
        <v>3081</v>
      </c>
      <c r="U4938" s="267" t="s">
        <v>10880</v>
      </c>
      <c r="V4938" s="133" t="s">
        <v>55</v>
      </c>
      <c r="AA4938" s="218"/>
    </row>
    <row r="4939" spans="1:27" ht="24" x14ac:dyDescent="0.25">
      <c r="A4939" s="405">
        <v>3003865</v>
      </c>
      <c r="B4939" s="406">
        <v>42604</v>
      </c>
      <c r="C4939" s="405" t="s">
        <v>42</v>
      </c>
      <c r="D4939" s="401" t="s">
        <v>9558</v>
      </c>
      <c r="E4939" s="120">
        <v>60</v>
      </c>
      <c r="F4939" s="133" t="s">
        <v>4063</v>
      </c>
      <c r="G4939" s="404" t="s">
        <v>45</v>
      </c>
      <c r="H4939" s="411">
        <v>166.25</v>
      </c>
      <c r="I4939" s="89">
        <f t="shared" si="1368"/>
        <v>-14.962499999999999</v>
      </c>
      <c r="J4939" s="258">
        <f t="shared" ref="J4939" si="1380">-((H4939*0.019)+0.3)</f>
        <v>-3.4587499999999998</v>
      </c>
      <c r="K4939" s="90">
        <f t="shared" ref="K4939" si="1381">SUM(H4939:J4939)</f>
        <v>147.82874999999999</v>
      </c>
      <c r="L4939" s="131">
        <v>1237</v>
      </c>
      <c r="N4939" s="91">
        <f t="shared" si="1315"/>
        <v>74.22</v>
      </c>
      <c r="O4939" s="411">
        <f t="shared" si="1367"/>
        <v>73.608749999999986</v>
      </c>
      <c r="P4939" s="132" t="s">
        <v>52</v>
      </c>
      <c r="Q4939" s="232"/>
      <c r="R4939" s="411"/>
      <c r="T4939" s="134" t="s">
        <v>145</v>
      </c>
      <c r="U4939" s="267" t="s">
        <v>10881</v>
      </c>
      <c r="AA4939" s="218"/>
    </row>
    <row r="4940" spans="1:27" ht="24" x14ac:dyDescent="0.25">
      <c r="A4940" s="405">
        <v>3003866</v>
      </c>
      <c r="B4940" s="406">
        <v>42604</v>
      </c>
      <c r="C4940" s="405" t="s">
        <v>42</v>
      </c>
      <c r="D4940" s="401" t="s">
        <v>4722</v>
      </c>
      <c r="E4940" s="120">
        <v>500</v>
      </c>
      <c r="F4940" s="119" t="s">
        <v>10882</v>
      </c>
      <c r="G4940" s="404" t="s">
        <v>45</v>
      </c>
      <c r="H4940" s="411">
        <v>134.03</v>
      </c>
      <c r="I4940" s="89">
        <f t="shared" si="1368"/>
        <v>-12.0627</v>
      </c>
      <c r="J4940" s="258">
        <f t="shared" ref="J4940" si="1382">-((H4940*0.019)+0.3)</f>
        <v>-2.8465699999999998</v>
      </c>
      <c r="K4940" s="90">
        <f t="shared" ref="K4940" si="1383">SUM(H4940:J4940)</f>
        <v>119.12072999999999</v>
      </c>
      <c r="L4940" s="187">
        <v>194</v>
      </c>
      <c r="M4940" s="187">
        <v>8.27</v>
      </c>
      <c r="N4940" s="91">
        <f t="shared" si="1315"/>
        <v>105.27</v>
      </c>
      <c r="O4940" s="411">
        <f t="shared" si="1367"/>
        <v>13.850729999999999</v>
      </c>
      <c r="P4940" s="132" t="s">
        <v>183</v>
      </c>
      <c r="Q4940" s="232"/>
      <c r="R4940" s="411"/>
      <c r="T4940" s="134" t="s">
        <v>145</v>
      </c>
      <c r="U4940" s="267" t="s">
        <v>10883</v>
      </c>
      <c r="AA4940" s="218"/>
    </row>
    <row r="4941" spans="1:27" ht="24" x14ac:dyDescent="0.25">
      <c r="A4941" s="405">
        <v>3003867</v>
      </c>
      <c r="B4941" s="406">
        <v>42604</v>
      </c>
      <c r="C4941" s="405" t="s">
        <v>42</v>
      </c>
      <c r="D4941" s="401" t="s">
        <v>10884</v>
      </c>
      <c r="E4941" s="120">
        <v>150</v>
      </c>
      <c r="F4941" s="133" t="s">
        <v>877</v>
      </c>
      <c r="G4941" s="404" t="s">
        <v>45</v>
      </c>
      <c r="H4941" s="411">
        <v>136.28</v>
      </c>
      <c r="I4941" s="89">
        <f t="shared" si="1368"/>
        <v>-12.2652</v>
      </c>
      <c r="J4941" s="258">
        <f t="shared" ref="J4941" si="1384">-((H4941*0.019)+0.3)</f>
        <v>-2.8893199999999997</v>
      </c>
      <c r="K4941" s="90">
        <f t="shared" ref="K4941" si="1385">SUM(H4941:J4941)</f>
        <v>121.12548000000001</v>
      </c>
      <c r="L4941" s="131">
        <v>174</v>
      </c>
      <c r="M4941" s="187">
        <f>30.49+0.71</f>
        <v>31.2</v>
      </c>
      <c r="N4941" s="91">
        <f t="shared" si="1315"/>
        <v>57.3</v>
      </c>
      <c r="O4941" s="411">
        <f t="shared" si="1367"/>
        <v>63.825480000000013</v>
      </c>
      <c r="P4941" s="132" t="s">
        <v>52</v>
      </c>
      <c r="Q4941" s="232"/>
      <c r="R4941" s="411"/>
      <c r="T4941" s="134" t="s">
        <v>145</v>
      </c>
      <c r="U4941" s="267" t="s">
        <v>10885</v>
      </c>
      <c r="AA4941" s="218"/>
    </row>
    <row r="4942" spans="1:27" ht="24" x14ac:dyDescent="0.25">
      <c r="A4942" s="405">
        <v>3003868</v>
      </c>
      <c r="B4942" s="406">
        <v>42604</v>
      </c>
      <c r="C4942" s="405" t="s">
        <v>42</v>
      </c>
      <c r="D4942" s="401" t="s">
        <v>10886</v>
      </c>
      <c r="E4942" s="120">
        <v>200</v>
      </c>
      <c r="F4942" s="133" t="s">
        <v>5038</v>
      </c>
      <c r="G4942" s="404" t="s">
        <v>45</v>
      </c>
      <c r="H4942" s="411">
        <v>390.5</v>
      </c>
      <c r="I4942" s="89">
        <f t="shared" si="1368"/>
        <v>-35.144999999999996</v>
      </c>
      <c r="J4942" s="258">
        <f t="shared" ref="J4942" si="1386">-((H4942*0.019)+0.3)</f>
        <v>-7.7195</v>
      </c>
      <c r="K4942" s="90">
        <f t="shared" ref="K4942" si="1387">SUM(H4942:J4942)</f>
        <v>347.63550000000004</v>
      </c>
      <c r="L4942" s="131">
        <v>950</v>
      </c>
      <c r="N4942" s="91">
        <f t="shared" ref="N4942:N5009" si="1388">((L4942)*(E4942*0.001))+M4942</f>
        <v>190</v>
      </c>
      <c r="O4942" s="411">
        <f t="shared" si="1367"/>
        <v>157.63550000000004</v>
      </c>
      <c r="P4942" s="132" t="s">
        <v>52</v>
      </c>
      <c r="Q4942" s="232"/>
      <c r="R4942" s="411"/>
      <c r="T4942" s="134" t="s">
        <v>145</v>
      </c>
      <c r="U4942" s="267" t="s">
        <v>10887</v>
      </c>
      <c r="AA4942" s="218"/>
    </row>
    <row r="4943" spans="1:27" ht="24" x14ac:dyDescent="0.25">
      <c r="A4943" s="405">
        <v>3003869</v>
      </c>
      <c r="B4943" s="406">
        <v>42604</v>
      </c>
      <c r="C4943" s="405" t="s">
        <v>42</v>
      </c>
      <c r="D4943" s="401" t="s">
        <v>8879</v>
      </c>
      <c r="E4943" s="120">
        <v>250</v>
      </c>
      <c r="F4943" s="133" t="s">
        <v>227</v>
      </c>
      <c r="G4943" s="404" t="s">
        <v>45</v>
      </c>
      <c r="H4943" s="411">
        <v>234.34</v>
      </c>
      <c r="I4943" s="89">
        <f t="shared" si="1368"/>
        <v>-21.090599999999998</v>
      </c>
      <c r="J4943" s="258">
        <f t="shared" ref="J4943" si="1389">-((H4943*0.019)+0.3)</f>
        <v>-4.7524600000000001</v>
      </c>
      <c r="K4943" s="90">
        <f t="shared" ref="K4943" si="1390">SUM(H4943:J4943)</f>
        <v>208.49694</v>
      </c>
      <c r="L4943" s="131">
        <v>235</v>
      </c>
      <c r="M4943" s="187">
        <v>46.77</v>
      </c>
      <c r="N4943" s="91">
        <f t="shared" si="1388"/>
        <v>105.52000000000001</v>
      </c>
      <c r="O4943" s="411">
        <f t="shared" si="1367"/>
        <v>102.97693999999998</v>
      </c>
      <c r="P4943" s="132" t="s">
        <v>52</v>
      </c>
      <c r="Q4943" s="232"/>
      <c r="R4943" s="411"/>
      <c r="T4943" s="134" t="s">
        <v>145</v>
      </c>
      <c r="U4943" s="267" t="s">
        <v>10888</v>
      </c>
      <c r="AA4943" s="218"/>
    </row>
    <row r="4944" spans="1:27" ht="24" x14ac:dyDescent="0.25">
      <c r="A4944" s="405">
        <v>3003870</v>
      </c>
      <c r="B4944" s="406">
        <v>42604</v>
      </c>
      <c r="C4944" s="405" t="s">
        <v>42</v>
      </c>
      <c r="D4944" s="401" t="s">
        <v>10889</v>
      </c>
      <c r="E4944" s="120">
        <v>150</v>
      </c>
      <c r="F4944" s="133" t="s">
        <v>1547</v>
      </c>
      <c r="G4944" s="404" t="s">
        <v>45</v>
      </c>
      <c r="H4944" s="411">
        <v>164.46</v>
      </c>
      <c r="I4944" s="89">
        <f t="shared" si="1368"/>
        <v>-14.801400000000001</v>
      </c>
      <c r="J4944" s="258">
        <f t="shared" ref="J4944" si="1391">-((H4944*0.019)+0.3)</f>
        <v>-3.4247399999999999</v>
      </c>
      <c r="K4944" s="90">
        <f t="shared" ref="K4944" si="1392">SUM(H4944:J4944)</f>
        <v>146.23385999999999</v>
      </c>
      <c r="L4944" s="131">
        <v>419</v>
      </c>
      <c r="N4944" s="91">
        <f t="shared" si="1388"/>
        <v>62.849999999999994</v>
      </c>
      <c r="O4944" s="411">
        <f t="shared" si="1367"/>
        <v>83.383859999999999</v>
      </c>
      <c r="P4944" s="132" t="s">
        <v>52</v>
      </c>
      <c r="Q4944" s="232"/>
      <c r="R4944" s="411"/>
      <c r="T4944" s="134" t="s">
        <v>145</v>
      </c>
      <c r="U4944" s="267" t="s">
        <v>10890</v>
      </c>
      <c r="AA4944" s="218"/>
    </row>
    <row r="4945" spans="1:27" ht="24" x14ac:dyDescent="0.25">
      <c r="A4945" s="405">
        <v>3003871</v>
      </c>
      <c r="B4945" s="406">
        <v>42604</v>
      </c>
      <c r="C4945" s="405" t="s">
        <v>42</v>
      </c>
      <c r="D4945" s="401" t="s">
        <v>10891</v>
      </c>
      <c r="E4945" s="120">
        <v>50</v>
      </c>
      <c r="F4945" s="133" t="s">
        <v>10892</v>
      </c>
      <c r="G4945" s="404" t="s">
        <v>45</v>
      </c>
      <c r="H4945" s="411">
        <v>133.65</v>
      </c>
      <c r="I4945" s="89">
        <f t="shared" si="1368"/>
        <v>-12.028499999999999</v>
      </c>
      <c r="J4945" s="258">
        <f t="shared" ref="J4945" si="1393">-((H4945*0.019)+0.3)</f>
        <v>-2.83935</v>
      </c>
      <c r="K4945" s="90">
        <f t="shared" ref="K4945" si="1394">SUM(H4945:J4945)</f>
        <v>118.78215000000002</v>
      </c>
      <c r="L4945" s="187">
        <v>1900</v>
      </c>
      <c r="M4945" s="187">
        <v>15.94</v>
      </c>
      <c r="N4945" s="91">
        <f t="shared" si="1388"/>
        <v>110.94</v>
      </c>
      <c r="O4945" s="411">
        <f t="shared" si="1367"/>
        <v>7.8421500000000179</v>
      </c>
      <c r="P4945" s="132" t="s">
        <v>235</v>
      </c>
      <c r="Q4945" s="232"/>
      <c r="R4945" s="411"/>
      <c r="T4945" s="134" t="s">
        <v>145</v>
      </c>
      <c r="U4945" s="267" t="s">
        <v>10893</v>
      </c>
      <c r="AA4945" s="218"/>
    </row>
    <row r="4946" spans="1:27" ht="24" x14ac:dyDescent="0.25">
      <c r="A4946" s="405">
        <v>3003872</v>
      </c>
      <c r="B4946" s="406">
        <v>42604</v>
      </c>
      <c r="C4946" s="405" t="s">
        <v>42</v>
      </c>
      <c r="D4946" s="401" t="s">
        <v>10894</v>
      </c>
      <c r="E4946" s="120">
        <v>50</v>
      </c>
      <c r="F4946" s="133" t="s">
        <v>431</v>
      </c>
      <c r="G4946" s="404" t="s">
        <v>45</v>
      </c>
      <c r="H4946" s="411">
        <v>128.80000000000001</v>
      </c>
      <c r="I4946" s="89">
        <f t="shared" si="1368"/>
        <v>-11.592000000000001</v>
      </c>
      <c r="J4946" s="258">
        <f t="shared" ref="J4946" si="1395">-((H4946*0.019)+0.3)</f>
        <v>-2.7471999999999999</v>
      </c>
      <c r="K4946" s="90">
        <f t="shared" ref="K4946" si="1396">SUM(H4946:J4946)</f>
        <v>114.46080000000001</v>
      </c>
      <c r="L4946" s="131">
        <v>990</v>
      </c>
      <c r="M4946" s="187">
        <v>37.17</v>
      </c>
      <c r="N4946" s="91">
        <f t="shared" si="1388"/>
        <v>86.67</v>
      </c>
      <c r="O4946" s="411">
        <f t="shared" si="1367"/>
        <v>27.790800000000004</v>
      </c>
      <c r="P4946" s="132" t="s">
        <v>52</v>
      </c>
      <c r="Q4946" s="232"/>
      <c r="R4946" s="411"/>
      <c r="T4946" s="134" t="s">
        <v>145</v>
      </c>
      <c r="U4946" s="267" t="s">
        <v>10895</v>
      </c>
      <c r="AA4946" s="218"/>
    </row>
    <row r="4947" spans="1:27" ht="24" x14ac:dyDescent="0.25">
      <c r="A4947" s="405">
        <v>3003873</v>
      </c>
      <c r="B4947" s="406">
        <v>42604</v>
      </c>
      <c r="C4947" s="405" t="s">
        <v>42</v>
      </c>
      <c r="D4947" s="401" t="s">
        <v>10896</v>
      </c>
      <c r="E4947" s="120">
        <v>275</v>
      </c>
      <c r="F4947" s="133" t="s">
        <v>1547</v>
      </c>
      <c r="G4947" s="404" t="s">
        <v>45</v>
      </c>
      <c r="H4947" s="411">
        <v>301.5</v>
      </c>
      <c r="I4947" s="89">
        <f t="shared" si="1368"/>
        <v>-27.134999999999998</v>
      </c>
      <c r="J4947" s="258">
        <f t="shared" ref="J4947" si="1397">-((H4947*0.019)+0.3)</f>
        <v>-6.0284999999999993</v>
      </c>
      <c r="K4947" s="90">
        <f t="shared" ref="K4947" si="1398">SUM(H4947:J4947)</f>
        <v>268.3365</v>
      </c>
      <c r="L4947" s="131">
        <v>419</v>
      </c>
      <c r="M4947" s="187">
        <v>36.51</v>
      </c>
      <c r="N4947" s="91">
        <f t="shared" si="1388"/>
        <v>151.73500000000001</v>
      </c>
      <c r="O4947" s="411">
        <f t="shared" si="1367"/>
        <v>116.60149999999999</v>
      </c>
      <c r="P4947" s="132" t="s">
        <v>52</v>
      </c>
      <c r="Q4947" s="232"/>
      <c r="R4947" s="411"/>
      <c r="T4947" s="134" t="s">
        <v>145</v>
      </c>
      <c r="U4947" s="267" t="s">
        <v>10897</v>
      </c>
      <c r="AA4947" s="218"/>
    </row>
    <row r="4948" spans="1:27" ht="24" x14ac:dyDescent="0.25">
      <c r="A4948" s="405">
        <v>3003874</v>
      </c>
      <c r="B4948" s="406">
        <v>42604</v>
      </c>
      <c r="C4948" s="405" t="s">
        <v>42</v>
      </c>
      <c r="D4948" s="401" t="s">
        <v>1041</v>
      </c>
      <c r="E4948" s="120">
        <v>250</v>
      </c>
      <c r="F4948" s="133" t="s">
        <v>972</v>
      </c>
      <c r="G4948" s="404" t="s">
        <v>45</v>
      </c>
      <c r="H4948" s="411">
        <v>108.9</v>
      </c>
      <c r="I4948" s="89">
        <f t="shared" si="1368"/>
        <v>-9.8010000000000002</v>
      </c>
      <c r="J4948" s="258">
        <f t="shared" ref="J4948" si="1399">-((H4948*0.019)+0.3)</f>
        <v>-2.3691</v>
      </c>
      <c r="K4948" s="90">
        <f t="shared" ref="K4948" si="1400">SUM(H4948:J4948)</f>
        <v>96.729900000000001</v>
      </c>
      <c r="L4948" s="131">
        <v>205</v>
      </c>
      <c r="M4948" s="187">
        <v>24.18</v>
      </c>
      <c r="N4948" s="91">
        <f t="shared" si="1388"/>
        <v>75.430000000000007</v>
      </c>
      <c r="O4948" s="411">
        <f t="shared" si="1367"/>
        <v>21.299899999999994</v>
      </c>
      <c r="P4948" s="132" t="s">
        <v>52</v>
      </c>
      <c r="Q4948" s="232"/>
      <c r="R4948" s="411"/>
      <c r="T4948" s="134" t="s">
        <v>145</v>
      </c>
      <c r="U4948" s="267" t="s">
        <v>10898</v>
      </c>
      <c r="AA4948" s="218"/>
    </row>
    <row r="4949" spans="1:27" ht="24" x14ac:dyDescent="0.25">
      <c r="A4949" s="405">
        <v>3003875</v>
      </c>
      <c r="B4949" s="406">
        <v>42604</v>
      </c>
      <c r="C4949" s="405" t="s">
        <v>42</v>
      </c>
      <c r="D4949" s="401" t="s">
        <v>3364</v>
      </c>
      <c r="E4949" s="120">
        <v>125</v>
      </c>
      <c r="F4949" s="133" t="s">
        <v>217</v>
      </c>
      <c r="G4949" s="404" t="s">
        <v>45</v>
      </c>
      <c r="H4949" s="411">
        <v>350</v>
      </c>
      <c r="I4949" s="89">
        <f t="shared" si="1368"/>
        <v>-31.5</v>
      </c>
      <c r="J4949" s="258">
        <f t="shared" ref="J4949" si="1401">-((H4949*0.019)+0.3)</f>
        <v>-6.9499999999999993</v>
      </c>
      <c r="K4949" s="90">
        <f t="shared" ref="K4949:K4950" si="1402">SUM(H4949:J4949)</f>
        <v>311.55</v>
      </c>
      <c r="L4949" s="131">
        <v>1322</v>
      </c>
      <c r="M4949" s="187">
        <v>41.1</v>
      </c>
      <c r="N4949" s="91">
        <f t="shared" si="1388"/>
        <v>206.35</v>
      </c>
      <c r="O4949" s="411">
        <f t="shared" si="1367"/>
        <v>105.20000000000002</v>
      </c>
      <c r="P4949" s="132" t="s">
        <v>52</v>
      </c>
      <c r="Q4949" s="232"/>
      <c r="R4949" s="411"/>
      <c r="T4949" s="134" t="s">
        <v>145</v>
      </c>
      <c r="U4949" s="267" t="s">
        <v>10899</v>
      </c>
      <c r="AA4949" s="218"/>
    </row>
    <row r="4950" spans="1:27" x14ac:dyDescent="0.25">
      <c r="A4950" s="405">
        <v>3003876</v>
      </c>
      <c r="B4950" s="406">
        <v>42604</v>
      </c>
      <c r="C4950" s="405" t="s">
        <v>56</v>
      </c>
      <c r="D4950" s="401" t="s">
        <v>8815</v>
      </c>
      <c r="E4950" s="120">
        <v>1000</v>
      </c>
      <c r="F4950" s="133" t="s">
        <v>178</v>
      </c>
      <c r="G4950" s="404" t="s">
        <v>45</v>
      </c>
      <c r="H4950" s="411">
        <v>1320</v>
      </c>
      <c r="I4950" s="411">
        <v>0</v>
      </c>
      <c r="J4950" s="411">
        <v>0</v>
      </c>
      <c r="K4950" s="90">
        <f t="shared" si="1402"/>
        <v>1320</v>
      </c>
      <c r="L4950" s="131">
        <v>830</v>
      </c>
      <c r="M4950" s="187">
        <v>0</v>
      </c>
      <c r="N4950" s="91">
        <f t="shared" si="1388"/>
        <v>830</v>
      </c>
      <c r="O4950" s="411">
        <f t="shared" si="1367"/>
        <v>490</v>
      </c>
      <c r="P4950" s="132" t="s">
        <v>86</v>
      </c>
      <c r="Q4950" s="232"/>
      <c r="R4950" s="411"/>
      <c r="T4950" s="134" t="s">
        <v>875</v>
      </c>
      <c r="U4950" s="267" t="s">
        <v>10860</v>
      </c>
      <c r="V4950" s="133" t="s">
        <v>10201</v>
      </c>
      <c r="W4950" s="153" t="s">
        <v>10861</v>
      </c>
      <c r="AA4950" s="218"/>
    </row>
    <row r="4951" spans="1:27" ht="24" x14ac:dyDescent="0.25">
      <c r="A4951" s="405">
        <v>3003877</v>
      </c>
      <c r="B4951" s="406">
        <v>42604</v>
      </c>
      <c r="C4951" s="405" t="s">
        <v>42</v>
      </c>
      <c r="D4951" s="401" t="s">
        <v>10900</v>
      </c>
      <c r="E4951" s="120">
        <v>100</v>
      </c>
      <c r="F4951" s="133" t="s">
        <v>247</v>
      </c>
      <c r="G4951" s="404" t="s">
        <v>45</v>
      </c>
      <c r="H4951" s="411">
        <v>130.46</v>
      </c>
      <c r="I4951" s="89">
        <f>-(H4951*0.09)</f>
        <v>-11.741400000000001</v>
      </c>
      <c r="J4951" s="258">
        <f t="shared" ref="J4951" si="1403">-((H4951*0.019)+0.3)</f>
        <v>-2.77874</v>
      </c>
      <c r="K4951" s="90">
        <f t="shared" ref="K4951" si="1404">SUM(H4951:J4951)</f>
        <v>115.93986000000001</v>
      </c>
      <c r="L4951" s="131">
        <v>480</v>
      </c>
      <c r="M4951" s="187">
        <v>43.69</v>
      </c>
      <c r="N4951" s="91">
        <f t="shared" si="1388"/>
        <v>91.69</v>
      </c>
      <c r="O4951" s="411">
        <f t="shared" si="1367"/>
        <v>24.249860000000012</v>
      </c>
      <c r="P4951" s="132" t="s">
        <v>52</v>
      </c>
      <c r="Q4951" s="232"/>
      <c r="R4951" s="411"/>
      <c r="T4951" s="134" t="s">
        <v>145</v>
      </c>
      <c r="U4951" s="267" t="s">
        <v>10901</v>
      </c>
      <c r="AA4951" s="218"/>
    </row>
    <row r="4952" spans="1:27" ht="24" x14ac:dyDescent="0.25">
      <c r="A4952" s="405">
        <v>3003878</v>
      </c>
      <c r="B4952" s="406">
        <v>42604</v>
      </c>
      <c r="C4952" s="405" t="s">
        <v>42</v>
      </c>
      <c r="D4952" s="401" t="s">
        <v>10902</v>
      </c>
      <c r="E4952" s="120">
        <v>200</v>
      </c>
      <c r="F4952" s="133" t="s">
        <v>3270</v>
      </c>
      <c r="G4952" s="404" t="s">
        <v>45</v>
      </c>
      <c r="H4952" s="411">
        <v>490</v>
      </c>
      <c r="I4952" s="89">
        <f>-(H4952*0.09)</f>
        <v>-44.1</v>
      </c>
      <c r="J4952" s="258">
        <f t="shared" ref="J4952" si="1405">-((H4952*0.019)+0.3)</f>
        <v>-9.6100000000000012</v>
      </c>
      <c r="K4952" s="90">
        <f t="shared" ref="K4952" si="1406">SUM(H4952:J4952)</f>
        <v>436.28999999999996</v>
      </c>
      <c r="L4952" s="131">
        <v>1322</v>
      </c>
      <c r="M4952" s="187">
        <f>27.5+39.09</f>
        <v>66.59</v>
      </c>
      <c r="N4952" s="91">
        <f t="shared" si="1388"/>
        <v>330.99</v>
      </c>
      <c r="O4952" s="411">
        <f t="shared" si="1367"/>
        <v>105.29999999999995</v>
      </c>
      <c r="P4952" s="132" t="s">
        <v>86</v>
      </c>
      <c r="Q4952" s="232"/>
      <c r="R4952" s="411"/>
      <c r="T4952" s="134" t="s">
        <v>145</v>
      </c>
      <c r="U4952" s="267" t="s">
        <v>10903</v>
      </c>
      <c r="AA4952" s="218"/>
    </row>
    <row r="4953" spans="1:27" ht="24" x14ac:dyDescent="0.25">
      <c r="A4953" s="405">
        <v>3003879</v>
      </c>
      <c r="B4953" s="406">
        <v>42604</v>
      </c>
      <c r="C4953" s="405" t="s">
        <v>42</v>
      </c>
      <c r="D4953" s="401" t="s">
        <v>10904</v>
      </c>
      <c r="E4953" s="120">
        <v>200</v>
      </c>
      <c r="F4953" s="133" t="s">
        <v>222</v>
      </c>
      <c r="G4953" s="404" t="s">
        <v>45</v>
      </c>
      <c r="H4953" s="411">
        <v>338</v>
      </c>
      <c r="I4953" s="89">
        <f>-(H4953*0.09)</f>
        <v>-30.419999999999998</v>
      </c>
      <c r="J4953" s="258">
        <f t="shared" ref="J4953" si="1407">-((H4953*0.019)+0.3)</f>
        <v>-6.7219999999999995</v>
      </c>
      <c r="K4953" s="90">
        <f t="shared" ref="K4953" si="1408">SUM(H4953:J4953)</f>
        <v>300.858</v>
      </c>
      <c r="L4953" s="131">
        <v>670</v>
      </c>
      <c r="M4953" s="187">
        <v>66.489999999999995</v>
      </c>
      <c r="N4953" s="91">
        <f t="shared" si="1388"/>
        <v>200.49</v>
      </c>
      <c r="O4953" s="411">
        <f t="shared" si="1367"/>
        <v>100.36799999999999</v>
      </c>
      <c r="P4953" s="132" t="s">
        <v>86</v>
      </c>
      <c r="Q4953" s="232"/>
      <c r="R4953" s="411"/>
      <c r="T4953" s="134" t="s">
        <v>145</v>
      </c>
      <c r="U4953" s="267" t="s">
        <v>10905</v>
      </c>
      <c r="AA4953" s="218"/>
    </row>
    <row r="4954" spans="1:27" ht="24" x14ac:dyDescent="0.25">
      <c r="A4954" s="405">
        <v>3003880</v>
      </c>
      <c r="B4954" s="406">
        <v>42604</v>
      </c>
      <c r="C4954" s="405" t="s">
        <v>237</v>
      </c>
      <c r="D4954" s="401" t="s">
        <v>10906</v>
      </c>
      <c r="E4954" s="120">
        <v>500</v>
      </c>
      <c r="F4954" s="133" t="s">
        <v>451</v>
      </c>
      <c r="G4954" s="404" t="s">
        <v>45</v>
      </c>
      <c r="H4954" s="411">
        <v>279.67</v>
      </c>
      <c r="I4954" s="397">
        <f t="shared" ref="I4954" si="1409">-(H4954*0.15)</f>
        <v>-41.950499999999998</v>
      </c>
      <c r="J4954" s="411">
        <v>0</v>
      </c>
      <c r="K4954" s="90">
        <f t="shared" ref="K4954:K4969" si="1410">SUM(H4954:J4954)</f>
        <v>237.71950000000001</v>
      </c>
      <c r="L4954" s="131">
        <v>300</v>
      </c>
      <c r="M4954" s="187">
        <v>35.01</v>
      </c>
      <c r="N4954" s="91">
        <f t="shared" si="1388"/>
        <v>185.01</v>
      </c>
      <c r="O4954" s="411">
        <f t="shared" si="1367"/>
        <v>52.70950000000002</v>
      </c>
      <c r="P4954" s="132" t="s">
        <v>52</v>
      </c>
      <c r="Q4954" s="232"/>
      <c r="R4954" s="411"/>
      <c r="T4954" s="134" t="s">
        <v>145</v>
      </c>
      <c r="U4954" s="267" t="s">
        <v>10907</v>
      </c>
      <c r="AA4954" s="218"/>
    </row>
    <row r="4955" spans="1:27" ht="24" x14ac:dyDescent="0.25">
      <c r="A4955" s="405">
        <v>3003881</v>
      </c>
      <c r="B4955" s="406">
        <v>42604</v>
      </c>
      <c r="C4955" s="405" t="s">
        <v>237</v>
      </c>
      <c r="D4955" s="401" t="s">
        <v>10908</v>
      </c>
      <c r="E4955" s="120">
        <v>50</v>
      </c>
      <c r="F4955" s="133" t="s">
        <v>2180</v>
      </c>
      <c r="G4955" s="404" t="s">
        <v>45</v>
      </c>
      <c r="H4955" s="411">
        <v>110.04</v>
      </c>
      <c r="I4955" s="397">
        <f t="shared" ref="I4955" si="1411">-(H4955*0.15)</f>
        <v>-16.506</v>
      </c>
      <c r="J4955" s="411">
        <v>0</v>
      </c>
      <c r="K4955" s="90">
        <f t="shared" si="1410"/>
        <v>93.534000000000006</v>
      </c>
      <c r="L4955" s="131">
        <v>950</v>
      </c>
      <c r="M4955" s="187">
        <v>17.88</v>
      </c>
      <c r="N4955" s="91">
        <f t="shared" si="1388"/>
        <v>65.38</v>
      </c>
      <c r="O4955" s="411">
        <f t="shared" si="1367"/>
        <v>28.154000000000011</v>
      </c>
      <c r="P4955" s="132" t="s">
        <v>86</v>
      </c>
      <c r="Q4955" s="232"/>
      <c r="R4955" s="411"/>
      <c r="T4955" s="134" t="s">
        <v>145</v>
      </c>
      <c r="U4955" s="267" t="s">
        <v>10909</v>
      </c>
      <c r="AA4955" s="218"/>
    </row>
    <row r="4956" spans="1:27" ht="24" x14ac:dyDescent="0.25">
      <c r="A4956" s="405">
        <v>3003882</v>
      </c>
      <c r="B4956" s="406">
        <v>42604</v>
      </c>
      <c r="C4956" s="405" t="s">
        <v>237</v>
      </c>
      <c r="D4956" s="401" t="s">
        <v>10910</v>
      </c>
      <c r="E4956" s="120">
        <v>500</v>
      </c>
      <c r="F4956" s="133" t="s">
        <v>451</v>
      </c>
      <c r="G4956" s="404" t="s">
        <v>45</v>
      </c>
      <c r="H4956" s="411">
        <v>279.67</v>
      </c>
      <c r="I4956" s="397">
        <f t="shared" ref="I4956" si="1412">-(H4956*0.15)</f>
        <v>-41.950499999999998</v>
      </c>
      <c r="J4956" s="411">
        <v>0</v>
      </c>
      <c r="K4956" s="90">
        <f t="shared" si="1410"/>
        <v>237.71950000000001</v>
      </c>
      <c r="L4956" s="131">
        <v>300</v>
      </c>
      <c r="M4956" s="187">
        <v>42.64</v>
      </c>
      <c r="N4956" s="91">
        <f t="shared" si="1388"/>
        <v>192.64</v>
      </c>
      <c r="O4956" s="411">
        <f t="shared" si="1367"/>
        <v>45.079500000000024</v>
      </c>
      <c r="P4956" s="132" t="s">
        <v>52</v>
      </c>
      <c r="Q4956" s="232"/>
      <c r="R4956" s="411"/>
      <c r="T4956" s="134" t="s">
        <v>145</v>
      </c>
      <c r="U4956" s="267" t="s">
        <v>10911</v>
      </c>
      <c r="AA4956" s="218"/>
    </row>
    <row r="4957" spans="1:27" ht="24" x14ac:dyDescent="0.25">
      <c r="A4957" s="405">
        <v>3003883</v>
      </c>
      <c r="B4957" s="406">
        <v>42604</v>
      </c>
      <c r="C4957" s="405" t="s">
        <v>237</v>
      </c>
      <c r="D4957" s="401" t="s">
        <v>10912</v>
      </c>
      <c r="E4957" s="120">
        <v>100</v>
      </c>
      <c r="F4957" s="133" t="s">
        <v>288</v>
      </c>
      <c r="G4957" s="404" t="s">
        <v>45</v>
      </c>
      <c r="H4957" s="411">
        <v>193.04</v>
      </c>
      <c r="I4957" s="397">
        <f t="shared" ref="I4957" si="1413">-(H4957*0.15)</f>
        <v>-28.955999999999996</v>
      </c>
      <c r="J4957" s="411">
        <v>0</v>
      </c>
      <c r="K4957" s="90">
        <f t="shared" si="1410"/>
        <v>164.084</v>
      </c>
      <c r="L4957" s="131">
        <v>950</v>
      </c>
      <c r="M4957" s="187">
        <v>18.68</v>
      </c>
      <c r="N4957" s="91">
        <f t="shared" si="1388"/>
        <v>113.68</v>
      </c>
      <c r="O4957" s="411">
        <f t="shared" si="1367"/>
        <v>50.403999999999996</v>
      </c>
      <c r="P4957" s="132" t="s">
        <v>86</v>
      </c>
      <c r="Q4957" s="232"/>
      <c r="R4957" s="411"/>
      <c r="T4957" s="134" t="s">
        <v>145</v>
      </c>
      <c r="U4957" s="267" t="s">
        <v>10913</v>
      </c>
      <c r="AA4957" s="218"/>
    </row>
    <row r="4958" spans="1:27" ht="36" x14ac:dyDescent="0.25">
      <c r="A4958" s="405">
        <v>3003884</v>
      </c>
      <c r="B4958" s="406">
        <v>42604</v>
      </c>
      <c r="C4958" s="405" t="s">
        <v>237</v>
      </c>
      <c r="D4958" s="401" t="s">
        <v>10914</v>
      </c>
      <c r="E4958" s="120">
        <v>500</v>
      </c>
      <c r="F4958" s="119" t="s">
        <v>10915</v>
      </c>
      <c r="G4958" s="404" t="s">
        <v>45</v>
      </c>
      <c r="H4958" s="411">
        <v>163.22</v>
      </c>
      <c r="I4958" s="397">
        <f t="shared" ref="I4958" si="1414">-(H4958*0.15)</f>
        <v>-24.483000000000001</v>
      </c>
      <c r="J4958" s="411">
        <v>0</v>
      </c>
      <c r="K4958" s="90">
        <f t="shared" si="1410"/>
        <v>138.73699999999999</v>
      </c>
      <c r="L4958" s="187">
        <v>164</v>
      </c>
      <c r="M4958" s="187">
        <v>18.07</v>
      </c>
      <c r="N4958" s="91">
        <f t="shared" si="1388"/>
        <v>100.07</v>
      </c>
      <c r="O4958" s="411">
        <f t="shared" si="1367"/>
        <v>38.667000000000002</v>
      </c>
      <c r="P4958" s="132" t="s">
        <v>313</v>
      </c>
      <c r="Q4958" s="232"/>
      <c r="R4958" s="411"/>
      <c r="T4958" s="134" t="s">
        <v>145</v>
      </c>
      <c r="U4958" s="267" t="s">
        <v>10916</v>
      </c>
      <c r="AA4958" s="218"/>
    </row>
    <row r="4959" spans="1:27" ht="24" x14ac:dyDescent="0.25">
      <c r="A4959" s="405">
        <v>3003885</v>
      </c>
      <c r="B4959" s="406">
        <v>42604</v>
      </c>
      <c r="C4959" s="405" t="s">
        <v>237</v>
      </c>
      <c r="D4959" s="401" t="s">
        <v>10917</v>
      </c>
      <c r="E4959" s="120">
        <v>100</v>
      </c>
      <c r="F4959" s="133" t="s">
        <v>3299</v>
      </c>
      <c r="G4959" s="404" t="s">
        <v>45</v>
      </c>
      <c r="H4959" s="411">
        <v>107.91</v>
      </c>
      <c r="I4959" s="397">
        <f t="shared" ref="I4959" si="1415">-(H4959*0.15)</f>
        <v>-16.186499999999999</v>
      </c>
      <c r="J4959" s="411">
        <v>0</v>
      </c>
      <c r="K4959" s="90">
        <f t="shared" si="1410"/>
        <v>91.723500000000001</v>
      </c>
      <c r="L4959" s="187">
        <v>775</v>
      </c>
      <c r="M4959" s="187">
        <v>16.440000000000001</v>
      </c>
      <c r="N4959" s="91">
        <f t="shared" si="1388"/>
        <v>93.94</v>
      </c>
      <c r="O4959" s="411">
        <f t="shared" si="1367"/>
        <v>-2.2164999999999964</v>
      </c>
      <c r="P4959" s="132" t="s">
        <v>601</v>
      </c>
      <c r="Q4959" s="232"/>
      <c r="R4959" s="411"/>
      <c r="T4959" s="134" t="s">
        <v>145</v>
      </c>
      <c r="U4959" s="267" t="s">
        <v>10918</v>
      </c>
      <c r="AA4959" s="218"/>
    </row>
    <row r="4960" spans="1:27" ht="24" x14ac:dyDescent="0.25">
      <c r="A4960" s="405">
        <v>3003886</v>
      </c>
      <c r="B4960" s="406">
        <v>42604</v>
      </c>
      <c r="C4960" s="405" t="s">
        <v>237</v>
      </c>
      <c r="D4960" s="401" t="s">
        <v>10919</v>
      </c>
      <c r="E4960" s="120">
        <v>250</v>
      </c>
      <c r="F4960" s="133" t="s">
        <v>2949</v>
      </c>
      <c r="G4960" s="404" t="s">
        <v>45</v>
      </c>
      <c r="H4960" s="411">
        <v>523.46</v>
      </c>
      <c r="I4960" s="397">
        <f t="shared" ref="I4960" si="1416">-(H4960*0.15)</f>
        <v>-78.519000000000005</v>
      </c>
      <c r="J4960" s="411">
        <v>0</v>
      </c>
      <c r="K4960" s="90">
        <f t="shared" si="1410"/>
        <v>444.94100000000003</v>
      </c>
      <c r="M4960" s="187">
        <v>76.12</v>
      </c>
      <c r="N4960" s="91">
        <f t="shared" si="1388"/>
        <v>76.12</v>
      </c>
      <c r="O4960" s="411">
        <f t="shared" si="1367"/>
        <v>368.82100000000003</v>
      </c>
      <c r="P4960" s="132" t="s">
        <v>52</v>
      </c>
      <c r="Q4960" s="232"/>
      <c r="R4960" s="411"/>
      <c r="T4960" s="134" t="s">
        <v>145</v>
      </c>
      <c r="U4960" s="267" t="s">
        <v>10920</v>
      </c>
      <c r="AA4960" s="218"/>
    </row>
    <row r="4961" spans="1:27" ht="24" x14ac:dyDescent="0.25">
      <c r="A4961" s="405">
        <v>3003887</v>
      </c>
      <c r="B4961" s="406">
        <v>42604</v>
      </c>
      <c r="C4961" s="405" t="s">
        <v>237</v>
      </c>
      <c r="D4961" s="401" t="s">
        <v>10921</v>
      </c>
      <c r="E4961" s="120">
        <v>200</v>
      </c>
      <c r="F4961" s="133" t="s">
        <v>807</v>
      </c>
      <c r="G4961" s="404" t="s">
        <v>45</v>
      </c>
      <c r="H4961" s="411">
        <v>197.8</v>
      </c>
      <c r="I4961" s="397">
        <f t="shared" ref="I4961" si="1417">-(H4961*0.15)</f>
        <v>-29.67</v>
      </c>
      <c r="J4961" s="411">
        <v>0</v>
      </c>
      <c r="K4961" s="90">
        <f t="shared" si="1410"/>
        <v>168.13</v>
      </c>
      <c r="L4961" s="187">
        <v>360</v>
      </c>
      <c r="M4961" s="187">
        <v>16.059999999999999</v>
      </c>
      <c r="N4961" s="91">
        <f t="shared" si="1388"/>
        <v>88.06</v>
      </c>
      <c r="O4961" s="411">
        <f t="shared" si="1367"/>
        <v>80.069999999999993</v>
      </c>
      <c r="P4961" s="132" t="s">
        <v>235</v>
      </c>
      <c r="Q4961" s="232"/>
      <c r="R4961" s="411"/>
      <c r="T4961" s="134" t="s">
        <v>145</v>
      </c>
      <c r="U4961" s="267" t="s">
        <v>10922</v>
      </c>
      <c r="AA4961" s="218"/>
    </row>
    <row r="4962" spans="1:27" ht="24" x14ac:dyDescent="0.25">
      <c r="A4962" s="405">
        <v>3003888</v>
      </c>
      <c r="B4962" s="406">
        <v>42604</v>
      </c>
      <c r="C4962" s="405" t="s">
        <v>237</v>
      </c>
      <c r="D4962" s="401" t="s">
        <v>10923</v>
      </c>
      <c r="E4962" s="120">
        <v>150</v>
      </c>
      <c r="F4962" s="133" t="s">
        <v>247</v>
      </c>
      <c r="G4962" s="404" t="s">
        <v>45</v>
      </c>
      <c r="H4962" s="411">
        <v>164.07</v>
      </c>
      <c r="I4962" s="397">
        <f t="shared" ref="I4962" si="1418">-(H4962*0.15)</f>
        <v>-24.610499999999998</v>
      </c>
      <c r="J4962" s="411">
        <v>0</v>
      </c>
      <c r="K4962" s="90">
        <f t="shared" si="1410"/>
        <v>139.45949999999999</v>
      </c>
      <c r="L4962" s="131">
        <v>480</v>
      </c>
      <c r="M4962" s="187">
        <v>42.36</v>
      </c>
      <c r="N4962" s="91">
        <f t="shared" si="1388"/>
        <v>114.36</v>
      </c>
      <c r="O4962" s="411">
        <f t="shared" si="1367"/>
        <v>25.099499999999992</v>
      </c>
      <c r="P4962" s="132" t="s">
        <v>52</v>
      </c>
      <c r="Q4962" s="232"/>
      <c r="R4962" s="411"/>
      <c r="T4962" s="134" t="s">
        <v>145</v>
      </c>
      <c r="U4962" s="267" t="s">
        <v>10924</v>
      </c>
      <c r="AA4962" s="218"/>
    </row>
    <row r="4963" spans="1:27" ht="24" x14ac:dyDescent="0.25">
      <c r="A4963" s="405">
        <v>3003889</v>
      </c>
      <c r="B4963" s="406">
        <v>42604</v>
      </c>
      <c r="C4963" s="405" t="s">
        <v>237</v>
      </c>
      <c r="D4963" s="401" t="s">
        <v>10925</v>
      </c>
      <c r="E4963" s="120">
        <v>200</v>
      </c>
      <c r="F4963" s="133" t="s">
        <v>247</v>
      </c>
      <c r="G4963" s="404" t="s">
        <v>45</v>
      </c>
      <c r="H4963" s="411">
        <v>208.71</v>
      </c>
      <c r="I4963" s="397">
        <f t="shared" ref="I4963" si="1419">-(H4963*0.15)</f>
        <v>-31.3065</v>
      </c>
      <c r="J4963" s="411">
        <v>0</v>
      </c>
      <c r="K4963" s="90">
        <f t="shared" si="1410"/>
        <v>177.40350000000001</v>
      </c>
      <c r="L4963" s="131">
        <v>480</v>
      </c>
      <c r="M4963" s="187">
        <v>38.520000000000003</v>
      </c>
      <c r="N4963" s="91">
        <f t="shared" si="1388"/>
        <v>134.52000000000001</v>
      </c>
      <c r="O4963" s="411">
        <f t="shared" si="1367"/>
        <v>42.883499999999998</v>
      </c>
      <c r="P4963" s="132" t="s">
        <v>52</v>
      </c>
      <c r="Q4963" s="232"/>
      <c r="R4963" s="411"/>
      <c r="T4963" s="134" t="s">
        <v>145</v>
      </c>
      <c r="U4963" s="267" t="s">
        <v>10926</v>
      </c>
      <c r="AA4963" s="218"/>
    </row>
    <row r="4964" spans="1:27" ht="24" x14ac:dyDescent="0.25">
      <c r="A4964" s="405">
        <v>3003890</v>
      </c>
      <c r="B4964" s="406">
        <v>42604</v>
      </c>
      <c r="C4964" s="405" t="s">
        <v>237</v>
      </c>
      <c r="D4964" s="401" t="s">
        <v>10927</v>
      </c>
      <c r="E4964" s="120">
        <v>100</v>
      </c>
      <c r="F4964" s="133" t="s">
        <v>288</v>
      </c>
      <c r="G4964" s="404" t="s">
        <v>45</v>
      </c>
      <c r="H4964" s="411">
        <v>193.04</v>
      </c>
      <c r="I4964" s="397">
        <f t="shared" ref="I4964" si="1420">-(H4964*0.15)</f>
        <v>-28.955999999999996</v>
      </c>
      <c r="J4964" s="411">
        <v>0</v>
      </c>
      <c r="K4964" s="90">
        <f t="shared" si="1410"/>
        <v>164.084</v>
      </c>
      <c r="L4964" s="131">
        <v>950</v>
      </c>
      <c r="M4964" s="187">
        <v>27.83</v>
      </c>
      <c r="N4964" s="91">
        <f t="shared" si="1388"/>
        <v>122.83</v>
      </c>
      <c r="O4964" s="411">
        <f t="shared" si="1367"/>
        <v>41.254000000000005</v>
      </c>
      <c r="P4964" s="132" t="s">
        <v>86</v>
      </c>
      <c r="Q4964" s="232"/>
      <c r="R4964" s="411"/>
      <c r="T4964" s="134" t="s">
        <v>145</v>
      </c>
      <c r="U4964" s="267" t="s">
        <v>10928</v>
      </c>
      <c r="AA4964" s="218"/>
    </row>
    <row r="4965" spans="1:27" ht="24" x14ac:dyDescent="0.25">
      <c r="A4965" s="405">
        <v>3003891</v>
      </c>
      <c r="B4965" s="406">
        <v>42604</v>
      </c>
      <c r="C4965" s="405" t="s">
        <v>237</v>
      </c>
      <c r="D4965" s="401" t="s">
        <v>10929</v>
      </c>
      <c r="E4965" s="120">
        <v>50</v>
      </c>
      <c r="F4965" s="133" t="s">
        <v>161</v>
      </c>
      <c r="G4965" s="404" t="s">
        <v>45</v>
      </c>
      <c r="H4965" s="411">
        <v>126.97</v>
      </c>
      <c r="I4965" s="397">
        <f t="shared" ref="I4965" si="1421">-(H4965*0.15)</f>
        <v>-19.045500000000001</v>
      </c>
      <c r="J4965" s="411">
        <v>0</v>
      </c>
      <c r="K4965" s="90">
        <f t="shared" si="1410"/>
        <v>107.92449999999999</v>
      </c>
      <c r="L4965" s="131">
        <v>1322</v>
      </c>
      <c r="M4965" s="187">
        <v>21.56</v>
      </c>
      <c r="N4965" s="91">
        <f t="shared" si="1388"/>
        <v>87.660000000000011</v>
      </c>
      <c r="O4965" s="411">
        <f t="shared" si="1367"/>
        <v>20.264499999999984</v>
      </c>
      <c r="P4965" s="132" t="s">
        <v>86</v>
      </c>
      <c r="Q4965" s="232"/>
      <c r="R4965" s="411"/>
      <c r="T4965" s="134" t="s">
        <v>145</v>
      </c>
      <c r="U4965" s="267" t="s">
        <v>10930</v>
      </c>
      <c r="AA4965" s="218"/>
    </row>
    <row r="4966" spans="1:27" x14ac:dyDescent="0.25">
      <c r="A4966" s="405">
        <v>3003892</v>
      </c>
      <c r="B4966" s="406">
        <v>42604</v>
      </c>
      <c r="C4966" s="405" t="s">
        <v>141</v>
      </c>
      <c r="D4966" s="401" t="s">
        <v>10931</v>
      </c>
      <c r="E4966" s="120">
        <v>400</v>
      </c>
      <c r="F4966" s="133" t="s">
        <v>10932</v>
      </c>
      <c r="G4966" s="404" t="s">
        <v>45</v>
      </c>
      <c r="H4966" s="411">
        <v>1680</v>
      </c>
      <c r="I4966" s="411">
        <v>0</v>
      </c>
      <c r="J4966" s="258">
        <f>-((H4966*0.0325)+0.3)</f>
        <v>-54.9</v>
      </c>
      <c r="K4966" s="90">
        <f t="shared" si="1410"/>
        <v>1625.1</v>
      </c>
      <c r="L4966" s="187">
        <v>2950</v>
      </c>
      <c r="M4966" s="252"/>
      <c r="N4966" s="91">
        <f t="shared" si="1388"/>
        <v>1180</v>
      </c>
      <c r="O4966" s="411">
        <f t="shared" si="1367"/>
        <v>445.09999999999991</v>
      </c>
      <c r="P4966" s="132" t="s">
        <v>235</v>
      </c>
      <c r="Q4966" s="232"/>
      <c r="R4966" s="411"/>
      <c r="T4966" s="134" t="s">
        <v>576</v>
      </c>
      <c r="U4966" s="267" t="s">
        <v>10933</v>
      </c>
      <c r="W4966" s="153" t="s">
        <v>10934</v>
      </c>
      <c r="AA4966" s="218">
        <v>10</v>
      </c>
    </row>
    <row r="4967" spans="1:27" ht="36" x14ac:dyDescent="0.25">
      <c r="A4967" s="405">
        <v>3003893</v>
      </c>
      <c r="B4967" s="406">
        <v>42604</v>
      </c>
      <c r="C4967" s="405" t="s">
        <v>63</v>
      </c>
      <c r="D4967" s="401" t="s">
        <v>10935</v>
      </c>
      <c r="E4967" s="120">
        <v>500</v>
      </c>
      <c r="F4967" s="133" t="s">
        <v>448</v>
      </c>
      <c r="G4967" s="404" t="s">
        <v>45</v>
      </c>
      <c r="H4967" s="411">
        <v>1750</v>
      </c>
      <c r="I4967" s="411">
        <v>0</v>
      </c>
      <c r="J4967" s="258">
        <f>-((H4967*0.022)+0.3)</f>
        <v>-38.799999999999997</v>
      </c>
      <c r="K4967" s="90">
        <f t="shared" si="1410"/>
        <v>1711.2</v>
      </c>
      <c r="L4967" s="187">
        <v>2960</v>
      </c>
      <c r="M4967" s="131">
        <v>0</v>
      </c>
      <c r="N4967" s="91">
        <f t="shared" si="1388"/>
        <v>1480</v>
      </c>
      <c r="O4967" s="411">
        <f t="shared" si="1367"/>
        <v>231.20000000000005</v>
      </c>
      <c r="P4967" s="132" t="s">
        <v>59</v>
      </c>
      <c r="Q4967" s="232"/>
      <c r="R4967" s="411"/>
      <c r="T4967" s="134" t="s">
        <v>60</v>
      </c>
      <c r="U4967" s="267" t="s">
        <v>10936</v>
      </c>
      <c r="W4967" s="153" t="s">
        <v>10937</v>
      </c>
      <c r="AA4967" s="218">
        <v>10</v>
      </c>
    </row>
    <row r="4968" spans="1:27" x14ac:dyDescent="0.25">
      <c r="A4968" s="405">
        <v>3003894</v>
      </c>
      <c r="B4968" s="406">
        <v>42604</v>
      </c>
      <c r="C4968" s="405" t="s">
        <v>327</v>
      </c>
      <c r="D4968" s="401" t="s">
        <v>2540</v>
      </c>
      <c r="E4968" s="120">
        <v>1</v>
      </c>
      <c r="F4968" s="133" t="s">
        <v>10938</v>
      </c>
      <c r="G4968" s="404" t="s">
        <v>45</v>
      </c>
      <c r="H4968" s="411">
        <v>942</v>
      </c>
      <c r="I4968" s="411">
        <v>0</v>
      </c>
      <c r="J4968" s="258">
        <f>-((H4968*0.022)+0.3)</f>
        <v>-21.024000000000001</v>
      </c>
      <c r="K4968" s="90">
        <f t="shared" si="1410"/>
        <v>920.976</v>
      </c>
      <c r="L4968" s="131">
        <v>0</v>
      </c>
      <c r="M4968" s="131">
        <v>0</v>
      </c>
      <c r="N4968" s="91">
        <f t="shared" si="1388"/>
        <v>0</v>
      </c>
      <c r="O4968" s="411">
        <f t="shared" si="1367"/>
        <v>920.976</v>
      </c>
      <c r="P4968" s="132" t="s">
        <v>1229</v>
      </c>
      <c r="Q4968" s="232"/>
      <c r="R4968" s="411"/>
      <c r="T4968" s="134"/>
      <c r="U4968" s="266"/>
      <c r="W4968" s="153" t="s">
        <v>2544</v>
      </c>
      <c r="AA4968" s="218"/>
    </row>
    <row r="4969" spans="1:27" ht="24" x14ac:dyDescent="0.25">
      <c r="A4969" s="405">
        <v>3003895</v>
      </c>
      <c r="B4969" s="406">
        <v>42604</v>
      </c>
      <c r="C4969" s="405" t="s">
        <v>237</v>
      </c>
      <c r="D4969" s="401" t="s">
        <v>10939</v>
      </c>
      <c r="E4969" s="120">
        <v>100</v>
      </c>
      <c r="F4969" s="133" t="s">
        <v>590</v>
      </c>
      <c r="G4969" s="404" t="s">
        <v>45</v>
      </c>
      <c r="H4969" s="411">
        <v>115.08</v>
      </c>
      <c r="I4969" s="397">
        <f t="shared" ref="I4969" si="1422">-(H4969*0.15)</f>
        <v>-17.262</v>
      </c>
      <c r="J4969" s="411">
        <v>0</v>
      </c>
      <c r="K4969" s="90">
        <f t="shared" si="1410"/>
        <v>97.817999999999998</v>
      </c>
      <c r="L4969" s="131">
        <v>577</v>
      </c>
      <c r="M4969" s="187">
        <v>37.090000000000003</v>
      </c>
      <c r="N4969" s="91">
        <f t="shared" si="1388"/>
        <v>94.79</v>
      </c>
      <c r="O4969" s="411">
        <f t="shared" si="1367"/>
        <v>3.0279999999999916</v>
      </c>
      <c r="P4969" s="132" t="s">
        <v>52</v>
      </c>
      <c r="Q4969" s="232"/>
      <c r="R4969" s="411"/>
      <c r="T4969" s="134" t="s">
        <v>145</v>
      </c>
      <c r="U4969" s="267" t="s">
        <v>10940</v>
      </c>
      <c r="AA4969" s="218"/>
    </row>
    <row r="4970" spans="1:27" ht="24" x14ac:dyDescent="0.25">
      <c r="A4970" s="405">
        <v>3003896</v>
      </c>
      <c r="B4970" s="406">
        <v>42604</v>
      </c>
      <c r="C4970" s="405" t="s">
        <v>42</v>
      </c>
      <c r="D4970" s="401" t="s">
        <v>10941</v>
      </c>
      <c r="E4970" s="120">
        <v>175</v>
      </c>
      <c r="F4970" s="133" t="s">
        <v>247</v>
      </c>
      <c r="G4970" s="404" t="s">
        <v>45</v>
      </c>
      <c r="H4970" s="411">
        <v>228.29</v>
      </c>
      <c r="I4970" s="89">
        <f>-(H4970*0.09)</f>
        <v>-20.546099999999999</v>
      </c>
      <c r="J4970" s="258">
        <f t="shared" ref="J4970" si="1423">-((H4970*0.019)+0.3)</f>
        <v>-4.6375099999999998</v>
      </c>
      <c r="K4970" s="90">
        <f t="shared" ref="K4970" si="1424">SUM(H4970:J4970)</f>
        <v>203.10639</v>
      </c>
      <c r="L4970" s="131">
        <v>480</v>
      </c>
      <c r="M4970" s="187">
        <v>27.73</v>
      </c>
      <c r="N4970" s="91">
        <f t="shared" si="1388"/>
        <v>111.73000000000002</v>
      </c>
      <c r="O4970" s="411">
        <f t="shared" si="1367"/>
        <v>91.376389999999986</v>
      </c>
      <c r="P4970" s="132" t="s">
        <v>52</v>
      </c>
      <c r="Q4970" s="232"/>
      <c r="R4970" s="411"/>
      <c r="T4970" s="134" t="s">
        <v>145</v>
      </c>
      <c r="U4970" s="267" t="s">
        <v>10942</v>
      </c>
      <c r="AA4970" s="218"/>
    </row>
    <row r="4971" spans="1:27" ht="24" x14ac:dyDescent="0.25">
      <c r="A4971" s="405">
        <v>3003897</v>
      </c>
      <c r="B4971" s="406">
        <v>42604</v>
      </c>
      <c r="C4971" s="405" t="s">
        <v>237</v>
      </c>
      <c r="D4971" s="401" t="s">
        <v>10943</v>
      </c>
      <c r="E4971" s="120">
        <v>1000</v>
      </c>
      <c r="F4971" s="133" t="s">
        <v>451</v>
      </c>
      <c r="G4971" s="404" t="s">
        <v>45</v>
      </c>
      <c r="H4971" s="411">
        <v>571.75</v>
      </c>
      <c r="I4971" s="397">
        <f t="shared" ref="I4971" si="1425">-(H4971*0.15)</f>
        <v>-85.762500000000003</v>
      </c>
      <c r="J4971" s="411">
        <v>0</v>
      </c>
      <c r="K4971" s="90">
        <f>SUM(H4971:J4971)</f>
        <v>485.98750000000001</v>
      </c>
      <c r="L4971" s="131">
        <v>300</v>
      </c>
      <c r="M4971" s="187">
        <v>64.510000000000005</v>
      </c>
      <c r="N4971" s="91">
        <f t="shared" si="1388"/>
        <v>364.51</v>
      </c>
      <c r="O4971" s="411">
        <f t="shared" si="1367"/>
        <v>121.47750000000002</v>
      </c>
      <c r="P4971" s="132" t="s">
        <v>52</v>
      </c>
      <c r="Q4971" s="232"/>
      <c r="R4971" s="411"/>
      <c r="T4971" s="134" t="s">
        <v>145</v>
      </c>
      <c r="U4971" s="267" t="s">
        <v>10944</v>
      </c>
      <c r="AA4971" s="218"/>
    </row>
    <row r="4972" spans="1:27" ht="24" x14ac:dyDescent="0.25">
      <c r="A4972" s="405">
        <v>3003898</v>
      </c>
      <c r="B4972" s="406">
        <v>42604</v>
      </c>
      <c r="C4972" s="405" t="s">
        <v>63</v>
      </c>
      <c r="D4972" s="401" t="s">
        <v>10345</v>
      </c>
      <c r="E4972" s="120">
        <v>1000</v>
      </c>
      <c r="F4972" s="133" t="s">
        <v>451</v>
      </c>
      <c r="G4972" s="404" t="s">
        <v>45</v>
      </c>
      <c r="H4972" s="411">
        <v>571</v>
      </c>
      <c r="I4972" s="411">
        <v>0</v>
      </c>
      <c r="J4972" s="258">
        <f>-((H4972*0.022)+0.3)</f>
        <v>-12.862</v>
      </c>
      <c r="K4972" s="90">
        <f>SUM(H4972:J4972)</f>
        <v>558.13800000000003</v>
      </c>
      <c r="L4972" s="131">
        <v>300</v>
      </c>
      <c r="M4972" s="187">
        <v>31</v>
      </c>
      <c r="N4972" s="91">
        <f t="shared" si="1388"/>
        <v>331</v>
      </c>
      <c r="O4972" s="411">
        <f t="shared" si="1367"/>
        <v>227.13800000000003</v>
      </c>
      <c r="P4972" s="132" t="s">
        <v>52</v>
      </c>
      <c r="Q4972" s="232"/>
      <c r="R4972" s="411"/>
      <c r="T4972" s="134" t="s">
        <v>145</v>
      </c>
      <c r="U4972" s="267" t="s">
        <v>10945</v>
      </c>
      <c r="W4972" s="153" t="s">
        <v>10946</v>
      </c>
      <c r="AA4972" s="218"/>
    </row>
    <row r="4973" spans="1:27" x14ac:dyDescent="0.25">
      <c r="A4973" s="419">
        <v>3003899</v>
      </c>
      <c r="B4973" s="421">
        <v>42604</v>
      </c>
      <c r="C4973" s="419" t="s">
        <v>56</v>
      </c>
      <c r="D4973" s="417" t="s">
        <v>10947</v>
      </c>
      <c r="E4973" s="120">
        <v>500</v>
      </c>
      <c r="F4973" s="133" t="s">
        <v>10948</v>
      </c>
      <c r="G4973" s="434" t="s">
        <v>45</v>
      </c>
      <c r="H4973" s="427">
        <v>4606.3999999999996</v>
      </c>
      <c r="I4973" s="427">
        <v>0</v>
      </c>
      <c r="J4973" s="427">
        <v>0</v>
      </c>
      <c r="K4973" s="425">
        <f>SUM(H4973:J4973)</f>
        <v>4606.3999999999996</v>
      </c>
      <c r="L4973" s="187">
        <v>2980</v>
      </c>
      <c r="M4973" s="131">
        <v>0</v>
      </c>
      <c r="N4973" s="91">
        <f t="shared" si="1388"/>
        <v>1490</v>
      </c>
      <c r="O4973" s="411">
        <f t="shared" si="1367"/>
        <v>3116.3999999999996</v>
      </c>
      <c r="P4973" s="132" t="s">
        <v>59</v>
      </c>
      <c r="Q4973" s="232"/>
      <c r="R4973" s="411"/>
      <c r="T4973" s="134" t="s">
        <v>639</v>
      </c>
      <c r="U4973" s="266">
        <v>396413080</v>
      </c>
      <c r="V4973" s="133" t="s">
        <v>10949</v>
      </c>
      <c r="AA4973" s="218"/>
    </row>
    <row r="4974" spans="1:27" x14ac:dyDescent="0.25">
      <c r="A4974" s="432"/>
      <c r="B4974" s="433"/>
      <c r="C4974" s="432"/>
      <c r="D4974" s="454"/>
      <c r="E4974" s="120">
        <v>10000</v>
      </c>
      <c r="F4974" s="133" t="s">
        <v>10950</v>
      </c>
      <c r="G4974" s="435"/>
      <c r="H4974" s="438"/>
      <c r="I4974" s="438"/>
      <c r="J4974" s="438"/>
      <c r="K4974" s="437"/>
      <c r="M4974" s="187">
        <v>129.99</v>
      </c>
      <c r="N4974" s="91">
        <f t="shared" si="1388"/>
        <v>129.99</v>
      </c>
      <c r="O4974" s="411">
        <f t="shared" si="1367"/>
        <v>-129.99</v>
      </c>
      <c r="P4974" s="132" t="s">
        <v>52</v>
      </c>
      <c r="Q4974" s="232"/>
      <c r="R4974" s="411"/>
      <c r="T4974" s="439" t="s">
        <v>3793</v>
      </c>
      <c r="U4974" s="444" t="s">
        <v>10951</v>
      </c>
      <c r="V4974" s="133" t="s">
        <v>10952</v>
      </c>
      <c r="AA4974" s="218"/>
    </row>
    <row r="4975" spans="1:27" x14ac:dyDescent="0.25">
      <c r="A4975" s="432"/>
      <c r="B4975" s="433"/>
      <c r="C4975" s="432"/>
      <c r="D4975" s="454"/>
      <c r="E4975" s="120">
        <v>10000</v>
      </c>
      <c r="F4975" s="133" t="s">
        <v>10953</v>
      </c>
      <c r="G4975" s="435"/>
      <c r="H4975" s="438"/>
      <c r="I4975" s="438"/>
      <c r="J4975" s="438"/>
      <c r="K4975" s="437"/>
      <c r="M4975" s="187"/>
      <c r="N4975" s="91">
        <f t="shared" si="1388"/>
        <v>0</v>
      </c>
      <c r="O4975" s="411">
        <f t="shared" si="1367"/>
        <v>0</v>
      </c>
      <c r="P4975" s="132" t="s">
        <v>52</v>
      </c>
      <c r="Q4975" s="232"/>
      <c r="R4975" s="411"/>
      <c r="T4975" s="440"/>
      <c r="U4975" s="539"/>
      <c r="V4975" s="133" t="s">
        <v>10954</v>
      </c>
      <c r="AA4975" s="218"/>
    </row>
    <row r="4976" spans="1:27" x14ac:dyDescent="0.25">
      <c r="A4976" s="432"/>
      <c r="B4976" s="433"/>
      <c r="C4976" s="432"/>
      <c r="D4976" s="454"/>
      <c r="E4976" s="120">
        <v>10000</v>
      </c>
      <c r="F4976" s="133" t="s">
        <v>10955</v>
      </c>
      <c r="G4976" s="435"/>
      <c r="H4976" s="438"/>
      <c r="I4976" s="438"/>
      <c r="J4976" s="438"/>
      <c r="K4976" s="437"/>
      <c r="M4976" s="187"/>
      <c r="N4976" s="91">
        <f t="shared" si="1388"/>
        <v>0</v>
      </c>
      <c r="O4976" s="411">
        <f t="shared" si="1367"/>
        <v>0</v>
      </c>
      <c r="P4976" s="132" t="s">
        <v>52</v>
      </c>
      <c r="Q4976" s="232"/>
      <c r="R4976" s="411"/>
      <c r="T4976" s="440"/>
      <c r="U4976" s="539"/>
      <c r="V4976" s="133" t="s">
        <v>10954</v>
      </c>
      <c r="AA4976" s="218"/>
    </row>
    <row r="4977" spans="1:27" x14ac:dyDescent="0.25">
      <c r="A4977" s="432"/>
      <c r="B4977" s="433"/>
      <c r="C4977" s="432"/>
      <c r="D4977" s="454"/>
      <c r="E4977" s="120">
        <v>5000</v>
      </c>
      <c r="F4977" s="133" t="s">
        <v>1194</v>
      </c>
      <c r="G4977" s="435"/>
      <c r="H4977" s="438"/>
      <c r="I4977" s="438"/>
      <c r="J4977" s="438"/>
      <c r="K4977" s="437"/>
      <c r="N4977" s="91">
        <f t="shared" si="1388"/>
        <v>0</v>
      </c>
      <c r="O4977" s="411">
        <f t="shared" si="1367"/>
        <v>0</v>
      </c>
      <c r="P4977" s="132" t="s">
        <v>52</v>
      </c>
      <c r="Q4977" s="232"/>
      <c r="R4977" s="411"/>
      <c r="T4977" s="440"/>
      <c r="U4977" s="539"/>
      <c r="V4977" s="133" t="s">
        <v>10954</v>
      </c>
      <c r="AA4977" s="218"/>
    </row>
    <row r="4978" spans="1:27" x14ac:dyDescent="0.25">
      <c r="A4978" s="432"/>
      <c r="B4978" s="433"/>
      <c r="C4978" s="432"/>
      <c r="D4978" s="454"/>
      <c r="E4978" s="120">
        <v>430</v>
      </c>
      <c r="F4978" s="133" t="s">
        <v>10956</v>
      </c>
      <c r="G4978" s="435"/>
      <c r="H4978" s="438"/>
      <c r="I4978" s="438"/>
      <c r="J4978" s="438"/>
      <c r="K4978" s="437"/>
      <c r="M4978" s="187"/>
      <c r="N4978" s="91">
        <f t="shared" si="1388"/>
        <v>0</v>
      </c>
      <c r="O4978" s="411">
        <f t="shared" si="1367"/>
        <v>0</v>
      </c>
      <c r="P4978" s="132" t="s">
        <v>52</v>
      </c>
      <c r="Q4978" s="232"/>
      <c r="R4978" s="411"/>
      <c r="T4978" s="441"/>
      <c r="U4978" s="445"/>
      <c r="V4978" s="133" t="s">
        <v>10954</v>
      </c>
      <c r="AA4978" s="218"/>
    </row>
    <row r="4979" spans="1:27" ht="24" x14ac:dyDescent="0.25">
      <c r="A4979" s="420"/>
      <c r="B4979" s="422"/>
      <c r="C4979" s="420"/>
      <c r="D4979" s="418"/>
      <c r="E4979" s="120">
        <v>300</v>
      </c>
      <c r="F4979" s="133" t="s">
        <v>119</v>
      </c>
      <c r="G4979" s="436"/>
      <c r="H4979" s="428"/>
      <c r="I4979" s="428"/>
      <c r="J4979" s="428"/>
      <c r="K4979" s="426"/>
      <c r="L4979" s="187">
        <v>319</v>
      </c>
      <c r="M4979" s="187">
        <v>29.46</v>
      </c>
      <c r="N4979" s="91">
        <f t="shared" si="1388"/>
        <v>125.16</v>
      </c>
      <c r="O4979" s="411">
        <f t="shared" si="1367"/>
        <v>-125.16</v>
      </c>
      <c r="P4979" s="132" t="s">
        <v>3597</v>
      </c>
      <c r="Q4979" s="232"/>
      <c r="R4979" s="411"/>
      <c r="T4979" s="134" t="s">
        <v>145</v>
      </c>
      <c r="U4979" s="267" t="s">
        <v>10957</v>
      </c>
      <c r="V4979" s="133" t="s">
        <v>10958</v>
      </c>
      <c r="AA4979" s="218"/>
    </row>
    <row r="4980" spans="1:27" x14ac:dyDescent="0.25">
      <c r="A4980" s="405">
        <v>3003900</v>
      </c>
      <c r="B4980" s="406">
        <v>42605</v>
      </c>
      <c r="C4980" s="405" t="s">
        <v>63</v>
      </c>
      <c r="D4980" s="401" t="s">
        <v>10959</v>
      </c>
      <c r="E4980" s="120">
        <v>700</v>
      </c>
      <c r="F4980" s="133" t="s">
        <v>9669</v>
      </c>
      <c r="G4980" s="404" t="s">
        <v>45</v>
      </c>
      <c r="H4980" s="411">
        <v>3820</v>
      </c>
      <c r="I4980" s="411">
        <v>0</v>
      </c>
      <c r="J4980" s="258">
        <f>-((H4980*0.022)+0.3)</f>
        <v>-84.339999999999989</v>
      </c>
      <c r="K4980" s="90">
        <f>SUM(H4980:J4980)</f>
        <v>3735.66</v>
      </c>
      <c r="L4980" s="187">
        <v>3075</v>
      </c>
      <c r="M4980" s="224">
        <v>200.39</v>
      </c>
      <c r="N4980" s="91">
        <f t="shared" si="1388"/>
        <v>2352.89</v>
      </c>
      <c r="O4980" s="411">
        <f t="shared" si="1367"/>
        <v>1382.77</v>
      </c>
      <c r="P4980" s="132" t="s">
        <v>183</v>
      </c>
      <c r="Q4980" s="232"/>
      <c r="R4980" s="411"/>
      <c r="T4980" s="134" t="s">
        <v>67</v>
      </c>
      <c r="U4980" s="267" t="s">
        <v>10960</v>
      </c>
      <c r="W4980" s="153" t="s">
        <v>10961</v>
      </c>
      <c r="AA4980" s="218">
        <v>10</v>
      </c>
    </row>
    <row r="4981" spans="1:27" ht="24" x14ac:dyDescent="0.25">
      <c r="A4981" s="405">
        <v>3003901</v>
      </c>
      <c r="B4981" s="406">
        <v>42605</v>
      </c>
      <c r="C4981" s="405" t="s">
        <v>63</v>
      </c>
      <c r="D4981" s="401" t="s">
        <v>10962</v>
      </c>
      <c r="E4981" s="120">
        <v>10</v>
      </c>
      <c r="F4981" s="119" t="s">
        <v>10963</v>
      </c>
      <c r="G4981" s="404" t="s">
        <v>45</v>
      </c>
      <c r="H4981" s="411">
        <v>2301</v>
      </c>
      <c r="I4981" s="411">
        <v>0</v>
      </c>
      <c r="J4981" s="258">
        <f>-((H4981*0.022)+0.3)</f>
        <v>-50.921999999999997</v>
      </c>
      <c r="K4981" s="90">
        <f>SUM(H4981:J4981)</f>
        <v>2250.078</v>
      </c>
      <c r="L4981" s="187">
        <v>3600</v>
      </c>
      <c r="M4981" s="187">
        <v>125</v>
      </c>
      <c r="N4981" s="91">
        <f t="shared" si="1388"/>
        <v>161</v>
      </c>
      <c r="O4981" s="411">
        <f t="shared" si="1367"/>
        <v>2089.078</v>
      </c>
      <c r="P4981" s="132" t="s">
        <v>10964</v>
      </c>
      <c r="Q4981" s="232"/>
      <c r="R4981" s="411"/>
      <c r="T4981" s="134" t="s">
        <v>204</v>
      </c>
      <c r="U4981" s="266" t="s">
        <v>10965</v>
      </c>
      <c r="W4981" s="153" t="s">
        <v>10966</v>
      </c>
      <c r="AA4981" s="218">
        <v>10</v>
      </c>
    </row>
    <row r="4982" spans="1:27" ht="24" x14ac:dyDescent="0.25">
      <c r="A4982" s="405">
        <v>3003902</v>
      </c>
      <c r="B4982" s="406">
        <v>42605</v>
      </c>
      <c r="C4982" s="405" t="s">
        <v>327</v>
      </c>
      <c r="D4982" s="401" t="s">
        <v>10967</v>
      </c>
      <c r="E4982" s="120">
        <v>1000</v>
      </c>
      <c r="F4982" s="133" t="s">
        <v>1342</v>
      </c>
      <c r="G4982" s="404" t="s">
        <v>45</v>
      </c>
      <c r="H4982" s="411">
        <v>543.75</v>
      </c>
      <c r="I4982" s="411">
        <v>0</v>
      </c>
      <c r="J4982" s="258">
        <f>-((H4982*0.022)+0.3)</f>
        <v>-12.262499999999999</v>
      </c>
      <c r="K4982" s="90">
        <f>SUM(H4982:J4982)</f>
        <v>531.48749999999995</v>
      </c>
      <c r="L4982" s="187">
        <v>265.32</v>
      </c>
      <c r="M4982" s="187">
        <v>45.78</v>
      </c>
      <c r="N4982" s="91">
        <f t="shared" si="1388"/>
        <v>311.10000000000002</v>
      </c>
      <c r="O4982" s="411">
        <f t="shared" si="1367"/>
        <v>220.38749999999993</v>
      </c>
      <c r="P4982" s="132" t="s">
        <v>330</v>
      </c>
      <c r="Q4982" s="232"/>
      <c r="R4982" s="411">
        <v>43.75</v>
      </c>
      <c r="S4982" s="133" t="s">
        <v>1396</v>
      </c>
      <c r="T4982" s="134" t="s">
        <v>145</v>
      </c>
      <c r="U4982" s="267" t="s">
        <v>10968</v>
      </c>
      <c r="W4982" s="153" t="s">
        <v>10969</v>
      </c>
      <c r="AA4982" s="218"/>
    </row>
    <row r="4983" spans="1:27" x14ac:dyDescent="0.25">
      <c r="A4983" s="405">
        <v>3003903</v>
      </c>
      <c r="B4983" s="406">
        <v>42605</v>
      </c>
      <c r="C4983" s="405" t="s">
        <v>63</v>
      </c>
      <c r="D4983" s="401" t="s">
        <v>10970</v>
      </c>
      <c r="E4983" s="120">
        <v>500</v>
      </c>
      <c r="F4983" s="133" t="s">
        <v>3345</v>
      </c>
      <c r="G4983" s="404" t="s">
        <v>45</v>
      </c>
      <c r="H4983" s="411">
        <v>1058</v>
      </c>
      <c r="I4983" s="411">
        <v>0</v>
      </c>
      <c r="J4983" s="258">
        <f>-((H4983*0.022)+0.3)</f>
        <v>-23.576000000000001</v>
      </c>
      <c r="K4983" s="90">
        <f>SUM(H4983:J4983)</f>
        <v>1034.424</v>
      </c>
      <c r="L4983" s="187">
        <v>1410</v>
      </c>
      <c r="M4983" s="131">
        <v>0</v>
      </c>
      <c r="N4983" s="91">
        <f t="shared" si="1388"/>
        <v>705</v>
      </c>
      <c r="O4983" s="411">
        <f t="shared" si="1367"/>
        <v>329.42399999999998</v>
      </c>
      <c r="P4983" s="132" t="s">
        <v>601</v>
      </c>
      <c r="Q4983" s="232"/>
      <c r="R4983" s="411"/>
      <c r="T4983" s="134" t="s">
        <v>389</v>
      </c>
      <c r="U4983" s="267" t="s">
        <v>10971</v>
      </c>
      <c r="W4983" s="153" t="s">
        <v>10972</v>
      </c>
      <c r="AA4983" s="218">
        <v>10</v>
      </c>
    </row>
    <row r="4984" spans="1:27" ht="24" x14ac:dyDescent="0.25">
      <c r="A4984" s="405">
        <v>3003904</v>
      </c>
      <c r="B4984" s="406">
        <v>42605</v>
      </c>
      <c r="C4984" s="405" t="s">
        <v>42</v>
      </c>
      <c r="D4984" s="401" t="s">
        <v>10973</v>
      </c>
      <c r="E4984" s="120">
        <v>500</v>
      </c>
      <c r="F4984" s="133" t="s">
        <v>954</v>
      </c>
      <c r="G4984" s="404" t="s">
        <v>45</v>
      </c>
      <c r="H4984" s="411">
        <v>161.26</v>
      </c>
      <c r="I4984" s="89">
        <f t="shared" ref="I4984:I4990" si="1426">-(H4984*0.09)</f>
        <v>-14.513399999999999</v>
      </c>
      <c r="J4984" s="258">
        <f t="shared" ref="J4984" si="1427">-((H4984*0.019)+0.3)</f>
        <v>-3.3639399999999995</v>
      </c>
      <c r="K4984" s="90">
        <f t="shared" ref="K4984" si="1428">SUM(H4984:J4984)</f>
        <v>143.38265999999999</v>
      </c>
      <c r="M4984" s="187">
        <v>26.78</v>
      </c>
      <c r="N4984" s="91">
        <f t="shared" si="1388"/>
        <v>26.78</v>
      </c>
      <c r="O4984" s="411">
        <f t="shared" si="1367"/>
        <v>116.60265999999999</v>
      </c>
      <c r="P4984" s="132" t="s">
        <v>52</v>
      </c>
      <c r="Q4984" s="232"/>
      <c r="R4984" s="411"/>
      <c r="T4984" s="134" t="s">
        <v>145</v>
      </c>
      <c r="U4984" s="267" t="s">
        <v>10974</v>
      </c>
      <c r="AA4984" s="218"/>
    </row>
    <row r="4985" spans="1:27" ht="24" x14ac:dyDescent="0.25">
      <c r="A4985" s="405">
        <v>3003905</v>
      </c>
      <c r="B4985" s="406">
        <v>42605</v>
      </c>
      <c r="C4985" s="405" t="s">
        <v>42</v>
      </c>
      <c r="D4985" s="401" t="s">
        <v>10975</v>
      </c>
      <c r="E4985" s="120">
        <v>65</v>
      </c>
      <c r="F4985" s="133" t="s">
        <v>222</v>
      </c>
      <c r="G4985" s="404" t="s">
        <v>45</v>
      </c>
      <c r="H4985" s="411">
        <v>117.95</v>
      </c>
      <c r="I4985" s="89">
        <f t="shared" si="1426"/>
        <v>-10.615499999999999</v>
      </c>
      <c r="J4985" s="258">
        <f t="shared" ref="J4985" si="1429">-((H4985*0.019)+0.3)</f>
        <v>-2.5410499999999998</v>
      </c>
      <c r="K4985" s="90">
        <f t="shared" ref="K4985" si="1430">SUM(H4985:J4985)</f>
        <v>104.79345000000001</v>
      </c>
      <c r="L4985" s="131">
        <v>806</v>
      </c>
      <c r="M4985" s="187">
        <v>48.94</v>
      </c>
      <c r="N4985" s="91">
        <f t="shared" si="1388"/>
        <v>101.33</v>
      </c>
      <c r="O4985" s="411">
        <f t="shared" si="1367"/>
        <v>3.4634500000000088</v>
      </c>
      <c r="P4985" s="132" t="s">
        <v>52</v>
      </c>
      <c r="Q4985" s="232"/>
      <c r="R4985" s="411"/>
      <c r="T4985" s="134" t="s">
        <v>145</v>
      </c>
      <c r="U4985" s="267" t="s">
        <v>10976</v>
      </c>
      <c r="AA4985" s="218"/>
    </row>
    <row r="4986" spans="1:27" ht="24" x14ac:dyDescent="0.25">
      <c r="A4986" s="405">
        <v>3003906</v>
      </c>
      <c r="B4986" s="406">
        <v>42605</v>
      </c>
      <c r="C4986" s="405" t="s">
        <v>42</v>
      </c>
      <c r="D4986" s="401" t="s">
        <v>10977</v>
      </c>
      <c r="E4986" s="120">
        <v>50</v>
      </c>
      <c r="F4986" s="133" t="s">
        <v>288</v>
      </c>
      <c r="G4986" s="404" t="s">
        <v>45</v>
      </c>
      <c r="H4986" s="411">
        <v>117.8</v>
      </c>
      <c r="I4986" s="89">
        <f t="shared" si="1426"/>
        <v>-10.601999999999999</v>
      </c>
      <c r="J4986" s="258">
        <f t="shared" ref="J4986" si="1431">-((H4986*0.019)+0.3)</f>
        <v>-2.5381999999999998</v>
      </c>
      <c r="K4986" s="90">
        <f t="shared" ref="K4986" si="1432">SUM(H4986:J4986)</f>
        <v>104.65979999999999</v>
      </c>
      <c r="L4986" s="131">
        <v>950</v>
      </c>
      <c r="M4986" s="187">
        <v>12.07</v>
      </c>
      <c r="N4986" s="91">
        <f t="shared" si="1388"/>
        <v>59.57</v>
      </c>
      <c r="O4986" s="411">
        <f t="shared" si="1367"/>
        <v>45.08979999999999</v>
      </c>
      <c r="P4986" s="132" t="s">
        <v>86</v>
      </c>
      <c r="Q4986" s="232"/>
      <c r="R4986" s="411"/>
      <c r="T4986" s="134" t="s">
        <v>145</v>
      </c>
      <c r="U4986" s="267" t="s">
        <v>10978</v>
      </c>
      <c r="AA4986" s="218"/>
    </row>
    <row r="4987" spans="1:27" ht="24" x14ac:dyDescent="0.25">
      <c r="A4987" s="405">
        <v>3003907</v>
      </c>
      <c r="B4987" s="406">
        <v>42605</v>
      </c>
      <c r="C4987" s="405" t="s">
        <v>42</v>
      </c>
      <c r="D4987" s="401" t="s">
        <v>10979</v>
      </c>
      <c r="E4987" s="120">
        <v>250</v>
      </c>
      <c r="F4987" s="133" t="s">
        <v>451</v>
      </c>
      <c r="G4987" s="404" t="s">
        <v>45</v>
      </c>
      <c r="H4987" s="411">
        <v>190</v>
      </c>
      <c r="I4987" s="89">
        <f t="shared" si="1426"/>
        <v>-17.099999999999998</v>
      </c>
      <c r="J4987" s="258">
        <f t="shared" ref="J4987" si="1433">-((H4987*0.019)+0.3)</f>
        <v>-3.9099999999999997</v>
      </c>
      <c r="K4987" s="90">
        <f t="shared" ref="K4987" si="1434">SUM(H4987:J4987)</f>
        <v>168.99</v>
      </c>
      <c r="L4987" s="131">
        <v>300</v>
      </c>
      <c r="N4987" s="91">
        <f t="shared" si="1388"/>
        <v>75</v>
      </c>
      <c r="O4987" s="411">
        <f t="shared" si="1367"/>
        <v>93.990000000000009</v>
      </c>
      <c r="P4987" s="132" t="s">
        <v>52</v>
      </c>
      <c r="Q4987" s="232"/>
      <c r="R4987" s="411"/>
      <c r="T4987" s="134" t="s">
        <v>145</v>
      </c>
      <c r="U4987" s="267" t="s">
        <v>10980</v>
      </c>
      <c r="AA4987" s="218"/>
    </row>
    <row r="4988" spans="1:27" ht="24" x14ac:dyDescent="0.25">
      <c r="A4988" s="405">
        <v>3003908</v>
      </c>
      <c r="B4988" s="406">
        <v>42605</v>
      </c>
      <c r="C4988" s="405" t="s">
        <v>42</v>
      </c>
      <c r="D4988" s="401" t="s">
        <v>5318</v>
      </c>
      <c r="E4988" s="120">
        <v>100</v>
      </c>
      <c r="F4988" s="133" t="s">
        <v>288</v>
      </c>
      <c r="G4988" s="404" t="s">
        <v>45</v>
      </c>
      <c r="H4988" s="411">
        <v>195.25</v>
      </c>
      <c r="I4988" s="89">
        <f t="shared" si="1426"/>
        <v>-17.572499999999998</v>
      </c>
      <c r="J4988" s="258">
        <f t="shared" ref="J4988" si="1435">-((H4988*0.019)+0.3)</f>
        <v>-4.0097500000000004</v>
      </c>
      <c r="K4988" s="90">
        <f t="shared" ref="K4988" si="1436">SUM(H4988:J4988)</f>
        <v>173.66775000000001</v>
      </c>
      <c r="L4988" s="131">
        <v>950</v>
      </c>
      <c r="M4988" s="187">
        <v>30.43</v>
      </c>
      <c r="N4988" s="91">
        <f t="shared" si="1388"/>
        <v>125.43</v>
      </c>
      <c r="O4988" s="411">
        <f t="shared" si="1367"/>
        <v>48.237750000000005</v>
      </c>
      <c r="P4988" s="132" t="s">
        <v>52</v>
      </c>
      <c r="Q4988" s="232"/>
      <c r="R4988" s="411"/>
      <c r="T4988" s="134" t="s">
        <v>145</v>
      </c>
      <c r="U4988" s="267" t="s">
        <v>10981</v>
      </c>
      <c r="AA4988" s="218"/>
    </row>
    <row r="4989" spans="1:27" ht="24" x14ac:dyDescent="0.25">
      <c r="A4989" s="405">
        <v>3003909</v>
      </c>
      <c r="B4989" s="406">
        <v>42605</v>
      </c>
      <c r="C4989" s="405" t="s">
        <v>42</v>
      </c>
      <c r="D4989" s="401" t="s">
        <v>10982</v>
      </c>
      <c r="E4989" s="120">
        <v>50</v>
      </c>
      <c r="F4989" s="133" t="s">
        <v>1991</v>
      </c>
      <c r="G4989" s="404" t="s">
        <v>45</v>
      </c>
      <c r="H4989" s="411">
        <v>360.42</v>
      </c>
      <c r="I4989" s="89">
        <f t="shared" si="1426"/>
        <v>-32.437800000000003</v>
      </c>
      <c r="J4989" s="258">
        <f t="shared" ref="J4989" si="1437">-((H4989*0.019)+0.3)</f>
        <v>-7.1479799999999996</v>
      </c>
      <c r="K4989" s="90">
        <f t="shared" ref="K4989" si="1438">SUM(H4989:J4989)</f>
        <v>320.83422000000002</v>
      </c>
      <c r="L4989" s="187">
        <v>3150</v>
      </c>
      <c r="M4989" s="187">
        <f>10+13.27</f>
        <v>23.27</v>
      </c>
      <c r="N4989" s="91">
        <f t="shared" si="1388"/>
        <v>180.77</v>
      </c>
      <c r="O4989" s="411">
        <f t="shared" si="1367"/>
        <v>140.06422000000001</v>
      </c>
      <c r="P4989" s="132" t="s">
        <v>183</v>
      </c>
      <c r="Q4989" s="232"/>
      <c r="R4989" s="411">
        <v>23.58</v>
      </c>
      <c r="S4989" s="133" t="s">
        <v>5963</v>
      </c>
      <c r="T4989" s="134" t="s">
        <v>145</v>
      </c>
      <c r="U4989" s="267" t="s">
        <v>10983</v>
      </c>
      <c r="AA4989" s="218"/>
    </row>
    <row r="4990" spans="1:27" ht="24" x14ac:dyDescent="0.25">
      <c r="A4990" s="405">
        <v>3003910</v>
      </c>
      <c r="B4990" s="406">
        <v>42605</v>
      </c>
      <c r="C4990" s="405" t="s">
        <v>42</v>
      </c>
      <c r="D4990" s="401" t="s">
        <v>10984</v>
      </c>
      <c r="E4990" s="120">
        <v>25</v>
      </c>
      <c r="F4990" s="133" t="s">
        <v>2517</v>
      </c>
      <c r="G4990" s="404" t="s">
        <v>45</v>
      </c>
      <c r="H4990" s="411">
        <v>123.18</v>
      </c>
      <c r="I4990" s="89">
        <f t="shared" si="1426"/>
        <v>-11.0862</v>
      </c>
      <c r="J4990" s="258">
        <f t="shared" ref="J4990" si="1439">-((H4990*0.019)+0.3)</f>
        <v>-2.6404199999999998</v>
      </c>
      <c r="K4990" s="90">
        <f t="shared" ref="K4990" si="1440">SUM(H4990:J4990)</f>
        <v>109.45338</v>
      </c>
      <c r="L4990" s="131">
        <v>2230</v>
      </c>
      <c r="M4990" s="187">
        <v>18.93</v>
      </c>
      <c r="N4990" s="91">
        <f t="shared" si="1388"/>
        <v>74.680000000000007</v>
      </c>
      <c r="O4990" s="411">
        <f t="shared" si="1367"/>
        <v>34.773379999999989</v>
      </c>
      <c r="P4990" s="132" t="s">
        <v>52</v>
      </c>
      <c r="Q4990" s="232"/>
      <c r="R4990" s="411"/>
      <c r="T4990" s="134" t="s">
        <v>145</v>
      </c>
      <c r="U4990" s="267" t="s">
        <v>10985</v>
      </c>
      <c r="AA4990" s="218"/>
    </row>
    <row r="4991" spans="1:27" ht="24" x14ac:dyDescent="0.25">
      <c r="A4991" s="405">
        <v>3003911</v>
      </c>
      <c r="B4991" s="406">
        <v>42605</v>
      </c>
      <c r="C4991" s="405" t="s">
        <v>237</v>
      </c>
      <c r="D4991" s="401" t="s">
        <v>10986</v>
      </c>
      <c r="E4991" s="120">
        <v>100</v>
      </c>
      <c r="F4991" s="133" t="s">
        <v>288</v>
      </c>
      <c r="G4991" s="404" t="s">
        <v>45</v>
      </c>
      <c r="H4991" s="411">
        <v>193.04</v>
      </c>
      <c r="I4991" s="397">
        <f t="shared" ref="I4991" si="1441">-(H4991*0.15)</f>
        <v>-28.955999999999996</v>
      </c>
      <c r="J4991" s="411">
        <v>0</v>
      </c>
      <c r="K4991" s="90">
        <f>SUM(H4991:J4991)</f>
        <v>164.084</v>
      </c>
      <c r="L4991" s="131">
        <v>950</v>
      </c>
      <c r="M4991" s="187">
        <v>22.32</v>
      </c>
      <c r="N4991" s="91">
        <f t="shared" si="1388"/>
        <v>117.32</v>
      </c>
      <c r="O4991" s="411">
        <f t="shared" si="1367"/>
        <v>46.76400000000001</v>
      </c>
      <c r="P4991" s="132" t="s">
        <v>52</v>
      </c>
      <c r="Q4991" s="232"/>
      <c r="R4991" s="411"/>
      <c r="T4991" s="134" t="s">
        <v>145</v>
      </c>
      <c r="U4991" s="267" t="s">
        <v>10987</v>
      </c>
      <c r="AA4991" s="218"/>
    </row>
    <row r="4992" spans="1:27" ht="24" x14ac:dyDescent="0.25">
      <c r="A4992" s="405">
        <v>3003912</v>
      </c>
      <c r="B4992" s="406">
        <v>42605</v>
      </c>
      <c r="C4992" s="405" t="s">
        <v>237</v>
      </c>
      <c r="D4992" s="401" t="s">
        <v>10988</v>
      </c>
      <c r="E4992" s="120">
        <v>50</v>
      </c>
      <c r="F4992" s="133" t="s">
        <v>860</v>
      </c>
      <c r="G4992" s="404" t="s">
        <v>45</v>
      </c>
      <c r="H4992" s="411">
        <v>385.13</v>
      </c>
      <c r="I4992" s="397">
        <f t="shared" ref="I4992" si="1442">-(H4992*0.15)</f>
        <v>-57.769499999999994</v>
      </c>
      <c r="J4992" s="411">
        <v>0</v>
      </c>
      <c r="K4992" s="90">
        <f>SUM(H4992:J4992)</f>
        <v>327.3605</v>
      </c>
      <c r="L4992" s="131">
        <v>3300</v>
      </c>
      <c r="M4992" s="187">
        <v>52.31</v>
      </c>
      <c r="N4992" s="91">
        <f t="shared" si="1388"/>
        <v>217.31</v>
      </c>
      <c r="O4992" s="411">
        <f t="shared" si="1367"/>
        <v>110.0505</v>
      </c>
      <c r="P4992" s="132" t="s">
        <v>52</v>
      </c>
      <c r="Q4992" s="232"/>
      <c r="R4992" s="411"/>
      <c r="T4992" s="134" t="s">
        <v>145</v>
      </c>
      <c r="U4992" s="267" t="s">
        <v>10989</v>
      </c>
      <c r="AA4992" s="218"/>
    </row>
    <row r="4993" spans="1:27" ht="48" x14ac:dyDescent="0.25">
      <c r="A4993" s="419">
        <v>3003913</v>
      </c>
      <c r="B4993" s="421">
        <v>42605</v>
      </c>
      <c r="C4993" s="419" t="s">
        <v>63</v>
      </c>
      <c r="D4993" s="417" t="s">
        <v>1019</v>
      </c>
      <c r="E4993" s="120">
        <v>4000</v>
      </c>
      <c r="F4993" s="119" t="s">
        <v>10990</v>
      </c>
      <c r="G4993" s="434" t="s">
        <v>45</v>
      </c>
      <c r="H4993" s="427">
        <v>11300</v>
      </c>
      <c r="I4993" s="427">
        <v>0</v>
      </c>
      <c r="J4993" s="425">
        <f>-((H4993*0.022)+0.3)</f>
        <v>-248.9</v>
      </c>
      <c r="K4993" s="425">
        <f>SUM(H4993:J4993)</f>
        <v>11051.1</v>
      </c>
      <c r="M4993" s="187">
        <v>550</v>
      </c>
      <c r="N4993" s="91">
        <f t="shared" si="1388"/>
        <v>550</v>
      </c>
      <c r="O4993" s="411">
        <f t="shared" si="1367"/>
        <v>10501.1</v>
      </c>
      <c r="P4993" s="132" t="s">
        <v>52</v>
      </c>
      <c r="Q4993" s="232"/>
      <c r="R4993" s="411"/>
      <c r="T4993" s="470" t="s">
        <v>314</v>
      </c>
      <c r="U4993" s="446" t="s">
        <v>10991</v>
      </c>
      <c r="W4993" s="153" t="s">
        <v>1022</v>
      </c>
      <c r="AA4993" s="473">
        <v>100</v>
      </c>
    </row>
    <row r="4994" spans="1:27" ht="60" x14ac:dyDescent="0.25">
      <c r="A4994" s="432"/>
      <c r="B4994" s="433"/>
      <c r="C4994" s="432"/>
      <c r="D4994" s="454"/>
      <c r="E4994" s="120">
        <v>680</v>
      </c>
      <c r="F4994" s="119" t="s">
        <v>10992</v>
      </c>
      <c r="G4994" s="435"/>
      <c r="H4994" s="438"/>
      <c r="I4994" s="438"/>
      <c r="J4994" s="437"/>
      <c r="K4994" s="437"/>
      <c r="N4994" s="91">
        <f t="shared" si="1388"/>
        <v>0</v>
      </c>
      <c r="O4994" s="411">
        <f t="shared" si="1367"/>
        <v>0</v>
      </c>
      <c r="P4994" s="132" t="s">
        <v>52</v>
      </c>
      <c r="Q4994" s="232"/>
      <c r="R4994" s="411"/>
      <c r="T4994" s="471"/>
      <c r="U4994" s="448"/>
      <c r="AA4994" s="478"/>
    </row>
    <row r="4995" spans="1:27" ht="48" x14ac:dyDescent="0.25">
      <c r="A4995" s="432"/>
      <c r="B4995" s="433"/>
      <c r="C4995" s="432"/>
      <c r="D4995" s="454"/>
      <c r="E4995" s="120">
        <v>480</v>
      </c>
      <c r="F4995" s="119" t="s">
        <v>10993</v>
      </c>
      <c r="G4995" s="435"/>
      <c r="H4995" s="438"/>
      <c r="I4995" s="438"/>
      <c r="J4995" s="437"/>
      <c r="K4995" s="437"/>
      <c r="M4995" s="187">
        <v>0</v>
      </c>
      <c r="N4995" s="91">
        <f t="shared" si="1388"/>
        <v>0</v>
      </c>
      <c r="O4995" s="411">
        <f t="shared" si="1367"/>
        <v>0</v>
      </c>
      <c r="P4995" s="132" t="s">
        <v>52</v>
      </c>
      <c r="Q4995" s="232"/>
      <c r="R4995" s="411"/>
      <c r="T4995" s="472"/>
      <c r="U4995" s="447"/>
      <c r="AA4995" s="478"/>
    </row>
    <row r="4996" spans="1:27" ht="48" x14ac:dyDescent="0.25">
      <c r="A4996" s="432"/>
      <c r="B4996" s="433"/>
      <c r="C4996" s="432"/>
      <c r="D4996" s="454"/>
      <c r="E4996" s="120">
        <v>1360</v>
      </c>
      <c r="F4996" s="119" t="s">
        <v>10994</v>
      </c>
      <c r="G4996" s="435"/>
      <c r="H4996" s="438"/>
      <c r="I4996" s="438"/>
      <c r="J4996" s="437"/>
      <c r="K4996" s="437"/>
      <c r="L4996" s="187">
        <v>610</v>
      </c>
      <c r="M4996" s="187">
        <f>225+200</f>
        <v>425</v>
      </c>
      <c r="N4996" s="91">
        <f t="shared" si="1388"/>
        <v>1254.5999999999999</v>
      </c>
      <c r="O4996" s="411">
        <f t="shared" ref="O4996:O5059" si="1443">K4996-N4996</f>
        <v>-1254.5999999999999</v>
      </c>
      <c r="P4996" s="132" t="s">
        <v>183</v>
      </c>
      <c r="Q4996" s="232"/>
      <c r="R4996" s="411"/>
      <c r="T4996" s="439" t="s">
        <v>717</v>
      </c>
      <c r="U4996" s="505">
        <v>25210942</v>
      </c>
      <c r="V4996" s="133" t="s">
        <v>10995</v>
      </c>
      <c r="AA4996" s="478"/>
    </row>
    <row r="4997" spans="1:27" ht="48" x14ac:dyDescent="0.25">
      <c r="A4997" s="432"/>
      <c r="B4997" s="433"/>
      <c r="C4997" s="432"/>
      <c r="D4997" s="454"/>
      <c r="E4997" s="120">
        <v>480</v>
      </c>
      <c r="F4997" s="119" t="s">
        <v>10996</v>
      </c>
      <c r="G4997" s="435"/>
      <c r="H4997" s="438"/>
      <c r="I4997" s="438"/>
      <c r="J4997" s="437"/>
      <c r="K4997" s="437"/>
      <c r="L4997" s="187">
        <v>610</v>
      </c>
      <c r="M4997" s="187">
        <v>200</v>
      </c>
      <c r="N4997" s="91">
        <f t="shared" si="1388"/>
        <v>492.8</v>
      </c>
      <c r="O4997" s="411">
        <f t="shared" si="1443"/>
        <v>-492.8</v>
      </c>
      <c r="P4997" s="132" t="s">
        <v>183</v>
      </c>
      <c r="Q4997" s="232"/>
      <c r="R4997" s="411"/>
      <c r="T4997" s="440"/>
      <c r="U4997" s="506"/>
      <c r="V4997" s="133" t="s">
        <v>10995</v>
      </c>
      <c r="AA4997" s="478"/>
    </row>
    <row r="4998" spans="1:27" ht="36" x14ac:dyDescent="0.25">
      <c r="A4998" s="432"/>
      <c r="B4998" s="433"/>
      <c r="C4998" s="432"/>
      <c r="D4998" s="454"/>
      <c r="E4998" s="120">
        <v>780</v>
      </c>
      <c r="F4998" s="119" t="s">
        <v>10997</v>
      </c>
      <c r="G4998" s="435"/>
      <c r="H4998" s="438"/>
      <c r="I4998" s="438"/>
      <c r="J4998" s="437"/>
      <c r="K4998" s="437"/>
      <c r="L4998" s="187">
        <v>1670</v>
      </c>
      <c r="M4998" s="187">
        <v>75</v>
      </c>
      <c r="N4998" s="91">
        <f t="shared" si="1388"/>
        <v>1377.6000000000001</v>
      </c>
      <c r="O4998" s="411">
        <f t="shared" si="1443"/>
        <v>-1377.6000000000001</v>
      </c>
      <c r="P4998" s="132" t="s">
        <v>183</v>
      </c>
      <c r="Q4998" s="232"/>
      <c r="R4998" s="411"/>
      <c r="T4998" s="441"/>
      <c r="U4998" s="490"/>
      <c r="V4998" s="133" t="s">
        <v>10995</v>
      </c>
      <c r="AA4998" s="478"/>
    </row>
    <row r="4999" spans="1:27" ht="24" x14ac:dyDescent="0.25">
      <c r="A4999" s="432"/>
      <c r="B4999" s="433"/>
      <c r="C4999" s="432"/>
      <c r="D4999" s="454"/>
      <c r="E4999" s="120">
        <v>4000</v>
      </c>
      <c r="F4999" s="119" t="s">
        <v>10998</v>
      </c>
      <c r="G4999" s="435"/>
      <c r="H4999" s="438"/>
      <c r="I4999" s="438"/>
      <c r="J4999" s="437"/>
      <c r="K4999" s="437"/>
      <c r="L4999" s="187">
        <v>950</v>
      </c>
      <c r="M4999" s="187">
        <v>633.9</v>
      </c>
      <c r="N4999" s="91">
        <f t="shared" si="1388"/>
        <v>4433.8999999999996</v>
      </c>
      <c r="O4999" s="411">
        <f t="shared" si="1443"/>
        <v>-4433.8999999999996</v>
      </c>
      <c r="P4999" s="132" t="s">
        <v>3075</v>
      </c>
      <c r="Q4999" s="232"/>
      <c r="R4999" s="411"/>
      <c r="T4999" s="439" t="s">
        <v>10999</v>
      </c>
      <c r="U4999" s="266">
        <v>799023364</v>
      </c>
      <c r="V4999" s="133" t="s">
        <v>11000</v>
      </c>
      <c r="AA4999" s="478"/>
    </row>
    <row r="5000" spans="1:27" x14ac:dyDescent="0.25">
      <c r="A5000" s="432"/>
      <c r="B5000" s="433"/>
      <c r="C5000" s="432"/>
      <c r="D5000" s="454"/>
      <c r="E5000" s="120">
        <v>680</v>
      </c>
      <c r="F5000" s="133" t="s">
        <v>11001</v>
      </c>
      <c r="G5000" s="435"/>
      <c r="H5000" s="438"/>
      <c r="I5000" s="438"/>
      <c r="J5000" s="437"/>
      <c r="K5000" s="437"/>
      <c r="L5000" s="187">
        <v>950</v>
      </c>
      <c r="N5000" s="91">
        <f t="shared" si="1388"/>
        <v>646</v>
      </c>
      <c r="O5000" s="411">
        <f t="shared" si="1443"/>
        <v>-646</v>
      </c>
      <c r="P5000" s="132" t="s">
        <v>3075</v>
      </c>
      <c r="Q5000" s="232"/>
      <c r="R5000" s="411"/>
      <c r="T5000" s="440"/>
      <c r="U5000" s="266"/>
      <c r="V5000" s="133" t="s">
        <v>11002</v>
      </c>
      <c r="AA5000" s="478"/>
    </row>
    <row r="5001" spans="1:27" x14ac:dyDescent="0.25">
      <c r="A5001" s="420"/>
      <c r="B5001" s="422"/>
      <c r="C5001" s="420"/>
      <c r="D5001" s="418"/>
      <c r="E5001" s="120">
        <v>480</v>
      </c>
      <c r="F5001" s="133" t="s">
        <v>11003</v>
      </c>
      <c r="G5001" s="436"/>
      <c r="H5001" s="428"/>
      <c r="I5001" s="428"/>
      <c r="J5001" s="426"/>
      <c r="K5001" s="426"/>
      <c r="L5001" s="187">
        <v>750</v>
      </c>
      <c r="N5001" s="91">
        <f t="shared" si="1388"/>
        <v>360</v>
      </c>
      <c r="O5001" s="411">
        <f t="shared" si="1443"/>
        <v>-360</v>
      </c>
      <c r="P5001" s="132" t="s">
        <v>3075</v>
      </c>
      <c r="Q5001" s="232"/>
      <c r="R5001" s="411"/>
      <c r="T5001" s="441"/>
      <c r="U5001" s="266"/>
      <c r="V5001" s="133" t="s">
        <v>11002</v>
      </c>
      <c r="AA5001" s="474"/>
    </row>
    <row r="5002" spans="1:27" x14ac:dyDescent="0.25">
      <c r="A5002" s="419">
        <v>3003914</v>
      </c>
      <c r="B5002" s="421">
        <v>42605</v>
      </c>
      <c r="C5002" s="419" t="s">
        <v>56</v>
      </c>
      <c r="D5002" s="417" t="s">
        <v>11004</v>
      </c>
      <c r="E5002" s="120">
        <v>150</v>
      </c>
      <c r="F5002" s="133" t="s">
        <v>70</v>
      </c>
      <c r="G5002" s="434" t="s">
        <v>45</v>
      </c>
      <c r="H5002" s="427">
        <v>695.31</v>
      </c>
      <c r="I5002" s="427">
        <v>0</v>
      </c>
      <c r="J5002" s="427">
        <v>0</v>
      </c>
      <c r="K5002" s="425">
        <f>SUM(H5002:J5002)</f>
        <v>695.31</v>
      </c>
      <c r="L5002" s="187">
        <v>1776</v>
      </c>
      <c r="M5002" s="187">
        <v>198.31</v>
      </c>
      <c r="N5002" s="91">
        <f t="shared" si="1388"/>
        <v>464.71</v>
      </c>
      <c r="O5002" s="411">
        <f t="shared" si="1443"/>
        <v>230.59999999999997</v>
      </c>
      <c r="P5002" s="132" t="s">
        <v>183</v>
      </c>
      <c r="Q5002" s="232"/>
      <c r="R5002" s="411"/>
      <c r="T5002" s="439" t="s">
        <v>1027</v>
      </c>
      <c r="U5002" s="481" t="s">
        <v>11005</v>
      </c>
      <c r="V5002" s="133" t="s">
        <v>8550</v>
      </c>
      <c r="AA5002" s="218"/>
    </row>
    <row r="5003" spans="1:27" x14ac:dyDescent="0.25">
      <c r="A5003" s="420"/>
      <c r="B5003" s="422"/>
      <c r="C5003" s="420"/>
      <c r="D5003" s="418"/>
      <c r="E5003" s="120">
        <v>343</v>
      </c>
      <c r="F5003" s="133" t="s">
        <v>11006</v>
      </c>
      <c r="G5003" s="436"/>
      <c r="H5003" s="428"/>
      <c r="I5003" s="428"/>
      <c r="J5003" s="428"/>
      <c r="K5003" s="426"/>
      <c r="L5003" s="187">
        <v>490</v>
      </c>
      <c r="M5003" s="211"/>
      <c r="N5003" s="91">
        <f t="shared" si="1388"/>
        <v>168.07000000000002</v>
      </c>
      <c r="O5003" s="411">
        <f t="shared" si="1443"/>
        <v>-168.07000000000002</v>
      </c>
      <c r="P5003" s="132" t="s">
        <v>183</v>
      </c>
      <c r="Q5003" s="232"/>
      <c r="R5003" s="411"/>
      <c r="T5003" s="441"/>
      <c r="U5003" s="483"/>
      <c r="AA5003" s="218"/>
    </row>
    <row r="5004" spans="1:27" ht="24" x14ac:dyDescent="0.25">
      <c r="A5004" s="405">
        <v>3003915</v>
      </c>
      <c r="B5004" s="406">
        <v>42605</v>
      </c>
      <c r="C5004" s="405" t="s">
        <v>63</v>
      </c>
      <c r="D5004" s="401" t="s">
        <v>3456</v>
      </c>
      <c r="E5004" s="120">
        <v>110</v>
      </c>
      <c r="F5004" s="133" t="s">
        <v>2738</v>
      </c>
      <c r="G5004" s="404" t="s">
        <v>45</v>
      </c>
      <c r="H5004" s="411">
        <v>627</v>
      </c>
      <c r="I5004" s="411">
        <v>0</v>
      </c>
      <c r="J5004" s="258">
        <f>-((H5004*0.022)+0.3)</f>
        <v>-14.093999999999999</v>
      </c>
      <c r="K5004" s="90">
        <f>SUM(H5004:J5004)</f>
        <v>612.90599999999995</v>
      </c>
      <c r="M5004" s="187">
        <v>55.91</v>
      </c>
      <c r="N5004" s="91">
        <f t="shared" si="1388"/>
        <v>55.91</v>
      </c>
      <c r="O5004" s="411">
        <f t="shared" si="1443"/>
        <v>556.99599999999998</v>
      </c>
      <c r="P5004" s="132" t="s">
        <v>52</v>
      </c>
      <c r="Q5004" s="232"/>
      <c r="R5004" s="411"/>
      <c r="T5004" s="134" t="s">
        <v>145</v>
      </c>
      <c r="U5004" s="267" t="s">
        <v>11007</v>
      </c>
      <c r="W5004" s="153" t="s">
        <v>3459</v>
      </c>
      <c r="AA5004" s="218"/>
    </row>
    <row r="5005" spans="1:27" ht="24" x14ac:dyDescent="0.25">
      <c r="A5005" s="405">
        <v>3003916</v>
      </c>
      <c r="B5005" s="406">
        <v>42605</v>
      </c>
      <c r="C5005" s="405" t="s">
        <v>237</v>
      </c>
      <c r="D5005" s="401" t="s">
        <v>11008</v>
      </c>
      <c r="E5005" s="120">
        <v>45</v>
      </c>
      <c r="F5005" s="133" t="s">
        <v>11009</v>
      </c>
      <c r="G5005" s="404" t="s">
        <v>45</v>
      </c>
      <c r="H5005" s="411">
        <v>213.96</v>
      </c>
      <c r="I5005" s="397">
        <f t="shared" ref="I5005" si="1444">-(H5005*0.15)</f>
        <v>-32.094000000000001</v>
      </c>
      <c r="J5005" s="411">
        <v>0</v>
      </c>
      <c r="K5005" s="90">
        <f>SUM(H5005:J5005)</f>
        <v>181.86600000000001</v>
      </c>
      <c r="L5005" s="187">
        <v>3000</v>
      </c>
      <c r="M5005" s="187">
        <v>16.440000000000001</v>
      </c>
      <c r="N5005" s="91">
        <f t="shared" si="1388"/>
        <v>151.44</v>
      </c>
      <c r="O5005" s="411">
        <f t="shared" si="1443"/>
        <v>30.426000000000016</v>
      </c>
      <c r="P5005" s="132" t="s">
        <v>183</v>
      </c>
      <c r="Q5005" s="232"/>
      <c r="R5005" s="411"/>
      <c r="T5005" s="134" t="s">
        <v>145</v>
      </c>
      <c r="U5005" s="267" t="s">
        <v>11010</v>
      </c>
      <c r="AA5005" s="218"/>
    </row>
    <row r="5006" spans="1:27" ht="24" x14ac:dyDescent="0.25">
      <c r="A5006" s="405">
        <v>3003917</v>
      </c>
      <c r="B5006" s="406">
        <v>42605</v>
      </c>
      <c r="C5006" s="405" t="s">
        <v>63</v>
      </c>
      <c r="D5006" s="401" t="s">
        <v>11011</v>
      </c>
      <c r="E5006" s="120">
        <v>50</v>
      </c>
      <c r="F5006" s="133" t="s">
        <v>11012</v>
      </c>
      <c r="G5006" s="404" t="s">
        <v>45</v>
      </c>
      <c r="H5006" s="411">
        <v>1500</v>
      </c>
      <c r="I5006" s="411">
        <v>0</v>
      </c>
      <c r="J5006" s="258">
        <f>-((H5006*0.022)+0.3)</f>
        <v>-33.299999999999997</v>
      </c>
      <c r="K5006" s="90">
        <f>SUM(H5006:J5006)</f>
        <v>1466.7</v>
      </c>
      <c r="L5006" s="187">
        <v>14255</v>
      </c>
      <c r="M5006" s="187">
        <v>108.73</v>
      </c>
      <c r="N5006" s="91">
        <f t="shared" si="1388"/>
        <v>821.48</v>
      </c>
      <c r="O5006" s="411">
        <f t="shared" si="1443"/>
        <v>645.22</v>
      </c>
      <c r="P5006" s="132" t="s">
        <v>330</v>
      </c>
      <c r="Q5006" s="232"/>
      <c r="R5006" s="411"/>
      <c r="T5006" s="134" t="s">
        <v>11013</v>
      </c>
      <c r="U5006" s="267" t="s">
        <v>11014</v>
      </c>
      <c r="W5006" s="153" t="s">
        <v>11015</v>
      </c>
      <c r="AA5006" s="218">
        <v>10</v>
      </c>
    </row>
    <row r="5007" spans="1:27" ht="24" x14ac:dyDescent="0.25">
      <c r="A5007" s="405">
        <v>3003918</v>
      </c>
      <c r="B5007" s="406">
        <v>42605</v>
      </c>
      <c r="C5007" s="405" t="s">
        <v>327</v>
      </c>
      <c r="D5007" s="401" t="s">
        <v>11016</v>
      </c>
      <c r="E5007" s="120">
        <v>105</v>
      </c>
      <c r="F5007" s="133" t="s">
        <v>161</v>
      </c>
      <c r="G5007" s="404" t="s">
        <v>45</v>
      </c>
      <c r="H5007" s="411">
        <v>257.25</v>
      </c>
      <c r="I5007" s="411">
        <v>0</v>
      </c>
      <c r="J5007" s="258">
        <f>-((H5007*0.022)+0.3)</f>
        <v>-5.9594999999999994</v>
      </c>
      <c r="K5007" s="90">
        <f>SUM(H5007:J5007)</f>
        <v>251.29050000000001</v>
      </c>
      <c r="L5007" s="131">
        <v>1322</v>
      </c>
      <c r="M5007" s="187">
        <v>44.65</v>
      </c>
      <c r="N5007" s="91">
        <f t="shared" si="1388"/>
        <v>183.46</v>
      </c>
      <c r="O5007" s="411">
        <f t="shared" si="1443"/>
        <v>67.830500000000001</v>
      </c>
      <c r="P5007" s="132" t="s">
        <v>86</v>
      </c>
      <c r="Q5007" s="232"/>
      <c r="R5007" s="411"/>
      <c r="T5007" s="134" t="s">
        <v>145</v>
      </c>
      <c r="U5007" s="267" t="s">
        <v>11017</v>
      </c>
      <c r="W5007" s="153" t="s">
        <v>11018</v>
      </c>
      <c r="AA5007" s="218"/>
    </row>
    <row r="5008" spans="1:27" ht="24" x14ac:dyDescent="0.25">
      <c r="A5008" s="405">
        <v>3003919</v>
      </c>
      <c r="B5008" s="406">
        <v>42605</v>
      </c>
      <c r="C5008" s="405" t="s">
        <v>42</v>
      </c>
      <c r="D5008" s="401" t="s">
        <v>11019</v>
      </c>
      <c r="E5008" s="120">
        <v>150</v>
      </c>
      <c r="F5008" s="133" t="s">
        <v>1547</v>
      </c>
      <c r="G5008" s="404" t="s">
        <v>45</v>
      </c>
      <c r="H5008" s="411">
        <v>164.46</v>
      </c>
      <c r="I5008" s="89">
        <f>-(H5008*0.09)</f>
        <v>-14.801400000000001</v>
      </c>
      <c r="J5008" s="258">
        <f t="shared" ref="J5008" si="1445">-((H5008*0.019)+0.3)</f>
        <v>-3.4247399999999999</v>
      </c>
      <c r="K5008" s="90">
        <f t="shared" ref="K5008" si="1446">SUM(H5008:J5008)</f>
        <v>146.23385999999999</v>
      </c>
      <c r="L5008" s="131">
        <v>419</v>
      </c>
      <c r="M5008" s="187">
        <v>34.49</v>
      </c>
      <c r="N5008" s="91">
        <f t="shared" si="1388"/>
        <v>97.34</v>
      </c>
      <c r="O5008" s="411">
        <f t="shared" si="1443"/>
        <v>48.893859999999989</v>
      </c>
      <c r="P5008" s="132" t="s">
        <v>52</v>
      </c>
      <c r="Q5008" s="232"/>
      <c r="R5008" s="411"/>
      <c r="T5008" s="134" t="s">
        <v>145</v>
      </c>
      <c r="U5008" s="267" t="s">
        <v>11020</v>
      </c>
      <c r="AA5008" s="218"/>
    </row>
    <row r="5009" spans="1:27" x14ac:dyDescent="0.25">
      <c r="A5009" s="405">
        <v>3003920</v>
      </c>
      <c r="B5009" s="406">
        <v>42606</v>
      </c>
      <c r="C5009" s="405" t="s">
        <v>42</v>
      </c>
      <c r="D5009" s="401" t="s">
        <v>11021</v>
      </c>
      <c r="E5009" s="120">
        <v>1500</v>
      </c>
      <c r="F5009" s="133" t="s">
        <v>11022</v>
      </c>
      <c r="G5009" s="404" t="s">
        <v>45</v>
      </c>
      <c r="H5009" s="411">
        <v>3000</v>
      </c>
      <c r="I5009" s="89">
        <f>-(H5009*0.09)</f>
        <v>-270</v>
      </c>
      <c r="J5009" s="258">
        <f t="shared" ref="J5009" si="1447">-((H5009*0.019)+0.3)</f>
        <v>-57.3</v>
      </c>
      <c r="K5009" s="90">
        <f t="shared" ref="K5009" si="1448">SUM(H5009:J5009)</f>
        <v>2672.7</v>
      </c>
      <c r="L5009" s="187">
        <v>1320</v>
      </c>
      <c r="M5009" s="131">
        <v>0</v>
      </c>
      <c r="N5009" s="91">
        <f t="shared" si="1388"/>
        <v>1980</v>
      </c>
      <c r="O5009" s="411">
        <f t="shared" si="1443"/>
        <v>692.69999999999982</v>
      </c>
      <c r="P5009" s="132" t="s">
        <v>66</v>
      </c>
      <c r="Q5009" s="232"/>
      <c r="R5009" s="411"/>
      <c r="T5009" s="134" t="s">
        <v>47</v>
      </c>
      <c r="U5009" s="267" t="s">
        <v>11023</v>
      </c>
      <c r="AA5009" s="218"/>
    </row>
    <row r="5010" spans="1:27" ht="24" x14ac:dyDescent="0.25">
      <c r="A5010" s="405">
        <v>3003921</v>
      </c>
      <c r="B5010" s="406">
        <v>42606</v>
      </c>
      <c r="C5010" s="405" t="s">
        <v>42</v>
      </c>
      <c r="D5010" s="401" t="s">
        <v>11024</v>
      </c>
      <c r="E5010" s="120">
        <v>300</v>
      </c>
      <c r="F5010" s="133" t="s">
        <v>939</v>
      </c>
      <c r="G5010" s="404" t="s">
        <v>45</v>
      </c>
      <c r="H5010" s="411">
        <v>231.36</v>
      </c>
      <c r="I5010" s="89">
        <f>-(H5010*0.09)</f>
        <v>-20.822400000000002</v>
      </c>
      <c r="J5010" s="258">
        <f t="shared" ref="J5010" si="1449">-((H5010*0.019)+0.3)</f>
        <v>-4.6958399999999996</v>
      </c>
      <c r="K5010" s="90">
        <f t="shared" ref="K5010" si="1450">SUM(H5010:J5010)</f>
        <v>205.84175999999999</v>
      </c>
      <c r="L5010" s="131">
        <v>445</v>
      </c>
      <c r="M5010" s="187">
        <v>46.68</v>
      </c>
      <c r="N5010" s="91">
        <f t="shared" ref="N5010:N5073" si="1451">((L5010)*(E5010*0.001))+M5010</f>
        <v>180.18</v>
      </c>
      <c r="O5010" s="411">
        <f t="shared" si="1443"/>
        <v>25.661759999999987</v>
      </c>
      <c r="P5010" s="132" t="s">
        <v>52</v>
      </c>
      <c r="Q5010" s="232"/>
      <c r="R5010" s="411"/>
      <c r="T5010" s="134" t="s">
        <v>145</v>
      </c>
      <c r="U5010" s="267" t="s">
        <v>11025</v>
      </c>
      <c r="AA5010" s="218"/>
    </row>
    <row r="5011" spans="1:27" ht="24" x14ac:dyDescent="0.25">
      <c r="A5011" s="405">
        <v>3003922</v>
      </c>
      <c r="B5011" s="406">
        <v>42606</v>
      </c>
      <c r="C5011" s="405" t="s">
        <v>42</v>
      </c>
      <c r="D5011" s="401" t="s">
        <v>11026</v>
      </c>
      <c r="E5011" s="120">
        <v>50</v>
      </c>
      <c r="F5011" s="133" t="s">
        <v>431</v>
      </c>
      <c r="G5011" s="404" t="s">
        <v>45</v>
      </c>
      <c r="H5011" s="411">
        <v>128.80000000000001</v>
      </c>
      <c r="I5011" s="89">
        <f>-(H5011*0.09)</f>
        <v>-11.592000000000001</v>
      </c>
      <c r="J5011" s="258">
        <f t="shared" ref="J5011" si="1452">-((H5011*0.019)+0.3)</f>
        <v>-2.7471999999999999</v>
      </c>
      <c r="K5011" s="90">
        <f t="shared" ref="K5011" si="1453">SUM(H5011:J5011)</f>
        <v>114.46080000000001</v>
      </c>
      <c r="L5011" s="131">
        <v>990</v>
      </c>
      <c r="M5011" s="187">
        <v>28.35</v>
      </c>
      <c r="N5011" s="91">
        <f t="shared" si="1451"/>
        <v>77.849999999999994</v>
      </c>
      <c r="O5011" s="411">
        <f t="shared" si="1443"/>
        <v>36.610800000000012</v>
      </c>
      <c r="P5011" s="132" t="s">
        <v>52</v>
      </c>
      <c r="Q5011" s="232"/>
      <c r="R5011" s="411"/>
      <c r="T5011" s="134" t="s">
        <v>145</v>
      </c>
      <c r="U5011" s="267" t="s">
        <v>11027</v>
      </c>
      <c r="AA5011" s="218"/>
    </row>
    <row r="5012" spans="1:27" ht="24" x14ac:dyDescent="0.25">
      <c r="A5012" s="405">
        <v>3003923</v>
      </c>
      <c r="B5012" s="406">
        <v>42606</v>
      </c>
      <c r="C5012" s="405" t="s">
        <v>237</v>
      </c>
      <c r="D5012" s="401" t="s">
        <v>11028</v>
      </c>
      <c r="E5012" s="120">
        <v>100</v>
      </c>
      <c r="F5012" s="133" t="s">
        <v>3440</v>
      </c>
      <c r="G5012" s="404" t="s">
        <v>45</v>
      </c>
      <c r="H5012" s="411">
        <v>168.99</v>
      </c>
      <c r="I5012" s="397">
        <f t="shared" ref="I5012" si="1454">-(H5012*0.15)</f>
        <v>-25.348500000000001</v>
      </c>
      <c r="J5012" s="411">
        <v>0</v>
      </c>
      <c r="K5012" s="90">
        <f t="shared" ref="K5012:K5020" si="1455">SUM(H5012:J5012)</f>
        <v>143.64150000000001</v>
      </c>
      <c r="L5012" s="187">
        <v>959</v>
      </c>
      <c r="M5012" s="187">
        <v>17.100000000000001</v>
      </c>
      <c r="N5012" s="91">
        <f t="shared" si="1451"/>
        <v>113</v>
      </c>
      <c r="O5012" s="411">
        <f t="shared" si="1443"/>
        <v>30.641500000000008</v>
      </c>
      <c r="P5012" s="132" t="s">
        <v>601</v>
      </c>
      <c r="Q5012" s="232"/>
      <c r="R5012" s="411"/>
      <c r="T5012" s="134" t="s">
        <v>145</v>
      </c>
      <c r="U5012" s="267" t="s">
        <v>11029</v>
      </c>
      <c r="AA5012" s="218"/>
    </row>
    <row r="5013" spans="1:27" ht="24" x14ac:dyDescent="0.25">
      <c r="A5013" s="405">
        <v>3003924</v>
      </c>
      <c r="B5013" s="406">
        <v>42606</v>
      </c>
      <c r="C5013" s="405" t="s">
        <v>237</v>
      </c>
      <c r="D5013" s="401" t="s">
        <v>11030</v>
      </c>
      <c r="E5013" s="120">
        <v>50</v>
      </c>
      <c r="F5013" s="133" t="s">
        <v>288</v>
      </c>
      <c r="G5013" s="404" t="s">
        <v>45</v>
      </c>
      <c r="H5013" s="411">
        <v>110.04</v>
      </c>
      <c r="I5013" s="397">
        <f t="shared" ref="I5013" si="1456">-(H5013*0.15)</f>
        <v>-16.506</v>
      </c>
      <c r="J5013" s="411">
        <v>0</v>
      </c>
      <c r="K5013" s="90">
        <f t="shared" si="1455"/>
        <v>93.534000000000006</v>
      </c>
      <c r="L5013" s="131">
        <v>950</v>
      </c>
      <c r="M5013" s="187">
        <f>31.52+5</f>
        <v>36.519999999999996</v>
      </c>
      <c r="N5013" s="91">
        <f t="shared" si="1451"/>
        <v>84.02</v>
      </c>
      <c r="O5013" s="411">
        <f t="shared" si="1443"/>
        <v>9.51400000000001</v>
      </c>
      <c r="P5013" s="132" t="s">
        <v>52</v>
      </c>
      <c r="Q5013" s="232"/>
      <c r="R5013" s="411"/>
      <c r="T5013" s="134" t="s">
        <v>145</v>
      </c>
      <c r="U5013" s="267" t="s">
        <v>11031</v>
      </c>
      <c r="AA5013" s="218"/>
    </row>
    <row r="5014" spans="1:27" x14ac:dyDescent="0.25">
      <c r="A5014" s="405">
        <v>3003925</v>
      </c>
      <c r="B5014" s="406">
        <v>42606</v>
      </c>
      <c r="C5014" s="405" t="s">
        <v>237</v>
      </c>
      <c r="D5014" s="401" t="s">
        <v>11032</v>
      </c>
      <c r="E5014" s="120">
        <v>1000</v>
      </c>
      <c r="F5014" s="133" t="s">
        <v>11033</v>
      </c>
      <c r="G5014" s="404" t="s">
        <v>45</v>
      </c>
      <c r="H5014" s="411">
        <v>1154</v>
      </c>
      <c r="I5014" s="397">
        <f t="shared" ref="I5014" si="1457">-(H5014*0.15)</f>
        <v>-173.1</v>
      </c>
      <c r="J5014" s="411">
        <v>0</v>
      </c>
      <c r="K5014" s="90">
        <f t="shared" si="1455"/>
        <v>980.9</v>
      </c>
      <c r="L5014" s="131">
        <v>504</v>
      </c>
      <c r="M5014" s="187">
        <v>115.81</v>
      </c>
      <c r="N5014" s="91">
        <f t="shared" si="1451"/>
        <v>619.80999999999995</v>
      </c>
      <c r="O5014" s="411">
        <f t="shared" si="1443"/>
        <v>361.09000000000003</v>
      </c>
      <c r="P5014" s="132" t="s">
        <v>52</v>
      </c>
      <c r="Q5014" s="232"/>
      <c r="R5014" s="411"/>
      <c r="T5014" s="134" t="s">
        <v>244</v>
      </c>
      <c r="U5014" s="267" t="s">
        <v>11034</v>
      </c>
      <c r="V5014" s="133" t="s">
        <v>55</v>
      </c>
      <c r="AA5014" s="218"/>
    </row>
    <row r="5015" spans="1:27" ht="24" x14ac:dyDescent="0.25">
      <c r="A5015" s="405">
        <v>3003926</v>
      </c>
      <c r="B5015" s="406">
        <v>42606</v>
      </c>
      <c r="C5015" s="405" t="s">
        <v>237</v>
      </c>
      <c r="D5015" s="401" t="s">
        <v>11035</v>
      </c>
      <c r="E5015" s="120">
        <v>200</v>
      </c>
      <c r="F5015" s="133" t="s">
        <v>247</v>
      </c>
      <c r="G5015" s="404" t="s">
        <v>45</v>
      </c>
      <c r="H5015" s="411">
        <v>208.71</v>
      </c>
      <c r="I5015" s="397">
        <f t="shared" ref="I5015" si="1458">-(H5015*0.15)</f>
        <v>-31.3065</v>
      </c>
      <c r="J5015" s="411">
        <v>0</v>
      </c>
      <c r="K5015" s="90">
        <f t="shared" si="1455"/>
        <v>177.40350000000001</v>
      </c>
      <c r="L5015" s="131">
        <v>480</v>
      </c>
      <c r="M5015" s="187">
        <f>36.69+5</f>
        <v>41.69</v>
      </c>
      <c r="N5015" s="91">
        <f t="shared" si="1451"/>
        <v>137.69</v>
      </c>
      <c r="O5015" s="411">
        <f t="shared" si="1443"/>
        <v>39.71350000000001</v>
      </c>
      <c r="P5015" s="132" t="s">
        <v>52</v>
      </c>
      <c r="Q5015" s="232"/>
      <c r="R5015" s="411"/>
      <c r="T5015" s="134" t="s">
        <v>145</v>
      </c>
      <c r="U5015" s="267" t="s">
        <v>11036</v>
      </c>
      <c r="AA5015" s="218"/>
    </row>
    <row r="5016" spans="1:27" ht="24" x14ac:dyDescent="0.25">
      <c r="A5016" s="405">
        <v>3003927</v>
      </c>
      <c r="B5016" s="406">
        <v>42606</v>
      </c>
      <c r="C5016" s="405" t="s">
        <v>237</v>
      </c>
      <c r="D5016" s="401" t="s">
        <v>11037</v>
      </c>
      <c r="E5016" s="120">
        <v>250</v>
      </c>
      <c r="F5016" s="133" t="s">
        <v>222</v>
      </c>
      <c r="G5016" s="404" t="s">
        <v>45</v>
      </c>
      <c r="H5016" s="411">
        <v>352.86</v>
      </c>
      <c r="I5016" s="397">
        <f t="shared" ref="I5016" si="1459">-(H5016*0.15)</f>
        <v>-52.929000000000002</v>
      </c>
      <c r="J5016" s="411">
        <v>0</v>
      </c>
      <c r="K5016" s="90">
        <f t="shared" si="1455"/>
        <v>299.93100000000004</v>
      </c>
      <c r="L5016" s="131">
        <v>806</v>
      </c>
      <c r="M5016" s="187">
        <v>59.88</v>
      </c>
      <c r="N5016" s="91">
        <f t="shared" si="1451"/>
        <v>261.38</v>
      </c>
      <c r="O5016" s="411">
        <f t="shared" si="1443"/>
        <v>38.551000000000045</v>
      </c>
      <c r="P5016" s="132" t="s">
        <v>52</v>
      </c>
      <c r="Q5016" s="232"/>
      <c r="R5016" s="411"/>
      <c r="T5016" s="134" t="s">
        <v>145</v>
      </c>
      <c r="U5016" s="267" t="s">
        <v>11038</v>
      </c>
      <c r="AA5016" s="218"/>
    </row>
    <row r="5017" spans="1:27" ht="24" x14ac:dyDescent="0.25">
      <c r="A5017" s="405">
        <v>3003928</v>
      </c>
      <c r="B5017" s="406">
        <v>42606</v>
      </c>
      <c r="C5017" s="405" t="s">
        <v>237</v>
      </c>
      <c r="D5017" s="401" t="s">
        <v>11039</v>
      </c>
      <c r="E5017" s="120">
        <v>150</v>
      </c>
      <c r="F5017" s="133" t="s">
        <v>247</v>
      </c>
      <c r="G5017" s="404" t="s">
        <v>45</v>
      </c>
      <c r="H5017" s="411">
        <v>164.07</v>
      </c>
      <c r="I5017" s="397">
        <f t="shared" ref="I5017" si="1460">-(H5017*0.15)</f>
        <v>-24.610499999999998</v>
      </c>
      <c r="J5017" s="411">
        <v>0</v>
      </c>
      <c r="K5017" s="90">
        <f t="shared" si="1455"/>
        <v>139.45949999999999</v>
      </c>
      <c r="L5017" s="131">
        <v>480</v>
      </c>
      <c r="M5017" s="187">
        <f>45.31+5</f>
        <v>50.31</v>
      </c>
      <c r="N5017" s="91">
        <f t="shared" si="1451"/>
        <v>122.31</v>
      </c>
      <c r="O5017" s="411">
        <f t="shared" si="1443"/>
        <v>17.149499999999989</v>
      </c>
      <c r="P5017" s="132" t="s">
        <v>52</v>
      </c>
      <c r="Q5017" s="232"/>
      <c r="R5017" s="411"/>
      <c r="T5017" s="134" t="s">
        <v>145</v>
      </c>
      <c r="U5017" s="267" t="s">
        <v>11040</v>
      </c>
      <c r="AA5017" s="218"/>
    </row>
    <row r="5018" spans="1:27" ht="24" x14ac:dyDescent="0.25">
      <c r="A5018" s="405">
        <v>3003929</v>
      </c>
      <c r="B5018" s="406">
        <v>42606</v>
      </c>
      <c r="C5018" s="405" t="s">
        <v>237</v>
      </c>
      <c r="D5018" s="401" t="s">
        <v>11041</v>
      </c>
      <c r="E5018" s="120">
        <v>250</v>
      </c>
      <c r="F5018" s="133" t="s">
        <v>247</v>
      </c>
      <c r="G5018" s="404" t="s">
        <v>45</v>
      </c>
      <c r="H5018" s="411">
        <v>247.5</v>
      </c>
      <c r="I5018" s="397">
        <f t="shared" ref="I5018" si="1461">-(H5018*0.15)</f>
        <v>-37.125</v>
      </c>
      <c r="J5018" s="411">
        <v>0</v>
      </c>
      <c r="K5018" s="90">
        <f t="shared" si="1455"/>
        <v>210.375</v>
      </c>
      <c r="L5018" s="131">
        <v>480</v>
      </c>
      <c r="M5018" s="187">
        <v>44.67</v>
      </c>
      <c r="N5018" s="91">
        <f t="shared" si="1451"/>
        <v>164.67000000000002</v>
      </c>
      <c r="O5018" s="411">
        <f t="shared" si="1443"/>
        <v>45.704999999999984</v>
      </c>
      <c r="P5018" s="132" t="s">
        <v>52</v>
      </c>
      <c r="Q5018" s="232"/>
      <c r="R5018" s="411"/>
      <c r="T5018" s="134" t="s">
        <v>145</v>
      </c>
      <c r="U5018" s="267" t="s">
        <v>11042</v>
      </c>
      <c r="AA5018" s="218"/>
    </row>
    <row r="5019" spans="1:27" ht="24" x14ac:dyDescent="0.25">
      <c r="A5019" s="405">
        <v>3003930</v>
      </c>
      <c r="B5019" s="406">
        <v>42606</v>
      </c>
      <c r="C5019" s="405" t="s">
        <v>237</v>
      </c>
      <c r="D5019" s="401" t="s">
        <v>11043</v>
      </c>
      <c r="E5019" s="120">
        <v>100</v>
      </c>
      <c r="F5019" s="133" t="s">
        <v>3307</v>
      </c>
      <c r="G5019" s="404" t="s">
        <v>45</v>
      </c>
      <c r="H5019" s="411">
        <v>181.99</v>
      </c>
      <c r="I5019" s="397">
        <f t="shared" ref="I5019" si="1462">-(H5019*0.15)</f>
        <v>-27.298500000000001</v>
      </c>
      <c r="J5019" s="411">
        <v>0</v>
      </c>
      <c r="K5019" s="90">
        <f t="shared" si="1455"/>
        <v>154.69150000000002</v>
      </c>
      <c r="L5019" s="187">
        <v>1182</v>
      </c>
      <c r="M5019" s="187">
        <v>17.100000000000001</v>
      </c>
      <c r="N5019" s="91">
        <f t="shared" si="1451"/>
        <v>135.30000000000001</v>
      </c>
      <c r="O5019" s="411">
        <f t="shared" si="1443"/>
        <v>19.391500000000008</v>
      </c>
      <c r="P5019" s="132" t="s">
        <v>601</v>
      </c>
      <c r="Q5019" s="232"/>
      <c r="R5019" s="411"/>
      <c r="T5019" s="134" t="s">
        <v>145</v>
      </c>
      <c r="U5019" s="267" t="s">
        <v>11044</v>
      </c>
      <c r="AA5019" s="218"/>
    </row>
    <row r="5020" spans="1:27" x14ac:dyDescent="0.25">
      <c r="A5020" s="419">
        <v>3003931</v>
      </c>
      <c r="B5020" s="421">
        <v>42606</v>
      </c>
      <c r="C5020" s="419" t="s">
        <v>237</v>
      </c>
      <c r="D5020" s="417" t="s">
        <v>930</v>
      </c>
      <c r="E5020" s="120">
        <v>25</v>
      </c>
      <c r="F5020" s="133" t="s">
        <v>3307</v>
      </c>
      <c r="G5020" s="434" t="s">
        <v>45</v>
      </c>
      <c r="H5020" s="427">
        <v>100</v>
      </c>
      <c r="I5020" s="452">
        <f t="shared" ref="I5020" si="1463">-(H5020*0.15)</f>
        <v>-15</v>
      </c>
      <c r="J5020" s="427">
        <v>0</v>
      </c>
      <c r="K5020" s="425">
        <f t="shared" si="1455"/>
        <v>85</v>
      </c>
      <c r="L5020" s="187">
        <v>1182</v>
      </c>
      <c r="M5020" s="187">
        <v>12.84</v>
      </c>
      <c r="N5020" s="91">
        <f t="shared" si="1451"/>
        <v>42.39</v>
      </c>
      <c r="O5020" s="411">
        <f t="shared" si="1443"/>
        <v>42.61</v>
      </c>
      <c r="P5020" s="132" t="s">
        <v>601</v>
      </c>
      <c r="Q5020" s="232"/>
      <c r="R5020" s="411"/>
      <c r="T5020" s="439" t="s">
        <v>145</v>
      </c>
      <c r="U5020" s="446" t="s">
        <v>11045</v>
      </c>
      <c r="AA5020" s="218"/>
    </row>
    <row r="5021" spans="1:27" x14ac:dyDescent="0.25">
      <c r="A5021" s="420"/>
      <c r="B5021" s="422"/>
      <c r="C5021" s="420"/>
      <c r="D5021" s="418"/>
      <c r="E5021" s="120">
        <v>25</v>
      </c>
      <c r="F5021" s="133" t="s">
        <v>3719</v>
      </c>
      <c r="G5021" s="436"/>
      <c r="H5021" s="428"/>
      <c r="I5021" s="453"/>
      <c r="J5021" s="428"/>
      <c r="K5021" s="426"/>
      <c r="L5021" s="187">
        <v>1182</v>
      </c>
      <c r="M5021" s="187"/>
      <c r="N5021" s="91">
        <f t="shared" si="1451"/>
        <v>29.55</v>
      </c>
      <c r="O5021" s="411">
        <f t="shared" si="1443"/>
        <v>-29.55</v>
      </c>
      <c r="P5021" s="132" t="s">
        <v>601</v>
      </c>
      <c r="Q5021" s="232"/>
      <c r="R5021" s="411"/>
      <c r="T5021" s="441"/>
      <c r="U5021" s="447"/>
      <c r="AA5021" s="218"/>
    </row>
    <row r="5022" spans="1:27" ht="24" x14ac:dyDescent="0.25">
      <c r="A5022" s="405">
        <v>3003932</v>
      </c>
      <c r="B5022" s="406">
        <v>42606</v>
      </c>
      <c r="C5022" s="405" t="s">
        <v>237</v>
      </c>
      <c r="D5022" s="401" t="s">
        <v>11046</v>
      </c>
      <c r="E5022" s="120">
        <v>150</v>
      </c>
      <c r="F5022" s="133" t="s">
        <v>247</v>
      </c>
      <c r="G5022" s="404" t="s">
        <v>45</v>
      </c>
      <c r="H5022" s="411">
        <v>164.07</v>
      </c>
      <c r="I5022" s="397">
        <f t="shared" ref="I5022" si="1464">-(H5022*0.15)</f>
        <v>-24.610499999999998</v>
      </c>
      <c r="J5022" s="411">
        <v>0</v>
      </c>
      <c r="K5022" s="90">
        <f>SUM(H5022:J5022)</f>
        <v>139.45949999999999</v>
      </c>
      <c r="L5022" s="131">
        <v>480</v>
      </c>
      <c r="M5022" s="187">
        <v>34.26</v>
      </c>
      <c r="N5022" s="91">
        <f t="shared" si="1451"/>
        <v>106.25999999999999</v>
      </c>
      <c r="O5022" s="411">
        <f t="shared" si="1443"/>
        <v>33.1995</v>
      </c>
      <c r="P5022" s="132" t="s">
        <v>52</v>
      </c>
      <c r="Q5022" s="232"/>
      <c r="R5022" s="411"/>
      <c r="T5022" s="134" t="s">
        <v>145</v>
      </c>
      <c r="U5022" s="267" t="s">
        <v>11047</v>
      </c>
      <c r="AA5022" s="218"/>
    </row>
    <row r="5023" spans="1:27" ht="24" x14ac:dyDescent="0.25">
      <c r="A5023" s="405">
        <v>3003933</v>
      </c>
      <c r="B5023" s="406">
        <v>42606</v>
      </c>
      <c r="C5023" s="405" t="s">
        <v>237</v>
      </c>
      <c r="D5023" s="401" t="s">
        <v>11048</v>
      </c>
      <c r="E5023" s="120">
        <v>100</v>
      </c>
      <c r="F5023" s="133" t="s">
        <v>247</v>
      </c>
      <c r="G5023" s="404" t="s">
        <v>45</v>
      </c>
      <c r="H5023" s="411">
        <v>113.6</v>
      </c>
      <c r="I5023" s="397">
        <f t="shared" ref="I5023" si="1465">-(H5023*0.15)</f>
        <v>-17.04</v>
      </c>
      <c r="J5023" s="411">
        <v>0</v>
      </c>
      <c r="K5023" s="90">
        <f>SUM(H5023:J5023)</f>
        <v>96.56</v>
      </c>
      <c r="L5023" s="131">
        <v>480</v>
      </c>
      <c r="M5023" s="187">
        <v>43.27</v>
      </c>
      <c r="N5023" s="91">
        <f t="shared" si="1451"/>
        <v>91.27000000000001</v>
      </c>
      <c r="O5023" s="411">
        <f t="shared" si="1443"/>
        <v>5.289999999999992</v>
      </c>
      <c r="P5023" s="132" t="s">
        <v>52</v>
      </c>
      <c r="Q5023" s="232"/>
      <c r="R5023" s="411"/>
      <c r="T5023" s="134" t="s">
        <v>145</v>
      </c>
      <c r="U5023" s="267" t="s">
        <v>11049</v>
      </c>
      <c r="AA5023" s="218"/>
    </row>
    <row r="5024" spans="1:27" ht="24" x14ac:dyDescent="0.25">
      <c r="A5024" s="405">
        <v>3003934</v>
      </c>
      <c r="B5024" s="406">
        <v>42606</v>
      </c>
      <c r="C5024" s="405" t="s">
        <v>42</v>
      </c>
      <c r="D5024" s="401" t="s">
        <v>11050</v>
      </c>
      <c r="E5024" s="120">
        <v>250</v>
      </c>
      <c r="F5024" s="133" t="s">
        <v>1472</v>
      </c>
      <c r="G5024" s="404" t="s">
        <v>45</v>
      </c>
      <c r="H5024" s="411">
        <v>140</v>
      </c>
      <c r="I5024" s="89">
        <f>-(H5024*0.09)</f>
        <v>-12.6</v>
      </c>
      <c r="J5024" s="258">
        <f t="shared" ref="J5024" si="1466">-((H5024*0.019)+0.3)</f>
        <v>-2.96</v>
      </c>
      <c r="K5024" s="90">
        <f t="shared" ref="K5024" si="1467">SUM(H5024:J5024)</f>
        <v>124.44000000000001</v>
      </c>
      <c r="L5024" s="131">
        <v>210</v>
      </c>
      <c r="M5024" s="187">
        <v>28.67</v>
      </c>
      <c r="N5024" s="91">
        <f t="shared" si="1451"/>
        <v>81.17</v>
      </c>
      <c r="O5024" s="411">
        <f t="shared" si="1443"/>
        <v>43.27000000000001</v>
      </c>
      <c r="P5024" s="132" t="s">
        <v>52</v>
      </c>
      <c r="Q5024" s="232"/>
      <c r="R5024" s="411"/>
      <c r="T5024" s="134" t="s">
        <v>145</v>
      </c>
      <c r="U5024" s="267" t="s">
        <v>11051</v>
      </c>
      <c r="AA5024" s="218"/>
    </row>
    <row r="5025" spans="1:27" ht="24" x14ac:dyDescent="0.25">
      <c r="A5025" s="405">
        <v>3003935</v>
      </c>
      <c r="B5025" s="406">
        <v>42606</v>
      </c>
      <c r="C5025" s="405" t="s">
        <v>327</v>
      </c>
      <c r="D5025" s="401" t="s">
        <v>10851</v>
      </c>
      <c r="E5025" s="120">
        <v>16000</v>
      </c>
      <c r="F5025" s="133" t="s">
        <v>11052</v>
      </c>
      <c r="G5025" s="404" t="s">
        <v>45</v>
      </c>
      <c r="H5025" s="399">
        <v>5500</v>
      </c>
      <c r="I5025" s="411">
        <v>0</v>
      </c>
      <c r="J5025" s="258">
        <f>-((H5025*0.022)+0.3)</f>
        <v>-121.3</v>
      </c>
      <c r="K5025" s="90">
        <f>SUM(H5025:J5025)</f>
        <v>5378.7</v>
      </c>
      <c r="L5025" s="187">
        <v>178.32</v>
      </c>
      <c r="N5025" s="91">
        <f t="shared" si="1451"/>
        <v>2853.12</v>
      </c>
      <c r="O5025" s="411">
        <f t="shared" si="1443"/>
        <v>2525.58</v>
      </c>
      <c r="P5025" s="132" t="s">
        <v>46</v>
      </c>
      <c r="Q5025" s="232"/>
      <c r="R5025" s="411"/>
      <c r="T5025" s="134" t="s">
        <v>8218</v>
      </c>
      <c r="U5025" s="267" t="s">
        <v>11053</v>
      </c>
      <c r="W5025" s="153" t="s">
        <v>1441</v>
      </c>
      <c r="AA5025" s="218">
        <v>25</v>
      </c>
    </row>
    <row r="5026" spans="1:27" ht="24" x14ac:dyDescent="0.25">
      <c r="A5026" s="419">
        <v>3003936</v>
      </c>
      <c r="B5026" s="421">
        <v>42606</v>
      </c>
      <c r="C5026" s="419" t="s">
        <v>63</v>
      </c>
      <c r="D5026" s="417" t="s">
        <v>11054</v>
      </c>
      <c r="E5026" s="120">
        <v>13888</v>
      </c>
      <c r="F5026" s="133" t="s">
        <v>11055</v>
      </c>
      <c r="G5026" s="528" t="s">
        <v>45</v>
      </c>
      <c r="H5026" s="465">
        <v>19805.27</v>
      </c>
      <c r="I5026" s="530">
        <v>0</v>
      </c>
      <c r="J5026" s="425">
        <f>-((H5026*0.022)+0.3)</f>
        <v>-436.01594</v>
      </c>
      <c r="K5026" s="425">
        <f>SUM(H5026:J5026)</f>
        <v>19369.254059999999</v>
      </c>
      <c r="L5026" s="187">
        <v>780</v>
      </c>
      <c r="M5026" s="158">
        <v>0</v>
      </c>
      <c r="N5026" s="91">
        <f t="shared" si="1451"/>
        <v>10832.64</v>
      </c>
      <c r="O5026" s="411">
        <f t="shared" si="1443"/>
        <v>8536.6140599999999</v>
      </c>
      <c r="P5026" s="132" t="s">
        <v>183</v>
      </c>
      <c r="Q5026" s="232"/>
      <c r="R5026" s="411"/>
      <c r="T5026" s="134" t="s">
        <v>473</v>
      </c>
      <c r="U5026" s="267" t="s">
        <v>11056</v>
      </c>
      <c r="W5026" s="153" t="s">
        <v>11057</v>
      </c>
      <c r="AA5026" s="473">
        <v>100</v>
      </c>
    </row>
    <row r="5027" spans="1:27" x14ac:dyDescent="0.25">
      <c r="A5027" s="420"/>
      <c r="B5027" s="422"/>
      <c r="C5027" s="420"/>
      <c r="D5027" s="418"/>
      <c r="E5027" s="120">
        <v>6945</v>
      </c>
      <c r="F5027" s="133" t="s">
        <v>7542</v>
      </c>
      <c r="G5027" s="529"/>
      <c r="H5027" s="465"/>
      <c r="I5027" s="531"/>
      <c r="J5027" s="426"/>
      <c r="K5027" s="426"/>
      <c r="L5027" s="187">
        <v>872</v>
      </c>
      <c r="M5027" s="158">
        <v>0</v>
      </c>
      <c r="N5027" s="91">
        <f t="shared" si="1451"/>
        <v>6056.04</v>
      </c>
      <c r="O5027" s="411">
        <f t="shared" si="1443"/>
        <v>-6056.04</v>
      </c>
      <c r="P5027" s="132" t="s">
        <v>11058</v>
      </c>
      <c r="Q5027" s="232"/>
      <c r="R5027" s="411"/>
      <c r="T5027" s="134" t="s">
        <v>755</v>
      </c>
      <c r="U5027" s="266"/>
      <c r="V5027" s="133" t="s">
        <v>11059</v>
      </c>
      <c r="AA5027" s="474"/>
    </row>
    <row r="5028" spans="1:27" x14ac:dyDescent="0.25">
      <c r="A5028" s="419">
        <v>3003937</v>
      </c>
      <c r="B5028" s="421">
        <v>42606</v>
      </c>
      <c r="C5028" s="419" t="s">
        <v>555</v>
      </c>
      <c r="D5028" s="417" t="s">
        <v>11060</v>
      </c>
      <c r="E5028" s="120">
        <v>500</v>
      </c>
      <c r="F5028" s="133" t="s">
        <v>11061</v>
      </c>
      <c r="G5028" s="434" t="s">
        <v>45</v>
      </c>
      <c r="H5028" s="438">
        <v>270</v>
      </c>
      <c r="I5028" s="427">
        <v>0</v>
      </c>
      <c r="J5028" s="427">
        <v>0</v>
      </c>
      <c r="K5028" s="425">
        <f>SUM(H5028:J5028)</f>
        <v>270</v>
      </c>
      <c r="L5028" s="187">
        <v>120</v>
      </c>
      <c r="N5028" s="91">
        <f t="shared" si="1451"/>
        <v>60</v>
      </c>
      <c r="O5028" s="411">
        <f t="shared" si="1443"/>
        <v>210</v>
      </c>
      <c r="P5028" s="132" t="s">
        <v>235</v>
      </c>
      <c r="Q5028" s="232"/>
      <c r="R5028" s="411"/>
      <c r="T5028" s="442" t="s">
        <v>755</v>
      </c>
      <c r="W5028" s="153" t="s">
        <v>11062</v>
      </c>
      <c r="AA5028" s="218"/>
    </row>
    <row r="5029" spans="1:27" x14ac:dyDescent="0.25">
      <c r="A5029" s="432"/>
      <c r="B5029" s="433"/>
      <c r="C5029" s="432"/>
      <c r="D5029" s="454"/>
      <c r="E5029" s="120">
        <v>500</v>
      </c>
      <c r="F5029" s="133" t="s">
        <v>11063</v>
      </c>
      <c r="G5029" s="435"/>
      <c r="H5029" s="438"/>
      <c r="I5029" s="438"/>
      <c r="J5029" s="438"/>
      <c r="K5029" s="437"/>
      <c r="L5029" s="187">
        <v>120</v>
      </c>
      <c r="N5029" s="91">
        <f t="shared" si="1451"/>
        <v>60</v>
      </c>
      <c r="O5029" s="411">
        <f t="shared" si="1443"/>
        <v>-60</v>
      </c>
      <c r="P5029" s="132" t="s">
        <v>235</v>
      </c>
      <c r="Q5029" s="232"/>
      <c r="R5029" s="411"/>
      <c r="T5029" s="449"/>
      <c r="AA5029" s="218"/>
    </row>
    <row r="5030" spans="1:27" x14ac:dyDescent="0.25">
      <c r="A5030" s="420"/>
      <c r="B5030" s="422"/>
      <c r="C5030" s="420"/>
      <c r="D5030" s="418"/>
      <c r="E5030" s="120">
        <v>500</v>
      </c>
      <c r="F5030" s="133" t="s">
        <v>11064</v>
      </c>
      <c r="G5030" s="436"/>
      <c r="H5030" s="428"/>
      <c r="I5030" s="428"/>
      <c r="J5030" s="428"/>
      <c r="K5030" s="426"/>
      <c r="L5030" s="187">
        <v>120</v>
      </c>
      <c r="N5030" s="91">
        <f t="shared" si="1451"/>
        <v>60</v>
      </c>
      <c r="O5030" s="411">
        <f t="shared" si="1443"/>
        <v>-60</v>
      </c>
      <c r="P5030" s="132" t="s">
        <v>235</v>
      </c>
      <c r="Q5030" s="232"/>
      <c r="R5030" s="411"/>
      <c r="T5030" s="443"/>
      <c r="AA5030" s="218"/>
    </row>
    <row r="5031" spans="1:27" ht="24" x14ac:dyDescent="0.25">
      <c r="A5031" s="405">
        <v>3003938</v>
      </c>
      <c r="B5031" s="406">
        <v>42606</v>
      </c>
      <c r="C5031" s="405" t="s">
        <v>42</v>
      </c>
      <c r="D5031" s="401" t="s">
        <v>11065</v>
      </c>
      <c r="E5031" s="120">
        <v>250</v>
      </c>
      <c r="F5031" s="133" t="s">
        <v>1707</v>
      </c>
      <c r="G5031" s="404" t="s">
        <v>45</v>
      </c>
      <c r="H5031" s="411">
        <v>262.35000000000002</v>
      </c>
      <c r="I5031" s="89">
        <f>-(H5031*0.09)</f>
        <v>-23.611499999999999</v>
      </c>
      <c r="J5031" s="258">
        <f t="shared" ref="J5031" si="1468">-((H5031*0.019)+0.3)</f>
        <v>-5.2846500000000001</v>
      </c>
      <c r="K5031" s="90">
        <f t="shared" ref="K5031" si="1469">SUM(H5031:J5031)</f>
        <v>233.45385000000002</v>
      </c>
      <c r="L5031" s="131">
        <v>503</v>
      </c>
      <c r="M5031" s="187">
        <v>35.61</v>
      </c>
      <c r="N5031" s="91">
        <f t="shared" si="1451"/>
        <v>161.36000000000001</v>
      </c>
      <c r="O5031" s="411">
        <f t="shared" si="1443"/>
        <v>72.093850000000003</v>
      </c>
      <c r="P5031" s="132" t="s">
        <v>52</v>
      </c>
      <c r="Q5031" s="232"/>
      <c r="R5031" s="411"/>
      <c r="T5031" s="134" t="s">
        <v>145</v>
      </c>
      <c r="U5031" s="267" t="s">
        <v>11066</v>
      </c>
      <c r="AA5031" s="227"/>
    </row>
    <row r="5032" spans="1:27" ht="24" x14ac:dyDescent="0.25">
      <c r="A5032" s="405">
        <v>3003939</v>
      </c>
      <c r="B5032" s="406">
        <v>42606</v>
      </c>
      <c r="C5032" s="405" t="s">
        <v>237</v>
      </c>
      <c r="D5032" s="401" t="s">
        <v>11067</v>
      </c>
      <c r="E5032" s="120">
        <v>200</v>
      </c>
      <c r="F5032" s="133" t="s">
        <v>247</v>
      </c>
      <c r="G5032" s="404" t="s">
        <v>45</v>
      </c>
      <c r="H5032" s="411">
        <v>208.71</v>
      </c>
      <c r="I5032" s="397">
        <f t="shared" ref="I5032" si="1470">-(H5032*0.15)</f>
        <v>-31.3065</v>
      </c>
      <c r="J5032" s="411">
        <v>0</v>
      </c>
      <c r="K5032" s="90">
        <f t="shared" ref="K5032:K5038" si="1471">SUM(H5032:J5032)</f>
        <v>177.40350000000001</v>
      </c>
      <c r="L5032" s="131">
        <v>480</v>
      </c>
      <c r="M5032" s="187">
        <v>57.35</v>
      </c>
      <c r="N5032" s="91">
        <f t="shared" si="1451"/>
        <v>153.35</v>
      </c>
      <c r="O5032" s="411">
        <f t="shared" si="1443"/>
        <v>24.053500000000014</v>
      </c>
      <c r="P5032" s="132" t="s">
        <v>52</v>
      </c>
      <c r="Q5032" s="232"/>
      <c r="R5032" s="411"/>
      <c r="T5032" s="134" t="s">
        <v>145</v>
      </c>
      <c r="U5032" s="267" t="s">
        <v>11068</v>
      </c>
      <c r="AA5032" s="218"/>
    </row>
    <row r="5033" spans="1:27" x14ac:dyDescent="0.25">
      <c r="A5033" s="405">
        <v>3003940</v>
      </c>
      <c r="B5033" s="406">
        <v>42606</v>
      </c>
      <c r="C5033" s="405" t="s">
        <v>63</v>
      </c>
      <c r="D5033" s="401" t="s">
        <v>11069</v>
      </c>
      <c r="E5033" s="120">
        <v>1000</v>
      </c>
      <c r="F5033" s="133" t="s">
        <v>312</v>
      </c>
      <c r="G5033" s="404" t="s">
        <v>45</v>
      </c>
      <c r="H5033" s="411">
        <v>920</v>
      </c>
      <c r="I5033" s="411">
        <v>0</v>
      </c>
      <c r="J5033" s="258">
        <f>-((H5033*0.022)+0.3)</f>
        <v>-20.54</v>
      </c>
      <c r="K5033" s="90">
        <f t="shared" si="1471"/>
        <v>899.46</v>
      </c>
      <c r="L5033" s="187">
        <v>514</v>
      </c>
      <c r="M5033" s="187">
        <v>99.58</v>
      </c>
      <c r="N5033" s="91">
        <f t="shared" si="1451"/>
        <v>613.58000000000004</v>
      </c>
      <c r="O5033" s="411">
        <f t="shared" si="1443"/>
        <v>285.88</v>
      </c>
      <c r="P5033" s="132" t="s">
        <v>3597</v>
      </c>
      <c r="Q5033" s="232"/>
      <c r="R5033" s="411"/>
      <c r="T5033" s="134" t="s">
        <v>3598</v>
      </c>
      <c r="U5033" s="267" t="s">
        <v>11070</v>
      </c>
      <c r="W5033" s="153" t="s">
        <v>11071</v>
      </c>
      <c r="AA5033" s="218"/>
    </row>
    <row r="5034" spans="1:27" x14ac:dyDescent="0.25">
      <c r="A5034" s="405">
        <v>3003941</v>
      </c>
      <c r="B5034" s="406">
        <v>42606</v>
      </c>
      <c r="C5034" s="405" t="s">
        <v>63</v>
      </c>
      <c r="D5034" s="401" t="s">
        <v>11072</v>
      </c>
      <c r="E5034" s="120">
        <v>350</v>
      </c>
      <c r="F5034" s="133" t="s">
        <v>5170</v>
      </c>
      <c r="G5034" s="404" t="s">
        <v>45</v>
      </c>
      <c r="H5034" s="411">
        <v>822.5</v>
      </c>
      <c r="I5034" s="411">
        <v>0</v>
      </c>
      <c r="J5034" s="258">
        <f>-((H5034*0.022)+0.3)</f>
        <v>-18.395</v>
      </c>
      <c r="K5034" s="90">
        <f t="shared" si="1471"/>
        <v>804.10500000000002</v>
      </c>
      <c r="L5034" s="187">
        <v>1640</v>
      </c>
      <c r="M5034" s="131">
        <v>0</v>
      </c>
      <c r="N5034" s="91">
        <f t="shared" si="1451"/>
        <v>574</v>
      </c>
      <c r="O5034" s="411">
        <f t="shared" si="1443"/>
        <v>230.10500000000002</v>
      </c>
      <c r="P5034" s="132" t="s">
        <v>59</v>
      </c>
      <c r="Q5034" s="232"/>
      <c r="R5034" s="411"/>
      <c r="T5034" s="134" t="s">
        <v>639</v>
      </c>
      <c r="U5034" s="267" t="s">
        <v>11073</v>
      </c>
      <c r="W5034" s="153" t="s">
        <v>11074</v>
      </c>
      <c r="AA5034" s="218"/>
    </row>
    <row r="5035" spans="1:27" x14ac:dyDescent="0.25">
      <c r="A5035" s="405">
        <v>3003942</v>
      </c>
      <c r="B5035" s="406">
        <v>42606</v>
      </c>
      <c r="C5035" s="405" t="s">
        <v>327</v>
      </c>
      <c r="D5035" s="401" t="s">
        <v>11075</v>
      </c>
      <c r="E5035" s="120">
        <v>100</v>
      </c>
      <c r="F5035" s="133" t="s">
        <v>4761</v>
      </c>
      <c r="G5035" s="404" t="s">
        <v>45</v>
      </c>
      <c r="H5035" s="411">
        <v>1100</v>
      </c>
      <c r="I5035" s="411">
        <v>0</v>
      </c>
      <c r="J5035" s="258">
        <f>-((H5035*0.022)+0.3)</f>
        <v>-24.5</v>
      </c>
      <c r="K5035" s="90">
        <f t="shared" si="1471"/>
        <v>1075.5</v>
      </c>
      <c r="L5035" s="187">
        <v>7550</v>
      </c>
      <c r="M5035" s="131">
        <v>0</v>
      </c>
      <c r="N5035" s="91">
        <f t="shared" si="1451"/>
        <v>755</v>
      </c>
      <c r="O5035" s="411">
        <f t="shared" si="1443"/>
        <v>320.5</v>
      </c>
      <c r="P5035" s="132" t="s">
        <v>66</v>
      </c>
      <c r="Q5035" s="232"/>
      <c r="R5035" s="411"/>
      <c r="T5035" s="134" t="s">
        <v>67</v>
      </c>
      <c r="U5035" s="266">
        <v>392154391</v>
      </c>
      <c r="W5035" s="153" t="s">
        <v>11076</v>
      </c>
      <c r="AA5035" s="218">
        <v>10</v>
      </c>
    </row>
    <row r="5036" spans="1:27" x14ac:dyDescent="0.25">
      <c r="A5036" s="405">
        <v>3003943</v>
      </c>
      <c r="B5036" s="406">
        <v>42606</v>
      </c>
      <c r="C5036" s="405" t="s">
        <v>56</v>
      </c>
      <c r="D5036" s="401" t="s">
        <v>11004</v>
      </c>
      <c r="E5036" s="120">
        <v>200</v>
      </c>
      <c r="F5036" s="133" t="s">
        <v>300</v>
      </c>
      <c r="G5036" s="404" t="s">
        <v>45</v>
      </c>
      <c r="H5036" s="411">
        <v>580</v>
      </c>
      <c r="I5036" s="411">
        <v>0</v>
      </c>
      <c r="J5036" s="411">
        <v>0</v>
      </c>
      <c r="K5036" s="90">
        <f t="shared" si="1471"/>
        <v>580</v>
      </c>
      <c r="L5036" s="131">
        <v>2150</v>
      </c>
      <c r="M5036" s="131">
        <v>0</v>
      </c>
      <c r="N5036" s="91">
        <f t="shared" si="1451"/>
        <v>430</v>
      </c>
      <c r="O5036" s="411">
        <f t="shared" si="1443"/>
        <v>150</v>
      </c>
      <c r="P5036" s="132" t="s">
        <v>52</v>
      </c>
      <c r="Q5036" s="232"/>
      <c r="R5036" s="411"/>
      <c r="T5036" s="134"/>
      <c r="U5036" s="266"/>
      <c r="V5036" s="133" t="s">
        <v>11077</v>
      </c>
      <c r="AA5036" s="218"/>
    </row>
    <row r="5037" spans="1:27" ht="24" x14ac:dyDescent="0.25">
      <c r="A5037" s="405">
        <v>3003944</v>
      </c>
      <c r="B5037" s="406">
        <v>42607</v>
      </c>
      <c r="C5037" s="405" t="s">
        <v>280</v>
      </c>
      <c r="D5037" s="401" t="s">
        <v>11078</v>
      </c>
      <c r="E5037" s="120">
        <v>250</v>
      </c>
      <c r="F5037" s="133" t="s">
        <v>829</v>
      </c>
      <c r="G5037" s="404" t="s">
        <v>45</v>
      </c>
      <c r="H5037" s="411">
        <v>243</v>
      </c>
      <c r="I5037" s="411">
        <v>0</v>
      </c>
      <c r="J5037" s="258">
        <f>-((H5037*0.022)+0.3)</f>
        <v>-5.6459999999999999</v>
      </c>
      <c r="K5037" s="90">
        <f t="shared" si="1471"/>
        <v>237.35400000000001</v>
      </c>
      <c r="L5037" s="131">
        <v>510</v>
      </c>
      <c r="M5037" s="187">
        <v>57.57</v>
      </c>
      <c r="N5037" s="91">
        <f t="shared" si="1451"/>
        <v>185.07</v>
      </c>
      <c r="O5037" s="411">
        <f t="shared" si="1443"/>
        <v>52.28400000000002</v>
      </c>
      <c r="P5037" s="132" t="s">
        <v>52</v>
      </c>
      <c r="Q5037" s="232"/>
      <c r="R5037" s="411"/>
      <c r="T5037" s="134" t="s">
        <v>145</v>
      </c>
      <c r="U5037" s="267" t="s">
        <v>11079</v>
      </c>
      <c r="AA5037" s="218"/>
    </row>
    <row r="5038" spans="1:27" x14ac:dyDescent="0.25">
      <c r="A5038" s="419">
        <v>3003945</v>
      </c>
      <c r="B5038" s="421">
        <v>42607</v>
      </c>
      <c r="C5038" s="419" t="s">
        <v>63</v>
      </c>
      <c r="D5038" s="417" t="s">
        <v>11080</v>
      </c>
      <c r="E5038" s="120">
        <v>375</v>
      </c>
      <c r="F5038" s="133" t="s">
        <v>954</v>
      </c>
      <c r="G5038" s="434" t="s">
        <v>45</v>
      </c>
      <c r="H5038" s="427">
        <v>1248</v>
      </c>
      <c r="I5038" s="427">
        <v>0</v>
      </c>
      <c r="J5038" s="425">
        <f>-((H5038*0.022)+0.3)</f>
        <v>-27.756</v>
      </c>
      <c r="K5038" s="425">
        <f t="shared" si="1471"/>
        <v>1220.2439999999999</v>
      </c>
      <c r="M5038" s="187">
        <v>233.91</v>
      </c>
      <c r="N5038" s="91">
        <f t="shared" si="1451"/>
        <v>233.91</v>
      </c>
      <c r="O5038" s="411">
        <f t="shared" si="1443"/>
        <v>986.33399999999995</v>
      </c>
      <c r="P5038" s="132" t="s">
        <v>52</v>
      </c>
      <c r="Q5038" s="232"/>
      <c r="R5038" s="411"/>
      <c r="T5038" s="439" t="s">
        <v>97</v>
      </c>
      <c r="U5038" s="446" t="s">
        <v>11081</v>
      </c>
      <c r="V5038" s="133" t="s">
        <v>55</v>
      </c>
      <c r="W5038" s="153" t="s">
        <v>11082</v>
      </c>
      <c r="AA5038" s="473">
        <v>10</v>
      </c>
    </row>
    <row r="5039" spans="1:27" x14ac:dyDescent="0.25">
      <c r="A5039" s="432"/>
      <c r="B5039" s="433"/>
      <c r="C5039" s="432"/>
      <c r="D5039" s="454"/>
      <c r="E5039" s="120">
        <v>375</v>
      </c>
      <c r="F5039" s="133" t="s">
        <v>198</v>
      </c>
      <c r="G5039" s="435"/>
      <c r="H5039" s="438"/>
      <c r="I5039" s="438"/>
      <c r="J5039" s="437"/>
      <c r="K5039" s="437"/>
      <c r="L5039" s="131">
        <v>1693</v>
      </c>
      <c r="N5039" s="91">
        <f t="shared" si="1451"/>
        <v>634.875</v>
      </c>
      <c r="O5039" s="411">
        <f t="shared" si="1443"/>
        <v>-634.875</v>
      </c>
      <c r="P5039" s="132" t="s">
        <v>52</v>
      </c>
      <c r="Q5039" s="232"/>
      <c r="R5039" s="411"/>
      <c r="T5039" s="440"/>
      <c r="U5039" s="448"/>
      <c r="AA5039" s="478"/>
    </row>
    <row r="5040" spans="1:27" x14ac:dyDescent="0.25">
      <c r="A5040" s="420"/>
      <c r="B5040" s="422"/>
      <c r="C5040" s="420"/>
      <c r="D5040" s="418"/>
      <c r="E5040" s="120">
        <v>34</v>
      </c>
      <c r="F5040" s="133" t="s">
        <v>528</v>
      </c>
      <c r="G5040" s="436"/>
      <c r="H5040" s="428"/>
      <c r="I5040" s="428"/>
      <c r="J5040" s="426"/>
      <c r="K5040" s="426"/>
      <c r="L5040" s="131">
        <v>1021</v>
      </c>
      <c r="N5040" s="91">
        <f t="shared" si="1451"/>
        <v>34.714000000000006</v>
      </c>
      <c r="O5040" s="411">
        <f t="shared" si="1443"/>
        <v>-34.714000000000006</v>
      </c>
      <c r="P5040" s="132" t="s">
        <v>52</v>
      </c>
      <c r="Q5040" s="232"/>
      <c r="R5040" s="411"/>
      <c r="T5040" s="441"/>
      <c r="U5040" s="447"/>
      <c r="AA5040" s="474"/>
    </row>
    <row r="5041" spans="1:27" ht="24" customHeight="1" x14ac:dyDescent="0.25">
      <c r="A5041" s="419">
        <v>3003946</v>
      </c>
      <c r="B5041" s="421">
        <v>42607</v>
      </c>
      <c r="C5041" s="419" t="s">
        <v>56</v>
      </c>
      <c r="D5041" s="417" t="s">
        <v>1300</v>
      </c>
      <c r="E5041" s="120">
        <v>450</v>
      </c>
      <c r="F5041" s="133" t="s">
        <v>11083</v>
      </c>
      <c r="G5041" s="434" t="s">
        <v>45</v>
      </c>
      <c r="H5041" s="427">
        <v>4900.5</v>
      </c>
      <c r="I5041" s="427">
        <v>0</v>
      </c>
      <c r="J5041" s="427">
        <v>0</v>
      </c>
      <c r="K5041" s="425">
        <f>SUM(H5041:J5041)</f>
        <v>4900.5</v>
      </c>
      <c r="L5041" s="187">
        <v>372</v>
      </c>
      <c r="M5041" s="131">
        <v>0</v>
      </c>
      <c r="N5041" s="91">
        <f t="shared" si="1451"/>
        <v>167.4</v>
      </c>
      <c r="O5041" s="411">
        <f t="shared" si="1443"/>
        <v>4733.1000000000004</v>
      </c>
      <c r="P5041" s="132" t="s">
        <v>66</v>
      </c>
      <c r="Q5041" s="232"/>
      <c r="R5041" s="411"/>
      <c r="T5041" s="439" t="s">
        <v>314</v>
      </c>
      <c r="U5041" s="446" t="s">
        <v>11084</v>
      </c>
      <c r="V5041" s="270" t="s">
        <v>11085</v>
      </c>
      <c r="W5041" s="153" t="s">
        <v>1302</v>
      </c>
      <c r="AA5041" s="218"/>
    </row>
    <row r="5042" spans="1:27" x14ac:dyDescent="0.25">
      <c r="A5042" s="432"/>
      <c r="B5042" s="433"/>
      <c r="C5042" s="432"/>
      <c r="D5042" s="454"/>
      <c r="E5042" s="120">
        <v>450</v>
      </c>
      <c r="F5042" s="133" t="s">
        <v>11086</v>
      </c>
      <c r="G5042" s="435"/>
      <c r="H5042" s="438"/>
      <c r="I5042" s="438"/>
      <c r="J5042" s="438"/>
      <c r="K5042" s="437"/>
      <c r="L5042" s="187">
        <v>1503</v>
      </c>
      <c r="M5042" s="131">
        <v>0</v>
      </c>
      <c r="N5042" s="91">
        <f t="shared" si="1451"/>
        <v>676.35</v>
      </c>
      <c r="O5042" s="411">
        <f t="shared" si="1443"/>
        <v>-676.35</v>
      </c>
      <c r="P5042" s="132" t="s">
        <v>66</v>
      </c>
      <c r="Q5042" s="232"/>
      <c r="R5042" s="411"/>
      <c r="T5042" s="440"/>
      <c r="U5042" s="448"/>
      <c r="AA5042" s="218"/>
    </row>
    <row r="5043" spans="1:27" x14ac:dyDescent="0.25">
      <c r="A5043" s="432"/>
      <c r="B5043" s="433"/>
      <c r="C5043" s="432"/>
      <c r="D5043" s="454"/>
      <c r="E5043" s="120">
        <v>450</v>
      </c>
      <c r="F5043" s="133" t="s">
        <v>11087</v>
      </c>
      <c r="G5043" s="435"/>
      <c r="H5043" s="438"/>
      <c r="I5043" s="438"/>
      <c r="J5043" s="438"/>
      <c r="K5043" s="437"/>
      <c r="L5043" s="187">
        <v>1002</v>
      </c>
      <c r="M5043" s="131">
        <v>0</v>
      </c>
      <c r="N5043" s="91">
        <f t="shared" si="1451"/>
        <v>450.90000000000003</v>
      </c>
      <c r="O5043" s="411">
        <f t="shared" si="1443"/>
        <v>-450.90000000000003</v>
      </c>
      <c r="P5043" s="132" t="s">
        <v>66</v>
      </c>
      <c r="Q5043" s="232"/>
      <c r="R5043" s="411"/>
      <c r="T5043" s="408" t="s">
        <v>314</v>
      </c>
      <c r="U5043" s="312" t="s">
        <v>11088</v>
      </c>
      <c r="V5043" s="133" t="s">
        <v>11089</v>
      </c>
      <c r="AA5043" s="218"/>
    </row>
    <row r="5044" spans="1:27" ht="36" x14ac:dyDescent="0.25">
      <c r="A5044" s="420"/>
      <c r="B5044" s="422"/>
      <c r="C5044" s="420"/>
      <c r="D5044" s="418"/>
      <c r="E5044" s="120">
        <v>450</v>
      </c>
      <c r="F5044" s="119" t="s">
        <v>11090</v>
      </c>
      <c r="G5044" s="436"/>
      <c r="H5044" s="428"/>
      <c r="I5044" s="428"/>
      <c r="J5044" s="428"/>
      <c r="K5044" s="426"/>
      <c r="L5044" s="187">
        <v>2375</v>
      </c>
      <c r="M5044" s="131">
        <v>0</v>
      </c>
      <c r="N5044" s="91">
        <f t="shared" si="1451"/>
        <v>1068.75</v>
      </c>
      <c r="O5044" s="411">
        <f t="shared" si="1443"/>
        <v>-1068.75</v>
      </c>
      <c r="P5044" s="132" t="s">
        <v>66</v>
      </c>
      <c r="Q5044" s="232"/>
      <c r="R5044" s="411"/>
      <c r="T5044" s="409" t="s">
        <v>314</v>
      </c>
      <c r="U5044" s="309" t="s">
        <v>11091</v>
      </c>
      <c r="AA5044" s="218"/>
    </row>
    <row r="5045" spans="1:27" ht="24" x14ac:dyDescent="0.25">
      <c r="A5045" s="419">
        <v>3003947</v>
      </c>
      <c r="B5045" s="421">
        <v>42607</v>
      </c>
      <c r="C5045" s="419" t="s">
        <v>63</v>
      </c>
      <c r="D5045" s="417" t="s">
        <v>11092</v>
      </c>
      <c r="E5045" s="120">
        <v>400</v>
      </c>
      <c r="F5045" s="133" t="s">
        <v>11093</v>
      </c>
      <c r="G5045" s="434" t="s">
        <v>45</v>
      </c>
      <c r="H5045" s="427">
        <v>456</v>
      </c>
      <c r="I5045" s="427">
        <v>0</v>
      </c>
      <c r="J5045" s="425">
        <f>-((H5045*0.022)+0.3)</f>
        <v>-10.332000000000001</v>
      </c>
      <c r="K5045" s="425">
        <f>SUM(H5045:J5045)</f>
        <v>445.66800000000001</v>
      </c>
      <c r="L5045" s="131">
        <v>305</v>
      </c>
      <c r="M5045" s="187">
        <v>47.48</v>
      </c>
      <c r="N5045" s="91">
        <f t="shared" si="1451"/>
        <v>169.48</v>
      </c>
      <c r="O5045" s="411">
        <f t="shared" si="1443"/>
        <v>276.18799999999999</v>
      </c>
      <c r="P5045" s="132" t="s">
        <v>52</v>
      </c>
      <c r="Q5045" s="232"/>
      <c r="R5045" s="411"/>
      <c r="T5045" s="134" t="s">
        <v>145</v>
      </c>
      <c r="U5045" s="267" t="s">
        <v>11094</v>
      </c>
      <c r="W5045" s="153" t="s">
        <v>11095</v>
      </c>
      <c r="AA5045" s="218"/>
    </row>
    <row r="5046" spans="1:27" ht="24" x14ac:dyDescent="0.25">
      <c r="A5046" s="420"/>
      <c r="B5046" s="422"/>
      <c r="C5046" s="420"/>
      <c r="D5046" s="418"/>
      <c r="E5046" s="120">
        <v>200</v>
      </c>
      <c r="F5046" s="133" t="s">
        <v>11096</v>
      </c>
      <c r="G5046" s="436"/>
      <c r="H5046" s="428"/>
      <c r="I5046" s="428"/>
      <c r="J5046" s="426"/>
      <c r="K5046" s="426"/>
      <c r="L5046" s="187">
        <v>460</v>
      </c>
      <c r="M5046" s="187">
        <v>22.45</v>
      </c>
      <c r="N5046" s="91">
        <f t="shared" si="1451"/>
        <v>114.45</v>
      </c>
      <c r="O5046" s="411">
        <f t="shared" si="1443"/>
        <v>-114.45</v>
      </c>
      <c r="P5046" s="132" t="s">
        <v>235</v>
      </c>
      <c r="Q5046" s="232"/>
      <c r="R5046" s="411"/>
      <c r="T5046" s="134" t="s">
        <v>145</v>
      </c>
      <c r="U5046" s="267" t="s">
        <v>11097</v>
      </c>
      <c r="V5046" s="133" t="s">
        <v>11098</v>
      </c>
      <c r="AA5046" s="218"/>
    </row>
    <row r="5047" spans="1:27" x14ac:dyDescent="0.25">
      <c r="A5047" s="405">
        <v>3003948</v>
      </c>
      <c r="B5047" s="406">
        <v>42607</v>
      </c>
      <c r="C5047" s="405" t="s">
        <v>327</v>
      </c>
      <c r="D5047" s="401" t="s">
        <v>11099</v>
      </c>
      <c r="E5047" s="120">
        <v>1000</v>
      </c>
      <c r="F5047" s="133" t="s">
        <v>247</v>
      </c>
      <c r="G5047" s="404" t="s">
        <v>45</v>
      </c>
      <c r="H5047" s="411">
        <v>1130</v>
      </c>
      <c r="I5047" s="411">
        <v>0</v>
      </c>
      <c r="J5047" s="258">
        <f>-((H5047*0.022)+0.3)</f>
        <v>-25.16</v>
      </c>
      <c r="K5047" s="90">
        <f>SUM(H5047:J5047)</f>
        <v>1104.8399999999999</v>
      </c>
      <c r="L5047" s="187">
        <v>672</v>
      </c>
      <c r="M5047" s="187">
        <v>114</v>
      </c>
      <c r="N5047" s="91">
        <f t="shared" si="1451"/>
        <v>786</v>
      </c>
      <c r="O5047" s="411">
        <f t="shared" si="1443"/>
        <v>318.83999999999992</v>
      </c>
      <c r="P5047" s="132" t="s">
        <v>313</v>
      </c>
      <c r="Q5047" s="232"/>
      <c r="R5047" s="411"/>
      <c r="T5047" s="134" t="s">
        <v>11100</v>
      </c>
      <c r="U5047" s="267" t="s">
        <v>11101</v>
      </c>
      <c r="V5047" s="133" t="s">
        <v>55</v>
      </c>
      <c r="W5047" s="153" t="s">
        <v>11102</v>
      </c>
      <c r="AA5047" s="218">
        <v>10</v>
      </c>
    </row>
    <row r="5048" spans="1:27" ht="24" x14ac:dyDescent="0.25">
      <c r="A5048" s="405">
        <v>3003949</v>
      </c>
      <c r="B5048" s="406">
        <v>42607</v>
      </c>
      <c r="C5048" s="405" t="s">
        <v>56</v>
      </c>
      <c r="D5048" s="401" t="s">
        <v>6840</v>
      </c>
      <c r="E5048" s="120">
        <v>1000</v>
      </c>
      <c r="F5048" s="133" t="s">
        <v>11103</v>
      </c>
      <c r="G5048" s="404" t="s">
        <v>45</v>
      </c>
      <c r="H5048" s="411">
        <v>641</v>
      </c>
      <c r="I5048" s="411">
        <v>0</v>
      </c>
      <c r="J5048" s="411">
        <v>0</v>
      </c>
      <c r="K5048" s="90">
        <f>SUM(H5048:J5048)</f>
        <v>641</v>
      </c>
      <c r="L5048" s="187">
        <v>417.12</v>
      </c>
      <c r="M5048" s="187">
        <v>109.72</v>
      </c>
      <c r="N5048" s="91">
        <f t="shared" si="1451"/>
        <v>526.84</v>
      </c>
      <c r="O5048" s="411">
        <f t="shared" si="1443"/>
        <v>114.15999999999997</v>
      </c>
      <c r="P5048" s="132" t="s">
        <v>76</v>
      </c>
      <c r="Q5048" s="232"/>
      <c r="R5048" s="411"/>
      <c r="T5048" s="134" t="s">
        <v>11104</v>
      </c>
      <c r="U5048" s="266" t="s">
        <v>852</v>
      </c>
      <c r="V5048" s="133" t="s">
        <v>9081</v>
      </c>
      <c r="W5048" s="153" t="s">
        <v>298</v>
      </c>
      <c r="AA5048" s="218"/>
    </row>
    <row r="5049" spans="1:27" ht="24" x14ac:dyDescent="0.25">
      <c r="A5049" s="405">
        <v>3003950</v>
      </c>
      <c r="B5049" s="406">
        <v>42607</v>
      </c>
      <c r="C5049" s="405" t="s">
        <v>327</v>
      </c>
      <c r="D5049" s="401" t="s">
        <v>11105</v>
      </c>
      <c r="E5049" s="120">
        <v>250</v>
      </c>
      <c r="F5049" s="133" t="s">
        <v>2408</v>
      </c>
      <c r="G5049" s="404" t="s">
        <v>45</v>
      </c>
      <c r="H5049" s="411">
        <v>560</v>
      </c>
      <c r="I5049" s="411">
        <v>0</v>
      </c>
      <c r="J5049" s="258">
        <f>-((H5049*0.022)+0.3)</f>
        <v>-12.62</v>
      </c>
      <c r="K5049" s="90">
        <f>SUM(H5049:J5049)</f>
        <v>547.38</v>
      </c>
      <c r="L5049" s="187">
        <v>1420</v>
      </c>
      <c r="M5049" s="131">
        <v>0</v>
      </c>
      <c r="N5049" s="91">
        <f t="shared" si="1451"/>
        <v>355</v>
      </c>
      <c r="O5049" s="411">
        <f t="shared" si="1443"/>
        <v>192.38</v>
      </c>
      <c r="P5049" s="132" t="s">
        <v>601</v>
      </c>
      <c r="Q5049" s="232"/>
      <c r="R5049" s="411"/>
      <c r="T5049" s="134" t="s">
        <v>756</v>
      </c>
      <c r="U5049" s="266" t="s">
        <v>756</v>
      </c>
      <c r="W5049" s="153" t="s">
        <v>11106</v>
      </c>
      <c r="AA5049" s="218"/>
    </row>
    <row r="5050" spans="1:27" x14ac:dyDescent="0.25">
      <c r="A5050" s="419">
        <v>3003951</v>
      </c>
      <c r="B5050" s="421">
        <v>42607</v>
      </c>
      <c r="C5050" s="419" t="s">
        <v>63</v>
      </c>
      <c r="D5050" s="417" t="s">
        <v>11107</v>
      </c>
      <c r="E5050" s="120">
        <v>660</v>
      </c>
      <c r="F5050" s="133" t="s">
        <v>11108</v>
      </c>
      <c r="G5050" s="434" t="s">
        <v>45</v>
      </c>
      <c r="H5050" s="427">
        <v>468.8</v>
      </c>
      <c r="I5050" s="427">
        <v>0</v>
      </c>
      <c r="J5050" s="425">
        <f>-((H5050*0.022)+0.3)</f>
        <v>-10.6136</v>
      </c>
      <c r="K5050" s="425">
        <f>SUM(H5050:J5050)</f>
        <v>458.18639999999999</v>
      </c>
      <c r="L5050" s="187">
        <v>200</v>
      </c>
      <c r="M5050" s="187">
        <v>11.9</v>
      </c>
      <c r="N5050" s="91">
        <f t="shared" si="1451"/>
        <v>143.9</v>
      </c>
      <c r="O5050" s="411">
        <f t="shared" si="1443"/>
        <v>314.28639999999996</v>
      </c>
      <c r="P5050" s="132" t="s">
        <v>235</v>
      </c>
      <c r="Q5050" s="232"/>
      <c r="R5050" s="411"/>
      <c r="T5050" s="439" t="s">
        <v>145</v>
      </c>
      <c r="U5050" s="267" t="s">
        <v>11109</v>
      </c>
      <c r="W5050" s="153" t="s">
        <v>11110</v>
      </c>
      <c r="AA5050" s="218"/>
    </row>
    <row r="5051" spans="1:27" x14ac:dyDescent="0.25">
      <c r="A5051" s="432"/>
      <c r="B5051" s="433"/>
      <c r="C5051" s="432"/>
      <c r="D5051" s="454"/>
      <c r="E5051" s="120">
        <v>660</v>
      </c>
      <c r="F5051" s="133" t="s">
        <v>11111</v>
      </c>
      <c r="G5051" s="435"/>
      <c r="H5051" s="438"/>
      <c r="I5051" s="438"/>
      <c r="J5051" s="437"/>
      <c r="K5051" s="437"/>
      <c r="L5051" s="187">
        <v>200</v>
      </c>
      <c r="M5051" s="187">
        <v>18.850000000000001</v>
      </c>
      <c r="N5051" s="91">
        <f t="shared" si="1451"/>
        <v>150.85</v>
      </c>
      <c r="O5051" s="411">
        <f t="shared" si="1443"/>
        <v>-150.85</v>
      </c>
      <c r="P5051" s="132" t="s">
        <v>235</v>
      </c>
      <c r="Q5051" s="232"/>
      <c r="R5051" s="411"/>
      <c r="T5051" s="440"/>
      <c r="U5051" s="267" t="s">
        <v>11112</v>
      </c>
      <c r="AA5051" s="218"/>
    </row>
    <row r="5052" spans="1:27" x14ac:dyDescent="0.25">
      <c r="A5052" s="420"/>
      <c r="B5052" s="422"/>
      <c r="C5052" s="420"/>
      <c r="D5052" s="418"/>
      <c r="E5052" s="120">
        <v>330</v>
      </c>
      <c r="F5052" s="133" t="s">
        <v>11113</v>
      </c>
      <c r="G5052" s="436"/>
      <c r="H5052" s="428"/>
      <c r="I5052" s="428"/>
      <c r="J5052" s="426"/>
      <c r="K5052" s="426"/>
      <c r="L5052" s="187">
        <v>140</v>
      </c>
      <c r="M5052" s="187">
        <v>29.35</v>
      </c>
      <c r="N5052" s="91">
        <f t="shared" si="1451"/>
        <v>75.550000000000011</v>
      </c>
      <c r="O5052" s="411">
        <f t="shared" si="1443"/>
        <v>-75.550000000000011</v>
      </c>
      <c r="P5052" s="132" t="s">
        <v>235</v>
      </c>
      <c r="Q5052" s="232"/>
      <c r="R5052" s="411"/>
      <c r="T5052" s="441"/>
      <c r="U5052" s="267" t="s">
        <v>11114</v>
      </c>
      <c r="AA5052" s="218"/>
    </row>
    <row r="5053" spans="1:27" ht="24" x14ac:dyDescent="0.25">
      <c r="A5053" s="405">
        <v>3003952</v>
      </c>
      <c r="B5053" s="406">
        <v>42607</v>
      </c>
      <c r="C5053" s="405" t="s">
        <v>42</v>
      </c>
      <c r="D5053" s="401" t="s">
        <v>11115</v>
      </c>
      <c r="E5053" s="120">
        <v>50</v>
      </c>
      <c r="F5053" s="133" t="s">
        <v>4315</v>
      </c>
      <c r="G5053" s="404" t="s">
        <v>45</v>
      </c>
      <c r="H5053" s="411">
        <v>103.95</v>
      </c>
      <c r="I5053" s="89">
        <f>-(H5053*0.09)</f>
        <v>-9.3554999999999993</v>
      </c>
      <c r="J5053" s="258">
        <f t="shared" ref="J5053" si="1472">-((H5053*0.019)+0.3)</f>
        <v>-2.2750499999999998</v>
      </c>
      <c r="K5053" s="90">
        <f t="shared" ref="K5053" si="1473">SUM(H5053:J5053)</f>
        <v>92.319450000000018</v>
      </c>
      <c r="L5053" s="187">
        <v>1000</v>
      </c>
      <c r="M5053" s="187">
        <v>8.48</v>
      </c>
      <c r="N5053" s="91">
        <f t="shared" si="1451"/>
        <v>58.480000000000004</v>
      </c>
      <c r="O5053" s="411">
        <f t="shared" si="1443"/>
        <v>33.839450000000014</v>
      </c>
      <c r="P5053" s="132" t="s">
        <v>601</v>
      </c>
      <c r="Q5053" s="232"/>
      <c r="R5053" s="411"/>
      <c r="T5053" s="134" t="s">
        <v>145</v>
      </c>
      <c r="U5053" s="267" t="s">
        <v>11116</v>
      </c>
      <c r="AA5053" s="218"/>
    </row>
    <row r="5054" spans="1:27" ht="24" x14ac:dyDescent="0.25">
      <c r="A5054" s="405">
        <v>3003953</v>
      </c>
      <c r="B5054" s="406">
        <v>42607</v>
      </c>
      <c r="C5054" s="405" t="s">
        <v>42</v>
      </c>
      <c r="D5054" s="401" t="s">
        <v>11117</v>
      </c>
      <c r="E5054" s="120">
        <v>200</v>
      </c>
      <c r="F5054" s="133" t="s">
        <v>114</v>
      </c>
      <c r="G5054" s="404" t="s">
        <v>45</v>
      </c>
      <c r="H5054" s="411">
        <v>662.62</v>
      </c>
      <c r="I5054" s="89">
        <f>-(H5054*0.09)</f>
        <v>-59.635799999999996</v>
      </c>
      <c r="J5054" s="258">
        <f t="shared" ref="J5054" si="1474">-((H5054*0.019)+0.3)</f>
        <v>-12.88978</v>
      </c>
      <c r="K5054" s="90">
        <f t="shared" ref="K5054" si="1475">SUM(H5054:J5054)</f>
        <v>590.09442000000001</v>
      </c>
      <c r="L5054" s="187">
        <v>2100</v>
      </c>
      <c r="M5054" s="187">
        <v>115</v>
      </c>
      <c r="N5054" s="91">
        <f t="shared" si="1451"/>
        <v>535</v>
      </c>
      <c r="O5054" s="411">
        <f t="shared" si="1443"/>
        <v>55.094420000000014</v>
      </c>
      <c r="P5054" s="132" t="s">
        <v>183</v>
      </c>
      <c r="Q5054" s="232"/>
      <c r="R5054" s="411"/>
      <c r="T5054" s="134" t="s">
        <v>473</v>
      </c>
      <c r="U5054" s="267" t="s">
        <v>11118</v>
      </c>
      <c r="AA5054" s="218"/>
    </row>
    <row r="5055" spans="1:27" ht="24" x14ac:dyDescent="0.25">
      <c r="A5055" s="405">
        <v>3003954</v>
      </c>
      <c r="B5055" s="406">
        <v>42607</v>
      </c>
      <c r="C5055" s="405" t="s">
        <v>42</v>
      </c>
      <c r="D5055" s="401" t="s">
        <v>11119</v>
      </c>
      <c r="E5055" s="120">
        <v>100</v>
      </c>
      <c r="F5055" s="133" t="s">
        <v>165</v>
      </c>
      <c r="G5055" s="404" t="s">
        <v>45</v>
      </c>
      <c r="H5055" s="411">
        <v>106.08</v>
      </c>
      <c r="I5055" s="89">
        <f>-(H5055*0.09)</f>
        <v>-9.5472000000000001</v>
      </c>
      <c r="J5055" s="258">
        <f t="shared" ref="J5055" si="1476">-((H5055*0.019)+0.3)</f>
        <v>-2.3155199999999998</v>
      </c>
      <c r="K5055" s="90">
        <f t="shared" ref="K5055" si="1477">SUM(H5055:J5055)</f>
        <v>94.217279999999988</v>
      </c>
      <c r="L5055" s="131">
        <v>375</v>
      </c>
      <c r="M5055" s="187">
        <v>38.200000000000003</v>
      </c>
      <c r="N5055" s="91">
        <f t="shared" si="1451"/>
        <v>75.7</v>
      </c>
      <c r="O5055" s="411">
        <f t="shared" si="1443"/>
        <v>18.517279999999985</v>
      </c>
      <c r="P5055" s="132" t="s">
        <v>52</v>
      </c>
      <c r="Q5055" s="232"/>
      <c r="R5055" s="411"/>
      <c r="T5055" s="134" t="s">
        <v>145</v>
      </c>
      <c r="U5055" s="267" t="s">
        <v>11120</v>
      </c>
      <c r="AA5055" s="218"/>
    </row>
    <row r="5056" spans="1:27" ht="24" x14ac:dyDescent="0.25">
      <c r="A5056" s="405">
        <v>3003955</v>
      </c>
      <c r="B5056" s="406">
        <v>42607</v>
      </c>
      <c r="C5056" s="405" t="s">
        <v>42</v>
      </c>
      <c r="D5056" s="401" t="s">
        <v>11121</v>
      </c>
      <c r="E5056" s="120">
        <v>200</v>
      </c>
      <c r="F5056" s="133" t="s">
        <v>1547</v>
      </c>
      <c r="G5056" s="404" t="s">
        <v>45</v>
      </c>
      <c r="H5056" s="411">
        <v>219.27</v>
      </c>
      <c r="I5056" s="89">
        <f>-(H5056*0.09)</f>
        <v>-19.734300000000001</v>
      </c>
      <c r="J5056" s="258">
        <f t="shared" ref="J5056" si="1478">-((H5056*0.019)+0.3)</f>
        <v>-4.4661299999999997</v>
      </c>
      <c r="K5056" s="90">
        <f t="shared" ref="K5056" si="1479">SUM(H5056:J5056)</f>
        <v>195.06957000000003</v>
      </c>
      <c r="L5056" s="131">
        <v>419</v>
      </c>
      <c r="M5056" s="187">
        <v>42.36</v>
      </c>
      <c r="N5056" s="91">
        <f t="shared" si="1451"/>
        <v>126.16000000000001</v>
      </c>
      <c r="O5056" s="411">
        <f t="shared" si="1443"/>
        <v>68.909570000000016</v>
      </c>
      <c r="P5056" s="132" t="s">
        <v>52</v>
      </c>
      <c r="Q5056" s="232"/>
      <c r="R5056" s="411"/>
      <c r="T5056" s="134" t="s">
        <v>145</v>
      </c>
      <c r="U5056" s="267" t="s">
        <v>11122</v>
      </c>
      <c r="AA5056" s="218"/>
    </row>
    <row r="5057" spans="1:28" ht="24" x14ac:dyDescent="0.25">
      <c r="A5057" s="405">
        <v>3003956</v>
      </c>
      <c r="B5057" s="406">
        <v>42607</v>
      </c>
      <c r="C5057" s="405" t="s">
        <v>42</v>
      </c>
      <c r="D5057" s="401" t="s">
        <v>11123</v>
      </c>
      <c r="E5057" s="120">
        <v>50</v>
      </c>
      <c r="F5057" s="133" t="s">
        <v>161</v>
      </c>
      <c r="G5057" s="404" t="s">
        <v>45</v>
      </c>
      <c r="H5057" s="411">
        <v>142.75</v>
      </c>
      <c r="I5057" s="89">
        <f>-(H5057*0.09)</f>
        <v>-12.8475</v>
      </c>
      <c r="J5057" s="258">
        <f t="shared" ref="J5057" si="1480">-((H5057*0.019)+0.3)</f>
        <v>-3.0122499999999999</v>
      </c>
      <c r="K5057" s="90">
        <f t="shared" ref="K5057" si="1481">SUM(H5057:J5057)</f>
        <v>126.89025000000001</v>
      </c>
      <c r="L5057" s="131">
        <v>1322</v>
      </c>
      <c r="M5057" s="187">
        <v>37.01</v>
      </c>
      <c r="N5057" s="91">
        <f t="shared" si="1451"/>
        <v>103.11000000000001</v>
      </c>
      <c r="O5057" s="411">
        <f t="shared" si="1443"/>
        <v>23.780249999999995</v>
      </c>
      <c r="P5057" s="132" t="s">
        <v>52</v>
      </c>
      <c r="Q5057" s="232"/>
      <c r="R5057" s="411"/>
      <c r="T5057" s="134" t="s">
        <v>145</v>
      </c>
      <c r="U5057" s="267" t="s">
        <v>11124</v>
      </c>
      <c r="AA5057" s="218"/>
    </row>
    <row r="5058" spans="1:28" x14ac:dyDescent="0.25">
      <c r="A5058" s="405">
        <v>3003957</v>
      </c>
      <c r="B5058" s="406">
        <v>42607</v>
      </c>
      <c r="C5058" s="405" t="s">
        <v>63</v>
      </c>
      <c r="D5058" s="401" t="s">
        <v>7538</v>
      </c>
      <c r="E5058" s="120">
        <v>500</v>
      </c>
      <c r="F5058" s="133" t="s">
        <v>11125</v>
      </c>
      <c r="G5058" s="404" t="s">
        <v>45</v>
      </c>
      <c r="H5058" s="411">
        <v>2550</v>
      </c>
      <c r="I5058" s="411">
        <v>0</v>
      </c>
      <c r="J5058" s="258">
        <f>-((H5058*0.022)+0.3)</f>
        <v>-56.399999999999991</v>
      </c>
      <c r="K5058" s="90">
        <f>SUM(H5058:J5058)</f>
        <v>2493.6</v>
      </c>
      <c r="L5058" s="187">
        <v>3720</v>
      </c>
      <c r="M5058" s="131">
        <v>0</v>
      </c>
      <c r="N5058" s="91">
        <f t="shared" si="1451"/>
        <v>1860</v>
      </c>
      <c r="O5058" s="411">
        <f t="shared" si="1443"/>
        <v>633.59999999999991</v>
      </c>
      <c r="P5058" s="132" t="s">
        <v>66</v>
      </c>
      <c r="Q5058" s="232"/>
      <c r="R5058" s="411"/>
      <c r="T5058" s="134" t="s">
        <v>1852</v>
      </c>
      <c r="U5058" s="266">
        <v>959023830</v>
      </c>
      <c r="W5058" s="153" t="s">
        <v>7540</v>
      </c>
      <c r="AA5058" s="218">
        <v>10</v>
      </c>
    </row>
    <row r="5059" spans="1:28" x14ac:dyDescent="0.25">
      <c r="A5059" s="419">
        <v>3003958</v>
      </c>
      <c r="B5059" s="421">
        <v>42607</v>
      </c>
      <c r="C5059" s="419" t="s">
        <v>141</v>
      </c>
      <c r="D5059" s="417" t="s">
        <v>11126</v>
      </c>
      <c r="E5059" s="120">
        <v>100</v>
      </c>
      <c r="F5059" s="133" t="s">
        <v>11127</v>
      </c>
      <c r="G5059" s="434" t="s">
        <v>45</v>
      </c>
      <c r="H5059" s="427">
        <v>1230</v>
      </c>
      <c r="I5059" s="427">
        <v>0</v>
      </c>
      <c r="J5059" s="425">
        <f>-((H5059*0.0325)+0.3)</f>
        <v>-40.274999999999999</v>
      </c>
      <c r="K5059" s="425">
        <f>SUM(H5059:J5059)</f>
        <v>1189.7249999999999</v>
      </c>
      <c r="L5059" s="187">
        <v>3870</v>
      </c>
      <c r="M5059" s="187">
        <v>41.72</v>
      </c>
      <c r="N5059" s="91">
        <f t="shared" si="1451"/>
        <v>428.72</v>
      </c>
      <c r="O5059" s="411">
        <f t="shared" si="1443"/>
        <v>761.00499999999988</v>
      </c>
      <c r="P5059" s="132" t="s">
        <v>183</v>
      </c>
      <c r="Q5059" s="232"/>
      <c r="R5059" s="411"/>
      <c r="T5059" s="439" t="s">
        <v>145</v>
      </c>
      <c r="U5059" s="267" t="s">
        <v>11128</v>
      </c>
      <c r="W5059" s="153" t="s">
        <v>11129</v>
      </c>
      <c r="AA5059" s="526">
        <v>10</v>
      </c>
    </row>
    <row r="5060" spans="1:28" x14ac:dyDescent="0.25">
      <c r="A5060" s="420"/>
      <c r="B5060" s="422"/>
      <c r="C5060" s="420"/>
      <c r="D5060" s="418"/>
      <c r="E5060" s="120">
        <v>100</v>
      </c>
      <c r="F5060" s="133" t="s">
        <v>11130</v>
      </c>
      <c r="G5060" s="436"/>
      <c r="H5060" s="428"/>
      <c r="I5060" s="428"/>
      <c r="J5060" s="426"/>
      <c r="K5060" s="426"/>
      <c r="L5060" s="187">
        <v>2200</v>
      </c>
      <c r="M5060" s="187"/>
      <c r="N5060" s="91">
        <f t="shared" si="1451"/>
        <v>220</v>
      </c>
      <c r="O5060" s="411">
        <f t="shared" ref="O5060:O5123" si="1482">K5060-N5060</f>
        <v>-220</v>
      </c>
      <c r="P5060" s="132" t="s">
        <v>183</v>
      </c>
      <c r="Q5060" s="232"/>
      <c r="R5060" s="411"/>
      <c r="T5060" s="441"/>
      <c r="U5060" s="267" t="s">
        <v>11131</v>
      </c>
      <c r="AA5060" s="527"/>
    </row>
    <row r="5061" spans="1:28" x14ac:dyDescent="0.25">
      <c r="A5061" s="405">
        <v>3003959</v>
      </c>
      <c r="B5061" s="406">
        <v>42607</v>
      </c>
      <c r="C5061" s="405" t="s">
        <v>63</v>
      </c>
      <c r="D5061" s="401" t="s">
        <v>2814</v>
      </c>
      <c r="E5061" s="120">
        <v>300</v>
      </c>
      <c r="F5061" s="133" t="s">
        <v>11132</v>
      </c>
      <c r="G5061" s="404" t="s">
        <v>45</v>
      </c>
      <c r="H5061" s="411">
        <v>4320</v>
      </c>
      <c r="I5061" s="411">
        <v>0</v>
      </c>
      <c r="J5061" s="258">
        <f>-((H5061*0.022)+0.3)</f>
        <v>-95.339999999999989</v>
      </c>
      <c r="K5061" s="90">
        <f t="shared" ref="K5061:K5073" si="1483">SUM(H5061:J5061)</f>
        <v>4224.66</v>
      </c>
      <c r="L5061" s="187">
        <v>12380</v>
      </c>
      <c r="M5061" s="131">
        <v>0</v>
      </c>
      <c r="N5061" s="91">
        <f t="shared" si="1451"/>
        <v>3714</v>
      </c>
      <c r="O5061" s="411">
        <f t="shared" si="1482"/>
        <v>510.65999999999985</v>
      </c>
      <c r="P5061" s="132" t="s">
        <v>66</v>
      </c>
      <c r="Q5061" s="232"/>
      <c r="R5061" s="411"/>
      <c r="T5061" s="134" t="s">
        <v>314</v>
      </c>
      <c r="U5061" s="267" t="s">
        <v>11133</v>
      </c>
      <c r="W5061" s="153" t="s">
        <v>7150</v>
      </c>
      <c r="AA5061" s="218">
        <v>50</v>
      </c>
      <c r="AB5061" s="235" t="s">
        <v>5349</v>
      </c>
    </row>
    <row r="5062" spans="1:28" x14ac:dyDescent="0.25">
      <c r="A5062" s="405">
        <v>3003960</v>
      </c>
      <c r="B5062" s="406">
        <v>42607</v>
      </c>
      <c r="C5062" s="405" t="s">
        <v>63</v>
      </c>
      <c r="D5062" s="401" t="s">
        <v>2059</v>
      </c>
      <c r="E5062" s="120">
        <v>500</v>
      </c>
      <c r="F5062" s="133" t="s">
        <v>1832</v>
      </c>
      <c r="G5062" s="404" t="s">
        <v>45</v>
      </c>
      <c r="H5062" s="411">
        <v>1200</v>
      </c>
      <c r="I5062" s="411">
        <v>0</v>
      </c>
      <c r="J5062" s="258">
        <f>-((H5062*0.022)+0.3)</f>
        <v>-26.7</v>
      </c>
      <c r="K5062" s="90">
        <f t="shared" si="1483"/>
        <v>1173.3</v>
      </c>
      <c r="L5062" s="187">
        <v>1725</v>
      </c>
      <c r="M5062" s="131">
        <v>0</v>
      </c>
      <c r="N5062" s="91">
        <f t="shared" si="1451"/>
        <v>862.5</v>
      </c>
      <c r="O5062" s="411">
        <f t="shared" si="1482"/>
        <v>310.79999999999995</v>
      </c>
      <c r="P5062" s="132" t="s">
        <v>926</v>
      </c>
      <c r="Q5062" s="232"/>
      <c r="R5062" s="411"/>
      <c r="T5062" s="134" t="s">
        <v>314</v>
      </c>
      <c r="U5062" s="267" t="s">
        <v>11134</v>
      </c>
      <c r="W5062" s="153" t="s">
        <v>2061</v>
      </c>
      <c r="AA5062" s="218">
        <v>10</v>
      </c>
    </row>
    <row r="5063" spans="1:28" ht="24" x14ac:dyDescent="0.25">
      <c r="A5063" s="405">
        <v>3003961</v>
      </c>
      <c r="B5063" s="406">
        <v>42607</v>
      </c>
      <c r="C5063" s="405" t="s">
        <v>56</v>
      </c>
      <c r="D5063" s="401" t="s">
        <v>11135</v>
      </c>
      <c r="E5063" s="120">
        <v>400</v>
      </c>
      <c r="F5063" s="133" t="s">
        <v>300</v>
      </c>
      <c r="G5063" s="404" t="s">
        <v>45</v>
      </c>
      <c r="H5063" s="411">
        <v>2110</v>
      </c>
      <c r="I5063" s="411">
        <v>0</v>
      </c>
      <c r="J5063" s="411">
        <v>0</v>
      </c>
      <c r="K5063" s="90">
        <f t="shared" si="1483"/>
        <v>2110</v>
      </c>
      <c r="L5063" s="187">
        <v>2760</v>
      </c>
      <c r="M5063" s="187">
        <v>138.41</v>
      </c>
      <c r="N5063" s="91">
        <f t="shared" si="1451"/>
        <v>1242.4100000000001</v>
      </c>
      <c r="O5063" s="411">
        <f t="shared" si="1482"/>
        <v>867.58999999999992</v>
      </c>
      <c r="P5063" s="132" t="s">
        <v>183</v>
      </c>
      <c r="Q5063" s="232"/>
      <c r="R5063" s="411"/>
      <c r="T5063" s="134" t="s">
        <v>473</v>
      </c>
      <c r="U5063" s="267" t="s">
        <v>11136</v>
      </c>
      <c r="V5063" s="133" t="s">
        <v>8550</v>
      </c>
      <c r="W5063" s="153" t="s">
        <v>11137</v>
      </c>
      <c r="AA5063" s="218">
        <v>10</v>
      </c>
    </row>
    <row r="5064" spans="1:28" ht="24" x14ac:dyDescent="0.25">
      <c r="A5064" s="405">
        <v>3003962</v>
      </c>
      <c r="B5064" s="406">
        <v>42607</v>
      </c>
      <c r="C5064" s="405" t="s">
        <v>237</v>
      </c>
      <c r="D5064" s="401" t="s">
        <v>11138</v>
      </c>
      <c r="E5064" s="120">
        <v>50</v>
      </c>
      <c r="F5064" s="133" t="s">
        <v>161</v>
      </c>
      <c r="G5064" s="404" t="s">
        <v>45</v>
      </c>
      <c r="H5064" s="411">
        <v>126.97</v>
      </c>
      <c r="I5064" s="397">
        <f t="shared" ref="I5064" si="1484">-(H5064*0.15)</f>
        <v>-19.045500000000001</v>
      </c>
      <c r="J5064" s="411">
        <v>0</v>
      </c>
      <c r="K5064" s="90">
        <f t="shared" si="1483"/>
        <v>107.92449999999999</v>
      </c>
      <c r="L5064" s="131">
        <v>1322</v>
      </c>
      <c r="M5064" s="187">
        <v>38.409999999999997</v>
      </c>
      <c r="N5064" s="91">
        <f t="shared" si="1451"/>
        <v>104.51</v>
      </c>
      <c r="O5064" s="411">
        <f t="shared" si="1482"/>
        <v>3.4144999999999897</v>
      </c>
      <c r="P5064" s="132" t="s">
        <v>52</v>
      </c>
      <c r="Q5064" s="232"/>
      <c r="R5064" s="411"/>
      <c r="T5064" s="134" t="s">
        <v>145</v>
      </c>
      <c r="U5064" s="267" t="s">
        <v>11139</v>
      </c>
      <c r="AA5064" s="218"/>
    </row>
    <row r="5065" spans="1:28" ht="24" x14ac:dyDescent="0.25">
      <c r="A5065" s="405">
        <v>3003963</v>
      </c>
      <c r="B5065" s="406">
        <v>42607</v>
      </c>
      <c r="C5065" s="405" t="s">
        <v>237</v>
      </c>
      <c r="D5065" s="401" t="s">
        <v>11140</v>
      </c>
      <c r="E5065" s="120">
        <v>100</v>
      </c>
      <c r="F5065" s="133" t="s">
        <v>1707</v>
      </c>
      <c r="G5065" s="404" t="s">
        <v>45</v>
      </c>
      <c r="H5065" s="411">
        <v>123.08</v>
      </c>
      <c r="I5065" s="397">
        <f t="shared" ref="I5065" si="1485">-(H5065*0.15)</f>
        <v>-18.462</v>
      </c>
      <c r="J5065" s="411">
        <v>0</v>
      </c>
      <c r="K5065" s="90">
        <f t="shared" si="1483"/>
        <v>104.61799999999999</v>
      </c>
      <c r="L5065" s="131">
        <v>400</v>
      </c>
      <c r="M5065" s="187">
        <v>27.78</v>
      </c>
      <c r="N5065" s="91">
        <f t="shared" si="1451"/>
        <v>67.78</v>
      </c>
      <c r="O5065" s="411">
        <f t="shared" si="1482"/>
        <v>36.837999999999994</v>
      </c>
      <c r="P5065" s="132" t="s">
        <v>52</v>
      </c>
      <c r="Q5065" s="232"/>
      <c r="R5065" s="411"/>
      <c r="T5065" s="134" t="s">
        <v>145</v>
      </c>
      <c r="U5065" s="267" t="s">
        <v>11141</v>
      </c>
      <c r="AA5065" s="218"/>
    </row>
    <row r="5066" spans="1:28" ht="36" x14ac:dyDescent="0.25">
      <c r="A5066" s="405">
        <v>3003964</v>
      </c>
      <c r="B5066" s="406">
        <v>42607</v>
      </c>
      <c r="C5066" s="405" t="s">
        <v>237</v>
      </c>
      <c r="D5066" s="401" t="s">
        <v>11142</v>
      </c>
      <c r="E5066" s="120">
        <v>500</v>
      </c>
      <c r="F5066" s="119" t="s">
        <v>11143</v>
      </c>
      <c r="G5066" s="404" t="s">
        <v>45</v>
      </c>
      <c r="H5066" s="411">
        <v>148.29</v>
      </c>
      <c r="I5066" s="397">
        <f t="shared" ref="I5066" si="1486">-(H5066*0.15)</f>
        <v>-22.243499999999997</v>
      </c>
      <c r="J5066" s="411">
        <v>0</v>
      </c>
      <c r="K5066" s="90">
        <f t="shared" si="1483"/>
        <v>126.04649999999999</v>
      </c>
      <c r="L5066" s="187">
        <v>202</v>
      </c>
      <c r="M5066" s="187">
        <v>19.34</v>
      </c>
      <c r="N5066" s="91">
        <f t="shared" si="1451"/>
        <v>120.34</v>
      </c>
      <c r="O5066" s="411">
        <f t="shared" si="1482"/>
        <v>5.7064999999999912</v>
      </c>
      <c r="P5066" s="132" t="s">
        <v>5292</v>
      </c>
      <c r="Q5066" s="232"/>
      <c r="R5066" s="411"/>
      <c r="T5066" s="134" t="s">
        <v>145</v>
      </c>
      <c r="U5066" s="267" t="s">
        <v>11144</v>
      </c>
      <c r="AA5066" s="218"/>
    </row>
    <row r="5067" spans="1:28" ht="24" x14ac:dyDescent="0.25">
      <c r="A5067" s="405">
        <v>3003965</v>
      </c>
      <c r="B5067" s="406">
        <v>42607</v>
      </c>
      <c r="C5067" s="405" t="s">
        <v>237</v>
      </c>
      <c r="D5067" s="401" t="s">
        <v>11145</v>
      </c>
      <c r="E5067" s="120">
        <v>250</v>
      </c>
      <c r="F5067" s="133" t="s">
        <v>173</v>
      </c>
      <c r="G5067" s="404" t="s">
        <v>45</v>
      </c>
      <c r="H5067" s="411">
        <v>267</v>
      </c>
      <c r="I5067" s="397">
        <f t="shared" ref="I5067" si="1487">-(H5067*0.15)</f>
        <v>-40.049999999999997</v>
      </c>
      <c r="J5067" s="411">
        <v>0</v>
      </c>
      <c r="K5067" s="90">
        <f t="shared" si="1483"/>
        <v>226.95</v>
      </c>
      <c r="L5067" s="131">
        <v>409</v>
      </c>
      <c r="M5067" s="187">
        <v>25.36</v>
      </c>
      <c r="N5067" s="91">
        <f t="shared" si="1451"/>
        <v>127.61</v>
      </c>
      <c r="O5067" s="411">
        <f t="shared" si="1482"/>
        <v>99.339999999999989</v>
      </c>
      <c r="P5067" s="132" t="s">
        <v>52</v>
      </c>
      <c r="Q5067" s="232"/>
      <c r="R5067" s="411"/>
      <c r="T5067" s="134" t="s">
        <v>145</v>
      </c>
      <c r="U5067" s="267" t="s">
        <v>11146</v>
      </c>
      <c r="AA5067" s="218"/>
    </row>
    <row r="5068" spans="1:28" ht="24" x14ac:dyDescent="0.25">
      <c r="A5068" s="405">
        <v>3003966</v>
      </c>
      <c r="B5068" s="406">
        <v>42607</v>
      </c>
      <c r="C5068" s="405" t="s">
        <v>237</v>
      </c>
      <c r="D5068" s="401" t="s">
        <v>11147</v>
      </c>
      <c r="E5068" s="120">
        <v>50</v>
      </c>
      <c r="F5068" s="133" t="s">
        <v>288</v>
      </c>
      <c r="G5068" s="404" t="s">
        <v>45</v>
      </c>
      <c r="H5068" s="411">
        <v>110.04</v>
      </c>
      <c r="I5068" s="397">
        <f t="shared" ref="I5068" si="1488">-(H5068*0.15)</f>
        <v>-16.506</v>
      </c>
      <c r="J5068" s="411">
        <v>0</v>
      </c>
      <c r="K5068" s="90">
        <f t="shared" si="1483"/>
        <v>93.534000000000006</v>
      </c>
      <c r="L5068" s="131">
        <v>950</v>
      </c>
      <c r="M5068" s="187">
        <v>24.24</v>
      </c>
      <c r="N5068" s="91">
        <f t="shared" si="1451"/>
        <v>71.739999999999995</v>
      </c>
      <c r="O5068" s="411">
        <f t="shared" si="1482"/>
        <v>21.794000000000011</v>
      </c>
      <c r="P5068" s="132" t="s">
        <v>52</v>
      </c>
      <c r="Q5068" s="232"/>
      <c r="R5068" s="411"/>
      <c r="T5068" s="134" t="s">
        <v>145</v>
      </c>
      <c r="U5068" s="267" t="s">
        <v>11148</v>
      </c>
      <c r="AA5068" s="218"/>
    </row>
    <row r="5069" spans="1:28" ht="24" x14ac:dyDescent="0.25">
      <c r="A5069" s="405">
        <v>3003967</v>
      </c>
      <c r="B5069" s="406">
        <v>42607</v>
      </c>
      <c r="C5069" s="405" t="s">
        <v>237</v>
      </c>
      <c r="D5069" s="401" t="s">
        <v>11149</v>
      </c>
      <c r="E5069" s="120">
        <v>100</v>
      </c>
      <c r="F5069" s="133" t="s">
        <v>288</v>
      </c>
      <c r="G5069" s="404" t="s">
        <v>45</v>
      </c>
      <c r="H5069" s="411">
        <v>193.04</v>
      </c>
      <c r="I5069" s="397">
        <f t="shared" ref="I5069" si="1489">-(H5069*0.15)</f>
        <v>-28.955999999999996</v>
      </c>
      <c r="J5069" s="411">
        <v>0</v>
      </c>
      <c r="K5069" s="90">
        <f t="shared" si="1483"/>
        <v>164.084</v>
      </c>
      <c r="L5069" s="131">
        <v>950</v>
      </c>
      <c r="M5069" s="187">
        <v>34.979999999999997</v>
      </c>
      <c r="N5069" s="91">
        <f t="shared" si="1451"/>
        <v>129.97999999999999</v>
      </c>
      <c r="O5069" s="411">
        <f t="shared" si="1482"/>
        <v>34.104000000000013</v>
      </c>
      <c r="P5069" s="132" t="s">
        <v>52</v>
      </c>
      <c r="Q5069" s="232"/>
      <c r="R5069" s="411"/>
      <c r="T5069" s="134" t="s">
        <v>145</v>
      </c>
      <c r="U5069" s="267" t="s">
        <v>11150</v>
      </c>
      <c r="AA5069" s="218"/>
    </row>
    <row r="5070" spans="1:28" ht="24" x14ac:dyDescent="0.25">
      <c r="A5070" s="405">
        <v>3003968</v>
      </c>
      <c r="B5070" s="406">
        <v>42607</v>
      </c>
      <c r="C5070" s="405" t="s">
        <v>237</v>
      </c>
      <c r="D5070" s="401" t="s">
        <v>11151</v>
      </c>
      <c r="E5070" s="120">
        <v>200</v>
      </c>
      <c r="F5070" s="133" t="s">
        <v>247</v>
      </c>
      <c r="G5070" s="404" t="s">
        <v>45</v>
      </c>
      <c r="H5070" s="411">
        <v>225</v>
      </c>
      <c r="I5070" s="397">
        <f t="shared" ref="I5070" si="1490">-(H5070*0.15)</f>
        <v>-33.75</v>
      </c>
      <c r="J5070" s="411">
        <v>0</v>
      </c>
      <c r="K5070" s="90">
        <f t="shared" si="1483"/>
        <v>191.25</v>
      </c>
      <c r="L5070" s="131">
        <v>480</v>
      </c>
      <c r="M5070" s="187">
        <v>39.72</v>
      </c>
      <c r="N5070" s="91">
        <f t="shared" si="1451"/>
        <v>135.72</v>
      </c>
      <c r="O5070" s="411">
        <f t="shared" si="1482"/>
        <v>55.53</v>
      </c>
      <c r="P5070" s="132" t="s">
        <v>52</v>
      </c>
      <c r="Q5070" s="232"/>
      <c r="R5070" s="411"/>
      <c r="T5070" s="134" t="s">
        <v>145</v>
      </c>
      <c r="U5070" s="267" t="s">
        <v>11152</v>
      </c>
      <c r="AA5070" s="218"/>
    </row>
    <row r="5071" spans="1:28" ht="24" x14ac:dyDescent="0.25">
      <c r="A5071" s="405">
        <v>3003969</v>
      </c>
      <c r="B5071" s="406">
        <v>42607</v>
      </c>
      <c r="C5071" s="405" t="s">
        <v>237</v>
      </c>
      <c r="D5071" s="401" t="s">
        <v>11153</v>
      </c>
      <c r="E5071" s="120">
        <v>50</v>
      </c>
      <c r="F5071" s="133" t="s">
        <v>8658</v>
      </c>
      <c r="G5071" s="404" t="s">
        <v>45</v>
      </c>
      <c r="H5071" s="411">
        <v>140.72</v>
      </c>
      <c r="I5071" s="397">
        <f t="shared" ref="I5071" si="1491">-(H5071*0.15)</f>
        <v>-21.108000000000001</v>
      </c>
      <c r="J5071" s="411">
        <v>0</v>
      </c>
      <c r="K5071" s="90">
        <f t="shared" si="1483"/>
        <v>119.61199999999999</v>
      </c>
      <c r="L5071" s="187">
        <v>1350</v>
      </c>
      <c r="M5071" s="187">
        <v>8.93</v>
      </c>
      <c r="N5071" s="91">
        <f t="shared" si="1451"/>
        <v>76.430000000000007</v>
      </c>
      <c r="O5071" s="411">
        <f t="shared" si="1482"/>
        <v>43.181999999999988</v>
      </c>
      <c r="P5071" s="132" t="s">
        <v>235</v>
      </c>
      <c r="Q5071" s="232"/>
      <c r="R5071" s="411"/>
      <c r="T5071" s="134" t="s">
        <v>145</v>
      </c>
      <c r="U5071" s="267" t="s">
        <v>11154</v>
      </c>
      <c r="AA5071" s="218"/>
    </row>
    <row r="5072" spans="1:28" ht="24" x14ac:dyDescent="0.25">
      <c r="A5072" s="405">
        <v>3003970</v>
      </c>
      <c r="B5072" s="406">
        <v>42607</v>
      </c>
      <c r="C5072" s="405" t="s">
        <v>237</v>
      </c>
      <c r="D5072" s="401" t="s">
        <v>11155</v>
      </c>
      <c r="E5072" s="120">
        <v>200</v>
      </c>
      <c r="F5072" s="133" t="s">
        <v>247</v>
      </c>
      <c r="G5072" s="404" t="s">
        <v>45</v>
      </c>
      <c r="H5072" s="411">
        <v>225</v>
      </c>
      <c r="I5072" s="397">
        <f t="shared" ref="I5072" si="1492">-(H5072*0.15)</f>
        <v>-33.75</v>
      </c>
      <c r="J5072" s="411">
        <v>0</v>
      </c>
      <c r="K5072" s="90">
        <f t="shared" si="1483"/>
        <v>191.25</v>
      </c>
      <c r="L5072" s="131">
        <v>480</v>
      </c>
      <c r="M5072" s="187">
        <v>35.56</v>
      </c>
      <c r="N5072" s="91">
        <f t="shared" si="1451"/>
        <v>131.56</v>
      </c>
      <c r="O5072" s="411">
        <f t="shared" si="1482"/>
        <v>59.69</v>
      </c>
      <c r="P5072" s="132" t="s">
        <v>52</v>
      </c>
      <c r="Q5072" s="232"/>
      <c r="R5072" s="411"/>
      <c r="T5072" s="134" t="s">
        <v>145</v>
      </c>
      <c r="U5072" s="267" t="s">
        <v>11156</v>
      </c>
      <c r="AA5072" s="218"/>
    </row>
    <row r="5073" spans="1:27" ht="36" x14ac:dyDescent="0.25">
      <c r="A5073" s="405">
        <v>3003971</v>
      </c>
      <c r="B5073" s="406">
        <v>42607</v>
      </c>
      <c r="C5073" s="405" t="s">
        <v>237</v>
      </c>
      <c r="D5073" s="401" t="s">
        <v>11157</v>
      </c>
      <c r="E5073" s="120">
        <v>200</v>
      </c>
      <c r="F5073" s="119" t="s">
        <v>11158</v>
      </c>
      <c r="G5073" s="404" t="s">
        <v>45</v>
      </c>
      <c r="H5073" s="411">
        <v>274.37</v>
      </c>
      <c r="I5073" s="397">
        <f t="shared" ref="I5073" si="1493">-(H5073*0.15)</f>
        <v>-41.155499999999996</v>
      </c>
      <c r="J5073" s="411">
        <v>0</v>
      </c>
      <c r="K5073" s="90">
        <f t="shared" si="1483"/>
        <v>233.21450000000002</v>
      </c>
      <c r="L5073" s="187">
        <v>203</v>
      </c>
      <c r="M5073" s="187">
        <v>28.01</v>
      </c>
      <c r="N5073" s="91">
        <f t="shared" si="1451"/>
        <v>68.61</v>
      </c>
      <c r="O5073" s="411">
        <f t="shared" si="1482"/>
        <v>164.60450000000003</v>
      </c>
      <c r="P5073" s="132" t="s">
        <v>313</v>
      </c>
      <c r="Q5073" s="232"/>
      <c r="R5073" s="411"/>
      <c r="T5073" s="134" t="s">
        <v>145</v>
      </c>
      <c r="U5073" s="267" t="s">
        <v>11159</v>
      </c>
      <c r="AA5073" s="218"/>
    </row>
    <row r="5074" spans="1:27" ht="24" x14ac:dyDescent="0.25">
      <c r="A5074" s="405">
        <v>3003972</v>
      </c>
      <c r="B5074" s="406">
        <v>42607</v>
      </c>
      <c r="C5074" s="405" t="s">
        <v>42</v>
      </c>
      <c r="D5074" s="401" t="s">
        <v>11160</v>
      </c>
      <c r="E5074" s="120">
        <v>75</v>
      </c>
      <c r="F5074" s="133" t="s">
        <v>1273</v>
      </c>
      <c r="G5074" s="404" t="s">
        <v>45</v>
      </c>
      <c r="H5074" s="411">
        <v>152</v>
      </c>
      <c r="I5074" s="89">
        <f>-(H5074*0.09)</f>
        <v>-13.68</v>
      </c>
      <c r="J5074" s="258">
        <f t="shared" ref="J5074" si="1494">-((H5074*0.019)+0.3)</f>
        <v>-3.1879999999999997</v>
      </c>
      <c r="K5074" s="90">
        <f t="shared" ref="K5074" si="1495">SUM(H5074:J5074)</f>
        <v>135.13200000000001</v>
      </c>
      <c r="L5074" s="131">
        <v>616</v>
      </c>
      <c r="M5074" s="187">
        <v>33.69</v>
      </c>
      <c r="N5074" s="91">
        <f t="shared" ref="N5074:N5090" si="1496">((L5074)*(E5074*0.001))+M5074</f>
        <v>79.889999999999986</v>
      </c>
      <c r="O5074" s="411">
        <f t="shared" si="1482"/>
        <v>55.242000000000019</v>
      </c>
      <c r="P5074" s="132" t="s">
        <v>52</v>
      </c>
      <c r="Q5074" s="232"/>
      <c r="R5074" s="411"/>
      <c r="T5074" s="134" t="s">
        <v>145</v>
      </c>
      <c r="U5074" s="267" t="s">
        <v>11161</v>
      </c>
      <c r="AA5074" s="218"/>
    </row>
    <row r="5075" spans="1:27" ht="24" x14ac:dyDescent="0.25">
      <c r="A5075" s="405">
        <v>3003973</v>
      </c>
      <c r="B5075" s="406">
        <v>42607</v>
      </c>
      <c r="C5075" s="405" t="s">
        <v>63</v>
      </c>
      <c r="D5075" s="401" t="s">
        <v>11162</v>
      </c>
      <c r="E5075" s="120">
        <v>100</v>
      </c>
      <c r="F5075" s="133" t="s">
        <v>11163</v>
      </c>
      <c r="G5075" s="404" t="s">
        <v>45</v>
      </c>
      <c r="H5075" s="411">
        <v>210</v>
      </c>
      <c r="I5075" s="411">
        <v>0</v>
      </c>
      <c r="J5075" s="258">
        <f>-((H5075*0.022)+0.3)</f>
        <v>-4.92</v>
      </c>
      <c r="K5075" s="90">
        <f>SUM(H5075:J5075)</f>
        <v>205.08</v>
      </c>
      <c r="L5075" s="187">
        <v>1250</v>
      </c>
      <c r="M5075" s="131">
        <v>0</v>
      </c>
      <c r="N5075" s="91">
        <f t="shared" si="1496"/>
        <v>125</v>
      </c>
      <c r="O5075" s="411">
        <f t="shared" si="1482"/>
        <v>80.080000000000013</v>
      </c>
      <c r="P5075" s="132" t="s">
        <v>235</v>
      </c>
      <c r="Q5075" s="232"/>
      <c r="R5075" s="411"/>
      <c r="T5075" s="134" t="s">
        <v>204</v>
      </c>
      <c r="U5075" s="266" t="s">
        <v>11164</v>
      </c>
      <c r="W5075" s="153" t="s">
        <v>11165</v>
      </c>
      <c r="AA5075" s="218"/>
    </row>
    <row r="5076" spans="1:27" ht="24" x14ac:dyDescent="0.25">
      <c r="A5076" s="405">
        <v>3003974</v>
      </c>
      <c r="B5076" s="406">
        <v>42607</v>
      </c>
      <c r="C5076" s="405" t="s">
        <v>42</v>
      </c>
      <c r="D5076" s="401" t="s">
        <v>11166</v>
      </c>
      <c r="E5076" s="120">
        <v>50</v>
      </c>
      <c r="F5076" s="133" t="s">
        <v>161</v>
      </c>
      <c r="G5076" s="404" t="s">
        <v>45</v>
      </c>
      <c r="H5076" s="411">
        <v>142.75</v>
      </c>
      <c r="I5076" s="89">
        <f>-(H5076*0.09)</f>
        <v>-12.8475</v>
      </c>
      <c r="J5076" s="258">
        <f t="shared" ref="J5076" si="1497">-((H5076*0.019)+0.3)</f>
        <v>-3.0122499999999999</v>
      </c>
      <c r="K5076" s="90">
        <f t="shared" ref="K5076:K5077" si="1498">SUM(H5076:J5076)</f>
        <v>126.89025000000001</v>
      </c>
      <c r="L5076" s="131">
        <v>1322</v>
      </c>
      <c r="M5076" s="187">
        <v>22.35</v>
      </c>
      <c r="N5076" s="91">
        <f t="shared" si="1496"/>
        <v>88.450000000000017</v>
      </c>
      <c r="O5076" s="411">
        <f t="shared" si="1482"/>
        <v>38.440249999999992</v>
      </c>
      <c r="P5076" s="132" t="s">
        <v>52</v>
      </c>
      <c r="Q5076" s="232"/>
      <c r="R5076" s="411"/>
      <c r="T5076" s="134" t="s">
        <v>145</v>
      </c>
      <c r="U5076" s="267" t="s">
        <v>11167</v>
      </c>
      <c r="AA5076" s="218"/>
    </row>
    <row r="5077" spans="1:27" ht="24" x14ac:dyDescent="0.25">
      <c r="A5077" s="405">
        <v>3003975</v>
      </c>
      <c r="B5077" s="406">
        <v>42607</v>
      </c>
      <c r="C5077" s="405" t="s">
        <v>56</v>
      </c>
      <c r="D5077" s="401" t="s">
        <v>1192</v>
      </c>
      <c r="E5077" s="120">
        <v>400</v>
      </c>
      <c r="F5077" s="119" t="s">
        <v>11168</v>
      </c>
      <c r="G5077" s="404" t="s">
        <v>45</v>
      </c>
      <c r="H5077" s="411">
        <v>1020</v>
      </c>
      <c r="I5077" s="411">
        <v>0</v>
      </c>
      <c r="J5077" s="411">
        <v>0</v>
      </c>
      <c r="K5077" s="90">
        <f t="shared" si="1498"/>
        <v>1020</v>
      </c>
      <c r="N5077" s="91">
        <f t="shared" si="1496"/>
        <v>0</v>
      </c>
      <c r="O5077" s="411">
        <f t="shared" si="1482"/>
        <v>1020</v>
      </c>
      <c r="P5077" s="132" t="s">
        <v>1229</v>
      </c>
      <c r="Q5077" s="232"/>
      <c r="R5077" s="411"/>
      <c r="T5077" s="134"/>
      <c r="U5077" s="266"/>
      <c r="V5077" s="133" t="s">
        <v>9706</v>
      </c>
      <c r="AA5077" s="218"/>
    </row>
    <row r="5078" spans="1:27" ht="24" x14ac:dyDescent="0.25">
      <c r="A5078" s="405">
        <v>3003976</v>
      </c>
      <c r="B5078" s="406">
        <v>42608</v>
      </c>
      <c r="C5078" s="405" t="s">
        <v>42</v>
      </c>
      <c r="D5078" s="401" t="s">
        <v>11169</v>
      </c>
      <c r="E5078" s="120">
        <v>175</v>
      </c>
      <c r="F5078" s="133" t="s">
        <v>829</v>
      </c>
      <c r="G5078" s="404" t="s">
        <v>45</v>
      </c>
      <c r="H5078" s="411">
        <v>191.86</v>
      </c>
      <c r="I5078" s="89">
        <f t="shared" ref="I5078:I5084" si="1499">-(H5078*0.09)</f>
        <v>-17.267400000000002</v>
      </c>
      <c r="J5078" s="258">
        <f t="shared" ref="J5078" si="1500">-((H5078*0.019)+0.3)</f>
        <v>-3.9453399999999998</v>
      </c>
      <c r="K5078" s="90">
        <f t="shared" ref="K5078" si="1501">SUM(H5078:J5078)</f>
        <v>170.64726000000002</v>
      </c>
      <c r="L5078" s="131">
        <v>510</v>
      </c>
      <c r="M5078" s="187">
        <v>22.69</v>
      </c>
      <c r="N5078" s="91">
        <f t="shared" si="1496"/>
        <v>111.94000000000001</v>
      </c>
      <c r="O5078" s="411">
        <f t="shared" si="1482"/>
        <v>58.707260000000005</v>
      </c>
      <c r="P5078" s="132" t="s">
        <v>52</v>
      </c>
      <c r="Q5078" s="232"/>
      <c r="R5078" s="411"/>
      <c r="T5078" s="134" t="s">
        <v>145</v>
      </c>
      <c r="U5078" s="267" t="s">
        <v>11170</v>
      </c>
      <c r="AA5078" s="218"/>
    </row>
    <row r="5079" spans="1:27" x14ac:dyDescent="0.25">
      <c r="A5079" s="405">
        <v>3003977</v>
      </c>
      <c r="B5079" s="406">
        <v>42608</v>
      </c>
      <c r="C5079" s="405" t="s">
        <v>42</v>
      </c>
      <c r="D5079" s="401" t="s">
        <v>11171</v>
      </c>
      <c r="E5079" s="120">
        <v>450</v>
      </c>
      <c r="F5079" s="133" t="s">
        <v>51</v>
      </c>
      <c r="G5079" s="404" t="s">
        <v>45</v>
      </c>
      <c r="H5079" s="411">
        <v>1000</v>
      </c>
      <c r="I5079" s="89">
        <f t="shared" si="1499"/>
        <v>-90</v>
      </c>
      <c r="J5079" s="258">
        <f t="shared" ref="J5079" si="1502">-((H5079*0.019)+0.3)</f>
        <v>-19.3</v>
      </c>
      <c r="K5079" s="90">
        <f t="shared" ref="K5079" si="1503">SUM(H5079:J5079)</f>
        <v>890.7</v>
      </c>
      <c r="L5079" s="187">
        <v>1144</v>
      </c>
      <c r="M5079" s="187">
        <v>155.44</v>
      </c>
      <c r="N5079" s="91">
        <f t="shared" si="1496"/>
        <v>670.24</v>
      </c>
      <c r="O5079" s="411">
        <f t="shared" si="1482"/>
        <v>220.46000000000004</v>
      </c>
      <c r="P5079" s="132" t="s">
        <v>3597</v>
      </c>
      <c r="Q5079" s="232"/>
      <c r="R5079" s="411"/>
      <c r="T5079" s="134" t="s">
        <v>3598</v>
      </c>
      <c r="U5079" s="267" t="s">
        <v>11172</v>
      </c>
      <c r="AA5079" s="218"/>
    </row>
    <row r="5080" spans="1:27" ht="24" x14ac:dyDescent="0.25">
      <c r="A5080" s="405">
        <v>3003978</v>
      </c>
      <c r="B5080" s="406">
        <v>42608</v>
      </c>
      <c r="C5080" s="405" t="s">
        <v>42</v>
      </c>
      <c r="D5080" s="401" t="s">
        <v>11173</v>
      </c>
      <c r="E5080" s="120">
        <v>100</v>
      </c>
      <c r="F5080" s="133" t="s">
        <v>8178</v>
      </c>
      <c r="G5080" s="404" t="s">
        <v>45</v>
      </c>
      <c r="H5080" s="411">
        <v>130</v>
      </c>
      <c r="I5080" s="89">
        <f t="shared" si="1499"/>
        <v>-11.7</v>
      </c>
      <c r="J5080" s="258">
        <f t="shared" ref="J5080" si="1504">-((H5080*0.019)+0.3)</f>
        <v>-2.7699999999999996</v>
      </c>
      <c r="K5080" s="90">
        <f t="shared" ref="K5080" si="1505">SUM(H5080:J5080)</f>
        <v>115.53</v>
      </c>
      <c r="M5080" s="187">
        <v>27.98</v>
      </c>
      <c r="N5080" s="91">
        <f t="shared" si="1496"/>
        <v>27.98</v>
      </c>
      <c r="O5080" s="411">
        <f t="shared" si="1482"/>
        <v>87.55</v>
      </c>
      <c r="P5080" s="132" t="s">
        <v>52</v>
      </c>
      <c r="Q5080" s="232"/>
      <c r="R5080" s="411"/>
      <c r="T5080" s="134" t="s">
        <v>145</v>
      </c>
      <c r="U5080" s="267" t="s">
        <v>11174</v>
      </c>
      <c r="AA5080" s="218"/>
    </row>
    <row r="5081" spans="1:27" x14ac:dyDescent="0.25">
      <c r="A5081" s="405">
        <v>3003979</v>
      </c>
      <c r="B5081" s="406">
        <v>42608</v>
      </c>
      <c r="C5081" s="405" t="s">
        <v>42</v>
      </c>
      <c r="D5081" s="401" t="s">
        <v>11175</v>
      </c>
      <c r="E5081" s="120">
        <v>800</v>
      </c>
      <c r="F5081" s="133" t="s">
        <v>422</v>
      </c>
      <c r="G5081" s="404" t="s">
        <v>45</v>
      </c>
      <c r="H5081" s="411">
        <v>1300</v>
      </c>
      <c r="I5081" s="89">
        <f t="shared" si="1499"/>
        <v>-117</v>
      </c>
      <c r="J5081" s="258">
        <f t="shared" ref="J5081" si="1506">-((H5081*0.019)+0.3)</f>
        <v>-25</v>
      </c>
      <c r="K5081" s="90">
        <f t="shared" ref="K5081" si="1507">SUM(H5081:J5081)</f>
        <v>1158</v>
      </c>
      <c r="L5081" s="187">
        <v>905</v>
      </c>
      <c r="M5081" s="187">
        <v>156.16</v>
      </c>
      <c r="N5081" s="91">
        <f t="shared" si="1496"/>
        <v>880.16</v>
      </c>
      <c r="O5081" s="411">
        <f t="shared" si="1482"/>
        <v>277.84000000000003</v>
      </c>
      <c r="P5081" s="132" t="s">
        <v>183</v>
      </c>
      <c r="Q5081" s="232"/>
      <c r="R5081" s="411"/>
      <c r="T5081" s="134" t="s">
        <v>3598</v>
      </c>
      <c r="U5081" s="267" t="s">
        <v>11176</v>
      </c>
      <c r="AA5081" s="218"/>
    </row>
    <row r="5082" spans="1:27" ht="24" x14ac:dyDescent="0.25">
      <c r="A5082" s="405">
        <v>3003980</v>
      </c>
      <c r="B5082" s="406">
        <v>42608</v>
      </c>
      <c r="C5082" s="405" t="s">
        <v>42</v>
      </c>
      <c r="D5082" s="401" t="s">
        <v>11177</v>
      </c>
      <c r="E5082" s="120">
        <v>500</v>
      </c>
      <c r="F5082" s="133" t="s">
        <v>451</v>
      </c>
      <c r="G5082" s="404" t="s">
        <v>45</v>
      </c>
      <c r="H5082" s="411">
        <v>291.85000000000002</v>
      </c>
      <c r="I5082" s="89">
        <f t="shared" si="1499"/>
        <v>-26.266500000000001</v>
      </c>
      <c r="J5082" s="258">
        <f t="shared" ref="J5082" si="1508">-((H5082*0.019)+0.3)</f>
        <v>-5.8451500000000003</v>
      </c>
      <c r="K5082" s="90">
        <f t="shared" ref="K5082" si="1509">SUM(H5082:J5082)</f>
        <v>259.73835000000003</v>
      </c>
      <c r="L5082" s="131">
        <v>300</v>
      </c>
      <c r="M5082" s="187">
        <v>51.38</v>
      </c>
      <c r="N5082" s="91">
        <f t="shared" si="1496"/>
        <v>201.38</v>
      </c>
      <c r="O5082" s="411">
        <f t="shared" si="1482"/>
        <v>58.35835000000003</v>
      </c>
      <c r="P5082" s="132" t="s">
        <v>52</v>
      </c>
      <c r="Q5082" s="232"/>
      <c r="R5082" s="411"/>
      <c r="T5082" s="134" t="s">
        <v>145</v>
      </c>
      <c r="U5082" s="267" t="s">
        <v>11178</v>
      </c>
      <c r="AA5082" s="218"/>
    </row>
    <row r="5083" spans="1:27" ht="24" x14ac:dyDescent="0.25">
      <c r="A5083" s="405">
        <v>3003981</v>
      </c>
      <c r="B5083" s="406">
        <v>42608</v>
      </c>
      <c r="C5083" s="405" t="s">
        <v>42</v>
      </c>
      <c r="D5083" s="401" t="s">
        <v>11179</v>
      </c>
      <c r="E5083" s="120">
        <v>200</v>
      </c>
      <c r="F5083" s="133" t="s">
        <v>2949</v>
      </c>
      <c r="G5083" s="404" t="s">
        <v>45</v>
      </c>
      <c r="H5083" s="411">
        <v>492.48</v>
      </c>
      <c r="I5083" s="89">
        <f t="shared" si="1499"/>
        <v>-44.3232</v>
      </c>
      <c r="J5083" s="258">
        <f t="shared" ref="J5083" si="1510">-((H5083*0.019)+0.3)</f>
        <v>-9.6571200000000008</v>
      </c>
      <c r="K5083" s="90">
        <f t="shared" ref="K5083" si="1511">SUM(H5083:J5083)</f>
        <v>438.49968000000001</v>
      </c>
      <c r="L5083" s="131">
        <v>1154</v>
      </c>
      <c r="M5083" s="187">
        <v>43</v>
      </c>
      <c r="N5083" s="91">
        <f t="shared" si="1496"/>
        <v>273.8</v>
      </c>
      <c r="O5083" s="411">
        <f t="shared" si="1482"/>
        <v>164.69968</v>
      </c>
      <c r="P5083" s="132" t="s">
        <v>52</v>
      </c>
      <c r="Q5083" s="232"/>
      <c r="R5083" s="411">
        <v>36.479999999999997</v>
      </c>
      <c r="S5083" s="133" t="s">
        <v>5572</v>
      </c>
      <c r="T5083" s="134" t="s">
        <v>145</v>
      </c>
      <c r="U5083" s="267" t="s">
        <v>11180</v>
      </c>
      <c r="AA5083" s="218"/>
    </row>
    <row r="5084" spans="1:27" ht="24" x14ac:dyDescent="0.25">
      <c r="A5084" s="405">
        <v>3003982</v>
      </c>
      <c r="B5084" s="406">
        <v>42608</v>
      </c>
      <c r="C5084" s="405" t="s">
        <v>42</v>
      </c>
      <c r="D5084" s="401" t="s">
        <v>11181</v>
      </c>
      <c r="E5084" s="120">
        <v>250</v>
      </c>
      <c r="F5084" s="133" t="s">
        <v>972</v>
      </c>
      <c r="G5084" s="404" t="s">
        <v>45</v>
      </c>
      <c r="H5084" s="411">
        <v>108.9</v>
      </c>
      <c r="I5084" s="89">
        <f t="shared" si="1499"/>
        <v>-9.8010000000000002</v>
      </c>
      <c r="J5084" s="258">
        <f t="shared" ref="J5084" si="1512">-((H5084*0.019)+0.3)</f>
        <v>-2.3691</v>
      </c>
      <c r="K5084" s="90">
        <f t="shared" ref="K5084" si="1513">SUM(H5084:J5084)</f>
        <v>96.729900000000001</v>
      </c>
      <c r="L5084" s="131">
        <v>205</v>
      </c>
      <c r="M5084" s="187">
        <v>17.260000000000002</v>
      </c>
      <c r="N5084" s="91">
        <f t="shared" si="1496"/>
        <v>68.510000000000005</v>
      </c>
      <c r="O5084" s="411">
        <f t="shared" si="1482"/>
        <v>28.219899999999996</v>
      </c>
      <c r="P5084" s="132" t="s">
        <v>52</v>
      </c>
      <c r="Q5084" s="232"/>
      <c r="R5084" s="411"/>
      <c r="T5084" s="134" t="s">
        <v>145</v>
      </c>
      <c r="U5084" s="267" t="s">
        <v>11182</v>
      </c>
      <c r="AA5084" s="218"/>
    </row>
    <row r="5085" spans="1:27" ht="24" x14ac:dyDescent="0.25">
      <c r="A5085" s="405">
        <v>3003983</v>
      </c>
      <c r="B5085" s="406">
        <v>42608</v>
      </c>
      <c r="C5085" s="405" t="s">
        <v>63</v>
      </c>
      <c r="D5085" s="401" t="s">
        <v>7439</v>
      </c>
      <c r="E5085" s="120">
        <v>250</v>
      </c>
      <c r="F5085" s="133" t="s">
        <v>307</v>
      </c>
      <c r="G5085" s="404" t="s">
        <v>45</v>
      </c>
      <c r="H5085" s="411">
        <v>325</v>
      </c>
      <c r="I5085" s="411">
        <v>0</v>
      </c>
      <c r="J5085" s="258">
        <f>-((H5085*0.022)+0.3)</f>
        <v>-7.4499999999999993</v>
      </c>
      <c r="K5085" s="90">
        <f t="shared" ref="K5085:K5092" si="1514">SUM(H5085:J5085)</f>
        <v>317.55</v>
      </c>
      <c r="L5085" s="187">
        <v>622.45000000000005</v>
      </c>
      <c r="M5085" s="224">
        <v>58.37</v>
      </c>
      <c r="N5085" s="91">
        <f t="shared" si="1496"/>
        <v>213.98250000000002</v>
      </c>
      <c r="O5085" s="411">
        <f t="shared" si="1482"/>
        <v>103.5675</v>
      </c>
      <c r="P5085" s="132" t="s">
        <v>46</v>
      </c>
      <c r="Q5085" s="232"/>
      <c r="R5085" s="411"/>
      <c r="T5085" s="134" t="s">
        <v>324</v>
      </c>
      <c r="U5085" s="266" t="s">
        <v>11183</v>
      </c>
      <c r="W5085" s="153" t="s">
        <v>7442</v>
      </c>
      <c r="AA5085" s="218"/>
    </row>
    <row r="5086" spans="1:27" ht="24" x14ac:dyDescent="0.25">
      <c r="A5086" s="405">
        <v>3003984</v>
      </c>
      <c r="B5086" s="406">
        <v>42608</v>
      </c>
      <c r="C5086" s="405" t="s">
        <v>237</v>
      </c>
      <c r="D5086" s="401" t="s">
        <v>11184</v>
      </c>
      <c r="E5086" s="120">
        <v>200</v>
      </c>
      <c r="F5086" s="133" t="s">
        <v>175</v>
      </c>
      <c r="G5086" s="404" t="s">
        <v>45</v>
      </c>
      <c r="H5086" s="411">
        <v>118.2</v>
      </c>
      <c r="I5086" s="397">
        <f t="shared" ref="I5086" si="1515">-(H5086*0.15)</f>
        <v>-17.73</v>
      </c>
      <c r="J5086" s="411">
        <v>0</v>
      </c>
      <c r="K5086" s="90">
        <f t="shared" si="1514"/>
        <v>100.47</v>
      </c>
      <c r="L5086" s="131">
        <v>250</v>
      </c>
      <c r="M5086" s="187">
        <v>23.79</v>
      </c>
      <c r="N5086" s="91">
        <f t="shared" si="1496"/>
        <v>73.789999999999992</v>
      </c>
      <c r="O5086" s="411">
        <f t="shared" si="1482"/>
        <v>26.680000000000007</v>
      </c>
      <c r="P5086" s="132" t="s">
        <v>52</v>
      </c>
      <c r="Q5086" s="232"/>
      <c r="R5086" s="411"/>
      <c r="T5086" s="134" t="s">
        <v>145</v>
      </c>
      <c r="U5086" s="267" t="s">
        <v>11185</v>
      </c>
      <c r="AA5086" s="218"/>
    </row>
    <row r="5087" spans="1:27" ht="24" x14ac:dyDescent="0.25">
      <c r="A5087" s="405">
        <v>3003985</v>
      </c>
      <c r="B5087" s="406">
        <v>42608</v>
      </c>
      <c r="C5087" s="405" t="s">
        <v>237</v>
      </c>
      <c r="D5087" s="401" t="s">
        <v>11186</v>
      </c>
      <c r="E5087" s="120">
        <v>100</v>
      </c>
      <c r="F5087" s="133" t="s">
        <v>161</v>
      </c>
      <c r="G5087" s="404" t="s">
        <v>45</v>
      </c>
      <c r="H5087" s="411">
        <v>237.6</v>
      </c>
      <c r="I5087" s="397">
        <f t="shared" ref="I5087" si="1516">-(H5087*0.15)</f>
        <v>-35.64</v>
      </c>
      <c r="J5087" s="411">
        <v>0</v>
      </c>
      <c r="K5087" s="90">
        <f t="shared" si="1514"/>
        <v>201.95999999999998</v>
      </c>
      <c r="L5087" s="131">
        <v>1322</v>
      </c>
      <c r="M5087" s="187">
        <v>39.630000000000003</v>
      </c>
      <c r="N5087" s="91">
        <f t="shared" si="1496"/>
        <v>171.83</v>
      </c>
      <c r="O5087" s="411">
        <f t="shared" si="1482"/>
        <v>30.129999999999967</v>
      </c>
      <c r="P5087" s="132" t="s">
        <v>52</v>
      </c>
      <c r="Q5087" s="232"/>
      <c r="R5087" s="411"/>
      <c r="T5087" s="134" t="s">
        <v>145</v>
      </c>
      <c r="U5087" s="267" t="s">
        <v>11187</v>
      </c>
      <c r="AA5087" s="218"/>
    </row>
    <row r="5088" spans="1:27" ht="24" x14ac:dyDescent="0.25">
      <c r="A5088" s="405">
        <v>3003986</v>
      </c>
      <c r="B5088" s="406">
        <v>42608</v>
      </c>
      <c r="C5088" s="405" t="s">
        <v>237</v>
      </c>
      <c r="D5088" s="401" t="s">
        <v>11188</v>
      </c>
      <c r="E5088" s="120">
        <v>100</v>
      </c>
      <c r="F5088" s="133" t="s">
        <v>3719</v>
      </c>
      <c r="G5088" s="404" t="s">
        <v>45</v>
      </c>
      <c r="H5088" s="411">
        <v>180.18</v>
      </c>
      <c r="I5088" s="397">
        <f t="shared" ref="I5088" si="1517">-(H5088*0.15)</f>
        <v>-27.027000000000001</v>
      </c>
      <c r="J5088" s="411">
        <v>0</v>
      </c>
      <c r="K5088" s="90">
        <f t="shared" si="1514"/>
        <v>153.15300000000002</v>
      </c>
      <c r="L5088" s="187">
        <v>1150</v>
      </c>
      <c r="M5088" s="187">
        <v>21.23</v>
      </c>
      <c r="N5088" s="91">
        <f t="shared" si="1496"/>
        <v>136.22999999999999</v>
      </c>
      <c r="O5088" s="411">
        <f t="shared" si="1482"/>
        <v>16.92300000000003</v>
      </c>
      <c r="P5088" s="132" t="s">
        <v>601</v>
      </c>
      <c r="Q5088" s="232"/>
      <c r="R5088" s="411"/>
      <c r="T5088" s="134" t="s">
        <v>145</v>
      </c>
      <c r="U5088" s="267" t="s">
        <v>11189</v>
      </c>
      <c r="AA5088" s="218"/>
    </row>
    <row r="5089" spans="1:27" ht="24" x14ac:dyDescent="0.25">
      <c r="A5089" s="405">
        <v>3003987</v>
      </c>
      <c r="B5089" s="406">
        <v>42608</v>
      </c>
      <c r="C5089" s="405" t="s">
        <v>237</v>
      </c>
      <c r="D5089" s="401" t="s">
        <v>11190</v>
      </c>
      <c r="E5089" s="120">
        <v>50</v>
      </c>
      <c r="F5089" s="133" t="s">
        <v>341</v>
      </c>
      <c r="G5089" s="404" t="s">
        <v>45</v>
      </c>
      <c r="H5089" s="411">
        <v>118.8</v>
      </c>
      <c r="I5089" s="397">
        <f t="shared" ref="I5089" si="1518">-(H5089*0.15)</f>
        <v>-17.82</v>
      </c>
      <c r="J5089" s="411">
        <v>0</v>
      </c>
      <c r="K5089" s="90">
        <f t="shared" si="1514"/>
        <v>100.97999999999999</v>
      </c>
      <c r="L5089" s="131">
        <v>698</v>
      </c>
      <c r="M5089" s="187">
        <v>37.090000000000003</v>
      </c>
      <c r="N5089" s="91">
        <f t="shared" si="1496"/>
        <v>71.990000000000009</v>
      </c>
      <c r="O5089" s="411">
        <f t="shared" si="1482"/>
        <v>28.989999999999981</v>
      </c>
      <c r="P5089" s="132" t="s">
        <v>52</v>
      </c>
      <c r="Q5089" s="232"/>
      <c r="R5089" s="411"/>
      <c r="T5089" s="134" t="s">
        <v>145</v>
      </c>
      <c r="U5089" s="267" t="s">
        <v>11191</v>
      </c>
      <c r="AA5089" s="218"/>
    </row>
    <row r="5090" spans="1:27" x14ac:dyDescent="0.25">
      <c r="A5090" s="405">
        <v>3003988</v>
      </c>
      <c r="B5090" s="406">
        <v>42608</v>
      </c>
      <c r="C5090" s="405" t="s">
        <v>327</v>
      </c>
      <c r="D5090" s="401" t="s">
        <v>4323</v>
      </c>
      <c r="E5090" s="120">
        <v>140</v>
      </c>
      <c r="F5090" s="133" t="s">
        <v>5347</v>
      </c>
      <c r="G5090" s="404" t="s">
        <v>45</v>
      </c>
      <c r="H5090" s="411">
        <v>2058</v>
      </c>
      <c r="I5090" s="411">
        <v>0</v>
      </c>
      <c r="J5090" s="258">
        <f>-((H5090*0.022)+0.3)</f>
        <v>-45.575999999999993</v>
      </c>
      <c r="K5090" s="90">
        <f t="shared" si="1514"/>
        <v>2012.424</v>
      </c>
      <c r="L5090" s="187">
        <v>11440</v>
      </c>
      <c r="M5090" s="224">
        <v>162.12</v>
      </c>
      <c r="N5090" s="91">
        <f t="shared" si="1496"/>
        <v>1763.7200000000003</v>
      </c>
      <c r="O5090" s="411">
        <f t="shared" si="1482"/>
        <v>248.70399999999972</v>
      </c>
      <c r="P5090" s="132" t="s">
        <v>183</v>
      </c>
      <c r="Q5090" s="232"/>
      <c r="R5090" s="411"/>
      <c r="T5090" s="134" t="s">
        <v>67</v>
      </c>
      <c r="U5090" s="267" t="s">
        <v>11192</v>
      </c>
      <c r="W5090" s="153" t="s">
        <v>4325</v>
      </c>
      <c r="AA5090" s="218">
        <v>10</v>
      </c>
    </row>
    <row r="5091" spans="1:27" ht="24" x14ac:dyDescent="0.25">
      <c r="A5091" s="405">
        <v>3003989</v>
      </c>
      <c r="B5091" s="406">
        <v>42608</v>
      </c>
      <c r="C5091" s="405" t="s">
        <v>63</v>
      </c>
      <c r="D5091" s="401" t="s">
        <v>5010</v>
      </c>
      <c r="E5091" s="120">
        <v>50</v>
      </c>
      <c r="F5091" s="133" t="s">
        <v>4602</v>
      </c>
      <c r="G5091" s="404" t="s">
        <v>45</v>
      </c>
      <c r="H5091" s="411">
        <v>350</v>
      </c>
      <c r="I5091" s="411">
        <v>0</v>
      </c>
      <c r="J5091" s="258">
        <f>-((H5091*0.022)+0.3)</f>
        <v>-7.9999999999999991</v>
      </c>
      <c r="K5091" s="90">
        <f t="shared" si="1514"/>
        <v>342</v>
      </c>
      <c r="L5091" s="187">
        <v>3700</v>
      </c>
      <c r="M5091" s="187">
        <v>65.040000000000006</v>
      </c>
      <c r="N5091" s="91">
        <f t="shared" ref="N5091:N5146" si="1519">((L5091)*(E5091*0.001))+M5091</f>
        <v>250.04000000000002</v>
      </c>
      <c r="O5091" s="411">
        <f t="shared" si="1482"/>
        <v>91.95999999999998</v>
      </c>
      <c r="P5091" s="132" t="s">
        <v>183</v>
      </c>
      <c r="Q5091" s="232"/>
      <c r="R5091" s="411"/>
      <c r="T5091" s="134" t="s">
        <v>145</v>
      </c>
      <c r="U5091" s="267" t="s">
        <v>11193</v>
      </c>
      <c r="W5091" s="153" t="s">
        <v>5012</v>
      </c>
      <c r="AA5091" s="218"/>
    </row>
    <row r="5092" spans="1:27" ht="24" x14ac:dyDescent="0.25">
      <c r="A5092" s="405">
        <v>3003990</v>
      </c>
      <c r="B5092" s="406">
        <v>42608</v>
      </c>
      <c r="C5092" s="405" t="s">
        <v>237</v>
      </c>
      <c r="D5092" s="401" t="s">
        <v>11194</v>
      </c>
      <c r="E5092" s="120">
        <v>500</v>
      </c>
      <c r="F5092" s="133" t="s">
        <v>10165</v>
      </c>
      <c r="G5092" s="404" t="s">
        <v>45</v>
      </c>
      <c r="H5092" s="411">
        <v>294</v>
      </c>
      <c r="I5092" s="397">
        <f t="shared" ref="I5092" si="1520">-(H5092*0.15)</f>
        <v>-44.1</v>
      </c>
      <c r="J5092" s="411">
        <v>0</v>
      </c>
      <c r="K5092" s="90">
        <f t="shared" si="1514"/>
        <v>249.9</v>
      </c>
      <c r="L5092" s="187">
        <v>330</v>
      </c>
      <c r="M5092" s="187">
        <v>30.76</v>
      </c>
      <c r="N5092" s="91">
        <f t="shared" si="1519"/>
        <v>195.76</v>
      </c>
      <c r="O5092" s="411">
        <f t="shared" si="1482"/>
        <v>54.140000000000015</v>
      </c>
      <c r="P5092" s="132" t="s">
        <v>601</v>
      </c>
      <c r="Q5092" s="232"/>
      <c r="R5092" s="411"/>
      <c r="T5092" s="134" t="s">
        <v>145</v>
      </c>
      <c r="U5092" s="267" t="s">
        <v>11195</v>
      </c>
      <c r="AA5092" s="218"/>
    </row>
    <row r="5093" spans="1:27" x14ac:dyDescent="0.25">
      <c r="A5093" s="405">
        <v>3003991</v>
      </c>
      <c r="B5093" s="406">
        <v>42608</v>
      </c>
      <c r="C5093" s="405" t="s">
        <v>42</v>
      </c>
      <c r="D5093" s="401" t="s">
        <v>11196</v>
      </c>
      <c r="E5093" s="120">
        <v>200</v>
      </c>
      <c r="F5093" s="133" t="s">
        <v>114</v>
      </c>
      <c r="G5093" s="404" t="s">
        <v>45</v>
      </c>
      <c r="H5093" s="411">
        <v>753.5</v>
      </c>
      <c r="I5093" s="89">
        <f>-(H5093*0.09)</f>
        <v>-67.814999999999998</v>
      </c>
      <c r="J5093" s="258">
        <f t="shared" ref="J5093" si="1521">-((H5093*0.019)+0.3)</f>
        <v>-14.6165</v>
      </c>
      <c r="K5093" s="90">
        <f t="shared" ref="K5093" si="1522">SUM(H5093:J5093)</f>
        <v>671.06849999999997</v>
      </c>
      <c r="L5093" s="187">
        <v>2100</v>
      </c>
      <c r="M5093" s="187">
        <v>105</v>
      </c>
      <c r="N5093" s="91">
        <f t="shared" si="1519"/>
        <v>525</v>
      </c>
      <c r="O5093" s="411">
        <f t="shared" si="1482"/>
        <v>146.06849999999997</v>
      </c>
      <c r="P5093" s="132" t="s">
        <v>183</v>
      </c>
      <c r="Q5093" s="232"/>
      <c r="R5093" s="411">
        <v>55.8</v>
      </c>
      <c r="S5093" s="133" t="s">
        <v>6373</v>
      </c>
      <c r="T5093" s="134" t="s">
        <v>717</v>
      </c>
      <c r="U5093" s="267" t="s">
        <v>11197</v>
      </c>
      <c r="AA5093" s="218"/>
    </row>
    <row r="5094" spans="1:27" ht="24" x14ac:dyDescent="0.25">
      <c r="A5094" s="405">
        <v>3003992</v>
      </c>
      <c r="B5094" s="406">
        <v>42608</v>
      </c>
      <c r="C5094" s="405" t="s">
        <v>42</v>
      </c>
      <c r="D5094" s="401" t="s">
        <v>11198</v>
      </c>
      <c r="E5094" s="120">
        <v>60</v>
      </c>
      <c r="F5094" s="133" t="s">
        <v>11199</v>
      </c>
      <c r="G5094" s="404" t="s">
        <v>45</v>
      </c>
      <c r="H5094" s="411">
        <v>211.82</v>
      </c>
      <c r="I5094" s="89">
        <f>-(H5094*0.09)</f>
        <v>-19.063799999999997</v>
      </c>
      <c r="J5094" s="258">
        <f t="shared" ref="J5094" si="1523">-((H5094*0.019)+0.3)</f>
        <v>-4.3245799999999992</v>
      </c>
      <c r="K5094" s="90">
        <f t="shared" ref="K5094" si="1524">SUM(H5094:J5094)</f>
        <v>188.43162000000001</v>
      </c>
      <c r="L5094" s="187">
        <v>1800</v>
      </c>
      <c r="M5094" s="187">
        <v>33.72</v>
      </c>
      <c r="N5094" s="91">
        <f t="shared" si="1519"/>
        <v>141.72</v>
      </c>
      <c r="O5094" s="411">
        <f t="shared" si="1482"/>
        <v>46.711620000000011</v>
      </c>
      <c r="P5094" s="132" t="s">
        <v>183</v>
      </c>
      <c r="Q5094" s="232"/>
      <c r="R5094" s="411"/>
      <c r="T5094" s="134" t="s">
        <v>145</v>
      </c>
      <c r="U5094" s="267" t="s">
        <v>11200</v>
      </c>
      <c r="AA5094" s="218"/>
    </row>
    <row r="5095" spans="1:27" ht="24" x14ac:dyDescent="0.25">
      <c r="A5095" s="405">
        <v>3003993</v>
      </c>
      <c r="B5095" s="406">
        <v>42608</v>
      </c>
      <c r="C5095" s="405" t="s">
        <v>237</v>
      </c>
      <c r="D5095" s="401" t="s">
        <v>11201</v>
      </c>
      <c r="E5095" s="120">
        <v>100</v>
      </c>
      <c r="F5095" s="133" t="s">
        <v>341</v>
      </c>
      <c r="G5095" s="404" t="s">
        <v>45</v>
      </c>
      <c r="H5095" s="411">
        <v>180</v>
      </c>
      <c r="I5095" s="397">
        <f t="shared" ref="I5095" si="1525">-(H5095*0.15)</f>
        <v>-27</v>
      </c>
      <c r="J5095" s="411">
        <v>0</v>
      </c>
      <c r="K5095" s="90">
        <f>SUM(H5095:J5095)</f>
        <v>153</v>
      </c>
      <c r="L5095" s="131">
        <v>698</v>
      </c>
      <c r="M5095" s="187">
        <v>28.56</v>
      </c>
      <c r="N5095" s="91">
        <f t="shared" si="1519"/>
        <v>98.36</v>
      </c>
      <c r="O5095" s="411">
        <f t="shared" si="1482"/>
        <v>54.64</v>
      </c>
      <c r="P5095" s="132" t="s">
        <v>52</v>
      </c>
      <c r="Q5095" s="232"/>
      <c r="R5095" s="411"/>
      <c r="T5095" s="134" t="s">
        <v>145</v>
      </c>
      <c r="U5095" s="267" t="s">
        <v>11202</v>
      </c>
      <c r="AA5095" s="218"/>
    </row>
    <row r="5096" spans="1:27" ht="24" x14ac:dyDescent="0.25">
      <c r="A5096" s="405">
        <v>3003994</v>
      </c>
      <c r="B5096" s="406">
        <v>42608</v>
      </c>
      <c r="C5096" s="405" t="s">
        <v>42</v>
      </c>
      <c r="D5096" s="401" t="s">
        <v>5907</v>
      </c>
      <c r="E5096" s="120">
        <v>152</v>
      </c>
      <c r="F5096" s="133" t="s">
        <v>178</v>
      </c>
      <c r="G5096" s="404" t="s">
        <v>45</v>
      </c>
      <c r="H5096" s="411">
        <v>440</v>
      </c>
      <c r="I5096" s="89">
        <f>-(H5096*0.09)</f>
        <v>-39.6</v>
      </c>
      <c r="J5096" s="258">
        <f t="shared" ref="J5096" si="1526">-((H5096*0.019)+0.3)</f>
        <v>-8.66</v>
      </c>
      <c r="K5096" s="90">
        <f t="shared" ref="K5096" si="1527">SUM(H5096:J5096)</f>
        <v>391.73999999999995</v>
      </c>
      <c r="L5096" s="187">
        <v>1259</v>
      </c>
      <c r="M5096" s="187">
        <v>58.73</v>
      </c>
      <c r="N5096" s="91">
        <f t="shared" si="1519"/>
        <v>250.09799999999998</v>
      </c>
      <c r="O5096" s="411">
        <f t="shared" si="1482"/>
        <v>141.64199999999997</v>
      </c>
      <c r="P5096" s="132" t="s">
        <v>183</v>
      </c>
      <c r="Q5096" s="232"/>
      <c r="R5096" s="411"/>
      <c r="T5096" s="134" t="s">
        <v>145</v>
      </c>
      <c r="U5096" s="267" t="s">
        <v>11203</v>
      </c>
      <c r="AA5096" s="218"/>
    </row>
    <row r="5097" spans="1:27" ht="24" x14ac:dyDescent="0.25">
      <c r="A5097" s="405">
        <v>3003995</v>
      </c>
      <c r="B5097" s="406">
        <v>42608</v>
      </c>
      <c r="C5097" s="405" t="s">
        <v>42</v>
      </c>
      <c r="D5097" s="401" t="s">
        <v>11204</v>
      </c>
      <c r="E5097" s="120">
        <v>100</v>
      </c>
      <c r="F5097" s="133" t="s">
        <v>11205</v>
      </c>
      <c r="G5097" s="404" t="s">
        <v>45</v>
      </c>
      <c r="H5097" s="411">
        <v>120.86</v>
      </c>
      <c r="I5097" s="89">
        <f>-(H5097*0.09)</f>
        <v>-10.8774</v>
      </c>
      <c r="J5097" s="258">
        <f t="shared" ref="J5097" si="1528">-((H5097*0.019)+0.3)</f>
        <v>-2.5963399999999996</v>
      </c>
      <c r="K5097" s="90">
        <f t="shared" ref="K5097" si="1529">SUM(H5097:J5097)</f>
        <v>107.38626000000001</v>
      </c>
      <c r="L5097" s="187">
        <v>660</v>
      </c>
      <c r="M5097" s="187">
        <v>25</v>
      </c>
      <c r="N5097" s="91">
        <f t="shared" si="1519"/>
        <v>91</v>
      </c>
      <c r="O5097" s="411">
        <f t="shared" si="1482"/>
        <v>16.386260000000007</v>
      </c>
      <c r="P5097" s="132" t="s">
        <v>183</v>
      </c>
      <c r="Q5097" s="232"/>
      <c r="R5097" s="411"/>
      <c r="T5097" s="134" t="s">
        <v>145</v>
      </c>
      <c r="U5097" s="267" t="s">
        <v>11206</v>
      </c>
      <c r="AA5097" s="218"/>
    </row>
    <row r="5098" spans="1:27" ht="24" x14ac:dyDescent="0.25">
      <c r="A5098" s="405">
        <v>3003996</v>
      </c>
      <c r="B5098" s="406">
        <v>42608</v>
      </c>
      <c r="C5098" s="405" t="s">
        <v>42</v>
      </c>
      <c r="D5098" s="401" t="s">
        <v>11207</v>
      </c>
      <c r="E5098" s="120">
        <v>1000</v>
      </c>
      <c r="F5098" s="133" t="s">
        <v>451</v>
      </c>
      <c r="G5098" s="404" t="s">
        <v>45</v>
      </c>
      <c r="H5098" s="411">
        <v>600</v>
      </c>
      <c r="I5098" s="89">
        <f>-(H5098*0.09)</f>
        <v>-54</v>
      </c>
      <c r="J5098" s="258">
        <f t="shared" ref="J5098:J5099" si="1530">-((H5098*0.019)+0.3)</f>
        <v>-11.700000000000001</v>
      </c>
      <c r="K5098" s="90">
        <f t="shared" ref="K5098:K5099" si="1531">SUM(H5098:J5098)</f>
        <v>534.29999999999995</v>
      </c>
      <c r="L5098" s="131">
        <v>300</v>
      </c>
      <c r="M5098" s="187">
        <v>62.79</v>
      </c>
      <c r="N5098" s="91">
        <f t="shared" si="1519"/>
        <v>362.79</v>
      </c>
      <c r="O5098" s="411">
        <f t="shared" si="1482"/>
        <v>171.50999999999993</v>
      </c>
      <c r="P5098" s="132" t="s">
        <v>52</v>
      </c>
      <c r="Q5098" s="232"/>
      <c r="R5098" s="411"/>
      <c r="T5098" s="134" t="s">
        <v>145</v>
      </c>
      <c r="U5098" s="267" t="s">
        <v>11208</v>
      </c>
      <c r="AA5098" s="218"/>
    </row>
    <row r="5099" spans="1:27" x14ac:dyDescent="0.25">
      <c r="A5099" s="419">
        <v>3003997</v>
      </c>
      <c r="B5099" s="421">
        <v>42608</v>
      </c>
      <c r="C5099" s="419" t="s">
        <v>78</v>
      </c>
      <c r="D5099" s="417" t="s">
        <v>269</v>
      </c>
      <c r="E5099" s="120">
        <v>500</v>
      </c>
      <c r="F5099" s="133" t="s">
        <v>272</v>
      </c>
      <c r="G5099" s="434" t="s">
        <v>45</v>
      </c>
      <c r="H5099" s="427">
        <v>320</v>
      </c>
      <c r="I5099" s="427">
        <v>0</v>
      </c>
      <c r="J5099" s="425">
        <f t="shared" si="1530"/>
        <v>-6.38</v>
      </c>
      <c r="K5099" s="425">
        <f t="shared" si="1531"/>
        <v>313.62</v>
      </c>
      <c r="L5099" s="187">
        <v>240</v>
      </c>
      <c r="M5099" s="187">
        <v>27.45</v>
      </c>
      <c r="N5099" s="91">
        <f t="shared" si="1519"/>
        <v>147.44999999999999</v>
      </c>
      <c r="O5099" s="411">
        <f t="shared" si="1482"/>
        <v>166.17000000000002</v>
      </c>
      <c r="P5099" s="132" t="s">
        <v>183</v>
      </c>
      <c r="Q5099" s="232"/>
      <c r="R5099" s="411"/>
      <c r="T5099" s="439" t="s">
        <v>145</v>
      </c>
      <c r="U5099" s="267" t="s">
        <v>11209</v>
      </c>
      <c r="W5099" s="153" t="s">
        <v>271</v>
      </c>
      <c r="AA5099" s="218"/>
    </row>
    <row r="5100" spans="1:27" x14ac:dyDescent="0.25">
      <c r="A5100" s="420"/>
      <c r="B5100" s="422"/>
      <c r="C5100" s="420"/>
      <c r="D5100" s="418"/>
      <c r="E5100" s="120">
        <v>250</v>
      </c>
      <c r="F5100" s="133" t="s">
        <v>824</v>
      </c>
      <c r="G5100" s="436"/>
      <c r="H5100" s="428"/>
      <c r="I5100" s="428"/>
      <c r="J5100" s="426"/>
      <c r="K5100" s="426"/>
      <c r="L5100" s="187">
        <v>186</v>
      </c>
      <c r="M5100" s="265"/>
      <c r="N5100" s="91">
        <f t="shared" si="1519"/>
        <v>46.5</v>
      </c>
      <c r="O5100" s="411">
        <f t="shared" si="1482"/>
        <v>-46.5</v>
      </c>
      <c r="P5100" s="132" t="s">
        <v>183</v>
      </c>
      <c r="Q5100" s="232"/>
      <c r="R5100" s="411"/>
      <c r="T5100" s="441"/>
      <c r="U5100" s="267" t="s">
        <v>11210</v>
      </c>
      <c r="AA5100" s="218"/>
    </row>
    <row r="5101" spans="1:27" ht="24" x14ac:dyDescent="0.25">
      <c r="A5101" s="405">
        <v>3003998</v>
      </c>
      <c r="B5101" s="406">
        <v>42608</v>
      </c>
      <c r="C5101" s="405" t="s">
        <v>42</v>
      </c>
      <c r="D5101" s="401" t="s">
        <v>11211</v>
      </c>
      <c r="E5101" s="120">
        <v>100</v>
      </c>
      <c r="F5101" s="133" t="s">
        <v>161</v>
      </c>
      <c r="G5101" s="404" t="s">
        <v>45</v>
      </c>
      <c r="H5101" s="411">
        <v>230</v>
      </c>
      <c r="I5101" s="89">
        <f>-(H5101*0.09)</f>
        <v>-20.7</v>
      </c>
      <c r="J5101" s="258">
        <f t="shared" ref="J5101" si="1532">-((H5101*0.019)+0.3)</f>
        <v>-4.67</v>
      </c>
      <c r="K5101" s="90">
        <f t="shared" ref="K5101:K5102" si="1533">SUM(H5101:J5101)</f>
        <v>204.63000000000002</v>
      </c>
      <c r="L5101" s="131">
        <v>1322</v>
      </c>
      <c r="M5101" s="187">
        <f>38.19+5</f>
        <v>43.19</v>
      </c>
      <c r="N5101" s="91">
        <f t="shared" si="1519"/>
        <v>175.39000000000001</v>
      </c>
      <c r="O5101" s="411">
        <f t="shared" si="1482"/>
        <v>29.240000000000009</v>
      </c>
      <c r="P5101" s="132" t="s">
        <v>52</v>
      </c>
      <c r="Q5101" s="232"/>
      <c r="R5101" s="411"/>
      <c r="T5101" s="134" t="s">
        <v>145</v>
      </c>
      <c r="U5101" s="267" t="s">
        <v>11212</v>
      </c>
      <c r="AA5101" s="218"/>
    </row>
    <row r="5102" spans="1:27" x14ac:dyDescent="0.25">
      <c r="A5102" s="419">
        <v>3003999</v>
      </c>
      <c r="B5102" s="421">
        <v>42611</v>
      </c>
      <c r="C5102" s="419" t="s">
        <v>56</v>
      </c>
      <c r="D5102" s="417" t="s">
        <v>11213</v>
      </c>
      <c r="E5102" s="120">
        <v>250</v>
      </c>
      <c r="F5102" s="133" t="s">
        <v>11214</v>
      </c>
      <c r="G5102" s="434" t="s">
        <v>45</v>
      </c>
      <c r="H5102" s="427">
        <v>390</v>
      </c>
      <c r="I5102" s="427">
        <v>0</v>
      </c>
      <c r="J5102" s="427">
        <v>0</v>
      </c>
      <c r="K5102" s="425">
        <f t="shared" si="1533"/>
        <v>390</v>
      </c>
      <c r="L5102" s="187">
        <v>312</v>
      </c>
      <c r="M5102" s="187">
        <v>44.04</v>
      </c>
      <c r="N5102" s="91">
        <f t="shared" si="1519"/>
        <v>122.03999999999999</v>
      </c>
      <c r="O5102" s="411">
        <f t="shared" si="1482"/>
        <v>267.96000000000004</v>
      </c>
      <c r="P5102" s="132" t="s">
        <v>183</v>
      </c>
      <c r="Q5102" s="232"/>
      <c r="R5102" s="411"/>
      <c r="T5102" s="439" t="s">
        <v>145</v>
      </c>
      <c r="U5102" s="267" t="s">
        <v>11215</v>
      </c>
      <c r="V5102" s="133" t="s">
        <v>10315</v>
      </c>
      <c r="W5102" s="153" t="s">
        <v>11216</v>
      </c>
      <c r="AA5102" s="218"/>
    </row>
    <row r="5103" spans="1:27" x14ac:dyDescent="0.25">
      <c r="A5103" s="420"/>
      <c r="B5103" s="422"/>
      <c r="C5103" s="420"/>
      <c r="D5103" s="418"/>
      <c r="E5103" s="120">
        <v>250</v>
      </c>
      <c r="F5103" s="133" t="s">
        <v>11217</v>
      </c>
      <c r="G5103" s="436"/>
      <c r="H5103" s="428"/>
      <c r="I5103" s="428"/>
      <c r="J5103" s="428"/>
      <c r="K5103" s="426"/>
      <c r="L5103" s="187">
        <v>600</v>
      </c>
      <c r="N5103" s="91">
        <f t="shared" si="1519"/>
        <v>150</v>
      </c>
      <c r="O5103" s="411">
        <f t="shared" si="1482"/>
        <v>-150</v>
      </c>
      <c r="P5103" s="132" t="s">
        <v>183</v>
      </c>
      <c r="Q5103" s="232"/>
      <c r="R5103" s="411"/>
      <c r="T5103" s="441"/>
      <c r="U5103" s="267" t="s">
        <v>11218</v>
      </c>
      <c r="AA5103" s="218"/>
    </row>
    <row r="5104" spans="1:27" ht="24" x14ac:dyDescent="0.25">
      <c r="A5104" s="405">
        <v>3004000</v>
      </c>
      <c r="B5104" s="406">
        <v>42611</v>
      </c>
      <c r="C5104" s="405" t="s">
        <v>141</v>
      </c>
      <c r="D5104" s="401" t="s">
        <v>4137</v>
      </c>
      <c r="E5104" s="120">
        <v>166</v>
      </c>
      <c r="F5104" s="133" t="s">
        <v>3946</v>
      </c>
      <c r="G5104" s="404" t="s">
        <v>45</v>
      </c>
      <c r="H5104" s="411">
        <v>287.73</v>
      </c>
      <c r="I5104" s="411">
        <v>0</v>
      </c>
      <c r="J5104" s="258">
        <f>-((H5104*0.022)+0.3)</f>
        <v>-6.6300600000000003</v>
      </c>
      <c r="K5104" s="90">
        <f>SUM(H5104:J5104)</f>
        <v>281.09994</v>
      </c>
      <c r="M5104" s="187">
        <f>49.6+5</f>
        <v>54.6</v>
      </c>
      <c r="N5104" s="91">
        <f t="shared" si="1519"/>
        <v>54.6</v>
      </c>
      <c r="O5104" s="411">
        <f t="shared" si="1482"/>
        <v>226.49994000000001</v>
      </c>
      <c r="P5104" s="132" t="s">
        <v>52</v>
      </c>
      <c r="Q5104" s="232"/>
      <c r="R5104" s="411"/>
      <c r="T5104" s="134" t="s">
        <v>145</v>
      </c>
      <c r="U5104" s="267" t="s">
        <v>11219</v>
      </c>
      <c r="W5104" s="153" t="s">
        <v>4139</v>
      </c>
      <c r="AA5104" s="218"/>
    </row>
    <row r="5105" spans="1:27" x14ac:dyDescent="0.25">
      <c r="A5105" s="419">
        <v>3004001</v>
      </c>
      <c r="B5105" s="421">
        <v>42611</v>
      </c>
      <c r="C5105" s="419" t="s">
        <v>56</v>
      </c>
      <c r="D5105" s="417" t="s">
        <v>11220</v>
      </c>
      <c r="E5105" s="120">
        <v>180</v>
      </c>
      <c r="F5105" s="133" t="s">
        <v>11221</v>
      </c>
      <c r="G5105" s="434" t="s">
        <v>45</v>
      </c>
      <c r="H5105" s="427">
        <v>1599</v>
      </c>
      <c r="I5105" s="427">
        <v>0</v>
      </c>
      <c r="J5105" s="427">
        <v>0</v>
      </c>
      <c r="K5105" s="425">
        <f t="shared" ref="K5105" si="1534">SUM(H5105:J5105)</f>
        <v>1599</v>
      </c>
      <c r="L5105" s="187">
        <v>6250</v>
      </c>
      <c r="M5105" s="187">
        <v>118.18</v>
      </c>
      <c r="N5105" s="91">
        <f t="shared" si="1519"/>
        <v>1243.18</v>
      </c>
      <c r="O5105" s="411">
        <f t="shared" si="1482"/>
        <v>355.81999999999994</v>
      </c>
      <c r="P5105" s="132" t="s">
        <v>235</v>
      </c>
      <c r="Q5105" s="232"/>
      <c r="R5105" s="411"/>
      <c r="T5105" s="439" t="s">
        <v>717</v>
      </c>
      <c r="U5105" s="446" t="s">
        <v>11222</v>
      </c>
      <c r="V5105" s="133" t="s">
        <v>11223</v>
      </c>
      <c r="AA5105" s="218"/>
    </row>
    <row r="5106" spans="1:27" x14ac:dyDescent="0.25">
      <c r="A5106" s="420"/>
      <c r="B5106" s="422"/>
      <c r="C5106" s="420"/>
      <c r="D5106" s="418"/>
      <c r="E5106" s="120">
        <v>60</v>
      </c>
      <c r="F5106" s="133" t="s">
        <v>11224</v>
      </c>
      <c r="G5106" s="436"/>
      <c r="H5106" s="428"/>
      <c r="I5106" s="428"/>
      <c r="J5106" s="428"/>
      <c r="K5106" s="426"/>
      <c r="L5106" s="187">
        <v>3400</v>
      </c>
      <c r="M5106" s="187"/>
      <c r="N5106" s="91">
        <f t="shared" si="1519"/>
        <v>204</v>
      </c>
      <c r="O5106" s="411">
        <f t="shared" si="1482"/>
        <v>-204</v>
      </c>
      <c r="P5106" s="132" t="s">
        <v>235</v>
      </c>
      <c r="Q5106" s="232"/>
      <c r="R5106" s="411"/>
      <c r="T5106" s="441"/>
      <c r="U5106" s="447"/>
      <c r="AA5106" s="218"/>
    </row>
    <row r="5107" spans="1:27" x14ac:dyDescent="0.25">
      <c r="A5107" s="419">
        <v>3004002</v>
      </c>
      <c r="B5107" s="421">
        <v>42611</v>
      </c>
      <c r="C5107" s="419" t="s">
        <v>63</v>
      </c>
      <c r="D5107" s="417" t="s">
        <v>10154</v>
      </c>
      <c r="E5107" s="120">
        <v>500</v>
      </c>
      <c r="F5107" s="133" t="s">
        <v>3345</v>
      </c>
      <c r="G5107" s="434" t="s">
        <v>45</v>
      </c>
      <c r="H5107" s="427">
        <v>2820</v>
      </c>
      <c r="I5107" s="427">
        <v>0</v>
      </c>
      <c r="J5107" s="427">
        <v>0</v>
      </c>
      <c r="K5107" s="425">
        <f>SUM(H5107:J5107)</f>
        <v>2820</v>
      </c>
      <c r="L5107" s="187">
        <v>1420</v>
      </c>
      <c r="N5107" s="91">
        <f t="shared" si="1519"/>
        <v>710</v>
      </c>
      <c r="O5107" s="411">
        <f t="shared" si="1482"/>
        <v>2110</v>
      </c>
      <c r="P5107" s="132" t="s">
        <v>601</v>
      </c>
      <c r="Q5107" s="232"/>
      <c r="R5107" s="411"/>
      <c r="T5107" s="439" t="s">
        <v>1346</v>
      </c>
      <c r="U5107" s="446" t="s">
        <v>11225</v>
      </c>
      <c r="W5107" s="153" t="s">
        <v>10156</v>
      </c>
      <c r="AA5107" s="473">
        <v>10</v>
      </c>
    </row>
    <row r="5108" spans="1:27" x14ac:dyDescent="0.25">
      <c r="A5108" s="432"/>
      <c r="B5108" s="433"/>
      <c r="C5108" s="432"/>
      <c r="D5108" s="454"/>
      <c r="E5108" s="120">
        <v>500</v>
      </c>
      <c r="F5108" s="133" t="s">
        <v>2483</v>
      </c>
      <c r="G5108" s="435"/>
      <c r="H5108" s="438"/>
      <c r="I5108" s="438"/>
      <c r="J5108" s="438"/>
      <c r="K5108" s="437"/>
      <c r="L5108" s="187">
        <v>1390</v>
      </c>
      <c r="M5108" s="131">
        <v>0</v>
      </c>
      <c r="N5108" s="91">
        <f t="shared" si="1519"/>
        <v>695</v>
      </c>
      <c r="O5108" s="411">
        <f t="shared" si="1482"/>
        <v>-695</v>
      </c>
      <c r="P5108" s="132" t="s">
        <v>601</v>
      </c>
      <c r="Q5108" s="232"/>
      <c r="R5108" s="411"/>
      <c r="T5108" s="440"/>
      <c r="U5108" s="448"/>
      <c r="AA5108" s="478"/>
    </row>
    <row r="5109" spans="1:27" x14ac:dyDescent="0.25">
      <c r="A5109" s="420"/>
      <c r="B5109" s="422"/>
      <c r="C5109" s="420"/>
      <c r="D5109" s="418"/>
      <c r="E5109" s="120">
        <v>500</v>
      </c>
      <c r="F5109" s="133" t="s">
        <v>2408</v>
      </c>
      <c r="G5109" s="436"/>
      <c r="H5109" s="428"/>
      <c r="I5109" s="428"/>
      <c r="J5109" s="428"/>
      <c r="K5109" s="426"/>
      <c r="L5109" s="187">
        <v>1420</v>
      </c>
      <c r="N5109" s="91">
        <f t="shared" si="1519"/>
        <v>710</v>
      </c>
      <c r="O5109" s="411">
        <f t="shared" si="1482"/>
        <v>-710</v>
      </c>
      <c r="P5109" s="132" t="s">
        <v>601</v>
      </c>
      <c r="Q5109" s="232"/>
      <c r="R5109" s="411"/>
      <c r="T5109" s="441"/>
      <c r="U5109" s="447"/>
      <c r="AA5109" s="474"/>
    </row>
    <row r="5110" spans="1:27" ht="24" x14ac:dyDescent="0.25">
      <c r="A5110" s="405">
        <v>3004003</v>
      </c>
      <c r="B5110" s="406">
        <v>42611</v>
      </c>
      <c r="C5110" s="405" t="s">
        <v>42</v>
      </c>
      <c r="D5110" s="401" t="s">
        <v>11226</v>
      </c>
      <c r="E5110" s="120">
        <v>250</v>
      </c>
      <c r="F5110" s="133" t="s">
        <v>312</v>
      </c>
      <c r="G5110" s="404" t="s">
        <v>45</v>
      </c>
      <c r="H5110" s="411">
        <v>277.89999999999998</v>
      </c>
      <c r="I5110" s="89">
        <f>-(H5110*0.09)</f>
        <v>-25.010999999999996</v>
      </c>
      <c r="J5110" s="258">
        <f t="shared" ref="J5110" si="1535">-((H5110*0.019)+0.3)</f>
        <v>-5.5800999999999989</v>
      </c>
      <c r="K5110" s="90">
        <f t="shared" ref="K5110" si="1536">SUM(H5110:J5110)</f>
        <v>247.30889999999999</v>
      </c>
      <c r="L5110" s="187">
        <v>514</v>
      </c>
      <c r="M5110" s="187">
        <v>22.33</v>
      </c>
      <c r="N5110" s="91">
        <f t="shared" si="1519"/>
        <v>150.82999999999998</v>
      </c>
      <c r="O5110" s="411">
        <f t="shared" si="1482"/>
        <v>96.47890000000001</v>
      </c>
      <c r="P5110" s="132" t="s">
        <v>3597</v>
      </c>
      <c r="Q5110" s="232"/>
      <c r="R5110" s="411">
        <v>18.18</v>
      </c>
      <c r="S5110" s="133" t="s">
        <v>4568</v>
      </c>
      <c r="T5110" s="134" t="s">
        <v>145</v>
      </c>
      <c r="U5110" s="267" t="s">
        <v>11227</v>
      </c>
      <c r="AA5110" s="218"/>
    </row>
    <row r="5111" spans="1:27" ht="24" x14ac:dyDescent="0.25">
      <c r="A5111" s="405">
        <v>3004004</v>
      </c>
      <c r="B5111" s="406">
        <v>42611</v>
      </c>
      <c r="C5111" s="405" t="s">
        <v>42</v>
      </c>
      <c r="D5111" s="401" t="s">
        <v>11228</v>
      </c>
      <c r="E5111" s="120">
        <v>100</v>
      </c>
      <c r="F5111" s="133" t="s">
        <v>445</v>
      </c>
      <c r="G5111" s="404" t="s">
        <v>45</v>
      </c>
      <c r="H5111" s="411">
        <v>227.7</v>
      </c>
      <c r="I5111" s="89">
        <f>-(H5111*0.09)</f>
        <v>-20.492999999999999</v>
      </c>
      <c r="J5111" s="258">
        <f t="shared" ref="J5111" si="1537">-((H5111*0.019)+0.3)</f>
        <v>-4.6262999999999996</v>
      </c>
      <c r="K5111" s="90">
        <f t="shared" ref="K5111" si="1538">SUM(H5111:J5111)</f>
        <v>202.58070000000001</v>
      </c>
      <c r="M5111" s="187">
        <v>32.11</v>
      </c>
      <c r="N5111" s="91">
        <f t="shared" si="1519"/>
        <v>32.11</v>
      </c>
      <c r="O5111" s="411">
        <f t="shared" si="1482"/>
        <v>170.47070000000002</v>
      </c>
      <c r="P5111" s="132" t="s">
        <v>52</v>
      </c>
      <c r="Q5111" s="232"/>
      <c r="R5111" s="411"/>
      <c r="T5111" s="134" t="s">
        <v>145</v>
      </c>
      <c r="U5111" s="267" t="s">
        <v>11229</v>
      </c>
      <c r="AA5111" s="218"/>
    </row>
    <row r="5112" spans="1:27" ht="24" x14ac:dyDescent="0.25">
      <c r="A5112" s="405">
        <v>3004005</v>
      </c>
      <c r="B5112" s="406">
        <v>42611</v>
      </c>
      <c r="C5112" s="405" t="s">
        <v>42</v>
      </c>
      <c r="D5112" s="401" t="s">
        <v>11230</v>
      </c>
      <c r="E5112" s="120">
        <v>200</v>
      </c>
      <c r="F5112" s="133" t="s">
        <v>165</v>
      </c>
      <c r="G5112" s="404" t="s">
        <v>45</v>
      </c>
      <c r="H5112" s="411">
        <v>201.57</v>
      </c>
      <c r="I5112" s="89">
        <f>-(H5112*0.09)</f>
        <v>-18.141299999999998</v>
      </c>
      <c r="J5112" s="258">
        <f t="shared" ref="J5112" si="1539">-((H5112*0.019)+0.3)</f>
        <v>-4.1298300000000001</v>
      </c>
      <c r="K5112" s="90">
        <f t="shared" ref="K5112" si="1540">SUM(H5112:J5112)</f>
        <v>179.29886999999999</v>
      </c>
      <c r="L5112" s="131">
        <v>375</v>
      </c>
      <c r="M5112" s="187">
        <f>37.72+5</f>
        <v>42.72</v>
      </c>
      <c r="N5112" s="91">
        <f t="shared" si="1519"/>
        <v>117.72</v>
      </c>
      <c r="O5112" s="411">
        <f t="shared" si="1482"/>
        <v>61.578869999999995</v>
      </c>
      <c r="P5112" s="132" t="s">
        <v>52</v>
      </c>
      <c r="Q5112" s="232"/>
      <c r="R5112" s="411"/>
      <c r="T5112" s="134" t="s">
        <v>145</v>
      </c>
      <c r="U5112" s="267" t="s">
        <v>11231</v>
      </c>
      <c r="AA5112" s="218"/>
    </row>
    <row r="5113" spans="1:27" ht="24" x14ac:dyDescent="0.25">
      <c r="A5113" s="405">
        <v>3004006</v>
      </c>
      <c r="B5113" s="406">
        <v>42611</v>
      </c>
      <c r="C5113" s="405" t="s">
        <v>42</v>
      </c>
      <c r="D5113" s="401" t="s">
        <v>11232</v>
      </c>
      <c r="E5113" s="120">
        <v>300</v>
      </c>
      <c r="F5113" s="133" t="s">
        <v>6911</v>
      </c>
      <c r="G5113" s="404" t="s">
        <v>45</v>
      </c>
      <c r="H5113" s="411">
        <v>157.1</v>
      </c>
      <c r="I5113" s="89">
        <f>-(H5113*0.09)</f>
        <v>-14.138999999999999</v>
      </c>
      <c r="J5113" s="258">
        <f t="shared" ref="J5113" si="1541">-((H5113*0.019)+0.3)</f>
        <v>-3.2848999999999995</v>
      </c>
      <c r="K5113" s="90">
        <f t="shared" ref="K5113" si="1542">SUM(H5113:J5113)</f>
        <v>139.67609999999999</v>
      </c>
      <c r="L5113" s="131">
        <v>210.84</v>
      </c>
      <c r="M5113" s="187">
        <v>19.11</v>
      </c>
      <c r="N5113" s="91">
        <f t="shared" si="1519"/>
        <v>82.361999999999995</v>
      </c>
      <c r="O5113" s="411">
        <f t="shared" si="1482"/>
        <v>57.314099999999996</v>
      </c>
      <c r="P5113" s="132" t="s">
        <v>86</v>
      </c>
      <c r="Q5113" s="232"/>
      <c r="R5113" s="411"/>
      <c r="T5113" s="134" t="s">
        <v>145</v>
      </c>
      <c r="U5113" s="267" t="s">
        <v>11233</v>
      </c>
      <c r="AA5113" s="218"/>
    </row>
    <row r="5114" spans="1:27" x14ac:dyDescent="0.25">
      <c r="A5114" s="419">
        <v>3004007</v>
      </c>
      <c r="B5114" s="421">
        <v>42611</v>
      </c>
      <c r="C5114" s="419" t="s">
        <v>42</v>
      </c>
      <c r="D5114" s="417" t="s">
        <v>10669</v>
      </c>
      <c r="E5114" s="120">
        <v>250</v>
      </c>
      <c r="F5114" s="133" t="s">
        <v>11234</v>
      </c>
      <c r="G5114" s="434" t="s">
        <v>45</v>
      </c>
      <c r="H5114" s="427">
        <v>457.9</v>
      </c>
      <c r="I5114" s="452">
        <f>-(H5114*0.09)</f>
        <v>-41.210999999999999</v>
      </c>
      <c r="J5114" s="425">
        <f t="shared" ref="J5114" si="1543">-((H5114*0.019)+0.3)</f>
        <v>-9.0000999999999998</v>
      </c>
      <c r="K5114" s="425">
        <f t="shared" ref="K5114" si="1544">SUM(H5114:J5114)</f>
        <v>407.68889999999999</v>
      </c>
      <c r="L5114" s="187">
        <v>681</v>
      </c>
      <c r="M5114" s="187">
        <v>52.89</v>
      </c>
      <c r="N5114" s="91">
        <f t="shared" si="1519"/>
        <v>223.14</v>
      </c>
      <c r="O5114" s="411">
        <f t="shared" si="1482"/>
        <v>184.5489</v>
      </c>
      <c r="P5114" s="132" t="s">
        <v>183</v>
      </c>
      <c r="Q5114" s="232"/>
      <c r="R5114" s="411"/>
      <c r="T5114" s="439" t="s">
        <v>145</v>
      </c>
      <c r="U5114" s="267" t="s">
        <v>11235</v>
      </c>
      <c r="AA5114" s="218"/>
    </row>
    <row r="5115" spans="1:27" x14ac:dyDescent="0.25">
      <c r="A5115" s="420"/>
      <c r="B5115" s="422"/>
      <c r="C5115" s="420"/>
      <c r="D5115" s="418"/>
      <c r="E5115" s="120">
        <v>250</v>
      </c>
      <c r="F5115" s="133" t="s">
        <v>1463</v>
      </c>
      <c r="G5115" s="436"/>
      <c r="H5115" s="428"/>
      <c r="I5115" s="453"/>
      <c r="J5115" s="426"/>
      <c r="K5115" s="426"/>
      <c r="L5115" s="187">
        <v>362</v>
      </c>
      <c r="M5115" s="187"/>
      <c r="N5115" s="91">
        <f t="shared" si="1519"/>
        <v>90.5</v>
      </c>
      <c r="O5115" s="411">
        <f t="shared" si="1482"/>
        <v>-90.5</v>
      </c>
      <c r="P5115" s="132" t="s">
        <v>183</v>
      </c>
      <c r="Q5115" s="232"/>
      <c r="R5115" s="411"/>
      <c r="T5115" s="441"/>
      <c r="U5115" s="267" t="s">
        <v>11236</v>
      </c>
      <c r="AA5115" s="218"/>
    </row>
    <row r="5116" spans="1:27" ht="24" x14ac:dyDescent="0.25">
      <c r="A5116" s="405">
        <v>3004008</v>
      </c>
      <c r="B5116" s="406">
        <v>42611</v>
      </c>
      <c r="C5116" s="405" t="s">
        <v>42</v>
      </c>
      <c r="D5116" s="401" t="s">
        <v>11237</v>
      </c>
      <c r="E5116" s="120">
        <v>100</v>
      </c>
      <c r="F5116" s="133" t="s">
        <v>182</v>
      </c>
      <c r="G5116" s="404" t="s">
        <v>45</v>
      </c>
      <c r="H5116" s="411">
        <v>247</v>
      </c>
      <c r="I5116" s="89">
        <f t="shared" ref="I5116:I5123" si="1545">-(H5116*0.09)</f>
        <v>-22.23</v>
      </c>
      <c r="J5116" s="258">
        <f t="shared" ref="J5116" si="1546">-((H5116*0.019)+0.3)</f>
        <v>-4.9929999999999994</v>
      </c>
      <c r="K5116" s="90">
        <f t="shared" ref="K5116" si="1547">SUM(H5116:J5116)</f>
        <v>219.77700000000002</v>
      </c>
      <c r="L5116" s="131">
        <v>1060</v>
      </c>
      <c r="M5116" s="187">
        <v>53.98</v>
      </c>
      <c r="N5116" s="91">
        <f t="shared" si="1519"/>
        <v>159.97999999999999</v>
      </c>
      <c r="O5116" s="411">
        <f t="shared" si="1482"/>
        <v>59.797000000000025</v>
      </c>
      <c r="P5116" s="132" t="s">
        <v>52</v>
      </c>
      <c r="Q5116" s="232"/>
      <c r="R5116" s="411"/>
      <c r="T5116" s="134" t="s">
        <v>145</v>
      </c>
      <c r="U5116" s="267" t="s">
        <v>11238</v>
      </c>
      <c r="AA5116" s="218"/>
    </row>
    <row r="5117" spans="1:27" x14ac:dyDescent="0.25">
      <c r="A5117" s="405">
        <v>3004009</v>
      </c>
      <c r="B5117" s="406">
        <v>42611</v>
      </c>
      <c r="C5117" s="405" t="s">
        <v>42</v>
      </c>
      <c r="D5117" s="401" t="s">
        <v>11239</v>
      </c>
      <c r="E5117" s="120">
        <v>500</v>
      </c>
      <c r="F5117" s="133" t="s">
        <v>431</v>
      </c>
      <c r="G5117" s="404" t="s">
        <v>45</v>
      </c>
      <c r="H5117" s="411">
        <v>1020</v>
      </c>
      <c r="I5117" s="89">
        <f t="shared" si="1545"/>
        <v>-91.8</v>
      </c>
      <c r="J5117" s="258">
        <f t="shared" ref="J5117" si="1548">-((H5117*0.019)+0.3)</f>
        <v>-19.68</v>
      </c>
      <c r="K5117" s="90">
        <f t="shared" ref="K5117" si="1549">SUM(H5117:J5117)</f>
        <v>908.5200000000001</v>
      </c>
      <c r="L5117" s="131">
        <v>990</v>
      </c>
      <c r="M5117" s="187">
        <v>165.95</v>
      </c>
      <c r="N5117" s="91">
        <f t="shared" si="1519"/>
        <v>660.95</v>
      </c>
      <c r="O5117" s="411">
        <f t="shared" si="1482"/>
        <v>247.57000000000005</v>
      </c>
      <c r="P5117" s="132" t="s">
        <v>52</v>
      </c>
      <c r="Q5117" s="232"/>
      <c r="R5117" s="411"/>
      <c r="T5117" s="134" t="s">
        <v>7260</v>
      </c>
      <c r="U5117" s="266" t="s">
        <v>11240</v>
      </c>
      <c r="V5117" s="133" t="s">
        <v>55</v>
      </c>
      <c r="AA5117" s="218"/>
    </row>
    <row r="5118" spans="1:27" x14ac:dyDescent="0.25">
      <c r="A5118" s="405">
        <v>3004010</v>
      </c>
      <c r="B5118" s="406">
        <v>42611</v>
      </c>
      <c r="C5118" s="405" t="s">
        <v>42</v>
      </c>
      <c r="D5118" s="401" t="s">
        <v>11241</v>
      </c>
      <c r="E5118" s="120">
        <v>350</v>
      </c>
      <c r="F5118" s="133" t="s">
        <v>161</v>
      </c>
      <c r="G5118" s="404" t="s">
        <v>45</v>
      </c>
      <c r="H5118" s="411">
        <v>779</v>
      </c>
      <c r="I5118" s="89">
        <f t="shared" si="1545"/>
        <v>-70.11</v>
      </c>
      <c r="J5118" s="258">
        <f t="shared" ref="J5118" si="1550">-((H5118*0.019)+0.3)</f>
        <v>-15.101000000000001</v>
      </c>
      <c r="K5118" s="90">
        <f t="shared" ref="K5118" si="1551">SUM(H5118:J5118)</f>
        <v>693.78899999999999</v>
      </c>
      <c r="L5118" s="131">
        <v>1322</v>
      </c>
      <c r="M5118" s="187">
        <v>181.37</v>
      </c>
      <c r="N5118" s="91">
        <f t="shared" si="1519"/>
        <v>644.07000000000005</v>
      </c>
      <c r="O5118" s="411">
        <f t="shared" si="1482"/>
        <v>49.718999999999937</v>
      </c>
      <c r="P5118" s="132" t="s">
        <v>52</v>
      </c>
      <c r="Q5118" s="232"/>
      <c r="R5118" s="411"/>
      <c r="T5118" s="134" t="s">
        <v>7260</v>
      </c>
      <c r="U5118" s="267" t="s">
        <v>11242</v>
      </c>
      <c r="V5118" s="133" t="s">
        <v>55</v>
      </c>
      <c r="AA5118" s="218"/>
    </row>
    <row r="5119" spans="1:27" ht="24" x14ac:dyDescent="0.25">
      <c r="A5119" s="405">
        <v>3004011</v>
      </c>
      <c r="B5119" s="406">
        <v>42611</v>
      </c>
      <c r="C5119" s="405" t="s">
        <v>42</v>
      </c>
      <c r="D5119" s="401" t="s">
        <v>11243</v>
      </c>
      <c r="E5119" s="120">
        <v>50</v>
      </c>
      <c r="F5119" s="133" t="s">
        <v>161</v>
      </c>
      <c r="G5119" s="404" t="s">
        <v>45</v>
      </c>
      <c r="H5119" s="411">
        <v>142.75</v>
      </c>
      <c r="I5119" s="89">
        <f t="shared" si="1545"/>
        <v>-12.8475</v>
      </c>
      <c r="J5119" s="258">
        <f t="shared" ref="J5119" si="1552">-((H5119*0.019)+0.3)</f>
        <v>-3.0122499999999999</v>
      </c>
      <c r="K5119" s="90">
        <f t="shared" ref="K5119" si="1553">SUM(H5119:J5119)</f>
        <v>126.89025000000001</v>
      </c>
      <c r="L5119" s="131">
        <v>1322</v>
      </c>
      <c r="M5119" s="187">
        <v>23.6</v>
      </c>
      <c r="N5119" s="91">
        <f t="shared" si="1519"/>
        <v>89.700000000000017</v>
      </c>
      <c r="O5119" s="411">
        <f t="shared" si="1482"/>
        <v>37.190249999999992</v>
      </c>
      <c r="P5119" s="132" t="s">
        <v>52</v>
      </c>
      <c r="Q5119" s="232"/>
      <c r="R5119" s="411"/>
      <c r="T5119" s="134" t="s">
        <v>145</v>
      </c>
      <c r="U5119" s="267" t="s">
        <v>11244</v>
      </c>
      <c r="AA5119" s="218"/>
    </row>
    <row r="5120" spans="1:27" ht="24" x14ac:dyDescent="0.25">
      <c r="A5120" s="405">
        <v>3004012</v>
      </c>
      <c r="B5120" s="406">
        <v>42611</v>
      </c>
      <c r="C5120" s="405" t="s">
        <v>42</v>
      </c>
      <c r="D5120" s="401" t="s">
        <v>11245</v>
      </c>
      <c r="E5120" s="120">
        <v>250</v>
      </c>
      <c r="F5120" s="133" t="s">
        <v>4102</v>
      </c>
      <c r="G5120" s="404" t="s">
        <v>45</v>
      </c>
      <c r="H5120" s="411">
        <v>251.58</v>
      </c>
      <c r="I5120" s="89">
        <f t="shared" si="1545"/>
        <v>-22.642199999999999</v>
      </c>
      <c r="J5120" s="258">
        <f t="shared" ref="J5120" si="1554">-((H5120*0.019)+0.3)</f>
        <v>-5.0800200000000002</v>
      </c>
      <c r="K5120" s="90">
        <f t="shared" ref="K5120" si="1555">SUM(H5120:J5120)</f>
        <v>223.85778000000002</v>
      </c>
      <c r="L5120" s="187">
        <v>440</v>
      </c>
      <c r="M5120" s="187">
        <v>42.94</v>
      </c>
      <c r="N5120" s="91">
        <f t="shared" si="1519"/>
        <v>152.94</v>
      </c>
      <c r="O5120" s="411">
        <f t="shared" si="1482"/>
        <v>70.917780000000022</v>
      </c>
      <c r="P5120" s="132" t="s">
        <v>3597</v>
      </c>
      <c r="Q5120" s="232"/>
      <c r="R5120" s="411"/>
      <c r="T5120" s="134" t="s">
        <v>145</v>
      </c>
      <c r="U5120" s="267" t="s">
        <v>11246</v>
      </c>
      <c r="AA5120" s="218"/>
    </row>
    <row r="5121" spans="1:27" ht="24" x14ac:dyDescent="0.25">
      <c r="A5121" s="405">
        <v>3004013</v>
      </c>
      <c r="B5121" s="406">
        <v>42611</v>
      </c>
      <c r="C5121" s="405" t="s">
        <v>42</v>
      </c>
      <c r="D5121" s="401" t="s">
        <v>11247</v>
      </c>
      <c r="E5121" s="120">
        <v>150</v>
      </c>
      <c r="F5121" s="133" t="s">
        <v>227</v>
      </c>
      <c r="G5121" s="404" t="s">
        <v>45</v>
      </c>
      <c r="H5121" s="411">
        <v>176.28</v>
      </c>
      <c r="I5121" s="89">
        <f t="shared" si="1545"/>
        <v>-15.8652</v>
      </c>
      <c r="J5121" s="258">
        <f t="shared" ref="J5121" si="1556">-((H5121*0.019)+0.3)</f>
        <v>-3.6493199999999999</v>
      </c>
      <c r="K5121" s="90">
        <f t="shared" ref="K5121" si="1557">SUM(H5121:J5121)</f>
        <v>156.76548000000003</v>
      </c>
      <c r="L5121" s="131">
        <v>300</v>
      </c>
      <c r="M5121" s="187">
        <f>22+5</f>
        <v>27</v>
      </c>
      <c r="N5121" s="91">
        <f t="shared" si="1519"/>
        <v>72</v>
      </c>
      <c r="O5121" s="411">
        <f t="shared" si="1482"/>
        <v>84.765480000000025</v>
      </c>
      <c r="P5121" s="132" t="s">
        <v>52</v>
      </c>
      <c r="Q5121" s="232"/>
      <c r="R5121" s="411">
        <v>13.06</v>
      </c>
      <c r="S5121" s="133" t="s">
        <v>1518</v>
      </c>
      <c r="T5121" s="134" t="s">
        <v>145</v>
      </c>
      <c r="U5121" s="267" t="s">
        <v>11248</v>
      </c>
      <c r="AA5121" s="218"/>
    </row>
    <row r="5122" spans="1:27" ht="24" x14ac:dyDescent="0.25">
      <c r="A5122" s="405">
        <v>3004014</v>
      </c>
      <c r="B5122" s="406">
        <v>42611</v>
      </c>
      <c r="C5122" s="405" t="s">
        <v>42</v>
      </c>
      <c r="D5122" s="401" t="s">
        <v>11249</v>
      </c>
      <c r="E5122" s="120">
        <v>100</v>
      </c>
      <c r="F5122" s="133" t="s">
        <v>51</v>
      </c>
      <c r="G5122" s="404" t="s">
        <v>45</v>
      </c>
      <c r="H5122" s="411">
        <v>248.62</v>
      </c>
      <c r="I5122" s="89">
        <f t="shared" si="1545"/>
        <v>-22.375799999999998</v>
      </c>
      <c r="J5122" s="258">
        <f t="shared" ref="J5122" si="1558">-((H5122*0.019)+0.3)</f>
        <v>-5.0237799999999995</v>
      </c>
      <c r="K5122" s="90">
        <f t="shared" ref="K5122" si="1559">SUM(H5122:J5122)</f>
        <v>221.22042000000002</v>
      </c>
      <c r="L5122" s="131">
        <v>1015</v>
      </c>
      <c r="M5122" s="187">
        <v>36.9</v>
      </c>
      <c r="N5122" s="91">
        <f t="shared" si="1519"/>
        <v>138.4</v>
      </c>
      <c r="O5122" s="411">
        <f t="shared" si="1482"/>
        <v>82.820420000000013</v>
      </c>
      <c r="P5122" s="132" t="s">
        <v>52</v>
      </c>
      <c r="Q5122" s="232"/>
      <c r="R5122" s="411"/>
      <c r="T5122" s="134" t="s">
        <v>145</v>
      </c>
      <c r="U5122" s="267" t="s">
        <v>11250</v>
      </c>
      <c r="AA5122" s="218"/>
    </row>
    <row r="5123" spans="1:27" ht="24" x14ac:dyDescent="0.25">
      <c r="A5123" s="405">
        <v>3004015</v>
      </c>
      <c r="B5123" s="406">
        <v>42611</v>
      </c>
      <c r="C5123" s="405" t="s">
        <v>42</v>
      </c>
      <c r="D5123" s="401" t="s">
        <v>11251</v>
      </c>
      <c r="E5123" s="120">
        <v>140</v>
      </c>
      <c r="F5123" s="133" t="s">
        <v>829</v>
      </c>
      <c r="G5123" s="404" t="s">
        <v>45</v>
      </c>
      <c r="H5123" s="411">
        <v>145.81</v>
      </c>
      <c r="I5123" s="89">
        <f t="shared" si="1545"/>
        <v>-13.1229</v>
      </c>
      <c r="J5123" s="258">
        <f t="shared" ref="J5123" si="1560">-((H5123*0.019)+0.3)</f>
        <v>-3.0703899999999997</v>
      </c>
      <c r="K5123" s="90">
        <f t="shared" ref="K5123" si="1561">SUM(H5123:J5123)</f>
        <v>129.61671000000001</v>
      </c>
      <c r="L5123" s="131">
        <v>510</v>
      </c>
      <c r="M5123" s="187">
        <v>43.44</v>
      </c>
      <c r="N5123" s="91">
        <f t="shared" si="1519"/>
        <v>114.84</v>
      </c>
      <c r="O5123" s="411">
        <f t="shared" si="1482"/>
        <v>14.776710000000008</v>
      </c>
      <c r="P5123" s="132" t="s">
        <v>52</v>
      </c>
      <c r="Q5123" s="232"/>
      <c r="R5123" s="411"/>
      <c r="T5123" s="134" t="s">
        <v>145</v>
      </c>
      <c r="U5123" s="267" t="s">
        <v>11252</v>
      </c>
      <c r="AA5123" s="218"/>
    </row>
    <row r="5124" spans="1:27" ht="24" x14ac:dyDescent="0.25">
      <c r="A5124" s="405">
        <v>3004016</v>
      </c>
      <c r="B5124" s="406">
        <v>42611</v>
      </c>
      <c r="C5124" s="405" t="s">
        <v>237</v>
      </c>
      <c r="D5124" s="401" t="s">
        <v>11253</v>
      </c>
      <c r="E5124" s="120">
        <v>100</v>
      </c>
      <c r="F5124" s="133" t="s">
        <v>161</v>
      </c>
      <c r="G5124" s="404" t="s">
        <v>45</v>
      </c>
      <c r="H5124" s="411">
        <v>240</v>
      </c>
      <c r="I5124" s="397">
        <f t="shared" ref="I5124" si="1562">-(H5124*0.15)</f>
        <v>-36</v>
      </c>
      <c r="J5124" s="411">
        <v>0</v>
      </c>
      <c r="K5124" s="90">
        <f t="shared" ref="K5124:K5143" si="1563">SUM(H5124:J5124)</f>
        <v>204</v>
      </c>
      <c r="L5124" s="131">
        <v>1322</v>
      </c>
      <c r="M5124" s="187">
        <v>42.29</v>
      </c>
      <c r="N5124" s="91">
        <f t="shared" si="1519"/>
        <v>174.49</v>
      </c>
      <c r="O5124" s="411">
        <f t="shared" ref="O5124:O5187" si="1564">K5124-N5124</f>
        <v>29.509999999999991</v>
      </c>
      <c r="P5124" s="132" t="s">
        <v>52</v>
      </c>
      <c r="Q5124" s="232"/>
      <c r="R5124" s="411"/>
      <c r="T5124" s="134" t="s">
        <v>145</v>
      </c>
      <c r="U5124" s="267" t="s">
        <v>11254</v>
      </c>
      <c r="AA5124" s="218"/>
    </row>
    <row r="5125" spans="1:27" ht="24" x14ac:dyDescent="0.25">
      <c r="A5125" s="405">
        <v>3004017</v>
      </c>
      <c r="B5125" s="406">
        <v>42611</v>
      </c>
      <c r="C5125" s="405" t="s">
        <v>237</v>
      </c>
      <c r="D5125" s="401" t="s">
        <v>11255</v>
      </c>
      <c r="E5125" s="120">
        <v>250</v>
      </c>
      <c r="F5125" s="133" t="s">
        <v>2949</v>
      </c>
      <c r="G5125" s="404" t="s">
        <v>45</v>
      </c>
      <c r="H5125" s="411">
        <v>523.46</v>
      </c>
      <c r="I5125" s="397">
        <f t="shared" ref="I5125" si="1565">-(H5125*0.15)</f>
        <v>-78.519000000000005</v>
      </c>
      <c r="J5125" s="411">
        <v>0</v>
      </c>
      <c r="K5125" s="90">
        <f t="shared" si="1563"/>
        <v>444.94100000000003</v>
      </c>
      <c r="L5125" s="131">
        <v>1154</v>
      </c>
      <c r="M5125" s="187">
        <f>50.29+46.64+3.8+82.41</f>
        <v>183.14</v>
      </c>
      <c r="N5125" s="91">
        <f t="shared" si="1519"/>
        <v>471.64</v>
      </c>
      <c r="O5125" s="411">
        <f t="shared" si="1564"/>
        <v>-26.698999999999955</v>
      </c>
      <c r="P5125" s="132" t="s">
        <v>52</v>
      </c>
      <c r="Q5125" s="232"/>
      <c r="R5125" s="411"/>
      <c r="T5125" s="134" t="s">
        <v>145</v>
      </c>
      <c r="U5125" s="267" t="s">
        <v>11256</v>
      </c>
      <c r="AA5125" s="218"/>
    </row>
    <row r="5126" spans="1:27" ht="24" x14ac:dyDescent="0.25">
      <c r="A5126" s="405">
        <v>3004018</v>
      </c>
      <c r="B5126" s="406">
        <v>42611</v>
      </c>
      <c r="C5126" s="405" t="s">
        <v>237</v>
      </c>
      <c r="D5126" s="401" t="s">
        <v>11257</v>
      </c>
      <c r="E5126" s="120">
        <v>125</v>
      </c>
      <c r="F5126" s="133" t="s">
        <v>4066</v>
      </c>
      <c r="G5126" s="404" t="s">
        <v>45</v>
      </c>
      <c r="H5126" s="411">
        <v>198.88</v>
      </c>
      <c r="I5126" s="397">
        <f t="shared" ref="I5126" si="1566">-(H5126*0.15)</f>
        <v>-29.831999999999997</v>
      </c>
      <c r="J5126" s="411">
        <v>0</v>
      </c>
      <c r="K5126" s="90">
        <f t="shared" si="1563"/>
        <v>169.048</v>
      </c>
      <c r="L5126" s="131">
        <v>680</v>
      </c>
      <c r="M5126" s="187">
        <v>44.03</v>
      </c>
      <c r="N5126" s="91">
        <f t="shared" si="1519"/>
        <v>129.03</v>
      </c>
      <c r="O5126" s="411">
        <f t="shared" si="1564"/>
        <v>40.018000000000001</v>
      </c>
      <c r="P5126" s="132" t="s">
        <v>52</v>
      </c>
      <c r="Q5126" s="232"/>
      <c r="R5126" s="411"/>
      <c r="T5126" s="134" t="s">
        <v>145</v>
      </c>
      <c r="U5126" s="267" t="s">
        <v>11258</v>
      </c>
      <c r="AA5126" s="218"/>
    </row>
    <row r="5127" spans="1:27" ht="24" x14ac:dyDescent="0.25">
      <c r="A5127" s="405">
        <v>3004019</v>
      </c>
      <c r="B5127" s="406">
        <v>42611</v>
      </c>
      <c r="C5127" s="405" t="s">
        <v>237</v>
      </c>
      <c r="D5127" s="401" t="s">
        <v>11259</v>
      </c>
      <c r="E5127" s="120">
        <v>500</v>
      </c>
      <c r="F5127" s="133" t="s">
        <v>829</v>
      </c>
      <c r="G5127" s="404" t="s">
        <v>45</v>
      </c>
      <c r="H5127" s="411">
        <v>445.47</v>
      </c>
      <c r="I5127" s="397">
        <f t="shared" ref="I5127" si="1567">-(H5127*0.15)</f>
        <v>-66.820499999999996</v>
      </c>
      <c r="J5127" s="411">
        <v>0</v>
      </c>
      <c r="K5127" s="90">
        <f t="shared" si="1563"/>
        <v>378.64950000000005</v>
      </c>
      <c r="L5127" s="131">
        <v>510</v>
      </c>
      <c r="M5127" s="187">
        <v>70.489999999999995</v>
      </c>
      <c r="N5127" s="91">
        <f t="shared" si="1519"/>
        <v>325.49</v>
      </c>
      <c r="O5127" s="411">
        <f t="shared" si="1564"/>
        <v>53.159500000000037</v>
      </c>
      <c r="P5127" s="132" t="s">
        <v>52</v>
      </c>
      <c r="Q5127" s="232"/>
      <c r="R5127" s="411"/>
      <c r="T5127" s="134" t="s">
        <v>145</v>
      </c>
      <c r="U5127" s="267" t="s">
        <v>11260</v>
      </c>
      <c r="AA5127" s="218"/>
    </row>
    <row r="5128" spans="1:27" ht="24" x14ac:dyDescent="0.25">
      <c r="A5128" s="405">
        <v>3004020</v>
      </c>
      <c r="B5128" s="406">
        <v>42611</v>
      </c>
      <c r="C5128" s="405" t="s">
        <v>237</v>
      </c>
      <c r="D5128" s="401" t="s">
        <v>11261</v>
      </c>
      <c r="E5128" s="120">
        <v>300</v>
      </c>
      <c r="F5128" s="133" t="s">
        <v>165</v>
      </c>
      <c r="G5128" s="404" t="s">
        <v>45</v>
      </c>
      <c r="H5128" s="411">
        <v>210</v>
      </c>
      <c r="I5128" s="397">
        <f t="shared" ref="I5128" si="1568">-(H5128*0.15)</f>
        <v>-31.5</v>
      </c>
      <c r="J5128" s="411">
        <v>0</v>
      </c>
      <c r="K5128" s="90">
        <f t="shared" si="1563"/>
        <v>178.5</v>
      </c>
      <c r="L5128" s="131">
        <v>375</v>
      </c>
      <c r="M5128" s="187">
        <f>50.62+5</f>
        <v>55.62</v>
      </c>
      <c r="N5128" s="91">
        <f t="shared" si="1519"/>
        <v>168.12</v>
      </c>
      <c r="O5128" s="411">
        <f t="shared" si="1564"/>
        <v>10.379999999999995</v>
      </c>
      <c r="P5128" s="132" t="s">
        <v>52</v>
      </c>
      <c r="Q5128" s="232"/>
      <c r="R5128" s="411"/>
      <c r="T5128" s="134" t="s">
        <v>145</v>
      </c>
      <c r="U5128" s="267" t="s">
        <v>11262</v>
      </c>
      <c r="AA5128" s="218"/>
    </row>
    <row r="5129" spans="1:27" ht="24" x14ac:dyDescent="0.25">
      <c r="A5129" s="405">
        <v>3004021</v>
      </c>
      <c r="B5129" s="406">
        <v>42611</v>
      </c>
      <c r="C5129" s="405" t="s">
        <v>237</v>
      </c>
      <c r="D5129" s="401" t="s">
        <v>11263</v>
      </c>
      <c r="E5129" s="120">
        <v>50</v>
      </c>
      <c r="F5129" s="133" t="s">
        <v>288</v>
      </c>
      <c r="G5129" s="404" t="s">
        <v>45</v>
      </c>
      <c r="H5129" s="411">
        <v>113.43</v>
      </c>
      <c r="I5129" s="397">
        <f t="shared" ref="I5129" si="1569">-(H5129*0.15)</f>
        <v>-17.014500000000002</v>
      </c>
      <c r="J5129" s="411">
        <v>0</v>
      </c>
      <c r="K5129" s="90">
        <f t="shared" si="1563"/>
        <v>96.415500000000009</v>
      </c>
      <c r="L5129" s="131">
        <v>950</v>
      </c>
      <c r="M5129" s="187">
        <v>25.82</v>
      </c>
      <c r="N5129" s="91">
        <f t="shared" si="1519"/>
        <v>73.319999999999993</v>
      </c>
      <c r="O5129" s="411">
        <f t="shared" si="1564"/>
        <v>23.095500000000015</v>
      </c>
      <c r="P5129" s="132" t="s">
        <v>52</v>
      </c>
      <c r="Q5129" s="232"/>
      <c r="R5129" s="411"/>
      <c r="T5129" s="134" t="s">
        <v>145</v>
      </c>
      <c r="U5129" s="267" t="s">
        <v>11264</v>
      </c>
      <c r="AA5129" s="218"/>
    </row>
    <row r="5130" spans="1:27" ht="24" x14ac:dyDescent="0.25">
      <c r="A5130" s="405">
        <v>3004022</v>
      </c>
      <c r="B5130" s="406">
        <v>42611</v>
      </c>
      <c r="C5130" s="405" t="s">
        <v>237</v>
      </c>
      <c r="D5130" s="401" t="s">
        <v>11265</v>
      </c>
      <c r="E5130" s="120">
        <v>100</v>
      </c>
      <c r="F5130" s="133" t="s">
        <v>590</v>
      </c>
      <c r="G5130" s="404" t="s">
        <v>45</v>
      </c>
      <c r="H5130" s="411">
        <v>115.08</v>
      </c>
      <c r="I5130" s="397">
        <f t="shared" ref="I5130" si="1570">-(H5130*0.15)</f>
        <v>-17.262</v>
      </c>
      <c r="J5130" s="411">
        <v>0</v>
      </c>
      <c r="K5130" s="90">
        <f t="shared" si="1563"/>
        <v>97.817999999999998</v>
      </c>
      <c r="L5130" s="131">
        <v>577</v>
      </c>
      <c r="M5130" s="187">
        <f>38.31+5</f>
        <v>43.31</v>
      </c>
      <c r="N5130" s="91">
        <f t="shared" si="1519"/>
        <v>101.01</v>
      </c>
      <c r="O5130" s="411">
        <f t="shared" si="1564"/>
        <v>-3.1920000000000073</v>
      </c>
      <c r="P5130" s="132" t="s">
        <v>52</v>
      </c>
      <c r="Q5130" s="232"/>
      <c r="R5130" s="411"/>
      <c r="T5130" s="134" t="s">
        <v>145</v>
      </c>
      <c r="U5130" s="267" t="s">
        <v>11266</v>
      </c>
      <c r="AA5130" s="218"/>
    </row>
    <row r="5131" spans="1:27" ht="24" x14ac:dyDescent="0.25">
      <c r="A5131" s="405">
        <v>3004023</v>
      </c>
      <c r="B5131" s="406">
        <v>42611</v>
      </c>
      <c r="C5131" s="405" t="s">
        <v>237</v>
      </c>
      <c r="D5131" s="401" t="s">
        <v>11267</v>
      </c>
      <c r="E5131" s="120">
        <v>100</v>
      </c>
      <c r="F5131" s="133" t="s">
        <v>590</v>
      </c>
      <c r="G5131" s="404" t="s">
        <v>45</v>
      </c>
      <c r="H5131" s="411">
        <v>115.08</v>
      </c>
      <c r="I5131" s="397">
        <f t="shared" ref="I5131" si="1571">-(H5131*0.15)</f>
        <v>-17.262</v>
      </c>
      <c r="J5131" s="411">
        <v>0</v>
      </c>
      <c r="K5131" s="90">
        <f t="shared" si="1563"/>
        <v>97.817999999999998</v>
      </c>
      <c r="L5131" s="131">
        <v>577</v>
      </c>
      <c r="M5131" s="187">
        <v>34.9</v>
      </c>
      <c r="N5131" s="91">
        <f t="shared" si="1519"/>
        <v>92.6</v>
      </c>
      <c r="O5131" s="411">
        <f t="shared" si="1564"/>
        <v>5.2180000000000035</v>
      </c>
      <c r="P5131" s="132" t="s">
        <v>52</v>
      </c>
      <c r="Q5131" s="232"/>
      <c r="R5131" s="411"/>
      <c r="T5131" s="134" t="s">
        <v>145</v>
      </c>
      <c r="U5131" s="267" t="s">
        <v>11268</v>
      </c>
      <c r="AA5131" s="218"/>
    </row>
    <row r="5132" spans="1:27" ht="24" x14ac:dyDescent="0.25">
      <c r="A5132" s="405">
        <v>3004024</v>
      </c>
      <c r="B5132" s="406">
        <v>42611</v>
      </c>
      <c r="C5132" s="405" t="s">
        <v>237</v>
      </c>
      <c r="D5132" s="401" t="s">
        <v>11269</v>
      </c>
      <c r="E5132" s="120">
        <v>250</v>
      </c>
      <c r="F5132" s="133" t="s">
        <v>175</v>
      </c>
      <c r="G5132" s="404" t="s">
        <v>45</v>
      </c>
      <c r="H5132" s="411">
        <v>178.2</v>
      </c>
      <c r="I5132" s="397">
        <f t="shared" ref="I5132" si="1572">-(H5132*0.15)</f>
        <v>-26.729999999999997</v>
      </c>
      <c r="J5132" s="411">
        <v>0</v>
      </c>
      <c r="K5132" s="90">
        <f t="shared" si="1563"/>
        <v>151.47</v>
      </c>
      <c r="L5132" s="131">
        <v>250</v>
      </c>
      <c r="M5132" s="187">
        <v>47.83</v>
      </c>
      <c r="N5132" s="91">
        <f t="shared" si="1519"/>
        <v>110.33</v>
      </c>
      <c r="O5132" s="411">
        <f t="shared" si="1564"/>
        <v>41.14</v>
      </c>
      <c r="P5132" s="132" t="s">
        <v>52</v>
      </c>
      <c r="Q5132" s="232"/>
      <c r="R5132" s="411"/>
      <c r="T5132" s="134" t="s">
        <v>145</v>
      </c>
      <c r="U5132" s="267" t="s">
        <v>11270</v>
      </c>
      <c r="AA5132" s="218"/>
    </row>
    <row r="5133" spans="1:27" ht="24" x14ac:dyDescent="0.25">
      <c r="A5133" s="405">
        <v>3004025</v>
      </c>
      <c r="B5133" s="406">
        <v>42611</v>
      </c>
      <c r="C5133" s="405" t="s">
        <v>237</v>
      </c>
      <c r="D5133" s="401" t="s">
        <v>11271</v>
      </c>
      <c r="E5133" s="120">
        <v>150</v>
      </c>
      <c r="F5133" s="133" t="s">
        <v>605</v>
      </c>
      <c r="G5133" s="404" t="s">
        <v>45</v>
      </c>
      <c r="H5133" s="411">
        <v>178.2</v>
      </c>
      <c r="I5133" s="397">
        <f t="shared" ref="I5133" si="1573">-(H5133*0.15)</f>
        <v>-26.729999999999997</v>
      </c>
      <c r="J5133" s="411">
        <v>0</v>
      </c>
      <c r="K5133" s="90">
        <f t="shared" si="1563"/>
        <v>151.47</v>
      </c>
      <c r="L5133" s="131">
        <v>480</v>
      </c>
      <c r="M5133" s="187">
        <v>39.090000000000003</v>
      </c>
      <c r="N5133" s="91">
        <f t="shared" si="1519"/>
        <v>111.09</v>
      </c>
      <c r="O5133" s="411">
        <f t="shared" si="1564"/>
        <v>40.379999999999995</v>
      </c>
      <c r="P5133" s="132" t="s">
        <v>86</v>
      </c>
      <c r="Q5133" s="232"/>
      <c r="R5133" s="411"/>
      <c r="T5133" s="134" t="s">
        <v>145</v>
      </c>
      <c r="U5133" s="267" t="s">
        <v>11272</v>
      </c>
      <c r="AA5133" s="218"/>
    </row>
    <row r="5134" spans="1:27" ht="24" x14ac:dyDescent="0.25">
      <c r="A5134" s="405">
        <v>3004026</v>
      </c>
      <c r="B5134" s="406">
        <v>42611</v>
      </c>
      <c r="C5134" s="405" t="s">
        <v>237</v>
      </c>
      <c r="D5134" s="401" t="s">
        <v>11273</v>
      </c>
      <c r="E5134" s="120">
        <v>75</v>
      </c>
      <c r="F5134" s="133" t="s">
        <v>341</v>
      </c>
      <c r="G5134" s="404" t="s">
        <v>45</v>
      </c>
      <c r="H5134" s="411">
        <v>135.43</v>
      </c>
      <c r="I5134" s="397">
        <f t="shared" ref="I5134" si="1574">-(H5134*0.15)</f>
        <v>-20.314499999999999</v>
      </c>
      <c r="J5134" s="411">
        <v>0</v>
      </c>
      <c r="K5134" s="90">
        <f t="shared" si="1563"/>
        <v>115.11550000000001</v>
      </c>
      <c r="L5134" s="131">
        <v>698</v>
      </c>
      <c r="M5134" s="187">
        <v>37</v>
      </c>
      <c r="N5134" s="91">
        <f t="shared" si="1519"/>
        <v>89.35</v>
      </c>
      <c r="O5134" s="411">
        <f t="shared" si="1564"/>
        <v>25.765500000000017</v>
      </c>
      <c r="P5134" s="132" t="s">
        <v>52</v>
      </c>
      <c r="Q5134" s="232"/>
      <c r="R5134" s="411"/>
      <c r="T5134" s="134" t="s">
        <v>145</v>
      </c>
      <c r="U5134" s="267" t="s">
        <v>11274</v>
      </c>
      <c r="AA5134" s="218"/>
    </row>
    <row r="5135" spans="1:27" ht="24" x14ac:dyDescent="0.25">
      <c r="A5135" s="405">
        <v>3004027</v>
      </c>
      <c r="B5135" s="406">
        <v>42611</v>
      </c>
      <c r="C5135" s="405" t="s">
        <v>237</v>
      </c>
      <c r="D5135" s="401" t="s">
        <v>11275</v>
      </c>
      <c r="E5135" s="120">
        <v>100</v>
      </c>
      <c r="F5135" s="133" t="s">
        <v>341</v>
      </c>
      <c r="G5135" s="404" t="s">
        <v>45</v>
      </c>
      <c r="H5135" s="411">
        <v>174.35</v>
      </c>
      <c r="I5135" s="397">
        <f t="shared" ref="I5135" si="1575">-(H5135*0.15)</f>
        <v>-26.1525</v>
      </c>
      <c r="J5135" s="411">
        <v>0</v>
      </c>
      <c r="K5135" s="90">
        <f t="shared" si="1563"/>
        <v>148.19749999999999</v>
      </c>
      <c r="L5135" s="131">
        <v>698</v>
      </c>
      <c r="M5135" s="187">
        <v>32.33</v>
      </c>
      <c r="N5135" s="91">
        <f t="shared" si="1519"/>
        <v>102.13</v>
      </c>
      <c r="O5135" s="411">
        <f t="shared" si="1564"/>
        <v>46.067499999999995</v>
      </c>
      <c r="P5135" s="132" t="s">
        <v>52</v>
      </c>
      <c r="Q5135" s="232"/>
      <c r="R5135" s="411"/>
      <c r="T5135" s="134" t="s">
        <v>145</v>
      </c>
      <c r="U5135" s="267" t="s">
        <v>11276</v>
      </c>
      <c r="AA5135" s="218"/>
    </row>
    <row r="5136" spans="1:27" ht="24" x14ac:dyDescent="0.25">
      <c r="A5136" s="405">
        <v>3004028</v>
      </c>
      <c r="B5136" s="406">
        <v>42611</v>
      </c>
      <c r="C5136" s="405" t="s">
        <v>237</v>
      </c>
      <c r="D5136" s="401" t="s">
        <v>11277</v>
      </c>
      <c r="E5136" s="120">
        <v>150</v>
      </c>
      <c r="F5136" s="133" t="s">
        <v>247</v>
      </c>
      <c r="G5136" s="404" t="s">
        <v>45</v>
      </c>
      <c r="H5136" s="411">
        <v>164.07</v>
      </c>
      <c r="I5136" s="397">
        <f t="shared" ref="I5136:I5137" si="1576">-(H5136*0.15)</f>
        <v>-24.610499999999998</v>
      </c>
      <c r="J5136" s="411">
        <v>0</v>
      </c>
      <c r="K5136" s="90">
        <f t="shared" si="1563"/>
        <v>139.45949999999999</v>
      </c>
      <c r="L5136" s="131">
        <v>480</v>
      </c>
      <c r="M5136" s="187">
        <v>45.21</v>
      </c>
      <c r="N5136" s="91">
        <f t="shared" si="1519"/>
        <v>117.21000000000001</v>
      </c>
      <c r="O5136" s="411">
        <f t="shared" si="1564"/>
        <v>22.249499999999983</v>
      </c>
      <c r="P5136" s="132" t="s">
        <v>52</v>
      </c>
      <c r="Q5136" s="232"/>
      <c r="R5136" s="411"/>
      <c r="T5136" s="134" t="s">
        <v>145</v>
      </c>
      <c r="U5136" s="267" t="s">
        <v>11278</v>
      </c>
      <c r="AA5136" s="218"/>
    </row>
    <row r="5137" spans="1:27" ht="24" x14ac:dyDescent="0.25">
      <c r="A5137" s="405">
        <v>3004029</v>
      </c>
      <c r="B5137" s="406">
        <v>42611</v>
      </c>
      <c r="C5137" s="405" t="s">
        <v>237</v>
      </c>
      <c r="D5137" s="401" t="s">
        <v>11279</v>
      </c>
      <c r="E5137" s="120">
        <v>300</v>
      </c>
      <c r="F5137" s="133" t="s">
        <v>165</v>
      </c>
      <c r="G5137" s="404" t="s">
        <v>45</v>
      </c>
      <c r="H5137" s="411">
        <v>210</v>
      </c>
      <c r="I5137" s="397">
        <f t="shared" si="1576"/>
        <v>-31.5</v>
      </c>
      <c r="J5137" s="411">
        <v>0</v>
      </c>
      <c r="K5137" s="90">
        <f t="shared" si="1563"/>
        <v>178.5</v>
      </c>
      <c r="L5137" s="131">
        <v>300</v>
      </c>
      <c r="M5137" s="187">
        <v>44.34</v>
      </c>
      <c r="N5137" s="91">
        <f t="shared" si="1519"/>
        <v>134.34</v>
      </c>
      <c r="O5137" s="411">
        <f t="shared" si="1564"/>
        <v>44.16</v>
      </c>
      <c r="P5137" s="132" t="s">
        <v>86</v>
      </c>
      <c r="Q5137" s="232"/>
      <c r="R5137" s="411"/>
      <c r="T5137" s="134" t="s">
        <v>145</v>
      </c>
      <c r="U5137" s="267" t="s">
        <v>11280</v>
      </c>
      <c r="AA5137" s="218"/>
    </row>
    <row r="5138" spans="1:27" ht="24" x14ac:dyDescent="0.25">
      <c r="A5138" s="405">
        <v>3004030</v>
      </c>
      <c r="B5138" s="406">
        <v>42611</v>
      </c>
      <c r="C5138" s="405" t="s">
        <v>237</v>
      </c>
      <c r="D5138" s="401" t="s">
        <v>11281</v>
      </c>
      <c r="E5138" s="120">
        <v>100</v>
      </c>
      <c r="F5138" s="133" t="s">
        <v>288</v>
      </c>
      <c r="G5138" s="404" t="s">
        <v>45</v>
      </c>
      <c r="H5138" s="411">
        <v>193.04</v>
      </c>
      <c r="I5138" s="397">
        <f t="shared" ref="I5138" si="1577">-(H5138*0.15)</f>
        <v>-28.955999999999996</v>
      </c>
      <c r="J5138" s="411">
        <v>0</v>
      </c>
      <c r="K5138" s="90">
        <f t="shared" si="1563"/>
        <v>164.084</v>
      </c>
      <c r="L5138" s="131">
        <v>950</v>
      </c>
      <c r="M5138" s="187">
        <v>14.31</v>
      </c>
      <c r="N5138" s="91">
        <f t="shared" si="1519"/>
        <v>109.31</v>
      </c>
      <c r="O5138" s="411">
        <f t="shared" si="1564"/>
        <v>54.774000000000001</v>
      </c>
      <c r="P5138" s="132" t="s">
        <v>86</v>
      </c>
      <c r="Q5138" s="232"/>
      <c r="R5138" s="411"/>
      <c r="T5138" s="134" t="s">
        <v>145</v>
      </c>
      <c r="U5138" s="267" t="s">
        <v>11282</v>
      </c>
      <c r="AA5138" s="218"/>
    </row>
    <row r="5139" spans="1:27" ht="24" x14ac:dyDescent="0.25">
      <c r="A5139" s="405">
        <v>3004031</v>
      </c>
      <c r="B5139" s="406">
        <v>42611</v>
      </c>
      <c r="C5139" s="405" t="s">
        <v>237</v>
      </c>
      <c r="D5139" s="401" t="s">
        <v>11283</v>
      </c>
      <c r="E5139" s="120">
        <v>250</v>
      </c>
      <c r="F5139" s="133" t="s">
        <v>609</v>
      </c>
      <c r="G5139" s="404" t="s">
        <v>45</v>
      </c>
      <c r="H5139" s="411">
        <v>138.65</v>
      </c>
      <c r="I5139" s="397">
        <f t="shared" ref="I5139:I5140" si="1578">-(H5139*0.15)</f>
        <v>-20.797499999999999</v>
      </c>
      <c r="J5139" s="411">
        <v>0</v>
      </c>
      <c r="K5139" s="90">
        <f t="shared" si="1563"/>
        <v>117.85250000000001</v>
      </c>
      <c r="L5139" s="131">
        <v>150</v>
      </c>
      <c r="M5139" s="187">
        <v>23.09</v>
      </c>
      <c r="N5139" s="91">
        <f t="shared" si="1519"/>
        <v>60.59</v>
      </c>
      <c r="O5139" s="411">
        <f t="shared" si="1564"/>
        <v>57.262500000000003</v>
      </c>
      <c r="P5139" s="132" t="s">
        <v>52</v>
      </c>
      <c r="Q5139" s="232"/>
      <c r="R5139" s="411"/>
      <c r="T5139" s="134" t="s">
        <v>145</v>
      </c>
      <c r="U5139" s="267" t="s">
        <v>11284</v>
      </c>
      <c r="AA5139" s="218"/>
    </row>
    <row r="5140" spans="1:27" ht="24" x14ac:dyDescent="0.25">
      <c r="A5140" s="405">
        <v>3004032</v>
      </c>
      <c r="B5140" s="406">
        <v>42611</v>
      </c>
      <c r="C5140" s="405" t="s">
        <v>237</v>
      </c>
      <c r="D5140" s="401" t="s">
        <v>11285</v>
      </c>
      <c r="E5140" s="120">
        <v>75</v>
      </c>
      <c r="F5140" s="133" t="s">
        <v>341</v>
      </c>
      <c r="G5140" s="404" t="s">
        <v>45</v>
      </c>
      <c r="H5140" s="411">
        <v>135.43</v>
      </c>
      <c r="I5140" s="397">
        <f t="shared" si="1578"/>
        <v>-20.314499999999999</v>
      </c>
      <c r="J5140" s="411">
        <v>0</v>
      </c>
      <c r="K5140" s="90">
        <f t="shared" si="1563"/>
        <v>115.11550000000001</v>
      </c>
      <c r="L5140" s="131">
        <v>698</v>
      </c>
      <c r="M5140" s="187">
        <v>17.73</v>
      </c>
      <c r="N5140" s="91">
        <f t="shared" si="1519"/>
        <v>70.08</v>
      </c>
      <c r="O5140" s="411">
        <f t="shared" si="1564"/>
        <v>45.035500000000013</v>
      </c>
      <c r="P5140" s="132" t="s">
        <v>52</v>
      </c>
      <c r="Q5140" s="232"/>
      <c r="R5140" s="411"/>
      <c r="T5140" s="134" t="s">
        <v>145</v>
      </c>
      <c r="U5140" s="267" t="s">
        <v>11286</v>
      </c>
      <c r="AA5140" s="218"/>
    </row>
    <row r="5141" spans="1:27" ht="24" x14ac:dyDescent="0.25">
      <c r="A5141" s="405">
        <v>3004033</v>
      </c>
      <c r="B5141" s="406">
        <v>42611</v>
      </c>
      <c r="C5141" s="405" t="s">
        <v>237</v>
      </c>
      <c r="D5141" s="401" t="s">
        <v>11287</v>
      </c>
      <c r="E5141" s="120">
        <v>250</v>
      </c>
      <c r="F5141" s="133" t="s">
        <v>173</v>
      </c>
      <c r="G5141" s="404" t="s">
        <v>45</v>
      </c>
      <c r="H5141" s="411">
        <v>267</v>
      </c>
      <c r="I5141" s="397">
        <f t="shared" ref="I5141" si="1579">-(H5141*0.15)</f>
        <v>-40.049999999999997</v>
      </c>
      <c r="J5141" s="411">
        <v>0</v>
      </c>
      <c r="K5141" s="90">
        <f t="shared" si="1563"/>
        <v>226.95</v>
      </c>
      <c r="L5141" s="131">
        <v>409</v>
      </c>
      <c r="M5141" s="187">
        <v>38.25</v>
      </c>
      <c r="N5141" s="91">
        <f t="shared" si="1519"/>
        <v>140.5</v>
      </c>
      <c r="O5141" s="411">
        <f t="shared" si="1564"/>
        <v>86.449999999999989</v>
      </c>
      <c r="P5141" s="132" t="s">
        <v>52</v>
      </c>
      <c r="Q5141" s="232"/>
      <c r="R5141" s="411"/>
      <c r="T5141" s="134" t="s">
        <v>145</v>
      </c>
      <c r="U5141" s="267" t="s">
        <v>11288</v>
      </c>
      <c r="AA5141" s="218"/>
    </row>
    <row r="5142" spans="1:27" ht="24" x14ac:dyDescent="0.25">
      <c r="A5142" s="405">
        <v>3004034</v>
      </c>
      <c r="B5142" s="406">
        <v>42611</v>
      </c>
      <c r="C5142" s="405" t="s">
        <v>237</v>
      </c>
      <c r="D5142" s="401" t="s">
        <v>11289</v>
      </c>
      <c r="E5142" s="120">
        <v>100</v>
      </c>
      <c r="F5142" s="133" t="s">
        <v>222</v>
      </c>
      <c r="G5142" s="404" t="s">
        <v>45</v>
      </c>
      <c r="H5142" s="411">
        <v>150</v>
      </c>
      <c r="I5142" s="397">
        <f t="shared" ref="I5142" si="1580">-(H5142*0.15)</f>
        <v>-22.5</v>
      </c>
      <c r="J5142" s="411">
        <v>0</v>
      </c>
      <c r="K5142" s="90">
        <f t="shared" si="1563"/>
        <v>127.5</v>
      </c>
      <c r="L5142" s="131">
        <v>670</v>
      </c>
      <c r="M5142" s="187">
        <v>25.56</v>
      </c>
      <c r="N5142" s="91">
        <f t="shared" si="1519"/>
        <v>92.56</v>
      </c>
      <c r="O5142" s="411">
        <f t="shared" si="1564"/>
        <v>34.94</v>
      </c>
      <c r="P5142" s="132" t="s">
        <v>86</v>
      </c>
      <c r="Q5142" s="232"/>
      <c r="R5142" s="411"/>
      <c r="T5142" s="134" t="s">
        <v>145</v>
      </c>
      <c r="U5142" s="267" t="s">
        <v>11290</v>
      </c>
      <c r="AA5142" s="218"/>
    </row>
    <row r="5143" spans="1:27" ht="24" x14ac:dyDescent="0.25">
      <c r="A5143" s="405">
        <v>3004035</v>
      </c>
      <c r="B5143" s="406">
        <v>42611</v>
      </c>
      <c r="C5143" s="405" t="s">
        <v>237</v>
      </c>
      <c r="D5143" s="401" t="s">
        <v>11291</v>
      </c>
      <c r="E5143" s="120">
        <v>100</v>
      </c>
      <c r="F5143" s="133" t="s">
        <v>288</v>
      </c>
      <c r="G5143" s="404" t="s">
        <v>45</v>
      </c>
      <c r="H5143" s="411">
        <v>193.04</v>
      </c>
      <c r="I5143" s="397">
        <f t="shared" ref="I5143" si="1581">-(H5143*0.15)</f>
        <v>-28.955999999999996</v>
      </c>
      <c r="J5143" s="411">
        <v>0</v>
      </c>
      <c r="K5143" s="90">
        <f t="shared" si="1563"/>
        <v>164.084</v>
      </c>
      <c r="L5143" s="131">
        <v>950</v>
      </c>
      <c r="M5143" s="187">
        <v>32.33</v>
      </c>
      <c r="N5143" s="91">
        <f t="shared" si="1519"/>
        <v>127.33</v>
      </c>
      <c r="O5143" s="411">
        <f t="shared" si="1564"/>
        <v>36.754000000000005</v>
      </c>
      <c r="P5143" s="132" t="s">
        <v>52</v>
      </c>
      <c r="Q5143" s="232"/>
      <c r="R5143" s="411"/>
      <c r="T5143" s="134" t="s">
        <v>145</v>
      </c>
      <c r="U5143" s="267" t="s">
        <v>11292</v>
      </c>
      <c r="AA5143" s="218"/>
    </row>
    <row r="5144" spans="1:27" ht="24" x14ac:dyDescent="0.25">
      <c r="A5144" s="405">
        <v>3004036</v>
      </c>
      <c r="B5144" s="406">
        <v>42611</v>
      </c>
      <c r="C5144" s="405" t="s">
        <v>42</v>
      </c>
      <c r="D5144" s="401" t="s">
        <v>11293</v>
      </c>
      <c r="E5144" s="120">
        <v>300</v>
      </c>
      <c r="F5144" s="133" t="s">
        <v>605</v>
      </c>
      <c r="G5144" s="404" t="s">
        <v>45</v>
      </c>
      <c r="H5144" s="411">
        <v>425.28</v>
      </c>
      <c r="I5144" s="89">
        <f>-(H5144*0.09)</f>
        <v>-38.275199999999998</v>
      </c>
      <c r="J5144" s="258">
        <f t="shared" ref="J5144" si="1582">-((H5144*0.019)+0.3)</f>
        <v>-8.3803199999999993</v>
      </c>
      <c r="K5144" s="90">
        <f t="shared" ref="K5144" si="1583">SUM(H5144:J5144)</f>
        <v>378.62448000000001</v>
      </c>
      <c r="L5144" s="131">
        <v>595</v>
      </c>
      <c r="M5144" s="187">
        <v>73.180000000000007</v>
      </c>
      <c r="N5144" s="91">
        <f t="shared" si="1519"/>
        <v>251.68</v>
      </c>
      <c r="O5144" s="411">
        <f t="shared" si="1564"/>
        <v>126.94448</v>
      </c>
      <c r="P5144" s="132" t="s">
        <v>52</v>
      </c>
      <c r="Q5144" s="232"/>
      <c r="R5144" s="411"/>
      <c r="T5144" s="134" t="s">
        <v>145</v>
      </c>
      <c r="U5144" s="267" t="s">
        <v>11294</v>
      </c>
      <c r="AA5144" s="218"/>
    </row>
    <row r="5145" spans="1:27" x14ac:dyDescent="0.25">
      <c r="A5145" s="405">
        <v>3004037</v>
      </c>
      <c r="B5145" s="406">
        <v>42611</v>
      </c>
      <c r="C5145" s="405" t="s">
        <v>141</v>
      </c>
      <c r="D5145" s="401" t="s">
        <v>11295</v>
      </c>
      <c r="E5145" s="120">
        <v>120</v>
      </c>
      <c r="F5145" s="133" t="s">
        <v>1634</v>
      </c>
      <c r="G5145" s="404" t="s">
        <v>45</v>
      </c>
      <c r="H5145" s="411">
        <v>1284</v>
      </c>
      <c r="I5145" s="411">
        <v>0</v>
      </c>
      <c r="J5145" s="258">
        <f>-((H5145*0.0325)+0.3)</f>
        <v>-42.03</v>
      </c>
      <c r="K5145" s="90">
        <f>SUM(H5145:J5145)</f>
        <v>1241.97</v>
      </c>
      <c r="L5145" s="187">
        <v>6340</v>
      </c>
      <c r="M5145" s="187">
        <v>105</v>
      </c>
      <c r="N5145" s="91">
        <f t="shared" si="1519"/>
        <v>865.8</v>
      </c>
      <c r="O5145" s="411">
        <f t="shared" si="1564"/>
        <v>376.17000000000007</v>
      </c>
      <c r="P5145" s="132" t="s">
        <v>183</v>
      </c>
      <c r="Q5145" s="232"/>
      <c r="R5145" s="411"/>
      <c r="T5145" s="134" t="s">
        <v>565</v>
      </c>
      <c r="U5145" s="267" t="s">
        <v>11296</v>
      </c>
      <c r="W5145" s="153" t="s">
        <v>4163</v>
      </c>
      <c r="AA5145" s="218">
        <v>10</v>
      </c>
    </row>
    <row r="5146" spans="1:27" ht="24" x14ac:dyDescent="0.25">
      <c r="A5146" s="405">
        <v>3004038</v>
      </c>
      <c r="B5146" s="406">
        <v>42611</v>
      </c>
      <c r="C5146" s="405" t="s">
        <v>237</v>
      </c>
      <c r="D5146" s="401" t="s">
        <v>11297</v>
      </c>
      <c r="E5146" s="120">
        <v>200</v>
      </c>
      <c r="F5146" s="133" t="s">
        <v>10165</v>
      </c>
      <c r="G5146" s="404" t="s">
        <v>45</v>
      </c>
      <c r="H5146" s="411">
        <v>115.4</v>
      </c>
      <c r="I5146" s="397">
        <f t="shared" ref="I5146" si="1584">-(H5146*0.15)</f>
        <v>-17.309999999999999</v>
      </c>
      <c r="J5146" s="411">
        <v>0</v>
      </c>
      <c r="K5146" s="90">
        <f>SUM(H5146:J5146)</f>
        <v>98.09</v>
      </c>
      <c r="L5146" s="187">
        <v>350</v>
      </c>
      <c r="M5146" s="187">
        <v>22.91</v>
      </c>
      <c r="N5146" s="91">
        <f t="shared" si="1519"/>
        <v>92.91</v>
      </c>
      <c r="O5146" s="411">
        <f t="shared" si="1564"/>
        <v>5.1800000000000068</v>
      </c>
      <c r="P5146" s="132" t="s">
        <v>601</v>
      </c>
      <c r="Q5146" s="232"/>
      <c r="R5146" s="411"/>
      <c r="T5146" s="134" t="s">
        <v>145</v>
      </c>
      <c r="U5146" s="267" t="s">
        <v>11298</v>
      </c>
      <c r="AA5146" s="218"/>
    </row>
    <row r="5147" spans="1:27" ht="24" customHeight="1" x14ac:dyDescent="0.25">
      <c r="A5147" s="419">
        <v>3004039</v>
      </c>
      <c r="B5147" s="421">
        <v>42611</v>
      </c>
      <c r="C5147" s="419" t="s">
        <v>237</v>
      </c>
      <c r="D5147" s="417" t="s">
        <v>11299</v>
      </c>
      <c r="E5147" s="120">
        <v>100</v>
      </c>
      <c r="F5147" s="133" t="s">
        <v>341</v>
      </c>
      <c r="G5147" s="434" t="s">
        <v>45</v>
      </c>
      <c r="H5147" s="427">
        <v>419.28</v>
      </c>
      <c r="I5147" s="452">
        <f t="shared" ref="I5147" si="1585">-(H5147*0.15)</f>
        <v>-62.891999999999996</v>
      </c>
      <c r="J5147" s="427">
        <v>0</v>
      </c>
      <c r="K5147" s="425">
        <f>SUM(H5147:J5147)</f>
        <v>356.38799999999998</v>
      </c>
      <c r="L5147" s="131">
        <v>698</v>
      </c>
      <c r="M5147" s="187">
        <v>40.64</v>
      </c>
      <c r="N5147" s="91">
        <f t="shared" ref="N5147:N5193" si="1586">((L5147)*(E5147*0.001))+M5147</f>
        <v>110.44</v>
      </c>
      <c r="O5147" s="411">
        <f t="shared" si="1564"/>
        <v>245.94799999999998</v>
      </c>
      <c r="P5147" s="132" t="s">
        <v>52</v>
      </c>
      <c r="Q5147" s="232"/>
      <c r="R5147" s="411"/>
      <c r="T5147" s="439" t="s">
        <v>145</v>
      </c>
      <c r="U5147" s="267" t="s">
        <v>11300</v>
      </c>
      <c r="AA5147" s="218"/>
    </row>
    <row r="5148" spans="1:27" x14ac:dyDescent="0.25">
      <c r="A5148" s="420"/>
      <c r="B5148" s="422"/>
      <c r="C5148" s="420"/>
      <c r="D5148" s="418"/>
      <c r="E5148" s="120">
        <v>100</v>
      </c>
      <c r="F5148" s="133" t="s">
        <v>431</v>
      </c>
      <c r="G5148" s="436"/>
      <c r="H5148" s="428"/>
      <c r="I5148" s="453"/>
      <c r="J5148" s="428"/>
      <c r="K5148" s="426"/>
      <c r="L5148" s="131">
        <v>990</v>
      </c>
      <c r="M5148" s="187">
        <v>47.12</v>
      </c>
      <c r="N5148" s="91">
        <f t="shared" si="1586"/>
        <v>146.12</v>
      </c>
      <c r="O5148" s="411">
        <f t="shared" si="1564"/>
        <v>-146.12</v>
      </c>
      <c r="P5148" s="132" t="s">
        <v>52</v>
      </c>
      <c r="Q5148" s="232"/>
      <c r="R5148" s="411"/>
      <c r="T5148" s="441"/>
      <c r="U5148" s="267" t="s">
        <v>11301</v>
      </c>
      <c r="AA5148" s="218"/>
    </row>
    <row r="5149" spans="1:27" ht="24" x14ac:dyDescent="0.25">
      <c r="A5149" s="405">
        <v>3004040</v>
      </c>
      <c r="B5149" s="406">
        <v>42611</v>
      </c>
      <c r="C5149" s="405" t="s">
        <v>42</v>
      </c>
      <c r="D5149" s="401" t="s">
        <v>11302</v>
      </c>
      <c r="E5149" s="120">
        <v>250</v>
      </c>
      <c r="F5149" s="133" t="s">
        <v>307</v>
      </c>
      <c r="G5149" s="404" t="s">
        <v>45</v>
      </c>
      <c r="H5149" s="411">
        <v>332.6</v>
      </c>
      <c r="I5149" s="89">
        <f>-(H5149*0.09)</f>
        <v>-29.934000000000001</v>
      </c>
      <c r="J5149" s="258">
        <f t="shared" ref="J5149" si="1587">-((H5149*0.019)+0.3)</f>
        <v>-6.6193999999999997</v>
      </c>
      <c r="K5149" s="90">
        <f t="shared" ref="K5149" si="1588">SUM(H5149:J5149)</f>
        <v>296.04660000000001</v>
      </c>
      <c r="L5149" s="131">
        <v>640</v>
      </c>
      <c r="M5149" s="187">
        <v>65.7</v>
      </c>
      <c r="N5149" s="91">
        <f t="shared" si="1586"/>
        <v>225.7</v>
      </c>
      <c r="O5149" s="411">
        <f t="shared" si="1564"/>
        <v>70.346600000000024</v>
      </c>
      <c r="P5149" s="132" t="s">
        <v>52</v>
      </c>
      <c r="Q5149" s="232"/>
      <c r="R5149" s="411"/>
      <c r="T5149" s="134" t="s">
        <v>145</v>
      </c>
      <c r="U5149" s="267" t="s">
        <v>11303</v>
      </c>
      <c r="AA5149" s="218"/>
    </row>
    <row r="5150" spans="1:27" ht="24" x14ac:dyDescent="0.25">
      <c r="A5150" s="405">
        <v>3004041</v>
      </c>
      <c r="B5150" s="406">
        <v>42611</v>
      </c>
      <c r="C5150" s="405" t="s">
        <v>327</v>
      </c>
      <c r="D5150" s="401" t="s">
        <v>11304</v>
      </c>
      <c r="E5150" s="120">
        <v>100</v>
      </c>
      <c r="F5150" s="133" t="s">
        <v>288</v>
      </c>
      <c r="G5150" s="404" t="s">
        <v>45</v>
      </c>
      <c r="H5150" s="411">
        <v>187.24</v>
      </c>
      <c r="I5150" s="411">
        <v>0</v>
      </c>
      <c r="J5150" s="258">
        <f>-((H5150*0.022)+0.3)</f>
        <v>-4.4192799999999997</v>
      </c>
      <c r="K5150" s="90">
        <f>SUM(H5150:J5150)</f>
        <v>182.82072000000002</v>
      </c>
      <c r="L5150" s="131">
        <v>950</v>
      </c>
      <c r="M5150" s="187">
        <v>28.9</v>
      </c>
      <c r="N5150" s="91">
        <f t="shared" si="1586"/>
        <v>123.9</v>
      </c>
      <c r="O5150" s="411">
        <f t="shared" si="1564"/>
        <v>58.920720000000017</v>
      </c>
      <c r="P5150" s="132" t="s">
        <v>52</v>
      </c>
      <c r="Q5150" s="232"/>
      <c r="R5150" s="411"/>
      <c r="T5150" s="134" t="s">
        <v>145</v>
      </c>
      <c r="U5150" s="267" t="s">
        <v>11305</v>
      </c>
      <c r="W5150" s="153" t="s">
        <v>11306</v>
      </c>
      <c r="AA5150" s="218"/>
    </row>
    <row r="5151" spans="1:27" x14ac:dyDescent="0.25">
      <c r="A5151" s="405">
        <v>3004042</v>
      </c>
      <c r="B5151" s="406">
        <v>42611</v>
      </c>
      <c r="C5151" s="405" t="s">
        <v>327</v>
      </c>
      <c r="D5151" s="401" t="s">
        <v>11307</v>
      </c>
      <c r="E5151" s="120">
        <v>82</v>
      </c>
      <c r="F5151" s="133" t="s">
        <v>3978</v>
      </c>
      <c r="G5151" s="404" t="s">
        <v>45</v>
      </c>
      <c r="H5151" s="411">
        <v>656</v>
      </c>
      <c r="I5151" s="411">
        <v>0</v>
      </c>
      <c r="J5151" s="258">
        <f>-((H5151*0.022)+0.3)</f>
        <v>-14.731999999999999</v>
      </c>
      <c r="K5151" s="90">
        <f>SUM(H5151:J5151)</f>
        <v>641.26800000000003</v>
      </c>
      <c r="L5151" s="187">
        <v>1649</v>
      </c>
      <c r="M5151" s="264">
        <v>47.1</v>
      </c>
      <c r="N5151" s="91">
        <f t="shared" si="1586"/>
        <v>182.31800000000001</v>
      </c>
      <c r="O5151" s="411">
        <f t="shared" si="1564"/>
        <v>458.95000000000005</v>
      </c>
      <c r="P5151" s="132" t="s">
        <v>313</v>
      </c>
      <c r="Q5151" s="232"/>
      <c r="R5151" s="411"/>
      <c r="T5151" s="134" t="s">
        <v>314</v>
      </c>
      <c r="U5151" s="267" t="s">
        <v>11308</v>
      </c>
      <c r="W5151" s="153" t="s">
        <v>11309</v>
      </c>
      <c r="AA5151" s="218"/>
    </row>
    <row r="5152" spans="1:27" x14ac:dyDescent="0.25">
      <c r="A5152" s="419">
        <v>3004043</v>
      </c>
      <c r="B5152" s="421">
        <v>42611</v>
      </c>
      <c r="C5152" s="419" t="s">
        <v>78</v>
      </c>
      <c r="D5152" s="417" t="s">
        <v>4006</v>
      </c>
      <c r="E5152" s="120">
        <v>8000</v>
      </c>
      <c r="F5152" s="133" t="s">
        <v>11310</v>
      </c>
      <c r="G5152" s="434" t="s">
        <v>45</v>
      </c>
      <c r="H5152" s="427">
        <v>8480</v>
      </c>
      <c r="I5152" s="427">
        <v>0</v>
      </c>
      <c r="J5152" s="498">
        <f t="shared" ref="J5152" si="1589">-((H5152*0.019)+0.3)</f>
        <v>-161.42000000000002</v>
      </c>
      <c r="K5152" s="425">
        <f>SUM(H5152:J5152)</f>
        <v>8318.58</v>
      </c>
      <c r="L5152" s="187">
        <v>320</v>
      </c>
      <c r="M5152" s="468">
        <v>325.85000000000002</v>
      </c>
      <c r="N5152" s="91">
        <f t="shared" si="1586"/>
        <v>2885.85</v>
      </c>
      <c r="O5152" s="411">
        <f t="shared" si="1564"/>
        <v>5432.73</v>
      </c>
      <c r="P5152" s="132" t="s">
        <v>2895</v>
      </c>
      <c r="Q5152" s="232"/>
      <c r="R5152" s="411"/>
      <c r="T5152" s="439" t="s">
        <v>11311</v>
      </c>
      <c r="U5152" s="446" t="s">
        <v>11312</v>
      </c>
      <c r="V5152" s="133" t="s">
        <v>55</v>
      </c>
      <c r="W5152" s="153" t="s">
        <v>4009</v>
      </c>
      <c r="AA5152" s="473">
        <v>80</v>
      </c>
    </row>
    <row r="5153" spans="1:27" ht="16.5" customHeight="1" x14ac:dyDescent="0.25">
      <c r="A5153" s="420"/>
      <c r="B5153" s="422"/>
      <c r="C5153" s="420"/>
      <c r="D5153" s="418"/>
      <c r="E5153" s="120">
        <v>8000</v>
      </c>
      <c r="F5153" s="133" t="s">
        <v>11313</v>
      </c>
      <c r="G5153" s="436"/>
      <c r="H5153" s="428"/>
      <c r="I5153" s="428"/>
      <c r="J5153" s="499"/>
      <c r="K5153" s="426"/>
      <c r="L5153" s="187">
        <v>420</v>
      </c>
      <c r="M5153" s="469"/>
      <c r="N5153" s="91">
        <f t="shared" si="1586"/>
        <v>3360</v>
      </c>
      <c r="O5153" s="411">
        <f t="shared" si="1564"/>
        <v>-3360</v>
      </c>
      <c r="P5153" s="132" t="s">
        <v>2895</v>
      </c>
      <c r="Q5153" s="232"/>
      <c r="R5153" s="411"/>
      <c r="T5153" s="441"/>
      <c r="U5153" s="447"/>
      <c r="AA5153" s="474"/>
    </row>
    <row r="5154" spans="1:27" x14ac:dyDescent="0.25">
      <c r="A5154" s="405">
        <v>3004044</v>
      </c>
      <c r="B5154" s="406">
        <v>42611</v>
      </c>
      <c r="C5154" s="405" t="s">
        <v>78</v>
      </c>
      <c r="D5154" s="401" t="s">
        <v>10222</v>
      </c>
      <c r="E5154" s="120">
        <v>210</v>
      </c>
      <c r="F5154" s="133" t="s">
        <v>51</v>
      </c>
      <c r="G5154" s="404" t="s">
        <v>45</v>
      </c>
      <c r="H5154" s="411">
        <v>386</v>
      </c>
      <c r="I5154" s="411">
        <v>0</v>
      </c>
      <c r="J5154" s="258">
        <f t="shared" ref="J5154:J5155" si="1590">-((H5154*0.019)+0.3)</f>
        <v>-7.6339999999999995</v>
      </c>
      <c r="K5154" s="90">
        <f>SUM(H5154:J5154)</f>
        <v>378.36599999999999</v>
      </c>
      <c r="L5154" s="131">
        <v>1015</v>
      </c>
      <c r="M5154" s="224">
        <v>114.72</v>
      </c>
      <c r="N5154" s="91">
        <f t="shared" si="1586"/>
        <v>327.87</v>
      </c>
      <c r="O5154" s="411">
        <f t="shared" si="1564"/>
        <v>50.495999999999981</v>
      </c>
      <c r="P5154" s="132" t="s">
        <v>52</v>
      </c>
      <c r="Q5154" s="232"/>
      <c r="R5154" s="411"/>
      <c r="T5154" s="134" t="s">
        <v>244</v>
      </c>
      <c r="U5154" s="267" t="s">
        <v>11314</v>
      </c>
      <c r="V5154" s="133" t="s">
        <v>55</v>
      </c>
      <c r="W5154" s="153" t="s">
        <v>10224</v>
      </c>
      <c r="AA5154" s="218"/>
    </row>
    <row r="5155" spans="1:27" ht="24" x14ac:dyDescent="0.25">
      <c r="A5155" s="405">
        <v>3004045</v>
      </c>
      <c r="B5155" s="406">
        <v>42611</v>
      </c>
      <c r="C5155" s="405" t="s">
        <v>42</v>
      </c>
      <c r="D5155" s="401" t="s">
        <v>11315</v>
      </c>
      <c r="E5155" s="120">
        <v>250</v>
      </c>
      <c r="F5155" s="133" t="s">
        <v>1137</v>
      </c>
      <c r="G5155" s="404" t="s">
        <v>45</v>
      </c>
      <c r="H5155" s="411">
        <v>133</v>
      </c>
      <c r="I5155" s="89">
        <f t="shared" ref="I5155:I5161" si="1591">-(H5155*0.09)</f>
        <v>-11.969999999999999</v>
      </c>
      <c r="J5155" s="258">
        <f t="shared" si="1590"/>
        <v>-2.827</v>
      </c>
      <c r="K5155" s="90">
        <f t="shared" ref="K5155" si="1592">SUM(H5155:J5155)</f>
        <v>118.203</v>
      </c>
      <c r="L5155" s="131">
        <v>220</v>
      </c>
      <c r="M5155" s="187">
        <v>29.05</v>
      </c>
      <c r="N5155" s="91">
        <f t="shared" si="1586"/>
        <v>84.05</v>
      </c>
      <c r="O5155" s="411">
        <f t="shared" si="1564"/>
        <v>34.153000000000006</v>
      </c>
      <c r="P5155" s="132" t="s">
        <v>52</v>
      </c>
      <c r="Q5155" s="232"/>
      <c r="R5155" s="411"/>
      <c r="T5155" s="134" t="s">
        <v>145</v>
      </c>
      <c r="U5155" s="267" t="s">
        <v>11316</v>
      </c>
      <c r="AA5155" s="218"/>
    </row>
    <row r="5156" spans="1:27" x14ac:dyDescent="0.25">
      <c r="A5156" s="405">
        <v>3004046</v>
      </c>
      <c r="B5156" s="406">
        <v>42611</v>
      </c>
      <c r="C5156" s="405" t="s">
        <v>42</v>
      </c>
      <c r="D5156" s="401" t="s">
        <v>9433</v>
      </c>
      <c r="E5156" s="120">
        <v>500</v>
      </c>
      <c r="F5156" s="133" t="s">
        <v>506</v>
      </c>
      <c r="G5156" s="404" t="s">
        <v>45</v>
      </c>
      <c r="H5156" s="411">
        <v>690.65</v>
      </c>
      <c r="I5156" s="89">
        <f t="shared" si="1591"/>
        <v>-62.158499999999997</v>
      </c>
      <c r="J5156" s="258">
        <f t="shared" ref="J5156" si="1593">-((H5156*0.019)+0.3)</f>
        <v>-13.42235</v>
      </c>
      <c r="K5156" s="90">
        <f t="shared" ref="K5156" si="1594">SUM(H5156:J5156)</f>
        <v>615.06914999999992</v>
      </c>
      <c r="L5156" s="131">
        <v>632</v>
      </c>
      <c r="M5156" s="187">
        <v>102.97</v>
      </c>
      <c r="N5156" s="91">
        <f t="shared" si="1586"/>
        <v>418.97</v>
      </c>
      <c r="O5156" s="411">
        <f t="shared" si="1564"/>
        <v>196.0991499999999</v>
      </c>
      <c r="P5156" s="132" t="s">
        <v>52</v>
      </c>
      <c r="Q5156" s="232"/>
      <c r="R5156" s="411"/>
      <c r="T5156" s="134" t="s">
        <v>244</v>
      </c>
      <c r="U5156" s="267" t="s">
        <v>11317</v>
      </c>
      <c r="V5156" s="133" t="s">
        <v>55</v>
      </c>
      <c r="AA5156" s="218"/>
    </row>
    <row r="5157" spans="1:27" ht="24" x14ac:dyDescent="0.25">
      <c r="A5157" s="405">
        <v>3004047</v>
      </c>
      <c r="B5157" s="406">
        <v>42612</v>
      </c>
      <c r="C5157" s="405" t="s">
        <v>42</v>
      </c>
      <c r="D5157" s="401" t="s">
        <v>11318</v>
      </c>
      <c r="E5157" s="120">
        <v>250</v>
      </c>
      <c r="F5157" s="133" t="s">
        <v>2949</v>
      </c>
      <c r="G5157" s="404" t="s">
        <v>45</v>
      </c>
      <c r="H5157" s="411">
        <v>461.85</v>
      </c>
      <c r="I5157" s="89">
        <f t="shared" si="1591"/>
        <v>-41.566499999999998</v>
      </c>
      <c r="J5157" s="258">
        <f t="shared" ref="J5157" si="1595">-((H5157*0.019)+0.3)</f>
        <v>-9.0751500000000007</v>
      </c>
      <c r="K5157" s="90">
        <f t="shared" ref="K5157" si="1596">SUM(H5157:J5157)</f>
        <v>411.20835</v>
      </c>
      <c r="L5157" s="131">
        <v>1154</v>
      </c>
      <c r="M5157" s="187">
        <v>56.69</v>
      </c>
      <c r="N5157" s="91">
        <f t="shared" si="1586"/>
        <v>345.19</v>
      </c>
      <c r="O5157" s="411">
        <f t="shared" si="1564"/>
        <v>66.018349999999998</v>
      </c>
      <c r="P5157" s="132" t="s">
        <v>52</v>
      </c>
      <c r="Q5157" s="232"/>
      <c r="R5157" s="411">
        <v>30.21</v>
      </c>
      <c r="S5157" s="133" t="s">
        <v>6266</v>
      </c>
      <c r="T5157" s="134" t="s">
        <v>145</v>
      </c>
      <c r="U5157" s="267" t="s">
        <v>11319</v>
      </c>
      <c r="AA5157" s="218"/>
    </row>
    <row r="5158" spans="1:27" ht="24" x14ac:dyDescent="0.25">
      <c r="A5158" s="405">
        <v>3004048</v>
      </c>
      <c r="B5158" s="406">
        <v>42612</v>
      </c>
      <c r="C5158" s="405" t="s">
        <v>42</v>
      </c>
      <c r="D5158" s="401" t="s">
        <v>11320</v>
      </c>
      <c r="E5158" s="120">
        <v>500</v>
      </c>
      <c r="F5158" s="133" t="s">
        <v>3021</v>
      </c>
      <c r="G5158" s="404" t="s">
        <v>45</v>
      </c>
      <c r="H5158" s="411">
        <v>332.5</v>
      </c>
      <c r="I5158" s="89">
        <f t="shared" si="1591"/>
        <v>-29.924999999999997</v>
      </c>
      <c r="J5158" s="258">
        <f t="shared" ref="J5158" si="1597">-((H5158*0.019)+0.3)</f>
        <v>-6.6174999999999997</v>
      </c>
      <c r="K5158" s="90">
        <f t="shared" ref="K5158" si="1598">SUM(H5158:J5158)</f>
        <v>295.95749999999998</v>
      </c>
      <c r="L5158" s="187">
        <v>388.4</v>
      </c>
      <c r="M5158" s="187">
        <v>28.38</v>
      </c>
      <c r="N5158" s="91">
        <f t="shared" si="1586"/>
        <v>222.57999999999998</v>
      </c>
      <c r="O5158" s="411">
        <f t="shared" si="1564"/>
        <v>73.377499999999998</v>
      </c>
      <c r="P5158" s="132" t="s">
        <v>46</v>
      </c>
      <c r="Q5158" s="232"/>
      <c r="R5158" s="411"/>
      <c r="T5158" s="134" t="s">
        <v>324</v>
      </c>
      <c r="U5158" s="267" t="s">
        <v>11321</v>
      </c>
      <c r="AA5158" s="218"/>
    </row>
    <row r="5159" spans="1:27" ht="24" x14ac:dyDescent="0.25">
      <c r="A5159" s="405">
        <v>3004049</v>
      </c>
      <c r="B5159" s="406">
        <v>42612</v>
      </c>
      <c r="C5159" s="405" t="s">
        <v>42</v>
      </c>
      <c r="D5159" s="401" t="s">
        <v>11322</v>
      </c>
      <c r="E5159" s="120">
        <v>50</v>
      </c>
      <c r="F5159" s="133" t="s">
        <v>288</v>
      </c>
      <c r="G5159" s="404" t="s">
        <v>45</v>
      </c>
      <c r="H5159" s="411">
        <v>117.8</v>
      </c>
      <c r="I5159" s="89">
        <f t="shared" si="1591"/>
        <v>-10.601999999999999</v>
      </c>
      <c r="J5159" s="258">
        <f t="shared" ref="J5159" si="1599">-((H5159*0.019)+0.3)</f>
        <v>-2.5381999999999998</v>
      </c>
      <c r="K5159" s="90">
        <f t="shared" ref="K5159" si="1600">SUM(H5159:J5159)</f>
        <v>104.65979999999999</v>
      </c>
      <c r="L5159" s="131">
        <v>950</v>
      </c>
      <c r="M5159" s="187">
        <v>30.35</v>
      </c>
      <c r="N5159" s="91">
        <f t="shared" si="1586"/>
        <v>77.849999999999994</v>
      </c>
      <c r="O5159" s="411">
        <f t="shared" si="1564"/>
        <v>26.809799999999996</v>
      </c>
      <c r="P5159" s="132" t="s">
        <v>52</v>
      </c>
      <c r="Q5159" s="232"/>
      <c r="R5159" s="411"/>
      <c r="T5159" s="134" t="s">
        <v>145</v>
      </c>
      <c r="U5159" s="267" t="s">
        <v>11323</v>
      </c>
      <c r="AA5159" s="218"/>
    </row>
    <row r="5160" spans="1:27" ht="24" x14ac:dyDescent="0.25">
      <c r="A5160" s="405">
        <v>3004050</v>
      </c>
      <c r="B5160" s="406">
        <v>42612</v>
      </c>
      <c r="C5160" s="405" t="s">
        <v>42</v>
      </c>
      <c r="D5160" s="401" t="s">
        <v>11324</v>
      </c>
      <c r="E5160" s="120">
        <v>1000</v>
      </c>
      <c r="F5160" s="133" t="s">
        <v>11325</v>
      </c>
      <c r="G5160" s="404" t="s">
        <v>45</v>
      </c>
      <c r="H5160" s="411">
        <v>431.63</v>
      </c>
      <c r="I5160" s="89">
        <f t="shared" si="1591"/>
        <v>-38.846699999999998</v>
      </c>
      <c r="J5160" s="258">
        <f t="shared" ref="J5160" si="1601">-((H5160*0.019)+0.3)</f>
        <v>-8.5009700000000006</v>
      </c>
      <c r="K5160" s="90">
        <f t="shared" ref="K5160" si="1602">SUM(H5160:J5160)</f>
        <v>384.28233</v>
      </c>
      <c r="L5160" s="187">
        <v>269</v>
      </c>
      <c r="M5160" s="187">
        <v>32.200000000000003</v>
      </c>
      <c r="N5160" s="91">
        <f t="shared" si="1586"/>
        <v>301.2</v>
      </c>
      <c r="O5160" s="411">
        <f t="shared" si="1564"/>
        <v>83.082330000000013</v>
      </c>
      <c r="P5160" s="132" t="s">
        <v>183</v>
      </c>
      <c r="Q5160" s="232"/>
      <c r="R5160" s="411"/>
      <c r="T5160" s="134" t="s">
        <v>145</v>
      </c>
      <c r="U5160" s="266" t="s">
        <v>11326</v>
      </c>
      <c r="AA5160" s="218"/>
    </row>
    <row r="5161" spans="1:27" ht="24" x14ac:dyDescent="0.25">
      <c r="A5161" s="405">
        <v>3004051</v>
      </c>
      <c r="B5161" s="406">
        <v>42612</v>
      </c>
      <c r="C5161" s="405" t="s">
        <v>42</v>
      </c>
      <c r="D5161" s="401" t="s">
        <v>11327</v>
      </c>
      <c r="E5161" s="120">
        <v>100</v>
      </c>
      <c r="F5161" s="133" t="s">
        <v>1270</v>
      </c>
      <c r="G5161" s="404" t="s">
        <v>45</v>
      </c>
      <c r="H5161" s="411">
        <v>300</v>
      </c>
      <c r="I5161" s="89">
        <f t="shared" si="1591"/>
        <v>-27</v>
      </c>
      <c r="J5161" s="258">
        <f t="shared" ref="J5161" si="1603">-((H5161*0.019)+0.3)</f>
        <v>-6</v>
      </c>
      <c r="K5161" s="90">
        <f t="shared" ref="K5161" si="1604">SUM(H5161:J5161)</f>
        <v>267</v>
      </c>
      <c r="L5161" s="131">
        <v>1241.08</v>
      </c>
      <c r="M5161" s="187">
        <v>46.72</v>
      </c>
      <c r="N5161" s="91">
        <f t="shared" si="1586"/>
        <v>170.828</v>
      </c>
      <c r="O5161" s="411">
        <f t="shared" si="1564"/>
        <v>96.171999999999997</v>
      </c>
      <c r="P5161" s="132" t="s">
        <v>52</v>
      </c>
      <c r="Q5161" s="232"/>
      <c r="R5161" s="411"/>
      <c r="T5161" s="134" t="s">
        <v>145</v>
      </c>
      <c r="U5161" s="267" t="s">
        <v>11328</v>
      </c>
      <c r="AA5161" s="218"/>
    </row>
    <row r="5162" spans="1:27" ht="24" x14ac:dyDescent="0.25">
      <c r="A5162" s="405">
        <v>3004052</v>
      </c>
      <c r="B5162" s="406">
        <v>42612</v>
      </c>
      <c r="C5162" s="405" t="s">
        <v>237</v>
      </c>
      <c r="D5162" s="401" t="s">
        <v>11329</v>
      </c>
      <c r="E5162" s="120">
        <v>200</v>
      </c>
      <c r="F5162" s="133" t="s">
        <v>247</v>
      </c>
      <c r="G5162" s="404" t="s">
        <v>45</v>
      </c>
      <c r="H5162" s="411">
        <v>210.84</v>
      </c>
      <c r="I5162" s="397">
        <f t="shared" ref="I5162" si="1605">-(H5162*0.15)</f>
        <v>-31.625999999999998</v>
      </c>
      <c r="J5162" s="411">
        <v>0</v>
      </c>
      <c r="K5162" s="90">
        <f t="shared" ref="K5162:K5172" si="1606">SUM(H5162:J5162)</f>
        <v>179.214</v>
      </c>
      <c r="L5162" s="131">
        <v>480</v>
      </c>
      <c r="M5162" s="187">
        <v>35.49</v>
      </c>
      <c r="N5162" s="91">
        <f t="shared" si="1586"/>
        <v>131.49</v>
      </c>
      <c r="O5162" s="411">
        <f t="shared" si="1564"/>
        <v>47.72399999999999</v>
      </c>
      <c r="P5162" s="132" t="s">
        <v>52</v>
      </c>
      <c r="Q5162" s="232"/>
      <c r="R5162" s="411"/>
      <c r="T5162" s="134" t="s">
        <v>145</v>
      </c>
      <c r="U5162" s="267" t="s">
        <v>11330</v>
      </c>
      <c r="AA5162" s="218"/>
    </row>
    <row r="5163" spans="1:27" x14ac:dyDescent="0.25">
      <c r="A5163" s="405">
        <v>3004053</v>
      </c>
      <c r="B5163" s="406">
        <v>42612</v>
      </c>
      <c r="C5163" s="405" t="s">
        <v>237</v>
      </c>
      <c r="D5163" s="401" t="s">
        <v>11145</v>
      </c>
      <c r="E5163" s="120">
        <v>250</v>
      </c>
      <c r="F5163" s="133" t="s">
        <v>626</v>
      </c>
      <c r="G5163" s="404" t="s">
        <v>45</v>
      </c>
      <c r="H5163" s="411">
        <v>1000</v>
      </c>
      <c r="I5163" s="397">
        <f t="shared" ref="I5163" si="1607">-(H5163*0.15)</f>
        <v>-150</v>
      </c>
      <c r="J5163" s="411">
        <v>0</v>
      </c>
      <c r="K5163" s="90">
        <f t="shared" si="1606"/>
        <v>850</v>
      </c>
      <c r="L5163" s="131">
        <v>1800</v>
      </c>
      <c r="M5163" s="187">
        <v>114.72</v>
      </c>
      <c r="N5163" s="91">
        <f t="shared" si="1586"/>
        <v>564.72</v>
      </c>
      <c r="O5163" s="411">
        <f t="shared" si="1564"/>
        <v>285.27999999999997</v>
      </c>
      <c r="P5163" s="132" t="s">
        <v>52</v>
      </c>
      <c r="Q5163" s="232"/>
      <c r="R5163" s="411"/>
      <c r="T5163" s="134" t="s">
        <v>244</v>
      </c>
      <c r="U5163" s="267" t="s">
        <v>11331</v>
      </c>
      <c r="AA5163" s="218"/>
    </row>
    <row r="5164" spans="1:27" ht="24" x14ac:dyDescent="0.25">
      <c r="A5164" s="405">
        <v>3004054</v>
      </c>
      <c r="B5164" s="406">
        <v>42612</v>
      </c>
      <c r="C5164" s="405" t="s">
        <v>237</v>
      </c>
      <c r="D5164" s="401" t="s">
        <v>11332</v>
      </c>
      <c r="E5164" s="120">
        <v>250</v>
      </c>
      <c r="F5164" s="119" t="s">
        <v>11333</v>
      </c>
      <c r="G5164" s="404" t="s">
        <v>45</v>
      </c>
      <c r="H5164" s="411">
        <v>216.95</v>
      </c>
      <c r="I5164" s="397">
        <f t="shared" ref="I5164" si="1608">-(H5164*0.15)</f>
        <v>-32.542499999999997</v>
      </c>
      <c r="J5164" s="411">
        <v>0</v>
      </c>
      <c r="K5164" s="90">
        <f t="shared" si="1606"/>
        <v>184.4075</v>
      </c>
      <c r="L5164" s="187">
        <v>380</v>
      </c>
      <c r="M5164" s="187">
        <v>12.69</v>
      </c>
      <c r="N5164" s="91">
        <f t="shared" si="1586"/>
        <v>107.69</v>
      </c>
      <c r="O5164" s="411">
        <f t="shared" si="1564"/>
        <v>76.717500000000001</v>
      </c>
      <c r="P5164" s="132" t="s">
        <v>235</v>
      </c>
      <c r="Q5164" s="232"/>
      <c r="R5164" s="411"/>
      <c r="T5164" s="134" t="s">
        <v>145</v>
      </c>
      <c r="U5164" s="267" t="s">
        <v>11334</v>
      </c>
      <c r="AA5164" s="218"/>
    </row>
    <row r="5165" spans="1:27" ht="24" x14ac:dyDescent="0.25">
      <c r="A5165" s="405">
        <v>3004055</v>
      </c>
      <c r="B5165" s="406">
        <v>42612</v>
      </c>
      <c r="C5165" s="405" t="s">
        <v>237</v>
      </c>
      <c r="D5165" s="401" t="s">
        <v>11335</v>
      </c>
      <c r="E5165" s="120">
        <v>50</v>
      </c>
      <c r="F5165" s="133" t="s">
        <v>288</v>
      </c>
      <c r="G5165" s="404" t="s">
        <v>45</v>
      </c>
      <c r="H5165" s="411">
        <v>110.04</v>
      </c>
      <c r="I5165" s="397">
        <f t="shared" ref="I5165" si="1609">-(H5165*0.15)</f>
        <v>-16.506</v>
      </c>
      <c r="J5165" s="411">
        <v>0</v>
      </c>
      <c r="K5165" s="90">
        <f t="shared" si="1606"/>
        <v>93.534000000000006</v>
      </c>
      <c r="L5165" s="131">
        <v>950</v>
      </c>
      <c r="M5165" s="187">
        <f>22+1.28</f>
        <v>23.28</v>
      </c>
      <c r="N5165" s="91">
        <f t="shared" si="1586"/>
        <v>70.78</v>
      </c>
      <c r="O5165" s="411">
        <f t="shared" si="1564"/>
        <v>22.754000000000005</v>
      </c>
      <c r="P5165" s="132" t="s">
        <v>86</v>
      </c>
      <c r="Q5165" s="232"/>
      <c r="R5165" s="411"/>
      <c r="T5165" s="134" t="s">
        <v>145</v>
      </c>
      <c r="U5165" s="267" t="s">
        <v>11336</v>
      </c>
      <c r="AA5165" s="218"/>
    </row>
    <row r="5166" spans="1:27" ht="24" x14ac:dyDescent="0.25">
      <c r="A5166" s="405">
        <v>3004056</v>
      </c>
      <c r="B5166" s="406">
        <v>42612</v>
      </c>
      <c r="C5166" s="405" t="s">
        <v>237</v>
      </c>
      <c r="D5166" s="401" t="s">
        <v>11337</v>
      </c>
      <c r="E5166" s="120">
        <v>50</v>
      </c>
      <c r="F5166" s="133" t="s">
        <v>4767</v>
      </c>
      <c r="G5166" s="404" t="s">
        <v>45</v>
      </c>
      <c r="H5166" s="411">
        <v>130.33000000000001</v>
      </c>
      <c r="I5166" s="397">
        <f t="shared" ref="I5166" si="1610">-(H5166*0.15)</f>
        <v>-19.549500000000002</v>
      </c>
      <c r="J5166" s="411">
        <v>0</v>
      </c>
      <c r="K5166" s="90">
        <f t="shared" si="1606"/>
        <v>110.78050000000002</v>
      </c>
      <c r="L5166" s="187">
        <v>1300</v>
      </c>
      <c r="M5166" s="187">
        <v>15.91</v>
      </c>
      <c r="N5166" s="91">
        <f t="shared" si="1586"/>
        <v>80.91</v>
      </c>
      <c r="O5166" s="411">
        <f t="shared" si="1564"/>
        <v>29.870500000000021</v>
      </c>
      <c r="P5166" s="132" t="s">
        <v>183</v>
      </c>
      <c r="Q5166" s="232"/>
      <c r="R5166" s="411"/>
      <c r="T5166" s="134" t="s">
        <v>145</v>
      </c>
      <c r="U5166" s="267" t="s">
        <v>11338</v>
      </c>
      <c r="AA5166" s="218"/>
    </row>
    <row r="5167" spans="1:27" ht="24" x14ac:dyDescent="0.25">
      <c r="A5167" s="405">
        <v>3004057</v>
      </c>
      <c r="B5167" s="406">
        <v>42612</v>
      </c>
      <c r="C5167" s="405" t="s">
        <v>237</v>
      </c>
      <c r="D5167" s="401" t="s">
        <v>11339</v>
      </c>
      <c r="E5167" s="120">
        <v>500</v>
      </c>
      <c r="F5167" s="133" t="s">
        <v>451</v>
      </c>
      <c r="G5167" s="404" t="s">
        <v>45</v>
      </c>
      <c r="H5167" s="411">
        <v>299.97000000000003</v>
      </c>
      <c r="I5167" s="397">
        <f t="shared" ref="I5167" si="1611">-(H5167*0.15)</f>
        <v>-44.9955</v>
      </c>
      <c r="J5167" s="411">
        <v>0</v>
      </c>
      <c r="K5167" s="90">
        <f t="shared" si="1606"/>
        <v>254.97450000000003</v>
      </c>
      <c r="L5167" s="131">
        <v>300</v>
      </c>
      <c r="M5167" s="187">
        <v>30.37</v>
      </c>
      <c r="N5167" s="91">
        <f t="shared" si="1586"/>
        <v>180.37</v>
      </c>
      <c r="O5167" s="411">
        <f t="shared" si="1564"/>
        <v>74.60450000000003</v>
      </c>
      <c r="P5167" s="132" t="s">
        <v>52</v>
      </c>
      <c r="Q5167" s="232"/>
      <c r="R5167" s="411"/>
      <c r="T5167" s="134" t="s">
        <v>145</v>
      </c>
      <c r="U5167" s="267" t="s">
        <v>11340</v>
      </c>
      <c r="AA5167" s="218"/>
    </row>
    <row r="5168" spans="1:27" ht="48" x14ac:dyDescent="0.25">
      <c r="A5168" s="405">
        <v>3004058</v>
      </c>
      <c r="B5168" s="406">
        <v>42612</v>
      </c>
      <c r="C5168" s="405" t="s">
        <v>237</v>
      </c>
      <c r="D5168" s="401" t="s">
        <v>11341</v>
      </c>
      <c r="E5168" s="120">
        <v>2000</v>
      </c>
      <c r="F5168" s="119" t="s">
        <v>11342</v>
      </c>
      <c r="G5168" s="404" t="s">
        <v>45</v>
      </c>
      <c r="H5168" s="411">
        <v>831</v>
      </c>
      <c r="I5168" s="397">
        <f t="shared" ref="I5168" si="1612">-(H5168*0.15)</f>
        <v>-124.64999999999999</v>
      </c>
      <c r="J5168" s="411">
        <v>0</v>
      </c>
      <c r="K5168" s="90">
        <f t="shared" si="1606"/>
        <v>706.35</v>
      </c>
      <c r="L5168" s="187">
        <v>200</v>
      </c>
      <c r="M5168" s="187">
        <f>17.33+17.33+17.33+17.33</f>
        <v>69.319999999999993</v>
      </c>
      <c r="N5168" s="91">
        <f t="shared" si="1586"/>
        <v>469.32</v>
      </c>
      <c r="O5168" s="411">
        <f t="shared" si="1564"/>
        <v>237.03000000000003</v>
      </c>
      <c r="P5168" s="132" t="s">
        <v>235</v>
      </c>
      <c r="Q5168" s="232"/>
      <c r="R5168" s="411"/>
      <c r="T5168" s="134" t="s">
        <v>145</v>
      </c>
      <c r="U5168" s="266" t="s">
        <v>11343</v>
      </c>
      <c r="AA5168" s="218"/>
    </row>
    <row r="5169" spans="1:27" ht="24" x14ac:dyDescent="0.25">
      <c r="A5169" s="405">
        <v>3004059</v>
      </c>
      <c r="B5169" s="406">
        <v>42612</v>
      </c>
      <c r="C5169" s="405" t="s">
        <v>237</v>
      </c>
      <c r="D5169" s="401" t="s">
        <v>11344</v>
      </c>
      <c r="E5169" s="120">
        <v>200</v>
      </c>
      <c r="F5169" s="133" t="s">
        <v>3270</v>
      </c>
      <c r="G5169" s="404" t="s">
        <v>45</v>
      </c>
      <c r="H5169" s="411">
        <v>520</v>
      </c>
      <c r="I5169" s="397">
        <f t="shared" ref="I5169" si="1613">-(H5169*0.15)</f>
        <v>-78</v>
      </c>
      <c r="J5169" s="411">
        <v>0</v>
      </c>
      <c r="K5169" s="90">
        <f t="shared" si="1606"/>
        <v>442</v>
      </c>
      <c r="L5169" s="131">
        <v>1322</v>
      </c>
      <c r="M5169" s="187">
        <f>54.29+54.29</f>
        <v>108.58</v>
      </c>
      <c r="N5169" s="91">
        <f t="shared" si="1586"/>
        <v>372.98</v>
      </c>
      <c r="O5169" s="411">
        <f t="shared" si="1564"/>
        <v>69.019999999999982</v>
      </c>
      <c r="P5169" s="132" t="s">
        <v>52</v>
      </c>
      <c r="Q5169" s="232"/>
      <c r="R5169" s="411"/>
      <c r="T5169" s="134" t="s">
        <v>145</v>
      </c>
      <c r="U5169" s="266" t="s">
        <v>11345</v>
      </c>
      <c r="AA5169" s="218"/>
    </row>
    <row r="5170" spans="1:27" ht="24" x14ac:dyDescent="0.25">
      <c r="A5170" s="405">
        <v>3004060</v>
      </c>
      <c r="B5170" s="406">
        <v>42612</v>
      </c>
      <c r="C5170" s="405" t="s">
        <v>237</v>
      </c>
      <c r="D5170" s="401" t="s">
        <v>11346</v>
      </c>
      <c r="E5170" s="120">
        <v>100</v>
      </c>
      <c r="F5170" s="133" t="s">
        <v>341</v>
      </c>
      <c r="G5170" s="404" t="s">
        <v>45</v>
      </c>
      <c r="H5170" s="411">
        <v>177.37</v>
      </c>
      <c r="I5170" s="397">
        <f t="shared" ref="I5170" si="1614">-(H5170*0.15)</f>
        <v>-26.605499999999999</v>
      </c>
      <c r="J5170" s="411">
        <v>0</v>
      </c>
      <c r="K5170" s="90">
        <f t="shared" si="1606"/>
        <v>150.7645</v>
      </c>
      <c r="L5170" s="131">
        <v>698</v>
      </c>
      <c r="M5170" s="187">
        <v>36.729999999999997</v>
      </c>
      <c r="N5170" s="91">
        <f t="shared" si="1586"/>
        <v>106.53</v>
      </c>
      <c r="O5170" s="411">
        <f t="shared" si="1564"/>
        <v>44.234499999999997</v>
      </c>
      <c r="P5170" s="132" t="s">
        <v>52</v>
      </c>
      <c r="Q5170" s="232"/>
      <c r="R5170" s="411"/>
      <c r="T5170" s="134" t="s">
        <v>145</v>
      </c>
      <c r="U5170" s="267" t="s">
        <v>11347</v>
      </c>
      <c r="AA5170" s="218"/>
    </row>
    <row r="5171" spans="1:27" ht="24" x14ac:dyDescent="0.25">
      <c r="A5171" s="271">
        <v>3004061</v>
      </c>
      <c r="B5171" s="406">
        <v>42612</v>
      </c>
      <c r="C5171" s="405" t="s">
        <v>56</v>
      </c>
      <c r="D5171" s="401" t="s">
        <v>4020</v>
      </c>
      <c r="E5171" s="120">
        <v>200</v>
      </c>
      <c r="F5171" s="133" t="s">
        <v>593</v>
      </c>
      <c r="G5171" s="404" t="s">
        <v>45</v>
      </c>
      <c r="H5171" s="411">
        <v>200</v>
      </c>
      <c r="I5171" s="411">
        <v>0</v>
      </c>
      <c r="J5171" s="411">
        <v>0</v>
      </c>
      <c r="K5171" s="90">
        <f t="shared" si="1606"/>
        <v>200</v>
      </c>
      <c r="L5171" s="131">
        <v>590</v>
      </c>
      <c r="N5171" s="91">
        <f t="shared" si="1586"/>
        <v>118</v>
      </c>
      <c r="O5171" s="411">
        <f t="shared" si="1564"/>
        <v>82</v>
      </c>
      <c r="P5171" s="132" t="s">
        <v>86</v>
      </c>
      <c r="Q5171" s="232"/>
      <c r="R5171" s="411"/>
      <c r="T5171" s="134" t="s">
        <v>324</v>
      </c>
      <c r="U5171" s="267" t="s">
        <v>11348</v>
      </c>
      <c r="V5171" s="133" t="s">
        <v>8550</v>
      </c>
      <c r="W5171" s="153" t="s">
        <v>298</v>
      </c>
      <c r="AA5171" s="218"/>
    </row>
    <row r="5172" spans="1:27" x14ac:dyDescent="0.25">
      <c r="A5172" s="419">
        <v>3004062</v>
      </c>
      <c r="B5172" s="421">
        <v>42612</v>
      </c>
      <c r="C5172" s="419" t="s">
        <v>327</v>
      </c>
      <c r="D5172" s="417" t="s">
        <v>11349</v>
      </c>
      <c r="E5172" s="120">
        <v>1000</v>
      </c>
      <c r="F5172" s="133" t="s">
        <v>1507</v>
      </c>
      <c r="G5172" s="434" t="s">
        <v>45</v>
      </c>
      <c r="H5172" s="427">
        <v>6000</v>
      </c>
      <c r="I5172" s="427">
        <v>0</v>
      </c>
      <c r="J5172" s="425">
        <f>-((H5172*0.022)+0.3)</f>
        <v>-132.30000000000001</v>
      </c>
      <c r="K5172" s="425">
        <f t="shared" si="1606"/>
        <v>5867.7</v>
      </c>
      <c r="L5172" s="187">
        <v>2030</v>
      </c>
      <c r="M5172" s="131">
        <v>0</v>
      </c>
      <c r="N5172" s="91">
        <f t="shared" si="1586"/>
        <v>2030</v>
      </c>
      <c r="O5172" s="411">
        <f t="shared" si="1564"/>
        <v>3837.7</v>
      </c>
      <c r="P5172" s="132" t="s">
        <v>66</v>
      </c>
      <c r="Q5172" s="232"/>
      <c r="R5172" s="411"/>
      <c r="T5172" s="439" t="s">
        <v>5873</v>
      </c>
      <c r="U5172" s="446" t="s">
        <v>11350</v>
      </c>
      <c r="W5172" s="153" t="s">
        <v>11351</v>
      </c>
      <c r="AA5172" s="473">
        <v>50</v>
      </c>
    </row>
    <row r="5173" spans="1:27" x14ac:dyDescent="0.25">
      <c r="A5173" s="420"/>
      <c r="B5173" s="422"/>
      <c r="C5173" s="420"/>
      <c r="D5173" s="418"/>
      <c r="E5173" s="120">
        <v>1000</v>
      </c>
      <c r="F5173" s="133" t="s">
        <v>4407</v>
      </c>
      <c r="G5173" s="436"/>
      <c r="H5173" s="428"/>
      <c r="I5173" s="428"/>
      <c r="J5173" s="426"/>
      <c r="K5173" s="426"/>
      <c r="L5173" s="187">
        <v>2030</v>
      </c>
      <c r="M5173" s="131">
        <v>0</v>
      </c>
      <c r="N5173" s="91">
        <f t="shared" si="1586"/>
        <v>2030</v>
      </c>
      <c r="O5173" s="411">
        <f t="shared" si="1564"/>
        <v>-2030</v>
      </c>
      <c r="P5173" s="132" t="s">
        <v>66</v>
      </c>
      <c r="Q5173" s="232"/>
      <c r="R5173" s="411"/>
      <c r="T5173" s="441"/>
      <c r="U5173" s="447"/>
      <c r="AA5173" s="474"/>
    </row>
    <row r="5174" spans="1:27" ht="24" x14ac:dyDescent="0.25">
      <c r="A5174" s="405">
        <v>3004063</v>
      </c>
      <c r="B5174" s="406">
        <v>42612</v>
      </c>
      <c r="C5174" s="405" t="s">
        <v>63</v>
      </c>
      <c r="D5174" s="401" t="s">
        <v>6516</v>
      </c>
      <c r="E5174" s="120">
        <v>390</v>
      </c>
      <c r="F5174" s="133" t="s">
        <v>6391</v>
      </c>
      <c r="G5174" s="404" t="s">
        <v>45</v>
      </c>
      <c r="H5174" s="411">
        <v>318</v>
      </c>
      <c r="I5174" s="411">
        <v>0</v>
      </c>
      <c r="J5174" s="258">
        <f>-((H5174*0.022)+0.3)</f>
        <v>-7.2959999999999994</v>
      </c>
      <c r="K5174" s="90">
        <f>SUM(H5174:J5174)</f>
        <v>310.70400000000001</v>
      </c>
      <c r="L5174" s="187">
        <v>560</v>
      </c>
      <c r="M5174" s="187">
        <v>54.82</v>
      </c>
      <c r="N5174" s="91">
        <f t="shared" si="1586"/>
        <v>273.22000000000003</v>
      </c>
      <c r="O5174" s="411">
        <f t="shared" si="1564"/>
        <v>37.48399999999998</v>
      </c>
      <c r="P5174" s="132" t="s">
        <v>183</v>
      </c>
      <c r="Q5174" s="232"/>
      <c r="R5174" s="411"/>
      <c r="T5174" s="134" t="s">
        <v>145</v>
      </c>
      <c r="U5174" s="267" t="s">
        <v>11352</v>
      </c>
      <c r="W5174" s="153" t="s">
        <v>6519</v>
      </c>
      <c r="AA5174" s="218"/>
    </row>
    <row r="5175" spans="1:27" x14ac:dyDescent="0.25">
      <c r="A5175" s="405">
        <v>3004064</v>
      </c>
      <c r="B5175" s="406">
        <v>42612</v>
      </c>
      <c r="C5175" s="405" t="s">
        <v>63</v>
      </c>
      <c r="D5175" s="401" t="s">
        <v>11353</v>
      </c>
      <c r="E5175" s="120">
        <v>400</v>
      </c>
      <c r="F5175" s="133" t="s">
        <v>422</v>
      </c>
      <c r="G5175" s="404" t="s">
        <v>45</v>
      </c>
      <c r="H5175" s="411">
        <v>625</v>
      </c>
      <c r="I5175" s="411">
        <v>0</v>
      </c>
      <c r="J5175" s="258">
        <f>-((H5175*0.022)+0.3)</f>
        <v>-14.05</v>
      </c>
      <c r="K5175" s="90">
        <f>SUM(H5175:J5175)</f>
        <v>610.95000000000005</v>
      </c>
      <c r="L5175" s="131">
        <v>710</v>
      </c>
      <c r="M5175" s="187">
        <v>114.71</v>
      </c>
      <c r="N5175" s="91">
        <f t="shared" si="1586"/>
        <v>398.71</v>
      </c>
      <c r="O5175" s="411">
        <f t="shared" si="1564"/>
        <v>212.24000000000007</v>
      </c>
      <c r="P5175" s="132" t="s">
        <v>52</v>
      </c>
      <c r="Q5175" s="232"/>
      <c r="R5175" s="411"/>
      <c r="T5175" s="134" t="s">
        <v>244</v>
      </c>
      <c r="U5175" s="267" t="s">
        <v>11354</v>
      </c>
      <c r="V5175" s="133" t="s">
        <v>55</v>
      </c>
      <c r="W5175" s="153" t="s">
        <v>11355</v>
      </c>
      <c r="AA5175" s="218"/>
    </row>
    <row r="5176" spans="1:27" x14ac:dyDescent="0.25">
      <c r="A5176" s="405">
        <v>3004065</v>
      </c>
      <c r="B5176" s="406">
        <v>42612</v>
      </c>
      <c r="C5176" s="405" t="s">
        <v>78</v>
      </c>
      <c r="D5176" s="401" t="s">
        <v>11356</v>
      </c>
      <c r="E5176" s="120">
        <v>500</v>
      </c>
      <c r="F5176" s="133" t="s">
        <v>11357</v>
      </c>
      <c r="G5176" s="404" t="s">
        <v>45</v>
      </c>
      <c r="H5176" s="411">
        <v>500</v>
      </c>
      <c r="I5176" s="411">
        <v>0</v>
      </c>
      <c r="J5176" s="258">
        <f t="shared" ref="J5176" si="1615">-((H5176*0.019)+0.3)</f>
        <v>-9.8000000000000007</v>
      </c>
      <c r="K5176" s="90">
        <f>SUM(H5176:J5176)</f>
        <v>490.2</v>
      </c>
      <c r="L5176" s="187">
        <v>610.86</v>
      </c>
      <c r="M5176" s="187">
        <v>61.08</v>
      </c>
      <c r="N5176" s="91">
        <f t="shared" si="1586"/>
        <v>366.51</v>
      </c>
      <c r="O5176" s="411">
        <f t="shared" si="1564"/>
        <v>123.69</v>
      </c>
      <c r="P5176" s="132" t="s">
        <v>76</v>
      </c>
      <c r="Q5176" s="232"/>
      <c r="R5176" s="411"/>
      <c r="T5176" s="134" t="s">
        <v>314</v>
      </c>
      <c r="U5176" s="267" t="s">
        <v>11358</v>
      </c>
      <c r="W5176" s="153" t="s">
        <v>11359</v>
      </c>
      <c r="AA5176" s="218"/>
    </row>
    <row r="5177" spans="1:27" x14ac:dyDescent="0.25">
      <c r="A5177" s="405">
        <v>3004066</v>
      </c>
      <c r="B5177" s="406">
        <v>42612</v>
      </c>
      <c r="C5177" s="405" t="s">
        <v>63</v>
      </c>
      <c r="D5177" s="401" t="s">
        <v>11360</v>
      </c>
      <c r="E5177" s="120">
        <v>600</v>
      </c>
      <c r="F5177" s="133" t="s">
        <v>11361</v>
      </c>
      <c r="G5177" s="404" t="s">
        <v>45</v>
      </c>
      <c r="H5177" s="411">
        <v>2400</v>
      </c>
      <c r="I5177" s="411">
        <v>0</v>
      </c>
      <c r="J5177" s="258">
        <f>-((H5177*0.022)+0.3)</f>
        <v>-53.099999999999994</v>
      </c>
      <c r="K5177" s="90">
        <f>SUM(H5177:J5177)</f>
        <v>2346.9</v>
      </c>
      <c r="L5177" s="187">
        <v>2220</v>
      </c>
      <c r="M5177" s="187">
        <v>222.26</v>
      </c>
      <c r="N5177" s="91">
        <f t="shared" si="1586"/>
        <v>1554.26</v>
      </c>
      <c r="O5177" s="411">
        <f t="shared" si="1564"/>
        <v>792.6400000000001</v>
      </c>
      <c r="P5177" s="132" t="s">
        <v>183</v>
      </c>
      <c r="Q5177" s="232"/>
      <c r="R5177" s="411"/>
      <c r="T5177" s="134" t="s">
        <v>314</v>
      </c>
      <c r="U5177" s="267" t="s">
        <v>11362</v>
      </c>
      <c r="W5177" s="153" t="s">
        <v>11363</v>
      </c>
      <c r="AA5177" s="218">
        <v>10</v>
      </c>
    </row>
    <row r="5178" spans="1:27" ht="36" x14ac:dyDescent="0.25">
      <c r="A5178" s="405">
        <v>3004067</v>
      </c>
      <c r="B5178" s="406">
        <v>42612</v>
      </c>
      <c r="C5178" s="405" t="s">
        <v>63</v>
      </c>
      <c r="D5178" s="401" t="s">
        <v>10935</v>
      </c>
      <c r="E5178" s="120">
        <v>130</v>
      </c>
      <c r="F5178" s="133" t="s">
        <v>1991</v>
      </c>
      <c r="G5178" s="404" t="s">
        <v>45</v>
      </c>
      <c r="H5178" s="411">
        <v>507</v>
      </c>
      <c r="I5178" s="411">
        <v>0</v>
      </c>
      <c r="J5178" s="258">
        <f>-((H5178*0.022)+0.3)</f>
        <v>-11.454000000000001</v>
      </c>
      <c r="K5178" s="90">
        <f>SUM(H5178:J5178)</f>
        <v>495.54599999999999</v>
      </c>
      <c r="L5178" s="187">
        <v>3080</v>
      </c>
      <c r="M5178" s="131">
        <v>0</v>
      </c>
      <c r="N5178" s="91">
        <f t="shared" si="1586"/>
        <v>400.40000000000003</v>
      </c>
      <c r="O5178" s="411">
        <f t="shared" si="1564"/>
        <v>95.145999999999958</v>
      </c>
      <c r="P5178" s="132" t="s">
        <v>59</v>
      </c>
      <c r="Q5178" s="232"/>
      <c r="R5178" s="411"/>
      <c r="T5178" s="134" t="s">
        <v>60</v>
      </c>
      <c r="U5178" s="267" t="s">
        <v>11364</v>
      </c>
      <c r="W5178" s="153" t="s">
        <v>10937</v>
      </c>
      <c r="AA5178" s="218"/>
    </row>
    <row r="5179" spans="1:27" ht="24" x14ac:dyDescent="0.25">
      <c r="A5179" s="405">
        <v>3004068</v>
      </c>
      <c r="B5179" s="406">
        <v>42612</v>
      </c>
      <c r="C5179" s="405" t="s">
        <v>42</v>
      </c>
      <c r="D5179" s="401" t="s">
        <v>11365</v>
      </c>
      <c r="E5179" s="120">
        <v>200</v>
      </c>
      <c r="F5179" s="133" t="s">
        <v>3955</v>
      </c>
      <c r="G5179" s="404" t="s">
        <v>45</v>
      </c>
      <c r="H5179" s="411">
        <v>186.82</v>
      </c>
      <c r="I5179" s="89">
        <f>-(H5179*0.09)</f>
        <v>-16.813800000000001</v>
      </c>
      <c r="J5179" s="258">
        <f t="shared" ref="J5179" si="1616">-((H5179*0.019)+0.3)</f>
        <v>-3.8495799999999996</v>
      </c>
      <c r="K5179" s="90">
        <f t="shared" ref="K5179" si="1617">SUM(H5179:J5179)</f>
        <v>166.15661999999998</v>
      </c>
      <c r="L5179" s="131">
        <v>312</v>
      </c>
      <c r="M5179" s="187">
        <f>41.9+5</f>
        <v>46.9</v>
      </c>
      <c r="N5179" s="91">
        <f t="shared" si="1586"/>
        <v>109.30000000000001</v>
      </c>
      <c r="O5179" s="411">
        <f t="shared" si="1564"/>
        <v>56.856619999999964</v>
      </c>
      <c r="P5179" s="132" t="s">
        <v>52</v>
      </c>
      <c r="Q5179" s="232"/>
      <c r="R5179" s="411"/>
      <c r="T5179" s="134" t="s">
        <v>145</v>
      </c>
      <c r="U5179" s="267" t="s">
        <v>11366</v>
      </c>
      <c r="AA5179" s="218"/>
    </row>
    <row r="5180" spans="1:27" ht="24" x14ac:dyDescent="0.25">
      <c r="A5180" s="405">
        <v>3004069</v>
      </c>
      <c r="B5180" s="406">
        <v>42612</v>
      </c>
      <c r="C5180" s="405" t="s">
        <v>237</v>
      </c>
      <c r="D5180" s="401" t="s">
        <v>11367</v>
      </c>
      <c r="E5180" s="120">
        <v>250</v>
      </c>
      <c r="F5180" s="133" t="s">
        <v>2949</v>
      </c>
      <c r="G5180" s="404" t="s">
        <v>45</v>
      </c>
      <c r="H5180" s="411">
        <v>523.46</v>
      </c>
      <c r="I5180" s="397">
        <f t="shared" ref="I5180" si="1618">-(H5180*0.15)</f>
        <v>-78.519000000000005</v>
      </c>
      <c r="J5180" s="411">
        <v>0</v>
      </c>
      <c r="K5180" s="90">
        <f>SUM(H5180:J5180)</f>
        <v>444.94100000000003</v>
      </c>
      <c r="L5180" s="131">
        <v>1154</v>
      </c>
      <c r="M5180" s="187">
        <v>50.64</v>
      </c>
      <c r="N5180" s="91">
        <f t="shared" si="1586"/>
        <v>339.14</v>
      </c>
      <c r="O5180" s="411">
        <f t="shared" si="1564"/>
        <v>105.80100000000004</v>
      </c>
      <c r="P5180" s="132" t="s">
        <v>52</v>
      </c>
      <c r="Q5180" s="232"/>
      <c r="R5180" s="411"/>
      <c r="T5180" s="134" t="s">
        <v>145</v>
      </c>
      <c r="U5180" s="267" t="s">
        <v>11368</v>
      </c>
      <c r="AA5180" s="218"/>
    </row>
    <row r="5181" spans="1:27" ht="24" x14ac:dyDescent="0.25">
      <c r="A5181" s="405">
        <v>3004070</v>
      </c>
      <c r="B5181" s="406">
        <v>42612</v>
      </c>
      <c r="C5181" s="405" t="s">
        <v>141</v>
      </c>
      <c r="D5181" s="401" t="s">
        <v>11369</v>
      </c>
      <c r="E5181" s="120">
        <v>65</v>
      </c>
      <c r="F5181" s="133" t="s">
        <v>11370</v>
      </c>
      <c r="G5181" s="404" t="s">
        <v>45</v>
      </c>
      <c r="H5181" s="411">
        <v>292.5</v>
      </c>
      <c r="I5181" s="411">
        <v>0</v>
      </c>
      <c r="J5181" s="258">
        <f>-((H5181*0.0325)+0.3)</f>
        <v>-9.8062500000000004</v>
      </c>
      <c r="K5181" s="90">
        <f>SUM(H5181:J5181)</f>
        <v>282.69375000000002</v>
      </c>
      <c r="M5181" s="187">
        <f>29.98+5</f>
        <v>34.980000000000004</v>
      </c>
      <c r="N5181" s="91">
        <f t="shared" si="1586"/>
        <v>34.980000000000004</v>
      </c>
      <c r="O5181" s="411">
        <f t="shared" si="1564"/>
        <v>247.71375</v>
      </c>
      <c r="P5181" s="132" t="s">
        <v>52</v>
      </c>
      <c r="Q5181" s="232"/>
      <c r="R5181" s="411"/>
      <c r="T5181" s="134" t="s">
        <v>145</v>
      </c>
      <c r="U5181" s="267" t="s">
        <v>11371</v>
      </c>
      <c r="W5181" s="153" t="s">
        <v>11372</v>
      </c>
      <c r="AA5181" s="218"/>
    </row>
    <row r="5182" spans="1:27" ht="24" x14ac:dyDescent="0.25">
      <c r="A5182" s="405">
        <v>3004071</v>
      </c>
      <c r="B5182" s="406">
        <v>42612</v>
      </c>
      <c r="C5182" s="405" t="s">
        <v>237</v>
      </c>
      <c r="D5182" s="401" t="s">
        <v>11373</v>
      </c>
      <c r="E5182" s="120">
        <v>200</v>
      </c>
      <c r="F5182" s="133" t="s">
        <v>247</v>
      </c>
      <c r="G5182" s="404" t="s">
        <v>45</v>
      </c>
      <c r="H5182" s="411">
        <v>210.84</v>
      </c>
      <c r="I5182" s="397">
        <f t="shared" ref="I5182" si="1619">-(H5182*0.15)</f>
        <v>-31.625999999999998</v>
      </c>
      <c r="J5182" s="411">
        <v>0</v>
      </c>
      <c r="K5182" s="90">
        <f>SUM(H5182:J5182)</f>
        <v>179.214</v>
      </c>
      <c r="L5182" s="131">
        <v>480</v>
      </c>
      <c r="M5182" s="187">
        <v>58.29</v>
      </c>
      <c r="N5182" s="91">
        <f t="shared" si="1586"/>
        <v>154.29</v>
      </c>
      <c r="O5182" s="411">
        <f t="shared" si="1564"/>
        <v>24.924000000000007</v>
      </c>
      <c r="P5182" s="132" t="s">
        <v>52</v>
      </c>
      <c r="Q5182" s="232"/>
      <c r="R5182" s="411"/>
      <c r="T5182" s="134" t="s">
        <v>145</v>
      </c>
      <c r="U5182" s="267" t="s">
        <v>11374</v>
      </c>
      <c r="AA5182" s="218"/>
    </row>
    <row r="5183" spans="1:27" ht="24" x14ac:dyDescent="0.25">
      <c r="A5183" s="405">
        <v>3004072</v>
      </c>
      <c r="B5183" s="406">
        <v>42612</v>
      </c>
      <c r="C5183" s="405" t="s">
        <v>141</v>
      </c>
      <c r="D5183" s="401" t="s">
        <v>11375</v>
      </c>
      <c r="E5183" s="120">
        <v>300</v>
      </c>
      <c r="F5183" s="133" t="s">
        <v>247</v>
      </c>
      <c r="G5183" s="404" t="s">
        <v>45</v>
      </c>
      <c r="H5183" s="411">
        <v>369</v>
      </c>
      <c r="I5183" s="411">
        <v>0</v>
      </c>
      <c r="J5183" s="258">
        <f>-((H5183*0.0325)+0.3)</f>
        <v>-12.2925</v>
      </c>
      <c r="K5183" s="90">
        <f>SUM(H5183:J5183)</f>
        <v>356.70749999999998</v>
      </c>
      <c r="L5183" s="131">
        <v>480</v>
      </c>
      <c r="M5183" s="187">
        <v>50.35</v>
      </c>
      <c r="N5183" s="91">
        <f t="shared" si="1586"/>
        <v>194.35</v>
      </c>
      <c r="O5183" s="411">
        <f t="shared" si="1564"/>
        <v>162.35749999999999</v>
      </c>
      <c r="P5183" s="132" t="s">
        <v>52</v>
      </c>
      <c r="Q5183" s="232"/>
      <c r="R5183" s="411"/>
      <c r="T5183" s="134" t="s">
        <v>145</v>
      </c>
      <c r="U5183" s="267" t="s">
        <v>11376</v>
      </c>
      <c r="W5183" s="153" t="s">
        <v>11377</v>
      </c>
      <c r="AA5183" s="218"/>
    </row>
    <row r="5184" spans="1:27" ht="24" x14ac:dyDescent="0.25">
      <c r="A5184" s="405">
        <v>3004073</v>
      </c>
      <c r="B5184" s="406">
        <v>42612</v>
      </c>
      <c r="C5184" s="405" t="s">
        <v>42</v>
      </c>
      <c r="D5184" s="401" t="s">
        <v>11378</v>
      </c>
      <c r="E5184" s="120">
        <v>1085</v>
      </c>
      <c r="F5184" s="133" t="s">
        <v>1386</v>
      </c>
      <c r="G5184" s="404" t="s">
        <v>45</v>
      </c>
      <c r="H5184" s="411">
        <v>710.73</v>
      </c>
      <c r="I5184" s="89">
        <f>-(H5184*0.09)</f>
        <v>-63.965699999999998</v>
      </c>
      <c r="J5184" s="258">
        <f t="shared" ref="J5184:J5185" si="1620">-((H5184*0.019)+0.3)</f>
        <v>-13.80387</v>
      </c>
      <c r="K5184" s="90">
        <f t="shared" ref="K5184" si="1621">SUM(H5184:J5184)</f>
        <v>632.96043000000009</v>
      </c>
      <c r="L5184" s="187">
        <v>387</v>
      </c>
      <c r="M5184" s="187">
        <v>162.46</v>
      </c>
      <c r="N5184" s="91">
        <f t="shared" si="1586"/>
        <v>582.35500000000002</v>
      </c>
      <c r="O5184" s="411">
        <f t="shared" si="1564"/>
        <v>50.605430000000069</v>
      </c>
      <c r="P5184" s="132" t="s">
        <v>183</v>
      </c>
      <c r="Q5184" s="232"/>
      <c r="R5184" s="411"/>
      <c r="T5184" s="134" t="s">
        <v>260</v>
      </c>
      <c r="U5184" s="267" t="s">
        <v>11379</v>
      </c>
      <c r="AA5184" s="218"/>
    </row>
    <row r="5185" spans="1:27" ht="24" x14ac:dyDescent="0.25">
      <c r="A5185" s="405">
        <v>3004074</v>
      </c>
      <c r="B5185" s="406">
        <v>42612</v>
      </c>
      <c r="C5185" s="405" t="s">
        <v>78</v>
      </c>
      <c r="D5185" s="401" t="s">
        <v>4752</v>
      </c>
      <c r="E5185" s="120">
        <v>500</v>
      </c>
      <c r="F5185" s="133" t="s">
        <v>11380</v>
      </c>
      <c r="G5185" s="404" t="s">
        <v>45</v>
      </c>
      <c r="H5185" s="411">
        <v>145.80000000000001</v>
      </c>
      <c r="I5185" s="411">
        <v>0</v>
      </c>
      <c r="J5185" s="258">
        <f t="shared" si="1620"/>
        <v>-3.0701999999999998</v>
      </c>
      <c r="K5185" s="90">
        <f>SUM(H5185:J5185)</f>
        <v>142.72980000000001</v>
      </c>
      <c r="L5185" s="187">
        <v>170</v>
      </c>
      <c r="M5185" s="187">
        <v>18.809999999999999</v>
      </c>
      <c r="N5185" s="91">
        <f t="shared" si="1586"/>
        <v>103.81</v>
      </c>
      <c r="O5185" s="411">
        <f t="shared" si="1564"/>
        <v>38.919800000000009</v>
      </c>
      <c r="P5185" s="132" t="s">
        <v>183</v>
      </c>
      <c r="Q5185" s="232"/>
      <c r="R5185" s="411">
        <v>10.8</v>
      </c>
      <c r="S5185" s="133" t="s">
        <v>11381</v>
      </c>
      <c r="T5185" s="134" t="s">
        <v>145</v>
      </c>
      <c r="U5185" s="267" t="s">
        <v>11382</v>
      </c>
      <c r="W5185" s="153" t="s">
        <v>7804</v>
      </c>
      <c r="AA5185" s="218"/>
    </row>
    <row r="5186" spans="1:27" ht="24" x14ac:dyDescent="0.25">
      <c r="A5186" s="405">
        <v>3004075</v>
      </c>
      <c r="B5186" s="406">
        <v>42613</v>
      </c>
      <c r="C5186" s="405" t="s">
        <v>327</v>
      </c>
      <c r="D5186" s="401" t="s">
        <v>11383</v>
      </c>
      <c r="E5186" s="120">
        <v>250</v>
      </c>
      <c r="F5186" s="133" t="s">
        <v>11384</v>
      </c>
      <c r="G5186" s="404" t="s">
        <v>45</v>
      </c>
      <c r="H5186" s="411">
        <v>1750</v>
      </c>
      <c r="I5186" s="411">
        <v>0</v>
      </c>
      <c r="J5186" s="258">
        <f>-((H5186*0.022)+0.3)</f>
        <v>-38.799999999999997</v>
      </c>
      <c r="K5186" s="90">
        <f>SUM(H5186:J5186)</f>
        <v>1711.2</v>
      </c>
      <c r="L5186" s="187">
        <v>4250</v>
      </c>
      <c r="M5186" s="224">
        <v>222.26</v>
      </c>
      <c r="N5186" s="91">
        <f t="shared" si="1586"/>
        <v>1284.76</v>
      </c>
      <c r="O5186" s="411">
        <f t="shared" si="1564"/>
        <v>426.44000000000005</v>
      </c>
      <c r="P5186" s="132" t="s">
        <v>183</v>
      </c>
      <c r="Q5186" s="232"/>
      <c r="R5186" s="411"/>
      <c r="T5186" s="134" t="s">
        <v>473</v>
      </c>
      <c r="U5186" s="267" t="s">
        <v>11385</v>
      </c>
      <c r="W5186" s="153" t="s">
        <v>11386</v>
      </c>
      <c r="AA5186" s="218">
        <v>10</v>
      </c>
    </row>
    <row r="5187" spans="1:27" x14ac:dyDescent="0.25">
      <c r="A5187" s="405">
        <v>3004076</v>
      </c>
      <c r="B5187" s="406">
        <v>42613</v>
      </c>
      <c r="C5187" s="405" t="s">
        <v>78</v>
      </c>
      <c r="D5187" s="401" t="s">
        <v>11387</v>
      </c>
      <c r="E5187" s="120">
        <v>1000</v>
      </c>
      <c r="F5187" s="133" t="s">
        <v>173</v>
      </c>
      <c r="G5187" s="404" t="s">
        <v>45</v>
      </c>
      <c r="H5187" s="411">
        <v>869</v>
      </c>
      <c r="I5187" s="411">
        <v>0</v>
      </c>
      <c r="J5187" s="258">
        <f t="shared" ref="J5187" si="1622">-((H5187*0.019)+0.3)</f>
        <v>-16.811</v>
      </c>
      <c r="K5187" s="90">
        <f>SUM(H5187:J5187)</f>
        <v>852.18899999999996</v>
      </c>
      <c r="L5187" s="131">
        <v>409</v>
      </c>
      <c r="M5187" s="187">
        <v>176.68</v>
      </c>
      <c r="N5187" s="91">
        <f t="shared" si="1586"/>
        <v>585.68000000000006</v>
      </c>
      <c r="O5187" s="411">
        <f t="shared" si="1564"/>
        <v>266.5089999999999</v>
      </c>
      <c r="P5187" s="132" t="s">
        <v>52</v>
      </c>
      <c r="Q5187" s="232"/>
      <c r="R5187" s="411">
        <v>69</v>
      </c>
      <c r="S5187" s="133" t="s">
        <v>4608</v>
      </c>
      <c r="T5187" s="134" t="s">
        <v>244</v>
      </c>
      <c r="U5187" s="267" t="s">
        <v>11388</v>
      </c>
      <c r="V5187" s="133" t="s">
        <v>55</v>
      </c>
      <c r="W5187" s="153" t="s">
        <v>11389</v>
      </c>
      <c r="AA5187" s="218">
        <v>20</v>
      </c>
    </row>
    <row r="5188" spans="1:27" x14ac:dyDescent="0.25">
      <c r="A5188" s="405">
        <v>3004077</v>
      </c>
      <c r="B5188" s="406">
        <v>42613</v>
      </c>
      <c r="C5188" s="405" t="s">
        <v>141</v>
      </c>
      <c r="D5188" s="401" t="s">
        <v>11390</v>
      </c>
      <c r="E5188" s="120">
        <v>60</v>
      </c>
      <c r="F5188" s="133" t="s">
        <v>11391</v>
      </c>
      <c r="G5188" s="404" t="s">
        <v>45</v>
      </c>
      <c r="H5188" s="411">
        <v>960</v>
      </c>
      <c r="I5188" s="411">
        <v>0</v>
      </c>
      <c r="J5188" s="258">
        <f>-((H5188*0.0325)+0.3)</f>
        <v>-31.500000000000004</v>
      </c>
      <c r="K5188" s="90">
        <f>SUM(H5188:J5188)</f>
        <v>928.5</v>
      </c>
      <c r="L5188" s="187">
        <v>7720</v>
      </c>
      <c r="M5188" s="187">
        <v>60.18</v>
      </c>
      <c r="N5188" s="91">
        <f t="shared" si="1586"/>
        <v>523.38</v>
      </c>
      <c r="O5188" s="411">
        <f t="shared" ref="O5188:O5251" si="1623">K5188-N5188</f>
        <v>405.12</v>
      </c>
      <c r="P5188" s="132" t="s">
        <v>46</v>
      </c>
      <c r="Q5188" s="232"/>
      <c r="R5188" s="411"/>
      <c r="T5188" s="135" t="s">
        <v>875</v>
      </c>
      <c r="U5188" s="261">
        <v>5011209450</v>
      </c>
      <c r="W5188" s="153" t="s">
        <v>11392</v>
      </c>
      <c r="AA5188" s="218"/>
    </row>
    <row r="5189" spans="1:27" ht="24" x14ac:dyDescent="0.25">
      <c r="A5189" s="405">
        <v>3004078</v>
      </c>
      <c r="B5189" s="406">
        <v>42613</v>
      </c>
      <c r="C5189" s="405" t="s">
        <v>327</v>
      </c>
      <c r="D5189" s="401" t="s">
        <v>3987</v>
      </c>
      <c r="E5189" s="120">
        <v>9</v>
      </c>
      <c r="F5189" s="133" t="s">
        <v>1085</v>
      </c>
      <c r="G5189" s="404" t="s">
        <v>45</v>
      </c>
      <c r="H5189" s="411">
        <v>81</v>
      </c>
      <c r="I5189" s="411">
        <v>0</v>
      </c>
      <c r="J5189" s="258">
        <f>-((H5189*0.022)+0.3)</f>
        <v>-2.0819999999999999</v>
      </c>
      <c r="K5189" s="90">
        <f>SUM(H5189:J5189)</f>
        <v>78.918000000000006</v>
      </c>
      <c r="L5189" s="131">
        <v>4240</v>
      </c>
      <c r="M5189" s="187">
        <f>19.46+5</f>
        <v>24.46</v>
      </c>
      <c r="N5189" s="91">
        <f t="shared" si="1586"/>
        <v>62.620000000000005</v>
      </c>
      <c r="O5189" s="411">
        <f t="shared" si="1623"/>
        <v>16.298000000000002</v>
      </c>
      <c r="P5189" s="132" t="s">
        <v>52</v>
      </c>
      <c r="Q5189" s="232"/>
      <c r="R5189" s="411">
        <v>6</v>
      </c>
      <c r="S5189" s="133" t="s">
        <v>3435</v>
      </c>
      <c r="T5189" s="134" t="s">
        <v>145</v>
      </c>
      <c r="U5189" s="267" t="s">
        <v>11393</v>
      </c>
      <c r="W5189" s="153" t="s">
        <v>11394</v>
      </c>
      <c r="AA5189" s="218"/>
    </row>
    <row r="5190" spans="1:27" x14ac:dyDescent="0.25">
      <c r="A5190" s="405">
        <v>3004079</v>
      </c>
      <c r="B5190" s="406">
        <v>42613</v>
      </c>
      <c r="C5190" s="405" t="s">
        <v>42</v>
      </c>
      <c r="D5190" s="401" t="s">
        <v>11395</v>
      </c>
      <c r="E5190" s="120">
        <v>500</v>
      </c>
      <c r="F5190" s="133" t="s">
        <v>2435</v>
      </c>
      <c r="G5190" s="404" t="s">
        <v>45</v>
      </c>
      <c r="H5190" s="411">
        <v>910</v>
      </c>
      <c r="I5190" s="89">
        <f t="shared" ref="I5190:I5196" si="1624">-(H5190*0.09)</f>
        <v>-81.899999999999991</v>
      </c>
      <c r="J5190" s="258">
        <f t="shared" ref="J5190" si="1625">-((H5190*0.019)+0.3)</f>
        <v>-17.59</v>
      </c>
      <c r="K5190" s="90">
        <f t="shared" ref="K5190" si="1626">SUM(H5190:J5190)</f>
        <v>810.51</v>
      </c>
      <c r="L5190" s="131">
        <v>1025</v>
      </c>
      <c r="M5190" s="187">
        <v>114.72</v>
      </c>
      <c r="N5190" s="91">
        <f t="shared" si="1586"/>
        <v>627.22</v>
      </c>
      <c r="O5190" s="411">
        <f t="shared" si="1623"/>
        <v>183.28999999999996</v>
      </c>
      <c r="P5190" s="132" t="s">
        <v>52</v>
      </c>
      <c r="Q5190" s="232"/>
      <c r="R5190" s="411"/>
      <c r="T5190" s="134" t="s">
        <v>244</v>
      </c>
      <c r="U5190" s="267" t="s">
        <v>11396</v>
      </c>
      <c r="V5190" s="133" t="s">
        <v>55</v>
      </c>
      <c r="AA5190" s="218"/>
    </row>
    <row r="5191" spans="1:27" ht="24" x14ac:dyDescent="0.25">
      <c r="A5191" s="405">
        <v>3004080</v>
      </c>
      <c r="B5191" s="406">
        <v>42613</v>
      </c>
      <c r="C5191" s="405" t="s">
        <v>42</v>
      </c>
      <c r="D5191" s="272" t="s">
        <v>11397</v>
      </c>
      <c r="E5191" s="120">
        <v>300</v>
      </c>
      <c r="F5191" s="133" t="s">
        <v>247</v>
      </c>
      <c r="G5191" s="404" t="s">
        <v>45</v>
      </c>
      <c r="H5191" s="411">
        <v>349.12</v>
      </c>
      <c r="I5191" s="89">
        <f t="shared" si="1624"/>
        <v>-31.4208</v>
      </c>
      <c r="J5191" s="258">
        <f t="shared" ref="J5191" si="1627">-((H5191*0.019)+0.3)</f>
        <v>-6.9332799999999999</v>
      </c>
      <c r="K5191" s="90">
        <f t="shared" ref="K5191" si="1628">SUM(H5191:J5191)</f>
        <v>310.76591999999999</v>
      </c>
      <c r="L5191" s="131">
        <v>480</v>
      </c>
      <c r="M5191" s="187">
        <f>49.36+5</f>
        <v>54.36</v>
      </c>
      <c r="N5191" s="91">
        <f t="shared" si="1586"/>
        <v>198.36</v>
      </c>
      <c r="O5191" s="411">
        <f t="shared" si="1623"/>
        <v>112.40591999999998</v>
      </c>
      <c r="P5191" s="132" t="s">
        <v>52</v>
      </c>
      <c r="Q5191" s="232"/>
      <c r="R5191" s="411"/>
      <c r="T5191" s="134" t="s">
        <v>145</v>
      </c>
      <c r="U5191" s="267" t="s">
        <v>11398</v>
      </c>
      <c r="AA5191" s="218"/>
    </row>
    <row r="5192" spans="1:27" ht="24" x14ac:dyDescent="0.25">
      <c r="A5192" s="405">
        <v>3004081</v>
      </c>
      <c r="B5192" s="406">
        <v>42613</v>
      </c>
      <c r="C5192" s="405" t="s">
        <v>42</v>
      </c>
      <c r="D5192" s="401" t="s">
        <v>11399</v>
      </c>
      <c r="E5192" s="120">
        <v>100</v>
      </c>
      <c r="F5192" s="133" t="s">
        <v>1475</v>
      </c>
      <c r="G5192" s="404" t="s">
        <v>45</v>
      </c>
      <c r="H5192" s="411">
        <v>128.25</v>
      </c>
      <c r="I5192" s="89">
        <f t="shared" si="1624"/>
        <v>-11.5425</v>
      </c>
      <c r="J5192" s="258">
        <f t="shared" ref="J5192" si="1629">-((H5192*0.019)+0.3)</f>
        <v>-2.7367499999999998</v>
      </c>
      <c r="K5192" s="90">
        <f t="shared" ref="K5192" si="1630">SUM(H5192:J5192)</f>
        <v>113.97075</v>
      </c>
      <c r="L5192" s="131">
        <v>577</v>
      </c>
      <c r="M5192" s="187">
        <f>35.81+5</f>
        <v>40.81</v>
      </c>
      <c r="N5192" s="91">
        <f t="shared" si="1586"/>
        <v>98.51</v>
      </c>
      <c r="O5192" s="411">
        <f t="shared" si="1623"/>
        <v>15.46074999999999</v>
      </c>
      <c r="P5192" s="132" t="s">
        <v>52</v>
      </c>
      <c r="Q5192" s="232"/>
      <c r="R5192" s="411"/>
      <c r="T5192" s="134" t="s">
        <v>145</v>
      </c>
      <c r="U5192" s="267" t="s">
        <v>11400</v>
      </c>
      <c r="AA5192" s="218"/>
    </row>
    <row r="5193" spans="1:27" x14ac:dyDescent="0.25">
      <c r="A5193" s="405">
        <v>3004082</v>
      </c>
      <c r="B5193" s="406">
        <v>42613</v>
      </c>
      <c r="C5193" s="405" t="s">
        <v>42</v>
      </c>
      <c r="D5193" s="401" t="s">
        <v>11401</v>
      </c>
      <c r="E5193" s="120">
        <v>400</v>
      </c>
      <c r="F5193" s="133" t="s">
        <v>605</v>
      </c>
      <c r="G5193" s="404" t="s">
        <v>45</v>
      </c>
      <c r="H5193" s="411">
        <v>625.69000000000005</v>
      </c>
      <c r="I5193" s="89">
        <f t="shared" si="1624"/>
        <v>-56.312100000000001</v>
      </c>
      <c r="J5193" s="258">
        <f t="shared" ref="J5193" si="1631">-((H5193*0.019)+0.3)</f>
        <v>-12.188110000000002</v>
      </c>
      <c r="K5193" s="90">
        <f t="shared" ref="K5193" si="1632">SUM(H5193:J5193)</f>
        <v>557.18979000000002</v>
      </c>
      <c r="L5193" s="131">
        <v>480</v>
      </c>
      <c r="M5193" s="187">
        <v>176.32</v>
      </c>
      <c r="N5193" s="91">
        <f t="shared" si="1586"/>
        <v>368.32</v>
      </c>
      <c r="O5193" s="411">
        <f t="shared" si="1623"/>
        <v>188.86979000000002</v>
      </c>
      <c r="P5193" s="132" t="s">
        <v>86</v>
      </c>
      <c r="Q5193" s="232"/>
      <c r="R5193" s="411">
        <v>40.93</v>
      </c>
      <c r="S5193" s="133" t="s">
        <v>11402</v>
      </c>
      <c r="T5193" s="135" t="s">
        <v>97</v>
      </c>
      <c r="V5193" s="133" t="s">
        <v>55</v>
      </c>
      <c r="AA5193" s="218"/>
    </row>
    <row r="5194" spans="1:27" x14ac:dyDescent="0.25">
      <c r="A5194" s="405">
        <v>3004083</v>
      </c>
      <c r="B5194" s="406">
        <v>42613</v>
      </c>
      <c r="C5194" s="405" t="s">
        <v>42</v>
      </c>
      <c r="D5194" s="401" t="s">
        <v>11403</v>
      </c>
      <c r="E5194" s="120">
        <v>600</v>
      </c>
      <c r="F5194" s="133" t="s">
        <v>605</v>
      </c>
      <c r="G5194" s="404" t="s">
        <v>45</v>
      </c>
      <c r="H5194" s="411">
        <v>744</v>
      </c>
      <c r="I5194" s="89">
        <f t="shared" si="1624"/>
        <v>-66.959999999999994</v>
      </c>
      <c r="J5194" s="258">
        <f t="shared" ref="J5194" si="1633">-((H5194*0.019)+0.3)</f>
        <v>-14.436</v>
      </c>
      <c r="K5194" s="90">
        <f t="shared" ref="K5194" si="1634">SUM(H5194:J5194)</f>
        <v>662.60399999999993</v>
      </c>
      <c r="L5194" s="131">
        <v>595</v>
      </c>
      <c r="M5194" s="187">
        <v>204.88</v>
      </c>
      <c r="N5194" s="91">
        <f t="shared" ref="N5194:N5259" si="1635">((L5194)*(E5194*0.001))+M5194</f>
        <v>561.88</v>
      </c>
      <c r="O5194" s="411">
        <f t="shared" si="1623"/>
        <v>100.72399999999993</v>
      </c>
      <c r="P5194" s="132" t="s">
        <v>52</v>
      </c>
      <c r="Q5194" s="232"/>
      <c r="R5194" s="411"/>
      <c r="T5194" s="134" t="s">
        <v>244</v>
      </c>
      <c r="U5194" s="267" t="s">
        <v>11404</v>
      </c>
      <c r="V5194" s="133" t="s">
        <v>55</v>
      </c>
      <c r="AA5194" s="218"/>
    </row>
    <row r="5195" spans="1:27" ht="24" x14ac:dyDescent="0.25">
      <c r="A5195" s="405">
        <v>3004084</v>
      </c>
      <c r="B5195" s="406">
        <v>42613</v>
      </c>
      <c r="C5195" s="405" t="s">
        <v>42</v>
      </c>
      <c r="D5195" s="401" t="s">
        <v>11405</v>
      </c>
      <c r="E5195" s="120">
        <v>250</v>
      </c>
      <c r="F5195" s="133" t="s">
        <v>829</v>
      </c>
      <c r="G5195" s="404" t="s">
        <v>45</v>
      </c>
      <c r="H5195" s="411">
        <v>231.37</v>
      </c>
      <c r="I5195" s="89">
        <f t="shared" si="1624"/>
        <v>-20.8233</v>
      </c>
      <c r="J5195" s="258">
        <f t="shared" ref="J5195" si="1636">-((H5195*0.019)+0.3)</f>
        <v>-4.6960299999999995</v>
      </c>
      <c r="K5195" s="90">
        <f t="shared" ref="K5195" si="1637">SUM(H5195:J5195)</f>
        <v>205.85067000000001</v>
      </c>
      <c r="L5195" s="131">
        <v>510</v>
      </c>
      <c r="M5195" s="187">
        <f>39.2+5</f>
        <v>44.2</v>
      </c>
      <c r="N5195" s="91">
        <f t="shared" si="1635"/>
        <v>171.7</v>
      </c>
      <c r="O5195" s="411">
        <f t="shared" si="1623"/>
        <v>34.150670000000019</v>
      </c>
      <c r="P5195" s="132" t="s">
        <v>52</v>
      </c>
      <c r="Q5195" s="232"/>
      <c r="R5195" s="411"/>
      <c r="T5195" s="134" t="s">
        <v>145</v>
      </c>
      <c r="U5195" s="267" t="s">
        <v>11406</v>
      </c>
      <c r="AA5195" s="218"/>
    </row>
    <row r="5196" spans="1:27" ht="24" x14ac:dyDescent="0.25">
      <c r="A5196" s="405">
        <v>3004085</v>
      </c>
      <c r="B5196" s="406">
        <v>42613</v>
      </c>
      <c r="C5196" s="405" t="s">
        <v>42</v>
      </c>
      <c r="D5196" s="401" t="s">
        <v>11407</v>
      </c>
      <c r="E5196" s="120">
        <v>600</v>
      </c>
      <c r="F5196" s="133" t="s">
        <v>11408</v>
      </c>
      <c r="G5196" s="404" t="s">
        <v>45</v>
      </c>
      <c r="H5196" s="411">
        <v>507.59</v>
      </c>
      <c r="I5196" s="89">
        <f t="shared" si="1624"/>
        <v>-45.683099999999996</v>
      </c>
      <c r="J5196" s="258">
        <f t="shared" ref="J5196" si="1638">-((H5196*0.019)+0.3)</f>
        <v>-9.94421</v>
      </c>
      <c r="K5196" s="90">
        <f t="shared" ref="K5196" si="1639">SUM(H5196:J5196)</f>
        <v>451.96268999999995</v>
      </c>
      <c r="L5196" s="131">
        <v>300</v>
      </c>
      <c r="M5196" s="187">
        <v>66.489999999999995</v>
      </c>
      <c r="N5196" s="91">
        <f t="shared" si="1635"/>
        <v>246.49</v>
      </c>
      <c r="O5196" s="411">
        <f t="shared" si="1623"/>
        <v>205.47268999999994</v>
      </c>
      <c r="P5196" s="132" t="s">
        <v>86</v>
      </c>
      <c r="Q5196" s="232"/>
      <c r="R5196" s="411"/>
      <c r="T5196" s="134" t="s">
        <v>145</v>
      </c>
      <c r="U5196" s="267" t="s">
        <v>11409</v>
      </c>
      <c r="AA5196" s="218"/>
    </row>
    <row r="5197" spans="1:27" ht="24" x14ac:dyDescent="0.25">
      <c r="A5197" s="405">
        <v>3004086</v>
      </c>
      <c r="B5197" s="406">
        <v>42613</v>
      </c>
      <c r="C5197" s="405" t="s">
        <v>237</v>
      </c>
      <c r="D5197" s="401" t="s">
        <v>11410</v>
      </c>
      <c r="E5197" s="120">
        <v>1000</v>
      </c>
      <c r="F5197" s="133" t="s">
        <v>877</v>
      </c>
      <c r="G5197" s="404" t="s">
        <v>45</v>
      </c>
      <c r="H5197" s="411">
        <v>359.27</v>
      </c>
      <c r="I5197" s="397">
        <f t="shared" ref="I5197" si="1640">-(H5197*0.15)</f>
        <v>-53.890499999999996</v>
      </c>
      <c r="J5197" s="411">
        <v>0</v>
      </c>
      <c r="K5197" s="90">
        <f t="shared" ref="K5197:K5206" si="1641">SUM(H5197:J5197)</f>
        <v>305.37950000000001</v>
      </c>
      <c r="L5197" s="131">
        <v>174</v>
      </c>
      <c r="M5197" s="187">
        <v>128.35</v>
      </c>
      <c r="N5197" s="91">
        <f t="shared" si="1635"/>
        <v>302.35000000000002</v>
      </c>
      <c r="O5197" s="411">
        <f t="shared" si="1623"/>
        <v>3.0294999999999845</v>
      </c>
      <c r="P5197" s="132" t="s">
        <v>86</v>
      </c>
      <c r="Q5197" s="232"/>
      <c r="R5197" s="411"/>
      <c r="T5197" s="134" t="s">
        <v>145</v>
      </c>
      <c r="U5197" s="267" t="s">
        <v>11411</v>
      </c>
      <c r="AA5197" s="218"/>
    </row>
    <row r="5198" spans="1:27" ht="24" x14ac:dyDescent="0.25">
      <c r="A5198" s="405">
        <v>3004087</v>
      </c>
      <c r="B5198" s="406">
        <v>42613</v>
      </c>
      <c r="C5198" s="405" t="s">
        <v>237</v>
      </c>
      <c r="D5198" s="401" t="s">
        <v>11412</v>
      </c>
      <c r="E5198" s="120">
        <v>100</v>
      </c>
      <c r="F5198" s="133" t="s">
        <v>217</v>
      </c>
      <c r="G5198" s="404" t="s">
        <v>45</v>
      </c>
      <c r="H5198" s="411">
        <v>260</v>
      </c>
      <c r="I5198" s="397">
        <f t="shared" ref="I5198" si="1642">-(H5198*0.15)</f>
        <v>-39</v>
      </c>
      <c r="J5198" s="411">
        <v>0</v>
      </c>
      <c r="K5198" s="90">
        <f t="shared" si="1641"/>
        <v>221</v>
      </c>
      <c r="L5198" s="131">
        <v>1322</v>
      </c>
      <c r="M5198" s="187">
        <f>45.68+5</f>
        <v>50.68</v>
      </c>
      <c r="N5198" s="91">
        <f t="shared" si="1635"/>
        <v>182.88000000000002</v>
      </c>
      <c r="O5198" s="411">
        <f t="shared" si="1623"/>
        <v>38.119999999999976</v>
      </c>
      <c r="P5198" s="132" t="s">
        <v>52</v>
      </c>
      <c r="Q5198" s="232"/>
      <c r="R5198" s="411"/>
      <c r="T5198" s="134" t="s">
        <v>145</v>
      </c>
      <c r="U5198" s="267" t="s">
        <v>11413</v>
      </c>
      <c r="AA5198" s="218"/>
    </row>
    <row r="5199" spans="1:27" ht="24" x14ac:dyDescent="0.25">
      <c r="A5199" s="405">
        <v>3004088</v>
      </c>
      <c r="B5199" s="406">
        <v>42613</v>
      </c>
      <c r="C5199" s="405" t="s">
        <v>237</v>
      </c>
      <c r="D5199" s="401" t="s">
        <v>11414</v>
      </c>
      <c r="E5199" s="120">
        <v>100</v>
      </c>
      <c r="F5199" s="133" t="s">
        <v>288</v>
      </c>
      <c r="G5199" s="404" t="s">
        <v>45</v>
      </c>
      <c r="H5199" s="411">
        <v>193.04</v>
      </c>
      <c r="I5199" s="397">
        <f t="shared" ref="I5199" si="1643">-(H5199*0.15)</f>
        <v>-28.955999999999996</v>
      </c>
      <c r="J5199" s="411">
        <v>0</v>
      </c>
      <c r="K5199" s="90">
        <f t="shared" si="1641"/>
        <v>164.084</v>
      </c>
      <c r="L5199" s="131">
        <v>950</v>
      </c>
      <c r="M5199" s="187">
        <f>24.48+5</f>
        <v>29.48</v>
      </c>
      <c r="N5199" s="91">
        <f t="shared" si="1635"/>
        <v>124.48</v>
      </c>
      <c r="O5199" s="411">
        <f t="shared" si="1623"/>
        <v>39.603999999999999</v>
      </c>
      <c r="P5199" s="132" t="s">
        <v>52</v>
      </c>
      <c r="Q5199" s="232"/>
      <c r="R5199" s="411"/>
      <c r="T5199" s="134" t="s">
        <v>145</v>
      </c>
      <c r="U5199" s="267" t="s">
        <v>11415</v>
      </c>
      <c r="AA5199" s="218"/>
    </row>
    <row r="5200" spans="1:27" ht="24" x14ac:dyDescent="0.25">
      <c r="A5200" s="405">
        <v>3004089</v>
      </c>
      <c r="B5200" s="406">
        <v>42613</v>
      </c>
      <c r="C5200" s="405" t="s">
        <v>237</v>
      </c>
      <c r="D5200" s="401" t="s">
        <v>11416</v>
      </c>
      <c r="E5200" s="120">
        <v>200</v>
      </c>
      <c r="F5200" s="133" t="s">
        <v>829</v>
      </c>
      <c r="G5200" s="404" t="s">
        <v>45</v>
      </c>
      <c r="H5200" s="411">
        <v>139.33000000000001</v>
      </c>
      <c r="I5200" s="397">
        <f t="shared" ref="I5200" si="1644">-(H5200*0.15)</f>
        <v>-20.8995</v>
      </c>
      <c r="J5200" s="411">
        <v>0</v>
      </c>
      <c r="K5200" s="90">
        <f t="shared" si="1641"/>
        <v>118.43050000000001</v>
      </c>
      <c r="L5200" s="131">
        <v>510</v>
      </c>
      <c r="M5200" s="187">
        <f>45.64+5</f>
        <v>50.64</v>
      </c>
      <c r="N5200" s="91">
        <f t="shared" si="1635"/>
        <v>152.63999999999999</v>
      </c>
      <c r="O5200" s="411">
        <f t="shared" si="1623"/>
        <v>-34.209499999999977</v>
      </c>
      <c r="P5200" s="132" t="s">
        <v>52</v>
      </c>
      <c r="Q5200" s="232"/>
      <c r="R5200" s="411"/>
      <c r="T5200" s="134" t="s">
        <v>145</v>
      </c>
      <c r="U5200" s="267" t="s">
        <v>11417</v>
      </c>
      <c r="AA5200" s="218"/>
    </row>
    <row r="5201" spans="1:27" ht="24" x14ac:dyDescent="0.25">
      <c r="A5201" s="405">
        <v>3004090</v>
      </c>
      <c r="B5201" s="406">
        <v>42613</v>
      </c>
      <c r="C5201" s="405" t="s">
        <v>237</v>
      </c>
      <c r="D5201" s="401" t="s">
        <v>11418</v>
      </c>
      <c r="E5201" s="120">
        <v>200</v>
      </c>
      <c r="F5201" s="133" t="s">
        <v>1547</v>
      </c>
      <c r="G5201" s="404" t="s">
        <v>45</v>
      </c>
      <c r="H5201" s="411">
        <v>160</v>
      </c>
      <c r="I5201" s="397">
        <f t="shared" ref="I5201" si="1645">-(H5201*0.15)</f>
        <v>-24</v>
      </c>
      <c r="J5201" s="411">
        <v>0</v>
      </c>
      <c r="K5201" s="90">
        <f t="shared" si="1641"/>
        <v>136</v>
      </c>
      <c r="L5201" s="131">
        <v>419</v>
      </c>
      <c r="M5201" s="187">
        <v>46.46</v>
      </c>
      <c r="N5201" s="91">
        <f t="shared" si="1635"/>
        <v>130.26000000000002</v>
      </c>
      <c r="O5201" s="411">
        <f t="shared" si="1623"/>
        <v>5.7399999999999807</v>
      </c>
      <c r="P5201" s="132" t="s">
        <v>52</v>
      </c>
      <c r="Q5201" s="232"/>
      <c r="R5201" s="411"/>
      <c r="T5201" s="134" t="s">
        <v>145</v>
      </c>
      <c r="U5201" s="267" t="s">
        <v>11419</v>
      </c>
      <c r="AA5201" s="218"/>
    </row>
    <row r="5202" spans="1:27" ht="24" x14ac:dyDescent="0.25">
      <c r="A5202" s="405">
        <v>3004091</v>
      </c>
      <c r="B5202" s="406">
        <v>42613</v>
      </c>
      <c r="C5202" s="405" t="s">
        <v>237</v>
      </c>
      <c r="D5202" s="401" t="s">
        <v>11420</v>
      </c>
      <c r="E5202" s="120">
        <v>100</v>
      </c>
      <c r="F5202" s="133" t="s">
        <v>175</v>
      </c>
      <c r="G5202" s="404" t="s">
        <v>45</v>
      </c>
      <c r="H5202" s="411">
        <v>100</v>
      </c>
      <c r="I5202" s="397">
        <f t="shared" ref="I5202" si="1646">-(H5202*0.15)</f>
        <v>-15</v>
      </c>
      <c r="J5202" s="411">
        <v>0</v>
      </c>
      <c r="K5202" s="90">
        <f t="shared" si="1641"/>
        <v>85</v>
      </c>
      <c r="L5202" s="131">
        <v>250</v>
      </c>
      <c r="M5202" s="187">
        <f>14.4+5</f>
        <v>19.399999999999999</v>
      </c>
      <c r="N5202" s="91">
        <f t="shared" si="1635"/>
        <v>44.4</v>
      </c>
      <c r="O5202" s="411">
        <f t="shared" si="1623"/>
        <v>40.6</v>
      </c>
      <c r="P5202" s="132" t="s">
        <v>52</v>
      </c>
      <c r="Q5202" s="232"/>
      <c r="R5202" s="411"/>
      <c r="T5202" s="134" t="s">
        <v>145</v>
      </c>
      <c r="U5202" s="267" t="s">
        <v>11421</v>
      </c>
      <c r="AA5202" s="218"/>
    </row>
    <row r="5203" spans="1:27" ht="48" x14ac:dyDescent="0.25">
      <c r="A5203" s="405">
        <v>3004092</v>
      </c>
      <c r="B5203" s="406">
        <v>42613</v>
      </c>
      <c r="C5203" s="405" t="s">
        <v>237</v>
      </c>
      <c r="D5203" s="401" t="s">
        <v>11422</v>
      </c>
      <c r="E5203" s="120">
        <v>100</v>
      </c>
      <c r="F5203" s="119" t="s">
        <v>11423</v>
      </c>
      <c r="G5203" s="404" t="s">
        <v>45</v>
      </c>
      <c r="H5203" s="411">
        <v>436.06</v>
      </c>
      <c r="I5203" s="397">
        <f t="shared" ref="I5203:I5204" si="1647">-(H5203*0.15)</f>
        <v>-65.408999999999992</v>
      </c>
      <c r="J5203" s="411">
        <v>0</v>
      </c>
      <c r="K5203" s="90">
        <f t="shared" si="1641"/>
        <v>370.65100000000001</v>
      </c>
      <c r="L5203" s="187">
        <v>1650</v>
      </c>
      <c r="M5203" s="187">
        <v>9.1</v>
      </c>
      <c r="N5203" s="91">
        <f t="shared" si="1635"/>
        <v>174.1</v>
      </c>
      <c r="O5203" s="411">
        <f t="shared" si="1623"/>
        <v>196.55100000000002</v>
      </c>
      <c r="P5203" s="132" t="s">
        <v>856</v>
      </c>
      <c r="Q5203" s="232"/>
      <c r="R5203" s="411"/>
      <c r="T5203" s="134" t="s">
        <v>145</v>
      </c>
      <c r="U5203" s="267" t="s">
        <v>11424</v>
      </c>
      <c r="AA5203" s="218"/>
    </row>
    <row r="5204" spans="1:27" ht="24" x14ac:dyDescent="0.25">
      <c r="A5204" s="405">
        <v>3004093</v>
      </c>
      <c r="B5204" s="406">
        <v>42613</v>
      </c>
      <c r="C5204" s="405" t="s">
        <v>237</v>
      </c>
      <c r="D5204" s="401" t="s">
        <v>11425</v>
      </c>
      <c r="E5204" s="120">
        <v>275</v>
      </c>
      <c r="F5204" s="133" t="s">
        <v>247</v>
      </c>
      <c r="G5204" s="404" t="s">
        <v>45</v>
      </c>
      <c r="H5204" s="411">
        <v>270</v>
      </c>
      <c r="I5204" s="397">
        <f t="shared" si="1647"/>
        <v>-40.5</v>
      </c>
      <c r="J5204" s="411">
        <v>0</v>
      </c>
      <c r="K5204" s="90">
        <f t="shared" si="1641"/>
        <v>229.5</v>
      </c>
      <c r="L5204" s="131">
        <v>0</v>
      </c>
      <c r="M5204" s="187">
        <v>50.99</v>
      </c>
      <c r="N5204" s="91">
        <f t="shared" si="1635"/>
        <v>50.99</v>
      </c>
      <c r="O5204" s="411">
        <f t="shared" si="1623"/>
        <v>178.51</v>
      </c>
      <c r="P5204" s="132" t="s">
        <v>86</v>
      </c>
      <c r="Q5204" s="232"/>
      <c r="R5204" s="411"/>
      <c r="T5204" s="134" t="s">
        <v>145</v>
      </c>
      <c r="U5204" s="267" t="s">
        <v>11426</v>
      </c>
      <c r="AA5204" s="218"/>
    </row>
    <row r="5205" spans="1:27" ht="24" x14ac:dyDescent="0.25">
      <c r="A5205" s="405">
        <v>3004094</v>
      </c>
      <c r="B5205" s="406">
        <v>42613</v>
      </c>
      <c r="C5205" s="405" t="s">
        <v>237</v>
      </c>
      <c r="D5205" s="401" t="s">
        <v>11427</v>
      </c>
      <c r="E5205" s="120">
        <v>100</v>
      </c>
      <c r="F5205" s="133" t="s">
        <v>590</v>
      </c>
      <c r="G5205" s="404" t="s">
        <v>45</v>
      </c>
      <c r="H5205" s="411">
        <v>115.08</v>
      </c>
      <c r="I5205" s="397">
        <f t="shared" ref="I5205" si="1648">-(H5205*0.15)</f>
        <v>-17.262</v>
      </c>
      <c r="J5205" s="411">
        <v>0</v>
      </c>
      <c r="K5205" s="90">
        <f t="shared" si="1641"/>
        <v>97.817999999999998</v>
      </c>
      <c r="L5205" s="131">
        <v>571.41999999999996</v>
      </c>
      <c r="M5205" s="187">
        <v>16.8</v>
      </c>
      <c r="N5205" s="91">
        <f t="shared" si="1635"/>
        <v>73.941999999999993</v>
      </c>
      <c r="O5205" s="411">
        <f t="shared" si="1623"/>
        <v>23.876000000000005</v>
      </c>
      <c r="P5205" s="132" t="s">
        <v>86</v>
      </c>
      <c r="Q5205" s="232"/>
      <c r="R5205" s="411"/>
      <c r="T5205" s="134" t="s">
        <v>145</v>
      </c>
      <c r="U5205" s="267" t="s">
        <v>11428</v>
      </c>
      <c r="AA5205" s="218"/>
    </row>
    <row r="5206" spans="1:27" ht="24" customHeight="1" x14ac:dyDescent="0.25">
      <c r="A5206" s="419">
        <v>3004095</v>
      </c>
      <c r="B5206" s="421">
        <v>42613</v>
      </c>
      <c r="C5206" s="419" t="s">
        <v>141</v>
      </c>
      <c r="D5206" s="417" t="s">
        <v>9102</v>
      </c>
      <c r="E5206" s="120">
        <v>149</v>
      </c>
      <c r="F5206" s="133" t="s">
        <v>11429</v>
      </c>
      <c r="G5206" s="434" t="s">
        <v>45</v>
      </c>
      <c r="H5206" s="427">
        <v>706.52</v>
      </c>
      <c r="I5206" s="427">
        <v>0</v>
      </c>
      <c r="J5206" s="498">
        <f>-((H5206*0.0325)+0.3)</f>
        <v>-23.261900000000001</v>
      </c>
      <c r="K5206" s="425">
        <f t="shared" si="1641"/>
        <v>683.25810000000001</v>
      </c>
      <c r="L5206" s="131">
        <v>1347</v>
      </c>
      <c r="M5206" s="187">
        <v>150</v>
      </c>
      <c r="N5206" s="91">
        <f t="shared" si="1635"/>
        <v>350.70299999999997</v>
      </c>
      <c r="O5206" s="411">
        <f t="shared" si="1623"/>
        <v>332.55510000000004</v>
      </c>
      <c r="P5206" s="132" t="s">
        <v>52</v>
      </c>
      <c r="Q5206" s="232"/>
      <c r="R5206" s="411"/>
      <c r="T5206" s="439" t="s">
        <v>565</v>
      </c>
      <c r="U5206" s="446" t="s">
        <v>11430</v>
      </c>
      <c r="W5206" s="153" t="s">
        <v>11431</v>
      </c>
      <c r="AA5206" s="218"/>
    </row>
    <row r="5207" spans="1:27" x14ac:dyDescent="0.25">
      <c r="A5207" s="432"/>
      <c r="B5207" s="433"/>
      <c r="C5207" s="432"/>
      <c r="D5207" s="454"/>
      <c r="E5207" s="120">
        <v>325</v>
      </c>
      <c r="F5207" s="133" t="s">
        <v>2983</v>
      </c>
      <c r="G5207" s="435"/>
      <c r="H5207" s="438"/>
      <c r="I5207" s="438"/>
      <c r="J5207" s="525"/>
      <c r="K5207" s="437"/>
      <c r="L5207" s="131">
        <v>632</v>
      </c>
      <c r="M5207" s="187"/>
      <c r="N5207" s="91">
        <f t="shared" si="1635"/>
        <v>205.4</v>
      </c>
      <c r="O5207" s="411">
        <f t="shared" si="1623"/>
        <v>-205.4</v>
      </c>
      <c r="P5207" s="132" t="s">
        <v>52</v>
      </c>
      <c r="Q5207" s="232"/>
      <c r="R5207" s="411"/>
      <c r="T5207" s="441"/>
      <c r="U5207" s="447"/>
      <c r="AA5207" s="218"/>
    </row>
    <row r="5208" spans="1:27" ht="24" x14ac:dyDescent="0.25">
      <c r="A5208" s="420"/>
      <c r="B5208" s="422"/>
      <c r="C5208" s="420"/>
      <c r="D5208" s="418"/>
      <c r="E5208" s="120">
        <v>80</v>
      </c>
      <c r="F5208" s="133" t="s">
        <v>11432</v>
      </c>
      <c r="G5208" s="436"/>
      <c r="H5208" s="428"/>
      <c r="I5208" s="428"/>
      <c r="J5208" s="499"/>
      <c r="K5208" s="426"/>
      <c r="L5208" s="187">
        <v>320</v>
      </c>
      <c r="M5208" s="187">
        <v>7.22</v>
      </c>
      <c r="N5208" s="91">
        <f t="shared" si="1635"/>
        <v>32.82</v>
      </c>
      <c r="O5208" s="411">
        <f t="shared" si="1623"/>
        <v>-32.82</v>
      </c>
      <c r="P5208" s="132" t="s">
        <v>235</v>
      </c>
      <c r="Q5208" s="232"/>
      <c r="R5208" s="411"/>
      <c r="T5208" s="134" t="s">
        <v>145</v>
      </c>
      <c r="U5208" s="267" t="s">
        <v>11433</v>
      </c>
      <c r="V5208" s="133" t="s">
        <v>11434</v>
      </c>
      <c r="AA5208" s="218"/>
    </row>
    <row r="5209" spans="1:27" ht="24" x14ac:dyDescent="0.25">
      <c r="A5209" s="405">
        <v>3004096</v>
      </c>
      <c r="B5209" s="406">
        <v>42613</v>
      </c>
      <c r="C5209" s="405" t="s">
        <v>237</v>
      </c>
      <c r="D5209" s="401" t="s">
        <v>11435</v>
      </c>
      <c r="E5209" s="120">
        <v>100</v>
      </c>
      <c r="F5209" s="133" t="s">
        <v>2199</v>
      </c>
      <c r="G5209" s="404" t="s">
        <v>45</v>
      </c>
      <c r="H5209" s="411">
        <v>180.18</v>
      </c>
      <c r="I5209" s="397">
        <f t="shared" ref="I5209" si="1649">-(H5209*0.15)</f>
        <v>-27.027000000000001</v>
      </c>
      <c r="J5209" s="411">
        <v>0</v>
      </c>
      <c r="K5209" s="90">
        <f>SUM(H5209:J5209)</f>
        <v>153.15300000000002</v>
      </c>
      <c r="L5209" s="187">
        <v>1150</v>
      </c>
      <c r="M5209" s="187">
        <v>22.37</v>
      </c>
      <c r="N5209" s="91">
        <f t="shared" si="1635"/>
        <v>137.37</v>
      </c>
      <c r="O5209" s="411">
        <f t="shared" si="1623"/>
        <v>15.783000000000015</v>
      </c>
      <c r="P5209" s="132" t="s">
        <v>601</v>
      </c>
      <c r="Q5209" s="232"/>
      <c r="R5209" s="411"/>
      <c r="T5209" s="134" t="s">
        <v>145</v>
      </c>
      <c r="U5209" s="267" t="s">
        <v>11436</v>
      </c>
      <c r="AA5209" s="218"/>
    </row>
    <row r="5210" spans="1:27" ht="24" x14ac:dyDescent="0.25">
      <c r="A5210" s="405">
        <v>3004097</v>
      </c>
      <c r="B5210" s="406">
        <v>42613</v>
      </c>
      <c r="C5210" s="405" t="s">
        <v>42</v>
      </c>
      <c r="D5210" s="401" t="s">
        <v>11437</v>
      </c>
      <c r="E5210" s="120">
        <v>150</v>
      </c>
      <c r="F5210" s="133" t="s">
        <v>247</v>
      </c>
      <c r="G5210" s="404" t="s">
        <v>45</v>
      </c>
      <c r="H5210" s="411">
        <v>200.77</v>
      </c>
      <c r="I5210" s="89">
        <f>-(H5210*0.09)</f>
        <v>-18.069300000000002</v>
      </c>
      <c r="J5210" s="258">
        <f t="shared" ref="J5210" si="1650">-((H5210*0.019)+0.3)</f>
        <v>-4.11463</v>
      </c>
      <c r="K5210" s="90">
        <f t="shared" ref="K5210" si="1651">SUM(H5210:J5210)</f>
        <v>178.58607000000001</v>
      </c>
      <c r="L5210" s="131">
        <v>480</v>
      </c>
      <c r="M5210" s="187">
        <v>35.770000000000003</v>
      </c>
      <c r="N5210" s="91">
        <f t="shared" si="1635"/>
        <v>107.77000000000001</v>
      </c>
      <c r="O5210" s="411">
        <f t="shared" si="1623"/>
        <v>70.816069999999996</v>
      </c>
      <c r="P5210" s="132" t="s">
        <v>52</v>
      </c>
      <c r="Q5210" s="232"/>
      <c r="R5210" s="411">
        <v>14.87</v>
      </c>
      <c r="S5210" s="133" t="s">
        <v>11438</v>
      </c>
      <c r="T5210" s="134" t="s">
        <v>145</v>
      </c>
      <c r="U5210" s="267" t="s">
        <v>11439</v>
      </c>
      <c r="AA5210" s="218"/>
    </row>
    <row r="5211" spans="1:27" ht="36" x14ac:dyDescent="0.25">
      <c r="A5211" s="405">
        <v>3004098</v>
      </c>
      <c r="B5211" s="406">
        <v>42613</v>
      </c>
      <c r="C5211" s="405" t="s">
        <v>63</v>
      </c>
      <c r="D5211" s="401" t="s">
        <v>11440</v>
      </c>
      <c r="E5211" s="120">
        <v>325</v>
      </c>
      <c r="F5211" s="133" t="s">
        <v>422</v>
      </c>
      <c r="G5211" s="404" t="s">
        <v>45</v>
      </c>
      <c r="H5211" s="411">
        <v>390</v>
      </c>
      <c r="I5211" s="411">
        <v>0</v>
      </c>
      <c r="J5211" s="258">
        <f>-((H5211*0.022)+0.3)</f>
        <v>-8.8800000000000008</v>
      </c>
      <c r="K5211" s="90">
        <f>SUM(H5211:J5211)</f>
        <v>381.12</v>
      </c>
      <c r="L5211" s="187">
        <v>900</v>
      </c>
      <c r="M5211" s="187">
        <v>222.26</v>
      </c>
      <c r="N5211" s="91">
        <f>((L5211)*(E5211*0.001))+M5211</f>
        <v>514.76</v>
      </c>
      <c r="O5211" s="411">
        <f t="shared" si="1623"/>
        <v>-133.63999999999999</v>
      </c>
      <c r="P5211" s="196" t="s">
        <v>183</v>
      </c>
      <c r="Q5211" s="232"/>
      <c r="R5211" s="411"/>
      <c r="T5211" s="134" t="s">
        <v>60</v>
      </c>
      <c r="U5211" s="267" t="s">
        <v>11441</v>
      </c>
      <c r="W5211" s="153" t="s">
        <v>11442</v>
      </c>
      <c r="AA5211" s="218"/>
    </row>
    <row r="5212" spans="1:27" ht="24" x14ac:dyDescent="0.25">
      <c r="A5212" s="405">
        <v>3004099</v>
      </c>
      <c r="B5212" s="406">
        <v>42614</v>
      </c>
      <c r="C5212" s="405" t="s">
        <v>42</v>
      </c>
      <c r="D5212" s="401" t="s">
        <v>11443</v>
      </c>
      <c r="E5212" s="120">
        <v>250</v>
      </c>
      <c r="F5212" s="133" t="s">
        <v>609</v>
      </c>
      <c r="G5212" s="404" t="s">
        <v>45</v>
      </c>
      <c r="H5212" s="411">
        <v>166.59</v>
      </c>
      <c r="I5212" s="89">
        <f>-(H5212*0.09)</f>
        <v>-14.9931</v>
      </c>
      <c r="J5212" s="258">
        <f t="shared" ref="J5212" si="1652">-((H5212*0.019)+0.3)</f>
        <v>-3.4652099999999999</v>
      </c>
      <c r="K5212" s="90">
        <f t="shared" ref="K5212" si="1653">SUM(H5212:J5212)</f>
        <v>148.13168999999999</v>
      </c>
      <c r="L5212" s="131">
        <v>150</v>
      </c>
      <c r="M5212" s="187">
        <f>19.24+5</f>
        <v>24.24</v>
      </c>
      <c r="N5212" s="91">
        <f t="shared" si="1635"/>
        <v>61.739999999999995</v>
      </c>
      <c r="O5212" s="411">
        <f t="shared" si="1623"/>
        <v>86.391689999999997</v>
      </c>
      <c r="P5212" s="132" t="s">
        <v>52</v>
      </c>
      <c r="Q5212" s="232"/>
      <c r="R5212" s="411"/>
      <c r="T5212" s="134" t="s">
        <v>145</v>
      </c>
      <c r="U5212" s="267" t="s">
        <v>11444</v>
      </c>
      <c r="AA5212" s="218"/>
    </row>
    <row r="5213" spans="1:27" ht="36" x14ac:dyDescent="0.25">
      <c r="A5213" s="405">
        <v>3004100</v>
      </c>
      <c r="B5213" s="406">
        <v>42614</v>
      </c>
      <c r="C5213" s="405" t="s">
        <v>42</v>
      </c>
      <c r="D5213" s="401" t="s">
        <v>11445</v>
      </c>
      <c r="E5213" s="120">
        <v>500</v>
      </c>
      <c r="F5213" s="119" t="s">
        <v>11446</v>
      </c>
      <c r="G5213" s="404" t="s">
        <v>45</v>
      </c>
      <c r="H5213" s="411">
        <v>143</v>
      </c>
      <c r="I5213" s="89">
        <f>-(H5213*0.09)</f>
        <v>-12.87</v>
      </c>
      <c r="J5213" s="258">
        <f t="shared" ref="J5213" si="1654">-((H5213*0.019)+0.3)</f>
        <v>-3.0169999999999999</v>
      </c>
      <c r="K5213" s="90">
        <f t="shared" ref="K5213" si="1655">SUM(H5213:J5213)</f>
        <v>127.113</v>
      </c>
      <c r="L5213" s="187">
        <v>139</v>
      </c>
      <c r="M5213" s="187">
        <v>16.809999999999999</v>
      </c>
      <c r="N5213" s="91">
        <f t="shared" si="1635"/>
        <v>86.31</v>
      </c>
      <c r="O5213" s="411">
        <f t="shared" si="1623"/>
        <v>40.802999999999997</v>
      </c>
      <c r="P5213" s="132" t="s">
        <v>856</v>
      </c>
      <c r="Q5213" s="232"/>
      <c r="R5213" s="411"/>
      <c r="T5213" s="134" t="s">
        <v>145</v>
      </c>
      <c r="U5213" s="267" t="s">
        <v>11447</v>
      </c>
      <c r="AA5213" s="218"/>
    </row>
    <row r="5214" spans="1:27" ht="36" x14ac:dyDescent="0.25">
      <c r="A5214" s="405">
        <v>3004101</v>
      </c>
      <c r="B5214" s="406">
        <v>42614</v>
      </c>
      <c r="C5214" s="405" t="s">
        <v>42</v>
      </c>
      <c r="D5214" s="401" t="s">
        <v>11448</v>
      </c>
      <c r="E5214" s="120">
        <v>250</v>
      </c>
      <c r="F5214" s="119" t="s">
        <v>11449</v>
      </c>
      <c r="G5214" s="404" t="s">
        <v>45</v>
      </c>
      <c r="H5214" s="411">
        <v>159.5</v>
      </c>
      <c r="I5214" s="89">
        <f>-(H5214*0.09)</f>
        <v>-14.354999999999999</v>
      </c>
      <c r="J5214" s="258">
        <f t="shared" ref="J5214" si="1656">-((H5214*0.019)+0.3)</f>
        <v>-3.3304999999999998</v>
      </c>
      <c r="K5214" s="90">
        <f t="shared" ref="K5214" si="1657">SUM(H5214:J5214)</f>
        <v>141.81450000000001</v>
      </c>
      <c r="L5214" s="187">
        <v>346</v>
      </c>
      <c r="M5214" s="187">
        <v>8.11</v>
      </c>
      <c r="N5214" s="91">
        <f t="shared" si="1635"/>
        <v>94.61</v>
      </c>
      <c r="O5214" s="411">
        <f t="shared" si="1623"/>
        <v>47.20450000000001</v>
      </c>
      <c r="P5214" s="132" t="s">
        <v>856</v>
      </c>
      <c r="Q5214" s="232"/>
      <c r="R5214" s="411"/>
      <c r="T5214" s="134" t="s">
        <v>145</v>
      </c>
      <c r="U5214" s="267" t="s">
        <v>11450</v>
      </c>
      <c r="AA5214" s="218"/>
    </row>
    <row r="5215" spans="1:27" ht="24" customHeight="1" x14ac:dyDescent="0.25">
      <c r="A5215" s="419">
        <v>3004102</v>
      </c>
      <c r="B5215" s="421">
        <v>42614</v>
      </c>
      <c r="C5215" s="419" t="s">
        <v>63</v>
      </c>
      <c r="D5215" s="417" t="s">
        <v>8857</v>
      </c>
      <c r="E5215" s="120">
        <v>1000</v>
      </c>
      <c r="F5215" s="133" t="s">
        <v>11451</v>
      </c>
      <c r="G5215" s="434" t="s">
        <v>45</v>
      </c>
      <c r="H5215" s="427">
        <v>4677.41</v>
      </c>
      <c r="I5215" s="427">
        <v>0</v>
      </c>
      <c r="J5215" s="425">
        <f>-((H5215*0.022)+0.3)</f>
        <v>-103.20302</v>
      </c>
      <c r="K5215" s="425">
        <f>SUM(H5215:J5215)</f>
        <v>4574.2069799999999</v>
      </c>
      <c r="L5215" s="187">
        <v>1060</v>
      </c>
      <c r="N5215" s="91">
        <f t="shared" si="1635"/>
        <v>1060</v>
      </c>
      <c r="O5215" s="411">
        <f t="shared" si="1623"/>
        <v>3514.2069799999999</v>
      </c>
      <c r="P5215" s="132" t="s">
        <v>183</v>
      </c>
      <c r="Q5215" s="232"/>
      <c r="R5215" s="411"/>
      <c r="T5215" s="470" t="s">
        <v>8218</v>
      </c>
      <c r="U5215" s="505" t="s">
        <v>8218</v>
      </c>
      <c r="W5215" s="153" t="s">
        <v>8860</v>
      </c>
      <c r="AA5215" s="473">
        <v>10</v>
      </c>
    </row>
    <row r="5216" spans="1:27" x14ac:dyDescent="0.25">
      <c r="A5216" s="432"/>
      <c r="B5216" s="433"/>
      <c r="C5216" s="432"/>
      <c r="D5216" s="454"/>
      <c r="E5216" s="120">
        <v>1500</v>
      </c>
      <c r="F5216" s="133" t="s">
        <v>11452</v>
      </c>
      <c r="G5216" s="435"/>
      <c r="H5216" s="438"/>
      <c r="I5216" s="438"/>
      <c r="J5216" s="437"/>
      <c r="K5216" s="437"/>
      <c r="L5216" s="187">
        <v>1567</v>
      </c>
      <c r="N5216" s="91">
        <f t="shared" si="1635"/>
        <v>2350.5</v>
      </c>
      <c r="O5216" s="411">
        <f t="shared" si="1623"/>
        <v>-2350.5</v>
      </c>
      <c r="P5216" s="132" t="s">
        <v>183</v>
      </c>
      <c r="Q5216" s="232"/>
      <c r="R5216" s="411"/>
      <c r="T5216" s="471"/>
      <c r="U5216" s="506"/>
      <c r="AA5216" s="478"/>
    </row>
    <row r="5217" spans="1:27" x14ac:dyDescent="0.25">
      <c r="A5217" s="420"/>
      <c r="B5217" s="422"/>
      <c r="C5217" s="420"/>
      <c r="D5217" s="418"/>
      <c r="E5217" s="120">
        <v>500</v>
      </c>
      <c r="F5217" s="133" t="s">
        <v>11453</v>
      </c>
      <c r="G5217" s="436"/>
      <c r="H5217" s="428"/>
      <c r="I5217" s="428"/>
      <c r="J5217" s="426"/>
      <c r="K5217" s="426"/>
      <c r="L5217" s="187">
        <v>604.64</v>
      </c>
      <c r="M5217" s="224">
        <v>75.03</v>
      </c>
      <c r="N5217" s="91">
        <f t="shared" si="1635"/>
        <v>377.35</v>
      </c>
      <c r="O5217" s="411">
        <f t="shared" si="1623"/>
        <v>-377.35</v>
      </c>
      <c r="P5217" s="132" t="s">
        <v>76</v>
      </c>
      <c r="Q5217" s="232"/>
      <c r="R5217" s="411"/>
      <c r="T5217" s="472"/>
      <c r="U5217" s="490"/>
      <c r="AA5217" s="474"/>
    </row>
    <row r="5218" spans="1:27" x14ac:dyDescent="0.25">
      <c r="A5218" s="405">
        <v>3004103</v>
      </c>
      <c r="B5218" s="406">
        <v>42614</v>
      </c>
      <c r="C5218" s="405" t="s">
        <v>555</v>
      </c>
      <c r="D5218" s="401" t="s">
        <v>11454</v>
      </c>
      <c r="E5218" s="120">
        <v>1</v>
      </c>
      <c r="F5218" s="133" t="s">
        <v>11455</v>
      </c>
      <c r="G5218" s="404" t="s">
        <v>45</v>
      </c>
      <c r="H5218" s="411">
        <v>533</v>
      </c>
      <c r="I5218" s="411">
        <v>0</v>
      </c>
      <c r="J5218" s="411">
        <v>0</v>
      </c>
      <c r="K5218" s="90">
        <f t="shared" ref="K5218" si="1658">SUM(H5218:J5218)</f>
        <v>533</v>
      </c>
      <c r="N5218" s="91">
        <f t="shared" si="1635"/>
        <v>0</v>
      </c>
      <c r="O5218" s="411">
        <f t="shared" si="1623"/>
        <v>533</v>
      </c>
      <c r="P5218" s="132" t="s">
        <v>1229</v>
      </c>
      <c r="Q5218" s="232"/>
      <c r="R5218" s="411"/>
      <c r="T5218" s="134"/>
      <c r="U5218" s="266"/>
      <c r="AA5218" s="218"/>
    </row>
    <row r="5219" spans="1:27" ht="24" x14ac:dyDescent="0.25">
      <c r="A5219" s="405">
        <v>3004104</v>
      </c>
      <c r="B5219" s="406">
        <v>42614</v>
      </c>
      <c r="C5219" s="405" t="s">
        <v>237</v>
      </c>
      <c r="D5219" s="401" t="s">
        <v>11456</v>
      </c>
      <c r="E5219" s="120">
        <v>50</v>
      </c>
      <c r="F5219" s="133" t="s">
        <v>431</v>
      </c>
      <c r="G5219" s="404" t="s">
        <v>45</v>
      </c>
      <c r="H5219" s="411">
        <v>148.5</v>
      </c>
      <c r="I5219" s="397">
        <f t="shared" ref="I5219" si="1659">-(H5219*0.15)</f>
        <v>-22.274999999999999</v>
      </c>
      <c r="J5219" s="411">
        <v>0</v>
      </c>
      <c r="K5219" s="90">
        <f t="shared" ref="K5219:K5224" si="1660">SUM(H5219:J5219)</f>
        <v>126.22499999999999</v>
      </c>
      <c r="L5219" s="131">
        <v>990</v>
      </c>
      <c r="M5219" s="187">
        <f>34.63+5</f>
        <v>39.630000000000003</v>
      </c>
      <c r="N5219" s="91">
        <f t="shared" si="1635"/>
        <v>89.13</v>
      </c>
      <c r="O5219" s="411">
        <f t="shared" si="1623"/>
        <v>37.094999999999999</v>
      </c>
      <c r="P5219" s="132" t="s">
        <v>52</v>
      </c>
      <c r="Q5219" s="232"/>
      <c r="R5219" s="411"/>
      <c r="T5219" s="134" t="s">
        <v>145</v>
      </c>
      <c r="U5219" s="267" t="s">
        <v>11457</v>
      </c>
      <c r="AA5219" s="218"/>
    </row>
    <row r="5220" spans="1:27" ht="24" x14ac:dyDescent="0.25">
      <c r="A5220" s="405">
        <v>3004105</v>
      </c>
      <c r="B5220" s="406">
        <v>42614</v>
      </c>
      <c r="C5220" s="405" t="s">
        <v>237</v>
      </c>
      <c r="D5220" s="401" t="s">
        <v>11458</v>
      </c>
      <c r="E5220" s="120">
        <v>100</v>
      </c>
      <c r="F5220" s="133" t="s">
        <v>341</v>
      </c>
      <c r="G5220" s="404" t="s">
        <v>45</v>
      </c>
      <c r="H5220" s="411">
        <v>148.19999999999999</v>
      </c>
      <c r="I5220" s="397">
        <f t="shared" ref="I5220" si="1661">-(H5220*0.15)</f>
        <v>-22.229999999999997</v>
      </c>
      <c r="J5220" s="411">
        <v>0</v>
      </c>
      <c r="K5220" s="90">
        <f t="shared" si="1660"/>
        <v>125.97</v>
      </c>
      <c r="L5220" s="131">
        <v>698</v>
      </c>
      <c r="M5220" s="187">
        <f>31.39+5</f>
        <v>36.39</v>
      </c>
      <c r="N5220" s="91">
        <f t="shared" si="1635"/>
        <v>106.19</v>
      </c>
      <c r="O5220" s="411">
        <f t="shared" si="1623"/>
        <v>19.78</v>
      </c>
      <c r="P5220" s="132" t="s">
        <v>52</v>
      </c>
      <c r="Q5220" s="232"/>
      <c r="R5220" s="411"/>
      <c r="T5220" s="134" t="s">
        <v>145</v>
      </c>
      <c r="U5220" s="267" t="s">
        <v>11459</v>
      </c>
      <c r="AA5220" s="218"/>
    </row>
    <row r="5221" spans="1:27" ht="24" x14ac:dyDescent="0.25">
      <c r="A5221" s="405">
        <v>3004106</v>
      </c>
      <c r="B5221" s="406">
        <v>42614</v>
      </c>
      <c r="C5221" s="405" t="s">
        <v>237</v>
      </c>
      <c r="D5221" s="401" t="s">
        <v>11460</v>
      </c>
      <c r="E5221" s="120">
        <v>100</v>
      </c>
      <c r="F5221" s="133" t="s">
        <v>217</v>
      </c>
      <c r="G5221" s="404" t="s">
        <v>45</v>
      </c>
      <c r="H5221" s="411">
        <v>297.16000000000003</v>
      </c>
      <c r="I5221" s="397">
        <f t="shared" ref="I5221" si="1662">-(H5221*0.15)</f>
        <v>-44.574000000000005</v>
      </c>
      <c r="J5221" s="411">
        <v>0</v>
      </c>
      <c r="K5221" s="90">
        <f t="shared" si="1660"/>
        <v>252.58600000000001</v>
      </c>
      <c r="L5221" s="131">
        <v>1322</v>
      </c>
      <c r="M5221" s="187">
        <v>33.35</v>
      </c>
      <c r="N5221" s="91">
        <f t="shared" si="1635"/>
        <v>165.55</v>
      </c>
      <c r="O5221" s="411">
        <f t="shared" si="1623"/>
        <v>87.036000000000001</v>
      </c>
      <c r="P5221" s="132" t="s">
        <v>86</v>
      </c>
      <c r="Q5221" s="232"/>
      <c r="R5221" s="411"/>
      <c r="T5221" s="134" t="s">
        <v>145</v>
      </c>
      <c r="U5221" s="267" t="s">
        <v>11461</v>
      </c>
      <c r="AA5221" s="218"/>
    </row>
    <row r="5222" spans="1:27" ht="24" x14ac:dyDescent="0.25">
      <c r="A5222" s="405">
        <v>3004107</v>
      </c>
      <c r="B5222" s="406">
        <v>42614</v>
      </c>
      <c r="C5222" s="405" t="s">
        <v>237</v>
      </c>
      <c r="D5222" s="401" t="s">
        <v>11462</v>
      </c>
      <c r="E5222" s="120">
        <v>75</v>
      </c>
      <c r="F5222" s="133" t="s">
        <v>217</v>
      </c>
      <c r="G5222" s="404" t="s">
        <v>45</v>
      </c>
      <c r="H5222" s="411">
        <v>148.49</v>
      </c>
      <c r="I5222" s="397">
        <f t="shared" ref="I5222" si="1663">-(H5222*0.15)</f>
        <v>-22.273500000000002</v>
      </c>
      <c r="J5222" s="411">
        <v>0</v>
      </c>
      <c r="K5222" s="90">
        <f t="shared" si="1660"/>
        <v>126.21650000000001</v>
      </c>
      <c r="L5222" s="131">
        <v>1322</v>
      </c>
      <c r="M5222" s="187">
        <v>20.23</v>
      </c>
      <c r="N5222" s="91">
        <f t="shared" si="1635"/>
        <v>119.38</v>
      </c>
      <c r="O5222" s="411">
        <f t="shared" si="1623"/>
        <v>6.8365000000000151</v>
      </c>
      <c r="P5222" s="132" t="s">
        <v>86</v>
      </c>
      <c r="Q5222" s="232"/>
      <c r="R5222" s="411"/>
      <c r="T5222" s="134" t="s">
        <v>145</v>
      </c>
      <c r="U5222" s="267" t="s">
        <v>11463</v>
      </c>
      <c r="AA5222" s="218"/>
    </row>
    <row r="5223" spans="1:27" ht="24" x14ac:dyDescent="0.25">
      <c r="A5223" s="405">
        <v>3004108</v>
      </c>
      <c r="B5223" s="406">
        <v>42614</v>
      </c>
      <c r="C5223" s="405" t="s">
        <v>237</v>
      </c>
      <c r="D5223" s="401" t="s">
        <v>11464</v>
      </c>
      <c r="E5223" s="120">
        <v>100</v>
      </c>
      <c r="F5223" s="133" t="s">
        <v>288</v>
      </c>
      <c r="G5223" s="404" t="s">
        <v>45</v>
      </c>
      <c r="H5223" s="411">
        <v>193.04</v>
      </c>
      <c r="I5223" s="397">
        <f t="shared" ref="I5223" si="1664">-(H5223*0.15)</f>
        <v>-28.955999999999996</v>
      </c>
      <c r="J5223" s="411">
        <v>0</v>
      </c>
      <c r="K5223" s="90">
        <f t="shared" si="1660"/>
        <v>164.084</v>
      </c>
      <c r="L5223" s="131">
        <v>950</v>
      </c>
      <c r="M5223" s="187">
        <v>36.049999999999997</v>
      </c>
      <c r="N5223" s="91">
        <f t="shared" si="1635"/>
        <v>131.05000000000001</v>
      </c>
      <c r="O5223" s="411">
        <f t="shared" si="1623"/>
        <v>33.033999999999992</v>
      </c>
      <c r="P5223" s="132" t="s">
        <v>86</v>
      </c>
      <c r="Q5223" s="232"/>
      <c r="R5223" s="411"/>
      <c r="T5223" s="134" t="s">
        <v>145</v>
      </c>
      <c r="U5223" s="267" t="s">
        <v>11465</v>
      </c>
      <c r="AA5223" s="218"/>
    </row>
    <row r="5224" spans="1:27" ht="36" x14ac:dyDescent="0.25">
      <c r="A5224" s="405">
        <v>3004109</v>
      </c>
      <c r="B5224" s="406">
        <v>42614</v>
      </c>
      <c r="C5224" s="405" t="s">
        <v>237</v>
      </c>
      <c r="D5224" s="401" t="s">
        <v>11466</v>
      </c>
      <c r="E5224" s="120">
        <v>500</v>
      </c>
      <c r="F5224" s="119" t="s">
        <v>11467</v>
      </c>
      <c r="G5224" s="404" t="s">
        <v>45</v>
      </c>
      <c r="H5224" s="411">
        <v>349</v>
      </c>
      <c r="I5224" s="397">
        <f t="shared" ref="I5224" si="1665">-(H5224*0.15)</f>
        <v>-52.35</v>
      </c>
      <c r="J5224" s="411">
        <v>0</v>
      </c>
      <c r="K5224" s="90">
        <f t="shared" si="1660"/>
        <v>296.64999999999998</v>
      </c>
      <c r="L5224" s="187">
        <v>650</v>
      </c>
      <c r="M5224" s="187">
        <v>100</v>
      </c>
      <c r="N5224" s="91">
        <f t="shared" si="1635"/>
        <v>425</v>
      </c>
      <c r="O5224" s="411">
        <f t="shared" si="1623"/>
        <v>-128.35000000000002</v>
      </c>
      <c r="P5224" s="132" t="s">
        <v>11468</v>
      </c>
      <c r="Q5224" s="232"/>
      <c r="R5224" s="411"/>
      <c r="T5224" s="134" t="s">
        <v>9079</v>
      </c>
      <c r="U5224" s="267" t="s">
        <v>11469</v>
      </c>
      <c r="AA5224" s="218"/>
    </row>
    <row r="5225" spans="1:27" ht="24" x14ac:dyDescent="0.25">
      <c r="A5225" s="405">
        <v>3004110</v>
      </c>
      <c r="B5225" s="406">
        <v>42614</v>
      </c>
      <c r="C5225" s="405" t="s">
        <v>42</v>
      </c>
      <c r="D5225" s="401" t="s">
        <v>11470</v>
      </c>
      <c r="E5225" s="120">
        <v>250</v>
      </c>
      <c r="F5225" s="133" t="s">
        <v>1137</v>
      </c>
      <c r="G5225" s="404" t="s">
        <v>45</v>
      </c>
      <c r="H5225" s="411">
        <v>133</v>
      </c>
      <c r="I5225" s="89">
        <f>-(H5225*0.09)</f>
        <v>-11.969999999999999</v>
      </c>
      <c r="J5225" s="258">
        <f t="shared" ref="J5225" si="1666">-((H5225*0.019)+0.3)</f>
        <v>-2.827</v>
      </c>
      <c r="K5225" s="90">
        <f t="shared" ref="K5225:K5226" si="1667">SUM(H5225:J5225)</f>
        <v>118.203</v>
      </c>
      <c r="L5225" s="131">
        <v>220</v>
      </c>
      <c r="M5225" s="187">
        <f>26.13+5</f>
        <v>31.13</v>
      </c>
      <c r="N5225" s="91">
        <f t="shared" si="1635"/>
        <v>86.13</v>
      </c>
      <c r="O5225" s="411">
        <f t="shared" si="1623"/>
        <v>32.073000000000008</v>
      </c>
      <c r="P5225" s="132" t="s">
        <v>52</v>
      </c>
      <c r="Q5225" s="232"/>
      <c r="R5225" s="411"/>
      <c r="T5225" s="134" t="s">
        <v>145</v>
      </c>
      <c r="U5225" s="267" t="s">
        <v>11471</v>
      </c>
      <c r="AA5225" s="218"/>
    </row>
    <row r="5226" spans="1:27" x14ac:dyDescent="0.25">
      <c r="A5226" s="405">
        <v>3004111</v>
      </c>
      <c r="B5226" s="406">
        <v>42614</v>
      </c>
      <c r="C5226" s="405" t="s">
        <v>56</v>
      </c>
      <c r="D5226" s="401" t="s">
        <v>1718</v>
      </c>
      <c r="E5226" s="120">
        <v>100</v>
      </c>
      <c r="F5226" s="133" t="s">
        <v>590</v>
      </c>
      <c r="G5226" s="404" t="s">
        <v>45</v>
      </c>
      <c r="H5226" s="411">
        <v>130</v>
      </c>
      <c r="I5226" s="411">
        <v>0</v>
      </c>
      <c r="J5226" s="411">
        <v>0</v>
      </c>
      <c r="K5226" s="90">
        <f t="shared" si="1667"/>
        <v>130</v>
      </c>
      <c r="L5226" s="131">
        <v>571.41999999999996</v>
      </c>
      <c r="N5226" s="91">
        <f t="shared" si="1635"/>
        <v>57.141999999999996</v>
      </c>
      <c r="O5226" s="411">
        <f t="shared" si="1623"/>
        <v>72.858000000000004</v>
      </c>
      <c r="P5226" s="132" t="s">
        <v>86</v>
      </c>
      <c r="Q5226" s="232"/>
      <c r="R5226" s="411"/>
      <c r="T5226" s="134" t="s">
        <v>11472</v>
      </c>
      <c r="U5226" s="267" t="s">
        <v>11473</v>
      </c>
      <c r="V5226" s="133" t="s">
        <v>11474</v>
      </c>
      <c r="AA5226" s="218"/>
    </row>
    <row r="5227" spans="1:27" ht="24" x14ac:dyDescent="0.25">
      <c r="A5227" s="405">
        <v>3004112</v>
      </c>
      <c r="B5227" s="406">
        <v>42614</v>
      </c>
      <c r="C5227" s="405" t="s">
        <v>42</v>
      </c>
      <c r="D5227" s="401" t="s">
        <v>11475</v>
      </c>
      <c r="E5227" s="120">
        <v>250</v>
      </c>
      <c r="F5227" s="133" t="s">
        <v>307</v>
      </c>
      <c r="G5227" s="404" t="s">
        <v>45</v>
      </c>
      <c r="H5227" s="411">
        <v>332.6</v>
      </c>
      <c r="I5227" s="89">
        <f>-(H5227*0.09)</f>
        <v>-29.934000000000001</v>
      </c>
      <c r="J5227" s="258">
        <f t="shared" ref="J5227" si="1668">-((H5227*0.019)+0.3)</f>
        <v>-6.6193999999999997</v>
      </c>
      <c r="K5227" s="90">
        <f t="shared" ref="K5227" si="1669">SUM(H5227:J5227)</f>
        <v>296.04660000000001</v>
      </c>
      <c r="L5227" s="131">
        <v>690</v>
      </c>
      <c r="M5227" s="187">
        <f>44.72+5</f>
        <v>49.72</v>
      </c>
      <c r="N5227" s="91">
        <f t="shared" si="1635"/>
        <v>222.22</v>
      </c>
      <c r="O5227" s="411">
        <f t="shared" si="1623"/>
        <v>73.826600000000013</v>
      </c>
      <c r="P5227" s="132" t="s">
        <v>52</v>
      </c>
      <c r="Q5227" s="232"/>
      <c r="R5227" s="411"/>
      <c r="T5227" s="134" t="s">
        <v>145</v>
      </c>
      <c r="U5227" s="267" t="s">
        <v>11476</v>
      </c>
      <c r="AA5227" s="218"/>
    </row>
    <row r="5228" spans="1:27" ht="36" x14ac:dyDescent="0.25">
      <c r="A5228" s="405">
        <v>3004113</v>
      </c>
      <c r="B5228" s="406">
        <v>42614</v>
      </c>
      <c r="C5228" s="405" t="s">
        <v>42</v>
      </c>
      <c r="D5228" s="401" t="s">
        <v>11477</v>
      </c>
      <c r="E5228" s="120">
        <v>300</v>
      </c>
      <c r="F5228" s="133" t="s">
        <v>11199</v>
      </c>
      <c r="G5228" s="404" t="s">
        <v>45</v>
      </c>
      <c r="H5228" s="411">
        <v>1000</v>
      </c>
      <c r="I5228" s="89">
        <f>-(H5228*0.09)</f>
        <v>-90</v>
      </c>
      <c r="J5228" s="258">
        <f t="shared" ref="J5228" si="1670">-((H5228*0.019)+0.3)</f>
        <v>-19.3</v>
      </c>
      <c r="K5228" s="90">
        <f t="shared" ref="K5228" si="1671">SUM(H5228:J5228)</f>
        <v>890.7</v>
      </c>
      <c r="L5228" s="187">
        <v>1680</v>
      </c>
      <c r="M5228" s="187">
        <f>115+65.75</f>
        <v>180.75</v>
      </c>
      <c r="N5228" s="91">
        <f t="shared" si="1635"/>
        <v>684.75</v>
      </c>
      <c r="O5228" s="411">
        <f t="shared" si="1623"/>
        <v>205.95000000000005</v>
      </c>
      <c r="P5228" s="132" t="s">
        <v>183</v>
      </c>
      <c r="Q5228" s="232"/>
      <c r="R5228" s="411"/>
      <c r="T5228" s="134" t="s">
        <v>60</v>
      </c>
      <c r="U5228" s="267" t="s">
        <v>11478</v>
      </c>
      <c r="AA5228" s="218"/>
    </row>
    <row r="5229" spans="1:27" ht="24" x14ac:dyDescent="0.25">
      <c r="A5229" s="405">
        <v>3004113</v>
      </c>
      <c r="B5229" s="406">
        <v>42614</v>
      </c>
      <c r="C5229" s="405" t="s">
        <v>42</v>
      </c>
      <c r="D5229" s="401" t="s">
        <v>11479</v>
      </c>
      <c r="E5229" s="120">
        <v>125</v>
      </c>
      <c r="F5229" s="133" t="s">
        <v>829</v>
      </c>
      <c r="G5229" s="404" t="s">
        <v>45</v>
      </c>
      <c r="H5229" s="411">
        <v>136.82</v>
      </c>
      <c r="I5229" s="89">
        <f>-(H5229*0.09)</f>
        <v>-12.313799999999999</v>
      </c>
      <c r="J5229" s="258">
        <f t="shared" ref="J5229" si="1672">-((H5229*0.019)+0.3)</f>
        <v>-2.8995799999999998</v>
      </c>
      <c r="K5229" s="90">
        <f t="shared" ref="K5229" si="1673">SUM(H5229:J5229)</f>
        <v>121.60661999999999</v>
      </c>
      <c r="L5229" s="131">
        <v>510</v>
      </c>
      <c r="M5229" s="187">
        <v>32.36</v>
      </c>
      <c r="N5229" s="91">
        <f t="shared" si="1635"/>
        <v>96.11</v>
      </c>
      <c r="O5229" s="411">
        <f t="shared" si="1623"/>
        <v>25.496619999999993</v>
      </c>
      <c r="P5229" s="132" t="s">
        <v>52</v>
      </c>
      <c r="Q5229" s="232"/>
      <c r="R5229" s="411"/>
      <c r="T5229" s="134" t="s">
        <v>145</v>
      </c>
      <c r="U5229" s="267" t="s">
        <v>11480</v>
      </c>
      <c r="AA5229" s="218"/>
    </row>
    <row r="5230" spans="1:27" ht="24" x14ac:dyDescent="0.25">
      <c r="A5230" s="405">
        <v>3004114</v>
      </c>
      <c r="B5230" s="406">
        <v>42614</v>
      </c>
      <c r="C5230" s="405" t="s">
        <v>237</v>
      </c>
      <c r="D5230" s="401" t="s">
        <v>11481</v>
      </c>
      <c r="E5230" s="120">
        <v>125</v>
      </c>
      <c r="F5230" s="133" t="s">
        <v>431</v>
      </c>
      <c r="G5230" s="404" t="s">
        <v>45</v>
      </c>
      <c r="H5230" s="411">
        <v>342.99</v>
      </c>
      <c r="I5230" s="397">
        <f t="shared" ref="I5230" si="1674">-(H5230*0.15)</f>
        <v>-51.448500000000003</v>
      </c>
      <c r="J5230" s="411">
        <v>0</v>
      </c>
      <c r="K5230" s="90">
        <f>SUM(H5230:J5230)</f>
        <v>291.54149999999998</v>
      </c>
      <c r="L5230" s="131">
        <v>990</v>
      </c>
      <c r="M5230" s="187">
        <v>31.04</v>
      </c>
      <c r="N5230" s="91">
        <f t="shared" si="1635"/>
        <v>154.79</v>
      </c>
      <c r="O5230" s="411">
        <f t="shared" si="1623"/>
        <v>136.75149999999999</v>
      </c>
      <c r="P5230" s="132" t="s">
        <v>52</v>
      </c>
      <c r="Q5230" s="232"/>
      <c r="R5230" s="411"/>
      <c r="T5230" s="134" t="s">
        <v>145</v>
      </c>
      <c r="U5230" s="267" t="s">
        <v>11482</v>
      </c>
      <c r="AA5230" s="218"/>
    </row>
    <row r="5231" spans="1:27" ht="24" x14ac:dyDescent="0.25">
      <c r="A5231" s="405">
        <v>3004115</v>
      </c>
      <c r="B5231" s="406">
        <v>42614</v>
      </c>
      <c r="C5231" s="405" t="s">
        <v>237</v>
      </c>
      <c r="D5231" s="401" t="s">
        <v>11483</v>
      </c>
      <c r="E5231" s="120">
        <v>500</v>
      </c>
      <c r="F5231" s="133" t="s">
        <v>877</v>
      </c>
      <c r="G5231" s="404" t="s">
        <v>45</v>
      </c>
      <c r="H5231" s="411">
        <v>222.91</v>
      </c>
      <c r="I5231" s="397">
        <f t="shared" ref="I5231" si="1675">-(H5231*0.15)</f>
        <v>-33.436499999999995</v>
      </c>
      <c r="J5231" s="411">
        <v>0</v>
      </c>
      <c r="K5231" s="90">
        <f>SUM(H5231:J5231)</f>
        <v>189.4735</v>
      </c>
      <c r="L5231" s="131">
        <v>174</v>
      </c>
      <c r="M5231" s="187">
        <v>52.62</v>
      </c>
      <c r="N5231" s="91">
        <f t="shared" si="1635"/>
        <v>139.62</v>
      </c>
      <c r="O5231" s="411">
        <f t="shared" si="1623"/>
        <v>49.853499999999997</v>
      </c>
      <c r="P5231" s="132" t="s">
        <v>86</v>
      </c>
      <c r="Q5231" s="232"/>
      <c r="R5231" s="411"/>
      <c r="T5231" s="172" t="s">
        <v>145</v>
      </c>
      <c r="U5231" s="259">
        <v>675157529444</v>
      </c>
      <c r="AA5231" s="218"/>
    </row>
    <row r="5232" spans="1:27" ht="36" x14ac:dyDescent="0.25">
      <c r="A5232" s="405">
        <v>3004116</v>
      </c>
      <c r="B5232" s="406">
        <v>42614</v>
      </c>
      <c r="C5232" s="405" t="s">
        <v>78</v>
      </c>
      <c r="D5232" s="401" t="s">
        <v>11484</v>
      </c>
      <c r="E5232" s="120">
        <v>300</v>
      </c>
      <c r="F5232" s="133" t="s">
        <v>11485</v>
      </c>
      <c r="G5232" s="404" t="s">
        <v>45</v>
      </c>
      <c r="H5232" s="411">
        <v>915</v>
      </c>
      <c r="I5232" s="411">
        <v>0</v>
      </c>
      <c r="J5232" s="258">
        <f t="shared" ref="J5232" si="1676">-((H5232*0.019)+0.3)</f>
        <v>-17.684999999999999</v>
      </c>
      <c r="K5232" s="90">
        <f>SUM(H5232:J5232)</f>
        <v>897.31500000000005</v>
      </c>
      <c r="L5232" s="187">
        <v>1567.3</v>
      </c>
      <c r="N5232" s="91">
        <f t="shared" si="1635"/>
        <v>470.18999999999994</v>
      </c>
      <c r="O5232" s="411">
        <f t="shared" si="1623"/>
        <v>427.12500000000011</v>
      </c>
      <c r="P5232" s="132" t="s">
        <v>46</v>
      </c>
      <c r="Q5232" s="232"/>
      <c r="R5232" s="411"/>
      <c r="T5232" s="134" t="s">
        <v>60</v>
      </c>
      <c r="U5232" s="267" t="s">
        <v>11486</v>
      </c>
      <c r="V5232" s="133" t="s">
        <v>11487</v>
      </c>
      <c r="W5232" s="153" t="s">
        <v>11488</v>
      </c>
      <c r="AA5232" s="218"/>
    </row>
    <row r="5233" spans="1:27" ht="24" x14ac:dyDescent="0.25">
      <c r="A5233" s="419">
        <v>3004117</v>
      </c>
      <c r="B5233" s="421">
        <v>42614</v>
      </c>
      <c r="C5233" s="419" t="s">
        <v>56</v>
      </c>
      <c r="D5233" s="417" t="s">
        <v>11489</v>
      </c>
      <c r="E5233" s="120">
        <v>1000</v>
      </c>
      <c r="F5233" s="133" t="s">
        <v>4440</v>
      </c>
      <c r="G5233" s="434" t="s">
        <v>45</v>
      </c>
      <c r="H5233" s="427">
        <v>1605</v>
      </c>
      <c r="I5233" s="427">
        <v>0</v>
      </c>
      <c r="J5233" s="427">
        <v>0</v>
      </c>
      <c r="K5233" s="425">
        <f>SUM(H5233:J5233)</f>
        <v>1605</v>
      </c>
      <c r="L5233" s="187">
        <v>143</v>
      </c>
      <c r="N5233" s="91">
        <f t="shared" si="1635"/>
        <v>143</v>
      </c>
      <c r="O5233" s="411">
        <f t="shared" si="1623"/>
        <v>1462</v>
      </c>
      <c r="P5233" s="132" t="s">
        <v>2168</v>
      </c>
      <c r="Q5233" s="232"/>
      <c r="R5233" s="411"/>
      <c r="T5233" s="439" t="s">
        <v>204</v>
      </c>
      <c r="U5233" s="267" t="s">
        <v>11490</v>
      </c>
      <c r="V5233" s="133" t="s">
        <v>10949</v>
      </c>
      <c r="W5233" s="153" t="s">
        <v>2170</v>
      </c>
      <c r="AA5233" s="218"/>
    </row>
    <row r="5234" spans="1:27" ht="24" x14ac:dyDescent="0.25">
      <c r="A5234" s="432"/>
      <c r="B5234" s="433"/>
      <c r="C5234" s="432"/>
      <c r="D5234" s="454"/>
      <c r="E5234" s="120">
        <v>1000</v>
      </c>
      <c r="F5234" s="133" t="s">
        <v>6191</v>
      </c>
      <c r="G5234" s="435"/>
      <c r="H5234" s="438"/>
      <c r="I5234" s="438"/>
      <c r="J5234" s="438"/>
      <c r="K5234" s="437"/>
      <c r="L5234" s="187">
        <v>143</v>
      </c>
      <c r="N5234" s="91">
        <f t="shared" si="1635"/>
        <v>143</v>
      </c>
      <c r="O5234" s="411">
        <f t="shared" si="1623"/>
        <v>-143</v>
      </c>
      <c r="P5234" s="132" t="s">
        <v>2168</v>
      </c>
      <c r="Q5234" s="232"/>
      <c r="R5234" s="411"/>
      <c r="T5234" s="441"/>
      <c r="U5234" s="267" t="s">
        <v>11491</v>
      </c>
      <c r="AA5234" s="218"/>
    </row>
    <row r="5235" spans="1:27" x14ac:dyDescent="0.25">
      <c r="A5235" s="420"/>
      <c r="B5235" s="422"/>
      <c r="C5235" s="420"/>
      <c r="D5235" s="418"/>
      <c r="E5235" s="120">
        <v>1500</v>
      </c>
      <c r="F5235" s="133" t="s">
        <v>11492</v>
      </c>
      <c r="G5235" s="436"/>
      <c r="H5235" s="428"/>
      <c r="I5235" s="428"/>
      <c r="J5235" s="428"/>
      <c r="K5235" s="426"/>
      <c r="L5235" s="187">
        <v>170</v>
      </c>
      <c r="M5235" s="131">
        <v>0</v>
      </c>
      <c r="N5235" s="91">
        <f t="shared" si="1635"/>
        <v>255</v>
      </c>
      <c r="O5235" s="411">
        <f t="shared" si="1623"/>
        <v>-255</v>
      </c>
      <c r="P5235" s="132" t="s">
        <v>11468</v>
      </c>
      <c r="Q5235" s="232"/>
      <c r="R5235" s="411"/>
      <c r="T5235" s="134" t="s">
        <v>755</v>
      </c>
      <c r="U5235" s="266"/>
      <c r="V5235" s="133" t="s">
        <v>11493</v>
      </c>
      <c r="AA5235" s="218"/>
    </row>
    <row r="5236" spans="1:27" ht="24" x14ac:dyDescent="0.25">
      <c r="A5236" s="405">
        <v>3004118</v>
      </c>
      <c r="B5236" s="406">
        <v>42614</v>
      </c>
      <c r="C5236" s="405" t="s">
        <v>237</v>
      </c>
      <c r="D5236" s="401" t="s">
        <v>11494</v>
      </c>
      <c r="E5236" s="120">
        <v>225</v>
      </c>
      <c r="F5236" s="133" t="s">
        <v>829</v>
      </c>
      <c r="G5236" s="404" t="s">
        <v>45</v>
      </c>
      <c r="H5236" s="411">
        <v>149.29</v>
      </c>
      <c r="I5236" s="397">
        <f t="shared" ref="I5236" si="1677">-(H5236*0.15)</f>
        <v>-22.3935</v>
      </c>
      <c r="J5236" s="411">
        <v>0</v>
      </c>
      <c r="K5236" s="90">
        <f>SUM(H5236:J5236)</f>
        <v>126.89649999999999</v>
      </c>
      <c r="L5236" s="131">
        <v>510</v>
      </c>
      <c r="M5236" s="187">
        <v>37</v>
      </c>
      <c r="N5236" s="91">
        <f t="shared" si="1635"/>
        <v>151.75</v>
      </c>
      <c r="O5236" s="411">
        <f t="shared" si="1623"/>
        <v>-24.853500000000011</v>
      </c>
      <c r="P5236" s="132" t="s">
        <v>52</v>
      </c>
      <c r="Q5236" s="232"/>
      <c r="R5236" s="411"/>
      <c r="T5236" s="134" t="s">
        <v>145</v>
      </c>
      <c r="U5236" s="267" t="s">
        <v>11495</v>
      </c>
      <c r="AA5236" s="218"/>
    </row>
    <row r="5237" spans="1:27" x14ac:dyDescent="0.25">
      <c r="A5237" s="419">
        <v>3004119</v>
      </c>
      <c r="B5237" s="421">
        <v>42614</v>
      </c>
      <c r="C5237" s="419" t="s">
        <v>56</v>
      </c>
      <c r="D5237" s="417" t="s">
        <v>11496</v>
      </c>
      <c r="E5237" s="120">
        <v>1000</v>
      </c>
      <c r="F5237" s="133" t="s">
        <v>85</v>
      </c>
      <c r="G5237" s="434" t="s">
        <v>45</v>
      </c>
      <c r="H5237" s="427">
        <v>2000</v>
      </c>
      <c r="I5237" s="427">
        <v>0</v>
      </c>
      <c r="J5237" s="427">
        <v>0</v>
      </c>
      <c r="K5237" s="425">
        <f>SUM(H5237:J5237)</f>
        <v>2000</v>
      </c>
      <c r="L5237" s="131">
        <v>1296</v>
      </c>
      <c r="M5237" s="468">
        <v>188.4</v>
      </c>
      <c r="N5237" s="91">
        <f t="shared" si="1635"/>
        <v>1484.4</v>
      </c>
      <c r="O5237" s="411">
        <f t="shared" si="1623"/>
        <v>515.59999999999991</v>
      </c>
      <c r="P5237" s="132" t="s">
        <v>52</v>
      </c>
      <c r="Q5237" s="232"/>
      <c r="R5237" s="411"/>
      <c r="T5237" s="439" t="s">
        <v>11497</v>
      </c>
      <c r="U5237" s="446" t="s">
        <v>11498</v>
      </c>
      <c r="V5237" s="133" t="s">
        <v>8588</v>
      </c>
      <c r="W5237" s="153" t="s">
        <v>11499</v>
      </c>
      <c r="AA5237" s="218"/>
    </row>
    <row r="5238" spans="1:27" x14ac:dyDescent="0.25">
      <c r="A5238" s="420"/>
      <c r="B5238" s="422"/>
      <c r="C5238" s="420"/>
      <c r="D5238" s="418"/>
      <c r="E5238" s="120">
        <v>1000</v>
      </c>
      <c r="F5238" s="133" t="s">
        <v>954</v>
      </c>
      <c r="G5238" s="436"/>
      <c r="H5238" s="428"/>
      <c r="I5238" s="428"/>
      <c r="J5238" s="428"/>
      <c r="K5238" s="426"/>
      <c r="M5238" s="469"/>
      <c r="N5238" s="91">
        <f t="shared" si="1635"/>
        <v>0</v>
      </c>
      <c r="O5238" s="411">
        <f t="shared" si="1623"/>
        <v>0</v>
      </c>
      <c r="P5238" s="132" t="s">
        <v>52</v>
      </c>
      <c r="Q5238" s="232"/>
      <c r="R5238" s="411"/>
      <c r="T5238" s="441"/>
      <c r="U5238" s="447"/>
      <c r="AA5238" s="218"/>
    </row>
    <row r="5239" spans="1:27" x14ac:dyDescent="0.25">
      <c r="A5239" s="419">
        <v>3004120</v>
      </c>
      <c r="B5239" s="421">
        <v>42614</v>
      </c>
      <c r="C5239" s="419" t="s">
        <v>237</v>
      </c>
      <c r="D5239" s="417" t="s">
        <v>11500</v>
      </c>
      <c r="E5239" s="120">
        <v>25</v>
      </c>
      <c r="F5239" s="133" t="s">
        <v>3719</v>
      </c>
      <c r="G5239" s="434" t="s">
        <v>45</v>
      </c>
      <c r="H5239" s="427">
        <v>100</v>
      </c>
      <c r="I5239" s="452">
        <f t="shared" ref="I5239" si="1678">-(H5239*0.15)</f>
        <v>-15</v>
      </c>
      <c r="J5239" s="427">
        <v>0</v>
      </c>
      <c r="K5239" s="425">
        <f>SUM(H5239:J5239)</f>
        <v>85</v>
      </c>
      <c r="L5239" s="187">
        <v>1150</v>
      </c>
      <c r="M5239" s="187">
        <v>18.78</v>
      </c>
      <c r="N5239" s="91">
        <f t="shared" si="1635"/>
        <v>47.53</v>
      </c>
      <c r="O5239" s="411">
        <f t="shared" si="1623"/>
        <v>37.47</v>
      </c>
      <c r="P5239" s="132" t="s">
        <v>601</v>
      </c>
      <c r="Q5239" s="232"/>
      <c r="R5239" s="411"/>
      <c r="T5239" s="439" t="s">
        <v>145</v>
      </c>
      <c r="U5239" s="446" t="s">
        <v>11501</v>
      </c>
      <c r="AA5239" s="218"/>
    </row>
    <row r="5240" spans="1:27" x14ac:dyDescent="0.25">
      <c r="A5240" s="420"/>
      <c r="B5240" s="422"/>
      <c r="C5240" s="420"/>
      <c r="D5240" s="418"/>
      <c r="E5240" s="120">
        <v>25</v>
      </c>
      <c r="F5240" s="133" t="s">
        <v>3307</v>
      </c>
      <c r="G5240" s="436"/>
      <c r="H5240" s="428"/>
      <c r="I5240" s="453"/>
      <c r="J5240" s="428"/>
      <c r="K5240" s="426"/>
      <c r="L5240" s="187">
        <v>1150</v>
      </c>
      <c r="N5240" s="91">
        <f t="shared" si="1635"/>
        <v>28.75</v>
      </c>
      <c r="O5240" s="411">
        <f t="shared" si="1623"/>
        <v>-28.75</v>
      </c>
      <c r="P5240" s="132" t="s">
        <v>601</v>
      </c>
      <c r="Q5240" s="232"/>
      <c r="R5240" s="411"/>
      <c r="T5240" s="441"/>
      <c r="U5240" s="447"/>
      <c r="AA5240" s="218"/>
    </row>
    <row r="5241" spans="1:27" ht="24" x14ac:dyDescent="0.25">
      <c r="A5241" s="405">
        <v>3004121</v>
      </c>
      <c r="B5241" s="406">
        <v>42614</v>
      </c>
      <c r="C5241" s="405" t="s">
        <v>327</v>
      </c>
      <c r="D5241" s="401" t="s">
        <v>9814</v>
      </c>
      <c r="E5241" s="120">
        <v>30</v>
      </c>
      <c r="F5241" s="133" t="s">
        <v>9637</v>
      </c>
      <c r="G5241" s="404" t="s">
        <v>45</v>
      </c>
      <c r="H5241" s="411">
        <v>180</v>
      </c>
      <c r="I5241" s="411">
        <v>0</v>
      </c>
      <c r="J5241" s="258">
        <f>-((H5241*0.022)+0.3)</f>
        <v>-4.26</v>
      </c>
      <c r="K5241" s="90">
        <f>SUM(H5241:J5241)</f>
        <v>175.74</v>
      </c>
      <c r="L5241" s="187">
        <v>2000</v>
      </c>
      <c r="M5241" s="187">
        <v>22.33</v>
      </c>
      <c r="N5241" s="91">
        <f t="shared" si="1635"/>
        <v>82.33</v>
      </c>
      <c r="O5241" s="411">
        <f t="shared" si="1623"/>
        <v>93.410000000000011</v>
      </c>
      <c r="P5241" s="132" t="s">
        <v>183</v>
      </c>
      <c r="Q5241" s="232"/>
      <c r="R5241" s="411"/>
      <c r="T5241" s="134" t="s">
        <v>145</v>
      </c>
      <c r="U5241" s="267" t="s">
        <v>11502</v>
      </c>
      <c r="W5241" s="153" t="s">
        <v>9816</v>
      </c>
      <c r="AA5241" s="218"/>
    </row>
    <row r="5242" spans="1:27" x14ac:dyDescent="0.25">
      <c r="A5242" s="419">
        <v>3004122</v>
      </c>
      <c r="B5242" s="421">
        <v>42614</v>
      </c>
      <c r="C5242" s="419" t="s">
        <v>56</v>
      </c>
      <c r="D5242" s="417" t="s">
        <v>1192</v>
      </c>
      <c r="E5242" s="120">
        <v>2500</v>
      </c>
      <c r="F5242" s="133" t="s">
        <v>11503</v>
      </c>
      <c r="G5242" s="434" t="s">
        <v>45</v>
      </c>
      <c r="H5242" s="427">
        <v>6000</v>
      </c>
      <c r="I5242" s="427">
        <v>0</v>
      </c>
      <c r="J5242" s="427">
        <v>0</v>
      </c>
      <c r="K5242" s="425">
        <f>SUM(H5242:J5242)</f>
        <v>6000</v>
      </c>
      <c r="L5242" s="187">
        <v>805</v>
      </c>
      <c r="M5242" s="131">
        <v>0</v>
      </c>
      <c r="N5242" s="91">
        <f t="shared" si="1635"/>
        <v>2012.5</v>
      </c>
      <c r="O5242" s="411">
        <f t="shared" si="1623"/>
        <v>3987.5</v>
      </c>
      <c r="P5242" s="132" t="s">
        <v>46</v>
      </c>
      <c r="Q5242" s="232"/>
      <c r="R5242" s="411"/>
      <c r="T5242" s="439" t="s">
        <v>2652</v>
      </c>
      <c r="U5242" s="446" t="s">
        <v>11504</v>
      </c>
      <c r="V5242" s="133" t="s">
        <v>11223</v>
      </c>
      <c r="W5242" s="153" t="s">
        <v>2090</v>
      </c>
      <c r="AA5242" s="218"/>
    </row>
    <row r="5243" spans="1:27" x14ac:dyDescent="0.25">
      <c r="A5243" s="420"/>
      <c r="B5243" s="422"/>
      <c r="C5243" s="420"/>
      <c r="D5243" s="418"/>
      <c r="E5243" s="120">
        <v>3500</v>
      </c>
      <c r="F5243" s="133" t="s">
        <v>11505</v>
      </c>
      <c r="G5243" s="436"/>
      <c r="H5243" s="428"/>
      <c r="I5243" s="428"/>
      <c r="J5243" s="428"/>
      <c r="K5243" s="426"/>
      <c r="L5243" s="187">
        <v>467</v>
      </c>
      <c r="N5243" s="91">
        <f t="shared" si="1635"/>
        <v>1634.5</v>
      </c>
      <c r="O5243" s="411">
        <f t="shared" si="1623"/>
        <v>-1634.5</v>
      </c>
      <c r="P5243" s="132" t="s">
        <v>46</v>
      </c>
      <c r="Q5243" s="232"/>
      <c r="R5243" s="411"/>
      <c r="T5243" s="441"/>
      <c r="U5243" s="447"/>
      <c r="AA5243" s="218"/>
    </row>
    <row r="5244" spans="1:27" ht="36" x14ac:dyDescent="0.25">
      <c r="A5244" s="405">
        <v>3004123</v>
      </c>
      <c r="B5244" s="406">
        <v>42614</v>
      </c>
      <c r="C5244" s="405" t="s">
        <v>237</v>
      </c>
      <c r="D5244" s="401" t="s">
        <v>11506</v>
      </c>
      <c r="E5244" s="120">
        <v>2000</v>
      </c>
      <c r="F5244" s="119" t="s">
        <v>11507</v>
      </c>
      <c r="G5244" s="404" t="s">
        <v>45</v>
      </c>
      <c r="H5244" s="411">
        <v>235.7</v>
      </c>
      <c r="I5244" s="397">
        <f t="shared" ref="I5244" si="1679">-(H5244*0.15)</f>
        <v>-35.354999999999997</v>
      </c>
      <c r="J5244" s="411">
        <v>0</v>
      </c>
      <c r="K5244" s="90">
        <f>SUM(H5244:J5244)</f>
        <v>200.345</v>
      </c>
      <c r="L5244" s="187">
        <v>90</v>
      </c>
      <c r="M5244" s="187">
        <v>51.68</v>
      </c>
      <c r="N5244" s="91">
        <f t="shared" si="1635"/>
        <v>231.68</v>
      </c>
      <c r="O5244" s="411">
        <f t="shared" si="1623"/>
        <v>-31.335000000000008</v>
      </c>
      <c r="P5244" s="132" t="s">
        <v>183</v>
      </c>
      <c r="Q5244" s="232"/>
      <c r="R5244" s="411"/>
      <c r="T5244" s="172" t="s">
        <v>145</v>
      </c>
      <c r="U5244" s="259" t="s">
        <v>11508</v>
      </c>
      <c r="AA5244" s="218"/>
    </row>
    <row r="5245" spans="1:27" ht="24" x14ac:dyDescent="0.25">
      <c r="A5245" s="405">
        <v>3004124</v>
      </c>
      <c r="B5245" s="406">
        <v>42614</v>
      </c>
      <c r="C5245" s="405" t="s">
        <v>237</v>
      </c>
      <c r="D5245" s="401" t="s">
        <v>11509</v>
      </c>
      <c r="E5245" s="120">
        <v>300</v>
      </c>
      <c r="F5245" s="133" t="s">
        <v>288</v>
      </c>
      <c r="G5245" s="404" t="s">
        <v>45</v>
      </c>
      <c r="H5245" s="411">
        <v>654.38</v>
      </c>
      <c r="I5245" s="397">
        <f t="shared" ref="I5245" si="1680">-(H5245*0.15)</f>
        <v>-98.156999999999996</v>
      </c>
      <c r="J5245" s="411">
        <v>0</v>
      </c>
      <c r="K5245" s="90">
        <f>SUM(H5245:J5245)</f>
        <v>556.22299999999996</v>
      </c>
      <c r="L5245" s="131">
        <v>950</v>
      </c>
      <c r="M5245" s="187">
        <v>62.8</v>
      </c>
      <c r="N5245" s="91">
        <f t="shared" si="1635"/>
        <v>347.8</v>
      </c>
      <c r="O5245" s="411">
        <f t="shared" si="1623"/>
        <v>208.42299999999994</v>
      </c>
      <c r="P5245" s="132" t="s">
        <v>52</v>
      </c>
      <c r="Q5245" s="232"/>
      <c r="R5245" s="411"/>
      <c r="T5245" s="134" t="s">
        <v>145</v>
      </c>
      <c r="U5245" s="267" t="s">
        <v>11510</v>
      </c>
      <c r="AA5245" s="218"/>
    </row>
    <row r="5246" spans="1:27" ht="24" x14ac:dyDescent="0.25">
      <c r="A5246" s="405">
        <v>3004125</v>
      </c>
      <c r="B5246" s="406">
        <v>42615</v>
      </c>
      <c r="C5246" s="405" t="s">
        <v>42</v>
      </c>
      <c r="D5246" s="401" t="s">
        <v>11511</v>
      </c>
      <c r="E5246" s="120">
        <v>125</v>
      </c>
      <c r="F5246" s="133" t="s">
        <v>198</v>
      </c>
      <c r="G5246" s="404" t="s">
        <v>45</v>
      </c>
      <c r="H5246" s="411">
        <v>346.47</v>
      </c>
      <c r="I5246" s="89">
        <f t="shared" ref="I5246:I5254" si="1681">-(H5246*0.09)</f>
        <v>-31.182300000000001</v>
      </c>
      <c r="J5246" s="258">
        <f t="shared" ref="J5246" si="1682">-((H5246*0.019)+0.3)</f>
        <v>-6.88293</v>
      </c>
      <c r="K5246" s="90">
        <f t="shared" ref="K5246" si="1683">SUM(H5246:J5246)</f>
        <v>308.40477000000004</v>
      </c>
      <c r="L5246" s="131">
        <v>1693</v>
      </c>
      <c r="M5246" s="187">
        <v>71.260000000000005</v>
      </c>
      <c r="N5246" s="91">
        <f t="shared" si="1635"/>
        <v>282.88499999999999</v>
      </c>
      <c r="O5246" s="411">
        <f t="shared" si="1623"/>
        <v>25.519770000000051</v>
      </c>
      <c r="P5246" s="132" t="s">
        <v>52</v>
      </c>
      <c r="Q5246" s="232"/>
      <c r="R5246" s="411"/>
      <c r="T5246" s="134" t="s">
        <v>145</v>
      </c>
      <c r="U5246" s="267" t="s">
        <v>11512</v>
      </c>
      <c r="AA5246" s="218"/>
    </row>
    <row r="5247" spans="1:27" ht="24" x14ac:dyDescent="0.25">
      <c r="A5247" s="405">
        <v>3004126</v>
      </c>
      <c r="B5247" s="406">
        <v>42615</v>
      </c>
      <c r="C5247" s="405" t="s">
        <v>42</v>
      </c>
      <c r="D5247" s="401" t="s">
        <v>2578</v>
      </c>
      <c r="E5247" s="120">
        <v>100</v>
      </c>
      <c r="F5247" s="133" t="s">
        <v>165</v>
      </c>
      <c r="G5247" s="404" t="s">
        <v>45</v>
      </c>
      <c r="H5247" s="411">
        <v>100.78</v>
      </c>
      <c r="I5247" s="89">
        <f t="shared" si="1681"/>
        <v>-9.0701999999999998</v>
      </c>
      <c r="J5247" s="258">
        <f t="shared" ref="J5247" si="1684">-((H5247*0.019)+0.3)</f>
        <v>-2.21482</v>
      </c>
      <c r="K5247" s="90">
        <f t="shared" ref="K5247" si="1685">SUM(H5247:J5247)</f>
        <v>89.494979999999998</v>
      </c>
      <c r="L5247" s="131">
        <v>375</v>
      </c>
      <c r="M5247" s="187">
        <v>29.13</v>
      </c>
      <c r="N5247" s="91">
        <f t="shared" si="1635"/>
        <v>66.63</v>
      </c>
      <c r="O5247" s="411">
        <f t="shared" si="1623"/>
        <v>22.864980000000003</v>
      </c>
      <c r="P5247" s="132" t="s">
        <v>52</v>
      </c>
      <c r="Q5247" s="232"/>
      <c r="R5247" s="411"/>
      <c r="T5247" s="134" t="s">
        <v>145</v>
      </c>
      <c r="U5247" s="267" t="s">
        <v>11513</v>
      </c>
      <c r="AA5247" s="218"/>
    </row>
    <row r="5248" spans="1:27" ht="24" x14ac:dyDescent="0.25">
      <c r="A5248" s="405">
        <v>3004127</v>
      </c>
      <c r="B5248" s="406">
        <v>42615</v>
      </c>
      <c r="C5248" s="405" t="s">
        <v>42</v>
      </c>
      <c r="D5248" s="401" t="s">
        <v>11514</v>
      </c>
      <c r="E5248" s="120">
        <v>200</v>
      </c>
      <c r="F5248" s="133" t="s">
        <v>182</v>
      </c>
      <c r="G5248" s="404" t="s">
        <v>45</v>
      </c>
      <c r="H5248" s="411">
        <v>390.45</v>
      </c>
      <c r="I5248" s="89">
        <f t="shared" si="1681"/>
        <v>-35.140499999999996</v>
      </c>
      <c r="J5248" s="258">
        <f t="shared" ref="J5248" si="1686">-((H5248*0.019)+0.3)</f>
        <v>-7.7185499999999996</v>
      </c>
      <c r="K5248" s="90">
        <f t="shared" ref="K5248" si="1687">SUM(H5248:J5248)</f>
        <v>347.59095000000002</v>
      </c>
      <c r="L5248" s="131">
        <v>1060</v>
      </c>
      <c r="M5248" s="187">
        <v>65.19</v>
      </c>
      <c r="N5248" s="91">
        <f t="shared" si="1635"/>
        <v>277.19</v>
      </c>
      <c r="O5248" s="411">
        <f t="shared" si="1623"/>
        <v>70.400950000000023</v>
      </c>
      <c r="P5248" s="132" t="s">
        <v>52</v>
      </c>
      <c r="Q5248" s="232"/>
      <c r="R5248" s="411"/>
      <c r="T5248" s="134" t="s">
        <v>145</v>
      </c>
      <c r="U5248" s="267" t="s">
        <v>11515</v>
      </c>
      <c r="AA5248" s="218"/>
    </row>
    <row r="5249" spans="1:27" ht="24" x14ac:dyDescent="0.25">
      <c r="A5249" s="405">
        <v>3004128</v>
      </c>
      <c r="B5249" s="406">
        <v>42615</v>
      </c>
      <c r="C5249" s="405" t="s">
        <v>42</v>
      </c>
      <c r="D5249" s="401" t="s">
        <v>11516</v>
      </c>
      <c r="E5249" s="120">
        <v>250</v>
      </c>
      <c r="F5249" s="133" t="s">
        <v>590</v>
      </c>
      <c r="G5249" s="404" t="s">
        <v>45</v>
      </c>
      <c r="H5249" s="411">
        <v>263.99</v>
      </c>
      <c r="I5249" s="89">
        <f t="shared" si="1681"/>
        <v>-23.7591</v>
      </c>
      <c r="J5249" s="258">
        <f t="shared" ref="J5249" si="1688">-((H5249*0.019)+0.3)</f>
        <v>-5.3158099999999999</v>
      </c>
      <c r="K5249" s="90">
        <f t="shared" ref="K5249" si="1689">SUM(H5249:J5249)</f>
        <v>234.91509000000002</v>
      </c>
      <c r="L5249" s="131">
        <v>577</v>
      </c>
      <c r="M5249" s="187">
        <v>36.33</v>
      </c>
      <c r="N5249" s="91">
        <f t="shared" si="1635"/>
        <v>180.57999999999998</v>
      </c>
      <c r="O5249" s="411">
        <f t="shared" si="1623"/>
        <v>54.335090000000037</v>
      </c>
      <c r="P5249" s="132" t="s">
        <v>52</v>
      </c>
      <c r="Q5249" s="232"/>
      <c r="R5249" s="411"/>
      <c r="T5249" s="134" t="s">
        <v>145</v>
      </c>
      <c r="U5249" s="267" t="s">
        <v>11517</v>
      </c>
      <c r="AA5249" s="218"/>
    </row>
    <row r="5250" spans="1:27" ht="24" x14ac:dyDescent="0.25">
      <c r="A5250" s="405">
        <v>3004129</v>
      </c>
      <c r="B5250" s="406">
        <v>42615</v>
      </c>
      <c r="C5250" s="405" t="s">
        <v>42</v>
      </c>
      <c r="D5250" s="401" t="s">
        <v>11518</v>
      </c>
      <c r="E5250" s="120">
        <v>150</v>
      </c>
      <c r="F5250" s="133" t="s">
        <v>247</v>
      </c>
      <c r="G5250" s="404" t="s">
        <v>45</v>
      </c>
      <c r="H5250" s="411">
        <v>185.9</v>
      </c>
      <c r="I5250" s="89">
        <f t="shared" si="1681"/>
        <v>-16.731000000000002</v>
      </c>
      <c r="J5250" s="258">
        <f t="shared" ref="J5250" si="1690">-((H5250*0.019)+0.3)</f>
        <v>-3.8321000000000001</v>
      </c>
      <c r="K5250" s="90">
        <f t="shared" ref="K5250" si="1691">SUM(H5250:J5250)</f>
        <v>165.33690000000001</v>
      </c>
      <c r="L5250" s="131">
        <v>480</v>
      </c>
      <c r="M5250" s="187">
        <v>37.42</v>
      </c>
      <c r="N5250" s="91">
        <f t="shared" si="1635"/>
        <v>109.42</v>
      </c>
      <c r="O5250" s="411">
        <f t="shared" si="1623"/>
        <v>55.916900000000012</v>
      </c>
      <c r="P5250" s="132" t="s">
        <v>52</v>
      </c>
      <c r="Q5250" s="232"/>
      <c r="R5250" s="411"/>
      <c r="T5250" s="134" t="s">
        <v>145</v>
      </c>
      <c r="U5250" s="267" t="s">
        <v>11519</v>
      </c>
      <c r="AA5250" s="218"/>
    </row>
    <row r="5251" spans="1:27" ht="24" x14ac:dyDescent="0.25">
      <c r="A5251" s="405">
        <v>3004130</v>
      </c>
      <c r="B5251" s="406">
        <v>42615</v>
      </c>
      <c r="C5251" s="405" t="s">
        <v>237</v>
      </c>
      <c r="D5251" s="401" t="s">
        <v>11520</v>
      </c>
      <c r="E5251" s="120">
        <v>100</v>
      </c>
      <c r="F5251" s="133" t="s">
        <v>2199</v>
      </c>
      <c r="G5251" s="404" t="s">
        <v>45</v>
      </c>
      <c r="H5251" s="411">
        <v>180.18</v>
      </c>
      <c r="I5251" s="89">
        <f t="shared" si="1681"/>
        <v>-16.216200000000001</v>
      </c>
      <c r="J5251" s="258">
        <f t="shared" ref="J5251" si="1692">-((H5251*0.019)+0.3)</f>
        <v>-3.72342</v>
      </c>
      <c r="K5251" s="90">
        <f t="shared" ref="K5251" si="1693">SUM(H5251:J5251)</f>
        <v>160.24037999999999</v>
      </c>
      <c r="L5251" s="187">
        <v>1150</v>
      </c>
      <c r="M5251" s="187">
        <v>19.98</v>
      </c>
      <c r="N5251" s="91">
        <f t="shared" si="1635"/>
        <v>134.97999999999999</v>
      </c>
      <c r="O5251" s="411">
        <f t="shared" si="1623"/>
        <v>25.260379999999998</v>
      </c>
      <c r="P5251" s="132" t="s">
        <v>601</v>
      </c>
      <c r="Q5251" s="232"/>
      <c r="R5251" s="411"/>
      <c r="T5251" s="134" t="s">
        <v>145</v>
      </c>
      <c r="U5251" s="267" t="s">
        <v>11521</v>
      </c>
      <c r="AA5251" s="218"/>
    </row>
    <row r="5252" spans="1:27" ht="24" x14ac:dyDescent="0.25">
      <c r="A5252" s="405">
        <v>3004131</v>
      </c>
      <c r="B5252" s="406">
        <v>42615</v>
      </c>
      <c r="C5252" s="405" t="s">
        <v>237</v>
      </c>
      <c r="D5252" s="401" t="s">
        <v>11522</v>
      </c>
      <c r="E5252" s="120">
        <v>50</v>
      </c>
      <c r="F5252" s="133" t="s">
        <v>217</v>
      </c>
      <c r="G5252" s="404" t="s">
        <v>45</v>
      </c>
      <c r="H5252" s="411">
        <v>126.97</v>
      </c>
      <c r="I5252" s="89">
        <f t="shared" si="1681"/>
        <v>-11.427299999999999</v>
      </c>
      <c r="J5252" s="258">
        <f t="shared" ref="J5252" si="1694">-((H5252*0.019)+0.3)</f>
        <v>-2.7124299999999999</v>
      </c>
      <c r="K5252" s="90">
        <f t="shared" ref="K5252" si="1695">SUM(H5252:J5252)</f>
        <v>112.83027</v>
      </c>
      <c r="L5252" s="131">
        <v>1322</v>
      </c>
      <c r="M5252" s="187">
        <v>28.74</v>
      </c>
      <c r="N5252" s="91">
        <f t="shared" si="1635"/>
        <v>94.84</v>
      </c>
      <c r="O5252" s="411">
        <f t="shared" ref="O5252:O5315" si="1696">K5252-N5252</f>
        <v>17.990269999999995</v>
      </c>
      <c r="P5252" s="132" t="s">
        <v>52</v>
      </c>
      <c r="Q5252" s="232"/>
      <c r="R5252" s="411"/>
      <c r="T5252" s="134" t="s">
        <v>145</v>
      </c>
      <c r="U5252" s="267" t="s">
        <v>11523</v>
      </c>
      <c r="AA5252" s="218"/>
    </row>
    <row r="5253" spans="1:27" ht="24" x14ac:dyDescent="0.25">
      <c r="A5253" s="405">
        <v>3004132</v>
      </c>
      <c r="B5253" s="406">
        <v>42615</v>
      </c>
      <c r="C5253" s="405" t="s">
        <v>237</v>
      </c>
      <c r="D5253" s="401" t="s">
        <v>11524</v>
      </c>
      <c r="E5253" s="120">
        <v>75</v>
      </c>
      <c r="F5253" s="133" t="s">
        <v>341</v>
      </c>
      <c r="G5253" s="404" t="s">
        <v>45</v>
      </c>
      <c r="H5253" s="411">
        <v>126.71</v>
      </c>
      <c r="I5253" s="89">
        <f t="shared" si="1681"/>
        <v>-11.403899999999998</v>
      </c>
      <c r="J5253" s="258">
        <f t="shared" ref="J5253" si="1697">-((H5253*0.019)+0.3)</f>
        <v>-2.7074899999999995</v>
      </c>
      <c r="K5253" s="90">
        <f t="shared" ref="K5253" si="1698">SUM(H5253:J5253)</f>
        <v>112.59861000000001</v>
      </c>
      <c r="L5253" s="131">
        <v>698</v>
      </c>
      <c r="M5253" s="187">
        <v>26.67</v>
      </c>
      <c r="N5253" s="91">
        <f t="shared" si="1635"/>
        <v>79.02000000000001</v>
      </c>
      <c r="O5253" s="411">
        <f t="shared" si="1696"/>
        <v>33.578609999999998</v>
      </c>
      <c r="P5253" s="132" t="s">
        <v>52</v>
      </c>
      <c r="Q5253" s="232"/>
      <c r="R5253" s="411"/>
      <c r="T5253" s="134" t="s">
        <v>145</v>
      </c>
      <c r="U5253" s="267" t="s">
        <v>11525</v>
      </c>
      <c r="AA5253" s="218"/>
    </row>
    <row r="5254" spans="1:27" ht="24" x14ac:dyDescent="0.25">
      <c r="A5254" s="405">
        <v>3004133</v>
      </c>
      <c r="B5254" s="406">
        <v>42615</v>
      </c>
      <c r="C5254" s="405" t="s">
        <v>237</v>
      </c>
      <c r="D5254" s="401" t="s">
        <v>11526</v>
      </c>
      <c r="E5254" s="120">
        <v>100</v>
      </c>
      <c r="F5254" s="133" t="s">
        <v>341</v>
      </c>
      <c r="G5254" s="404" t="s">
        <v>45</v>
      </c>
      <c r="H5254" s="411">
        <v>148.19999999999999</v>
      </c>
      <c r="I5254" s="89">
        <f t="shared" si="1681"/>
        <v>-13.337999999999999</v>
      </c>
      <c r="J5254" s="258">
        <f t="shared" ref="J5254" si="1699">-((H5254*0.019)+0.3)</f>
        <v>-3.1157999999999997</v>
      </c>
      <c r="K5254" s="90">
        <f t="shared" ref="K5254:K5255" si="1700">SUM(H5254:J5254)</f>
        <v>131.74619999999999</v>
      </c>
      <c r="L5254" s="131">
        <v>698</v>
      </c>
      <c r="M5254" s="187">
        <v>26.45</v>
      </c>
      <c r="N5254" s="91">
        <f t="shared" si="1635"/>
        <v>96.25</v>
      </c>
      <c r="O5254" s="411">
        <f t="shared" si="1696"/>
        <v>35.496199999999988</v>
      </c>
      <c r="P5254" s="132" t="s">
        <v>52</v>
      </c>
      <c r="Q5254" s="232"/>
      <c r="R5254" s="411"/>
      <c r="T5254" s="134" t="s">
        <v>145</v>
      </c>
      <c r="U5254" s="267" t="s">
        <v>11527</v>
      </c>
      <c r="AA5254" s="218"/>
    </row>
    <row r="5255" spans="1:27" ht="24" x14ac:dyDescent="0.25">
      <c r="A5255" s="405">
        <v>3004134</v>
      </c>
      <c r="B5255" s="406">
        <v>42615</v>
      </c>
      <c r="C5255" s="405" t="s">
        <v>280</v>
      </c>
      <c r="D5255" s="401" t="s">
        <v>11528</v>
      </c>
      <c r="E5255" s="120">
        <v>250</v>
      </c>
      <c r="F5255" s="133" t="s">
        <v>222</v>
      </c>
      <c r="G5255" s="404" t="s">
        <v>45</v>
      </c>
      <c r="H5255" s="411">
        <v>339.49</v>
      </c>
      <c r="I5255" s="411">
        <v>0</v>
      </c>
      <c r="J5255" s="258">
        <f>-((H5255*0.022)+0.3)</f>
        <v>-7.7687799999999996</v>
      </c>
      <c r="K5255" s="90">
        <f t="shared" si="1700"/>
        <v>331.72122000000002</v>
      </c>
      <c r="L5255" s="131">
        <v>670</v>
      </c>
      <c r="M5255" s="187">
        <v>60.55</v>
      </c>
      <c r="N5255" s="91">
        <f t="shared" si="1635"/>
        <v>228.05</v>
      </c>
      <c r="O5255" s="411">
        <f t="shared" si="1696"/>
        <v>103.67122000000001</v>
      </c>
      <c r="P5255" s="132" t="s">
        <v>86</v>
      </c>
      <c r="Q5255" s="232"/>
      <c r="R5255" s="411"/>
      <c r="T5255" s="134" t="s">
        <v>145</v>
      </c>
      <c r="U5255" s="267" t="s">
        <v>11529</v>
      </c>
      <c r="W5255" s="153" t="s">
        <v>11530</v>
      </c>
      <c r="AA5255" s="218"/>
    </row>
    <row r="5256" spans="1:27" ht="24" x14ac:dyDescent="0.25">
      <c r="A5256" s="405">
        <v>3004135</v>
      </c>
      <c r="B5256" s="406">
        <v>42615</v>
      </c>
      <c r="C5256" s="405" t="s">
        <v>327</v>
      </c>
      <c r="D5256" s="401" t="s">
        <v>11531</v>
      </c>
      <c r="E5256" s="120">
        <v>60</v>
      </c>
      <c r="F5256" s="133" t="s">
        <v>51</v>
      </c>
      <c r="G5256" s="404" t="s">
        <v>45</v>
      </c>
      <c r="H5256" s="411">
        <v>135</v>
      </c>
      <c r="I5256" s="411">
        <v>0</v>
      </c>
      <c r="J5256" s="258">
        <f>-((H5256*0.022)+0.3)</f>
        <v>-3.2699999999999996</v>
      </c>
      <c r="K5256" s="90">
        <f t="shared" ref="K5256:K5257" si="1701">SUM(H5256:J5256)</f>
        <v>131.72999999999999</v>
      </c>
      <c r="L5256" s="131">
        <v>1015</v>
      </c>
      <c r="M5256" s="187">
        <v>22.64</v>
      </c>
      <c r="N5256" s="91">
        <f t="shared" si="1635"/>
        <v>83.539999999999992</v>
      </c>
      <c r="O5256" s="411">
        <f t="shared" si="1696"/>
        <v>48.19</v>
      </c>
      <c r="P5256" s="132" t="s">
        <v>52</v>
      </c>
      <c r="Q5256" s="232"/>
      <c r="R5256" s="411"/>
      <c r="T5256" s="134" t="s">
        <v>145</v>
      </c>
      <c r="U5256" s="267" t="s">
        <v>11532</v>
      </c>
      <c r="W5256" s="153" t="s">
        <v>11533</v>
      </c>
      <c r="AA5256" s="218"/>
    </row>
    <row r="5257" spans="1:27" x14ac:dyDescent="0.25">
      <c r="A5257" s="405">
        <v>3004136</v>
      </c>
      <c r="B5257" s="406">
        <v>42615</v>
      </c>
      <c r="C5257" s="405" t="s">
        <v>42</v>
      </c>
      <c r="D5257" s="401" t="s">
        <v>11534</v>
      </c>
      <c r="E5257" s="120">
        <v>500</v>
      </c>
      <c r="F5257" s="133" t="s">
        <v>247</v>
      </c>
      <c r="G5257" s="404" t="s">
        <v>45</v>
      </c>
      <c r="H5257" s="411">
        <v>553.37</v>
      </c>
      <c r="I5257" s="89">
        <f>-(H5257*0.09)</f>
        <v>-49.8033</v>
      </c>
      <c r="J5257" s="258">
        <f t="shared" ref="J5257" si="1702">-((H5257*0.019)+0.3)</f>
        <v>-10.814030000000001</v>
      </c>
      <c r="K5257" s="90">
        <f t="shared" si="1701"/>
        <v>492.75267000000002</v>
      </c>
      <c r="L5257" s="131">
        <v>480</v>
      </c>
      <c r="M5257" s="187">
        <v>89.99</v>
      </c>
      <c r="N5257" s="91">
        <f t="shared" si="1635"/>
        <v>329.99</v>
      </c>
      <c r="O5257" s="411">
        <f t="shared" si="1696"/>
        <v>162.76267000000001</v>
      </c>
      <c r="P5257" s="132" t="s">
        <v>52</v>
      </c>
      <c r="Q5257" s="232"/>
      <c r="R5257" s="411"/>
      <c r="T5257" s="135" t="s">
        <v>875</v>
      </c>
      <c r="U5257" s="261" t="s">
        <v>11535</v>
      </c>
      <c r="V5257" s="133" t="s">
        <v>55</v>
      </c>
      <c r="AA5257" s="218"/>
    </row>
    <row r="5258" spans="1:27" ht="24" x14ac:dyDescent="0.25">
      <c r="A5258" s="405">
        <v>3004137</v>
      </c>
      <c r="B5258" s="406">
        <v>42615</v>
      </c>
      <c r="C5258" s="405" t="s">
        <v>237</v>
      </c>
      <c r="D5258" s="401" t="s">
        <v>11536</v>
      </c>
      <c r="E5258" s="120">
        <v>100</v>
      </c>
      <c r="F5258" s="133" t="s">
        <v>11537</v>
      </c>
      <c r="G5258" s="404" t="s">
        <v>45</v>
      </c>
      <c r="H5258" s="411">
        <v>253.94</v>
      </c>
      <c r="I5258" s="397">
        <f t="shared" ref="I5258" si="1703">-(H5258*0.15)</f>
        <v>-38.091000000000001</v>
      </c>
      <c r="J5258" s="411">
        <v>0</v>
      </c>
      <c r="K5258" s="90">
        <f>SUM(H5258:J5258)</f>
        <v>215.84899999999999</v>
      </c>
      <c r="L5258" s="131">
        <v>1322</v>
      </c>
      <c r="M5258" s="187">
        <f>17.35+17.35</f>
        <v>34.700000000000003</v>
      </c>
      <c r="N5258" s="91">
        <f t="shared" si="1635"/>
        <v>166.90000000000003</v>
      </c>
      <c r="O5258" s="411">
        <f t="shared" si="1696"/>
        <v>48.948999999999955</v>
      </c>
      <c r="P5258" s="132" t="s">
        <v>52</v>
      </c>
      <c r="Q5258" s="232"/>
      <c r="R5258" s="411"/>
      <c r="T5258" s="134" t="s">
        <v>145</v>
      </c>
      <c r="U5258" s="267" t="s">
        <v>11538</v>
      </c>
      <c r="AA5258" s="218"/>
    </row>
    <row r="5259" spans="1:27" ht="24" x14ac:dyDescent="0.25">
      <c r="A5259" s="405">
        <v>3004138</v>
      </c>
      <c r="B5259" s="406">
        <v>42615</v>
      </c>
      <c r="C5259" s="405" t="s">
        <v>237</v>
      </c>
      <c r="D5259" s="401" t="s">
        <v>11539</v>
      </c>
      <c r="E5259" s="120">
        <v>100</v>
      </c>
      <c r="F5259" s="133" t="s">
        <v>2199</v>
      </c>
      <c r="G5259" s="404" t="s">
        <v>45</v>
      </c>
      <c r="H5259" s="411">
        <v>180.18</v>
      </c>
      <c r="I5259" s="397">
        <f t="shared" ref="I5259" si="1704">-(H5259*0.15)</f>
        <v>-27.027000000000001</v>
      </c>
      <c r="J5259" s="411">
        <v>0</v>
      </c>
      <c r="K5259" s="90">
        <f>SUM(H5259:J5259)</f>
        <v>153.15300000000002</v>
      </c>
      <c r="L5259" s="187">
        <v>1150</v>
      </c>
      <c r="M5259" s="187">
        <v>28.34</v>
      </c>
      <c r="N5259" s="91">
        <f t="shared" si="1635"/>
        <v>143.34</v>
      </c>
      <c r="O5259" s="411">
        <f t="shared" si="1696"/>
        <v>9.8130000000000166</v>
      </c>
      <c r="P5259" s="132" t="s">
        <v>601</v>
      </c>
      <c r="Q5259" s="232"/>
      <c r="R5259" s="411"/>
      <c r="T5259" s="134" t="s">
        <v>145</v>
      </c>
      <c r="U5259" s="267" t="s">
        <v>11540</v>
      </c>
      <c r="AA5259" s="218"/>
    </row>
    <row r="5260" spans="1:27" ht="24" x14ac:dyDescent="0.25">
      <c r="A5260" s="405">
        <v>3004139</v>
      </c>
      <c r="B5260" s="406">
        <v>42615</v>
      </c>
      <c r="C5260" s="405" t="s">
        <v>42</v>
      </c>
      <c r="D5260" s="401" t="s">
        <v>11541</v>
      </c>
      <c r="E5260" s="120">
        <v>250</v>
      </c>
      <c r="F5260" s="133" t="s">
        <v>11542</v>
      </c>
      <c r="G5260" s="404" t="s">
        <v>45</v>
      </c>
      <c r="H5260" s="411">
        <v>304</v>
      </c>
      <c r="I5260" s="89">
        <f>-(H5260*0.09)</f>
        <v>-27.36</v>
      </c>
      <c r="J5260" s="258">
        <f t="shared" ref="J5260" si="1705">-((H5260*0.019)+0.3)</f>
        <v>-6.0759999999999996</v>
      </c>
      <c r="K5260" s="90">
        <f t="shared" ref="K5260" si="1706">SUM(H5260:J5260)</f>
        <v>270.56399999999996</v>
      </c>
      <c r="M5260" s="187">
        <v>20.39</v>
      </c>
      <c r="N5260" s="91">
        <f t="shared" ref="N5260:N5324" si="1707">((L5260)*(E5260*0.001))+M5260</f>
        <v>20.39</v>
      </c>
      <c r="O5260" s="411">
        <f t="shared" si="1696"/>
        <v>250.17399999999998</v>
      </c>
      <c r="P5260" s="132" t="s">
        <v>52</v>
      </c>
      <c r="Q5260" s="232"/>
      <c r="R5260" s="411"/>
      <c r="T5260" s="134" t="s">
        <v>145</v>
      </c>
      <c r="U5260" s="267" t="s">
        <v>11543</v>
      </c>
      <c r="AA5260" s="218"/>
    </row>
    <row r="5261" spans="1:27" ht="15" customHeight="1" x14ac:dyDescent="0.25">
      <c r="A5261" s="419">
        <v>3004140</v>
      </c>
      <c r="B5261" s="421">
        <v>42615</v>
      </c>
      <c r="C5261" s="419" t="s">
        <v>42</v>
      </c>
      <c r="D5261" s="417" t="s">
        <v>11544</v>
      </c>
      <c r="E5261" s="120">
        <v>200</v>
      </c>
      <c r="F5261" s="133" t="s">
        <v>605</v>
      </c>
      <c r="G5261" s="434" t="s">
        <v>45</v>
      </c>
      <c r="H5261" s="427">
        <v>517.63</v>
      </c>
      <c r="I5261" s="452">
        <f>-(H5261*0.09)</f>
        <v>-46.5867</v>
      </c>
      <c r="J5261" s="425">
        <f t="shared" ref="J5261" si="1708">-((H5261*0.019)+0.3)</f>
        <v>-10.134970000000001</v>
      </c>
      <c r="K5261" s="425">
        <f t="shared" ref="K5261" si="1709">SUM(H5261:J5261)</f>
        <v>460.90832999999998</v>
      </c>
      <c r="L5261" s="131">
        <v>480</v>
      </c>
      <c r="M5261" s="187">
        <v>43.45</v>
      </c>
      <c r="N5261" s="91">
        <f t="shared" si="1707"/>
        <v>139.44999999999999</v>
      </c>
      <c r="O5261" s="411">
        <f t="shared" si="1696"/>
        <v>321.45832999999999</v>
      </c>
      <c r="P5261" s="132" t="s">
        <v>86</v>
      </c>
      <c r="Q5261" s="232"/>
      <c r="R5261" s="411"/>
      <c r="T5261" s="535" t="s">
        <v>145</v>
      </c>
      <c r="U5261" s="327" t="s">
        <v>11545</v>
      </c>
      <c r="AA5261" s="218"/>
    </row>
    <row r="5262" spans="1:27" x14ac:dyDescent="0.25">
      <c r="A5262" s="420"/>
      <c r="B5262" s="422"/>
      <c r="C5262" s="420"/>
      <c r="D5262" s="418"/>
      <c r="E5262" s="120">
        <v>300</v>
      </c>
      <c r="F5262" s="133" t="s">
        <v>877</v>
      </c>
      <c r="G5262" s="436"/>
      <c r="H5262" s="428"/>
      <c r="I5262" s="453"/>
      <c r="J5262" s="426"/>
      <c r="K5262" s="426"/>
      <c r="L5262" s="131">
        <v>174</v>
      </c>
      <c r="M5262" s="187">
        <v>39.14</v>
      </c>
      <c r="N5262" s="91">
        <f t="shared" si="1707"/>
        <v>91.34</v>
      </c>
      <c r="O5262" s="411">
        <f t="shared" si="1696"/>
        <v>-91.34</v>
      </c>
      <c r="P5262" s="132" t="s">
        <v>86</v>
      </c>
      <c r="Q5262" s="232"/>
      <c r="R5262" s="411"/>
      <c r="T5262" s="536"/>
      <c r="U5262" s="328">
        <v>675157529422</v>
      </c>
      <c r="AA5262" s="218"/>
    </row>
    <row r="5263" spans="1:27" ht="24" x14ac:dyDescent="0.25">
      <c r="A5263" s="405">
        <v>3004141</v>
      </c>
      <c r="B5263" s="406">
        <v>42615</v>
      </c>
      <c r="C5263" s="405" t="s">
        <v>42</v>
      </c>
      <c r="D5263" s="401" t="s">
        <v>11546</v>
      </c>
      <c r="E5263" s="120">
        <v>150</v>
      </c>
      <c r="F5263" s="133" t="s">
        <v>829</v>
      </c>
      <c r="G5263" s="404" t="s">
        <v>45</v>
      </c>
      <c r="H5263" s="411">
        <v>156.13</v>
      </c>
      <c r="I5263" s="89">
        <f>-(H5263*0.09)</f>
        <v>-14.051699999999999</v>
      </c>
      <c r="J5263" s="258">
        <f t="shared" ref="J5263" si="1710">-((H5263*0.019)+0.3)</f>
        <v>-3.2664699999999995</v>
      </c>
      <c r="K5263" s="90">
        <f t="shared" ref="K5263" si="1711">SUM(H5263:J5263)</f>
        <v>138.81182999999999</v>
      </c>
      <c r="L5263" s="131">
        <v>510</v>
      </c>
      <c r="M5263" s="187">
        <v>51.56</v>
      </c>
      <c r="N5263" s="91">
        <f t="shared" si="1707"/>
        <v>128.06</v>
      </c>
      <c r="O5263" s="411">
        <f t="shared" si="1696"/>
        <v>10.751829999999984</v>
      </c>
      <c r="P5263" s="132" t="s">
        <v>52</v>
      </c>
      <c r="Q5263" s="232"/>
      <c r="R5263" s="411"/>
      <c r="T5263" s="172" t="s">
        <v>145</v>
      </c>
      <c r="U5263" s="259">
        <v>665645046924</v>
      </c>
      <c r="AA5263" s="218"/>
    </row>
    <row r="5264" spans="1:27" ht="24" x14ac:dyDescent="0.25">
      <c r="A5264" s="405">
        <v>3004142</v>
      </c>
      <c r="B5264" s="406">
        <v>42615</v>
      </c>
      <c r="C5264" s="405" t="s">
        <v>237</v>
      </c>
      <c r="D5264" s="401" t="s">
        <v>11547</v>
      </c>
      <c r="E5264" s="120">
        <v>100</v>
      </c>
      <c r="F5264" s="133" t="s">
        <v>590</v>
      </c>
      <c r="G5264" s="404" t="s">
        <v>45</v>
      </c>
      <c r="H5264" s="411">
        <v>115.08</v>
      </c>
      <c r="I5264" s="397">
        <f t="shared" ref="I5264" si="1712">-(H5264*0.15)</f>
        <v>-17.262</v>
      </c>
      <c r="J5264" s="411">
        <v>0</v>
      </c>
      <c r="K5264" s="90">
        <f>SUM(H5264:J5264)</f>
        <v>97.817999999999998</v>
      </c>
      <c r="L5264" s="131">
        <v>577</v>
      </c>
      <c r="M5264" s="187">
        <v>17.79</v>
      </c>
      <c r="N5264" s="91">
        <f t="shared" si="1707"/>
        <v>75.490000000000009</v>
      </c>
      <c r="O5264" s="411">
        <f t="shared" si="1696"/>
        <v>22.327999999999989</v>
      </c>
      <c r="P5264" s="132" t="s">
        <v>52</v>
      </c>
      <c r="Q5264" s="232"/>
      <c r="R5264" s="411"/>
      <c r="T5264" s="134" t="s">
        <v>145</v>
      </c>
      <c r="U5264" s="267" t="s">
        <v>11548</v>
      </c>
      <c r="AA5264" s="218"/>
    </row>
    <row r="5265" spans="1:27" ht="24" x14ac:dyDescent="0.25">
      <c r="A5265" s="405">
        <v>3004143</v>
      </c>
      <c r="B5265" s="406">
        <v>42615</v>
      </c>
      <c r="C5265" s="405" t="s">
        <v>42</v>
      </c>
      <c r="D5265" s="401" t="s">
        <v>11549</v>
      </c>
      <c r="E5265" s="120">
        <v>250</v>
      </c>
      <c r="F5265" s="133" t="s">
        <v>939</v>
      </c>
      <c r="G5265" s="404" t="s">
        <v>45</v>
      </c>
      <c r="H5265" s="411">
        <v>238.26</v>
      </c>
      <c r="I5265" s="89">
        <f>-(H5265*0.09)</f>
        <v>-21.443399999999997</v>
      </c>
      <c r="J5265" s="258">
        <f t="shared" ref="J5265" si="1713">-((H5265*0.019)+0.3)</f>
        <v>-4.8269399999999996</v>
      </c>
      <c r="K5265" s="90">
        <f t="shared" ref="K5265" si="1714">SUM(H5265:J5265)</f>
        <v>211.98965999999999</v>
      </c>
      <c r="L5265" s="131">
        <v>445</v>
      </c>
      <c r="M5265" s="187">
        <v>37.01</v>
      </c>
      <c r="N5265" s="91">
        <f t="shared" si="1707"/>
        <v>148.26</v>
      </c>
      <c r="O5265" s="411">
        <f t="shared" si="1696"/>
        <v>63.729659999999996</v>
      </c>
      <c r="P5265" s="132" t="s">
        <v>52</v>
      </c>
      <c r="Q5265" s="232"/>
      <c r="R5265" s="411"/>
      <c r="T5265" s="134" t="s">
        <v>145</v>
      </c>
      <c r="U5265" s="267" t="s">
        <v>11550</v>
      </c>
      <c r="AA5265" s="218"/>
    </row>
    <row r="5266" spans="1:27" x14ac:dyDescent="0.25">
      <c r="A5266" s="419">
        <v>3004144</v>
      </c>
      <c r="B5266" s="421">
        <v>42615</v>
      </c>
      <c r="C5266" s="419" t="s">
        <v>237</v>
      </c>
      <c r="D5266" s="417" t="s">
        <v>11551</v>
      </c>
      <c r="E5266" s="120">
        <v>50</v>
      </c>
      <c r="F5266" s="133" t="s">
        <v>3440</v>
      </c>
      <c r="G5266" s="434" t="s">
        <v>45</v>
      </c>
      <c r="H5266" s="427">
        <v>168.3</v>
      </c>
      <c r="I5266" s="452">
        <f t="shared" ref="I5266" si="1715">-(H5266*0.15)</f>
        <v>-25.245000000000001</v>
      </c>
      <c r="J5266" s="427">
        <v>0</v>
      </c>
      <c r="K5266" s="425">
        <f>SUM(H5266:J5266)</f>
        <v>143.05500000000001</v>
      </c>
      <c r="L5266" s="187">
        <v>959</v>
      </c>
      <c r="M5266" s="187">
        <v>30.99</v>
      </c>
      <c r="N5266" s="91">
        <f t="shared" si="1707"/>
        <v>78.94</v>
      </c>
      <c r="O5266" s="411">
        <f t="shared" si="1696"/>
        <v>64.115000000000009</v>
      </c>
      <c r="P5266" s="132" t="s">
        <v>601</v>
      </c>
      <c r="Q5266" s="232"/>
      <c r="R5266" s="411"/>
      <c r="T5266" s="439" t="s">
        <v>145</v>
      </c>
      <c r="U5266" s="446" t="s">
        <v>11552</v>
      </c>
      <c r="AA5266" s="218"/>
    </row>
    <row r="5267" spans="1:27" x14ac:dyDescent="0.25">
      <c r="A5267" s="420"/>
      <c r="B5267" s="422"/>
      <c r="C5267" s="420"/>
      <c r="D5267" s="418"/>
      <c r="E5267" s="120">
        <v>50</v>
      </c>
      <c r="F5267" s="133" t="s">
        <v>3442</v>
      </c>
      <c r="G5267" s="436"/>
      <c r="H5267" s="428"/>
      <c r="I5267" s="453"/>
      <c r="J5267" s="428"/>
      <c r="K5267" s="426"/>
      <c r="L5267" s="187">
        <v>959</v>
      </c>
      <c r="N5267" s="91">
        <f t="shared" si="1707"/>
        <v>47.95</v>
      </c>
      <c r="O5267" s="411">
        <f t="shared" si="1696"/>
        <v>-47.95</v>
      </c>
      <c r="P5267" s="132" t="s">
        <v>601</v>
      </c>
      <c r="Q5267" s="232"/>
      <c r="R5267" s="411"/>
      <c r="T5267" s="441"/>
      <c r="U5267" s="447"/>
      <c r="AA5267" s="218"/>
    </row>
    <row r="5268" spans="1:27" x14ac:dyDescent="0.25">
      <c r="A5268" s="405">
        <v>3004143</v>
      </c>
      <c r="B5268" s="406">
        <v>42619</v>
      </c>
      <c r="C5268" s="405" t="s">
        <v>327</v>
      </c>
      <c r="D5268" s="401" t="s">
        <v>4323</v>
      </c>
      <c r="E5268" s="120">
        <v>100</v>
      </c>
      <c r="F5268" s="133" t="s">
        <v>11553</v>
      </c>
      <c r="G5268" s="404" t="s">
        <v>45</v>
      </c>
      <c r="H5268" s="411">
        <v>380</v>
      </c>
      <c r="I5268" s="411">
        <v>0</v>
      </c>
      <c r="J5268" s="258">
        <f>-((H5268*0.022)+0.3)</f>
        <v>-8.66</v>
      </c>
      <c r="K5268" s="90">
        <f t="shared" ref="K5268" si="1716">SUM(H5268:J5268)</f>
        <v>371.34</v>
      </c>
      <c r="L5268" s="187">
        <v>2400</v>
      </c>
      <c r="M5268" s="187">
        <v>41.1</v>
      </c>
      <c r="N5268" s="91">
        <f t="shared" si="1707"/>
        <v>281.10000000000002</v>
      </c>
      <c r="O5268" s="411">
        <f t="shared" si="1696"/>
        <v>90.239999999999952</v>
      </c>
      <c r="P5268" s="132" t="s">
        <v>183</v>
      </c>
      <c r="Q5268" s="232"/>
      <c r="R5268" s="411"/>
      <c r="T5268" s="134" t="s">
        <v>204</v>
      </c>
      <c r="U5268" s="266" t="s">
        <v>11554</v>
      </c>
      <c r="W5268" s="153" t="s">
        <v>4325</v>
      </c>
      <c r="AA5268" s="218"/>
    </row>
    <row r="5269" spans="1:27" ht="24" x14ac:dyDescent="0.25">
      <c r="A5269" s="405">
        <v>3004144</v>
      </c>
      <c r="B5269" s="406">
        <v>42619</v>
      </c>
      <c r="C5269" s="405" t="s">
        <v>42</v>
      </c>
      <c r="D5269" s="401" t="s">
        <v>11555</v>
      </c>
      <c r="E5269" s="120">
        <v>200</v>
      </c>
      <c r="F5269" s="133" t="s">
        <v>227</v>
      </c>
      <c r="G5269" s="404" t="s">
        <v>45</v>
      </c>
      <c r="H5269" s="411">
        <v>178.1</v>
      </c>
      <c r="I5269" s="89">
        <f>-(H5269*0.09)</f>
        <v>-16.029</v>
      </c>
      <c r="J5269" s="258">
        <f t="shared" ref="J5269" si="1717">-((H5269*0.019)+0.3)</f>
        <v>-3.6838999999999995</v>
      </c>
      <c r="K5269" s="90">
        <f t="shared" ref="K5269:K5270" si="1718">SUM(H5269:J5269)</f>
        <v>158.3871</v>
      </c>
      <c r="L5269" s="131">
        <v>350</v>
      </c>
      <c r="M5269" s="187">
        <v>23.9</v>
      </c>
      <c r="N5269" s="91">
        <f t="shared" si="1707"/>
        <v>93.9</v>
      </c>
      <c r="O5269" s="411">
        <f t="shared" si="1696"/>
        <v>64.487099999999998</v>
      </c>
      <c r="P5269" s="132" t="s">
        <v>52</v>
      </c>
      <c r="Q5269" s="232"/>
      <c r="R5269" s="411"/>
      <c r="T5269" s="172" t="s">
        <v>145</v>
      </c>
      <c r="U5269" s="259" t="s">
        <v>11556</v>
      </c>
      <c r="AA5269" s="218"/>
    </row>
    <row r="5270" spans="1:27" x14ac:dyDescent="0.25">
      <c r="A5270" s="405">
        <v>3004145</v>
      </c>
      <c r="B5270" s="406">
        <v>42619</v>
      </c>
      <c r="C5270" s="405" t="s">
        <v>327</v>
      </c>
      <c r="D5270" s="401" t="s">
        <v>11557</v>
      </c>
      <c r="E5270" s="120">
        <v>800</v>
      </c>
      <c r="F5270" s="133" t="s">
        <v>70</v>
      </c>
      <c r="G5270" s="404" t="s">
        <v>45</v>
      </c>
      <c r="H5270" s="411">
        <v>1811</v>
      </c>
      <c r="I5270" s="411">
        <v>0</v>
      </c>
      <c r="J5270" s="258">
        <f>-((H5270*0.022)+0.3)</f>
        <v>-40.141999999999996</v>
      </c>
      <c r="K5270" s="90">
        <f t="shared" si="1718"/>
        <v>1770.8579999999999</v>
      </c>
      <c r="L5270" s="131">
        <v>1200</v>
      </c>
      <c r="M5270" s="187">
        <v>234.89</v>
      </c>
      <c r="N5270" s="91">
        <f t="shared" si="1707"/>
        <v>1194.8899999999999</v>
      </c>
      <c r="O5270" s="411">
        <f t="shared" si="1696"/>
        <v>575.96800000000007</v>
      </c>
      <c r="P5270" s="132" t="s">
        <v>86</v>
      </c>
      <c r="Q5270" s="232"/>
      <c r="R5270" s="411"/>
      <c r="T5270" s="172" t="s">
        <v>244</v>
      </c>
      <c r="U5270" s="259" t="s">
        <v>11558</v>
      </c>
      <c r="V5270" s="133" t="s">
        <v>55</v>
      </c>
      <c r="W5270" s="153" t="s">
        <v>11559</v>
      </c>
      <c r="AA5270" s="218">
        <v>10</v>
      </c>
    </row>
    <row r="5271" spans="1:27" x14ac:dyDescent="0.25">
      <c r="A5271" s="419">
        <v>3004146</v>
      </c>
      <c r="B5271" s="421">
        <v>42619</v>
      </c>
      <c r="C5271" s="419" t="s">
        <v>141</v>
      </c>
      <c r="D5271" s="419" t="s">
        <v>11560</v>
      </c>
      <c r="E5271" s="120">
        <v>5000</v>
      </c>
      <c r="F5271" s="133" t="s">
        <v>11561</v>
      </c>
      <c r="G5271" s="434" t="s">
        <v>45</v>
      </c>
      <c r="H5271" s="411">
        <v>3300</v>
      </c>
      <c r="I5271" s="411">
        <v>0</v>
      </c>
      <c r="J5271" s="258">
        <f>-((H5271*0.0325)+0.3)</f>
        <v>-107.55</v>
      </c>
      <c r="K5271" s="90">
        <f t="shared" ref="K5271:K5274" si="1719">SUM(H5271:J5271)</f>
        <v>3192.45</v>
      </c>
      <c r="L5271" s="187">
        <v>312.68</v>
      </c>
      <c r="M5271" s="187">
        <v>206.73</v>
      </c>
      <c r="N5271" s="91">
        <f t="shared" si="1707"/>
        <v>1770.13</v>
      </c>
      <c r="O5271" s="411">
        <f t="shared" si="1696"/>
        <v>1422.3199999999997</v>
      </c>
      <c r="P5271" s="132" t="s">
        <v>46</v>
      </c>
      <c r="Q5271" s="232"/>
      <c r="R5271" s="411"/>
      <c r="T5271" s="134" t="s">
        <v>2652</v>
      </c>
      <c r="U5271" s="266">
        <v>927925342</v>
      </c>
      <c r="AA5271" s="218"/>
    </row>
    <row r="5272" spans="1:27" x14ac:dyDescent="0.25">
      <c r="A5272" s="420"/>
      <c r="B5272" s="422"/>
      <c r="C5272" s="420"/>
      <c r="D5272" s="420"/>
      <c r="E5272" s="120">
        <v>1000</v>
      </c>
      <c r="F5272" s="133" t="s">
        <v>11561</v>
      </c>
      <c r="G5272" s="436"/>
      <c r="H5272" s="411">
        <v>3300</v>
      </c>
      <c r="I5272" s="411">
        <v>0</v>
      </c>
      <c r="J5272" s="258">
        <f>-((H5272*0.0325)+0.3)</f>
        <v>-107.55</v>
      </c>
      <c r="K5272" s="90">
        <f t="shared" ref="K5272" si="1720">SUM(H5272:J5272)</f>
        <v>3192.45</v>
      </c>
      <c r="L5272" s="187">
        <v>310.08</v>
      </c>
      <c r="M5272" s="187"/>
      <c r="N5272" s="91">
        <f t="shared" si="1707"/>
        <v>310.08</v>
      </c>
      <c r="O5272" s="411">
        <f t="shared" si="1696"/>
        <v>2882.37</v>
      </c>
      <c r="P5272" s="132" t="s">
        <v>46</v>
      </c>
      <c r="Q5272" s="232"/>
      <c r="R5272" s="411"/>
      <c r="T5272" s="134"/>
      <c r="U5272" s="266"/>
      <c r="AA5272" s="218"/>
    </row>
    <row r="5273" spans="1:27" x14ac:dyDescent="0.25">
      <c r="A5273" s="405">
        <v>3004147</v>
      </c>
      <c r="B5273" s="406">
        <v>42619</v>
      </c>
      <c r="C5273" s="405" t="s">
        <v>56</v>
      </c>
      <c r="D5273" s="401" t="s">
        <v>4020</v>
      </c>
      <c r="E5273" s="120">
        <v>1000</v>
      </c>
      <c r="F5273" s="133" t="s">
        <v>11562</v>
      </c>
      <c r="G5273" s="404" t="s">
        <v>45</v>
      </c>
      <c r="H5273" s="411">
        <v>370</v>
      </c>
      <c r="I5273" s="411">
        <v>0</v>
      </c>
      <c r="J5273" s="411">
        <v>0</v>
      </c>
      <c r="K5273" s="90">
        <f t="shared" si="1719"/>
        <v>370</v>
      </c>
      <c r="L5273" s="187">
        <v>313.02</v>
      </c>
      <c r="M5273" s="187">
        <v>0</v>
      </c>
      <c r="N5273" s="91">
        <f t="shared" si="1707"/>
        <v>313.02</v>
      </c>
      <c r="O5273" s="411">
        <f t="shared" si="1696"/>
        <v>56.980000000000018</v>
      </c>
      <c r="P5273" s="132" t="s">
        <v>621</v>
      </c>
      <c r="Q5273" s="232"/>
      <c r="R5273" s="411"/>
      <c r="T5273" s="134" t="s">
        <v>204</v>
      </c>
      <c r="U5273" s="266" t="s">
        <v>11563</v>
      </c>
      <c r="V5273" s="133" t="s">
        <v>8588</v>
      </c>
      <c r="W5273" s="153" t="s">
        <v>298</v>
      </c>
      <c r="AA5273" s="218"/>
    </row>
    <row r="5274" spans="1:27" ht="24" x14ac:dyDescent="0.25">
      <c r="A5274" s="419">
        <v>3004148</v>
      </c>
      <c r="B5274" s="421">
        <v>42619</v>
      </c>
      <c r="C5274" s="419" t="s">
        <v>78</v>
      </c>
      <c r="D5274" s="417" t="s">
        <v>11564</v>
      </c>
      <c r="E5274" s="120">
        <v>200</v>
      </c>
      <c r="F5274" s="133" t="s">
        <v>11565</v>
      </c>
      <c r="G5274" s="434" t="s">
        <v>45</v>
      </c>
      <c r="H5274" s="427">
        <v>2232</v>
      </c>
      <c r="I5274" s="427">
        <v>0</v>
      </c>
      <c r="J5274" s="425">
        <f t="shared" ref="J5274" si="1721">-((H5274*0.019)+0.3)</f>
        <v>-42.707999999999998</v>
      </c>
      <c r="K5274" s="425">
        <f t="shared" si="1719"/>
        <v>2189.2919999999999</v>
      </c>
      <c r="L5274" s="187">
        <v>2200</v>
      </c>
      <c r="M5274" s="187">
        <v>75.64</v>
      </c>
      <c r="N5274" s="91">
        <f t="shared" si="1707"/>
        <v>515.64</v>
      </c>
      <c r="O5274" s="411">
        <f t="shared" si="1696"/>
        <v>1673.652</v>
      </c>
      <c r="P5274" s="132" t="s">
        <v>183</v>
      </c>
      <c r="Q5274" s="232"/>
      <c r="R5274" s="411"/>
      <c r="T5274" s="172" t="s">
        <v>145</v>
      </c>
      <c r="U5274" s="273">
        <v>703688859945</v>
      </c>
      <c r="W5274" s="153" t="s">
        <v>11566</v>
      </c>
      <c r="AA5274" s="218">
        <v>10</v>
      </c>
    </row>
    <row r="5275" spans="1:27" ht="24" x14ac:dyDescent="0.25">
      <c r="A5275" s="432"/>
      <c r="B5275" s="433"/>
      <c r="C5275" s="432"/>
      <c r="D5275" s="454"/>
      <c r="E5275" s="120">
        <v>50</v>
      </c>
      <c r="F5275" s="133" t="s">
        <v>11567</v>
      </c>
      <c r="G5275" s="435"/>
      <c r="H5275" s="438"/>
      <c r="I5275" s="438"/>
      <c r="J5275" s="437"/>
      <c r="K5275" s="437"/>
      <c r="L5275" s="187">
        <v>1750</v>
      </c>
      <c r="M5275" s="187"/>
      <c r="N5275" s="91">
        <f t="shared" si="1707"/>
        <v>87.5</v>
      </c>
      <c r="O5275" s="411">
        <f t="shared" si="1696"/>
        <v>-87.5</v>
      </c>
      <c r="P5275" s="132" t="s">
        <v>183</v>
      </c>
      <c r="Q5275" s="232"/>
      <c r="R5275" s="411"/>
      <c r="T5275" s="172" t="s">
        <v>145</v>
      </c>
      <c r="U5275" s="273">
        <v>703688859956</v>
      </c>
      <c r="AA5275" s="218"/>
    </row>
    <row r="5276" spans="1:27" ht="24" x14ac:dyDescent="0.25">
      <c r="A5276" s="432"/>
      <c r="B5276" s="433"/>
      <c r="C5276" s="432"/>
      <c r="D5276" s="454"/>
      <c r="E5276" s="120">
        <v>200</v>
      </c>
      <c r="F5276" s="133" t="s">
        <v>11568</v>
      </c>
      <c r="G5276" s="435"/>
      <c r="H5276" s="438"/>
      <c r="I5276" s="438"/>
      <c r="J5276" s="437"/>
      <c r="K5276" s="437"/>
      <c r="L5276" s="187">
        <v>900</v>
      </c>
      <c r="M5276" s="187"/>
      <c r="N5276" s="91">
        <f t="shared" si="1707"/>
        <v>180</v>
      </c>
      <c r="O5276" s="411">
        <f t="shared" si="1696"/>
        <v>-180</v>
      </c>
      <c r="P5276" s="132" t="s">
        <v>183</v>
      </c>
      <c r="Q5276" s="232"/>
      <c r="R5276" s="411"/>
      <c r="T5276" s="172" t="s">
        <v>145</v>
      </c>
      <c r="U5276" s="273">
        <v>703688859967</v>
      </c>
      <c r="AA5276" s="218"/>
    </row>
    <row r="5277" spans="1:27" ht="24" x14ac:dyDescent="0.25">
      <c r="A5277" s="432"/>
      <c r="B5277" s="433"/>
      <c r="C5277" s="432"/>
      <c r="D5277" s="454"/>
      <c r="E5277" s="120">
        <v>200</v>
      </c>
      <c r="F5277" s="133" t="s">
        <v>11569</v>
      </c>
      <c r="G5277" s="435"/>
      <c r="H5277" s="438"/>
      <c r="I5277" s="438"/>
      <c r="J5277" s="437"/>
      <c r="K5277" s="437"/>
      <c r="L5277" s="187">
        <v>960</v>
      </c>
      <c r="M5277" s="187">
        <v>44.11</v>
      </c>
      <c r="N5277" s="91">
        <f t="shared" si="1707"/>
        <v>236.11</v>
      </c>
      <c r="O5277" s="411">
        <f t="shared" si="1696"/>
        <v>-236.11</v>
      </c>
      <c r="P5277" s="132" t="s">
        <v>183</v>
      </c>
      <c r="Q5277" s="232"/>
      <c r="R5277" s="411"/>
      <c r="T5277" s="172" t="s">
        <v>145</v>
      </c>
      <c r="U5277" s="273" t="s">
        <v>11570</v>
      </c>
      <c r="AA5277" s="218"/>
    </row>
    <row r="5278" spans="1:27" ht="24" x14ac:dyDescent="0.25">
      <c r="A5278" s="432"/>
      <c r="B5278" s="433"/>
      <c r="C5278" s="432"/>
      <c r="D5278" s="454"/>
      <c r="E5278" s="120">
        <v>200</v>
      </c>
      <c r="F5278" s="133" t="s">
        <v>11571</v>
      </c>
      <c r="G5278" s="435"/>
      <c r="H5278" s="438"/>
      <c r="I5278" s="438"/>
      <c r="J5278" s="437"/>
      <c r="K5278" s="437"/>
      <c r="L5278" s="187">
        <v>600</v>
      </c>
      <c r="M5278" s="187">
        <v>30.51</v>
      </c>
      <c r="N5278" s="91">
        <f t="shared" si="1707"/>
        <v>150.51</v>
      </c>
      <c r="O5278" s="411">
        <f t="shared" si="1696"/>
        <v>-150.51</v>
      </c>
      <c r="P5278" s="132" t="s">
        <v>183</v>
      </c>
      <c r="Q5278" s="232"/>
      <c r="R5278" s="411"/>
      <c r="T5278" s="172" t="s">
        <v>145</v>
      </c>
      <c r="U5278" s="273">
        <v>609851522130</v>
      </c>
      <c r="AA5278" s="218"/>
    </row>
    <row r="5279" spans="1:27" ht="24" x14ac:dyDescent="0.25">
      <c r="A5279" s="432"/>
      <c r="B5279" s="433"/>
      <c r="C5279" s="432"/>
      <c r="D5279" s="454"/>
      <c r="E5279" s="120">
        <v>500</v>
      </c>
      <c r="F5279" s="133" t="s">
        <v>11572</v>
      </c>
      <c r="G5279" s="435"/>
      <c r="H5279" s="438"/>
      <c r="I5279" s="438"/>
      <c r="J5279" s="437"/>
      <c r="K5279" s="437"/>
      <c r="L5279" s="187">
        <v>330</v>
      </c>
      <c r="M5279" s="187">
        <v>23.65</v>
      </c>
      <c r="N5279" s="91">
        <f t="shared" si="1707"/>
        <v>188.65</v>
      </c>
      <c r="O5279" s="411">
        <f t="shared" si="1696"/>
        <v>-188.65</v>
      </c>
      <c r="P5279" s="132" t="s">
        <v>183</v>
      </c>
      <c r="Q5279" s="232"/>
      <c r="R5279" s="411"/>
      <c r="T5279" s="172" t="s">
        <v>145</v>
      </c>
      <c r="U5279" s="273" t="s">
        <v>11573</v>
      </c>
      <c r="AA5279" s="218"/>
    </row>
    <row r="5280" spans="1:27" ht="24" x14ac:dyDescent="0.25">
      <c r="A5280" s="432"/>
      <c r="B5280" s="433"/>
      <c r="C5280" s="432"/>
      <c r="D5280" s="454"/>
      <c r="E5280" s="120">
        <v>500</v>
      </c>
      <c r="F5280" s="133" t="s">
        <v>11574</v>
      </c>
      <c r="G5280" s="435"/>
      <c r="H5280" s="438"/>
      <c r="I5280" s="438"/>
      <c r="J5280" s="437"/>
      <c r="K5280" s="437"/>
      <c r="L5280" s="187">
        <v>205</v>
      </c>
      <c r="M5280" s="187"/>
      <c r="N5280" s="91">
        <f t="shared" si="1707"/>
        <v>102.5</v>
      </c>
      <c r="O5280" s="411">
        <f t="shared" si="1696"/>
        <v>-102.5</v>
      </c>
      <c r="P5280" s="132" t="s">
        <v>183</v>
      </c>
      <c r="Q5280" s="232"/>
      <c r="R5280" s="411"/>
      <c r="T5280" s="172" t="s">
        <v>145</v>
      </c>
      <c r="U5280" s="273">
        <v>700044011407</v>
      </c>
      <c r="AA5280" s="218"/>
    </row>
    <row r="5281" spans="1:27" ht="24" x14ac:dyDescent="0.25">
      <c r="A5281" s="432"/>
      <c r="B5281" s="433"/>
      <c r="C5281" s="432"/>
      <c r="D5281" s="454"/>
      <c r="E5281" s="120">
        <v>300</v>
      </c>
      <c r="F5281" s="133" t="s">
        <v>11575</v>
      </c>
      <c r="G5281" s="435"/>
      <c r="H5281" s="438"/>
      <c r="I5281" s="438"/>
      <c r="J5281" s="437"/>
      <c r="K5281" s="437"/>
      <c r="L5281" s="187">
        <v>140</v>
      </c>
      <c r="M5281" s="187"/>
      <c r="N5281" s="91">
        <f t="shared" si="1707"/>
        <v>42</v>
      </c>
      <c r="O5281" s="411">
        <f t="shared" si="1696"/>
        <v>-42</v>
      </c>
      <c r="P5281" s="132" t="s">
        <v>183</v>
      </c>
      <c r="Q5281" s="232"/>
      <c r="R5281" s="411"/>
      <c r="T5281" s="172" t="s">
        <v>145</v>
      </c>
      <c r="U5281" s="273">
        <v>700044011418</v>
      </c>
      <c r="AA5281" s="218"/>
    </row>
    <row r="5282" spans="1:27" ht="24" x14ac:dyDescent="0.25">
      <c r="A5282" s="420"/>
      <c r="B5282" s="422"/>
      <c r="C5282" s="420"/>
      <c r="D5282" s="418"/>
      <c r="E5282" s="120">
        <v>200</v>
      </c>
      <c r="F5282" s="133" t="s">
        <v>11576</v>
      </c>
      <c r="G5282" s="436"/>
      <c r="H5282" s="428"/>
      <c r="I5282" s="428"/>
      <c r="J5282" s="426"/>
      <c r="K5282" s="426"/>
      <c r="L5282" s="187">
        <v>1000</v>
      </c>
      <c r="M5282" s="187"/>
      <c r="N5282" s="91">
        <f t="shared" si="1707"/>
        <v>200</v>
      </c>
      <c r="O5282" s="411">
        <f t="shared" si="1696"/>
        <v>-200</v>
      </c>
      <c r="P5282" s="132" t="s">
        <v>183</v>
      </c>
      <c r="Q5282" s="232"/>
      <c r="R5282" s="411"/>
      <c r="T5282" s="172" t="s">
        <v>145</v>
      </c>
      <c r="U5282" s="273" t="s">
        <v>11577</v>
      </c>
      <c r="AA5282" s="218"/>
    </row>
    <row r="5283" spans="1:27" x14ac:dyDescent="0.25">
      <c r="A5283" s="405">
        <v>3004149</v>
      </c>
      <c r="B5283" s="406">
        <v>42619</v>
      </c>
      <c r="C5283" s="405" t="s">
        <v>42</v>
      </c>
      <c r="D5283" s="401" t="s">
        <v>11578</v>
      </c>
      <c r="E5283" s="120">
        <v>500</v>
      </c>
      <c r="F5283" s="133" t="s">
        <v>590</v>
      </c>
      <c r="G5283" s="404" t="s">
        <v>45</v>
      </c>
      <c r="H5283" s="411">
        <v>546</v>
      </c>
      <c r="I5283" s="89">
        <f>-(H5283*0.09)</f>
        <v>-49.14</v>
      </c>
      <c r="J5283" s="258">
        <f t="shared" ref="J5283" si="1722">-((H5283*0.019)+0.3)</f>
        <v>-10.674000000000001</v>
      </c>
      <c r="K5283" s="90">
        <f t="shared" ref="K5283" si="1723">SUM(H5283:J5283)</f>
        <v>486.18600000000004</v>
      </c>
      <c r="L5283" s="131">
        <v>577</v>
      </c>
      <c r="M5283" s="187">
        <v>191.49</v>
      </c>
      <c r="N5283" s="91">
        <f t="shared" si="1707"/>
        <v>479.99</v>
      </c>
      <c r="O5283" s="411">
        <f t="shared" si="1696"/>
        <v>6.1960000000000264</v>
      </c>
      <c r="P5283" s="132" t="s">
        <v>52</v>
      </c>
      <c r="Q5283" s="232"/>
      <c r="R5283" s="411"/>
      <c r="T5283" s="134" t="s">
        <v>244</v>
      </c>
      <c r="U5283" s="266" t="s">
        <v>11579</v>
      </c>
      <c r="V5283" s="133" t="s">
        <v>55</v>
      </c>
      <c r="AA5283" s="218"/>
    </row>
    <row r="5284" spans="1:27" x14ac:dyDescent="0.25">
      <c r="A5284" s="419">
        <v>3004150</v>
      </c>
      <c r="B5284" s="421">
        <v>42619</v>
      </c>
      <c r="C5284" s="419" t="s">
        <v>42</v>
      </c>
      <c r="D5284" s="417" t="s">
        <v>4664</v>
      </c>
      <c r="E5284" s="120">
        <v>250</v>
      </c>
      <c r="F5284" s="133" t="s">
        <v>173</v>
      </c>
      <c r="G5284" s="434" t="s">
        <v>45</v>
      </c>
      <c r="H5284" s="427">
        <v>333.9</v>
      </c>
      <c r="I5284" s="500">
        <f>-(H5284*0.09)</f>
        <v>-30.050999999999998</v>
      </c>
      <c r="J5284" s="425">
        <f t="shared" ref="J5284" si="1724">-((H5284*0.019)+0.3)</f>
        <v>-6.644099999999999</v>
      </c>
      <c r="K5284" s="425">
        <f t="shared" ref="K5284" si="1725">SUM(H5284:J5284)</f>
        <v>297.20490000000001</v>
      </c>
      <c r="L5284" s="131">
        <v>409</v>
      </c>
      <c r="M5284" s="187">
        <v>44.7</v>
      </c>
      <c r="N5284" s="91">
        <f t="shared" si="1707"/>
        <v>146.94999999999999</v>
      </c>
      <c r="O5284" s="411">
        <f t="shared" si="1696"/>
        <v>150.25490000000002</v>
      </c>
      <c r="P5284" s="132" t="s">
        <v>52</v>
      </c>
      <c r="Q5284" s="232"/>
      <c r="R5284" s="411"/>
      <c r="T5284" s="519" t="s">
        <v>145</v>
      </c>
      <c r="U5284" s="259">
        <v>680483359814</v>
      </c>
      <c r="AA5284" s="218"/>
    </row>
    <row r="5285" spans="1:27" x14ac:dyDescent="0.25">
      <c r="A5285" s="420"/>
      <c r="B5285" s="422"/>
      <c r="C5285" s="420"/>
      <c r="D5285" s="418"/>
      <c r="E5285" s="120">
        <v>250</v>
      </c>
      <c r="F5285" s="133" t="s">
        <v>972</v>
      </c>
      <c r="G5285" s="436"/>
      <c r="H5285" s="428"/>
      <c r="I5285" s="501"/>
      <c r="J5285" s="426"/>
      <c r="K5285" s="426"/>
      <c r="L5285" s="131">
        <v>205</v>
      </c>
      <c r="M5285" s="187">
        <v>31.22</v>
      </c>
      <c r="N5285" s="91">
        <f t="shared" si="1707"/>
        <v>82.47</v>
      </c>
      <c r="O5285" s="411">
        <f t="shared" si="1696"/>
        <v>-82.47</v>
      </c>
      <c r="P5285" s="132" t="s">
        <v>52</v>
      </c>
      <c r="Q5285" s="232"/>
      <c r="R5285" s="411"/>
      <c r="T5285" s="520"/>
      <c r="U5285" s="259">
        <v>680483359825</v>
      </c>
      <c r="AA5285" s="218"/>
    </row>
    <row r="5286" spans="1:27" ht="24" x14ac:dyDescent="0.25">
      <c r="A5286" s="405">
        <v>3004151</v>
      </c>
      <c r="B5286" s="406">
        <v>42619</v>
      </c>
      <c r="C5286" s="405" t="s">
        <v>42</v>
      </c>
      <c r="D5286" s="401" t="s">
        <v>11580</v>
      </c>
      <c r="E5286" s="120">
        <v>500</v>
      </c>
      <c r="F5286" s="133" t="s">
        <v>210</v>
      </c>
      <c r="G5286" s="404" t="s">
        <v>45</v>
      </c>
      <c r="H5286" s="411">
        <v>551</v>
      </c>
      <c r="I5286" s="89">
        <f t="shared" ref="I5286:I5291" si="1726">-(H5286*0.09)</f>
        <v>-49.589999999999996</v>
      </c>
      <c r="J5286" s="258">
        <f t="shared" ref="J5286" si="1727">-((H5286*0.019)+0.3)</f>
        <v>-10.769</v>
      </c>
      <c r="K5286" s="90">
        <f t="shared" ref="K5286" si="1728">SUM(H5286:J5286)</f>
        <v>490.64100000000002</v>
      </c>
      <c r="L5286" s="187">
        <v>650</v>
      </c>
      <c r="M5286" s="187">
        <v>81.45</v>
      </c>
      <c r="N5286" s="91">
        <f t="shared" si="1707"/>
        <v>406.45</v>
      </c>
      <c r="O5286" s="411">
        <f t="shared" si="1696"/>
        <v>84.191000000000031</v>
      </c>
      <c r="P5286" s="132" t="s">
        <v>235</v>
      </c>
      <c r="Q5286" s="232"/>
      <c r="R5286" s="411"/>
      <c r="T5286" s="172" t="s">
        <v>145</v>
      </c>
      <c r="U5286" s="304" t="s">
        <v>11581</v>
      </c>
      <c r="AA5286" s="218"/>
    </row>
    <row r="5287" spans="1:27" ht="24" x14ac:dyDescent="0.25">
      <c r="A5287" s="405">
        <v>3004152</v>
      </c>
      <c r="B5287" s="406">
        <v>42619</v>
      </c>
      <c r="C5287" s="405" t="s">
        <v>42</v>
      </c>
      <c r="D5287" s="401" t="s">
        <v>11582</v>
      </c>
      <c r="E5287" s="120">
        <v>150</v>
      </c>
      <c r="F5287" s="133" t="s">
        <v>877</v>
      </c>
      <c r="G5287" s="404" t="s">
        <v>45</v>
      </c>
      <c r="H5287" s="411">
        <v>129.47</v>
      </c>
      <c r="I5287" s="89">
        <f t="shared" si="1726"/>
        <v>-11.6523</v>
      </c>
      <c r="J5287" s="258">
        <f t="shared" ref="J5287" si="1729">-((H5287*0.019)+0.3)</f>
        <v>-2.7599299999999998</v>
      </c>
      <c r="K5287" s="90">
        <f t="shared" ref="K5287" si="1730">SUM(H5287:J5287)</f>
        <v>115.05777</v>
      </c>
      <c r="L5287" s="131">
        <v>235</v>
      </c>
      <c r="M5287" s="187">
        <v>17.149999999999999</v>
      </c>
      <c r="N5287" s="91">
        <f t="shared" si="1707"/>
        <v>52.4</v>
      </c>
      <c r="O5287" s="411">
        <f t="shared" si="1696"/>
        <v>62.657770000000006</v>
      </c>
      <c r="P5287" s="132" t="s">
        <v>52</v>
      </c>
      <c r="Q5287" s="232"/>
      <c r="R5287" s="411"/>
      <c r="T5287" s="172" t="s">
        <v>145</v>
      </c>
      <c r="U5287" s="273">
        <v>702723287455</v>
      </c>
      <c r="AA5287" s="218"/>
    </row>
    <row r="5288" spans="1:27" ht="24" x14ac:dyDescent="0.25">
      <c r="A5288" s="405">
        <v>3004153</v>
      </c>
      <c r="B5288" s="406">
        <v>42619</v>
      </c>
      <c r="C5288" s="405" t="s">
        <v>42</v>
      </c>
      <c r="D5288" s="401" t="s">
        <v>11583</v>
      </c>
      <c r="E5288" s="120">
        <v>45</v>
      </c>
      <c r="F5288" s="133" t="s">
        <v>300</v>
      </c>
      <c r="G5288" s="404" t="s">
        <v>45</v>
      </c>
      <c r="H5288" s="411">
        <v>195.25</v>
      </c>
      <c r="I5288" s="89">
        <f t="shared" si="1726"/>
        <v>-17.572499999999998</v>
      </c>
      <c r="J5288" s="258">
        <f t="shared" ref="J5288" si="1731">-((H5288*0.019)+0.3)</f>
        <v>-4.0097500000000004</v>
      </c>
      <c r="K5288" s="90">
        <f t="shared" ref="K5288" si="1732">SUM(H5288:J5288)</f>
        <v>173.66775000000001</v>
      </c>
      <c r="L5288" s="131">
        <v>2150</v>
      </c>
      <c r="M5288" s="187">
        <v>22.45</v>
      </c>
      <c r="N5288" s="91">
        <f t="shared" si="1707"/>
        <v>119.2</v>
      </c>
      <c r="O5288" s="411">
        <f t="shared" si="1696"/>
        <v>54.467750000000009</v>
      </c>
      <c r="P5288" s="132" t="s">
        <v>52</v>
      </c>
      <c r="Q5288" s="232"/>
      <c r="R5288" s="411"/>
      <c r="T5288" s="172" t="s">
        <v>145</v>
      </c>
      <c r="U5288" s="273" t="s">
        <v>11584</v>
      </c>
      <c r="AA5288" s="218"/>
    </row>
    <row r="5289" spans="1:27" ht="24" x14ac:dyDescent="0.25">
      <c r="A5289" s="405">
        <v>3004154</v>
      </c>
      <c r="B5289" s="406">
        <v>42619</v>
      </c>
      <c r="C5289" s="405" t="s">
        <v>42</v>
      </c>
      <c r="D5289" s="401" t="s">
        <v>11585</v>
      </c>
      <c r="E5289" s="120">
        <v>200</v>
      </c>
      <c r="F5289" s="133" t="s">
        <v>829</v>
      </c>
      <c r="G5289" s="404" t="s">
        <v>45</v>
      </c>
      <c r="H5289" s="411">
        <v>208.31</v>
      </c>
      <c r="I5289" s="89">
        <f t="shared" si="1726"/>
        <v>-18.747899999999998</v>
      </c>
      <c r="J5289" s="258">
        <f t="shared" ref="J5289" si="1733">-((H5289*0.019)+0.3)</f>
        <v>-4.2578899999999997</v>
      </c>
      <c r="K5289" s="90">
        <f t="shared" ref="K5289" si="1734">SUM(H5289:J5289)</f>
        <v>185.30421000000001</v>
      </c>
      <c r="L5289" s="131">
        <v>510</v>
      </c>
      <c r="M5289" s="187">
        <v>27.91</v>
      </c>
      <c r="N5289" s="91">
        <f t="shared" si="1707"/>
        <v>129.91</v>
      </c>
      <c r="O5289" s="411">
        <f t="shared" si="1696"/>
        <v>55.394210000000015</v>
      </c>
      <c r="P5289" s="132" t="s">
        <v>52</v>
      </c>
      <c r="Q5289" s="232"/>
      <c r="R5289" s="411"/>
      <c r="T5289" s="172" t="s">
        <v>145</v>
      </c>
      <c r="U5289" s="273">
        <v>702723287466</v>
      </c>
      <c r="AA5289" s="218"/>
    </row>
    <row r="5290" spans="1:27" ht="24" x14ac:dyDescent="0.25">
      <c r="A5290" s="405">
        <v>3004155</v>
      </c>
      <c r="B5290" s="406">
        <v>42619</v>
      </c>
      <c r="C5290" s="405" t="s">
        <v>42</v>
      </c>
      <c r="D5290" s="401" t="s">
        <v>11397</v>
      </c>
      <c r="E5290" s="120">
        <v>1000</v>
      </c>
      <c r="F5290" s="133" t="s">
        <v>6885</v>
      </c>
      <c r="G5290" s="404" t="s">
        <v>45</v>
      </c>
      <c r="H5290" s="411">
        <v>683.1</v>
      </c>
      <c r="I5290" s="89">
        <f t="shared" si="1726"/>
        <v>-61.478999999999999</v>
      </c>
      <c r="J5290" s="258">
        <f t="shared" ref="J5290" si="1735">-((H5290*0.019)+0.3)</f>
        <v>-13.2789</v>
      </c>
      <c r="K5290" s="90">
        <f t="shared" ref="K5290" si="1736">SUM(H5290:J5290)</f>
        <v>608.34209999999996</v>
      </c>
      <c r="M5290" s="187">
        <v>59.46</v>
      </c>
      <c r="N5290" s="91">
        <f t="shared" si="1707"/>
        <v>59.46</v>
      </c>
      <c r="O5290" s="411">
        <f t="shared" si="1696"/>
        <v>548.88209999999992</v>
      </c>
      <c r="P5290" s="132" t="s">
        <v>52</v>
      </c>
      <c r="Q5290" s="232"/>
      <c r="R5290" s="411"/>
      <c r="T5290" s="172" t="s">
        <v>145</v>
      </c>
      <c r="U5290" s="273" t="s">
        <v>11586</v>
      </c>
      <c r="AA5290" s="218"/>
    </row>
    <row r="5291" spans="1:27" ht="24" customHeight="1" x14ac:dyDescent="0.25">
      <c r="A5291" s="419">
        <v>3004156</v>
      </c>
      <c r="B5291" s="421">
        <v>42619</v>
      </c>
      <c r="C5291" s="419" t="s">
        <v>42</v>
      </c>
      <c r="D5291" s="417" t="s">
        <v>11587</v>
      </c>
      <c r="E5291" s="120">
        <v>250</v>
      </c>
      <c r="F5291" s="133" t="s">
        <v>590</v>
      </c>
      <c r="G5291" s="434" t="s">
        <v>45</v>
      </c>
      <c r="H5291" s="427">
        <v>555.84</v>
      </c>
      <c r="I5291" s="452">
        <f t="shared" si="1726"/>
        <v>-50.025600000000004</v>
      </c>
      <c r="J5291" s="498">
        <f t="shared" ref="J5291" si="1737">-((H5291*0.019)+0.3)</f>
        <v>-10.86096</v>
      </c>
      <c r="K5291" s="425">
        <f t="shared" ref="K5291" si="1738">SUM(H5291:J5291)</f>
        <v>494.95344000000006</v>
      </c>
      <c r="L5291" s="131">
        <v>577</v>
      </c>
      <c r="M5291" s="187">
        <v>38.450000000000003</v>
      </c>
      <c r="N5291" s="91">
        <f t="shared" si="1707"/>
        <v>182.7</v>
      </c>
      <c r="O5291" s="411">
        <f t="shared" si="1696"/>
        <v>312.25344000000007</v>
      </c>
      <c r="P5291" s="132" t="s">
        <v>52</v>
      </c>
      <c r="Q5291" s="232"/>
      <c r="R5291" s="411"/>
      <c r="T5291" s="519" t="s">
        <v>145</v>
      </c>
      <c r="U5291" s="273">
        <v>680483359836</v>
      </c>
      <c r="AA5291" s="218"/>
    </row>
    <row r="5292" spans="1:27" x14ac:dyDescent="0.25">
      <c r="A5292" s="420"/>
      <c r="B5292" s="422"/>
      <c r="C5292" s="420"/>
      <c r="D5292" s="418"/>
      <c r="E5292" s="120">
        <v>500</v>
      </c>
      <c r="F5292" s="133" t="s">
        <v>451</v>
      </c>
      <c r="G5292" s="436"/>
      <c r="H5292" s="428"/>
      <c r="I5292" s="453"/>
      <c r="J5292" s="499"/>
      <c r="K5292" s="426"/>
      <c r="L5292" s="131">
        <v>300</v>
      </c>
      <c r="M5292" s="187">
        <v>38.450000000000003</v>
      </c>
      <c r="N5292" s="91">
        <f t="shared" si="1707"/>
        <v>188.45</v>
      </c>
      <c r="O5292" s="411">
        <f t="shared" si="1696"/>
        <v>-188.45</v>
      </c>
      <c r="P5292" s="132" t="s">
        <v>52</v>
      </c>
      <c r="Q5292" s="232"/>
      <c r="R5292" s="411"/>
      <c r="T5292" s="520"/>
      <c r="U5292" s="273">
        <v>680483359847</v>
      </c>
      <c r="AA5292" s="218"/>
    </row>
    <row r="5293" spans="1:27" ht="24" x14ac:dyDescent="0.25">
      <c r="A5293" s="405">
        <v>3004157</v>
      </c>
      <c r="B5293" s="406">
        <v>42619</v>
      </c>
      <c r="C5293" s="405" t="s">
        <v>42</v>
      </c>
      <c r="D5293" s="401" t="s">
        <v>11588</v>
      </c>
      <c r="E5293" s="120">
        <v>600</v>
      </c>
      <c r="F5293" s="133" t="s">
        <v>227</v>
      </c>
      <c r="G5293" s="404" t="s">
        <v>45</v>
      </c>
      <c r="H5293" s="411">
        <v>507.59</v>
      </c>
      <c r="I5293" s="89">
        <f t="shared" ref="I5293:I5311" si="1739">-(H5293*0.09)</f>
        <v>-45.683099999999996</v>
      </c>
      <c r="J5293" s="258">
        <f t="shared" ref="J5293" si="1740">-((H5293*0.019)+0.3)</f>
        <v>-9.94421</v>
      </c>
      <c r="K5293" s="90">
        <f t="shared" ref="K5293" si="1741">SUM(H5293:J5293)</f>
        <v>451.96268999999995</v>
      </c>
      <c r="L5293" s="131">
        <v>300</v>
      </c>
      <c r="M5293" s="187">
        <v>149.16999999999999</v>
      </c>
      <c r="N5293" s="91">
        <f t="shared" si="1707"/>
        <v>329.16999999999996</v>
      </c>
      <c r="O5293" s="411">
        <f t="shared" si="1696"/>
        <v>122.79268999999999</v>
      </c>
      <c r="P5293" s="132" t="s">
        <v>86</v>
      </c>
      <c r="Q5293" s="232"/>
      <c r="R5293" s="411"/>
      <c r="T5293" s="172" t="s">
        <v>145</v>
      </c>
      <c r="U5293" s="273">
        <v>675157529503</v>
      </c>
      <c r="AA5293" s="218"/>
    </row>
    <row r="5294" spans="1:27" ht="24" x14ac:dyDescent="0.25">
      <c r="A5294" s="405">
        <v>3004158</v>
      </c>
      <c r="B5294" s="406">
        <v>42619</v>
      </c>
      <c r="C5294" s="405" t="s">
        <v>42</v>
      </c>
      <c r="D5294" s="401" t="s">
        <v>11589</v>
      </c>
      <c r="E5294" s="120">
        <v>200</v>
      </c>
      <c r="F5294" s="133" t="s">
        <v>227</v>
      </c>
      <c r="G5294" s="404" t="s">
        <v>45</v>
      </c>
      <c r="H5294" s="411">
        <v>178.1</v>
      </c>
      <c r="I5294" s="89">
        <f t="shared" si="1739"/>
        <v>-16.029</v>
      </c>
      <c r="J5294" s="258">
        <f t="shared" ref="J5294" si="1742">-((H5294*0.019)+0.3)</f>
        <v>-3.6838999999999995</v>
      </c>
      <c r="K5294" s="90">
        <f t="shared" ref="K5294" si="1743">SUM(H5294:J5294)</f>
        <v>158.3871</v>
      </c>
      <c r="L5294" s="131">
        <v>350</v>
      </c>
      <c r="M5294" s="187">
        <v>19.98</v>
      </c>
      <c r="N5294" s="91">
        <f t="shared" si="1707"/>
        <v>89.98</v>
      </c>
      <c r="O5294" s="411">
        <f t="shared" si="1696"/>
        <v>68.4071</v>
      </c>
      <c r="P5294" s="132" t="s">
        <v>52</v>
      </c>
      <c r="Q5294" s="232"/>
      <c r="R5294" s="411"/>
      <c r="T5294" s="172" t="s">
        <v>145</v>
      </c>
      <c r="U5294" s="273">
        <v>680483359803</v>
      </c>
      <c r="AA5294" s="218"/>
    </row>
    <row r="5295" spans="1:27" ht="24" x14ac:dyDescent="0.25">
      <c r="A5295" s="405">
        <v>3004159</v>
      </c>
      <c r="B5295" s="406">
        <v>42619</v>
      </c>
      <c r="C5295" s="405" t="s">
        <v>42</v>
      </c>
      <c r="D5295" s="401" t="s">
        <v>11590</v>
      </c>
      <c r="E5295" s="120">
        <v>150</v>
      </c>
      <c r="F5295" s="133" t="s">
        <v>165</v>
      </c>
      <c r="G5295" s="404" t="s">
        <v>45</v>
      </c>
      <c r="H5295" s="411">
        <v>151.19</v>
      </c>
      <c r="I5295" s="89">
        <f t="shared" si="1739"/>
        <v>-13.607099999999999</v>
      </c>
      <c r="J5295" s="258">
        <f t="shared" ref="J5295" si="1744">-((H5295*0.019)+0.3)</f>
        <v>-3.1726099999999997</v>
      </c>
      <c r="K5295" s="90">
        <f t="shared" ref="K5295" si="1745">SUM(H5295:J5295)</f>
        <v>134.41029</v>
      </c>
      <c r="L5295" s="131">
        <v>375</v>
      </c>
      <c r="M5295" s="187">
        <v>19.809999999999999</v>
      </c>
      <c r="N5295" s="91">
        <f t="shared" si="1707"/>
        <v>76.06</v>
      </c>
      <c r="O5295" s="411">
        <f t="shared" si="1696"/>
        <v>58.350290000000001</v>
      </c>
      <c r="P5295" s="132" t="s">
        <v>52</v>
      </c>
      <c r="Q5295" s="232"/>
      <c r="R5295" s="411"/>
      <c r="T5295" s="172" t="s">
        <v>145</v>
      </c>
      <c r="U5295" s="273" t="s">
        <v>11591</v>
      </c>
      <c r="AA5295" s="218"/>
    </row>
    <row r="5296" spans="1:27" ht="24" x14ac:dyDescent="0.25">
      <c r="A5296" s="405">
        <v>3004160</v>
      </c>
      <c r="B5296" s="406">
        <v>42619</v>
      </c>
      <c r="C5296" s="405" t="s">
        <v>42</v>
      </c>
      <c r="D5296" s="401" t="s">
        <v>11592</v>
      </c>
      <c r="E5296" s="120">
        <v>50</v>
      </c>
      <c r="F5296" s="133" t="s">
        <v>161</v>
      </c>
      <c r="G5296" s="404" t="s">
        <v>45</v>
      </c>
      <c r="H5296" s="411">
        <v>142.75</v>
      </c>
      <c r="I5296" s="89">
        <f t="shared" si="1739"/>
        <v>-12.8475</v>
      </c>
      <c r="J5296" s="258">
        <f t="shared" ref="J5296" si="1746">-((H5296*0.019)+0.3)</f>
        <v>-3.0122499999999999</v>
      </c>
      <c r="K5296" s="90">
        <f t="shared" ref="K5296" si="1747">SUM(H5296:J5296)</f>
        <v>126.89025000000001</v>
      </c>
      <c r="L5296" s="131">
        <v>1322</v>
      </c>
      <c r="M5296" s="187">
        <v>13.77</v>
      </c>
      <c r="N5296" s="91">
        <f t="shared" si="1707"/>
        <v>79.87</v>
      </c>
      <c r="O5296" s="411">
        <f t="shared" si="1696"/>
        <v>47.020250000000004</v>
      </c>
      <c r="P5296" s="132" t="s">
        <v>52</v>
      </c>
      <c r="Q5296" s="232"/>
      <c r="R5296" s="411"/>
      <c r="T5296" s="172" t="s">
        <v>145</v>
      </c>
      <c r="U5296" s="273">
        <v>702723287591</v>
      </c>
      <c r="AA5296" s="218"/>
    </row>
    <row r="5297" spans="1:27" ht="24" x14ac:dyDescent="0.25">
      <c r="A5297" s="405">
        <v>3004161</v>
      </c>
      <c r="B5297" s="406">
        <v>42619</v>
      </c>
      <c r="C5297" s="405" t="s">
        <v>42</v>
      </c>
      <c r="D5297" s="401" t="s">
        <v>11593</v>
      </c>
      <c r="E5297" s="120">
        <v>400</v>
      </c>
      <c r="F5297" s="133" t="s">
        <v>247</v>
      </c>
      <c r="G5297" s="404" t="s">
        <v>45</v>
      </c>
      <c r="H5297" s="411">
        <v>470.9</v>
      </c>
      <c r="I5297" s="89">
        <f t="shared" si="1739"/>
        <v>-42.380999999999993</v>
      </c>
      <c r="J5297" s="258">
        <f t="shared" ref="J5297" si="1748">-((H5297*0.019)+0.3)</f>
        <v>-9.2470999999999997</v>
      </c>
      <c r="K5297" s="90">
        <f t="shared" ref="K5297" si="1749">SUM(H5297:J5297)</f>
        <v>419.27190000000002</v>
      </c>
      <c r="L5297" s="131">
        <v>480</v>
      </c>
      <c r="M5297" s="187">
        <v>57.79</v>
      </c>
      <c r="N5297" s="91">
        <f t="shared" si="1707"/>
        <v>249.79</v>
      </c>
      <c r="O5297" s="411">
        <f t="shared" si="1696"/>
        <v>169.48190000000002</v>
      </c>
      <c r="P5297" s="132" t="s">
        <v>52</v>
      </c>
      <c r="Q5297" s="232"/>
      <c r="R5297" s="411"/>
      <c r="T5297" s="172" t="s">
        <v>145</v>
      </c>
      <c r="U5297" s="273">
        <v>702723287444</v>
      </c>
      <c r="AA5297" s="218"/>
    </row>
    <row r="5298" spans="1:27" ht="24" x14ac:dyDescent="0.25">
      <c r="A5298" s="405">
        <v>3004162</v>
      </c>
      <c r="B5298" s="406">
        <v>42619</v>
      </c>
      <c r="C5298" s="405" t="s">
        <v>42</v>
      </c>
      <c r="D5298" s="401" t="s">
        <v>11594</v>
      </c>
      <c r="E5298" s="120">
        <v>500</v>
      </c>
      <c r="F5298" s="133" t="s">
        <v>580</v>
      </c>
      <c r="G5298" s="404" t="s">
        <v>45</v>
      </c>
      <c r="H5298" s="411">
        <v>140.13</v>
      </c>
      <c r="I5298" s="89">
        <f t="shared" si="1739"/>
        <v>-12.611699999999999</v>
      </c>
      <c r="J5298" s="258">
        <f t="shared" ref="J5298" si="1750">-((H5298*0.019)+0.3)</f>
        <v>-2.9624699999999997</v>
      </c>
      <c r="K5298" s="90">
        <f t="shared" ref="K5298" si="1751">SUM(H5298:J5298)</f>
        <v>124.55583</v>
      </c>
      <c r="L5298" s="187">
        <v>172</v>
      </c>
      <c r="M5298" s="187">
        <v>18.010000000000002</v>
      </c>
      <c r="N5298" s="91">
        <f t="shared" si="1707"/>
        <v>104.01</v>
      </c>
      <c r="O5298" s="411">
        <f t="shared" si="1696"/>
        <v>20.545829999999995</v>
      </c>
      <c r="P5298" s="132" t="s">
        <v>183</v>
      </c>
      <c r="Q5298" s="232"/>
      <c r="R5298" s="411"/>
      <c r="T5298" s="172" t="s">
        <v>145</v>
      </c>
      <c r="U5298" s="273" t="s">
        <v>11595</v>
      </c>
      <c r="AA5298" s="218"/>
    </row>
    <row r="5299" spans="1:27" ht="24" x14ac:dyDescent="0.25">
      <c r="A5299" s="405">
        <v>3004163</v>
      </c>
      <c r="B5299" s="406">
        <v>42619</v>
      </c>
      <c r="C5299" s="405" t="s">
        <v>42</v>
      </c>
      <c r="D5299" s="401" t="s">
        <v>11596</v>
      </c>
      <c r="E5299" s="120">
        <v>500</v>
      </c>
      <c r="F5299" s="119" t="s">
        <v>11597</v>
      </c>
      <c r="G5299" s="404" t="s">
        <v>45</v>
      </c>
      <c r="H5299" s="411">
        <v>124.64</v>
      </c>
      <c r="I5299" s="89">
        <f t="shared" si="1739"/>
        <v>-11.217599999999999</v>
      </c>
      <c r="J5299" s="258">
        <f t="shared" ref="J5299" si="1752">-((H5299*0.019)+0.3)</f>
        <v>-2.6681599999999999</v>
      </c>
      <c r="K5299" s="90">
        <f t="shared" ref="K5299" si="1753">SUM(H5299:J5299)</f>
        <v>110.75424</v>
      </c>
      <c r="L5299" s="187">
        <v>112</v>
      </c>
      <c r="M5299" s="187">
        <v>14.98</v>
      </c>
      <c r="N5299" s="91">
        <f t="shared" si="1707"/>
        <v>70.98</v>
      </c>
      <c r="O5299" s="411">
        <f t="shared" si="1696"/>
        <v>39.774239999999992</v>
      </c>
      <c r="P5299" s="132" t="s">
        <v>183</v>
      </c>
      <c r="Q5299" s="232"/>
      <c r="R5299" s="411"/>
      <c r="T5299" s="172" t="s">
        <v>145</v>
      </c>
      <c r="U5299" s="273">
        <v>700044011370</v>
      </c>
      <c r="AA5299" s="218"/>
    </row>
    <row r="5300" spans="1:27" ht="24" x14ac:dyDescent="0.25">
      <c r="A5300" s="405">
        <v>3004164</v>
      </c>
      <c r="B5300" s="406">
        <v>42619</v>
      </c>
      <c r="C5300" s="405" t="s">
        <v>42</v>
      </c>
      <c r="D5300" s="401" t="s">
        <v>11598</v>
      </c>
      <c r="E5300" s="120">
        <v>100</v>
      </c>
      <c r="F5300" s="133" t="s">
        <v>288</v>
      </c>
      <c r="G5300" s="404" t="s">
        <v>45</v>
      </c>
      <c r="H5300" s="411">
        <v>195.25</v>
      </c>
      <c r="I5300" s="89">
        <f t="shared" si="1739"/>
        <v>-17.572499999999998</v>
      </c>
      <c r="J5300" s="258">
        <f t="shared" ref="J5300" si="1754">-((H5300*0.019)+0.3)</f>
        <v>-4.0097500000000004</v>
      </c>
      <c r="K5300" s="90">
        <f t="shared" ref="K5300" si="1755">SUM(H5300:J5300)</f>
        <v>173.66775000000001</v>
      </c>
      <c r="L5300" s="131">
        <v>950</v>
      </c>
      <c r="M5300" s="187">
        <v>41.63</v>
      </c>
      <c r="N5300" s="91">
        <f t="shared" si="1707"/>
        <v>136.63</v>
      </c>
      <c r="O5300" s="411">
        <f t="shared" si="1696"/>
        <v>37.037750000000017</v>
      </c>
      <c r="P5300" s="132" t="s">
        <v>52</v>
      </c>
      <c r="Q5300" s="232"/>
      <c r="R5300" s="411"/>
      <c r="T5300" s="172" t="s">
        <v>145</v>
      </c>
      <c r="U5300" s="259">
        <v>680483359777</v>
      </c>
      <c r="AA5300" s="218"/>
    </row>
    <row r="5301" spans="1:27" ht="24" x14ac:dyDescent="0.25">
      <c r="A5301" s="405">
        <v>3004165</v>
      </c>
      <c r="B5301" s="406">
        <v>42619</v>
      </c>
      <c r="C5301" s="405" t="s">
        <v>42</v>
      </c>
      <c r="D5301" s="401" t="s">
        <v>11599</v>
      </c>
      <c r="E5301" s="120">
        <v>100</v>
      </c>
      <c r="F5301" s="133" t="s">
        <v>176</v>
      </c>
      <c r="G5301" s="404" t="s">
        <v>45</v>
      </c>
      <c r="H5301" s="411">
        <v>343</v>
      </c>
      <c r="I5301" s="89">
        <f t="shared" si="1739"/>
        <v>-30.869999999999997</v>
      </c>
      <c r="J5301" s="258">
        <f t="shared" ref="J5301" si="1756">-((H5301*0.019)+0.3)</f>
        <v>-6.8169999999999993</v>
      </c>
      <c r="K5301" s="90">
        <f t="shared" ref="K5301" si="1757">SUM(H5301:J5301)</f>
        <v>305.31299999999999</v>
      </c>
      <c r="L5301" s="131">
        <v>1693</v>
      </c>
      <c r="N5301" s="91">
        <f t="shared" si="1707"/>
        <v>169.3</v>
      </c>
      <c r="O5301" s="411">
        <f t="shared" si="1696"/>
        <v>136.01299999999998</v>
      </c>
      <c r="P5301" s="132" t="s">
        <v>52</v>
      </c>
      <c r="Q5301" s="232"/>
      <c r="R5301" s="411"/>
      <c r="T5301" s="172" t="s">
        <v>145</v>
      </c>
      <c r="U5301" s="259">
        <v>702723287400</v>
      </c>
      <c r="AA5301" s="218"/>
    </row>
    <row r="5302" spans="1:27" ht="24" x14ac:dyDescent="0.25">
      <c r="A5302" s="405">
        <v>3004166</v>
      </c>
      <c r="B5302" s="406">
        <v>42619</v>
      </c>
      <c r="C5302" s="405" t="s">
        <v>42</v>
      </c>
      <c r="D5302" s="401" t="s">
        <v>11600</v>
      </c>
      <c r="E5302" s="120">
        <v>250</v>
      </c>
      <c r="F5302" s="133" t="s">
        <v>1550</v>
      </c>
      <c r="G5302" s="404" t="s">
        <v>45</v>
      </c>
      <c r="H5302" s="411">
        <v>334.62</v>
      </c>
      <c r="I5302" s="89">
        <f t="shared" si="1739"/>
        <v>-30.1158</v>
      </c>
      <c r="J5302" s="258">
        <f t="shared" ref="J5302" si="1758">-((H5302*0.019)+0.3)</f>
        <v>-6.6577799999999998</v>
      </c>
      <c r="K5302" s="90">
        <f t="shared" ref="K5302" si="1759">SUM(H5302:J5302)</f>
        <v>297.84642000000002</v>
      </c>
      <c r="M5302" s="187">
        <v>49.43</v>
      </c>
      <c r="N5302" s="91">
        <f t="shared" si="1707"/>
        <v>49.43</v>
      </c>
      <c r="O5302" s="411">
        <f t="shared" si="1696"/>
        <v>248.41642000000002</v>
      </c>
      <c r="P5302" s="132" t="s">
        <v>52</v>
      </c>
      <c r="Q5302" s="232"/>
      <c r="R5302" s="411"/>
      <c r="T5302" s="172" t="s">
        <v>145</v>
      </c>
      <c r="U5302" s="259">
        <v>702723287558</v>
      </c>
      <c r="AA5302" s="218"/>
    </row>
    <row r="5303" spans="1:27" ht="24" x14ac:dyDescent="0.25">
      <c r="A5303" s="405">
        <v>3004167</v>
      </c>
      <c r="B5303" s="406">
        <v>42619</v>
      </c>
      <c r="C5303" s="405" t="s">
        <v>42</v>
      </c>
      <c r="D5303" s="401" t="s">
        <v>11601</v>
      </c>
      <c r="E5303" s="120">
        <v>1000</v>
      </c>
      <c r="F5303" s="133" t="s">
        <v>6348</v>
      </c>
      <c r="G5303" s="404" t="s">
        <v>45</v>
      </c>
      <c r="H5303" s="411">
        <v>750</v>
      </c>
      <c r="I5303" s="89">
        <f t="shared" si="1739"/>
        <v>-67.5</v>
      </c>
      <c r="J5303" s="258">
        <f t="shared" ref="J5303:J5304" si="1760">-((H5303*0.019)+0.3)</f>
        <v>-14.55</v>
      </c>
      <c r="K5303" s="90">
        <f t="shared" ref="K5303:K5304" si="1761">SUM(H5303:J5303)</f>
        <v>667.95</v>
      </c>
      <c r="L5303" s="131">
        <v>318.43</v>
      </c>
      <c r="M5303" s="187">
        <v>71.72</v>
      </c>
      <c r="N5303" s="91">
        <f t="shared" si="1707"/>
        <v>390.15</v>
      </c>
      <c r="O5303" s="411">
        <f t="shared" si="1696"/>
        <v>277.80000000000007</v>
      </c>
      <c r="P5303" s="132" t="s">
        <v>86</v>
      </c>
      <c r="Q5303" s="232"/>
      <c r="R5303" s="411"/>
      <c r="T5303" s="172" t="s">
        <v>145</v>
      </c>
      <c r="U5303" s="259">
        <v>675157529455</v>
      </c>
      <c r="AA5303" s="218"/>
    </row>
    <row r="5304" spans="1:27" ht="24" x14ac:dyDescent="0.25">
      <c r="A5304" s="405">
        <v>3004168</v>
      </c>
      <c r="B5304" s="406">
        <v>42619</v>
      </c>
      <c r="C5304" s="405" t="s">
        <v>42</v>
      </c>
      <c r="D5304" s="401" t="s">
        <v>11602</v>
      </c>
      <c r="E5304" s="120">
        <v>100</v>
      </c>
      <c r="F5304" s="133" t="s">
        <v>161</v>
      </c>
      <c r="G5304" s="404" t="s">
        <v>45</v>
      </c>
      <c r="H5304" s="411">
        <v>245</v>
      </c>
      <c r="I5304" s="89">
        <f t="shared" si="1739"/>
        <v>-22.05</v>
      </c>
      <c r="J5304" s="258">
        <f t="shared" si="1760"/>
        <v>-4.9550000000000001</v>
      </c>
      <c r="K5304" s="90">
        <f t="shared" si="1761"/>
        <v>217.99499999999998</v>
      </c>
      <c r="L5304" s="131">
        <v>1322</v>
      </c>
      <c r="M5304" s="187">
        <v>36.24</v>
      </c>
      <c r="N5304" s="91">
        <f t="shared" si="1707"/>
        <v>168.44000000000003</v>
      </c>
      <c r="O5304" s="411">
        <f t="shared" si="1696"/>
        <v>49.55499999999995</v>
      </c>
      <c r="P5304" s="132" t="s">
        <v>52</v>
      </c>
      <c r="Q5304" s="232"/>
      <c r="R5304" s="411"/>
      <c r="T5304" s="172" t="s">
        <v>145</v>
      </c>
      <c r="U5304" s="259" t="s">
        <v>11603</v>
      </c>
      <c r="AA5304" s="218"/>
    </row>
    <row r="5305" spans="1:27" ht="24" x14ac:dyDescent="0.25">
      <c r="A5305" s="405">
        <v>3004169</v>
      </c>
      <c r="B5305" s="406">
        <v>42619</v>
      </c>
      <c r="C5305" s="405" t="s">
        <v>42</v>
      </c>
      <c r="D5305" s="401" t="s">
        <v>11604</v>
      </c>
      <c r="E5305" s="120">
        <v>250</v>
      </c>
      <c r="F5305" s="133" t="s">
        <v>2949</v>
      </c>
      <c r="G5305" s="404" t="s">
        <v>45</v>
      </c>
      <c r="H5305" s="411">
        <v>431.64</v>
      </c>
      <c r="I5305" s="89">
        <f t="shared" si="1739"/>
        <v>-38.8476</v>
      </c>
      <c r="J5305" s="258">
        <f t="shared" ref="J5305" si="1762">-((H5305*0.019)+0.3)</f>
        <v>-8.5011600000000005</v>
      </c>
      <c r="K5305" s="90">
        <f t="shared" ref="K5305" si="1763">SUM(H5305:J5305)</f>
        <v>384.29123999999996</v>
      </c>
      <c r="L5305" s="131">
        <v>1100</v>
      </c>
      <c r="M5305" s="187">
        <v>58.05</v>
      </c>
      <c r="N5305" s="91">
        <f t="shared" si="1707"/>
        <v>333.05</v>
      </c>
      <c r="O5305" s="411">
        <f t="shared" si="1696"/>
        <v>51.241239999999948</v>
      </c>
      <c r="P5305" s="132" t="s">
        <v>52</v>
      </c>
      <c r="Q5305" s="232"/>
      <c r="R5305" s="411"/>
      <c r="T5305" s="172" t="s">
        <v>145</v>
      </c>
      <c r="U5305" s="259" t="s">
        <v>11605</v>
      </c>
      <c r="AA5305" s="218"/>
    </row>
    <row r="5306" spans="1:27" ht="24" x14ac:dyDescent="0.25">
      <c r="A5306" s="405">
        <v>3004170</v>
      </c>
      <c r="B5306" s="406">
        <v>42619</v>
      </c>
      <c r="C5306" s="405" t="s">
        <v>42</v>
      </c>
      <c r="D5306" s="401" t="s">
        <v>11606</v>
      </c>
      <c r="E5306" s="120">
        <v>100</v>
      </c>
      <c r="F5306" s="133" t="s">
        <v>247</v>
      </c>
      <c r="G5306" s="404" t="s">
        <v>45</v>
      </c>
      <c r="H5306" s="411">
        <v>123.94</v>
      </c>
      <c r="I5306" s="89">
        <f t="shared" si="1739"/>
        <v>-11.154599999999999</v>
      </c>
      <c r="J5306" s="258">
        <f t="shared" ref="J5306" si="1764">-((H5306*0.019)+0.3)</f>
        <v>-2.6548599999999998</v>
      </c>
      <c r="K5306" s="90">
        <f t="shared" ref="K5306" si="1765">SUM(H5306:J5306)</f>
        <v>110.13054</v>
      </c>
      <c r="L5306" s="131">
        <v>480</v>
      </c>
      <c r="M5306" s="187">
        <v>28.27</v>
      </c>
      <c r="N5306" s="91">
        <f t="shared" si="1707"/>
        <v>76.27</v>
      </c>
      <c r="O5306" s="411">
        <f t="shared" si="1696"/>
        <v>33.86054</v>
      </c>
      <c r="P5306" s="132" t="s">
        <v>52</v>
      </c>
      <c r="Q5306" s="232"/>
      <c r="R5306" s="411"/>
      <c r="T5306" s="172" t="s">
        <v>145</v>
      </c>
      <c r="U5306" s="259">
        <v>702723287617</v>
      </c>
      <c r="AA5306" s="218"/>
    </row>
    <row r="5307" spans="1:27" ht="24" x14ac:dyDescent="0.25">
      <c r="A5307" s="405">
        <v>3004171</v>
      </c>
      <c r="B5307" s="406">
        <v>42619</v>
      </c>
      <c r="C5307" s="405" t="s">
        <v>42</v>
      </c>
      <c r="D5307" s="401" t="s">
        <v>11607</v>
      </c>
      <c r="E5307" s="120">
        <v>250</v>
      </c>
      <c r="F5307" s="133" t="s">
        <v>2361</v>
      </c>
      <c r="G5307" s="404" t="s">
        <v>45</v>
      </c>
      <c r="H5307" s="411">
        <v>320</v>
      </c>
      <c r="I5307" s="89">
        <f t="shared" si="1739"/>
        <v>-28.799999999999997</v>
      </c>
      <c r="J5307" s="258">
        <f t="shared" ref="J5307" si="1766">-((H5307*0.019)+0.3)</f>
        <v>-6.38</v>
      </c>
      <c r="K5307" s="90">
        <f t="shared" ref="K5307" si="1767">SUM(H5307:J5307)</f>
        <v>284.82</v>
      </c>
      <c r="M5307" s="187">
        <v>49.35</v>
      </c>
      <c r="N5307" s="91">
        <f t="shared" si="1707"/>
        <v>49.35</v>
      </c>
      <c r="O5307" s="411">
        <f t="shared" si="1696"/>
        <v>235.47</v>
      </c>
      <c r="P5307" s="132" t="s">
        <v>86</v>
      </c>
      <c r="Q5307" s="232"/>
      <c r="R5307" s="411"/>
      <c r="T5307" s="172" t="s">
        <v>145</v>
      </c>
      <c r="U5307" s="259">
        <v>675157529514</v>
      </c>
      <c r="AA5307" s="218"/>
    </row>
    <row r="5308" spans="1:27" ht="24" x14ac:dyDescent="0.25">
      <c r="A5308" s="405">
        <v>3004172</v>
      </c>
      <c r="B5308" s="406">
        <v>42619</v>
      </c>
      <c r="C5308" s="405" t="s">
        <v>42</v>
      </c>
      <c r="D5308" s="401" t="s">
        <v>11608</v>
      </c>
      <c r="E5308" s="120">
        <v>100</v>
      </c>
      <c r="F5308" s="133" t="s">
        <v>161</v>
      </c>
      <c r="G5308" s="404" t="s">
        <v>45</v>
      </c>
      <c r="H5308" s="411">
        <v>262.14999999999998</v>
      </c>
      <c r="I5308" s="89">
        <f t="shared" si="1739"/>
        <v>-23.593499999999999</v>
      </c>
      <c r="J5308" s="258">
        <f t="shared" ref="J5308" si="1768">-((H5308*0.019)+0.3)</f>
        <v>-5.2808499999999992</v>
      </c>
      <c r="K5308" s="90">
        <f t="shared" ref="K5308" si="1769">SUM(H5308:J5308)</f>
        <v>233.27564999999998</v>
      </c>
      <c r="L5308" s="131">
        <v>1322</v>
      </c>
      <c r="M5308" s="187">
        <v>26.75</v>
      </c>
      <c r="N5308" s="91">
        <f t="shared" si="1707"/>
        <v>158.95000000000002</v>
      </c>
      <c r="O5308" s="411">
        <f t="shared" si="1696"/>
        <v>74.325649999999968</v>
      </c>
      <c r="P5308" s="132" t="s">
        <v>52</v>
      </c>
      <c r="Q5308" s="232"/>
      <c r="R5308" s="411">
        <v>17.149999999999999</v>
      </c>
      <c r="S5308" s="133" t="s">
        <v>8849</v>
      </c>
      <c r="T5308" s="172" t="s">
        <v>145</v>
      </c>
      <c r="U5308" s="259">
        <v>702723287352</v>
      </c>
      <c r="AA5308" s="218"/>
    </row>
    <row r="5309" spans="1:27" ht="24" x14ac:dyDescent="0.25">
      <c r="A5309" s="405">
        <v>3004173</v>
      </c>
      <c r="B5309" s="406">
        <v>42619</v>
      </c>
      <c r="C5309" s="405" t="s">
        <v>42</v>
      </c>
      <c r="D5309" s="401" t="s">
        <v>11609</v>
      </c>
      <c r="E5309" s="120">
        <v>125</v>
      </c>
      <c r="F5309" s="133" t="s">
        <v>247</v>
      </c>
      <c r="G5309" s="404" t="s">
        <v>45</v>
      </c>
      <c r="H5309" s="411">
        <v>167</v>
      </c>
      <c r="I5309" s="89">
        <f t="shared" si="1739"/>
        <v>-15.03</v>
      </c>
      <c r="J5309" s="258">
        <f t="shared" ref="J5309" si="1770">-((H5309*0.019)+0.3)</f>
        <v>-3.4729999999999999</v>
      </c>
      <c r="K5309" s="90">
        <f t="shared" ref="K5309" si="1771">SUM(H5309:J5309)</f>
        <v>148.49699999999999</v>
      </c>
      <c r="L5309" s="131">
        <v>480</v>
      </c>
      <c r="M5309" s="187">
        <v>17.46</v>
      </c>
      <c r="N5309" s="91">
        <f t="shared" si="1707"/>
        <v>77.460000000000008</v>
      </c>
      <c r="O5309" s="411">
        <f t="shared" si="1696"/>
        <v>71.036999999999978</v>
      </c>
      <c r="P5309" s="132" t="s">
        <v>52</v>
      </c>
      <c r="Q5309" s="232"/>
      <c r="R5309" s="411"/>
      <c r="T5309" s="172" t="s">
        <v>145</v>
      </c>
      <c r="U5309" s="259">
        <v>702723287628</v>
      </c>
      <c r="AA5309" s="218"/>
    </row>
    <row r="5310" spans="1:27" ht="24" x14ac:dyDescent="0.25">
      <c r="A5310" s="405">
        <v>3004174</v>
      </c>
      <c r="B5310" s="406">
        <v>42619</v>
      </c>
      <c r="C5310" s="405" t="s">
        <v>42</v>
      </c>
      <c r="D5310" s="401" t="s">
        <v>11610</v>
      </c>
      <c r="E5310" s="120">
        <v>100</v>
      </c>
      <c r="F5310" s="133" t="s">
        <v>161</v>
      </c>
      <c r="G5310" s="404" t="s">
        <v>45</v>
      </c>
      <c r="H5310" s="411">
        <v>245</v>
      </c>
      <c r="I5310" s="89">
        <f t="shared" si="1739"/>
        <v>-22.05</v>
      </c>
      <c r="J5310" s="258">
        <f t="shared" ref="J5310" si="1772">-((H5310*0.019)+0.3)</f>
        <v>-4.9550000000000001</v>
      </c>
      <c r="K5310" s="90">
        <f t="shared" ref="K5310" si="1773">SUM(H5310:J5310)</f>
        <v>217.99499999999998</v>
      </c>
      <c r="L5310" s="131">
        <v>1322</v>
      </c>
      <c r="M5310" s="187">
        <v>26.8</v>
      </c>
      <c r="N5310" s="91">
        <f t="shared" si="1707"/>
        <v>159.00000000000003</v>
      </c>
      <c r="O5310" s="411">
        <f t="shared" si="1696"/>
        <v>58.994999999999948</v>
      </c>
      <c r="P5310" s="132" t="s">
        <v>52</v>
      </c>
      <c r="Q5310" s="232"/>
      <c r="R5310" s="411"/>
      <c r="T5310" s="172" t="s">
        <v>145</v>
      </c>
      <c r="U5310" s="259">
        <v>702723287385</v>
      </c>
      <c r="AA5310" s="218"/>
    </row>
    <row r="5311" spans="1:27" x14ac:dyDescent="0.25">
      <c r="A5311" s="405">
        <v>3004175</v>
      </c>
      <c r="B5311" s="406">
        <v>42619</v>
      </c>
      <c r="C5311" s="405" t="s">
        <v>42</v>
      </c>
      <c r="D5311" s="401" t="s">
        <v>11611</v>
      </c>
      <c r="E5311" s="120">
        <v>50</v>
      </c>
      <c r="F5311" s="133" t="s">
        <v>10892</v>
      </c>
      <c r="G5311" s="404" t="s">
        <v>45</v>
      </c>
      <c r="H5311" s="411">
        <v>0</v>
      </c>
      <c r="I5311" s="89">
        <f t="shared" si="1739"/>
        <v>0</v>
      </c>
      <c r="J5311" s="258">
        <f t="shared" ref="J5311:J5312" si="1774">-((H5311*0.019)+0.3)</f>
        <v>-0.3</v>
      </c>
      <c r="K5311" s="90">
        <f t="shared" ref="K5311:K5313" si="1775">SUM(H5311:J5311)</f>
        <v>-0.3</v>
      </c>
      <c r="N5311" s="91">
        <f t="shared" si="1707"/>
        <v>0</v>
      </c>
      <c r="O5311" s="411">
        <f t="shared" si="1696"/>
        <v>-0.3</v>
      </c>
      <c r="P5311" s="132" t="s">
        <v>1229</v>
      </c>
      <c r="Q5311" s="232"/>
      <c r="R5311" s="411"/>
      <c r="T5311" s="134"/>
      <c r="U5311" s="266"/>
      <c r="AA5311" s="218"/>
    </row>
    <row r="5312" spans="1:27" x14ac:dyDescent="0.25">
      <c r="A5312" s="405">
        <v>3004176</v>
      </c>
      <c r="B5312" s="406">
        <v>42619</v>
      </c>
      <c r="C5312" s="405" t="s">
        <v>78</v>
      </c>
      <c r="D5312" s="401" t="s">
        <v>269</v>
      </c>
      <c r="E5312" s="120">
        <v>1000</v>
      </c>
      <c r="F5312" s="133" t="s">
        <v>161</v>
      </c>
      <c r="G5312" s="404" t="s">
        <v>45</v>
      </c>
      <c r="H5312" s="411">
        <v>2190</v>
      </c>
      <c r="I5312" s="411">
        <v>0</v>
      </c>
      <c r="J5312" s="258">
        <f t="shared" si="1774"/>
        <v>-41.91</v>
      </c>
      <c r="K5312" s="90">
        <f t="shared" si="1775"/>
        <v>2148.09</v>
      </c>
      <c r="L5312" s="131">
        <v>1322</v>
      </c>
      <c r="M5312" s="187">
        <v>106.93</v>
      </c>
      <c r="N5312" s="91">
        <f t="shared" si="1707"/>
        <v>1428.93</v>
      </c>
      <c r="O5312" s="411">
        <f t="shared" si="1696"/>
        <v>719.16000000000008</v>
      </c>
      <c r="P5312" s="132" t="s">
        <v>86</v>
      </c>
      <c r="Q5312" s="232"/>
      <c r="R5312" s="411"/>
      <c r="T5312" s="134" t="s">
        <v>244</v>
      </c>
      <c r="U5312" s="267" t="s">
        <v>11612</v>
      </c>
      <c r="W5312" s="59" t="s">
        <v>271</v>
      </c>
      <c r="X5312" s="59"/>
      <c r="AA5312" s="218">
        <v>10</v>
      </c>
    </row>
    <row r="5313" spans="1:27" x14ac:dyDescent="0.25">
      <c r="A5313" s="419">
        <v>3004177</v>
      </c>
      <c r="B5313" s="421">
        <v>42619</v>
      </c>
      <c r="C5313" s="419" t="s">
        <v>327</v>
      </c>
      <c r="D5313" s="417" t="s">
        <v>11613</v>
      </c>
      <c r="E5313" s="120">
        <v>150</v>
      </c>
      <c r="F5313" s="133" t="s">
        <v>341</v>
      </c>
      <c r="G5313" s="434" t="s">
        <v>45</v>
      </c>
      <c r="H5313" s="427">
        <v>1070</v>
      </c>
      <c r="I5313" s="427">
        <v>0</v>
      </c>
      <c r="J5313" s="498">
        <f>-((H5313*0.022)+0.3)</f>
        <v>-23.84</v>
      </c>
      <c r="K5313" s="425">
        <f t="shared" si="1775"/>
        <v>1046.1600000000001</v>
      </c>
      <c r="L5313" s="187">
        <v>1030</v>
      </c>
      <c r="M5313" s="187">
        <v>105</v>
      </c>
      <c r="N5313" s="91">
        <f t="shared" si="1707"/>
        <v>259.5</v>
      </c>
      <c r="O5313" s="411">
        <f t="shared" si="1696"/>
        <v>786.66000000000008</v>
      </c>
      <c r="P5313" s="132" t="s">
        <v>183</v>
      </c>
      <c r="Q5313" s="232"/>
      <c r="R5313" s="411"/>
      <c r="T5313" s="519" t="s">
        <v>244</v>
      </c>
      <c r="U5313" s="537">
        <v>568357182</v>
      </c>
      <c r="W5313" s="153" t="s">
        <v>11614</v>
      </c>
      <c r="AA5313" s="473">
        <v>10</v>
      </c>
    </row>
    <row r="5314" spans="1:27" x14ac:dyDescent="0.25">
      <c r="A5314" s="420"/>
      <c r="B5314" s="422"/>
      <c r="C5314" s="420"/>
      <c r="D5314" s="418"/>
      <c r="E5314" s="120">
        <v>1380</v>
      </c>
      <c r="F5314" s="133" t="s">
        <v>11615</v>
      </c>
      <c r="G5314" s="436"/>
      <c r="H5314" s="428"/>
      <c r="I5314" s="428"/>
      <c r="J5314" s="499"/>
      <c r="K5314" s="426"/>
      <c r="L5314" s="187">
        <v>373</v>
      </c>
      <c r="M5314" s="187"/>
      <c r="N5314" s="91">
        <f t="shared" si="1707"/>
        <v>514.74</v>
      </c>
      <c r="O5314" s="411">
        <f t="shared" si="1696"/>
        <v>-514.74</v>
      </c>
      <c r="P5314" s="132" t="s">
        <v>183</v>
      </c>
      <c r="Q5314" s="232"/>
      <c r="R5314" s="411"/>
      <c r="T5314" s="610"/>
      <c r="U5314" s="538"/>
      <c r="AA5314" s="474"/>
    </row>
    <row r="5315" spans="1:27" ht="24" x14ac:dyDescent="0.25">
      <c r="A5315" s="405">
        <v>3004178</v>
      </c>
      <c r="B5315" s="406">
        <v>42619</v>
      </c>
      <c r="C5315" s="405" t="s">
        <v>63</v>
      </c>
      <c r="D5315" s="401" t="s">
        <v>5907</v>
      </c>
      <c r="E5315" s="120">
        <v>120</v>
      </c>
      <c r="F5315" s="133" t="s">
        <v>178</v>
      </c>
      <c r="G5315" s="404" t="s">
        <v>45</v>
      </c>
      <c r="H5315" s="411">
        <v>347.36</v>
      </c>
      <c r="I5315" s="411">
        <v>0</v>
      </c>
      <c r="J5315" s="258">
        <f>-((H5315*0.022)+0.3)</f>
        <v>-7.9419199999999996</v>
      </c>
      <c r="K5315" s="90">
        <f t="shared" ref="K5315" si="1776">SUM(H5315:J5315)</f>
        <v>339.41808000000003</v>
      </c>
      <c r="L5315" s="187">
        <v>1259</v>
      </c>
      <c r="M5315" s="187">
        <v>45.55</v>
      </c>
      <c r="N5315" s="91">
        <f t="shared" si="1707"/>
        <v>196.63</v>
      </c>
      <c r="O5315" s="411">
        <f t="shared" si="1696"/>
        <v>142.78808000000004</v>
      </c>
      <c r="P5315" s="132" t="s">
        <v>183</v>
      </c>
      <c r="Q5315" s="232"/>
      <c r="R5315" s="411"/>
      <c r="T5315" s="274" t="s">
        <v>145</v>
      </c>
      <c r="U5315" s="259" t="s">
        <v>11616</v>
      </c>
      <c r="W5315" s="153" t="s">
        <v>5909</v>
      </c>
      <c r="AA5315" s="218"/>
    </row>
    <row r="5316" spans="1:27" ht="24" x14ac:dyDescent="0.25">
      <c r="A5316" s="405">
        <v>3004179</v>
      </c>
      <c r="B5316" s="406">
        <v>42619</v>
      </c>
      <c r="C5316" s="405" t="s">
        <v>237</v>
      </c>
      <c r="D5316" s="401" t="s">
        <v>11617</v>
      </c>
      <c r="E5316" s="120">
        <v>150</v>
      </c>
      <c r="F5316" s="133" t="s">
        <v>451</v>
      </c>
      <c r="G5316" s="404" t="s">
        <v>45</v>
      </c>
      <c r="H5316" s="411">
        <v>125.93</v>
      </c>
      <c r="I5316" s="397">
        <f t="shared" ref="I5316" si="1777">-(H5316*0.15)</f>
        <v>-18.889500000000002</v>
      </c>
      <c r="J5316" s="411">
        <v>0</v>
      </c>
      <c r="K5316" s="90">
        <f t="shared" ref="K5316:K5327" si="1778">SUM(H5316:J5316)</f>
        <v>107.04050000000001</v>
      </c>
      <c r="M5316" s="187">
        <v>19.54</v>
      </c>
      <c r="N5316" s="91">
        <f t="shared" si="1707"/>
        <v>19.54</v>
      </c>
      <c r="O5316" s="411">
        <f t="shared" ref="O5316:O5379" si="1779">K5316-N5316</f>
        <v>87.500500000000017</v>
      </c>
      <c r="P5316" s="132" t="s">
        <v>52</v>
      </c>
      <c r="Q5316" s="232"/>
      <c r="R5316" s="411"/>
      <c r="T5316" s="172" t="s">
        <v>145</v>
      </c>
      <c r="U5316" s="259">
        <v>702723287525</v>
      </c>
      <c r="AA5316" s="218"/>
    </row>
    <row r="5317" spans="1:27" ht="24" x14ac:dyDescent="0.25">
      <c r="A5317" s="405">
        <v>3004180</v>
      </c>
      <c r="B5317" s="406">
        <v>42619</v>
      </c>
      <c r="C5317" s="405" t="s">
        <v>237</v>
      </c>
      <c r="D5317" s="401" t="s">
        <v>11618</v>
      </c>
      <c r="E5317" s="120">
        <v>100</v>
      </c>
      <c r="F5317" s="133" t="s">
        <v>288</v>
      </c>
      <c r="G5317" s="404" t="s">
        <v>45</v>
      </c>
      <c r="H5317" s="411">
        <v>193.04</v>
      </c>
      <c r="I5317" s="397">
        <f t="shared" ref="I5317" si="1780">-(H5317*0.15)</f>
        <v>-28.955999999999996</v>
      </c>
      <c r="J5317" s="411">
        <v>0</v>
      </c>
      <c r="K5317" s="90">
        <f t="shared" si="1778"/>
        <v>164.084</v>
      </c>
      <c r="L5317" s="131">
        <v>950</v>
      </c>
      <c r="M5317" s="187">
        <v>42.09</v>
      </c>
      <c r="N5317" s="91">
        <f t="shared" si="1707"/>
        <v>137.09</v>
      </c>
      <c r="O5317" s="411">
        <f t="shared" si="1779"/>
        <v>26.994</v>
      </c>
      <c r="P5317" s="132" t="s">
        <v>52</v>
      </c>
      <c r="Q5317" s="232"/>
      <c r="R5317" s="411"/>
      <c r="T5317" s="172" t="s">
        <v>145</v>
      </c>
      <c r="U5317" s="259" t="s">
        <v>11619</v>
      </c>
      <c r="AA5317" s="218"/>
    </row>
    <row r="5318" spans="1:27" ht="24" x14ac:dyDescent="0.25">
      <c r="A5318" s="405">
        <v>3004181</v>
      </c>
      <c r="B5318" s="406">
        <v>42619</v>
      </c>
      <c r="C5318" s="405" t="s">
        <v>237</v>
      </c>
      <c r="D5318" s="401" t="s">
        <v>11620</v>
      </c>
      <c r="E5318" s="120">
        <v>100</v>
      </c>
      <c r="F5318" s="133" t="s">
        <v>341</v>
      </c>
      <c r="G5318" s="404" t="s">
        <v>45</v>
      </c>
      <c r="H5318" s="411">
        <v>177.37</v>
      </c>
      <c r="I5318" s="397">
        <f t="shared" ref="I5318" si="1781">-(H5318*0.15)</f>
        <v>-26.605499999999999</v>
      </c>
      <c r="J5318" s="411">
        <v>0</v>
      </c>
      <c r="K5318" s="90">
        <f t="shared" si="1778"/>
        <v>150.7645</v>
      </c>
      <c r="L5318" s="131">
        <v>698</v>
      </c>
      <c r="M5318" s="187">
        <v>31.52</v>
      </c>
      <c r="N5318" s="91">
        <f t="shared" si="1707"/>
        <v>101.32</v>
      </c>
      <c r="O5318" s="411">
        <f t="shared" si="1779"/>
        <v>49.444500000000005</v>
      </c>
      <c r="P5318" s="132" t="s">
        <v>52</v>
      </c>
      <c r="Q5318" s="232"/>
      <c r="R5318" s="411"/>
      <c r="T5318" s="172" t="s">
        <v>145</v>
      </c>
      <c r="U5318" s="259">
        <v>702723287580</v>
      </c>
      <c r="AA5318" s="218"/>
    </row>
    <row r="5319" spans="1:27" ht="24" x14ac:dyDescent="0.25">
      <c r="A5319" s="405">
        <v>3004182</v>
      </c>
      <c r="B5319" s="406">
        <v>42619</v>
      </c>
      <c r="C5319" s="405" t="s">
        <v>237</v>
      </c>
      <c r="D5319" s="401" t="s">
        <v>11621</v>
      </c>
      <c r="E5319" s="120">
        <v>50</v>
      </c>
      <c r="F5319" s="133" t="s">
        <v>288</v>
      </c>
      <c r="G5319" s="404" t="s">
        <v>45</v>
      </c>
      <c r="H5319" s="411">
        <v>112.29</v>
      </c>
      <c r="I5319" s="397">
        <f t="shared" ref="I5319" si="1782">-(H5319*0.15)</f>
        <v>-16.843499999999999</v>
      </c>
      <c r="J5319" s="411">
        <v>0</v>
      </c>
      <c r="K5319" s="90">
        <f t="shared" si="1778"/>
        <v>95.446500000000015</v>
      </c>
      <c r="L5319" s="131">
        <v>950</v>
      </c>
      <c r="M5319" s="187">
        <v>21.5</v>
      </c>
      <c r="N5319" s="91">
        <f t="shared" si="1707"/>
        <v>69</v>
      </c>
      <c r="O5319" s="411">
        <f t="shared" si="1779"/>
        <v>26.446500000000015</v>
      </c>
      <c r="P5319" s="132" t="s">
        <v>52</v>
      </c>
      <c r="Q5319" s="232"/>
      <c r="R5319" s="411"/>
      <c r="T5319" s="172" t="s">
        <v>145</v>
      </c>
      <c r="U5319" s="259" t="s">
        <v>11622</v>
      </c>
      <c r="AA5319" s="218"/>
    </row>
    <row r="5320" spans="1:27" ht="24" x14ac:dyDescent="0.25">
      <c r="A5320" s="405">
        <v>3004183</v>
      </c>
      <c r="B5320" s="406">
        <v>42619</v>
      </c>
      <c r="C5320" s="405" t="s">
        <v>237</v>
      </c>
      <c r="D5320" s="401" t="s">
        <v>11623</v>
      </c>
      <c r="E5320" s="120">
        <v>50</v>
      </c>
      <c r="F5320" s="133" t="s">
        <v>288</v>
      </c>
      <c r="G5320" s="404" t="s">
        <v>45</v>
      </c>
      <c r="H5320" s="411">
        <v>112.29</v>
      </c>
      <c r="I5320" s="397">
        <f t="shared" ref="I5320" si="1783">-(H5320*0.15)</f>
        <v>-16.843499999999999</v>
      </c>
      <c r="J5320" s="411">
        <v>0</v>
      </c>
      <c r="K5320" s="90">
        <f t="shared" si="1778"/>
        <v>95.446500000000015</v>
      </c>
      <c r="L5320" s="131">
        <v>950</v>
      </c>
      <c r="M5320" s="187">
        <v>15.81</v>
      </c>
      <c r="N5320" s="91">
        <f t="shared" si="1707"/>
        <v>63.31</v>
      </c>
      <c r="O5320" s="411">
        <f t="shared" si="1779"/>
        <v>32.136500000000012</v>
      </c>
      <c r="P5320" s="132" t="s">
        <v>52</v>
      </c>
      <c r="Q5320" s="232"/>
      <c r="R5320" s="411"/>
      <c r="T5320" s="172" t="s">
        <v>145</v>
      </c>
      <c r="U5320" s="259" t="s">
        <v>11624</v>
      </c>
      <c r="AA5320" s="218"/>
    </row>
    <row r="5321" spans="1:27" ht="24" x14ac:dyDescent="0.25">
      <c r="A5321" s="405">
        <v>3004184</v>
      </c>
      <c r="B5321" s="406">
        <v>42619</v>
      </c>
      <c r="C5321" s="405" t="s">
        <v>237</v>
      </c>
      <c r="D5321" s="401" t="s">
        <v>11625</v>
      </c>
      <c r="E5321" s="120">
        <v>200</v>
      </c>
      <c r="F5321" s="133" t="s">
        <v>10165</v>
      </c>
      <c r="G5321" s="404" t="s">
        <v>45</v>
      </c>
      <c r="H5321" s="411">
        <v>115.4</v>
      </c>
      <c r="I5321" s="397">
        <f t="shared" ref="I5321" si="1784">-(H5321*0.15)</f>
        <v>-17.309999999999999</v>
      </c>
      <c r="J5321" s="411">
        <v>0</v>
      </c>
      <c r="K5321" s="90">
        <f t="shared" si="1778"/>
        <v>98.09</v>
      </c>
      <c r="L5321" s="187">
        <v>350</v>
      </c>
      <c r="M5321" s="187">
        <v>12.85</v>
      </c>
      <c r="N5321" s="91">
        <f t="shared" si="1707"/>
        <v>82.85</v>
      </c>
      <c r="O5321" s="411">
        <f t="shared" si="1779"/>
        <v>15.240000000000009</v>
      </c>
      <c r="P5321" s="132" t="s">
        <v>601</v>
      </c>
      <c r="Q5321" s="232"/>
      <c r="R5321" s="411"/>
      <c r="T5321" s="172" t="s">
        <v>145</v>
      </c>
      <c r="U5321" s="259">
        <v>630512244619</v>
      </c>
      <c r="AA5321" s="218"/>
    </row>
    <row r="5322" spans="1:27" ht="24" x14ac:dyDescent="0.25">
      <c r="A5322" s="405">
        <v>3004185</v>
      </c>
      <c r="B5322" s="406">
        <v>42619</v>
      </c>
      <c r="C5322" s="405" t="s">
        <v>237</v>
      </c>
      <c r="D5322" s="401" t="s">
        <v>11626</v>
      </c>
      <c r="E5322" s="120">
        <v>50</v>
      </c>
      <c r="F5322" s="133" t="s">
        <v>288</v>
      </c>
      <c r="G5322" s="404" t="s">
        <v>45</v>
      </c>
      <c r="H5322" s="411">
        <v>111.16</v>
      </c>
      <c r="I5322" s="397">
        <f t="shared" ref="I5322" si="1785">-(H5322*0.15)</f>
        <v>-16.673999999999999</v>
      </c>
      <c r="J5322" s="411">
        <v>0</v>
      </c>
      <c r="K5322" s="90">
        <f t="shared" si="1778"/>
        <v>94.48599999999999</v>
      </c>
      <c r="L5322" s="131">
        <v>950</v>
      </c>
      <c r="M5322" s="187">
        <v>32</v>
      </c>
      <c r="N5322" s="91">
        <f t="shared" si="1707"/>
        <v>79.5</v>
      </c>
      <c r="O5322" s="411">
        <f t="shared" si="1779"/>
        <v>14.98599999999999</v>
      </c>
      <c r="P5322" s="132" t="s">
        <v>52</v>
      </c>
      <c r="Q5322" s="232"/>
      <c r="R5322" s="411"/>
      <c r="T5322" s="172" t="s">
        <v>145</v>
      </c>
      <c r="U5322" s="259" t="s">
        <v>11627</v>
      </c>
      <c r="AA5322" s="218"/>
    </row>
    <row r="5323" spans="1:27" ht="24" x14ac:dyDescent="0.25">
      <c r="A5323" s="405">
        <v>3004186</v>
      </c>
      <c r="B5323" s="406">
        <v>42619</v>
      </c>
      <c r="C5323" s="405" t="s">
        <v>237</v>
      </c>
      <c r="D5323" s="401" t="s">
        <v>11628</v>
      </c>
      <c r="E5323" s="120">
        <v>50</v>
      </c>
      <c r="F5323" s="133" t="s">
        <v>431</v>
      </c>
      <c r="G5323" s="404" t="s">
        <v>45</v>
      </c>
      <c r="H5323" s="411">
        <v>148.5</v>
      </c>
      <c r="I5323" s="397">
        <f t="shared" ref="I5323" si="1786">-(H5323*0.15)</f>
        <v>-22.274999999999999</v>
      </c>
      <c r="J5323" s="411">
        <v>0</v>
      </c>
      <c r="K5323" s="90">
        <f t="shared" si="1778"/>
        <v>126.22499999999999</v>
      </c>
      <c r="L5323" s="131">
        <v>990</v>
      </c>
      <c r="M5323" s="187">
        <v>28.26</v>
      </c>
      <c r="N5323" s="91">
        <f t="shared" si="1707"/>
        <v>77.760000000000005</v>
      </c>
      <c r="O5323" s="411">
        <f t="shared" si="1779"/>
        <v>48.464999999999989</v>
      </c>
      <c r="P5323" s="132" t="s">
        <v>52</v>
      </c>
      <c r="Q5323" s="232"/>
      <c r="R5323" s="411"/>
      <c r="T5323" s="172" t="s">
        <v>145</v>
      </c>
      <c r="U5323" s="259">
        <v>702723287606</v>
      </c>
      <c r="AA5323" s="218"/>
    </row>
    <row r="5324" spans="1:27" ht="24" x14ac:dyDescent="0.25">
      <c r="A5324" s="405">
        <v>3004187</v>
      </c>
      <c r="B5324" s="406">
        <v>42619</v>
      </c>
      <c r="C5324" s="405" t="s">
        <v>237</v>
      </c>
      <c r="D5324" s="401" t="s">
        <v>11629</v>
      </c>
      <c r="E5324" s="120">
        <v>100</v>
      </c>
      <c r="F5324" s="133" t="s">
        <v>590</v>
      </c>
      <c r="G5324" s="404" t="s">
        <v>45</v>
      </c>
      <c r="H5324" s="411">
        <v>141</v>
      </c>
      <c r="I5324" s="397">
        <f t="shared" ref="I5324" si="1787">-(H5324*0.15)</f>
        <v>-21.15</v>
      </c>
      <c r="J5324" s="411">
        <v>0</v>
      </c>
      <c r="K5324" s="90">
        <f t="shared" si="1778"/>
        <v>119.85</v>
      </c>
      <c r="L5324" s="131">
        <v>577</v>
      </c>
      <c r="M5324" s="187">
        <v>28.16</v>
      </c>
      <c r="N5324" s="91">
        <f t="shared" si="1707"/>
        <v>85.86</v>
      </c>
      <c r="O5324" s="411">
        <f t="shared" si="1779"/>
        <v>33.989999999999995</v>
      </c>
      <c r="P5324" s="132" t="s">
        <v>52</v>
      </c>
      <c r="Q5324" s="232"/>
      <c r="R5324" s="411"/>
      <c r="T5324" s="172" t="s">
        <v>145</v>
      </c>
      <c r="U5324" s="259">
        <v>702723287422</v>
      </c>
      <c r="AA5324" s="218"/>
    </row>
    <row r="5325" spans="1:27" ht="24" x14ac:dyDescent="0.25">
      <c r="A5325" s="405">
        <v>3004188</v>
      </c>
      <c r="B5325" s="406">
        <v>42619</v>
      </c>
      <c r="C5325" s="405" t="s">
        <v>237</v>
      </c>
      <c r="D5325" s="401" t="s">
        <v>11630</v>
      </c>
      <c r="E5325" s="120">
        <v>100</v>
      </c>
      <c r="F5325" s="133" t="s">
        <v>161</v>
      </c>
      <c r="G5325" s="404" t="s">
        <v>45</v>
      </c>
      <c r="H5325" s="411">
        <v>242.55</v>
      </c>
      <c r="I5325" s="397">
        <f t="shared" ref="I5325" si="1788">-(H5325*0.15)</f>
        <v>-36.3825</v>
      </c>
      <c r="J5325" s="411">
        <v>0</v>
      </c>
      <c r="K5325" s="90">
        <f t="shared" si="1778"/>
        <v>206.16750000000002</v>
      </c>
      <c r="L5325" s="131">
        <v>1322</v>
      </c>
      <c r="M5325" s="187">
        <v>34.69</v>
      </c>
      <c r="N5325" s="91">
        <f t="shared" ref="N5325:N5388" si="1789">((L5325)*(E5325*0.001))+M5325</f>
        <v>166.89000000000001</v>
      </c>
      <c r="O5325" s="411">
        <f t="shared" si="1779"/>
        <v>39.277500000000003</v>
      </c>
      <c r="P5325" s="132" t="s">
        <v>52</v>
      </c>
      <c r="Q5325" s="232"/>
      <c r="R5325" s="411"/>
      <c r="T5325" s="172" t="s">
        <v>145</v>
      </c>
      <c r="U5325" s="259">
        <v>702723287396</v>
      </c>
      <c r="AA5325" s="218"/>
    </row>
    <row r="5326" spans="1:27" ht="24" x14ac:dyDescent="0.25">
      <c r="A5326" s="405">
        <v>3004189</v>
      </c>
      <c r="B5326" s="406">
        <v>42619</v>
      </c>
      <c r="C5326" s="405" t="s">
        <v>237</v>
      </c>
      <c r="D5326" s="401" t="s">
        <v>11631</v>
      </c>
      <c r="E5326" s="120">
        <v>150</v>
      </c>
      <c r="F5326" s="133" t="s">
        <v>247</v>
      </c>
      <c r="G5326" s="404" t="s">
        <v>45</v>
      </c>
      <c r="H5326" s="411">
        <v>140</v>
      </c>
      <c r="I5326" s="397">
        <f t="shared" ref="I5326" si="1790">-(H5326*0.15)</f>
        <v>-21</v>
      </c>
      <c r="J5326" s="411">
        <v>0</v>
      </c>
      <c r="K5326" s="90">
        <f t="shared" si="1778"/>
        <v>119</v>
      </c>
      <c r="L5326" s="131">
        <v>480</v>
      </c>
      <c r="M5326" s="187">
        <v>22.53</v>
      </c>
      <c r="N5326" s="91">
        <f t="shared" si="1789"/>
        <v>94.53</v>
      </c>
      <c r="O5326" s="411">
        <f t="shared" si="1779"/>
        <v>24.47</v>
      </c>
      <c r="P5326" s="132" t="s">
        <v>52</v>
      </c>
      <c r="Q5326" s="232"/>
      <c r="R5326" s="411"/>
      <c r="T5326" s="172" t="s">
        <v>145</v>
      </c>
      <c r="U5326" s="259">
        <v>702723287503</v>
      </c>
      <c r="AA5326" s="218"/>
    </row>
    <row r="5327" spans="1:27" x14ac:dyDescent="0.25">
      <c r="A5327" s="419">
        <v>3004190</v>
      </c>
      <c r="B5327" s="421">
        <v>42619</v>
      </c>
      <c r="C5327" s="419" t="s">
        <v>237</v>
      </c>
      <c r="D5327" s="417" t="s">
        <v>11632</v>
      </c>
      <c r="E5327" s="120">
        <v>100</v>
      </c>
      <c r="F5327" s="133" t="s">
        <v>3719</v>
      </c>
      <c r="G5327" s="434" t="s">
        <v>45</v>
      </c>
      <c r="H5327" s="427">
        <v>360.36</v>
      </c>
      <c r="I5327" s="452">
        <f t="shared" ref="I5327" si="1791">-(H5327*0.15)</f>
        <v>-54.054000000000002</v>
      </c>
      <c r="J5327" s="427">
        <v>0</v>
      </c>
      <c r="K5327" s="425">
        <f t="shared" si="1778"/>
        <v>306.30600000000004</v>
      </c>
      <c r="L5327" s="187">
        <v>1180</v>
      </c>
      <c r="M5327" s="187">
        <v>34.56</v>
      </c>
      <c r="N5327" s="91">
        <f t="shared" si="1789"/>
        <v>152.56</v>
      </c>
      <c r="O5327" s="411">
        <f t="shared" si="1779"/>
        <v>153.74600000000004</v>
      </c>
      <c r="P5327" s="132" t="s">
        <v>601</v>
      </c>
      <c r="Q5327" s="232"/>
      <c r="R5327" s="411"/>
      <c r="T5327" s="535" t="s">
        <v>145</v>
      </c>
      <c r="U5327" s="259">
        <v>642286528835</v>
      </c>
      <c r="AA5327" s="218"/>
    </row>
    <row r="5328" spans="1:27" x14ac:dyDescent="0.25">
      <c r="A5328" s="420"/>
      <c r="B5328" s="422"/>
      <c r="C5328" s="420"/>
      <c r="D5328" s="418"/>
      <c r="E5328" s="120">
        <v>100</v>
      </c>
      <c r="F5328" s="133" t="s">
        <v>3307</v>
      </c>
      <c r="G5328" s="436"/>
      <c r="H5328" s="428"/>
      <c r="I5328" s="453"/>
      <c r="J5328" s="428"/>
      <c r="K5328" s="426"/>
      <c r="L5328" s="187">
        <v>1180</v>
      </c>
      <c r="N5328" s="91">
        <f t="shared" si="1789"/>
        <v>118</v>
      </c>
      <c r="O5328" s="411">
        <f t="shared" si="1779"/>
        <v>-118</v>
      </c>
      <c r="P5328" s="132" t="s">
        <v>601</v>
      </c>
      <c r="Q5328" s="232"/>
      <c r="R5328" s="411"/>
      <c r="T5328" s="536"/>
      <c r="U5328" s="259"/>
      <c r="AA5328" s="218"/>
    </row>
    <row r="5329" spans="1:27" ht="24" x14ac:dyDescent="0.25">
      <c r="A5329" s="405">
        <v>3004191</v>
      </c>
      <c r="B5329" s="406">
        <v>42619</v>
      </c>
      <c r="C5329" s="405" t="s">
        <v>237</v>
      </c>
      <c r="D5329" s="401" t="s">
        <v>11633</v>
      </c>
      <c r="E5329" s="120">
        <v>100</v>
      </c>
      <c r="F5329" s="133" t="s">
        <v>590</v>
      </c>
      <c r="G5329" s="404" t="s">
        <v>45</v>
      </c>
      <c r="H5329" s="411">
        <v>115.15</v>
      </c>
      <c r="I5329" s="397">
        <f t="shared" ref="I5329" si="1792">-(H5329*0.15)</f>
        <v>-17.272500000000001</v>
      </c>
      <c r="J5329" s="411">
        <v>0</v>
      </c>
      <c r="K5329" s="90">
        <f t="shared" ref="K5329:K5336" si="1793">SUM(H5329:J5329)</f>
        <v>97.877499999999998</v>
      </c>
      <c r="L5329" s="131">
        <v>577</v>
      </c>
      <c r="M5329" s="187">
        <v>14.58</v>
      </c>
      <c r="N5329" s="91">
        <f t="shared" si="1789"/>
        <v>72.28</v>
      </c>
      <c r="O5329" s="411">
        <f t="shared" si="1779"/>
        <v>25.597499999999997</v>
      </c>
      <c r="P5329" s="132" t="s">
        <v>52</v>
      </c>
      <c r="Q5329" s="232"/>
      <c r="R5329" s="411"/>
      <c r="T5329" s="172" t="s">
        <v>145</v>
      </c>
      <c r="U5329" s="259">
        <v>702723287433</v>
      </c>
      <c r="AA5329" s="218"/>
    </row>
    <row r="5330" spans="1:27" ht="24" x14ac:dyDescent="0.25">
      <c r="A5330" s="405">
        <v>3004192</v>
      </c>
      <c r="B5330" s="406">
        <v>42619</v>
      </c>
      <c r="C5330" s="405" t="s">
        <v>237</v>
      </c>
      <c r="D5330" s="401" t="s">
        <v>11634</v>
      </c>
      <c r="E5330" s="120">
        <v>100</v>
      </c>
      <c r="F5330" s="133" t="s">
        <v>247</v>
      </c>
      <c r="G5330" s="404" t="s">
        <v>45</v>
      </c>
      <c r="H5330" s="411">
        <v>113.6</v>
      </c>
      <c r="I5330" s="397">
        <f t="shared" ref="I5330" si="1794">-(H5330*0.15)</f>
        <v>-17.04</v>
      </c>
      <c r="J5330" s="411">
        <v>0</v>
      </c>
      <c r="K5330" s="90">
        <f t="shared" si="1793"/>
        <v>96.56</v>
      </c>
      <c r="L5330" s="131">
        <v>480</v>
      </c>
      <c r="M5330" s="187">
        <v>31.76</v>
      </c>
      <c r="N5330" s="91">
        <f t="shared" si="1789"/>
        <v>79.760000000000005</v>
      </c>
      <c r="O5330" s="411">
        <f t="shared" si="1779"/>
        <v>16.799999999999997</v>
      </c>
      <c r="P5330" s="132" t="s">
        <v>52</v>
      </c>
      <c r="Q5330" s="232"/>
      <c r="R5330" s="411"/>
      <c r="T5330" s="172" t="s">
        <v>145</v>
      </c>
      <c r="U5330" s="259">
        <v>702723287639</v>
      </c>
      <c r="AA5330" s="218"/>
    </row>
    <row r="5331" spans="1:27" ht="24" x14ac:dyDescent="0.25">
      <c r="A5331" s="405">
        <v>3004193</v>
      </c>
      <c r="B5331" s="406">
        <v>42619</v>
      </c>
      <c r="C5331" s="405" t="s">
        <v>237</v>
      </c>
      <c r="D5331" s="401" t="s">
        <v>11635</v>
      </c>
      <c r="E5331" s="120">
        <v>150</v>
      </c>
      <c r="F5331" s="133" t="s">
        <v>247</v>
      </c>
      <c r="G5331" s="404" t="s">
        <v>45</v>
      </c>
      <c r="H5331" s="411">
        <v>140</v>
      </c>
      <c r="I5331" s="397">
        <f t="shared" ref="I5331" si="1795">-(H5331*0.15)</f>
        <v>-21</v>
      </c>
      <c r="J5331" s="411">
        <v>0</v>
      </c>
      <c r="K5331" s="90">
        <f t="shared" si="1793"/>
        <v>119</v>
      </c>
      <c r="L5331" s="131">
        <v>480</v>
      </c>
      <c r="M5331" s="187">
        <v>36.18</v>
      </c>
      <c r="N5331" s="91">
        <f t="shared" si="1789"/>
        <v>108.18</v>
      </c>
      <c r="O5331" s="411">
        <f t="shared" si="1779"/>
        <v>10.819999999999993</v>
      </c>
      <c r="P5331" s="132" t="s">
        <v>52</v>
      </c>
      <c r="Q5331" s="232"/>
      <c r="R5331" s="411"/>
      <c r="T5331" s="172" t="s">
        <v>145</v>
      </c>
      <c r="U5331" s="259" t="s">
        <v>11636</v>
      </c>
      <c r="AA5331" s="218"/>
    </row>
    <row r="5332" spans="1:27" ht="24" x14ac:dyDescent="0.25">
      <c r="A5332" s="405">
        <v>3004194</v>
      </c>
      <c r="B5332" s="406">
        <v>42619</v>
      </c>
      <c r="C5332" s="405" t="s">
        <v>237</v>
      </c>
      <c r="D5332" s="401" t="s">
        <v>11637</v>
      </c>
      <c r="E5332" s="120">
        <v>150</v>
      </c>
      <c r="F5332" s="133" t="s">
        <v>307</v>
      </c>
      <c r="G5332" s="404" t="s">
        <v>45</v>
      </c>
      <c r="H5332" s="411">
        <v>222.66</v>
      </c>
      <c r="I5332" s="397">
        <f t="shared" ref="I5332" si="1796">-(H5332*0.15)</f>
        <v>-33.399000000000001</v>
      </c>
      <c r="J5332" s="411">
        <v>0</v>
      </c>
      <c r="K5332" s="90">
        <f t="shared" si="1793"/>
        <v>189.261</v>
      </c>
      <c r="L5332" s="131">
        <v>690</v>
      </c>
      <c r="M5332" s="187">
        <v>33.14</v>
      </c>
      <c r="N5332" s="91">
        <f t="shared" si="1789"/>
        <v>136.63999999999999</v>
      </c>
      <c r="O5332" s="411">
        <f t="shared" si="1779"/>
        <v>52.621000000000009</v>
      </c>
      <c r="P5332" s="132" t="s">
        <v>52</v>
      </c>
      <c r="Q5332" s="232"/>
      <c r="R5332" s="411"/>
      <c r="T5332" s="172" t="s">
        <v>145</v>
      </c>
      <c r="U5332" s="259">
        <v>702723287488</v>
      </c>
      <c r="AA5332" s="218"/>
    </row>
    <row r="5333" spans="1:27" ht="24" x14ac:dyDescent="0.25">
      <c r="A5333" s="405">
        <v>3004195</v>
      </c>
      <c r="B5333" s="406">
        <v>42619</v>
      </c>
      <c r="C5333" s="405" t="s">
        <v>237</v>
      </c>
      <c r="D5333" s="401" t="s">
        <v>11638</v>
      </c>
      <c r="E5333" s="120">
        <v>1000</v>
      </c>
      <c r="F5333" s="133" t="s">
        <v>2162</v>
      </c>
      <c r="G5333" s="404" t="s">
        <v>45</v>
      </c>
      <c r="H5333" s="411">
        <v>599.94000000000005</v>
      </c>
      <c r="I5333" s="397">
        <f t="shared" ref="I5333" si="1797">-(H5333*0.15)</f>
        <v>-89.991</v>
      </c>
      <c r="J5333" s="411">
        <v>0</v>
      </c>
      <c r="K5333" s="90">
        <f t="shared" si="1793"/>
        <v>509.94900000000007</v>
      </c>
      <c r="L5333" s="187">
        <v>330</v>
      </c>
      <c r="N5333" s="91">
        <f t="shared" si="1789"/>
        <v>330</v>
      </c>
      <c r="O5333" s="411">
        <f t="shared" si="1779"/>
        <v>179.94900000000007</v>
      </c>
      <c r="P5333" s="132" t="s">
        <v>66</v>
      </c>
      <c r="Q5333" s="232"/>
      <c r="R5333" s="411"/>
      <c r="T5333" s="172" t="s">
        <v>145</v>
      </c>
      <c r="U5333" s="259">
        <v>4217366510</v>
      </c>
      <c r="AA5333" s="218"/>
    </row>
    <row r="5334" spans="1:27" ht="24" x14ac:dyDescent="0.25">
      <c r="A5334" s="405">
        <v>3004196</v>
      </c>
      <c r="B5334" s="406">
        <v>42619</v>
      </c>
      <c r="C5334" s="405" t="s">
        <v>237</v>
      </c>
      <c r="D5334" s="401" t="s">
        <v>11639</v>
      </c>
      <c r="E5334" s="120">
        <v>100</v>
      </c>
      <c r="F5334" s="133" t="s">
        <v>161</v>
      </c>
      <c r="G5334" s="404" t="s">
        <v>45</v>
      </c>
      <c r="H5334" s="411">
        <v>294.18</v>
      </c>
      <c r="I5334" s="397">
        <f t="shared" ref="I5334:I5335" si="1798">-(H5334*0.15)</f>
        <v>-44.127000000000002</v>
      </c>
      <c r="J5334" s="411">
        <v>0</v>
      </c>
      <c r="K5334" s="90">
        <f t="shared" si="1793"/>
        <v>250.053</v>
      </c>
      <c r="L5334" s="131">
        <v>1322</v>
      </c>
      <c r="M5334" s="187">
        <v>45.86</v>
      </c>
      <c r="N5334" s="91">
        <f t="shared" si="1789"/>
        <v>178.06</v>
      </c>
      <c r="O5334" s="411">
        <f t="shared" si="1779"/>
        <v>71.992999999999995</v>
      </c>
      <c r="P5334" s="132" t="s">
        <v>86</v>
      </c>
      <c r="Q5334" s="232"/>
      <c r="R5334" s="411"/>
      <c r="T5334" s="172" t="s">
        <v>145</v>
      </c>
      <c r="U5334" s="259">
        <v>675157529499</v>
      </c>
      <c r="AA5334" s="218"/>
    </row>
    <row r="5335" spans="1:27" ht="24" x14ac:dyDescent="0.25">
      <c r="A5335" s="405">
        <v>3004197</v>
      </c>
      <c r="B5335" s="406">
        <v>42619</v>
      </c>
      <c r="C5335" s="405" t="s">
        <v>237</v>
      </c>
      <c r="D5335" s="401" t="s">
        <v>11640</v>
      </c>
      <c r="E5335" s="120">
        <v>250</v>
      </c>
      <c r="F5335" s="133" t="s">
        <v>307</v>
      </c>
      <c r="G5335" s="404" t="s">
        <v>45</v>
      </c>
      <c r="H5335" s="411">
        <v>313.3</v>
      </c>
      <c r="I5335" s="397">
        <f t="shared" si="1798"/>
        <v>-46.994999999999997</v>
      </c>
      <c r="J5335" s="411">
        <v>0</v>
      </c>
      <c r="K5335" s="90">
        <f t="shared" si="1793"/>
        <v>266.30500000000001</v>
      </c>
      <c r="L5335" s="131">
        <v>690</v>
      </c>
      <c r="M5335" s="187">
        <v>41.18</v>
      </c>
      <c r="N5335" s="91">
        <f t="shared" si="1789"/>
        <v>213.68</v>
      </c>
      <c r="O5335" s="411">
        <f t="shared" si="1779"/>
        <v>52.625</v>
      </c>
      <c r="P5335" s="132" t="s">
        <v>52</v>
      </c>
      <c r="Q5335" s="232"/>
      <c r="R5335" s="411"/>
      <c r="T5335" s="172" t="s">
        <v>145</v>
      </c>
      <c r="U5335" s="259">
        <v>702723287499</v>
      </c>
      <c r="AA5335" s="218"/>
    </row>
    <row r="5336" spans="1:27" ht="24" x14ac:dyDescent="0.25">
      <c r="A5336" s="405">
        <v>3004198</v>
      </c>
      <c r="B5336" s="406">
        <v>42619</v>
      </c>
      <c r="C5336" s="405" t="s">
        <v>63</v>
      </c>
      <c r="D5336" s="401" t="s">
        <v>11641</v>
      </c>
      <c r="E5336" s="120">
        <v>100</v>
      </c>
      <c r="F5336" s="133" t="s">
        <v>247</v>
      </c>
      <c r="G5336" s="404" t="s">
        <v>45</v>
      </c>
      <c r="H5336" s="411">
        <v>180</v>
      </c>
      <c r="I5336" s="411">
        <v>0</v>
      </c>
      <c r="J5336" s="258">
        <f>-((H5336*0.022)+0.3)</f>
        <v>-4.26</v>
      </c>
      <c r="K5336" s="90">
        <f t="shared" si="1793"/>
        <v>175.74</v>
      </c>
      <c r="L5336" s="187">
        <v>813</v>
      </c>
      <c r="M5336" s="187">
        <v>21.26</v>
      </c>
      <c r="N5336" s="91">
        <f t="shared" si="1789"/>
        <v>102.56000000000002</v>
      </c>
      <c r="O5336" s="411">
        <f t="shared" si="1779"/>
        <v>73.179999999999993</v>
      </c>
      <c r="P5336" s="132" t="s">
        <v>183</v>
      </c>
      <c r="Q5336" s="232"/>
      <c r="R5336" s="411"/>
      <c r="T5336" s="172" t="s">
        <v>145</v>
      </c>
      <c r="U5336" s="259">
        <v>700044011451</v>
      </c>
      <c r="W5336" s="153" t="s">
        <v>11642</v>
      </c>
      <c r="AA5336" s="218"/>
    </row>
    <row r="5337" spans="1:27" ht="24" x14ac:dyDescent="0.25">
      <c r="A5337" s="419">
        <f>A5336+1</f>
        <v>3004199</v>
      </c>
      <c r="B5337" s="421">
        <v>42620</v>
      </c>
      <c r="C5337" s="419" t="s">
        <v>327</v>
      </c>
      <c r="D5337" s="417" t="s">
        <v>11643</v>
      </c>
      <c r="E5337" s="120">
        <v>500</v>
      </c>
      <c r="F5337" s="133" t="s">
        <v>11644</v>
      </c>
      <c r="G5337" s="434" t="s">
        <v>45</v>
      </c>
      <c r="H5337" s="427">
        <v>955</v>
      </c>
      <c r="I5337" s="427">
        <v>0</v>
      </c>
      <c r="J5337" s="498">
        <f>-((H5337*0.022)+0.3)</f>
        <v>-21.31</v>
      </c>
      <c r="K5337" s="425">
        <f t="shared" ref="K5337" si="1799">SUM(H5337:J5337)</f>
        <v>933.69</v>
      </c>
      <c r="L5337" s="187">
        <v>132</v>
      </c>
      <c r="M5337" s="187">
        <v>152.99</v>
      </c>
      <c r="N5337" s="91">
        <f t="shared" si="1789"/>
        <v>218.99</v>
      </c>
      <c r="O5337" s="411">
        <f t="shared" si="1779"/>
        <v>714.7</v>
      </c>
      <c r="P5337" s="132" t="s">
        <v>313</v>
      </c>
      <c r="Q5337" s="232"/>
      <c r="R5337" s="411"/>
      <c r="T5337" s="172" t="s">
        <v>145</v>
      </c>
      <c r="U5337" s="259">
        <v>669974333440</v>
      </c>
      <c r="W5337" s="153" t="s">
        <v>11645</v>
      </c>
      <c r="AA5337" s="218"/>
    </row>
    <row r="5338" spans="1:27" ht="24" x14ac:dyDescent="0.25">
      <c r="A5338" s="420"/>
      <c r="B5338" s="422"/>
      <c r="C5338" s="420"/>
      <c r="D5338" s="418"/>
      <c r="E5338" s="120">
        <v>500</v>
      </c>
      <c r="F5338" s="133" t="s">
        <v>11646</v>
      </c>
      <c r="G5338" s="436"/>
      <c r="H5338" s="428"/>
      <c r="I5338" s="428"/>
      <c r="J5338" s="499"/>
      <c r="K5338" s="426"/>
      <c r="L5338" s="187">
        <v>300</v>
      </c>
      <c r="M5338" s="187">
        <v>91.94</v>
      </c>
      <c r="N5338" s="91">
        <f t="shared" si="1789"/>
        <v>241.94</v>
      </c>
      <c r="O5338" s="411">
        <f t="shared" si="1779"/>
        <v>-241.94</v>
      </c>
      <c r="P5338" s="132" t="s">
        <v>183</v>
      </c>
      <c r="Q5338" s="232"/>
      <c r="R5338" s="411"/>
      <c r="T5338" s="172" t="s">
        <v>145</v>
      </c>
      <c r="U5338" s="259">
        <v>703688860044</v>
      </c>
      <c r="V5338" s="133" t="s">
        <v>11647</v>
      </c>
      <c r="AA5338" s="218"/>
    </row>
    <row r="5339" spans="1:27" ht="24" x14ac:dyDescent="0.25">
      <c r="A5339" s="405">
        <f>A5337+1</f>
        <v>3004200</v>
      </c>
      <c r="B5339" s="406">
        <v>42620</v>
      </c>
      <c r="C5339" s="405" t="s">
        <v>237</v>
      </c>
      <c r="D5339" s="401" t="s">
        <v>11648</v>
      </c>
      <c r="E5339" s="120">
        <v>100</v>
      </c>
      <c r="F5339" s="133" t="s">
        <v>288</v>
      </c>
      <c r="G5339" s="404" t="s">
        <v>45</v>
      </c>
      <c r="H5339" s="411">
        <v>193.04</v>
      </c>
      <c r="I5339" s="397">
        <f t="shared" ref="I5339" si="1800">-(H5339*0.15)</f>
        <v>-28.955999999999996</v>
      </c>
      <c r="J5339" s="411">
        <v>0</v>
      </c>
      <c r="K5339" s="90">
        <f t="shared" ref="K5339:K5344" si="1801">SUM(H5339:J5339)</f>
        <v>164.084</v>
      </c>
      <c r="M5339" s="187">
        <v>23.47</v>
      </c>
      <c r="N5339" s="91">
        <f t="shared" si="1789"/>
        <v>23.47</v>
      </c>
      <c r="O5339" s="411">
        <f t="shared" si="1779"/>
        <v>140.614</v>
      </c>
      <c r="P5339" s="132" t="s">
        <v>52</v>
      </c>
      <c r="Q5339" s="232"/>
      <c r="R5339" s="411"/>
      <c r="T5339" s="172" t="s">
        <v>145</v>
      </c>
      <c r="U5339" s="259" t="s">
        <v>11649</v>
      </c>
      <c r="AA5339" s="218"/>
    </row>
    <row r="5340" spans="1:27" ht="36" x14ac:dyDescent="0.25">
      <c r="A5340" s="405">
        <f>A5339+1</f>
        <v>3004201</v>
      </c>
      <c r="B5340" s="406">
        <v>42620</v>
      </c>
      <c r="C5340" s="405" t="s">
        <v>237</v>
      </c>
      <c r="D5340" s="401" t="s">
        <v>11650</v>
      </c>
      <c r="E5340" s="120">
        <v>500</v>
      </c>
      <c r="F5340" s="119" t="s">
        <v>11651</v>
      </c>
      <c r="G5340" s="404" t="s">
        <v>45</v>
      </c>
      <c r="H5340" s="411">
        <v>163.22</v>
      </c>
      <c r="I5340" s="397">
        <f t="shared" ref="I5340" si="1802">-(H5340*0.15)</f>
        <v>-24.483000000000001</v>
      </c>
      <c r="J5340" s="411">
        <v>0</v>
      </c>
      <c r="K5340" s="90">
        <f t="shared" si="1801"/>
        <v>138.73699999999999</v>
      </c>
      <c r="L5340" s="187">
        <v>161</v>
      </c>
      <c r="M5340" s="187">
        <v>10.95</v>
      </c>
      <c r="N5340" s="91">
        <f t="shared" si="1789"/>
        <v>91.45</v>
      </c>
      <c r="O5340" s="411">
        <f t="shared" si="1779"/>
        <v>47.286999999999992</v>
      </c>
      <c r="P5340" s="132" t="s">
        <v>643</v>
      </c>
      <c r="Q5340" s="232"/>
      <c r="R5340" s="411"/>
      <c r="T5340" s="134" t="s">
        <v>145</v>
      </c>
      <c r="U5340" s="267" t="s">
        <v>11652</v>
      </c>
      <c r="AA5340" s="218"/>
    </row>
    <row r="5341" spans="1:27" x14ac:dyDescent="0.25">
      <c r="A5341" s="405">
        <v>3004202</v>
      </c>
      <c r="B5341" s="406">
        <v>42620</v>
      </c>
      <c r="C5341" s="405" t="s">
        <v>63</v>
      </c>
      <c r="D5341" s="401" t="s">
        <v>11653</v>
      </c>
      <c r="E5341" s="120">
        <v>500</v>
      </c>
      <c r="F5341" s="133" t="s">
        <v>11654</v>
      </c>
      <c r="G5341" s="404" t="s">
        <v>45</v>
      </c>
      <c r="H5341" s="411">
        <v>810</v>
      </c>
      <c r="I5341" s="411">
        <v>0</v>
      </c>
      <c r="J5341" s="258">
        <f>-((H5341*0.022)+0.3)</f>
        <v>-18.12</v>
      </c>
      <c r="K5341" s="90">
        <f t="shared" si="1801"/>
        <v>791.88</v>
      </c>
      <c r="L5341" s="187">
        <v>1035</v>
      </c>
      <c r="M5341" s="187">
        <v>86.46</v>
      </c>
      <c r="N5341" s="91">
        <f t="shared" si="1789"/>
        <v>603.96</v>
      </c>
      <c r="O5341" s="411">
        <f t="shared" si="1779"/>
        <v>187.91999999999996</v>
      </c>
      <c r="P5341" s="132" t="s">
        <v>856</v>
      </c>
      <c r="Q5341" s="232"/>
      <c r="R5341" s="411"/>
      <c r="T5341" s="135" t="s">
        <v>244</v>
      </c>
      <c r="W5341" s="153" t="s">
        <v>11655</v>
      </c>
      <c r="AA5341" s="218"/>
    </row>
    <row r="5342" spans="1:27" ht="24" x14ac:dyDescent="0.25">
      <c r="A5342" s="405">
        <v>3004203</v>
      </c>
      <c r="B5342" s="406">
        <v>42620</v>
      </c>
      <c r="C5342" s="405" t="s">
        <v>237</v>
      </c>
      <c r="D5342" s="401" t="s">
        <v>11656</v>
      </c>
      <c r="E5342" s="120">
        <v>100</v>
      </c>
      <c r="F5342" s="119" t="s">
        <v>11657</v>
      </c>
      <c r="G5342" s="404" t="s">
        <v>45</v>
      </c>
      <c r="H5342" s="411">
        <v>180.18</v>
      </c>
      <c r="I5342" s="397">
        <v>3</v>
      </c>
      <c r="J5342" s="411">
        <v>0</v>
      </c>
      <c r="K5342" s="90">
        <f t="shared" si="1801"/>
        <v>183.18</v>
      </c>
      <c r="L5342" s="187">
        <v>1180</v>
      </c>
      <c r="M5342" s="187">
        <v>27.94</v>
      </c>
      <c r="N5342" s="91">
        <f t="shared" si="1789"/>
        <v>145.94</v>
      </c>
      <c r="O5342" s="411">
        <f t="shared" si="1779"/>
        <v>37.240000000000009</v>
      </c>
      <c r="P5342" s="132" t="s">
        <v>601</v>
      </c>
      <c r="Q5342" s="232"/>
      <c r="R5342" s="411"/>
      <c r="T5342" s="172" t="s">
        <v>145</v>
      </c>
      <c r="U5342" s="259">
        <v>639564016044</v>
      </c>
      <c r="AA5342" s="218"/>
    </row>
    <row r="5343" spans="1:27" ht="24" x14ac:dyDescent="0.25">
      <c r="A5343" s="405">
        <f t="shared" ref="A5343:A5359" si="1803">A5342+1</f>
        <v>3004204</v>
      </c>
      <c r="B5343" s="406">
        <v>42620</v>
      </c>
      <c r="C5343" s="405" t="s">
        <v>237</v>
      </c>
      <c r="D5343" s="401" t="s">
        <v>11658</v>
      </c>
      <c r="E5343" s="120">
        <v>50</v>
      </c>
      <c r="F5343" s="119" t="s">
        <v>288</v>
      </c>
      <c r="G5343" s="404" t="s">
        <v>45</v>
      </c>
      <c r="H5343" s="411">
        <v>114.59</v>
      </c>
      <c r="I5343" s="397">
        <f t="shared" ref="I5343" si="1804">-(H5343*0.15)</f>
        <v>-17.188500000000001</v>
      </c>
      <c r="J5343" s="411">
        <v>0</v>
      </c>
      <c r="K5343" s="90">
        <f t="shared" si="1801"/>
        <v>97.401499999999999</v>
      </c>
      <c r="M5343" s="187">
        <v>29.28</v>
      </c>
      <c r="N5343" s="91">
        <f t="shared" si="1789"/>
        <v>29.28</v>
      </c>
      <c r="O5343" s="411">
        <f t="shared" si="1779"/>
        <v>68.121499999999997</v>
      </c>
      <c r="P5343" s="132" t="s">
        <v>52</v>
      </c>
      <c r="Q5343" s="232"/>
      <c r="R5343" s="411"/>
      <c r="T5343" s="172" t="s">
        <v>145</v>
      </c>
      <c r="U5343" s="259">
        <v>680483359880</v>
      </c>
      <c r="AA5343" s="218"/>
    </row>
    <row r="5344" spans="1:27" ht="24" x14ac:dyDescent="0.25">
      <c r="A5344" s="405">
        <f t="shared" si="1803"/>
        <v>3004205</v>
      </c>
      <c r="B5344" s="406">
        <v>42620</v>
      </c>
      <c r="C5344" s="405" t="s">
        <v>237</v>
      </c>
      <c r="D5344" s="401" t="s">
        <v>11659</v>
      </c>
      <c r="E5344" s="120">
        <v>100</v>
      </c>
      <c r="F5344" s="119" t="s">
        <v>11660</v>
      </c>
      <c r="G5344" s="404" t="s">
        <v>45</v>
      </c>
      <c r="H5344" s="411">
        <v>107.91</v>
      </c>
      <c r="I5344" s="397">
        <f t="shared" ref="I5344" si="1805">-(H5344*0.15)</f>
        <v>-16.186499999999999</v>
      </c>
      <c r="J5344" s="411">
        <v>0</v>
      </c>
      <c r="K5344" s="90">
        <f t="shared" si="1801"/>
        <v>91.723500000000001</v>
      </c>
      <c r="L5344" s="187">
        <v>775</v>
      </c>
      <c r="M5344" s="187">
        <v>16.440000000000001</v>
      </c>
      <c r="N5344" s="91">
        <f t="shared" si="1789"/>
        <v>93.94</v>
      </c>
      <c r="O5344" s="411">
        <f t="shared" si="1779"/>
        <v>-2.2164999999999964</v>
      </c>
      <c r="P5344" s="132" t="s">
        <v>601</v>
      </c>
      <c r="Q5344" s="232"/>
      <c r="R5344" s="411"/>
      <c r="T5344" s="134" t="s">
        <v>145</v>
      </c>
      <c r="U5344" s="267" t="s">
        <v>11661</v>
      </c>
      <c r="AA5344" s="218"/>
    </row>
    <row r="5345" spans="1:27" ht="24" x14ac:dyDescent="0.25">
      <c r="A5345" s="405">
        <f t="shared" si="1803"/>
        <v>3004206</v>
      </c>
      <c r="B5345" s="406">
        <v>42620</v>
      </c>
      <c r="C5345" s="405" t="s">
        <v>42</v>
      </c>
      <c r="D5345" s="401" t="s">
        <v>11662</v>
      </c>
      <c r="E5345" s="120">
        <v>100</v>
      </c>
      <c r="F5345" s="119" t="s">
        <v>11663</v>
      </c>
      <c r="G5345" s="404" t="s">
        <v>45</v>
      </c>
      <c r="H5345" s="411">
        <v>102.6</v>
      </c>
      <c r="I5345" s="89">
        <f t="shared" ref="I5345:I5351" si="1806">-(H5345*0.09)</f>
        <v>-9.234</v>
      </c>
      <c r="J5345" s="258">
        <f t="shared" ref="J5345" si="1807">-((H5345*0.019)+0.3)</f>
        <v>-2.2493999999999996</v>
      </c>
      <c r="K5345" s="90">
        <f t="shared" ref="K5345" si="1808">SUM(H5345:J5345)</f>
        <v>91.116600000000005</v>
      </c>
      <c r="M5345" s="187">
        <v>21.63</v>
      </c>
      <c r="N5345" s="91">
        <f t="shared" si="1789"/>
        <v>21.63</v>
      </c>
      <c r="O5345" s="411">
        <f t="shared" si="1779"/>
        <v>69.48660000000001</v>
      </c>
      <c r="P5345" s="132" t="s">
        <v>52</v>
      </c>
      <c r="Q5345" s="232"/>
      <c r="R5345" s="411"/>
      <c r="T5345" s="172" t="s">
        <v>145</v>
      </c>
      <c r="U5345" s="259" t="s">
        <v>11664</v>
      </c>
      <c r="AA5345" s="218"/>
    </row>
    <row r="5346" spans="1:27" ht="24" x14ac:dyDescent="0.25">
      <c r="A5346" s="405">
        <f t="shared" si="1803"/>
        <v>3004207</v>
      </c>
      <c r="B5346" s="406">
        <v>42620</v>
      </c>
      <c r="C5346" s="405" t="s">
        <v>42</v>
      </c>
      <c r="D5346" s="401" t="s">
        <v>5891</v>
      </c>
      <c r="E5346" s="120">
        <v>200</v>
      </c>
      <c r="F5346" s="119" t="s">
        <v>11665</v>
      </c>
      <c r="G5346" s="404" t="s">
        <v>45</v>
      </c>
      <c r="H5346" s="411">
        <v>147.97999999999999</v>
      </c>
      <c r="I5346" s="89">
        <f t="shared" si="1806"/>
        <v>-13.318199999999999</v>
      </c>
      <c r="J5346" s="258">
        <f t="shared" ref="J5346" si="1809">-((H5346*0.019)+0.3)</f>
        <v>-3.1116199999999994</v>
      </c>
      <c r="K5346" s="90">
        <f t="shared" ref="K5346" si="1810">SUM(H5346:J5346)</f>
        <v>131.55018000000001</v>
      </c>
      <c r="L5346" s="187">
        <v>353</v>
      </c>
      <c r="M5346" s="187">
        <v>21.41</v>
      </c>
      <c r="N5346" s="91">
        <f t="shared" si="1789"/>
        <v>92.01</v>
      </c>
      <c r="O5346" s="411">
        <f t="shared" si="1779"/>
        <v>39.540180000000007</v>
      </c>
      <c r="P5346" s="132" t="s">
        <v>601</v>
      </c>
      <c r="Q5346" s="232"/>
      <c r="R5346" s="411"/>
      <c r="T5346" s="172" t="s">
        <v>145</v>
      </c>
      <c r="U5346" s="259">
        <v>630512244620</v>
      </c>
      <c r="AA5346" s="218"/>
    </row>
    <row r="5347" spans="1:27" ht="24" x14ac:dyDescent="0.25">
      <c r="A5347" s="405">
        <f t="shared" si="1803"/>
        <v>3004208</v>
      </c>
      <c r="B5347" s="406">
        <v>42620</v>
      </c>
      <c r="C5347" s="405" t="s">
        <v>42</v>
      </c>
      <c r="D5347" s="401" t="s">
        <v>11666</v>
      </c>
      <c r="E5347" s="120">
        <v>50</v>
      </c>
      <c r="F5347" s="119" t="s">
        <v>11667</v>
      </c>
      <c r="G5347" s="404" t="s">
        <v>45</v>
      </c>
      <c r="H5347" s="411">
        <v>173.65</v>
      </c>
      <c r="I5347" s="89">
        <f t="shared" si="1806"/>
        <v>-15.628500000000001</v>
      </c>
      <c r="J5347" s="258">
        <f t="shared" ref="J5347" si="1811">-((H5347*0.019)+0.3)</f>
        <v>-3.5993499999999998</v>
      </c>
      <c r="K5347" s="90">
        <f t="shared" ref="K5347" si="1812">SUM(H5347:J5347)</f>
        <v>154.42215000000002</v>
      </c>
      <c r="M5347" s="187">
        <v>41.27</v>
      </c>
      <c r="N5347" s="91">
        <f t="shared" si="1789"/>
        <v>41.27</v>
      </c>
      <c r="O5347" s="411">
        <f t="shared" si="1779"/>
        <v>113.15215000000001</v>
      </c>
      <c r="P5347" s="132" t="s">
        <v>52</v>
      </c>
      <c r="Q5347" s="232"/>
      <c r="R5347" s="411"/>
      <c r="T5347" s="172" t="s">
        <v>145</v>
      </c>
      <c r="U5347" s="259" t="s">
        <v>11668</v>
      </c>
      <c r="AA5347" s="218"/>
    </row>
    <row r="5348" spans="1:27" ht="24" x14ac:dyDescent="0.25">
      <c r="A5348" s="405">
        <f t="shared" si="1803"/>
        <v>3004209</v>
      </c>
      <c r="B5348" s="406">
        <v>42620</v>
      </c>
      <c r="C5348" s="405" t="s">
        <v>42</v>
      </c>
      <c r="D5348" s="401" t="s">
        <v>11669</v>
      </c>
      <c r="E5348" s="120">
        <v>100</v>
      </c>
      <c r="F5348" s="119" t="s">
        <v>874</v>
      </c>
      <c r="G5348" s="404" t="s">
        <v>45</v>
      </c>
      <c r="H5348" s="411">
        <v>365.11</v>
      </c>
      <c r="I5348" s="89">
        <f t="shared" si="1806"/>
        <v>-32.859900000000003</v>
      </c>
      <c r="J5348" s="258">
        <f t="shared" ref="J5348" si="1813">-((H5348*0.019)+0.3)</f>
        <v>-7.2370900000000002</v>
      </c>
      <c r="K5348" s="90">
        <f t="shared" ref="K5348" si="1814">SUM(H5348:J5348)</f>
        <v>325.01301000000001</v>
      </c>
      <c r="M5348" s="187">
        <v>30.89</v>
      </c>
      <c r="N5348" s="91">
        <f t="shared" si="1789"/>
        <v>30.89</v>
      </c>
      <c r="O5348" s="411">
        <f t="shared" si="1779"/>
        <v>294.12301000000002</v>
      </c>
      <c r="P5348" s="132" t="s">
        <v>52</v>
      </c>
      <c r="Q5348" s="232"/>
      <c r="R5348" s="411"/>
      <c r="T5348" s="172" t="s">
        <v>145</v>
      </c>
      <c r="U5348" s="259" t="s">
        <v>11670</v>
      </c>
      <c r="V5348" s="133">
        <v>680483359928</v>
      </c>
      <c r="AA5348" s="218"/>
    </row>
    <row r="5349" spans="1:27" ht="24" x14ac:dyDescent="0.25">
      <c r="A5349" s="405">
        <f t="shared" si="1803"/>
        <v>3004210</v>
      </c>
      <c r="B5349" s="406">
        <v>42620</v>
      </c>
      <c r="C5349" s="405" t="s">
        <v>42</v>
      </c>
      <c r="D5349" s="401" t="s">
        <v>11671</v>
      </c>
      <c r="E5349" s="120">
        <v>275</v>
      </c>
      <c r="F5349" s="119" t="s">
        <v>247</v>
      </c>
      <c r="G5349" s="404" t="s">
        <v>45</v>
      </c>
      <c r="H5349" s="411">
        <v>320.06</v>
      </c>
      <c r="I5349" s="89">
        <f t="shared" si="1806"/>
        <v>-28.805399999999999</v>
      </c>
      <c r="J5349" s="258">
        <f t="shared" ref="J5349" si="1815">-((H5349*0.019)+0.3)</f>
        <v>-6.3811399999999994</v>
      </c>
      <c r="K5349" s="90">
        <f t="shared" ref="K5349" si="1816">SUM(H5349:J5349)</f>
        <v>284.87345999999997</v>
      </c>
      <c r="M5349" s="187">
        <v>54.86</v>
      </c>
      <c r="N5349" s="91">
        <f t="shared" si="1789"/>
        <v>54.86</v>
      </c>
      <c r="O5349" s="411">
        <f t="shared" si="1779"/>
        <v>230.01345999999995</v>
      </c>
      <c r="P5349" s="132" t="s">
        <v>52</v>
      </c>
      <c r="Q5349" s="232"/>
      <c r="R5349" s="411"/>
      <c r="T5349" s="172" t="s">
        <v>145</v>
      </c>
      <c r="U5349" s="259" t="s">
        <v>11672</v>
      </c>
      <c r="AA5349" s="218"/>
    </row>
    <row r="5350" spans="1:27" ht="24" x14ac:dyDescent="0.25">
      <c r="A5350" s="405">
        <f t="shared" si="1803"/>
        <v>3004211</v>
      </c>
      <c r="B5350" s="406">
        <v>42620</v>
      </c>
      <c r="C5350" s="405" t="s">
        <v>42</v>
      </c>
      <c r="D5350" s="401" t="s">
        <v>11673</v>
      </c>
      <c r="E5350" s="120">
        <v>150</v>
      </c>
      <c r="F5350" s="119" t="s">
        <v>161</v>
      </c>
      <c r="G5350" s="404" t="s">
        <v>45</v>
      </c>
      <c r="H5350" s="411">
        <v>365.46</v>
      </c>
      <c r="I5350" s="89">
        <f t="shared" si="1806"/>
        <v>-32.891399999999997</v>
      </c>
      <c r="J5350" s="258">
        <f t="shared" ref="J5350" si="1817">-((H5350*0.019)+0.3)</f>
        <v>-7.243739999999999</v>
      </c>
      <c r="K5350" s="90">
        <f t="shared" ref="K5350" si="1818">SUM(H5350:J5350)</f>
        <v>325.32486</v>
      </c>
      <c r="M5350" s="187">
        <v>42.94</v>
      </c>
      <c r="N5350" s="91">
        <f t="shared" si="1789"/>
        <v>42.94</v>
      </c>
      <c r="O5350" s="411">
        <f t="shared" si="1779"/>
        <v>282.38486</v>
      </c>
      <c r="P5350" s="132" t="s">
        <v>52</v>
      </c>
      <c r="Q5350" s="232"/>
      <c r="R5350" s="411">
        <v>23.91</v>
      </c>
      <c r="T5350" s="172" t="s">
        <v>145</v>
      </c>
      <c r="U5350" s="259">
        <v>680483359917</v>
      </c>
      <c r="AA5350" s="218"/>
    </row>
    <row r="5351" spans="1:27" ht="24" x14ac:dyDescent="0.25">
      <c r="A5351" s="405">
        <f t="shared" si="1803"/>
        <v>3004212</v>
      </c>
      <c r="B5351" s="406">
        <v>42620</v>
      </c>
      <c r="C5351" s="405" t="s">
        <v>42</v>
      </c>
      <c r="D5351" s="401" t="s">
        <v>11674</v>
      </c>
      <c r="E5351" s="120">
        <v>125</v>
      </c>
      <c r="F5351" s="119" t="s">
        <v>247</v>
      </c>
      <c r="G5351" s="404" t="s">
        <v>45</v>
      </c>
      <c r="H5351" s="411">
        <v>164.57</v>
      </c>
      <c r="I5351" s="89">
        <f t="shared" si="1806"/>
        <v>-14.811299999999999</v>
      </c>
      <c r="J5351" s="258">
        <f t="shared" ref="J5351" si="1819">-((H5351*0.019)+0.3)</f>
        <v>-3.4268299999999998</v>
      </c>
      <c r="K5351" s="90">
        <f t="shared" ref="K5351:K5352" si="1820">SUM(H5351:J5351)</f>
        <v>146.33187000000001</v>
      </c>
      <c r="M5351" s="187">
        <v>31.05</v>
      </c>
      <c r="N5351" s="91">
        <f t="shared" si="1789"/>
        <v>31.05</v>
      </c>
      <c r="O5351" s="411">
        <f t="shared" si="1779"/>
        <v>115.28187000000001</v>
      </c>
      <c r="P5351" s="132" t="s">
        <v>52</v>
      </c>
      <c r="Q5351" s="232"/>
      <c r="R5351" s="411">
        <v>12.19</v>
      </c>
      <c r="T5351" s="172" t="s">
        <v>145</v>
      </c>
      <c r="U5351" s="259">
        <v>680483359858</v>
      </c>
      <c r="AA5351" s="218"/>
    </row>
    <row r="5352" spans="1:27" ht="24" x14ac:dyDescent="0.25">
      <c r="A5352" s="405">
        <f t="shared" si="1803"/>
        <v>3004213</v>
      </c>
      <c r="B5352" s="406">
        <v>42620</v>
      </c>
      <c r="C5352" s="405" t="s">
        <v>56</v>
      </c>
      <c r="D5352" s="401" t="s">
        <v>11675</v>
      </c>
      <c r="E5352" s="120">
        <v>500</v>
      </c>
      <c r="F5352" s="133" t="s">
        <v>11676</v>
      </c>
      <c r="G5352" s="404" t="s">
        <v>45</v>
      </c>
      <c r="H5352" s="411">
        <v>58.47</v>
      </c>
      <c r="I5352" s="411">
        <v>0</v>
      </c>
      <c r="J5352" s="411">
        <v>0</v>
      </c>
      <c r="K5352" s="90">
        <f t="shared" si="1820"/>
        <v>58.47</v>
      </c>
      <c r="L5352" s="187">
        <v>75</v>
      </c>
      <c r="M5352" s="187">
        <v>8.73</v>
      </c>
      <c r="N5352" s="91">
        <f t="shared" si="1789"/>
        <v>46.230000000000004</v>
      </c>
      <c r="O5352" s="411">
        <f t="shared" si="1779"/>
        <v>12.239999999999995</v>
      </c>
      <c r="P5352" s="132" t="s">
        <v>235</v>
      </c>
      <c r="Q5352" s="232"/>
      <c r="R5352" s="411"/>
      <c r="T5352" s="172" t="s">
        <v>145</v>
      </c>
      <c r="U5352" s="259">
        <v>700329331482</v>
      </c>
      <c r="V5352" s="133" t="s">
        <v>11677</v>
      </c>
      <c r="AA5352" s="218"/>
    </row>
    <row r="5353" spans="1:27" ht="36" x14ac:dyDescent="0.25">
      <c r="A5353" s="405">
        <f t="shared" si="1803"/>
        <v>3004214</v>
      </c>
      <c r="B5353" s="406">
        <v>42620</v>
      </c>
      <c r="C5353" s="405" t="s">
        <v>42</v>
      </c>
      <c r="D5353" s="401" t="s">
        <v>9476</v>
      </c>
      <c r="E5353" s="120">
        <v>3000</v>
      </c>
      <c r="F5353" s="119" t="s">
        <v>11678</v>
      </c>
      <c r="G5353" s="404" t="s">
        <v>45</v>
      </c>
      <c r="H5353" s="411">
        <v>840.15</v>
      </c>
      <c r="I5353" s="89">
        <f>-(H5353*0.09)</f>
        <v>-75.613500000000002</v>
      </c>
      <c r="J5353" s="258">
        <f t="shared" ref="J5353" si="1821">-((H5353*0.019)+0.3)</f>
        <v>-16.26285</v>
      </c>
      <c r="K5353" s="90">
        <f t="shared" ref="K5353" si="1822">SUM(H5353:J5353)</f>
        <v>748.27364999999998</v>
      </c>
      <c r="L5353" s="187">
        <v>150</v>
      </c>
      <c r="M5353" s="187">
        <f>31+31.31+31</f>
        <v>93.31</v>
      </c>
      <c r="N5353" s="91">
        <f t="shared" si="1789"/>
        <v>543.30999999999995</v>
      </c>
      <c r="O5353" s="411">
        <f t="shared" si="1779"/>
        <v>204.96365000000003</v>
      </c>
      <c r="P5353" s="132" t="s">
        <v>235</v>
      </c>
      <c r="Q5353" s="232"/>
      <c r="R5353" s="411"/>
      <c r="T5353" s="172" t="s">
        <v>145</v>
      </c>
      <c r="U5353" s="259" t="s">
        <v>11679</v>
      </c>
      <c r="AA5353" s="218"/>
    </row>
    <row r="5354" spans="1:27" ht="24" x14ac:dyDescent="0.25">
      <c r="A5354" s="405">
        <f t="shared" si="1803"/>
        <v>3004215</v>
      </c>
      <c r="B5354" s="406">
        <v>42620</v>
      </c>
      <c r="C5354" s="405" t="s">
        <v>237</v>
      </c>
      <c r="D5354" s="401" t="s">
        <v>11680</v>
      </c>
      <c r="E5354" s="120">
        <v>350</v>
      </c>
      <c r="F5354" s="119" t="s">
        <v>165</v>
      </c>
      <c r="G5354" s="404" t="s">
        <v>45</v>
      </c>
      <c r="H5354" s="411">
        <v>244.97</v>
      </c>
      <c r="I5354" s="397">
        <f t="shared" ref="I5354" si="1823">-(H5354*0.15)</f>
        <v>-36.7455</v>
      </c>
      <c r="J5354" s="411">
        <v>0</v>
      </c>
      <c r="K5354" s="90">
        <f>SUM(H5354:J5354)</f>
        <v>208.22450000000001</v>
      </c>
      <c r="M5354" s="187">
        <v>125.56</v>
      </c>
      <c r="N5354" s="91">
        <f t="shared" si="1789"/>
        <v>125.56</v>
      </c>
      <c r="O5354" s="411">
        <f t="shared" si="1779"/>
        <v>82.664500000000004</v>
      </c>
      <c r="P5354" s="132" t="s">
        <v>86</v>
      </c>
      <c r="Q5354" s="232"/>
      <c r="R5354" s="411"/>
      <c r="T5354" s="172" t="s">
        <v>145</v>
      </c>
      <c r="U5354" s="259">
        <v>675157529525</v>
      </c>
      <c r="AA5354" s="218"/>
    </row>
    <row r="5355" spans="1:27" ht="24" x14ac:dyDescent="0.25">
      <c r="A5355" s="405">
        <f t="shared" si="1803"/>
        <v>3004216</v>
      </c>
      <c r="B5355" s="406">
        <v>42620</v>
      </c>
      <c r="C5355" s="405" t="s">
        <v>141</v>
      </c>
      <c r="D5355" s="401" t="s">
        <v>11681</v>
      </c>
      <c r="E5355" s="120">
        <v>240</v>
      </c>
      <c r="F5355" s="133" t="s">
        <v>605</v>
      </c>
      <c r="G5355" s="404" t="s">
        <v>45</v>
      </c>
      <c r="H5355" s="411">
        <v>292.8</v>
      </c>
      <c r="I5355" s="411">
        <v>0</v>
      </c>
      <c r="J5355" s="258">
        <f>-((H5355*0.0325)+0.3)</f>
        <v>-9.8160000000000007</v>
      </c>
      <c r="K5355" s="90">
        <f t="shared" ref="K5355" si="1824">SUM(H5355:J5355)</f>
        <v>282.98400000000004</v>
      </c>
      <c r="M5355" s="187">
        <v>51.88</v>
      </c>
      <c r="N5355" s="91">
        <f t="shared" si="1789"/>
        <v>51.88</v>
      </c>
      <c r="O5355" s="411">
        <f t="shared" si="1779"/>
        <v>231.10400000000004</v>
      </c>
      <c r="P5355" s="132" t="s">
        <v>86</v>
      </c>
      <c r="Q5355" s="232"/>
      <c r="R5355" s="411"/>
      <c r="T5355" s="134" t="s">
        <v>145</v>
      </c>
      <c r="U5355" s="266">
        <v>675157529570</v>
      </c>
      <c r="W5355" s="153" t="s">
        <v>4065</v>
      </c>
      <c r="AA5355" s="218"/>
    </row>
    <row r="5356" spans="1:27" ht="24" x14ac:dyDescent="0.25">
      <c r="A5356" s="405">
        <f t="shared" si="1803"/>
        <v>3004217</v>
      </c>
      <c r="B5356" s="406">
        <v>42620</v>
      </c>
      <c r="C5356" s="405" t="s">
        <v>237</v>
      </c>
      <c r="D5356" s="401" t="s">
        <v>11682</v>
      </c>
      <c r="E5356" s="120">
        <v>150</v>
      </c>
      <c r="F5356" s="119" t="s">
        <v>247</v>
      </c>
      <c r="G5356" s="404" t="s">
        <v>45</v>
      </c>
      <c r="H5356" s="411">
        <v>140</v>
      </c>
      <c r="I5356" s="397">
        <f t="shared" ref="I5356" si="1825">-(H5356*0.15)</f>
        <v>-21</v>
      </c>
      <c r="J5356" s="411">
        <v>0</v>
      </c>
      <c r="K5356" s="90">
        <f>SUM(H5356:J5356)</f>
        <v>119</v>
      </c>
      <c r="M5356" s="187">
        <v>14.35</v>
      </c>
      <c r="N5356" s="91">
        <f t="shared" si="1789"/>
        <v>14.35</v>
      </c>
      <c r="O5356" s="411">
        <f t="shared" si="1779"/>
        <v>104.65</v>
      </c>
      <c r="P5356" s="132" t="s">
        <v>52</v>
      </c>
      <c r="Q5356" s="232"/>
      <c r="R5356" s="411"/>
      <c r="T5356" s="172" t="s">
        <v>145</v>
      </c>
      <c r="U5356" s="259">
        <v>702723287672</v>
      </c>
      <c r="AA5356" s="218"/>
    </row>
    <row r="5357" spans="1:27" ht="24" x14ac:dyDescent="0.25">
      <c r="A5357" s="405">
        <f t="shared" si="1803"/>
        <v>3004218</v>
      </c>
      <c r="B5357" s="406">
        <v>42620</v>
      </c>
      <c r="C5357" s="405" t="s">
        <v>42</v>
      </c>
      <c r="D5357" s="401" t="s">
        <v>11683</v>
      </c>
      <c r="E5357" s="120">
        <v>100</v>
      </c>
      <c r="F5357" s="119" t="s">
        <v>288</v>
      </c>
      <c r="G5357" s="404" t="s">
        <v>45</v>
      </c>
      <c r="H5357" s="411">
        <v>210.87</v>
      </c>
      <c r="I5357" s="89">
        <f>-(H5357*0.09)</f>
        <v>-18.978300000000001</v>
      </c>
      <c r="J5357" s="258">
        <f t="shared" ref="J5357" si="1826">-((H5357*0.019)+0.3)</f>
        <v>-4.3065299999999995</v>
      </c>
      <c r="K5357" s="90">
        <f t="shared" ref="K5357:K5358" si="1827">SUM(H5357:J5357)</f>
        <v>187.58517000000001</v>
      </c>
      <c r="M5357" s="187">
        <v>19.96</v>
      </c>
      <c r="N5357" s="91">
        <f t="shared" si="1789"/>
        <v>19.96</v>
      </c>
      <c r="O5357" s="411">
        <f t="shared" si="1779"/>
        <v>167.62517</v>
      </c>
      <c r="P5357" s="132" t="s">
        <v>52</v>
      </c>
      <c r="Q5357" s="232"/>
      <c r="R5357" s="411">
        <v>15.62</v>
      </c>
      <c r="T5357" s="172" t="s">
        <v>145</v>
      </c>
      <c r="U5357" s="259" t="s">
        <v>11684</v>
      </c>
      <c r="AA5357" s="218"/>
    </row>
    <row r="5358" spans="1:27" x14ac:dyDescent="0.25">
      <c r="A5358" s="405">
        <f t="shared" si="1803"/>
        <v>3004219</v>
      </c>
      <c r="B5358" s="406">
        <v>42620</v>
      </c>
      <c r="C5358" s="405" t="s">
        <v>56</v>
      </c>
      <c r="D5358" s="401" t="s">
        <v>11685</v>
      </c>
      <c r="E5358" s="120">
        <v>1500</v>
      </c>
      <c r="F5358" s="133" t="s">
        <v>11686</v>
      </c>
      <c r="G5358" s="404" t="s">
        <v>45</v>
      </c>
      <c r="H5358" s="411">
        <v>72</v>
      </c>
      <c r="I5358" s="411">
        <v>0</v>
      </c>
      <c r="J5358" s="411">
        <v>0</v>
      </c>
      <c r="K5358" s="90">
        <f t="shared" si="1827"/>
        <v>72</v>
      </c>
      <c r="N5358" s="91">
        <f t="shared" si="1789"/>
        <v>0</v>
      </c>
      <c r="O5358" s="411">
        <f t="shared" si="1779"/>
        <v>72</v>
      </c>
      <c r="P5358" s="132" t="s">
        <v>52</v>
      </c>
      <c r="Q5358" s="232"/>
      <c r="R5358" s="411"/>
      <c r="T5358" s="172"/>
      <c r="U5358" s="259"/>
      <c r="V5358" s="133" t="s">
        <v>11687</v>
      </c>
      <c r="AA5358" s="218"/>
    </row>
    <row r="5359" spans="1:27" x14ac:dyDescent="0.25">
      <c r="A5359" s="405">
        <f t="shared" si="1803"/>
        <v>3004220</v>
      </c>
      <c r="B5359" s="406">
        <v>42620</v>
      </c>
      <c r="C5359" s="405" t="s">
        <v>56</v>
      </c>
      <c r="D5359" s="401" t="s">
        <v>11688</v>
      </c>
      <c r="E5359" s="120">
        <v>1000</v>
      </c>
      <c r="F5359" s="133" t="s">
        <v>11689</v>
      </c>
      <c r="G5359" s="404" t="s">
        <v>45</v>
      </c>
      <c r="H5359" s="411">
        <v>2800</v>
      </c>
      <c r="I5359" s="411">
        <v>0</v>
      </c>
      <c r="J5359" s="411">
        <v>0</v>
      </c>
      <c r="K5359" s="90">
        <f t="shared" ref="K5359" si="1828">SUM(H5359:J5359)</f>
        <v>2800</v>
      </c>
      <c r="L5359" s="187">
        <v>2030</v>
      </c>
      <c r="N5359" s="91">
        <f t="shared" si="1789"/>
        <v>2030</v>
      </c>
      <c r="O5359" s="411">
        <f t="shared" si="1779"/>
        <v>770</v>
      </c>
      <c r="P5359" s="132" t="s">
        <v>601</v>
      </c>
      <c r="Q5359" s="232"/>
      <c r="R5359" s="411"/>
      <c r="T5359" s="134" t="s">
        <v>875</v>
      </c>
      <c r="U5359" s="266">
        <v>5011109431</v>
      </c>
      <c r="V5359" s="133" t="s">
        <v>11474</v>
      </c>
      <c r="AA5359" s="218"/>
    </row>
    <row r="5360" spans="1:27" x14ac:dyDescent="0.25">
      <c r="A5360" s="419">
        <v>3004221</v>
      </c>
      <c r="B5360" s="607">
        <v>42620</v>
      </c>
      <c r="C5360" s="419" t="s">
        <v>63</v>
      </c>
      <c r="D5360" s="532" t="s">
        <v>11690</v>
      </c>
      <c r="E5360" s="120">
        <v>132</v>
      </c>
      <c r="F5360" s="133" t="s">
        <v>11691</v>
      </c>
      <c r="G5360" s="434" t="s">
        <v>45</v>
      </c>
      <c r="H5360" s="427">
        <v>1339.8</v>
      </c>
      <c r="I5360" s="516">
        <v>0</v>
      </c>
      <c r="J5360" s="523">
        <f>-((H5360*0.022)+0.3)</f>
        <v>-29.775599999999997</v>
      </c>
      <c r="K5360" s="523">
        <f>SUM(H5360:J5360)</f>
        <v>1310.0244</v>
      </c>
      <c r="L5360" s="187">
        <v>4900</v>
      </c>
      <c r="M5360" s="468">
        <v>121.65</v>
      </c>
      <c r="N5360" s="91">
        <f t="shared" si="1789"/>
        <v>768.45</v>
      </c>
      <c r="O5360" s="411">
        <f t="shared" si="1779"/>
        <v>541.57439999999997</v>
      </c>
      <c r="P5360" s="132" t="s">
        <v>46</v>
      </c>
      <c r="Q5360" s="232"/>
      <c r="R5360" s="411"/>
      <c r="T5360" s="519" t="s">
        <v>244</v>
      </c>
      <c r="U5360" s="537">
        <v>707203566</v>
      </c>
      <c r="V5360" s="133" t="s">
        <v>3169</v>
      </c>
      <c r="W5360" s="153" t="s">
        <v>11692</v>
      </c>
      <c r="AA5360" s="473">
        <v>10</v>
      </c>
    </row>
    <row r="5361" spans="1:27" x14ac:dyDescent="0.25">
      <c r="A5361" s="420"/>
      <c r="B5361" s="608"/>
      <c r="C5361" s="420"/>
      <c r="D5361" s="533"/>
      <c r="E5361" s="120">
        <v>50</v>
      </c>
      <c r="F5361" s="401" t="s">
        <v>11693</v>
      </c>
      <c r="G5361" s="436"/>
      <c r="H5361" s="428"/>
      <c r="I5361" s="518"/>
      <c r="J5361" s="524"/>
      <c r="K5361" s="524"/>
      <c r="L5361" s="187">
        <v>1989.53</v>
      </c>
      <c r="M5361" s="469"/>
      <c r="N5361" s="91">
        <f t="shared" si="1789"/>
        <v>99.476500000000001</v>
      </c>
      <c r="O5361" s="411">
        <f t="shared" si="1779"/>
        <v>-99.476500000000001</v>
      </c>
      <c r="P5361" s="132" t="s">
        <v>46</v>
      </c>
      <c r="Q5361" s="232"/>
      <c r="R5361" s="411"/>
      <c r="T5361" s="520"/>
      <c r="U5361" s="538"/>
      <c r="AA5361" s="474"/>
    </row>
    <row r="5362" spans="1:27" ht="24" x14ac:dyDescent="0.25">
      <c r="A5362" s="405">
        <f>A5360+1</f>
        <v>3004222</v>
      </c>
      <c r="B5362" s="406">
        <v>42620</v>
      </c>
      <c r="C5362" s="405" t="s">
        <v>56</v>
      </c>
      <c r="D5362" s="401" t="s">
        <v>11694</v>
      </c>
      <c r="E5362" s="120">
        <v>75000</v>
      </c>
      <c r="F5362" s="119" t="s">
        <v>11695</v>
      </c>
      <c r="G5362" s="404" t="s">
        <v>45</v>
      </c>
      <c r="H5362" s="411">
        <v>22500</v>
      </c>
      <c r="I5362" s="411">
        <v>0</v>
      </c>
      <c r="J5362" s="411">
        <v>0</v>
      </c>
      <c r="K5362" s="90">
        <f t="shared" ref="K5362" si="1829">SUM(H5362:J5362)</f>
        <v>22500</v>
      </c>
      <c r="L5362" s="187">
        <v>166</v>
      </c>
      <c r="N5362" s="91">
        <f t="shared" si="1789"/>
        <v>12450</v>
      </c>
      <c r="O5362" s="411">
        <f t="shared" si="1779"/>
        <v>10050</v>
      </c>
      <c r="P5362" s="132" t="s">
        <v>723</v>
      </c>
      <c r="Q5362" s="232"/>
      <c r="R5362" s="411"/>
      <c r="AA5362" s="218"/>
    </row>
    <row r="5363" spans="1:27" ht="24" x14ac:dyDescent="0.25">
      <c r="A5363" s="405">
        <f t="shared" ref="A5363:A5383" si="1830">A5362+1</f>
        <v>3004223</v>
      </c>
      <c r="B5363" s="406">
        <v>42621</v>
      </c>
      <c r="C5363" s="405" t="s">
        <v>63</v>
      </c>
      <c r="D5363" s="401" t="s">
        <v>11696</v>
      </c>
      <c r="E5363" s="120">
        <v>125</v>
      </c>
      <c r="F5363" s="133" t="s">
        <v>161</v>
      </c>
      <c r="G5363" s="404" t="s">
        <v>45</v>
      </c>
      <c r="H5363" s="411">
        <v>297.18</v>
      </c>
      <c r="I5363" s="411">
        <v>0</v>
      </c>
      <c r="J5363" s="258">
        <f>-((H5363*0.022)+0.3)</f>
        <v>-6.8379599999999998</v>
      </c>
      <c r="K5363" s="90">
        <f>SUM(H5363:J5363)</f>
        <v>290.34204</v>
      </c>
      <c r="M5363" s="187">
        <v>19.88</v>
      </c>
      <c r="N5363" s="91">
        <f t="shared" si="1789"/>
        <v>19.88</v>
      </c>
      <c r="O5363" s="411">
        <f t="shared" si="1779"/>
        <v>270.46204</v>
      </c>
      <c r="P5363" s="132" t="s">
        <v>52</v>
      </c>
      <c r="Q5363" s="232"/>
      <c r="R5363" s="411"/>
      <c r="T5363" s="172" t="s">
        <v>145</v>
      </c>
      <c r="U5363" s="259">
        <v>702723287710</v>
      </c>
      <c r="W5363" s="153" t="s">
        <v>11697</v>
      </c>
      <c r="AA5363" s="218"/>
    </row>
    <row r="5364" spans="1:27" ht="24" x14ac:dyDescent="0.25">
      <c r="A5364" s="405">
        <f t="shared" si="1830"/>
        <v>3004224</v>
      </c>
      <c r="B5364" s="406">
        <v>42621</v>
      </c>
      <c r="C5364" s="405" t="s">
        <v>141</v>
      </c>
      <c r="D5364" s="401" t="s">
        <v>11698</v>
      </c>
      <c r="E5364" s="120">
        <v>350</v>
      </c>
      <c r="F5364" s="133" t="s">
        <v>11699</v>
      </c>
      <c r="G5364" s="404" t="s">
        <v>45</v>
      </c>
      <c r="H5364" s="411">
        <v>228.5</v>
      </c>
      <c r="I5364" s="411">
        <v>0</v>
      </c>
      <c r="J5364" s="258">
        <f>-((H5364*0.0325)+0.3)</f>
        <v>-7.7262500000000003</v>
      </c>
      <c r="K5364" s="90">
        <f t="shared" ref="K5364:K5365" si="1831">SUM(H5364:J5364)</f>
        <v>220.77375000000001</v>
      </c>
      <c r="M5364" s="187">
        <v>41.2</v>
      </c>
      <c r="N5364" s="91">
        <f t="shared" si="1789"/>
        <v>41.2</v>
      </c>
      <c r="O5364" s="411">
        <f t="shared" si="1779"/>
        <v>179.57375000000002</v>
      </c>
      <c r="P5364" s="132" t="s">
        <v>52</v>
      </c>
      <c r="Q5364" s="232"/>
      <c r="R5364" s="411"/>
      <c r="T5364" s="172" t="s">
        <v>145</v>
      </c>
      <c r="U5364" s="259">
        <v>702723287709</v>
      </c>
      <c r="W5364" s="153" t="s">
        <v>11700</v>
      </c>
      <c r="AA5364" s="218"/>
    </row>
    <row r="5365" spans="1:27" ht="24" x14ac:dyDescent="0.25">
      <c r="A5365" s="405">
        <f t="shared" si="1830"/>
        <v>3004225</v>
      </c>
      <c r="B5365" s="406">
        <v>42621</v>
      </c>
      <c r="C5365" s="405" t="s">
        <v>42</v>
      </c>
      <c r="D5365" s="401" t="s">
        <v>11701</v>
      </c>
      <c r="E5365" s="120">
        <v>250</v>
      </c>
      <c r="F5365" s="119" t="s">
        <v>11702</v>
      </c>
      <c r="G5365" s="404" t="s">
        <v>45</v>
      </c>
      <c r="H5365" s="411">
        <v>104.18</v>
      </c>
      <c r="I5365" s="89">
        <f>-(H5365*0.09)</f>
        <v>-9.3762000000000008</v>
      </c>
      <c r="J5365" s="258">
        <f t="shared" ref="J5365" si="1832">-((H5365*0.019)+0.3)</f>
        <v>-2.27942</v>
      </c>
      <c r="K5365" s="90">
        <f t="shared" si="1831"/>
        <v>92.524380000000008</v>
      </c>
      <c r="M5365" s="187">
        <v>37.29</v>
      </c>
      <c r="N5365" s="91">
        <f t="shared" si="1789"/>
        <v>37.29</v>
      </c>
      <c r="O5365" s="411">
        <f t="shared" si="1779"/>
        <v>55.234380000000009</v>
      </c>
      <c r="P5365" s="132" t="s">
        <v>52</v>
      </c>
      <c r="Q5365" s="232"/>
      <c r="R5365" s="411"/>
      <c r="T5365" s="172" t="s">
        <v>145</v>
      </c>
      <c r="U5365" s="259">
        <v>702723287694</v>
      </c>
      <c r="AA5365" s="218"/>
    </row>
    <row r="5366" spans="1:27" ht="24" x14ac:dyDescent="0.25">
      <c r="A5366" s="405">
        <f t="shared" si="1830"/>
        <v>3004226</v>
      </c>
      <c r="B5366" s="406">
        <v>42621</v>
      </c>
      <c r="C5366" s="405" t="s">
        <v>141</v>
      </c>
      <c r="D5366" s="401" t="s">
        <v>11703</v>
      </c>
      <c r="E5366" s="120">
        <v>500</v>
      </c>
      <c r="F5366" s="133" t="s">
        <v>288</v>
      </c>
      <c r="G5366" s="404" t="s">
        <v>45</v>
      </c>
      <c r="H5366" s="411">
        <v>1230</v>
      </c>
      <c r="I5366" s="411">
        <v>0</v>
      </c>
      <c r="J5366" s="258">
        <f>-((H5366*0.0325)+0.3)</f>
        <v>-40.274999999999999</v>
      </c>
      <c r="K5366" s="90">
        <f t="shared" ref="K5366:K5367" si="1833">SUM(H5366:J5366)</f>
        <v>1189.7249999999999</v>
      </c>
      <c r="M5366" s="187">
        <v>350</v>
      </c>
      <c r="N5366" s="91">
        <f t="shared" si="1789"/>
        <v>350</v>
      </c>
      <c r="O5366" s="411">
        <f t="shared" si="1779"/>
        <v>839.72499999999991</v>
      </c>
      <c r="P5366" s="132" t="s">
        <v>52</v>
      </c>
      <c r="Q5366" s="232"/>
      <c r="R5366" s="411"/>
      <c r="T5366" s="134" t="s">
        <v>11704</v>
      </c>
      <c r="U5366" s="266"/>
      <c r="W5366" s="153" t="s">
        <v>11705</v>
      </c>
      <c r="AA5366" s="218">
        <v>10</v>
      </c>
    </row>
    <row r="5367" spans="1:27" ht="24" x14ac:dyDescent="0.25">
      <c r="A5367" s="405">
        <f t="shared" si="1830"/>
        <v>3004227</v>
      </c>
      <c r="B5367" s="406">
        <v>42621</v>
      </c>
      <c r="C5367" s="405" t="s">
        <v>42</v>
      </c>
      <c r="D5367" s="401" t="s">
        <v>11706</v>
      </c>
      <c r="E5367" s="120">
        <v>150</v>
      </c>
      <c r="F5367" s="119" t="s">
        <v>247</v>
      </c>
      <c r="G5367" s="404" t="s">
        <v>45</v>
      </c>
      <c r="H5367" s="411">
        <v>185.9</v>
      </c>
      <c r="I5367" s="89">
        <f>-(H5367*0.09)</f>
        <v>-16.731000000000002</v>
      </c>
      <c r="J5367" s="258">
        <f t="shared" ref="J5367" si="1834">-((H5367*0.019)+0.3)</f>
        <v>-3.8321000000000001</v>
      </c>
      <c r="K5367" s="90">
        <f t="shared" si="1833"/>
        <v>165.33690000000001</v>
      </c>
      <c r="M5367" s="187">
        <v>22.76</v>
      </c>
      <c r="N5367" s="91">
        <f t="shared" si="1789"/>
        <v>22.76</v>
      </c>
      <c r="O5367" s="411">
        <f t="shared" si="1779"/>
        <v>142.57690000000002</v>
      </c>
      <c r="P5367" s="132" t="s">
        <v>52</v>
      </c>
      <c r="Q5367" s="232"/>
      <c r="R5367" s="411"/>
      <c r="T5367" s="172" t="s">
        <v>145</v>
      </c>
      <c r="U5367" s="259">
        <v>702723287661</v>
      </c>
      <c r="AA5367" s="218"/>
    </row>
    <row r="5368" spans="1:27" ht="24" x14ac:dyDescent="0.25">
      <c r="A5368" s="405">
        <f t="shared" si="1830"/>
        <v>3004228</v>
      </c>
      <c r="B5368" s="406">
        <v>42621</v>
      </c>
      <c r="C5368" s="405" t="s">
        <v>42</v>
      </c>
      <c r="D5368" s="401" t="s">
        <v>11707</v>
      </c>
      <c r="E5368" s="120">
        <v>125</v>
      </c>
      <c r="F5368" s="119" t="s">
        <v>178</v>
      </c>
      <c r="G5368" s="404" t="s">
        <v>45</v>
      </c>
      <c r="H5368" s="411">
        <v>372.71</v>
      </c>
      <c r="I5368" s="89">
        <f>-(H5368*0.09)</f>
        <v>-33.543899999999994</v>
      </c>
      <c r="J5368" s="258">
        <f t="shared" ref="J5368" si="1835">-((H5368*0.019)+0.3)</f>
        <v>-7.3814899999999994</v>
      </c>
      <c r="K5368" s="90">
        <f t="shared" ref="K5368:K5369" si="1836">SUM(H5368:J5368)</f>
        <v>331.78460999999999</v>
      </c>
      <c r="M5368" s="187">
        <v>52.34</v>
      </c>
      <c r="N5368" s="91">
        <f t="shared" si="1789"/>
        <v>52.34</v>
      </c>
      <c r="O5368" s="411">
        <f t="shared" si="1779"/>
        <v>279.44461000000001</v>
      </c>
      <c r="P5368" s="132" t="s">
        <v>86</v>
      </c>
      <c r="Q5368" s="232"/>
      <c r="R5368" s="411"/>
      <c r="T5368" s="172" t="s">
        <v>145</v>
      </c>
      <c r="U5368" s="259">
        <v>675157529558</v>
      </c>
      <c r="AA5368" s="218"/>
    </row>
    <row r="5369" spans="1:27" ht="24" x14ac:dyDescent="0.25">
      <c r="A5369" s="405">
        <f t="shared" si="1830"/>
        <v>3004229</v>
      </c>
      <c r="B5369" s="406">
        <v>42621</v>
      </c>
      <c r="C5369" s="405" t="s">
        <v>141</v>
      </c>
      <c r="D5369" s="401" t="s">
        <v>11283</v>
      </c>
      <c r="E5369" s="120">
        <v>250</v>
      </c>
      <c r="F5369" s="133" t="s">
        <v>323</v>
      </c>
      <c r="G5369" s="404" t="s">
        <v>45</v>
      </c>
      <c r="H5369" s="411">
        <v>195</v>
      </c>
      <c r="I5369" s="411">
        <v>0</v>
      </c>
      <c r="J5369" s="258">
        <f>-((H5369*0.0325)+0.3)</f>
        <v>-6.6375000000000002</v>
      </c>
      <c r="K5369" s="90">
        <f t="shared" si="1836"/>
        <v>188.36250000000001</v>
      </c>
      <c r="M5369" s="187">
        <v>54.58</v>
      </c>
      <c r="N5369" s="91">
        <f t="shared" si="1789"/>
        <v>54.58</v>
      </c>
      <c r="O5369" s="411">
        <f t="shared" si="1779"/>
        <v>133.78250000000003</v>
      </c>
      <c r="P5369" s="132" t="s">
        <v>52</v>
      </c>
      <c r="Q5369" s="232"/>
      <c r="R5369" s="411"/>
      <c r="T5369" s="172" t="s">
        <v>145</v>
      </c>
      <c r="U5369" s="259" t="s">
        <v>11708</v>
      </c>
      <c r="W5369" s="153" t="s">
        <v>11709</v>
      </c>
      <c r="AA5369" s="218"/>
    </row>
    <row r="5370" spans="1:27" ht="24" x14ac:dyDescent="0.25">
      <c r="A5370" s="405">
        <f t="shared" si="1830"/>
        <v>3004230</v>
      </c>
      <c r="B5370" s="406">
        <v>42621</v>
      </c>
      <c r="C5370" s="405" t="s">
        <v>56</v>
      </c>
      <c r="D5370" s="401" t="s">
        <v>11710</v>
      </c>
      <c r="E5370" s="120">
        <v>100</v>
      </c>
      <c r="F5370" s="133" t="s">
        <v>11711</v>
      </c>
      <c r="G5370" s="404" t="s">
        <v>45</v>
      </c>
      <c r="H5370" s="411">
        <v>1650</v>
      </c>
      <c r="I5370" s="411">
        <v>0</v>
      </c>
      <c r="J5370" s="258">
        <v>0</v>
      </c>
      <c r="K5370" s="90">
        <f t="shared" ref="K5370" si="1837">SUM(H5370:J5370)</f>
        <v>1650</v>
      </c>
      <c r="L5370" s="187">
        <v>10560</v>
      </c>
      <c r="M5370" s="187">
        <f>48.23+48.23</f>
        <v>96.46</v>
      </c>
      <c r="N5370" s="91">
        <f t="shared" si="1789"/>
        <v>1152.46</v>
      </c>
      <c r="O5370" s="411">
        <f t="shared" si="1779"/>
        <v>497.53999999999996</v>
      </c>
      <c r="P5370" s="132" t="s">
        <v>313</v>
      </c>
      <c r="Q5370" s="232"/>
      <c r="R5370" s="411"/>
      <c r="T5370" s="134" t="s">
        <v>145</v>
      </c>
      <c r="U5370" s="266" t="s">
        <v>11712</v>
      </c>
      <c r="V5370" s="133" t="s">
        <v>10949</v>
      </c>
      <c r="AA5370" s="218"/>
    </row>
    <row r="5371" spans="1:27" ht="24" x14ac:dyDescent="0.25">
      <c r="A5371" s="405">
        <f t="shared" si="1830"/>
        <v>3004231</v>
      </c>
      <c r="B5371" s="406">
        <v>42621</v>
      </c>
      <c r="C5371" s="405" t="s">
        <v>237</v>
      </c>
      <c r="D5371" s="401" t="s">
        <v>11713</v>
      </c>
      <c r="E5371" s="120">
        <v>100</v>
      </c>
      <c r="F5371" s="119" t="s">
        <v>590</v>
      </c>
      <c r="G5371" s="404" t="s">
        <v>45</v>
      </c>
      <c r="H5371" s="411">
        <v>116.32</v>
      </c>
      <c r="I5371" s="397">
        <f t="shared" ref="I5371" si="1838">-(H5371*0.15)</f>
        <v>-17.447999999999997</v>
      </c>
      <c r="J5371" s="411">
        <v>0</v>
      </c>
      <c r="K5371" s="90">
        <f t="shared" ref="K5371:K5376" si="1839">SUM(H5371:J5371)</f>
        <v>98.872</v>
      </c>
      <c r="M5371" s="187">
        <v>33.840000000000003</v>
      </c>
      <c r="N5371" s="91">
        <f t="shared" si="1789"/>
        <v>33.840000000000003</v>
      </c>
      <c r="O5371" s="411">
        <f t="shared" si="1779"/>
        <v>65.031999999999996</v>
      </c>
      <c r="P5371" s="132" t="s">
        <v>52</v>
      </c>
      <c r="Q5371" s="232"/>
      <c r="R5371" s="411"/>
      <c r="T5371" s="172" t="s">
        <v>145</v>
      </c>
      <c r="U5371" s="259">
        <v>702723287753</v>
      </c>
      <c r="AA5371" s="218"/>
    </row>
    <row r="5372" spans="1:27" ht="24" x14ac:dyDescent="0.25">
      <c r="A5372" s="405">
        <f t="shared" si="1830"/>
        <v>3004232</v>
      </c>
      <c r="B5372" s="406">
        <v>42621</v>
      </c>
      <c r="C5372" s="405" t="s">
        <v>237</v>
      </c>
      <c r="D5372" s="401" t="s">
        <v>11714</v>
      </c>
      <c r="E5372" s="120">
        <v>400</v>
      </c>
      <c r="F5372" s="119" t="s">
        <v>165</v>
      </c>
      <c r="G5372" s="404" t="s">
        <v>45</v>
      </c>
      <c r="H5372" s="411">
        <v>280</v>
      </c>
      <c r="I5372" s="397">
        <f t="shared" ref="I5372" si="1840">-(H5372*0.15)</f>
        <v>-42</v>
      </c>
      <c r="J5372" s="411">
        <v>0</v>
      </c>
      <c r="K5372" s="90">
        <f t="shared" si="1839"/>
        <v>238</v>
      </c>
      <c r="M5372" s="187">
        <v>47.14</v>
      </c>
      <c r="N5372" s="91">
        <f t="shared" si="1789"/>
        <v>47.14</v>
      </c>
      <c r="O5372" s="411">
        <f t="shared" si="1779"/>
        <v>190.86</v>
      </c>
      <c r="P5372" s="132" t="s">
        <v>86</v>
      </c>
      <c r="Q5372" s="232"/>
      <c r="R5372" s="411"/>
      <c r="T5372" s="172" t="s">
        <v>145</v>
      </c>
      <c r="U5372" s="259">
        <v>675157529547</v>
      </c>
      <c r="AA5372" s="218"/>
    </row>
    <row r="5373" spans="1:27" ht="24" x14ac:dyDescent="0.25">
      <c r="A5373" s="405">
        <f t="shared" si="1830"/>
        <v>3004233</v>
      </c>
      <c r="B5373" s="406">
        <v>42621</v>
      </c>
      <c r="C5373" s="405" t="s">
        <v>237</v>
      </c>
      <c r="D5373" s="401" t="s">
        <v>11715</v>
      </c>
      <c r="E5373" s="120">
        <v>50</v>
      </c>
      <c r="F5373" s="119" t="s">
        <v>11716</v>
      </c>
      <c r="G5373" s="404" t="s">
        <v>45</v>
      </c>
      <c r="H5373" s="411">
        <v>108.06</v>
      </c>
      <c r="I5373" s="397">
        <f t="shared" ref="I5373" si="1841">-(H5373*0.15)</f>
        <v>-16.209</v>
      </c>
      <c r="J5373" s="411">
        <v>0</v>
      </c>
      <c r="K5373" s="90">
        <f t="shared" si="1839"/>
        <v>91.850999999999999</v>
      </c>
      <c r="L5373" s="187">
        <v>1000</v>
      </c>
      <c r="M5373" s="187">
        <v>12.63</v>
      </c>
      <c r="N5373" s="91">
        <f t="shared" si="1789"/>
        <v>62.63</v>
      </c>
      <c r="O5373" s="411">
        <f t="shared" si="1779"/>
        <v>29.220999999999997</v>
      </c>
      <c r="P5373" s="132" t="s">
        <v>183</v>
      </c>
      <c r="Q5373" s="232"/>
      <c r="R5373" s="411"/>
      <c r="T5373" s="172" t="s">
        <v>145</v>
      </c>
      <c r="U5373" s="259">
        <v>700044011500</v>
      </c>
      <c r="AA5373" s="218"/>
    </row>
    <row r="5374" spans="1:27" ht="24" x14ac:dyDescent="0.25">
      <c r="A5374" s="405">
        <f t="shared" si="1830"/>
        <v>3004234</v>
      </c>
      <c r="B5374" s="406">
        <v>42621</v>
      </c>
      <c r="C5374" s="405" t="s">
        <v>327</v>
      </c>
      <c r="D5374" s="401" t="s">
        <v>1521</v>
      </c>
      <c r="E5374" s="120">
        <v>200</v>
      </c>
      <c r="F5374" s="119" t="s">
        <v>1522</v>
      </c>
      <c r="G5374" s="404" t="s">
        <v>45</v>
      </c>
      <c r="H5374" s="411">
        <v>434.52</v>
      </c>
      <c r="I5374" s="397">
        <v>0</v>
      </c>
      <c r="J5374" s="396">
        <f>-((H5374*0.022)+0.3)</f>
        <v>-9.8594399999999993</v>
      </c>
      <c r="K5374" s="90">
        <f t="shared" si="1839"/>
        <v>424.66055999999998</v>
      </c>
      <c r="M5374" s="187">
        <v>37.96</v>
      </c>
      <c r="N5374" s="91">
        <f t="shared" si="1789"/>
        <v>37.96</v>
      </c>
      <c r="O5374" s="411">
        <f t="shared" si="1779"/>
        <v>386.70056</v>
      </c>
      <c r="P5374" s="132" t="s">
        <v>52</v>
      </c>
      <c r="Q5374" s="232"/>
      <c r="R5374" s="411"/>
      <c r="T5374" s="172" t="s">
        <v>145</v>
      </c>
      <c r="U5374" s="259">
        <v>702723287797</v>
      </c>
      <c r="W5374" s="153" t="s">
        <v>11717</v>
      </c>
      <c r="AA5374" s="218"/>
    </row>
    <row r="5375" spans="1:27" ht="24" x14ac:dyDescent="0.25">
      <c r="A5375" s="405">
        <f t="shared" si="1830"/>
        <v>3004235</v>
      </c>
      <c r="B5375" s="406">
        <v>42621</v>
      </c>
      <c r="C5375" s="405" t="s">
        <v>63</v>
      </c>
      <c r="D5375" s="401" t="s">
        <v>11599</v>
      </c>
      <c r="E5375" s="120">
        <v>100</v>
      </c>
      <c r="F5375" s="119" t="s">
        <v>161</v>
      </c>
      <c r="G5375" s="404" t="s">
        <v>45</v>
      </c>
      <c r="H5375" s="411">
        <v>245</v>
      </c>
      <c r="I5375" s="411">
        <v>0</v>
      </c>
      <c r="J5375" s="258">
        <f>-((H5375*0.022)+0.3)</f>
        <v>-5.6899999999999995</v>
      </c>
      <c r="K5375" s="90">
        <f t="shared" si="1839"/>
        <v>239.31</v>
      </c>
      <c r="M5375" s="187">
        <v>34.630000000000003</v>
      </c>
      <c r="N5375" s="91">
        <f t="shared" si="1789"/>
        <v>34.630000000000003</v>
      </c>
      <c r="O5375" s="411">
        <f t="shared" si="1779"/>
        <v>204.68</v>
      </c>
      <c r="P5375" s="132" t="s">
        <v>52</v>
      </c>
      <c r="Q5375" s="232"/>
      <c r="R5375" s="411"/>
      <c r="T5375" s="172" t="s">
        <v>145</v>
      </c>
      <c r="U5375" s="259" t="s">
        <v>11718</v>
      </c>
      <c r="W5375" s="153" t="s">
        <v>11719</v>
      </c>
      <c r="AA5375" s="218"/>
    </row>
    <row r="5376" spans="1:27" ht="24" x14ac:dyDescent="0.25">
      <c r="A5376" s="405">
        <f t="shared" si="1830"/>
        <v>3004236</v>
      </c>
      <c r="B5376" s="406">
        <v>42621</v>
      </c>
      <c r="C5376" s="405" t="s">
        <v>237</v>
      </c>
      <c r="D5376" s="401" t="s">
        <v>11720</v>
      </c>
      <c r="E5376" s="120">
        <v>50</v>
      </c>
      <c r="F5376" s="119" t="s">
        <v>288</v>
      </c>
      <c r="G5376" s="404" t="s">
        <v>45</v>
      </c>
      <c r="H5376" s="411">
        <v>113.43</v>
      </c>
      <c r="I5376" s="397">
        <f t="shared" ref="I5376" si="1842">-(H5376*0.15)</f>
        <v>-17.014500000000002</v>
      </c>
      <c r="J5376" s="411">
        <v>0</v>
      </c>
      <c r="K5376" s="90">
        <f t="shared" si="1839"/>
        <v>96.415500000000009</v>
      </c>
      <c r="M5376" s="187">
        <v>20.57</v>
      </c>
      <c r="N5376" s="91">
        <f t="shared" si="1789"/>
        <v>20.57</v>
      </c>
      <c r="O5376" s="411">
        <f t="shared" si="1779"/>
        <v>75.845500000000015</v>
      </c>
      <c r="P5376" s="132" t="s">
        <v>52</v>
      </c>
      <c r="Q5376" s="232"/>
      <c r="R5376" s="411"/>
      <c r="T5376" s="172" t="s">
        <v>145</v>
      </c>
      <c r="U5376" s="259">
        <v>702723287786</v>
      </c>
      <c r="AA5376" s="218"/>
    </row>
    <row r="5377" spans="1:27" ht="24" x14ac:dyDescent="0.25">
      <c r="A5377" s="405">
        <f t="shared" si="1830"/>
        <v>3004237</v>
      </c>
      <c r="B5377" s="406">
        <v>42621</v>
      </c>
      <c r="C5377" s="405" t="s">
        <v>42</v>
      </c>
      <c r="D5377" s="401" t="s">
        <v>11721</v>
      </c>
      <c r="E5377" s="120">
        <v>125</v>
      </c>
      <c r="F5377" s="119" t="s">
        <v>161</v>
      </c>
      <c r="G5377" s="404" t="s">
        <v>45</v>
      </c>
      <c r="H5377" s="411">
        <v>374.5</v>
      </c>
      <c r="I5377" s="89">
        <f>-(H5377*0.09)</f>
        <v>-33.704999999999998</v>
      </c>
      <c r="J5377" s="258">
        <f t="shared" ref="J5377" si="1843">-((H5377*0.019)+0.3)</f>
        <v>-7.4154999999999998</v>
      </c>
      <c r="K5377" s="90">
        <f t="shared" ref="K5377" si="1844">SUM(H5377:J5377)</f>
        <v>333.37950000000001</v>
      </c>
      <c r="M5377" s="187">
        <v>31.8</v>
      </c>
      <c r="N5377" s="91">
        <f t="shared" si="1789"/>
        <v>31.8</v>
      </c>
      <c r="O5377" s="411">
        <f t="shared" si="1779"/>
        <v>301.5795</v>
      </c>
      <c r="P5377" s="132" t="s">
        <v>52</v>
      </c>
      <c r="Q5377" s="232"/>
      <c r="R5377" s="411"/>
      <c r="T5377" s="172" t="s">
        <v>145</v>
      </c>
      <c r="U5377" s="259">
        <v>702723287720</v>
      </c>
      <c r="AA5377" s="218"/>
    </row>
    <row r="5378" spans="1:27" x14ac:dyDescent="0.25">
      <c r="A5378" s="405">
        <f t="shared" si="1830"/>
        <v>3004238</v>
      </c>
      <c r="B5378" s="406">
        <v>42621</v>
      </c>
      <c r="C5378" s="405" t="s">
        <v>78</v>
      </c>
      <c r="D5378" s="401" t="s">
        <v>11722</v>
      </c>
      <c r="E5378" s="120">
        <v>350</v>
      </c>
      <c r="F5378" s="119" t="s">
        <v>11723</v>
      </c>
      <c r="G5378" s="404" t="s">
        <v>45</v>
      </c>
      <c r="H5378" s="411">
        <v>630</v>
      </c>
      <c r="I5378" s="89">
        <v>0</v>
      </c>
      <c r="J5378" s="258">
        <f t="shared" ref="J5378" si="1845">-((H5378*0.019)+0.3)</f>
        <v>-12.27</v>
      </c>
      <c r="K5378" s="90">
        <f t="shared" ref="K5378" si="1846">SUM(H5378:J5378)</f>
        <v>617.73</v>
      </c>
      <c r="L5378" s="131">
        <v>1021</v>
      </c>
      <c r="M5378" s="187">
        <v>129.87</v>
      </c>
      <c r="N5378" s="91">
        <f t="shared" si="1789"/>
        <v>487.22</v>
      </c>
      <c r="O5378" s="411">
        <f t="shared" si="1779"/>
        <v>130.51</v>
      </c>
      <c r="P5378" s="132" t="s">
        <v>52</v>
      </c>
      <c r="Q5378" s="232"/>
      <c r="R5378" s="411"/>
      <c r="T5378" s="172" t="s">
        <v>11100</v>
      </c>
      <c r="U5378" s="259" t="s">
        <v>11724</v>
      </c>
      <c r="V5378" s="133" t="s">
        <v>3169</v>
      </c>
      <c r="AA5378" s="218"/>
    </row>
    <row r="5379" spans="1:27" ht="24" x14ac:dyDescent="0.25">
      <c r="A5379" s="405">
        <f t="shared" si="1830"/>
        <v>3004239</v>
      </c>
      <c r="B5379" s="406">
        <v>42621</v>
      </c>
      <c r="C5379" s="405" t="s">
        <v>78</v>
      </c>
      <c r="D5379" s="401" t="s">
        <v>11725</v>
      </c>
      <c r="E5379" s="120">
        <v>100</v>
      </c>
      <c r="F5379" s="119" t="s">
        <v>11723</v>
      </c>
      <c r="G5379" s="404" t="s">
        <v>45</v>
      </c>
      <c r="H5379" s="411">
        <v>220</v>
      </c>
      <c r="I5379" s="89">
        <v>0</v>
      </c>
      <c r="J5379" s="258">
        <f t="shared" ref="J5379:J5380" si="1847">-((H5379*0.019)+0.3)</f>
        <v>-4.4799999999999995</v>
      </c>
      <c r="K5379" s="90">
        <f t="shared" ref="K5379:K5380" si="1848">SUM(H5379:J5379)</f>
        <v>215.52</v>
      </c>
      <c r="M5379" s="187">
        <v>43.58</v>
      </c>
      <c r="N5379" s="91">
        <f t="shared" si="1789"/>
        <v>43.58</v>
      </c>
      <c r="O5379" s="411">
        <f t="shared" si="1779"/>
        <v>171.94</v>
      </c>
      <c r="P5379" s="132" t="s">
        <v>52</v>
      </c>
      <c r="Q5379" s="232"/>
      <c r="R5379" s="411"/>
      <c r="T5379" s="172" t="s">
        <v>145</v>
      </c>
      <c r="U5379" s="259">
        <v>702723287764</v>
      </c>
      <c r="W5379" s="153" t="s">
        <v>11726</v>
      </c>
      <c r="AA5379" s="218"/>
    </row>
    <row r="5380" spans="1:27" ht="24" x14ac:dyDescent="0.25">
      <c r="A5380" s="405">
        <f t="shared" si="1830"/>
        <v>3004240</v>
      </c>
      <c r="B5380" s="406">
        <v>42621</v>
      </c>
      <c r="C5380" s="405" t="s">
        <v>42</v>
      </c>
      <c r="D5380" s="401" t="s">
        <v>11727</v>
      </c>
      <c r="E5380" s="120">
        <v>50</v>
      </c>
      <c r="F5380" s="119" t="s">
        <v>11728</v>
      </c>
      <c r="G5380" s="404" t="s">
        <v>45</v>
      </c>
      <c r="H5380" s="411">
        <v>161.5</v>
      </c>
      <c r="I5380" s="89">
        <f>-(H5380*0.09)</f>
        <v>-14.535</v>
      </c>
      <c r="J5380" s="258">
        <f t="shared" si="1847"/>
        <v>-3.3684999999999996</v>
      </c>
      <c r="K5380" s="90">
        <f t="shared" si="1848"/>
        <v>143.59649999999999</v>
      </c>
      <c r="L5380" s="187">
        <v>1980</v>
      </c>
      <c r="M5380" s="187">
        <v>12.41</v>
      </c>
      <c r="N5380" s="91">
        <f t="shared" si="1789"/>
        <v>111.41</v>
      </c>
      <c r="O5380" s="411">
        <f t="shared" ref="O5380:O5443" si="1849">K5380-N5380</f>
        <v>32.186499999999995</v>
      </c>
      <c r="P5380" s="132" t="s">
        <v>183</v>
      </c>
      <c r="Q5380" s="232"/>
      <c r="R5380" s="411"/>
      <c r="T5380" s="172" t="s">
        <v>145</v>
      </c>
      <c r="U5380" s="259">
        <v>644267287616</v>
      </c>
      <c r="AA5380" s="218"/>
    </row>
    <row r="5381" spans="1:27" ht="24" x14ac:dyDescent="0.25">
      <c r="A5381" s="405">
        <f t="shared" si="1830"/>
        <v>3004241</v>
      </c>
      <c r="B5381" s="406">
        <v>42621</v>
      </c>
      <c r="C5381" s="405" t="s">
        <v>78</v>
      </c>
      <c r="D5381" s="401" t="s">
        <v>11729</v>
      </c>
      <c r="E5381" s="120">
        <v>125</v>
      </c>
      <c r="F5381" s="119" t="s">
        <v>5196</v>
      </c>
      <c r="G5381" s="404" t="s">
        <v>45</v>
      </c>
      <c r="H5381" s="411">
        <v>211</v>
      </c>
      <c r="I5381" s="89">
        <v>0</v>
      </c>
      <c r="J5381" s="258">
        <f t="shared" ref="J5381" si="1850">-((H5381*0.019)+0.3)</f>
        <v>-4.3090000000000002</v>
      </c>
      <c r="K5381" s="90">
        <f t="shared" ref="K5381" si="1851">SUM(H5381:J5381)</f>
        <v>206.691</v>
      </c>
      <c r="L5381" s="187">
        <v>1168.55</v>
      </c>
      <c r="N5381" s="91">
        <f t="shared" si="1789"/>
        <v>146.06874999999999</v>
      </c>
      <c r="O5381" s="411">
        <f t="shared" si="1849"/>
        <v>60.622250000000008</v>
      </c>
      <c r="P5381" s="132" t="s">
        <v>621</v>
      </c>
      <c r="Q5381" s="232"/>
      <c r="R5381" s="411"/>
      <c r="T5381" s="134" t="s">
        <v>145</v>
      </c>
      <c r="U5381" s="266">
        <v>139648130409938</v>
      </c>
      <c r="AA5381" s="218"/>
    </row>
    <row r="5382" spans="1:27" ht="36" x14ac:dyDescent="0.25">
      <c r="A5382" s="405">
        <f t="shared" si="1830"/>
        <v>3004242</v>
      </c>
      <c r="B5382" s="406">
        <v>42621</v>
      </c>
      <c r="C5382" s="405" t="s">
        <v>237</v>
      </c>
      <c r="D5382" s="401" t="s">
        <v>11730</v>
      </c>
      <c r="E5382" s="120">
        <f>125*3</f>
        <v>375</v>
      </c>
      <c r="F5382" s="119" t="s">
        <v>11731</v>
      </c>
      <c r="G5382" s="404" t="s">
        <v>45</v>
      </c>
      <c r="H5382" s="411">
        <v>569.61</v>
      </c>
      <c r="I5382" s="397">
        <f t="shared" ref="I5382" si="1852">-(H5382*0.15)</f>
        <v>-85.441500000000005</v>
      </c>
      <c r="J5382" s="411">
        <v>0</v>
      </c>
      <c r="K5382" s="90">
        <f>SUM(H5382:J5382)</f>
        <v>484.16849999999999</v>
      </c>
      <c r="L5382" s="131">
        <v>561</v>
      </c>
      <c r="M5382" s="187">
        <f>26.18+26.36+26.18</f>
        <v>78.72</v>
      </c>
      <c r="N5382" s="91">
        <f t="shared" si="1789"/>
        <v>289.09500000000003</v>
      </c>
      <c r="O5382" s="411">
        <f t="shared" si="1849"/>
        <v>195.07349999999997</v>
      </c>
      <c r="P5382" s="132" t="s">
        <v>52</v>
      </c>
      <c r="Q5382" s="232"/>
      <c r="R5382" s="411"/>
      <c r="T5382" s="172" t="s">
        <v>145</v>
      </c>
      <c r="U5382" s="259" t="s">
        <v>11732</v>
      </c>
      <c r="AA5382" s="218"/>
    </row>
    <row r="5383" spans="1:27" x14ac:dyDescent="0.25">
      <c r="A5383" s="419">
        <f t="shared" si="1830"/>
        <v>3004243</v>
      </c>
      <c r="B5383" s="421">
        <v>42621</v>
      </c>
      <c r="C5383" s="419" t="s">
        <v>327</v>
      </c>
      <c r="D5383" s="417" t="s">
        <v>4323</v>
      </c>
      <c r="E5383" s="120">
        <v>125</v>
      </c>
      <c r="F5383" s="119" t="s">
        <v>11733</v>
      </c>
      <c r="G5383" s="434" t="s">
        <v>45</v>
      </c>
      <c r="H5383" s="427">
        <v>263.75</v>
      </c>
      <c r="I5383" s="521">
        <v>0</v>
      </c>
      <c r="J5383" s="523">
        <f>-((H5383*0.022)+0.3)</f>
        <v>-6.1024999999999991</v>
      </c>
      <c r="K5383" s="425">
        <f>SUM(H5383:J5383)</f>
        <v>257.64749999999998</v>
      </c>
      <c r="L5383" s="187">
        <v>1300</v>
      </c>
      <c r="N5383" s="91">
        <f t="shared" si="1789"/>
        <v>162.5</v>
      </c>
      <c r="O5383" s="411">
        <f t="shared" si="1849"/>
        <v>95.14749999999998</v>
      </c>
      <c r="P5383" s="132" t="s">
        <v>183</v>
      </c>
      <c r="Q5383" s="232"/>
      <c r="R5383" s="411"/>
      <c r="T5383" s="172" t="s">
        <v>11734</v>
      </c>
      <c r="U5383" s="259"/>
      <c r="AA5383" s="218"/>
    </row>
    <row r="5384" spans="1:27" x14ac:dyDescent="0.25">
      <c r="A5384" s="420"/>
      <c r="B5384" s="422"/>
      <c r="C5384" s="420"/>
      <c r="D5384" s="418"/>
      <c r="E5384" s="120">
        <v>125</v>
      </c>
      <c r="F5384" s="133" t="s">
        <v>11735</v>
      </c>
      <c r="G5384" s="436"/>
      <c r="H5384" s="428"/>
      <c r="I5384" s="522"/>
      <c r="J5384" s="524"/>
      <c r="K5384" s="426"/>
      <c r="L5384" s="187">
        <v>210</v>
      </c>
      <c r="M5384" s="131">
        <v>0</v>
      </c>
      <c r="N5384" s="91">
        <f t="shared" si="1789"/>
        <v>26.25</v>
      </c>
      <c r="O5384" s="411">
        <f t="shared" si="1849"/>
        <v>-26.25</v>
      </c>
      <c r="P5384" s="132" t="s">
        <v>183</v>
      </c>
      <c r="Q5384" s="232"/>
      <c r="R5384" s="411"/>
      <c r="T5384" s="172" t="s">
        <v>11734</v>
      </c>
      <c r="U5384" s="259"/>
      <c r="AA5384" s="218"/>
    </row>
    <row r="5385" spans="1:27" ht="24" x14ac:dyDescent="0.25">
      <c r="A5385" s="405">
        <f>A5383+1</f>
        <v>3004244</v>
      </c>
      <c r="B5385" s="406">
        <v>42621</v>
      </c>
      <c r="C5385" s="405" t="s">
        <v>42</v>
      </c>
      <c r="D5385" s="401" t="s">
        <v>11736</v>
      </c>
      <c r="E5385" s="120">
        <v>500</v>
      </c>
      <c r="F5385" s="119" t="s">
        <v>983</v>
      </c>
      <c r="G5385" s="404" t="s">
        <v>45</v>
      </c>
      <c r="H5385" s="411">
        <v>291.85000000000002</v>
      </c>
      <c r="I5385" s="89">
        <f>-(H5385*0.09)</f>
        <v>-26.266500000000001</v>
      </c>
      <c r="J5385" s="258">
        <f t="shared" ref="J5385" si="1853">-((H5385*0.019)+0.3)</f>
        <v>-5.8451500000000003</v>
      </c>
      <c r="K5385" s="90">
        <f t="shared" ref="K5385" si="1854">SUM(H5385:J5385)</f>
        <v>259.73835000000003</v>
      </c>
      <c r="L5385" s="187">
        <v>300</v>
      </c>
      <c r="N5385" s="91">
        <f t="shared" si="1789"/>
        <v>150</v>
      </c>
      <c r="O5385" s="411">
        <f t="shared" si="1849"/>
        <v>109.73835000000003</v>
      </c>
      <c r="P5385" s="132" t="s">
        <v>46</v>
      </c>
      <c r="Q5385" s="232"/>
      <c r="R5385" s="411"/>
      <c r="T5385" s="172" t="s">
        <v>145</v>
      </c>
      <c r="U5385" s="259">
        <v>130423800063981</v>
      </c>
      <c r="AA5385" s="218"/>
    </row>
    <row r="5386" spans="1:27" ht="24" x14ac:dyDescent="0.25">
      <c r="A5386" s="405">
        <f t="shared" ref="A5386:A5397" si="1855">A5385+1</f>
        <v>3004245</v>
      </c>
      <c r="B5386" s="406">
        <v>42621</v>
      </c>
      <c r="C5386" s="405" t="s">
        <v>63</v>
      </c>
      <c r="D5386" s="401" t="s">
        <v>11737</v>
      </c>
      <c r="E5386" s="120">
        <v>1000</v>
      </c>
      <c r="F5386" s="119" t="s">
        <v>11738</v>
      </c>
      <c r="G5386" s="404" t="s">
        <v>45</v>
      </c>
      <c r="H5386" s="411">
        <v>660</v>
      </c>
      <c r="I5386" s="411">
        <v>0</v>
      </c>
      <c r="J5386" s="258">
        <f>-((H5386*0.022)+0.3)</f>
        <v>-14.82</v>
      </c>
      <c r="K5386" s="90">
        <f>SUM(H5386:J5386)</f>
        <v>645.17999999999995</v>
      </c>
      <c r="L5386" s="187">
        <v>98</v>
      </c>
      <c r="M5386" s="187">
        <v>143.94</v>
      </c>
      <c r="N5386" s="91">
        <f t="shared" si="1789"/>
        <v>241.94</v>
      </c>
      <c r="O5386" s="411">
        <f t="shared" si="1849"/>
        <v>403.23999999999995</v>
      </c>
      <c r="P5386" s="132" t="s">
        <v>643</v>
      </c>
      <c r="Q5386" s="232"/>
      <c r="R5386" s="411"/>
      <c r="T5386" s="134" t="s">
        <v>204</v>
      </c>
      <c r="U5386" s="266" t="s">
        <v>11739</v>
      </c>
      <c r="AA5386" s="218"/>
    </row>
    <row r="5387" spans="1:27" x14ac:dyDescent="0.25">
      <c r="A5387" s="405">
        <f t="shared" si="1855"/>
        <v>3004246</v>
      </c>
      <c r="B5387" s="406">
        <v>42621</v>
      </c>
      <c r="C5387" s="405" t="s">
        <v>42</v>
      </c>
      <c r="D5387" s="401" t="s">
        <v>11740</v>
      </c>
      <c r="E5387" s="120">
        <v>500</v>
      </c>
      <c r="F5387" s="119" t="s">
        <v>119</v>
      </c>
      <c r="G5387" s="404" t="s">
        <v>45</v>
      </c>
      <c r="H5387" s="411">
        <v>342</v>
      </c>
      <c r="I5387" s="89">
        <f>-(H5387*0.09)</f>
        <v>-30.779999999999998</v>
      </c>
      <c r="J5387" s="258">
        <f t="shared" ref="J5387" si="1856">-((H5387*0.019)+0.3)</f>
        <v>-6.798</v>
      </c>
      <c r="K5387" s="90">
        <f t="shared" ref="K5387" si="1857">SUM(H5387:J5387)</f>
        <v>304.42200000000003</v>
      </c>
      <c r="L5387" s="187">
        <v>319</v>
      </c>
      <c r="M5387" s="187">
        <v>60.34</v>
      </c>
      <c r="N5387" s="91">
        <f t="shared" si="1789"/>
        <v>219.84</v>
      </c>
      <c r="O5387" s="411">
        <f t="shared" si="1849"/>
        <v>84.582000000000022</v>
      </c>
      <c r="P5387" s="132" t="s">
        <v>3597</v>
      </c>
      <c r="Q5387" s="232"/>
      <c r="R5387" s="411"/>
      <c r="T5387" s="172" t="s">
        <v>314</v>
      </c>
      <c r="U5387" s="259">
        <v>777190680910</v>
      </c>
      <c r="W5387" s="153" t="s">
        <v>11741</v>
      </c>
      <c r="AA5387" s="218"/>
    </row>
    <row r="5388" spans="1:27" ht="36" x14ac:dyDescent="0.25">
      <c r="A5388" s="405">
        <f t="shared" si="1855"/>
        <v>3004247</v>
      </c>
      <c r="B5388" s="406">
        <v>42622</v>
      </c>
      <c r="C5388" s="405" t="s">
        <v>237</v>
      </c>
      <c r="D5388" s="401" t="s">
        <v>11742</v>
      </c>
      <c r="E5388" s="120">
        <v>100</v>
      </c>
      <c r="F5388" s="119" t="s">
        <v>11743</v>
      </c>
      <c r="G5388" s="404" t="s">
        <v>45</v>
      </c>
      <c r="H5388" s="411">
        <v>180.18</v>
      </c>
      <c r="I5388" s="397">
        <f t="shared" ref="I5388" si="1858">-(H5388*0.15)</f>
        <v>-27.027000000000001</v>
      </c>
      <c r="J5388" s="411">
        <v>0</v>
      </c>
      <c r="K5388" s="90">
        <f>SUM(H5388:J5388)</f>
        <v>153.15300000000002</v>
      </c>
      <c r="L5388" s="187">
        <v>1150</v>
      </c>
      <c r="M5388" s="187">
        <v>19.66</v>
      </c>
      <c r="N5388" s="91">
        <f t="shared" si="1789"/>
        <v>134.66</v>
      </c>
      <c r="O5388" s="411">
        <f t="shared" si="1849"/>
        <v>18.493000000000023</v>
      </c>
      <c r="P5388" s="132" t="s">
        <v>601</v>
      </c>
      <c r="Q5388" s="232"/>
      <c r="R5388" s="411"/>
      <c r="T5388" s="134" t="s">
        <v>145</v>
      </c>
      <c r="U5388" s="267" t="s">
        <v>11744</v>
      </c>
      <c r="V5388" s="157"/>
      <c r="AA5388" s="218"/>
    </row>
    <row r="5389" spans="1:27" ht="36" x14ac:dyDescent="0.25">
      <c r="A5389" s="405">
        <f t="shared" si="1855"/>
        <v>3004248</v>
      </c>
      <c r="B5389" s="406">
        <v>42622</v>
      </c>
      <c r="C5389" s="405" t="s">
        <v>237</v>
      </c>
      <c r="D5389" s="401" t="s">
        <v>11745</v>
      </c>
      <c r="E5389" s="120">
        <v>100</v>
      </c>
      <c r="F5389" s="119" t="s">
        <v>11743</v>
      </c>
      <c r="G5389" s="404" t="s">
        <v>45</v>
      </c>
      <c r="H5389" s="411">
        <v>180.18</v>
      </c>
      <c r="I5389" s="397">
        <f t="shared" ref="I5389" si="1859">-(H5389*0.15)</f>
        <v>-27.027000000000001</v>
      </c>
      <c r="J5389" s="411">
        <v>0</v>
      </c>
      <c r="K5389" s="90">
        <f>SUM(H5389:J5389)</f>
        <v>153.15300000000002</v>
      </c>
      <c r="L5389" s="187">
        <v>1150</v>
      </c>
      <c r="M5389" s="187">
        <v>31.13</v>
      </c>
      <c r="N5389" s="91">
        <f t="shared" ref="N5389:N5452" si="1860">((L5389)*(E5389*0.001))+M5389</f>
        <v>146.13</v>
      </c>
      <c r="O5389" s="411">
        <f t="shared" si="1849"/>
        <v>7.0230000000000246</v>
      </c>
      <c r="P5389" s="132" t="s">
        <v>601</v>
      </c>
      <c r="Q5389" s="232"/>
      <c r="R5389" s="411"/>
      <c r="T5389" s="134" t="s">
        <v>145</v>
      </c>
      <c r="U5389" s="267" t="s">
        <v>11746</v>
      </c>
      <c r="AA5389" s="218"/>
    </row>
    <row r="5390" spans="1:27" ht="24" x14ac:dyDescent="0.25">
      <c r="A5390" s="405">
        <f t="shared" si="1855"/>
        <v>3004249</v>
      </c>
      <c r="B5390" s="406">
        <v>42622</v>
      </c>
      <c r="C5390" s="405" t="s">
        <v>42</v>
      </c>
      <c r="D5390" s="401" t="s">
        <v>11747</v>
      </c>
      <c r="E5390" s="120">
        <v>50</v>
      </c>
      <c r="F5390" s="119" t="s">
        <v>11748</v>
      </c>
      <c r="G5390" s="404" t="s">
        <v>45</v>
      </c>
      <c r="H5390" s="411">
        <v>171.4</v>
      </c>
      <c r="I5390" s="89">
        <f t="shared" ref="I5390:I5395" si="1861">-(H5390*0.09)</f>
        <v>-15.426</v>
      </c>
      <c r="J5390" s="258">
        <f t="shared" ref="J5390" si="1862">-((H5390*0.019)+0.3)</f>
        <v>-3.5566</v>
      </c>
      <c r="K5390" s="90">
        <f t="shared" ref="K5390" si="1863">SUM(H5390:J5390)</f>
        <v>152.41740000000001</v>
      </c>
      <c r="M5390" s="187">
        <f>42.09+58.34</f>
        <v>100.43</v>
      </c>
      <c r="N5390" s="91">
        <f t="shared" si="1860"/>
        <v>100.43</v>
      </c>
      <c r="O5390" s="411">
        <f t="shared" si="1849"/>
        <v>51.987400000000008</v>
      </c>
      <c r="P5390" s="132" t="s">
        <v>52</v>
      </c>
      <c r="Q5390" s="232"/>
      <c r="R5390" s="411"/>
      <c r="T5390" s="172" t="s">
        <v>145</v>
      </c>
      <c r="U5390" s="259">
        <v>702723287890</v>
      </c>
      <c r="AA5390" s="218"/>
    </row>
    <row r="5391" spans="1:27" ht="24" x14ac:dyDescent="0.25">
      <c r="A5391" s="405">
        <f t="shared" si="1855"/>
        <v>3004250</v>
      </c>
      <c r="B5391" s="406">
        <v>42622</v>
      </c>
      <c r="C5391" s="405" t="s">
        <v>42</v>
      </c>
      <c r="D5391" s="401" t="s">
        <v>11749</v>
      </c>
      <c r="E5391" s="120">
        <v>50</v>
      </c>
      <c r="F5391" s="119" t="s">
        <v>11750</v>
      </c>
      <c r="G5391" s="404" t="s">
        <v>45</v>
      </c>
      <c r="H5391" s="411">
        <v>191.1</v>
      </c>
      <c r="I5391" s="89">
        <f t="shared" si="1861"/>
        <v>-17.198999999999998</v>
      </c>
      <c r="J5391" s="258">
        <f t="shared" ref="J5391" si="1864">-((H5391*0.019)+0.3)</f>
        <v>-3.9308999999999998</v>
      </c>
      <c r="K5391" s="90">
        <f t="shared" ref="K5391" si="1865">SUM(H5391:J5391)</f>
        <v>169.9701</v>
      </c>
      <c r="L5391" s="187">
        <v>2200</v>
      </c>
      <c r="M5391" s="187">
        <v>12.69</v>
      </c>
      <c r="N5391" s="91">
        <f t="shared" si="1860"/>
        <v>122.69</v>
      </c>
      <c r="O5391" s="411">
        <f t="shared" si="1849"/>
        <v>47.280100000000004</v>
      </c>
      <c r="P5391" s="132" t="s">
        <v>601</v>
      </c>
      <c r="Q5391" s="232"/>
      <c r="R5391" s="411"/>
      <c r="T5391" s="134" t="s">
        <v>145</v>
      </c>
      <c r="U5391" s="267" t="s">
        <v>11751</v>
      </c>
      <c r="AA5391" s="218"/>
    </row>
    <row r="5392" spans="1:27" ht="24" x14ac:dyDescent="0.25">
      <c r="A5392" s="405">
        <f t="shared" si="1855"/>
        <v>3004251</v>
      </c>
      <c r="B5392" s="406">
        <v>42622</v>
      </c>
      <c r="C5392" s="405" t="s">
        <v>42</v>
      </c>
      <c r="D5392" s="401" t="s">
        <v>11752</v>
      </c>
      <c r="E5392" s="120">
        <v>70</v>
      </c>
      <c r="F5392" s="119" t="s">
        <v>11753</v>
      </c>
      <c r="G5392" s="404" t="s">
        <v>45</v>
      </c>
      <c r="H5392" s="411">
        <v>483.09</v>
      </c>
      <c r="I5392" s="89">
        <f t="shared" si="1861"/>
        <v>-43.478099999999998</v>
      </c>
      <c r="J5392" s="258">
        <f t="shared" ref="J5392" si="1866">-((H5392*0.019)+0.3)</f>
        <v>-9.4787099999999995</v>
      </c>
      <c r="K5392" s="90">
        <f t="shared" ref="K5392" si="1867">SUM(H5392:J5392)</f>
        <v>430.13319000000001</v>
      </c>
      <c r="M5392" s="187">
        <v>44.99</v>
      </c>
      <c r="N5392" s="91">
        <f t="shared" si="1860"/>
        <v>44.99</v>
      </c>
      <c r="O5392" s="411">
        <f t="shared" si="1849"/>
        <v>385.14319</v>
      </c>
      <c r="P5392" s="132" t="s">
        <v>52</v>
      </c>
      <c r="Q5392" s="232"/>
      <c r="R5392" s="411"/>
      <c r="T5392" s="172" t="s">
        <v>145</v>
      </c>
      <c r="U5392" s="259">
        <v>702723287889</v>
      </c>
      <c r="AA5392" s="218"/>
    </row>
    <row r="5393" spans="1:27" ht="24" x14ac:dyDescent="0.25">
      <c r="A5393" s="405">
        <f t="shared" si="1855"/>
        <v>3004252</v>
      </c>
      <c r="B5393" s="406">
        <v>42622</v>
      </c>
      <c r="C5393" s="405" t="s">
        <v>42</v>
      </c>
      <c r="D5393" s="401" t="s">
        <v>4937</v>
      </c>
      <c r="E5393" s="120">
        <v>100</v>
      </c>
      <c r="F5393" s="119" t="s">
        <v>11754</v>
      </c>
      <c r="G5393" s="404" t="s">
        <v>45</v>
      </c>
      <c r="H5393" s="411">
        <v>122.14</v>
      </c>
      <c r="I5393" s="89">
        <f t="shared" si="1861"/>
        <v>-10.992599999999999</v>
      </c>
      <c r="J5393" s="258">
        <f t="shared" ref="J5393" si="1868">-((H5393*0.019)+0.3)</f>
        <v>-2.62066</v>
      </c>
      <c r="K5393" s="90">
        <f t="shared" ref="K5393" si="1869">SUM(H5393:J5393)</f>
        <v>108.52674</v>
      </c>
      <c r="M5393" s="187">
        <v>12.26</v>
      </c>
      <c r="N5393" s="91">
        <f t="shared" si="1860"/>
        <v>12.26</v>
      </c>
      <c r="O5393" s="411">
        <f t="shared" si="1849"/>
        <v>96.266739999999999</v>
      </c>
      <c r="P5393" s="132" t="s">
        <v>52</v>
      </c>
      <c r="Q5393" s="232"/>
      <c r="R5393" s="411"/>
      <c r="T5393" s="172" t="s">
        <v>145</v>
      </c>
      <c r="U5393" s="259">
        <v>702723287904</v>
      </c>
      <c r="AA5393" s="218"/>
    </row>
    <row r="5394" spans="1:27" ht="24" x14ac:dyDescent="0.25">
      <c r="A5394" s="405">
        <f t="shared" si="1855"/>
        <v>3004253</v>
      </c>
      <c r="B5394" s="406">
        <v>42622</v>
      </c>
      <c r="C5394" s="405" t="s">
        <v>42</v>
      </c>
      <c r="D5394" s="401" t="s">
        <v>11755</v>
      </c>
      <c r="E5394" s="120">
        <v>100</v>
      </c>
      <c r="F5394" s="119" t="s">
        <v>161</v>
      </c>
      <c r="G5394" s="404" t="s">
        <v>45</v>
      </c>
      <c r="H5394" s="411">
        <v>245</v>
      </c>
      <c r="I5394" s="89">
        <f t="shared" si="1861"/>
        <v>-22.05</v>
      </c>
      <c r="J5394" s="258">
        <f t="shared" ref="J5394" si="1870">-((H5394*0.019)+0.3)</f>
        <v>-4.9550000000000001</v>
      </c>
      <c r="K5394" s="90">
        <f t="shared" ref="K5394" si="1871">SUM(H5394:J5394)</f>
        <v>217.99499999999998</v>
      </c>
      <c r="M5394" s="187">
        <v>22.95</v>
      </c>
      <c r="N5394" s="91">
        <f t="shared" si="1860"/>
        <v>22.95</v>
      </c>
      <c r="O5394" s="411">
        <f t="shared" si="1849"/>
        <v>195.04499999999999</v>
      </c>
      <c r="P5394" s="132" t="s">
        <v>52</v>
      </c>
      <c r="Q5394" s="232"/>
      <c r="R5394" s="411"/>
      <c r="T5394" s="172" t="s">
        <v>145</v>
      </c>
      <c r="U5394" s="259">
        <v>702723287845</v>
      </c>
      <c r="AA5394" s="218"/>
    </row>
    <row r="5395" spans="1:27" ht="24" x14ac:dyDescent="0.25">
      <c r="A5395" s="405">
        <f t="shared" si="1855"/>
        <v>3004254</v>
      </c>
      <c r="B5395" s="406">
        <v>42622</v>
      </c>
      <c r="C5395" s="405" t="s">
        <v>42</v>
      </c>
      <c r="D5395" s="401" t="s">
        <v>5331</v>
      </c>
      <c r="E5395" s="120">
        <v>200</v>
      </c>
      <c r="F5395" s="119" t="s">
        <v>11756</v>
      </c>
      <c r="G5395" s="404" t="s">
        <v>45</v>
      </c>
      <c r="H5395" s="411">
        <v>490</v>
      </c>
      <c r="I5395" s="89">
        <f t="shared" si="1861"/>
        <v>-44.1</v>
      </c>
      <c r="J5395" s="258">
        <f t="shared" ref="J5395:J5396" si="1872">-((H5395*0.019)+0.3)</f>
        <v>-9.6100000000000012</v>
      </c>
      <c r="K5395" s="90">
        <f t="shared" ref="K5395:K5396" si="1873">SUM(H5395:J5395)</f>
        <v>436.28999999999996</v>
      </c>
      <c r="M5395" s="187">
        <f>27.91+27.91</f>
        <v>55.82</v>
      </c>
      <c r="N5395" s="91">
        <f t="shared" si="1860"/>
        <v>55.82</v>
      </c>
      <c r="O5395" s="411">
        <f t="shared" si="1849"/>
        <v>380.46999999999997</v>
      </c>
      <c r="P5395" s="132" t="s">
        <v>52</v>
      </c>
      <c r="Q5395" s="232"/>
      <c r="R5395" s="411"/>
      <c r="T5395" s="172" t="s">
        <v>145</v>
      </c>
      <c r="U5395" s="259" t="s">
        <v>11757</v>
      </c>
      <c r="AA5395" s="218"/>
    </row>
    <row r="5396" spans="1:27" ht="24" x14ac:dyDescent="0.25">
      <c r="A5396" s="405">
        <f t="shared" si="1855"/>
        <v>3004255</v>
      </c>
      <c r="B5396" s="406">
        <v>42622</v>
      </c>
      <c r="C5396" s="405" t="s">
        <v>78</v>
      </c>
      <c r="D5396" s="401" t="s">
        <v>11706</v>
      </c>
      <c r="E5396" s="120">
        <v>150</v>
      </c>
      <c r="F5396" s="119" t="s">
        <v>247</v>
      </c>
      <c r="G5396" s="404" t="s">
        <v>45</v>
      </c>
      <c r="H5396" s="411">
        <v>185.9</v>
      </c>
      <c r="I5396" s="89">
        <v>0</v>
      </c>
      <c r="J5396" s="258">
        <f t="shared" si="1872"/>
        <v>-3.8321000000000001</v>
      </c>
      <c r="K5396" s="90">
        <f t="shared" si="1873"/>
        <v>182.06790000000001</v>
      </c>
      <c r="L5396" s="187">
        <v>672</v>
      </c>
      <c r="M5396" s="187">
        <v>23.17</v>
      </c>
      <c r="N5396" s="91">
        <f t="shared" si="1860"/>
        <v>123.97</v>
      </c>
      <c r="O5396" s="411">
        <f t="shared" si="1849"/>
        <v>58.09790000000001</v>
      </c>
      <c r="P5396" s="132" t="s">
        <v>313</v>
      </c>
      <c r="Q5396" s="232"/>
      <c r="R5396" s="411"/>
      <c r="T5396" s="134" t="s">
        <v>145</v>
      </c>
      <c r="U5396" s="267" t="s">
        <v>11758</v>
      </c>
      <c r="AA5396" s="218"/>
    </row>
    <row r="5397" spans="1:27" x14ac:dyDescent="0.25">
      <c r="A5397" s="419">
        <f t="shared" si="1855"/>
        <v>3004256</v>
      </c>
      <c r="B5397" s="421">
        <v>42622</v>
      </c>
      <c r="C5397" s="419" t="s">
        <v>63</v>
      </c>
      <c r="D5397" s="417" t="s">
        <v>2191</v>
      </c>
      <c r="E5397" s="120">
        <v>150</v>
      </c>
      <c r="F5397" s="119" t="s">
        <v>11759</v>
      </c>
      <c r="G5397" s="434" t="s">
        <v>45</v>
      </c>
      <c r="H5397" s="427">
        <v>3492.5</v>
      </c>
      <c r="I5397" s="516">
        <v>0</v>
      </c>
      <c r="J5397" s="523">
        <f>-((H5397*0.022)+0.3)</f>
        <v>-77.134999999999991</v>
      </c>
      <c r="K5397" s="523">
        <f>SUM(H5397:J5397)</f>
        <v>3415.3649999999998</v>
      </c>
      <c r="L5397" s="187">
        <v>10200</v>
      </c>
      <c r="M5397" s="131">
        <v>0</v>
      </c>
      <c r="N5397" s="91">
        <f t="shared" si="1860"/>
        <v>1530</v>
      </c>
      <c r="O5397" s="411">
        <f t="shared" si="1849"/>
        <v>1885.3649999999998</v>
      </c>
      <c r="P5397" s="132" t="s">
        <v>46</v>
      </c>
      <c r="Q5397" s="232"/>
      <c r="R5397" s="411"/>
      <c r="T5397" s="519" t="s">
        <v>11100</v>
      </c>
      <c r="U5397" s="537" t="s">
        <v>11760</v>
      </c>
      <c r="W5397" s="153" t="s">
        <v>2193</v>
      </c>
      <c r="AA5397" s="473">
        <v>10</v>
      </c>
    </row>
    <row r="5398" spans="1:27" x14ac:dyDescent="0.25">
      <c r="A5398" s="432"/>
      <c r="B5398" s="433"/>
      <c r="C5398" s="432"/>
      <c r="D5398" s="454"/>
      <c r="E5398" s="120">
        <v>250</v>
      </c>
      <c r="F5398" s="133" t="s">
        <v>590</v>
      </c>
      <c r="G5398" s="435"/>
      <c r="H5398" s="438"/>
      <c r="I5398" s="517"/>
      <c r="J5398" s="534"/>
      <c r="K5398" s="534"/>
      <c r="L5398" s="187">
        <v>558.33000000000004</v>
      </c>
      <c r="N5398" s="91">
        <f t="shared" si="1860"/>
        <v>139.58250000000001</v>
      </c>
      <c r="O5398" s="411">
        <f t="shared" si="1849"/>
        <v>-139.58250000000001</v>
      </c>
      <c r="P5398" s="132" t="s">
        <v>46</v>
      </c>
      <c r="Q5398" s="232"/>
      <c r="R5398" s="411"/>
      <c r="T5398" s="610"/>
      <c r="U5398" s="609"/>
      <c r="AA5398" s="478"/>
    </row>
    <row r="5399" spans="1:27" x14ac:dyDescent="0.25">
      <c r="A5399" s="432"/>
      <c r="B5399" s="433"/>
      <c r="C5399" s="432"/>
      <c r="D5399" s="454"/>
      <c r="E5399" s="120">
        <v>250</v>
      </c>
      <c r="F5399" s="133" t="s">
        <v>341</v>
      </c>
      <c r="G5399" s="435"/>
      <c r="H5399" s="438"/>
      <c r="I5399" s="517"/>
      <c r="J5399" s="534"/>
      <c r="K5399" s="534"/>
      <c r="L5399" s="187">
        <v>776.61</v>
      </c>
      <c r="N5399" s="91">
        <f t="shared" si="1860"/>
        <v>194.1525</v>
      </c>
      <c r="O5399" s="411">
        <f t="shared" si="1849"/>
        <v>-194.1525</v>
      </c>
      <c r="P5399" s="132" t="s">
        <v>46</v>
      </c>
      <c r="Q5399" s="232"/>
      <c r="R5399" s="411"/>
      <c r="T5399" s="610"/>
      <c r="U5399" s="609"/>
      <c r="AA5399" s="478"/>
    </row>
    <row r="5400" spans="1:27" x14ac:dyDescent="0.25">
      <c r="A5400" s="432"/>
      <c r="B5400" s="433"/>
      <c r="C5400" s="432"/>
      <c r="D5400" s="454"/>
      <c r="E5400" s="120">
        <v>250</v>
      </c>
      <c r="F5400" s="133" t="s">
        <v>11761</v>
      </c>
      <c r="G5400" s="435"/>
      <c r="H5400" s="438"/>
      <c r="I5400" s="517"/>
      <c r="J5400" s="534"/>
      <c r="K5400" s="534"/>
      <c r="L5400" s="187">
        <v>880</v>
      </c>
      <c r="N5400" s="91">
        <f t="shared" si="1860"/>
        <v>220</v>
      </c>
      <c r="O5400" s="411">
        <f t="shared" si="1849"/>
        <v>-220</v>
      </c>
      <c r="P5400" s="132" t="s">
        <v>46</v>
      </c>
      <c r="Q5400" s="232"/>
      <c r="R5400" s="411"/>
      <c r="T5400" s="610"/>
      <c r="U5400" s="609"/>
      <c r="AA5400" s="478"/>
    </row>
    <row r="5401" spans="1:27" x14ac:dyDescent="0.25">
      <c r="A5401" s="420"/>
      <c r="B5401" s="422"/>
      <c r="C5401" s="420"/>
      <c r="D5401" s="418"/>
      <c r="E5401" s="120">
        <v>250</v>
      </c>
      <c r="F5401" s="133" t="s">
        <v>11762</v>
      </c>
      <c r="G5401" s="436"/>
      <c r="H5401" s="428"/>
      <c r="I5401" s="518"/>
      <c r="J5401" s="524"/>
      <c r="K5401" s="524"/>
      <c r="L5401" s="187">
        <v>1020</v>
      </c>
      <c r="N5401" s="91">
        <f t="shared" si="1860"/>
        <v>255</v>
      </c>
      <c r="O5401" s="411">
        <f t="shared" si="1849"/>
        <v>-255</v>
      </c>
      <c r="P5401" s="132" t="s">
        <v>46</v>
      </c>
      <c r="Q5401" s="232"/>
      <c r="R5401" s="411"/>
      <c r="T5401" s="520"/>
      <c r="U5401" s="538"/>
      <c r="AA5401" s="474"/>
    </row>
    <row r="5402" spans="1:27" ht="24" x14ac:dyDescent="0.25">
      <c r="A5402" s="405">
        <f>A5397+1</f>
        <v>3004257</v>
      </c>
      <c r="B5402" s="406">
        <v>42622</v>
      </c>
      <c r="C5402" s="405" t="s">
        <v>42</v>
      </c>
      <c r="D5402" s="401" t="s">
        <v>11763</v>
      </c>
      <c r="E5402" s="120">
        <v>100</v>
      </c>
      <c r="F5402" s="119" t="s">
        <v>161</v>
      </c>
      <c r="G5402" s="404" t="s">
        <v>45</v>
      </c>
      <c r="H5402" s="411">
        <v>245</v>
      </c>
      <c r="I5402" s="89">
        <f>-(H5402*0.09)</f>
        <v>-22.05</v>
      </c>
      <c r="J5402" s="258">
        <f t="shared" ref="J5402" si="1874">-((H5402*0.019)+0.3)</f>
        <v>-4.9550000000000001</v>
      </c>
      <c r="K5402" s="90">
        <f t="shared" ref="K5402" si="1875">SUM(H5402:J5402)</f>
        <v>217.99499999999998</v>
      </c>
      <c r="L5402" s="131">
        <v>1322</v>
      </c>
      <c r="M5402" s="187">
        <v>21.1</v>
      </c>
      <c r="N5402" s="91">
        <f t="shared" si="1860"/>
        <v>153.30000000000001</v>
      </c>
      <c r="O5402" s="411">
        <f t="shared" si="1849"/>
        <v>64.694999999999965</v>
      </c>
      <c r="P5402" s="132" t="s">
        <v>52</v>
      </c>
      <c r="Q5402" s="232"/>
      <c r="R5402" s="411"/>
      <c r="T5402" s="172" t="s">
        <v>145</v>
      </c>
      <c r="U5402" s="259" t="s">
        <v>11764</v>
      </c>
      <c r="AA5402" s="218"/>
    </row>
    <row r="5403" spans="1:27" ht="24" x14ac:dyDescent="0.25">
      <c r="A5403" s="405">
        <f t="shared" ref="A5403:A5412" si="1876">A5402+1</f>
        <v>3004258</v>
      </c>
      <c r="B5403" s="406">
        <v>42622</v>
      </c>
      <c r="C5403" s="405" t="s">
        <v>63</v>
      </c>
      <c r="D5403" s="401" t="s">
        <v>11765</v>
      </c>
      <c r="E5403" s="120">
        <v>250</v>
      </c>
      <c r="F5403" s="133" t="s">
        <v>207</v>
      </c>
      <c r="G5403" s="404" t="s">
        <v>45</v>
      </c>
      <c r="H5403" s="411">
        <v>270</v>
      </c>
      <c r="I5403" s="411">
        <v>0</v>
      </c>
      <c r="J5403" s="258">
        <f>-((H5403*0.022)+0.3)</f>
        <v>-6.2399999999999993</v>
      </c>
      <c r="K5403" s="90">
        <f>SUM(H5403:J5403)</f>
        <v>263.76</v>
      </c>
      <c r="M5403" s="187">
        <v>37.520000000000003</v>
      </c>
      <c r="N5403" s="91">
        <f t="shared" si="1860"/>
        <v>37.520000000000003</v>
      </c>
      <c r="O5403" s="411">
        <f t="shared" si="1849"/>
        <v>226.23999999999998</v>
      </c>
      <c r="P5403" s="132" t="s">
        <v>52</v>
      </c>
      <c r="Q5403" s="232"/>
      <c r="R5403" s="411"/>
      <c r="T5403" s="172" t="s">
        <v>145</v>
      </c>
      <c r="U5403" s="259">
        <v>702723287915</v>
      </c>
      <c r="W5403" s="153" t="s">
        <v>11766</v>
      </c>
      <c r="AA5403" s="218"/>
    </row>
    <row r="5404" spans="1:27" ht="24" x14ac:dyDescent="0.25">
      <c r="A5404" s="405">
        <f t="shared" si="1876"/>
        <v>3004259</v>
      </c>
      <c r="B5404" s="406">
        <v>42622</v>
      </c>
      <c r="C5404" s="405" t="s">
        <v>237</v>
      </c>
      <c r="D5404" s="401" t="s">
        <v>11767</v>
      </c>
      <c r="E5404" s="120">
        <v>100</v>
      </c>
      <c r="F5404" s="119" t="s">
        <v>431</v>
      </c>
      <c r="G5404" s="404" t="s">
        <v>45</v>
      </c>
      <c r="H5404" s="411">
        <v>222.39</v>
      </c>
      <c r="I5404" s="397">
        <f t="shared" ref="I5404" si="1877">-(H5404*0.15)</f>
        <v>-33.358499999999999</v>
      </c>
      <c r="J5404" s="411">
        <v>0</v>
      </c>
      <c r="K5404" s="90">
        <f>SUM(H5404:J5404)</f>
        <v>189.03149999999999</v>
      </c>
      <c r="L5404" s="131">
        <v>950</v>
      </c>
      <c r="M5404" s="187">
        <v>48.95</v>
      </c>
      <c r="N5404" s="91">
        <f t="shared" si="1860"/>
        <v>143.94999999999999</v>
      </c>
      <c r="O5404" s="411">
        <f t="shared" si="1849"/>
        <v>45.081500000000005</v>
      </c>
      <c r="P5404" s="132" t="s">
        <v>52</v>
      </c>
      <c r="Q5404" s="232"/>
      <c r="R5404" s="411"/>
      <c r="T5404" s="172" t="s">
        <v>145</v>
      </c>
      <c r="U5404" s="259">
        <v>702723287926</v>
      </c>
      <c r="AA5404" s="218"/>
    </row>
    <row r="5405" spans="1:27" ht="24" x14ac:dyDescent="0.25">
      <c r="A5405" s="405">
        <f t="shared" si="1876"/>
        <v>3004260</v>
      </c>
      <c r="B5405" s="406">
        <v>42622</v>
      </c>
      <c r="C5405" s="405" t="s">
        <v>42</v>
      </c>
      <c r="D5405" s="401" t="s">
        <v>11768</v>
      </c>
      <c r="E5405" s="120">
        <v>125</v>
      </c>
      <c r="F5405" s="119" t="s">
        <v>422</v>
      </c>
      <c r="G5405" s="404" t="s">
        <v>45</v>
      </c>
      <c r="H5405" s="411">
        <v>197</v>
      </c>
      <c r="I5405" s="89">
        <f>-(H5405*0.09)</f>
        <v>-17.73</v>
      </c>
      <c r="J5405" s="258">
        <f t="shared" ref="J5405" si="1878">-((H5405*0.019)+0.3)</f>
        <v>-4.0430000000000001</v>
      </c>
      <c r="K5405" s="90">
        <f t="shared" ref="K5405:K5406" si="1879">SUM(H5405:J5405)</f>
        <v>175.227</v>
      </c>
      <c r="L5405" s="131">
        <v>710</v>
      </c>
      <c r="M5405" s="187">
        <v>26.61</v>
      </c>
      <c r="N5405" s="91">
        <f t="shared" si="1860"/>
        <v>115.36</v>
      </c>
      <c r="O5405" s="411">
        <f t="shared" si="1849"/>
        <v>59.867000000000004</v>
      </c>
      <c r="P5405" s="132" t="s">
        <v>52</v>
      </c>
      <c r="Q5405" s="232"/>
      <c r="R5405" s="411"/>
      <c r="T5405" s="172" t="s">
        <v>145</v>
      </c>
      <c r="U5405" s="259">
        <v>702723287937</v>
      </c>
      <c r="AA5405" s="218"/>
    </row>
    <row r="5406" spans="1:27" x14ac:dyDescent="0.25">
      <c r="A5406" s="405">
        <f t="shared" si="1876"/>
        <v>3004261</v>
      </c>
      <c r="B5406" s="406">
        <v>42622</v>
      </c>
      <c r="C5406" s="405" t="s">
        <v>327</v>
      </c>
      <c r="D5406" s="401" t="s">
        <v>11769</v>
      </c>
      <c r="E5406" s="120">
        <v>750</v>
      </c>
      <c r="F5406" s="133" t="s">
        <v>11770</v>
      </c>
      <c r="G5406" s="404" t="s">
        <v>45</v>
      </c>
      <c r="H5406" s="411">
        <v>5420</v>
      </c>
      <c r="I5406" s="411">
        <v>0</v>
      </c>
      <c r="J5406" s="294">
        <f>-((H5406*0.022)+0.3)</f>
        <v>-119.53999999999999</v>
      </c>
      <c r="K5406" s="90">
        <f t="shared" si="1879"/>
        <v>5300.46</v>
      </c>
      <c r="L5406" s="187">
        <v>6450</v>
      </c>
      <c r="M5406" s="131">
        <v>0</v>
      </c>
      <c r="N5406" s="91">
        <f t="shared" si="1860"/>
        <v>4837.5</v>
      </c>
      <c r="O5406" s="411">
        <f t="shared" si="1849"/>
        <v>462.96000000000004</v>
      </c>
      <c r="P5406" s="196" t="s">
        <v>183</v>
      </c>
      <c r="Q5406" s="232"/>
      <c r="R5406" s="411"/>
      <c r="T5406" s="134" t="s">
        <v>11771</v>
      </c>
      <c r="U5406" s="266">
        <v>999234</v>
      </c>
      <c r="W5406" s="153" t="s">
        <v>11772</v>
      </c>
      <c r="AA5406" s="218">
        <v>10</v>
      </c>
    </row>
    <row r="5407" spans="1:27" ht="24" x14ac:dyDescent="0.25">
      <c r="A5407" s="405">
        <f t="shared" si="1876"/>
        <v>3004262</v>
      </c>
      <c r="B5407" s="406">
        <v>42622</v>
      </c>
      <c r="C5407" s="405" t="s">
        <v>42</v>
      </c>
      <c r="D5407" s="401" t="s">
        <v>11773</v>
      </c>
      <c r="E5407" s="120">
        <v>100</v>
      </c>
      <c r="F5407" s="119" t="s">
        <v>1586</v>
      </c>
      <c r="G5407" s="404" t="s">
        <v>45</v>
      </c>
      <c r="H5407" s="411">
        <v>138.9</v>
      </c>
      <c r="I5407" s="89">
        <f>-(H5407*0.09)</f>
        <v>-12.500999999999999</v>
      </c>
      <c r="J5407" s="258">
        <f t="shared" ref="J5407" si="1880">-((H5407*0.019)+0.3)</f>
        <v>-2.9390999999999998</v>
      </c>
      <c r="K5407" s="90">
        <f t="shared" ref="K5407" si="1881">SUM(H5407:J5407)</f>
        <v>123.4599</v>
      </c>
      <c r="M5407" s="187">
        <v>30.99</v>
      </c>
      <c r="N5407" s="91">
        <f t="shared" si="1860"/>
        <v>30.99</v>
      </c>
      <c r="O5407" s="411">
        <f t="shared" si="1849"/>
        <v>92.46990000000001</v>
      </c>
      <c r="P5407" s="132" t="s">
        <v>52</v>
      </c>
      <c r="Q5407" s="232"/>
      <c r="R5407" s="411"/>
      <c r="T5407" s="172" t="s">
        <v>145</v>
      </c>
      <c r="U5407" s="259">
        <v>702723287960</v>
      </c>
      <c r="AA5407" s="218"/>
    </row>
    <row r="5408" spans="1:27" ht="24" x14ac:dyDescent="0.25">
      <c r="A5408" s="405">
        <f t="shared" si="1876"/>
        <v>3004263</v>
      </c>
      <c r="B5408" s="406">
        <v>42622</v>
      </c>
      <c r="C5408" s="405" t="s">
        <v>237</v>
      </c>
      <c r="D5408" s="401" t="s">
        <v>11774</v>
      </c>
      <c r="E5408" s="120">
        <v>250</v>
      </c>
      <c r="F5408" s="119" t="s">
        <v>307</v>
      </c>
      <c r="G5408" s="404" t="s">
        <v>45</v>
      </c>
      <c r="H5408" s="411">
        <v>310.3</v>
      </c>
      <c r="I5408" s="397">
        <f t="shared" ref="I5408" si="1882">-(H5408*0.15)</f>
        <v>-46.545000000000002</v>
      </c>
      <c r="J5408" s="411">
        <v>0</v>
      </c>
      <c r="K5408" s="90">
        <f>SUM(H5408:J5408)</f>
        <v>263.755</v>
      </c>
      <c r="M5408" s="187">
        <v>38.840000000000003</v>
      </c>
      <c r="N5408" s="91">
        <f t="shared" si="1860"/>
        <v>38.840000000000003</v>
      </c>
      <c r="O5408" s="411">
        <f t="shared" si="1849"/>
        <v>224.91499999999999</v>
      </c>
      <c r="P5408" s="132" t="s">
        <v>52</v>
      </c>
      <c r="Q5408" s="232"/>
      <c r="R5408" s="411"/>
      <c r="T5408" s="172" t="s">
        <v>145</v>
      </c>
      <c r="U5408" s="259">
        <v>680483359950</v>
      </c>
      <c r="AA5408" s="218"/>
    </row>
    <row r="5409" spans="1:27" x14ac:dyDescent="0.25">
      <c r="A5409" s="405">
        <f t="shared" si="1876"/>
        <v>3004264</v>
      </c>
      <c r="B5409" s="406">
        <v>42625</v>
      </c>
      <c r="C5409" s="405" t="s">
        <v>42</v>
      </c>
      <c r="D5409" s="401" t="s">
        <v>11775</v>
      </c>
      <c r="E5409" s="120">
        <v>225</v>
      </c>
      <c r="F5409" s="119" t="s">
        <v>422</v>
      </c>
      <c r="G5409" s="404" t="s">
        <v>45</v>
      </c>
      <c r="H5409" s="411">
        <v>361.78</v>
      </c>
      <c r="I5409" s="89">
        <f>-(H5409*0.09)</f>
        <v>-32.560199999999995</v>
      </c>
      <c r="J5409" s="258">
        <f t="shared" ref="J5409" si="1883">-((H5409*0.019)+0.3)</f>
        <v>-7.1738199999999992</v>
      </c>
      <c r="K5409" s="90">
        <f t="shared" ref="K5409" si="1884">SUM(H5409:J5409)</f>
        <v>322.04597999999999</v>
      </c>
      <c r="L5409" s="187">
        <v>900</v>
      </c>
      <c r="M5409" s="187">
        <v>105</v>
      </c>
      <c r="N5409" s="91">
        <f t="shared" si="1860"/>
        <v>307.5</v>
      </c>
      <c r="O5409" s="411">
        <f t="shared" si="1849"/>
        <v>14.545979999999986</v>
      </c>
      <c r="P5409" s="132" t="s">
        <v>183</v>
      </c>
      <c r="Q5409" s="232"/>
      <c r="R5409" s="411"/>
      <c r="T5409" s="134" t="s">
        <v>3598</v>
      </c>
      <c r="U5409" s="267" t="s">
        <v>11776</v>
      </c>
      <c r="AA5409" s="218"/>
    </row>
    <row r="5410" spans="1:27" ht="24" x14ac:dyDescent="0.25">
      <c r="A5410" s="405">
        <f t="shared" si="1876"/>
        <v>3004265</v>
      </c>
      <c r="B5410" s="406">
        <v>42625</v>
      </c>
      <c r="C5410" s="405" t="s">
        <v>42</v>
      </c>
      <c r="D5410" s="401" t="s">
        <v>11777</v>
      </c>
      <c r="E5410" s="120">
        <v>150</v>
      </c>
      <c r="F5410" s="295" t="s">
        <v>161</v>
      </c>
      <c r="G5410" s="404" t="s">
        <v>45</v>
      </c>
      <c r="H5410" s="411">
        <v>341.55</v>
      </c>
      <c r="I5410" s="89">
        <f>-(H5410*0.09)</f>
        <v>-30.7395</v>
      </c>
      <c r="J5410" s="258">
        <f t="shared" ref="J5410" si="1885">-((H5410*0.019)+0.3)</f>
        <v>-6.7894499999999995</v>
      </c>
      <c r="K5410" s="90">
        <f t="shared" ref="K5410" si="1886">SUM(H5410:J5410)</f>
        <v>304.02105</v>
      </c>
      <c r="M5410" s="187">
        <v>36.17</v>
      </c>
      <c r="N5410" s="91">
        <f t="shared" si="1860"/>
        <v>36.17</v>
      </c>
      <c r="O5410" s="411">
        <f t="shared" si="1849"/>
        <v>267.85104999999999</v>
      </c>
      <c r="P5410" s="132" t="s">
        <v>52</v>
      </c>
      <c r="Q5410" s="232"/>
      <c r="R5410" s="411"/>
      <c r="T5410" s="172" t="s">
        <v>145</v>
      </c>
      <c r="U5410" s="259" t="s">
        <v>11778</v>
      </c>
      <c r="AA5410" s="218"/>
    </row>
    <row r="5411" spans="1:27" x14ac:dyDescent="0.25">
      <c r="A5411" s="405">
        <f t="shared" si="1876"/>
        <v>3004266</v>
      </c>
      <c r="B5411" s="406">
        <v>42625</v>
      </c>
      <c r="C5411" s="405" t="s">
        <v>42</v>
      </c>
      <c r="D5411" s="401" t="s">
        <v>11779</v>
      </c>
      <c r="E5411" s="120">
        <v>300</v>
      </c>
      <c r="F5411" s="295" t="s">
        <v>70</v>
      </c>
      <c r="G5411" s="404" t="s">
        <v>45</v>
      </c>
      <c r="H5411" s="411">
        <v>820</v>
      </c>
      <c r="I5411" s="89">
        <f>-(H5411*0.09)</f>
        <v>-73.8</v>
      </c>
      <c r="J5411" s="258">
        <f t="shared" ref="J5411" si="1887">-((H5411*0.019)+0.3)</f>
        <v>-15.88</v>
      </c>
      <c r="K5411" s="90">
        <f t="shared" ref="K5411" si="1888">SUM(H5411:J5411)</f>
        <v>730.32</v>
      </c>
      <c r="L5411" s="131">
        <v>1200</v>
      </c>
      <c r="M5411" s="187">
        <v>203.13</v>
      </c>
      <c r="N5411" s="91">
        <f t="shared" si="1860"/>
        <v>563.13</v>
      </c>
      <c r="O5411" s="411">
        <f t="shared" si="1849"/>
        <v>167.19000000000005</v>
      </c>
      <c r="P5411" s="132" t="s">
        <v>86</v>
      </c>
      <c r="Q5411" s="232"/>
      <c r="R5411" s="411"/>
      <c r="T5411" s="134" t="s">
        <v>97</v>
      </c>
      <c r="U5411" s="267" t="s">
        <v>11780</v>
      </c>
      <c r="V5411" s="133" t="s">
        <v>3169</v>
      </c>
      <c r="AA5411" s="218"/>
    </row>
    <row r="5412" spans="1:27" ht="24" x14ac:dyDescent="0.25">
      <c r="A5412" s="419">
        <f t="shared" si="1876"/>
        <v>3004267</v>
      </c>
      <c r="B5412" s="421">
        <v>42625</v>
      </c>
      <c r="C5412" s="419" t="s">
        <v>42</v>
      </c>
      <c r="D5412" s="417" t="s">
        <v>11781</v>
      </c>
      <c r="E5412" s="120">
        <v>250</v>
      </c>
      <c r="F5412" s="295" t="s">
        <v>1293</v>
      </c>
      <c r="G5412" s="434" t="s">
        <v>45</v>
      </c>
      <c r="H5412" s="427">
        <v>682.67</v>
      </c>
      <c r="I5412" s="521">
        <f>-(H5412*0.09)</f>
        <v>-61.440299999999993</v>
      </c>
      <c r="J5412" s="523">
        <f t="shared" ref="J5412" si="1889">-((H5412*0.019)+0.3)</f>
        <v>-13.27073</v>
      </c>
      <c r="K5412" s="523">
        <f t="shared" ref="K5412" si="1890">SUM(H5412:J5412)</f>
        <v>607.95897000000002</v>
      </c>
      <c r="L5412" s="187">
        <v>496.53</v>
      </c>
      <c r="M5412" s="187">
        <v>57.28</v>
      </c>
      <c r="N5412" s="91">
        <f t="shared" si="1860"/>
        <v>181.41249999999999</v>
      </c>
      <c r="O5412" s="411">
        <f t="shared" si="1849"/>
        <v>426.54647</v>
      </c>
      <c r="P5412" s="132" t="s">
        <v>46</v>
      </c>
      <c r="Q5412" s="232"/>
      <c r="R5412" s="411"/>
      <c r="T5412" s="172" t="s">
        <v>324</v>
      </c>
      <c r="U5412" s="259" t="s">
        <v>11782</v>
      </c>
      <c r="AA5412" s="218"/>
    </row>
    <row r="5413" spans="1:27" ht="24" x14ac:dyDescent="0.25">
      <c r="A5413" s="420"/>
      <c r="B5413" s="422"/>
      <c r="C5413" s="420"/>
      <c r="D5413" s="418"/>
      <c r="E5413" s="120">
        <v>250</v>
      </c>
      <c r="F5413" s="133" t="s">
        <v>5804</v>
      </c>
      <c r="G5413" s="436"/>
      <c r="H5413" s="428"/>
      <c r="I5413" s="522"/>
      <c r="J5413" s="524"/>
      <c r="K5413" s="524"/>
      <c r="L5413" s="187">
        <v>996.12</v>
      </c>
      <c r="M5413" s="187">
        <v>87</v>
      </c>
      <c r="N5413" s="91">
        <f t="shared" si="1860"/>
        <v>336.03</v>
      </c>
      <c r="O5413" s="411">
        <f t="shared" si="1849"/>
        <v>-336.03</v>
      </c>
      <c r="P5413" s="132" t="s">
        <v>46</v>
      </c>
      <c r="Q5413" s="232"/>
      <c r="R5413" s="411"/>
      <c r="T5413" s="172" t="s">
        <v>145</v>
      </c>
      <c r="U5413" s="259">
        <v>4107982620</v>
      </c>
      <c r="AA5413" s="218"/>
    </row>
    <row r="5414" spans="1:27" ht="24" x14ac:dyDescent="0.25">
      <c r="A5414" s="405">
        <f>A5412+1</f>
        <v>3004268</v>
      </c>
      <c r="B5414" s="406">
        <v>42625</v>
      </c>
      <c r="C5414" s="405" t="s">
        <v>42</v>
      </c>
      <c r="D5414" s="401" t="s">
        <v>11783</v>
      </c>
      <c r="E5414" s="120">
        <v>200</v>
      </c>
      <c r="F5414" s="295" t="s">
        <v>11784</v>
      </c>
      <c r="G5414" s="404" t="s">
        <v>45</v>
      </c>
      <c r="H5414" s="411">
        <v>275.5</v>
      </c>
      <c r="I5414" s="89">
        <f t="shared" ref="I5414:I5425" si="1891">-(H5414*0.09)</f>
        <v>-24.794999999999998</v>
      </c>
      <c r="J5414" s="258">
        <f t="shared" ref="J5414" si="1892">-((H5414*0.019)+0.3)</f>
        <v>-5.5344999999999995</v>
      </c>
      <c r="K5414" s="90">
        <f t="shared" ref="K5414" si="1893">SUM(H5414:J5414)</f>
        <v>245.1705</v>
      </c>
      <c r="M5414" s="187">
        <v>39.090000000000003</v>
      </c>
      <c r="N5414" s="91">
        <f t="shared" si="1860"/>
        <v>39.090000000000003</v>
      </c>
      <c r="O5414" s="411">
        <f t="shared" si="1849"/>
        <v>206.0805</v>
      </c>
      <c r="P5414" s="132" t="s">
        <v>52</v>
      </c>
      <c r="Q5414" s="232"/>
      <c r="R5414" s="411"/>
      <c r="T5414" s="172" t="s">
        <v>145</v>
      </c>
      <c r="U5414" s="259" t="s">
        <v>11785</v>
      </c>
      <c r="AA5414" s="218"/>
    </row>
    <row r="5415" spans="1:27" ht="36" x14ac:dyDescent="0.25">
      <c r="A5415" s="405">
        <f t="shared" ref="A5415:A5427" si="1894">A5414+1</f>
        <v>3004269</v>
      </c>
      <c r="B5415" s="406">
        <v>42625</v>
      </c>
      <c r="C5415" s="405" t="s">
        <v>42</v>
      </c>
      <c r="D5415" s="401" t="s">
        <v>11786</v>
      </c>
      <c r="E5415" s="120">
        <v>600</v>
      </c>
      <c r="F5415" s="295" t="s">
        <v>11787</v>
      </c>
      <c r="G5415" s="404" t="s">
        <v>45</v>
      </c>
      <c r="H5415" s="411">
        <v>627</v>
      </c>
      <c r="I5415" s="89">
        <f t="shared" si="1891"/>
        <v>-56.43</v>
      </c>
      <c r="J5415" s="258">
        <f t="shared" ref="J5415" si="1895">-((H5415*0.019)+0.3)</f>
        <v>-12.213000000000001</v>
      </c>
      <c r="K5415" s="90">
        <f t="shared" ref="K5415" si="1896">SUM(H5415:J5415)</f>
        <v>558.35700000000008</v>
      </c>
      <c r="L5415" s="187">
        <v>665</v>
      </c>
      <c r="M5415" s="187">
        <f>15.56+15.56+15.56</f>
        <v>46.68</v>
      </c>
      <c r="N5415" s="91">
        <f t="shared" si="1860"/>
        <v>445.68</v>
      </c>
      <c r="O5415" s="411">
        <f t="shared" si="1849"/>
        <v>112.67700000000008</v>
      </c>
      <c r="P5415" s="132" t="s">
        <v>235</v>
      </c>
      <c r="Q5415" s="232"/>
      <c r="R5415" s="411"/>
      <c r="T5415" s="134" t="s">
        <v>145</v>
      </c>
      <c r="U5415" s="266" t="s">
        <v>11788</v>
      </c>
      <c r="AA5415" s="218"/>
    </row>
    <row r="5416" spans="1:27" ht="24" x14ac:dyDescent="0.25">
      <c r="A5416" s="405">
        <f t="shared" si="1894"/>
        <v>3004270</v>
      </c>
      <c r="B5416" s="406">
        <v>42625</v>
      </c>
      <c r="C5416" s="405" t="s">
        <v>42</v>
      </c>
      <c r="D5416" s="401" t="s">
        <v>11789</v>
      </c>
      <c r="E5416" s="120">
        <v>300</v>
      </c>
      <c r="F5416" s="295" t="s">
        <v>247</v>
      </c>
      <c r="G5416" s="404" t="s">
        <v>45</v>
      </c>
      <c r="H5416" s="411">
        <v>349.12</v>
      </c>
      <c r="I5416" s="89">
        <f t="shared" si="1891"/>
        <v>-31.4208</v>
      </c>
      <c r="J5416" s="258">
        <f t="shared" ref="J5416" si="1897">-((H5416*0.019)+0.3)</f>
        <v>-6.9332799999999999</v>
      </c>
      <c r="K5416" s="90">
        <f t="shared" ref="K5416" si="1898">SUM(H5416:J5416)</f>
        <v>310.76591999999999</v>
      </c>
      <c r="L5416" s="187">
        <v>672</v>
      </c>
      <c r="M5416" s="187">
        <v>64.510000000000005</v>
      </c>
      <c r="N5416" s="91">
        <f t="shared" si="1860"/>
        <v>266.11</v>
      </c>
      <c r="O5416" s="411">
        <f t="shared" si="1849"/>
        <v>44.655919999999981</v>
      </c>
      <c r="P5416" s="132" t="s">
        <v>313</v>
      </c>
      <c r="Q5416" s="232"/>
      <c r="R5416" s="411"/>
      <c r="T5416" s="134" t="s">
        <v>145</v>
      </c>
      <c r="U5416" s="267" t="s">
        <v>11790</v>
      </c>
      <c r="AA5416" s="218"/>
    </row>
    <row r="5417" spans="1:27" x14ac:dyDescent="0.25">
      <c r="A5417" s="405">
        <f t="shared" si="1894"/>
        <v>3004271</v>
      </c>
      <c r="B5417" s="406">
        <v>42625</v>
      </c>
      <c r="C5417" s="405" t="s">
        <v>42</v>
      </c>
      <c r="D5417" s="401" t="s">
        <v>11791</v>
      </c>
      <c r="E5417" s="120">
        <v>705</v>
      </c>
      <c r="F5417" s="295" t="s">
        <v>165</v>
      </c>
      <c r="G5417" s="404" t="s">
        <v>45</v>
      </c>
      <c r="H5417" s="411">
        <v>664.04</v>
      </c>
      <c r="I5417" s="89">
        <f t="shared" si="1891"/>
        <v>-59.763599999999997</v>
      </c>
      <c r="J5417" s="258">
        <f t="shared" ref="J5417" si="1899">-((H5417*0.019)+0.3)</f>
        <v>-12.91676</v>
      </c>
      <c r="K5417" s="90">
        <f t="shared" ref="K5417" si="1900">SUM(H5417:J5417)</f>
        <v>591.35964000000001</v>
      </c>
      <c r="L5417" s="131">
        <v>300</v>
      </c>
      <c r="M5417" s="187">
        <v>191.49</v>
      </c>
      <c r="N5417" s="91">
        <f t="shared" si="1860"/>
        <v>402.99</v>
      </c>
      <c r="O5417" s="411">
        <f t="shared" si="1849"/>
        <v>188.36964</v>
      </c>
      <c r="P5417" s="132" t="s">
        <v>86</v>
      </c>
      <c r="Q5417" s="232"/>
      <c r="R5417" s="411"/>
      <c r="T5417" s="134" t="s">
        <v>244</v>
      </c>
      <c r="U5417" s="267" t="s">
        <v>11792</v>
      </c>
      <c r="V5417" s="133" t="s">
        <v>3169</v>
      </c>
      <c r="AA5417" s="218"/>
    </row>
    <row r="5418" spans="1:27" ht="24" x14ac:dyDescent="0.25">
      <c r="A5418" s="405">
        <f t="shared" si="1894"/>
        <v>3004272</v>
      </c>
      <c r="B5418" s="406">
        <v>42625</v>
      </c>
      <c r="C5418" s="405" t="s">
        <v>42</v>
      </c>
      <c r="D5418" s="401" t="s">
        <v>11793</v>
      </c>
      <c r="E5418" s="120">
        <v>206</v>
      </c>
      <c r="F5418" s="295" t="s">
        <v>11794</v>
      </c>
      <c r="G5418" s="404" t="s">
        <v>45</v>
      </c>
      <c r="H5418" s="411">
        <v>662.62</v>
      </c>
      <c r="I5418" s="89">
        <f t="shared" si="1891"/>
        <v>-59.635799999999996</v>
      </c>
      <c r="J5418" s="258">
        <f t="shared" ref="J5418" si="1901">-((H5418*0.019)+0.3)</f>
        <v>-12.88978</v>
      </c>
      <c r="K5418" s="90">
        <f t="shared" ref="K5418" si="1902">SUM(H5418:J5418)</f>
        <v>590.09442000000001</v>
      </c>
      <c r="L5418" s="187">
        <v>2050</v>
      </c>
      <c r="M5418" s="187">
        <v>105</v>
      </c>
      <c r="N5418" s="91">
        <f t="shared" si="1860"/>
        <v>527.29999999999995</v>
      </c>
      <c r="O5418" s="411">
        <f t="shared" si="1849"/>
        <v>62.794420000000059</v>
      </c>
      <c r="P5418" s="132" t="s">
        <v>183</v>
      </c>
      <c r="Q5418" s="232"/>
      <c r="R5418" s="411"/>
      <c r="T5418" s="134" t="s">
        <v>244</v>
      </c>
      <c r="U5418" s="266">
        <v>704137743</v>
      </c>
      <c r="AA5418" s="218"/>
    </row>
    <row r="5419" spans="1:27" ht="36" x14ac:dyDescent="0.25">
      <c r="A5419" s="405">
        <f t="shared" si="1894"/>
        <v>3004273</v>
      </c>
      <c r="B5419" s="406">
        <v>42625</v>
      </c>
      <c r="C5419" s="405" t="s">
        <v>42</v>
      </c>
      <c r="D5419" s="401" t="s">
        <v>11795</v>
      </c>
      <c r="E5419" s="120">
        <v>250</v>
      </c>
      <c r="F5419" s="295" t="s">
        <v>11796</v>
      </c>
      <c r="G5419" s="404" t="s">
        <v>45</v>
      </c>
      <c r="H5419" s="411">
        <v>320</v>
      </c>
      <c r="I5419" s="89">
        <f t="shared" si="1891"/>
        <v>-28.799999999999997</v>
      </c>
      <c r="J5419" s="258">
        <f t="shared" ref="J5419" si="1903">-((H5419*0.019)+0.3)</f>
        <v>-6.38</v>
      </c>
      <c r="K5419" s="90">
        <f t="shared" ref="K5419" si="1904">SUM(H5419:J5419)</f>
        <v>284.82</v>
      </c>
      <c r="M5419" s="187">
        <v>38.15</v>
      </c>
      <c r="N5419" s="91">
        <f t="shared" si="1860"/>
        <v>38.15</v>
      </c>
      <c r="O5419" s="411">
        <f t="shared" si="1849"/>
        <v>246.67</v>
      </c>
      <c r="P5419" s="132" t="s">
        <v>86</v>
      </c>
      <c r="Q5419" s="232"/>
      <c r="R5419" s="411"/>
      <c r="T5419" s="134" t="s">
        <v>145</v>
      </c>
      <c r="U5419" s="267" t="s">
        <v>11797</v>
      </c>
      <c r="AA5419" s="218"/>
    </row>
    <row r="5420" spans="1:27" ht="36" x14ac:dyDescent="0.25">
      <c r="A5420" s="405">
        <f t="shared" si="1894"/>
        <v>3004274</v>
      </c>
      <c r="B5420" s="406">
        <v>42625</v>
      </c>
      <c r="C5420" s="405" t="s">
        <v>42</v>
      </c>
      <c r="D5420" s="401" t="s">
        <v>11798</v>
      </c>
      <c r="E5420" s="120">
        <v>1000</v>
      </c>
      <c r="F5420" s="295" t="s">
        <v>11799</v>
      </c>
      <c r="G5420" s="404" t="s">
        <v>45</v>
      </c>
      <c r="H5420" s="411">
        <v>146.78</v>
      </c>
      <c r="I5420" s="89">
        <f t="shared" si="1891"/>
        <v>-13.2102</v>
      </c>
      <c r="J5420" s="258">
        <f t="shared" ref="J5420" si="1905">-((H5420*0.019)+0.3)</f>
        <v>-3.0888199999999997</v>
      </c>
      <c r="K5420" s="90">
        <f t="shared" ref="K5420" si="1906">SUM(H5420:J5420)</f>
        <v>130.48097999999999</v>
      </c>
      <c r="L5420" s="187">
        <v>60</v>
      </c>
      <c r="M5420" s="187">
        <f>26.66+10.76</f>
        <v>37.42</v>
      </c>
      <c r="N5420" s="91">
        <f t="shared" si="1860"/>
        <v>97.42</v>
      </c>
      <c r="O5420" s="411">
        <f t="shared" si="1849"/>
        <v>33.060979999999986</v>
      </c>
      <c r="P5420" s="132" t="s">
        <v>2895</v>
      </c>
      <c r="Q5420" s="232"/>
      <c r="R5420" s="411"/>
      <c r="T5420" s="134" t="s">
        <v>324</v>
      </c>
      <c r="U5420" s="267" t="s">
        <v>11800</v>
      </c>
      <c r="AA5420" s="218"/>
    </row>
    <row r="5421" spans="1:27" ht="24" x14ac:dyDescent="0.25">
      <c r="A5421" s="405">
        <f t="shared" si="1894"/>
        <v>3004275</v>
      </c>
      <c r="B5421" s="406">
        <v>42625</v>
      </c>
      <c r="C5421" s="405" t="s">
        <v>42</v>
      </c>
      <c r="D5421" s="401" t="s">
        <v>11801</v>
      </c>
      <c r="E5421" s="120">
        <v>50</v>
      </c>
      <c r="F5421" s="295" t="s">
        <v>11802</v>
      </c>
      <c r="G5421" s="404" t="s">
        <v>45</v>
      </c>
      <c r="H5421" s="411">
        <v>602.99</v>
      </c>
      <c r="I5421" s="89">
        <f t="shared" si="1891"/>
        <v>-54.269100000000002</v>
      </c>
      <c r="J5421" s="258">
        <f t="shared" ref="J5421" si="1907">-((H5421*0.019)+0.3)</f>
        <v>-11.75681</v>
      </c>
      <c r="K5421" s="90">
        <f t="shared" ref="K5421" si="1908">SUM(H5421:J5421)</f>
        <v>536.96409000000006</v>
      </c>
      <c r="M5421" s="187">
        <v>36.1</v>
      </c>
      <c r="N5421" s="91">
        <f t="shared" si="1860"/>
        <v>36.1</v>
      </c>
      <c r="O5421" s="411">
        <f t="shared" si="1849"/>
        <v>500.86409000000003</v>
      </c>
      <c r="P5421" s="132" t="s">
        <v>52</v>
      </c>
      <c r="Q5421" s="232"/>
      <c r="R5421" s="411"/>
      <c r="T5421" s="172" t="s">
        <v>145</v>
      </c>
      <c r="U5421" s="259">
        <v>680483359994</v>
      </c>
      <c r="AA5421" s="218"/>
    </row>
    <row r="5422" spans="1:27" ht="24" x14ac:dyDescent="0.25">
      <c r="A5422" s="405">
        <f t="shared" si="1894"/>
        <v>3004276</v>
      </c>
      <c r="B5422" s="406">
        <v>42625</v>
      </c>
      <c r="C5422" s="405" t="s">
        <v>42</v>
      </c>
      <c r="D5422" s="401" t="s">
        <v>11803</v>
      </c>
      <c r="E5422" s="120">
        <v>1000</v>
      </c>
      <c r="F5422" s="295" t="s">
        <v>247</v>
      </c>
      <c r="G5422" s="404" t="s">
        <v>45</v>
      </c>
      <c r="H5422" s="411">
        <v>990</v>
      </c>
      <c r="I5422" s="89">
        <f t="shared" si="1891"/>
        <v>-89.1</v>
      </c>
      <c r="J5422" s="258">
        <f t="shared" ref="J5422" si="1909">-((H5422*0.019)+0.3)</f>
        <v>-19.11</v>
      </c>
      <c r="K5422" s="90">
        <f t="shared" ref="K5422" si="1910">SUM(H5422:J5422)</f>
        <v>881.79</v>
      </c>
      <c r="L5422" s="187">
        <v>672</v>
      </c>
      <c r="M5422" s="187">
        <v>133.16</v>
      </c>
      <c r="N5422" s="91">
        <f t="shared" si="1860"/>
        <v>805.16</v>
      </c>
      <c r="O5422" s="411">
        <f t="shared" si="1849"/>
        <v>76.63</v>
      </c>
      <c r="P5422" s="132" t="s">
        <v>313</v>
      </c>
      <c r="Q5422" s="232"/>
      <c r="R5422" s="411"/>
      <c r="T5422" s="134" t="s">
        <v>11804</v>
      </c>
      <c r="U5422" s="267" t="s">
        <v>11805</v>
      </c>
      <c r="V5422" s="133" t="s">
        <v>3169</v>
      </c>
      <c r="AA5422" s="218"/>
    </row>
    <row r="5423" spans="1:27" ht="24" x14ac:dyDescent="0.25">
      <c r="A5423" s="405">
        <f t="shared" si="1894"/>
        <v>3004277</v>
      </c>
      <c r="B5423" s="406">
        <v>42625</v>
      </c>
      <c r="C5423" s="405" t="s">
        <v>42</v>
      </c>
      <c r="D5423" s="401" t="s">
        <v>11806</v>
      </c>
      <c r="E5423" s="120">
        <v>250</v>
      </c>
      <c r="F5423" s="295" t="s">
        <v>247</v>
      </c>
      <c r="G5423" s="404" t="s">
        <v>45</v>
      </c>
      <c r="H5423" s="411">
        <v>309.8</v>
      </c>
      <c r="I5423" s="89">
        <f t="shared" si="1891"/>
        <v>-27.882000000000001</v>
      </c>
      <c r="J5423" s="258">
        <f t="shared" ref="J5423" si="1911">-((H5423*0.019)+0.3)</f>
        <v>-6.1861999999999995</v>
      </c>
      <c r="K5423" s="90">
        <f t="shared" ref="K5423" si="1912">SUM(H5423:J5423)</f>
        <v>275.73180000000002</v>
      </c>
      <c r="L5423" s="187">
        <v>672</v>
      </c>
      <c r="M5423" s="187">
        <v>53.84</v>
      </c>
      <c r="N5423" s="91">
        <f t="shared" si="1860"/>
        <v>221.84</v>
      </c>
      <c r="O5423" s="411">
        <f t="shared" si="1849"/>
        <v>53.891800000000018</v>
      </c>
      <c r="P5423" s="132" t="s">
        <v>313</v>
      </c>
      <c r="Q5423" s="232"/>
      <c r="R5423" s="411"/>
      <c r="T5423" s="134" t="s">
        <v>145</v>
      </c>
      <c r="U5423" s="267" t="s">
        <v>11807</v>
      </c>
      <c r="AA5423" s="218"/>
    </row>
    <row r="5424" spans="1:27" ht="24" x14ac:dyDescent="0.25">
      <c r="A5424" s="405">
        <f t="shared" si="1894"/>
        <v>3004278</v>
      </c>
      <c r="B5424" s="406">
        <v>42625</v>
      </c>
      <c r="C5424" s="405" t="s">
        <v>42</v>
      </c>
      <c r="D5424" s="401" t="s">
        <v>316</v>
      </c>
      <c r="E5424" s="120">
        <v>1000</v>
      </c>
      <c r="F5424" s="295" t="s">
        <v>1137</v>
      </c>
      <c r="G5424" s="404" t="s">
        <v>45</v>
      </c>
      <c r="H5424" s="411">
        <v>420</v>
      </c>
      <c r="I5424" s="89">
        <f t="shared" si="1891"/>
        <v>-37.799999999999997</v>
      </c>
      <c r="J5424" s="258">
        <f t="shared" ref="J5424" si="1913">-((H5424*0.019)+0.3)</f>
        <v>-8.2799999999999994</v>
      </c>
      <c r="K5424" s="90">
        <f t="shared" ref="K5424" si="1914">SUM(H5424:J5424)</f>
        <v>373.92</v>
      </c>
      <c r="M5424" s="187">
        <v>56.11</v>
      </c>
      <c r="N5424" s="91">
        <f t="shared" si="1860"/>
        <v>56.11</v>
      </c>
      <c r="O5424" s="411">
        <f t="shared" si="1849"/>
        <v>317.81</v>
      </c>
      <c r="P5424" s="132" t="s">
        <v>52</v>
      </c>
      <c r="Q5424" s="232"/>
      <c r="R5424" s="411"/>
      <c r="T5424" s="172" t="s">
        <v>145</v>
      </c>
      <c r="U5424" s="259">
        <v>702723287992</v>
      </c>
      <c r="AA5424" s="218"/>
    </row>
    <row r="5425" spans="1:27" ht="24" x14ac:dyDescent="0.25">
      <c r="A5425" s="405">
        <f t="shared" si="1894"/>
        <v>3004279</v>
      </c>
      <c r="B5425" s="406">
        <v>42625</v>
      </c>
      <c r="C5425" s="405" t="s">
        <v>42</v>
      </c>
      <c r="D5425" s="401" t="s">
        <v>11808</v>
      </c>
      <c r="E5425" s="120">
        <v>75</v>
      </c>
      <c r="F5425" s="295" t="s">
        <v>11809</v>
      </c>
      <c r="G5425" s="404" t="s">
        <v>45</v>
      </c>
      <c r="H5425" s="411">
        <v>152</v>
      </c>
      <c r="I5425" s="89">
        <f t="shared" si="1891"/>
        <v>-13.68</v>
      </c>
      <c r="J5425" s="258">
        <f t="shared" ref="J5425" si="1915">-((H5425*0.019)+0.3)</f>
        <v>-3.1879999999999997</v>
      </c>
      <c r="K5425" s="90">
        <f t="shared" ref="K5425" si="1916">SUM(H5425:J5425)</f>
        <v>135.13200000000001</v>
      </c>
      <c r="M5425" s="187">
        <v>16.329999999999998</v>
      </c>
      <c r="N5425" s="91">
        <f t="shared" si="1860"/>
        <v>16.329999999999998</v>
      </c>
      <c r="O5425" s="411">
        <f t="shared" si="1849"/>
        <v>118.80200000000001</v>
      </c>
      <c r="P5425" s="132" t="s">
        <v>52</v>
      </c>
      <c r="Q5425" s="232"/>
      <c r="R5425" s="411"/>
      <c r="T5425" s="172" t="s">
        <v>145</v>
      </c>
      <c r="U5425" s="259" t="s">
        <v>11810</v>
      </c>
      <c r="AA5425" s="218"/>
    </row>
    <row r="5426" spans="1:27" ht="24" x14ac:dyDescent="0.25">
      <c r="A5426" s="405">
        <f t="shared" si="1894"/>
        <v>3004280</v>
      </c>
      <c r="B5426" s="406">
        <v>42625</v>
      </c>
      <c r="C5426" s="405" t="s">
        <v>237</v>
      </c>
      <c r="D5426" s="401" t="s">
        <v>11811</v>
      </c>
      <c r="E5426" s="120">
        <v>150</v>
      </c>
      <c r="F5426" s="119" t="s">
        <v>247</v>
      </c>
      <c r="G5426" s="404" t="s">
        <v>45</v>
      </c>
      <c r="H5426" s="411">
        <v>140</v>
      </c>
      <c r="I5426" s="397">
        <f t="shared" ref="I5426" si="1917">-(H5426*0.15)</f>
        <v>-21</v>
      </c>
      <c r="J5426" s="411">
        <v>0</v>
      </c>
      <c r="K5426" s="90">
        <f>SUM(H5426:J5426)</f>
        <v>119</v>
      </c>
      <c r="L5426" s="187">
        <v>672</v>
      </c>
      <c r="M5426" s="187">
        <v>27.6</v>
      </c>
      <c r="N5426" s="91">
        <f t="shared" si="1860"/>
        <v>128.4</v>
      </c>
      <c r="O5426" s="411">
        <f t="shared" si="1849"/>
        <v>-9.4000000000000057</v>
      </c>
      <c r="P5426" s="132" t="s">
        <v>313</v>
      </c>
      <c r="Q5426" s="232"/>
      <c r="R5426" s="411"/>
      <c r="T5426" s="134" t="s">
        <v>145</v>
      </c>
      <c r="U5426" s="267" t="s">
        <v>11812</v>
      </c>
      <c r="AA5426" s="218"/>
    </row>
    <row r="5427" spans="1:27" ht="36" x14ac:dyDescent="0.25">
      <c r="A5427" s="419">
        <f t="shared" si="1894"/>
        <v>3004281</v>
      </c>
      <c r="B5427" s="421">
        <v>42625</v>
      </c>
      <c r="C5427" s="419" t="s">
        <v>237</v>
      </c>
      <c r="D5427" s="417" t="s">
        <v>11813</v>
      </c>
      <c r="E5427" s="120">
        <v>200</v>
      </c>
      <c r="F5427" s="119" t="s">
        <v>11814</v>
      </c>
      <c r="G5427" s="434" t="s">
        <v>45</v>
      </c>
      <c r="H5427" s="427">
        <v>995.68</v>
      </c>
      <c r="I5427" s="521">
        <f t="shared" ref="I5427" si="1918">-(H5427*0.15)</f>
        <v>-149.35199999999998</v>
      </c>
      <c r="J5427" s="516">
        <v>0</v>
      </c>
      <c r="K5427" s="523">
        <f>SUM(H5427:J5427)</f>
        <v>846.32799999999997</v>
      </c>
      <c r="L5427" s="187">
        <v>1165</v>
      </c>
      <c r="M5427" s="187">
        <v>50.38</v>
      </c>
      <c r="N5427" s="91">
        <f t="shared" si="1860"/>
        <v>283.38</v>
      </c>
      <c r="O5427" s="411">
        <f t="shared" si="1849"/>
        <v>562.94799999999998</v>
      </c>
      <c r="P5427" s="132" t="s">
        <v>601</v>
      </c>
      <c r="Q5427" s="232"/>
      <c r="R5427" s="411"/>
      <c r="T5427" s="470" t="s">
        <v>145</v>
      </c>
      <c r="U5427" s="308" t="s">
        <v>11815</v>
      </c>
      <c r="AA5427" s="218"/>
    </row>
    <row r="5428" spans="1:27" ht="36" x14ac:dyDescent="0.25">
      <c r="A5428" s="420"/>
      <c r="B5428" s="422"/>
      <c r="C5428" s="420"/>
      <c r="D5428" s="418"/>
      <c r="E5428" s="120">
        <v>200</v>
      </c>
      <c r="F5428" s="119" t="s">
        <v>11816</v>
      </c>
      <c r="G5428" s="436"/>
      <c r="H5428" s="428"/>
      <c r="I5428" s="522"/>
      <c r="J5428" s="518"/>
      <c r="K5428" s="524"/>
      <c r="L5428" s="187">
        <v>1165</v>
      </c>
      <c r="M5428" s="187">
        <v>49.29</v>
      </c>
      <c r="N5428" s="91">
        <f t="shared" si="1860"/>
        <v>282.29000000000002</v>
      </c>
      <c r="O5428" s="411">
        <f t="shared" si="1849"/>
        <v>-282.29000000000002</v>
      </c>
      <c r="P5428" s="132" t="s">
        <v>601</v>
      </c>
      <c r="Q5428" s="232"/>
      <c r="R5428" s="411"/>
      <c r="T5428" s="472"/>
      <c r="U5428" s="309">
        <v>639564016077</v>
      </c>
      <c r="AA5428" s="218"/>
    </row>
    <row r="5429" spans="1:27" ht="24" x14ac:dyDescent="0.25">
      <c r="A5429" s="405">
        <f>A5427+1</f>
        <v>3004282</v>
      </c>
      <c r="B5429" s="406">
        <v>42625</v>
      </c>
      <c r="C5429" s="405" t="s">
        <v>237</v>
      </c>
      <c r="D5429" s="401" t="s">
        <v>11817</v>
      </c>
      <c r="E5429" s="120">
        <v>200</v>
      </c>
      <c r="F5429" s="119" t="s">
        <v>247</v>
      </c>
      <c r="G5429" s="404" t="s">
        <v>45</v>
      </c>
      <c r="H5429" s="411">
        <v>226.71</v>
      </c>
      <c r="I5429" s="397">
        <f t="shared" ref="I5429" si="1919">-(H5429*0.15)</f>
        <v>-34.006500000000003</v>
      </c>
      <c r="J5429" s="411">
        <v>0</v>
      </c>
      <c r="K5429" s="90">
        <f>SUM(H5429:J5429)</f>
        <v>192.70350000000002</v>
      </c>
      <c r="L5429" s="187">
        <v>672</v>
      </c>
      <c r="M5429" s="187">
        <v>53</v>
      </c>
      <c r="N5429" s="91">
        <f t="shared" si="1860"/>
        <v>187.4</v>
      </c>
      <c r="O5429" s="411">
        <f t="shared" si="1849"/>
        <v>5.3035000000000139</v>
      </c>
      <c r="P5429" s="132" t="s">
        <v>313</v>
      </c>
      <c r="Q5429" s="232"/>
      <c r="R5429" s="411"/>
      <c r="T5429" s="134" t="s">
        <v>145</v>
      </c>
      <c r="U5429" s="267" t="s">
        <v>11818</v>
      </c>
      <c r="AA5429" s="218"/>
    </row>
    <row r="5430" spans="1:27" ht="24" x14ac:dyDescent="0.25">
      <c r="A5430" s="405">
        <f t="shared" ref="A5430:A5435" si="1920">A5429+1</f>
        <v>3004283</v>
      </c>
      <c r="B5430" s="406">
        <v>42625</v>
      </c>
      <c r="C5430" s="405" t="s">
        <v>237</v>
      </c>
      <c r="D5430" s="401" t="s">
        <v>11819</v>
      </c>
      <c r="E5430" s="120">
        <v>50</v>
      </c>
      <c r="F5430" s="119" t="s">
        <v>288</v>
      </c>
      <c r="G5430" s="404" t="s">
        <v>45</v>
      </c>
      <c r="H5430" s="411">
        <v>114.59</v>
      </c>
      <c r="I5430" s="397">
        <f t="shared" ref="I5430" si="1921">-(H5430*0.15)</f>
        <v>-17.188500000000001</v>
      </c>
      <c r="J5430" s="411">
        <v>0</v>
      </c>
      <c r="K5430" s="90">
        <f>SUM(H5430:J5430)</f>
        <v>97.401499999999999</v>
      </c>
      <c r="M5430" s="187">
        <v>12.84</v>
      </c>
      <c r="N5430" s="91">
        <f t="shared" si="1860"/>
        <v>12.84</v>
      </c>
      <c r="O5430" s="411">
        <f t="shared" si="1849"/>
        <v>84.561499999999995</v>
      </c>
      <c r="P5430" s="132" t="s">
        <v>52</v>
      </c>
      <c r="Q5430" s="232"/>
      <c r="R5430" s="411"/>
      <c r="T5430" s="172" t="s">
        <v>145</v>
      </c>
      <c r="U5430" s="259">
        <v>702723287981</v>
      </c>
      <c r="AA5430" s="218"/>
    </row>
    <row r="5431" spans="1:27" ht="24" x14ac:dyDescent="0.25">
      <c r="A5431" s="405">
        <f t="shared" si="1920"/>
        <v>3004284</v>
      </c>
      <c r="B5431" s="406">
        <v>42625</v>
      </c>
      <c r="C5431" s="405" t="s">
        <v>237</v>
      </c>
      <c r="D5431" s="401" t="s">
        <v>11820</v>
      </c>
      <c r="E5431" s="120">
        <v>100</v>
      </c>
      <c r="F5431" s="119" t="s">
        <v>11821</v>
      </c>
      <c r="G5431" s="404" t="s">
        <v>45</v>
      </c>
      <c r="H5431" s="411">
        <v>180.18</v>
      </c>
      <c r="I5431" s="397">
        <f t="shared" ref="I5431" si="1922">-(H5431*0.15)</f>
        <v>-27.027000000000001</v>
      </c>
      <c r="J5431" s="411">
        <v>0</v>
      </c>
      <c r="K5431" s="90">
        <f>SUM(H5431:J5431)</f>
        <v>153.15300000000002</v>
      </c>
      <c r="L5431" s="187">
        <v>1150</v>
      </c>
      <c r="M5431" s="187">
        <v>27.94</v>
      </c>
      <c r="N5431" s="91">
        <f t="shared" si="1860"/>
        <v>142.94</v>
      </c>
      <c r="O5431" s="411">
        <f t="shared" si="1849"/>
        <v>10.213000000000022</v>
      </c>
      <c r="P5431" s="132" t="s">
        <v>601</v>
      </c>
      <c r="Q5431" s="232"/>
      <c r="R5431" s="411"/>
      <c r="T5431" s="134" t="s">
        <v>145</v>
      </c>
      <c r="U5431" s="267" t="s">
        <v>11822</v>
      </c>
      <c r="AA5431" s="218"/>
    </row>
    <row r="5432" spans="1:27" ht="24" x14ac:dyDescent="0.25">
      <c r="A5432" s="405">
        <f t="shared" si="1920"/>
        <v>3004285</v>
      </c>
      <c r="B5432" s="406">
        <v>42625</v>
      </c>
      <c r="C5432" s="405" t="s">
        <v>237</v>
      </c>
      <c r="D5432" s="401" t="s">
        <v>11823</v>
      </c>
      <c r="E5432" s="120">
        <v>75</v>
      </c>
      <c r="F5432" s="119" t="s">
        <v>307</v>
      </c>
      <c r="G5432" s="404" t="s">
        <v>45</v>
      </c>
      <c r="H5432" s="411">
        <v>134</v>
      </c>
      <c r="I5432" s="397">
        <f t="shared" ref="I5432" si="1923">-(H5432*0.15)</f>
        <v>-20.099999999999998</v>
      </c>
      <c r="J5432" s="411">
        <v>0</v>
      </c>
      <c r="K5432" s="90">
        <f>SUM(H5432:J5432)</f>
        <v>113.9</v>
      </c>
      <c r="L5432" s="187">
        <v>37.369999999999997</v>
      </c>
      <c r="M5432" s="187">
        <v>27.94</v>
      </c>
      <c r="N5432" s="91">
        <f t="shared" si="1860"/>
        <v>30.742750000000001</v>
      </c>
      <c r="O5432" s="411">
        <f t="shared" si="1849"/>
        <v>83.157250000000005</v>
      </c>
      <c r="P5432" s="132" t="s">
        <v>52</v>
      </c>
      <c r="Q5432" s="232"/>
      <c r="R5432" s="411"/>
      <c r="T5432" s="172" t="s">
        <v>145</v>
      </c>
      <c r="U5432" s="259">
        <v>665645046968</v>
      </c>
      <c r="AA5432" s="218"/>
    </row>
    <row r="5433" spans="1:27" ht="24" x14ac:dyDescent="0.25">
      <c r="A5433" s="405">
        <f t="shared" si="1920"/>
        <v>3004286</v>
      </c>
      <c r="B5433" s="406">
        <v>42625</v>
      </c>
      <c r="C5433" s="405" t="s">
        <v>237</v>
      </c>
      <c r="D5433" s="401" t="s">
        <v>11824</v>
      </c>
      <c r="E5433" s="120">
        <v>250</v>
      </c>
      <c r="F5433" s="119" t="s">
        <v>11825</v>
      </c>
      <c r="G5433" s="404" t="s">
        <v>45</v>
      </c>
      <c r="H5433" s="411">
        <v>162.01</v>
      </c>
      <c r="I5433" s="397">
        <f t="shared" ref="I5433" si="1924">-(H5433*0.15)</f>
        <v>-24.301499999999997</v>
      </c>
      <c r="J5433" s="411">
        <v>0</v>
      </c>
      <c r="K5433" s="90">
        <f>SUM(H5433:J5433)</f>
        <v>137.70849999999999</v>
      </c>
      <c r="L5433" s="187">
        <v>320</v>
      </c>
      <c r="M5433" s="187">
        <f>63.84+2.31+10.76</f>
        <v>76.910000000000011</v>
      </c>
      <c r="N5433" s="91">
        <f t="shared" si="1860"/>
        <v>156.91000000000003</v>
      </c>
      <c r="O5433" s="411">
        <f t="shared" si="1849"/>
        <v>-19.201500000000038</v>
      </c>
      <c r="P5433" s="132" t="s">
        <v>3075</v>
      </c>
      <c r="Q5433" s="232"/>
      <c r="R5433" s="411"/>
      <c r="T5433" s="134" t="s">
        <v>324</v>
      </c>
      <c r="U5433" s="267" t="s">
        <v>11826</v>
      </c>
      <c r="AA5433" s="218"/>
    </row>
    <row r="5434" spans="1:27" ht="24" x14ac:dyDescent="0.25">
      <c r="A5434" s="379">
        <f t="shared" si="1920"/>
        <v>3004287</v>
      </c>
      <c r="B5434" s="381">
        <v>42625</v>
      </c>
      <c r="C5434" s="379" t="s">
        <v>327</v>
      </c>
      <c r="D5434" s="377" t="s">
        <v>6995</v>
      </c>
      <c r="E5434" s="412">
        <v>93</v>
      </c>
      <c r="F5434" s="393" t="s">
        <v>954</v>
      </c>
      <c r="G5434" s="386" t="s">
        <v>45</v>
      </c>
      <c r="H5434" s="399">
        <v>53</v>
      </c>
      <c r="I5434" s="399">
        <v>0</v>
      </c>
      <c r="J5434" s="296">
        <f>-((H5434*0.022)+0.3)</f>
        <v>-1.466</v>
      </c>
      <c r="K5434" s="396">
        <f t="shared" ref="K5434" si="1925">SUM(H5434:J5434)</f>
        <v>51.533999999999999</v>
      </c>
      <c r="L5434" s="142"/>
      <c r="M5434" s="201">
        <v>26.57</v>
      </c>
      <c r="N5434" s="91">
        <f t="shared" si="1860"/>
        <v>26.57</v>
      </c>
      <c r="O5434" s="411">
        <f t="shared" si="1849"/>
        <v>24.963999999999999</v>
      </c>
      <c r="P5434" s="402" t="s">
        <v>52</v>
      </c>
      <c r="Q5434" s="233"/>
      <c r="R5434" s="399"/>
      <c r="S5434" s="393"/>
      <c r="T5434" s="316" t="s">
        <v>145</v>
      </c>
      <c r="U5434" s="317">
        <v>680483359940</v>
      </c>
      <c r="V5434" s="393"/>
      <c r="W5434" s="155" t="s">
        <v>11827</v>
      </c>
      <c r="AA5434" s="218"/>
    </row>
    <row r="5435" spans="1:27" ht="24" x14ac:dyDescent="0.25">
      <c r="A5435" s="419">
        <f t="shared" si="1920"/>
        <v>3004288</v>
      </c>
      <c r="B5435" s="421">
        <v>42625</v>
      </c>
      <c r="C5435" s="419" t="s">
        <v>56</v>
      </c>
      <c r="D5435" s="417" t="s">
        <v>11828</v>
      </c>
      <c r="E5435" s="120">
        <v>3000</v>
      </c>
      <c r="F5435" s="119" t="s">
        <v>11829</v>
      </c>
      <c r="G5435" s="434" t="s">
        <v>45</v>
      </c>
      <c r="H5435" s="516">
        <v>9294.69</v>
      </c>
      <c r="I5435" s="516">
        <v>0</v>
      </c>
      <c r="J5435" s="516">
        <v>0</v>
      </c>
      <c r="K5435" s="516">
        <f>H5435-I5435-J5435</f>
        <v>9294.69</v>
      </c>
      <c r="L5435" s="131">
        <v>330</v>
      </c>
      <c r="M5435" s="468">
        <v>140</v>
      </c>
      <c r="N5435" s="91">
        <f t="shared" si="1860"/>
        <v>1130</v>
      </c>
      <c r="O5435" s="411">
        <f t="shared" si="1849"/>
        <v>8164.6900000000005</v>
      </c>
      <c r="P5435" s="132" t="s">
        <v>11830</v>
      </c>
      <c r="Q5435" s="232"/>
      <c r="R5435" s="411"/>
      <c r="T5435" s="470" t="s">
        <v>2636</v>
      </c>
      <c r="U5435" s="266"/>
      <c r="V5435" s="133" t="s">
        <v>11831</v>
      </c>
      <c r="AA5435" s="218"/>
    </row>
    <row r="5436" spans="1:27" ht="24" x14ac:dyDescent="0.25">
      <c r="A5436" s="432"/>
      <c r="B5436" s="433"/>
      <c r="C5436" s="432"/>
      <c r="D5436" s="454"/>
      <c r="E5436" s="120">
        <v>9827</v>
      </c>
      <c r="F5436" s="119" t="s">
        <v>11832</v>
      </c>
      <c r="G5436" s="435"/>
      <c r="H5436" s="517"/>
      <c r="I5436" s="517"/>
      <c r="J5436" s="517"/>
      <c r="K5436" s="517"/>
      <c r="L5436" s="131">
        <v>300</v>
      </c>
      <c r="M5436" s="491"/>
      <c r="N5436" s="91">
        <f t="shared" si="1860"/>
        <v>2948.1</v>
      </c>
      <c r="O5436" s="411">
        <f t="shared" si="1849"/>
        <v>-2948.1</v>
      </c>
      <c r="P5436" s="132" t="s">
        <v>11830</v>
      </c>
      <c r="Q5436" s="232"/>
      <c r="R5436" s="411"/>
      <c r="T5436" s="471"/>
      <c r="U5436" s="266"/>
      <c r="AA5436" s="218"/>
    </row>
    <row r="5437" spans="1:27" ht="36" x14ac:dyDescent="0.25">
      <c r="A5437" s="432"/>
      <c r="B5437" s="433"/>
      <c r="C5437" s="432"/>
      <c r="D5437" s="454"/>
      <c r="E5437" s="120">
        <v>2020</v>
      </c>
      <c r="F5437" s="119" t="s">
        <v>11833</v>
      </c>
      <c r="G5437" s="435"/>
      <c r="H5437" s="517"/>
      <c r="I5437" s="517"/>
      <c r="J5437" s="517"/>
      <c r="K5437" s="517"/>
      <c r="L5437" s="131">
        <v>1080</v>
      </c>
      <c r="M5437" s="491"/>
      <c r="N5437" s="91">
        <f t="shared" si="1860"/>
        <v>2181.6</v>
      </c>
      <c r="O5437" s="411">
        <f t="shared" si="1849"/>
        <v>-2181.6</v>
      </c>
      <c r="P5437" s="132" t="s">
        <v>11830</v>
      </c>
      <c r="Q5437" s="232"/>
      <c r="R5437" s="411"/>
      <c r="T5437" s="471"/>
      <c r="U5437" s="266"/>
      <c r="V5437" s="133" t="s">
        <v>3169</v>
      </c>
      <c r="AA5437" s="218"/>
    </row>
    <row r="5438" spans="1:27" ht="24" x14ac:dyDescent="0.25">
      <c r="A5438" s="432"/>
      <c r="B5438" s="433"/>
      <c r="C5438" s="432"/>
      <c r="D5438" s="454"/>
      <c r="E5438" s="120">
        <v>1500</v>
      </c>
      <c r="F5438" s="119" t="s">
        <v>11834</v>
      </c>
      <c r="G5438" s="435"/>
      <c r="H5438" s="517"/>
      <c r="I5438" s="517"/>
      <c r="J5438" s="517"/>
      <c r="K5438" s="517"/>
      <c r="L5438" s="131">
        <v>45</v>
      </c>
      <c r="M5438" s="491"/>
      <c r="N5438" s="91">
        <f t="shared" si="1860"/>
        <v>67.5</v>
      </c>
      <c r="O5438" s="411">
        <f t="shared" si="1849"/>
        <v>-67.5</v>
      </c>
      <c r="P5438" s="132" t="s">
        <v>11830</v>
      </c>
      <c r="Q5438" s="232"/>
      <c r="R5438" s="411"/>
      <c r="T5438" s="471"/>
      <c r="U5438" s="266"/>
      <c r="AA5438" s="218"/>
    </row>
    <row r="5439" spans="1:27" ht="24" x14ac:dyDescent="0.25">
      <c r="A5439" s="432"/>
      <c r="B5439" s="433"/>
      <c r="C5439" s="432"/>
      <c r="D5439" s="454"/>
      <c r="E5439" s="120">
        <v>500</v>
      </c>
      <c r="F5439" s="119" t="s">
        <v>11835</v>
      </c>
      <c r="G5439" s="435"/>
      <c r="H5439" s="517"/>
      <c r="I5439" s="517"/>
      <c r="J5439" s="517"/>
      <c r="K5439" s="517"/>
      <c r="L5439" s="131">
        <v>12</v>
      </c>
      <c r="M5439" s="491"/>
      <c r="N5439" s="91">
        <f t="shared" si="1860"/>
        <v>6</v>
      </c>
      <c r="O5439" s="411">
        <f t="shared" si="1849"/>
        <v>-6</v>
      </c>
      <c r="P5439" s="132" t="s">
        <v>11830</v>
      </c>
      <c r="Q5439" s="232"/>
      <c r="R5439" s="411"/>
      <c r="T5439" s="471"/>
      <c r="U5439" s="266"/>
      <c r="AA5439" s="218"/>
    </row>
    <row r="5440" spans="1:27" x14ac:dyDescent="0.25">
      <c r="A5440" s="432"/>
      <c r="B5440" s="433"/>
      <c r="C5440" s="432"/>
      <c r="D5440" s="454"/>
      <c r="E5440" s="120">
        <v>6500</v>
      </c>
      <c r="F5440" s="119" t="s">
        <v>11836</v>
      </c>
      <c r="G5440" s="435"/>
      <c r="H5440" s="517"/>
      <c r="I5440" s="517"/>
      <c r="J5440" s="517"/>
      <c r="K5440" s="517"/>
      <c r="L5440" s="131">
        <v>40</v>
      </c>
      <c r="M5440" s="491"/>
      <c r="N5440" s="91">
        <f t="shared" si="1860"/>
        <v>260</v>
      </c>
      <c r="O5440" s="411">
        <f t="shared" si="1849"/>
        <v>-260</v>
      </c>
      <c r="P5440" s="132" t="s">
        <v>11830</v>
      </c>
      <c r="Q5440" s="232"/>
      <c r="R5440" s="411"/>
      <c r="T5440" s="471"/>
      <c r="U5440" s="266"/>
      <c r="AA5440" s="218"/>
    </row>
    <row r="5441" spans="1:27" x14ac:dyDescent="0.25">
      <c r="A5441" s="432"/>
      <c r="B5441" s="433"/>
      <c r="C5441" s="432"/>
      <c r="D5441" s="454"/>
      <c r="E5441" s="120">
        <v>0</v>
      </c>
      <c r="F5441" s="119" t="s">
        <v>11837</v>
      </c>
      <c r="G5441" s="435"/>
      <c r="H5441" s="517"/>
      <c r="I5441" s="517"/>
      <c r="J5441" s="517"/>
      <c r="K5441" s="517"/>
      <c r="L5441" s="131">
        <v>40</v>
      </c>
      <c r="M5441" s="491"/>
      <c r="N5441" s="91">
        <f t="shared" si="1860"/>
        <v>0</v>
      </c>
      <c r="O5441" s="411">
        <f t="shared" si="1849"/>
        <v>0</v>
      </c>
      <c r="P5441" s="132" t="s">
        <v>11830</v>
      </c>
      <c r="Q5441" s="232"/>
      <c r="R5441" s="411"/>
      <c r="T5441" s="471"/>
      <c r="U5441" s="266"/>
      <c r="AA5441" s="218"/>
    </row>
    <row r="5442" spans="1:27" x14ac:dyDescent="0.25">
      <c r="A5442" s="432"/>
      <c r="B5442" s="433"/>
      <c r="C5442" s="432"/>
      <c r="D5442" s="454"/>
      <c r="E5442" s="120">
        <v>500</v>
      </c>
      <c r="F5442" s="119" t="s">
        <v>11838</v>
      </c>
      <c r="G5442" s="435"/>
      <c r="H5442" s="517"/>
      <c r="I5442" s="517"/>
      <c r="J5442" s="517"/>
      <c r="K5442" s="517"/>
      <c r="L5442" s="131">
        <v>40</v>
      </c>
      <c r="M5442" s="491"/>
      <c r="N5442" s="91">
        <f t="shared" si="1860"/>
        <v>20</v>
      </c>
      <c r="O5442" s="411">
        <f t="shared" si="1849"/>
        <v>-20</v>
      </c>
      <c r="P5442" s="132" t="s">
        <v>11830</v>
      </c>
      <c r="Q5442" s="232"/>
      <c r="R5442" s="411"/>
      <c r="T5442" s="471"/>
      <c r="U5442" s="266"/>
      <c r="AA5442" s="218"/>
    </row>
    <row r="5443" spans="1:27" x14ac:dyDescent="0.25">
      <c r="A5443" s="432"/>
      <c r="B5443" s="433"/>
      <c r="C5443" s="432"/>
      <c r="D5443" s="454"/>
      <c r="E5443" s="120">
        <v>1000</v>
      </c>
      <c r="F5443" s="119" t="s">
        <v>11839</v>
      </c>
      <c r="G5443" s="435"/>
      <c r="H5443" s="517"/>
      <c r="I5443" s="517"/>
      <c r="J5443" s="517"/>
      <c r="K5443" s="517"/>
      <c r="L5443" s="131">
        <v>40</v>
      </c>
      <c r="M5443" s="491"/>
      <c r="N5443" s="91">
        <f t="shared" si="1860"/>
        <v>40</v>
      </c>
      <c r="O5443" s="411">
        <f t="shared" si="1849"/>
        <v>-40</v>
      </c>
      <c r="P5443" s="132" t="s">
        <v>11830</v>
      </c>
      <c r="Q5443" s="232"/>
      <c r="R5443" s="411"/>
      <c r="T5443" s="471"/>
      <c r="U5443" s="266"/>
      <c r="AA5443" s="218"/>
    </row>
    <row r="5444" spans="1:27" x14ac:dyDescent="0.25">
      <c r="A5444" s="432"/>
      <c r="B5444" s="433"/>
      <c r="C5444" s="432"/>
      <c r="D5444" s="454"/>
      <c r="E5444" s="120">
        <v>0</v>
      </c>
      <c r="F5444" s="119" t="s">
        <v>11840</v>
      </c>
      <c r="G5444" s="435"/>
      <c r="H5444" s="517"/>
      <c r="I5444" s="517"/>
      <c r="J5444" s="517"/>
      <c r="K5444" s="517"/>
      <c r="L5444" s="131">
        <v>40</v>
      </c>
      <c r="M5444" s="491"/>
      <c r="N5444" s="91">
        <f t="shared" si="1860"/>
        <v>0</v>
      </c>
      <c r="O5444" s="411">
        <f t="shared" ref="O5444:O5507" si="1926">K5444-N5444</f>
        <v>0</v>
      </c>
      <c r="P5444" s="132" t="s">
        <v>11830</v>
      </c>
      <c r="Q5444" s="232"/>
      <c r="R5444" s="411"/>
      <c r="T5444" s="471"/>
      <c r="U5444" s="266"/>
      <c r="AA5444" s="218"/>
    </row>
    <row r="5445" spans="1:27" x14ac:dyDescent="0.25">
      <c r="A5445" s="420"/>
      <c r="B5445" s="422"/>
      <c r="C5445" s="420"/>
      <c r="D5445" s="418"/>
      <c r="E5445" s="120">
        <v>2000</v>
      </c>
      <c r="F5445" s="119" t="s">
        <v>11841</v>
      </c>
      <c r="G5445" s="436"/>
      <c r="H5445" s="518"/>
      <c r="I5445" s="518"/>
      <c r="J5445" s="518"/>
      <c r="K5445" s="518"/>
      <c r="L5445" s="131">
        <v>24</v>
      </c>
      <c r="M5445" s="469"/>
      <c r="N5445" s="91">
        <f t="shared" si="1860"/>
        <v>48</v>
      </c>
      <c r="O5445" s="411">
        <f t="shared" si="1926"/>
        <v>-48</v>
      </c>
      <c r="P5445" s="132" t="s">
        <v>11830</v>
      </c>
      <c r="Q5445" s="232"/>
      <c r="R5445" s="411"/>
      <c r="T5445" s="472"/>
      <c r="U5445" s="266"/>
      <c r="AA5445" s="218"/>
    </row>
    <row r="5446" spans="1:27" x14ac:dyDescent="0.25">
      <c r="A5446" s="419">
        <f>A5435+1</f>
        <v>3004289</v>
      </c>
      <c r="B5446" s="421">
        <v>42625</v>
      </c>
      <c r="C5446" s="419" t="s">
        <v>63</v>
      </c>
      <c r="D5446" s="417" t="s">
        <v>11842</v>
      </c>
      <c r="E5446" s="120">
        <v>500</v>
      </c>
      <c r="F5446" s="133" t="s">
        <v>292</v>
      </c>
      <c r="G5446" s="434" t="s">
        <v>45</v>
      </c>
      <c r="H5446" s="427">
        <v>740</v>
      </c>
      <c r="I5446" s="427">
        <v>0</v>
      </c>
      <c r="J5446" s="425">
        <f>-((H5446*0.022)+0.3)</f>
        <v>-16.579999999999998</v>
      </c>
      <c r="K5446" s="425">
        <f>SUM(H5446:J5446)</f>
        <v>723.42</v>
      </c>
      <c r="M5446" s="468">
        <v>114.28</v>
      </c>
      <c r="N5446" s="91">
        <f t="shared" si="1860"/>
        <v>114.28</v>
      </c>
      <c r="O5446" s="411">
        <f t="shared" si="1926"/>
        <v>609.14</v>
      </c>
      <c r="P5446" s="132" t="s">
        <v>52</v>
      </c>
      <c r="Q5446" s="232"/>
      <c r="R5446" s="411"/>
      <c r="T5446" s="470" t="s">
        <v>244</v>
      </c>
      <c r="U5446" s="446" t="s">
        <v>11843</v>
      </c>
      <c r="W5446" s="153" t="s">
        <v>11844</v>
      </c>
      <c r="AA5446" s="218"/>
    </row>
    <row r="5447" spans="1:27" x14ac:dyDescent="0.25">
      <c r="A5447" s="420"/>
      <c r="B5447" s="422"/>
      <c r="C5447" s="420"/>
      <c r="D5447" s="418"/>
      <c r="E5447" s="120">
        <v>120</v>
      </c>
      <c r="F5447" s="133" t="s">
        <v>11845</v>
      </c>
      <c r="G5447" s="436"/>
      <c r="H5447" s="428"/>
      <c r="I5447" s="428"/>
      <c r="J5447" s="426"/>
      <c r="K5447" s="426"/>
      <c r="M5447" s="469"/>
      <c r="N5447" s="91">
        <f t="shared" si="1860"/>
        <v>0</v>
      </c>
      <c r="O5447" s="411">
        <f t="shared" si="1926"/>
        <v>0</v>
      </c>
      <c r="P5447" s="132" t="s">
        <v>52</v>
      </c>
      <c r="Q5447" s="232"/>
      <c r="R5447" s="411"/>
      <c r="T5447" s="472"/>
      <c r="U5447" s="447"/>
      <c r="V5447" s="133" t="s">
        <v>3169</v>
      </c>
      <c r="AA5447" s="218"/>
    </row>
    <row r="5448" spans="1:27" x14ac:dyDescent="0.25">
      <c r="A5448" s="419">
        <f>A5446+1</f>
        <v>3004290</v>
      </c>
      <c r="B5448" s="421">
        <v>42625</v>
      </c>
      <c r="C5448" s="419" t="s">
        <v>56</v>
      </c>
      <c r="D5448" s="419" t="s">
        <v>11846</v>
      </c>
      <c r="E5448" s="120">
        <v>804</v>
      </c>
      <c r="F5448" s="133" t="s">
        <v>11847</v>
      </c>
      <c r="G5448" s="434" t="s">
        <v>45</v>
      </c>
      <c r="H5448" s="427">
        <v>33563</v>
      </c>
      <c r="I5448" s="427">
        <v>0</v>
      </c>
      <c r="J5448" s="427">
        <v>0</v>
      </c>
      <c r="K5448" s="427">
        <f>H5448-I5448-J5448</f>
        <v>33563</v>
      </c>
      <c r="L5448" s="187">
        <v>14000</v>
      </c>
      <c r="M5448" s="187"/>
      <c r="N5448" s="91">
        <f t="shared" si="1860"/>
        <v>11256</v>
      </c>
      <c r="O5448" s="411">
        <f t="shared" si="1926"/>
        <v>22307</v>
      </c>
      <c r="P5448" s="132" t="s">
        <v>2895</v>
      </c>
      <c r="Q5448" s="232"/>
      <c r="R5448" s="411"/>
      <c r="T5448" s="134" t="s">
        <v>2636</v>
      </c>
      <c r="U5448" s="267" t="s">
        <v>11848</v>
      </c>
      <c r="V5448" s="133" t="s">
        <v>11849</v>
      </c>
      <c r="AA5448" s="218"/>
    </row>
    <row r="5449" spans="1:27" ht="24" x14ac:dyDescent="0.25">
      <c r="A5449" s="420"/>
      <c r="B5449" s="422"/>
      <c r="C5449" s="420"/>
      <c r="D5449" s="420"/>
      <c r="E5449" s="120">
        <v>804</v>
      </c>
      <c r="F5449" s="133" t="s">
        <v>11847</v>
      </c>
      <c r="G5449" s="436"/>
      <c r="H5449" s="428"/>
      <c r="I5449" s="428"/>
      <c r="J5449" s="428"/>
      <c r="K5449" s="428"/>
      <c r="L5449" s="187">
        <v>16520</v>
      </c>
      <c r="M5449" s="187">
        <v>2719</v>
      </c>
      <c r="N5449" s="91">
        <f t="shared" si="1860"/>
        <v>16001.08</v>
      </c>
      <c r="O5449" s="411">
        <f t="shared" si="1926"/>
        <v>-16001.08</v>
      </c>
      <c r="P5449" s="132" t="s">
        <v>59</v>
      </c>
      <c r="Q5449" s="232"/>
      <c r="R5449" s="411"/>
      <c r="T5449" s="134" t="s">
        <v>756</v>
      </c>
      <c r="U5449" s="266" t="s">
        <v>756</v>
      </c>
      <c r="V5449" s="133" t="s">
        <v>11850</v>
      </c>
      <c r="AA5449" s="218"/>
    </row>
    <row r="5450" spans="1:27" ht="24" x14ac:dyDescent="0.25">
      <c r="A5450" s="405">
        <f>A5448+1</f>
        <v>3004291</v>
      </c>
      <c r="B5450" s="406">
        <v>42625</v>
      </c>
      <c r="C5450" s="405" t="s">
        <v>141</v>
      </c>
      <c r="D5450" s="401" t="s">
        <v>11851</v>
      </c>
      <c r="E5450" s="120">
        <v>75</v>
      </c>
      <c r="F5450" s="133" t="s">
        <v>247</v>
      </c>
      <c r="G5450" s="404" t="s">
        <v>45</v>
      </c>
      <c r="H5450" s="411">
        <v>113.4</v>
      </c>
      <c r="I5450" s="411">
        <v>0</v>
      </c>
      <c r="J5450" s="258">
        <f>-((H5450*0.0325)+0.3)</f>
        <v>-3.9855</v>
      </c>
      <c r="K5450" s="90">
        <f t="shared" ref="K5450" si="1927">SUM(H5450:J5450)</f>
        <v>109.4145</v>
      </c>
      <c r="L5450" s="187">
        <v>672</v>
      </c>
      <c r="M5450" s="187">
        <v>21.42</v>
      </c>
      <c r="N5450" s="91">
        <f t="shared" si="1860"/>
        <v>71.819999999999993</v>
      </c>
      <c r="O5450" s="411">
        <f t="shared" si="1926"/>
        <v>37.594500000000011</v>
      </c>
      <c r="P5450" s="132" t="s">
        <v>313</v>
      </c>
      <c r="Q5450" s="232"/>
      <c r="R5450" s="411">
        <v>8.4</v>
      </c>
      <c r="S5450" s="133" t="s">
        <v>11852</v>
      </c>
      <c r="T5450" s="134" t="s">
        <v>145</v>
      </c>
      <c r="U5450" s="267" t="s">
        <v>11853</v>
      </c>
      <c r="AA5450" s="218"/>
    </row>
    <row r="5451" spans="1:27" x14ac:dyDescent="0.25">
      <c r="A5451" s="419">
        <f>A5450+1</f>
        <v>3004292</v>
      </c>
      <c r="B5451" s="421">
        <v>42625</v>
      </c>
      <c r="C5451" s="419" t="s">
        <v>63</v>
      </c>
      <c r="D5451" s="417" t="s">
        <v>11854</v>
      </c>
      <c r="E5451" s="120">
        <v>2500</v>
      </c>
      <c r="F5451" s="133" t="s">
        <v>11855</v>
      </c>
      <c r="G5451" s="434" t="s">
        <v>45</v>
      </c>
      <c r="H5451" s="427">
        <v>2616.2800000000002</v>
      </c>
      <c r="I5451" s="427">
        <v>0</v>
      </c>
      <c r="J5451" s="425">
        <f>-((H5451*0.022)+0.3)</f>
        <v>-57.858159999999998</v>
      </c>
      <c r="K5451" s="425">
        <f>SUM(H5451:J5451)</f>
        <v>2558.42184</v>
      </c>
      <c r="L5451" s="187">
        <v>373</v>
      </c>
      <c r="M5451" s="187">
        <v>67.48</v>
      </c>
      <c r="N5451" s="91">
        <f t="shared" si="1860"/>
        <v>999.98</v>
      </c>
      <c r="O5451" s="411">
        <f t="shared" si="1926"/>
        <v>1558.44184</v>
      </c>
      <c r="P5451" s="132" t="s">
        <v>46</v>
      </c>
      <c r="Q5451" s="232"/>
      <c r="R5451" s="411"/>
      <c r="T5451" s="172" t="s">
        <v>875</v>
      </c>
      <c r="U5451" s="259" t="s">
        <v>11856</v>
      </c>
      <c r="V5451" s="133" t="s">
        <v>3169</v>
      </c>
      <c r="W5451" s="153" t="s">
        <v>11857</v>
      </c>
      <c r="AA5451" s="473">
        <v>10</v>
      </c>
    </row>
    <row r="5452" spans="1:27" x14ac:dyDescent="0.25">
      <c r="A5452" s="420"/>
      <c r="B5452" s="422"/>
      <c r="C5452" s="420"/>
      <c r="D5452" s="418"/>
      <c r="E5452" s="120">
        <v>142</v>
      </c>
      <c r="F5452" s="133" t="s">
        <v>11858</v>
      </c>
      <c r="G5452" s="436"/>
      <c r="H5452" s="428"/>
      <c r="I5452" s="428"/>
      <c r="J5452" s="426"/>
      <c r="K5452" s="426"/>
      <c r="L5452" s="187">
        <v>2257.37</v>
      </c>
      <c r="M5452" s="187"/>
      <c r="N5452" s="91">
        <f t="shared" si="1860"/>
        <v>320.54653999999999</v>
      </c>
      <c r="O5452" s="411">
        <f t="shared" si="1926"/>
        <v>-320.54653999999999</v>
      </c>
      <c r="P5452" s="132" t="s">
        <v>46</v>
      </c>
      <c r="Q5452" s="232"/>
      <c r="R5452" s="411"/>
      <c r="T5452" s="172"/>
      <c r="U5452" s="259"/>
      <c r="AA5452" s="474"/>
    </row>
    <row r="5453" spans="1:27" ht="24" x14ac:dyDescent="0.25">
      <c r="A5453" s="405">
        <f>A5451+1</f>
        <v>3004293</v>
      </c>
      <c r="B5453" s="406">
        <v>42625</v>
      </c>
      <c r="C5453" s="405" t="s">
        <v>78</v>
      </c>
      <c r="D5453" s="401" t="s">
        <v>11387</v>
      </c>
      <c r="E5453" s="120">
        <v>500</v>
      </c>
      <c r="F5453" s="133" t="s">
        <v>11859</v>
      </c>
      <c r="G5453" s="404" t="s">
        <v>45</v>
      </c>
      <c r="H5453" s="411">
        <v>280</v>
      </c>
      <c r="I5453" s="411">
        <v>0</v>
      </c>
      <c r="J5453" s="258">
        <f t="shared" ref="J5453:J5455" si="1928">-((H5453*0.019)+0.3)</f>
        <v>-5.62</v>
      </c>
      <c r="K5453" s="90">
        <f t="shared" ref="K5453" si="1929">SUM(H5453:J5453)</f>
        <v>274.38</v>
      </c>
      <c r="L5453" s="131">
        <v>300</v>
      </c>
      <c r="M5453" s="187">
        <f>23.4+23.4</f>
        <v>46.8</v>
      </c>
      <c r="N5453" s="91">
        <f t="shared" ref="N5453:N5516" si="1930">((L5453)*(E5453*0.001))+M5453</f>
        <v>196.8</v>
      </c>
      <c r="O5453" s="411">
        <f t="shared" si="1926"/>
        <v>77.579999999999984</v>
      </c>
      <c r="P5453" s="132" t="s">
        <v>52</v>
      </c>
      <c r="Q5453" s="232"/>
      <c r="R5453" s="411"/>
      <c r="T5453" s="172" t="s">
        <v>145</v>
      </c>
      <c r="U5453" s="259" t="s">
        <v>11860</v>
      </c>
      <c r="AA5453" s="218"/>
    </row>
    <row r="5454" spans="1:27" x14ac:dyDescent="0.25">
      <c r="A5454" s="405">
        <f>A5453+1</f>
        <v>3004294</v>
      </c>
      <c r="B5454" s="406">
        <v>42625</v>
      </c>
      <c r="C5454" s="405" t="s">
        <v>63</v>
      </c>
      <c r="D5454" s="401" t="s">
        <v>11861</v>
      </c>
      <c r="E5454" s="120">
        <v>1500</v>
      </c>
      <c r="F5454" s="133" t="s">
        <v>11862</v>
      </c>
      <c r="G5454" s="404" t="s">
        <v>45</v>
      </c>
      <c r="H5454" s="411">
        <v>1005</v>
      </c>
      <c r="I5454" s="411">
        <v>0</v>
      </c>
      <c r="J5454" s="294">
        <f>-((H5454*0.022)+0.3)</f>
        <v>-22.41</v>
      </c>
      <c r="K5454" s="411">
        <f>H5454-I5454-J5454</f>
        <v>1027.4100000000001</v>
      </c>
      <c r="L5454" s="187">
        <v>411</v>
      </c>
      <c r="M5454" s="187">
        <v>108.41</v>
      </c>
      <c r="N5454" s="91">
        <f t="shared" si="1930"/>
        <v>724.91</v>
      </c>
      <c r="O5454" s="411">
        <f t="shared" si="1926"/>
        <v>302.50000000000011</v>
      </c>
      <c r="P5454" s="132" t="s">
        <v>638</v>
      </c>
      <c r="Q5454" s="232"/>
      <c r="R5454" s="411"/>
      <c r="T5454" s="134" t="s">
        <v>717</v>
      </c>
      <c r="U5454" s="266">
        <v>23922346</v>
      </c>
      <c r="W5454" s="153" t="s">
        <v>11863</v>
      </c>
      <c r="AA5454" s="218">
        <v>10</v>
      </c>
    </row>
    <row r="5455" spans="1:27" ht="24" x14ac:dyDescent="0.25">
      <c r="A5455" s="405">
        <f>A5454+1</f>
        <v>3004295</v>
      </c>
      <c r="B5455" s="406">
        <v>42625</v>
      </c>
      <c r="C5455" s="405" t="s">
        <v>42</v>
      </c>
      <c r="D5455" s="401" t="s">
        <v>2584</v>
      </c>
      <c r="E5455" s="120">
        <v>50</v>
      </c>
      <c r="F5455" s="295" t="s">
        <v>161</v>
      </c>
      <c r="G5455" s="404" t="s">
        <v>45</v>
      </c>
      <c r="H5455" s="411">
        <v>142.75</v>
      </c>
      <c r="I5455" s="89">
        <f>-(H5455*0.09)</f>
        <v>-12.8475</v>
      </c>
      <c r="J5455" s="258">
        <f t="shared" si="1928"/>
        <v>-3.0122499999999999</v>
      </c>
      <c r="K5455" s="90">
        <f t="shared" ref="K5455" si="1931">SUM(H5455:J5455)</f>
        <v>126.89025000000001</v>
      </c>
      <c r="M5455" s="187">
        <v>12.5</v>
      </c>
      <c r="N5455" s="91">
        <f t="shared" si="1930"/>
        <v>12.5</v>
      </c>
      <c r="O5455" s="411">
        <f t="shared" si="1926"/>
        <v>114.39025000000001</v>
      </c>
      <c r="P5455" s="132" t="s">
        <v>52</v>
      </c>
      <c r="Q5455" s="232"/>
      <c r="R5455" s="411"/>
      <c r="T5455" s="172" t="s">
        <v>145</v>
      </c>
      <c r="U5455" s="259" t="s">
        <v>11864</v>
      </c>
      <c r="AA5455" s="218"/>
    </row>
    <row r="5456" spans="1:27" ht="24" x14ac:dyDescent="0.25">
      <c r="A5456" s="405">
        <f>A5455+1</f>
        <v>3004296</v>
      </c>
      <c r="B5456" s="406">
        <v>42625</v>
      </c>
      <c r="C5456" s="405" t="s">
        <v>42</v>
      </c>
      <c r="D5456" s="401" t="s">
        <v>11865</v>
      </c>
      <c r="E5456" s="120">
        <v>50</v>
      </c>
      <c r="F5456" s="295" t="s">
        <v>5635</v>
      </c>
      <c r="G5456" s="404" t="s">
        <v>45</v>
      </c>
      <c r="H5456" s="411">
        <v>213.77</v>
      </c>
      <c r="I5456" s="89">
        <f>-(H5456*0.09)</f>
        <v>-19.2393</v>
      </c>
      <c r="J5456" s="258">
        <f t="shared" ref="J5456" si="1932">-((H5456*0.019)+0.3)</f>
        <v>-4.3616299999999999</v>
      </c>
      <c r="K5456" s="90">
        <f t="shared" ref="K5456" si="1933">SUM(H5456:J5456)</f>
        <v>190.16907000000003</v>
      </c>
      <c r="L5456" s="131">
        <v>2150</v>
      </c>
      <c r="M5456" s="187">
        <v>26.19</v>
      </c>
      <c r="N5456" s="91">
        <f t="shared" si="1930"/>
        <v>133.69</v>
      </c>
      <c r="O5456" s="411">
        <f t="shared" si="1926"/>
        <v>56.479070000000036</v>
      </c>
      <c r="P5456" s="132" t="s">
        <v>52</v>
      </c>
      <c r="Q5456" s="232"/>
      <c r="R5456" s="411"/>
      <c r="T5456" s="172" t="s">
        <v>145</v>
      </c>
      <c r="U5456" s="259">
        <v>680483360038</v>
      </c>
      <c r="AA5456" s="218"/>
    </row>
    <row r="5457" spans="1:27" x14ac:dyDescent="0.25">
      <c r="A5457" s="405">
        <f>A5456+1</f>
        <v>3004297</v>
      </c>
      <c r="B5457" s="406">
        <v>42625</v>
      </c>
      <c r="C5457" s="405" t="s">
        <v>237</v>
      </c>
      <c r="D5457" s="401" t="s">
        <v>11866</v>
      </c>
      <c r="E5457" s="120">
        <v>1000</v>
      </c>
      <c r="F5457" s="119" t="s">
        <v>11867</v>
      </c>
      <c r="G5457" s="404" t="s">
        <v>45</v>
      </c>
      <c r="H5457" s="411">
        <v>1336.5</v>
      </c>
      <c r="I5457" s="397">
        <f t="shared" ref="I5457" si="1934">-(H5457*0.15)</f>
        <v>-200.47499999999999</v>
      </c>
      <c r="J5457" s="258">
        <v>0</v>
      </c>
      <c r="K5457" s="90">
        <f>SUM(H5457:J5457)</f>
        <v>1136.0250000000001</v>
      </c>
      <c r="L5457" s="187">
        <v>820</v>
      </c>
      <c r="M5457" s="187">
        <v>139.6</v>
      </c>
      <c r="N5457" s="91">
        <f t="shared" si="1930"/>
        <v>959.6</v>
      </c>
      <c r="O5457" s="411">
        <f t="shared" si="1926"/>
        <v>176.42500000000007</v>
      </c>
      <c r="P5457" s="132" t="s">
        <v>638</v>
      </c>
      <c r="Q5457" s="232"/>
      <c r="R5457" s="411"/>
      <c r="T5457" s="134" t="s">
        <v>244</v>
      </c>
      <c r="U5457" s="266" t="s">
        <v>11868</v>
      </c>
      <c r="V5457" s="133" t="s">
        <v>3169</v>
      </c>
      <c r="AA5457" s="218"/>
    </row>
    <row r="5458" spans="1:27" x14ac:dyDescent="0.25">
      <c r="A5458" s="419">
        <f>A5457+1</f>
        <v>3004298</v>
      </c>
      <c r="B5458" s="421">
        <v>42625</v>
      </c>
      <c r="C5458" s="419" t="s">
        <v>141</v>
      </c>
      <c r="D5458" s="417" t="s">
        <v>11869</v>
      </c>
      <c r="E5458" s="120">
        <v>2760</v>
      </c>
      <c r="F5458" s="133" t="s">
        <v>11870</v>
      </c>
      <c r="G5458" s="434" t="s">
        <v>45</v>
      </c>
      <c r="H5458" s="427">
        <v>6530</v>
      </c>
      <c r="I5458" s="510">
        <v>0</v>
      </c>
      <c r="J5458" s="425">
        <f>-((H5458*0.0325)+0.3)</f>
        <v>-212.52500000000001</v>
      </c>
      <c r="K5458" s="90">
        <f t="shared" ref="K5458:K5462" si="1935">SUM(H5458:J5458)</f>
        <v>6317.4750000000004</v>
      </c>
      <c r="L5458" s="187">
        <v>1586</v>
      </c>
      <c r="M5458" s="187">
        <v>250</v>
      </c>
      <c r="N5458" s="91">
        <f t="shared" si="1930"/>
        <v>4627.3600000000006</v>
      </c>
      <c r="O5458" s="411">
        <f t="shared" si="1926"/>
        <v>1690.1149999999998</v>
      </c>
      <c r="P5458" s="132" t="s">
        <v>183</v>
      </c>
      <c r="Q5458" s="232"/>
      <c r="R5458" s="411"/>
      <c r="T5458" s="470" t="s">
        <v>760</v>
      </c>
      <c r="U5458" s="505">
        <v>33284075</v>
      </c>
      <c r="W5458" s="153" t="s">
        <v>11871</v>
      </c>
      <c r="AA5458" s="473">
        <v>50</v>
      </c>
    </row>
    <row r="5459" spans="1:27" x14ac:dyDescent="0.25">
      <c r="A5459" s="420"/>
      <c r="B5459" s="422"/>
      <c r="C5459" s="420"/>
      <c r="D5459" s="418"/>
      <c r="E5459" s="120">
        <v>920</v>
      </c>
      <c r="F5459" s="133" t="s">
        <v>11872</v>
      </c>
      <c r="G5459" s="436"/>
      <c r="H5459" s="428"/>
      <c r="I5459" s="512"/>
      <c r="J5459" s="426"/>
      <c r="K5459" s="90">
        <f t="shared" si="1935"/>
        <v>0</v>
      </c>
      <c r="L5459" s="187">
        <v>323</v>
      </c>
      <c r="M5459" s="187"/>
      <c r="N5459" s="91">
        <f t="shared" si="1930"/>
        <v>297.16000000000003</v>
      </c>
      <c r="O5459" s="411">
        <f t="shared" si="1926"/>
        <v>-297.16000000000003</v>
      </c>
      <c r="P5459" s="132" t="s">
        <v>183</v>
      </c>
      <c r="Q5459" s="232"/>
      <c r="R5459" s="411"/>
      <c r="T5459" s="472"/>
      <c r="U5459" s="490"/>
      <c r="AA5459" s="474"/>
    </row>
    <row r="5460" spans="1:27" x14ac:dyDescent="0.25">
      <c r="A5460" s="405">
        <v>3004299</v>
      </c>
      <c r="B5460" s="406">
        <v>42625</v>
      </c>
      <c r="C5460" s="405" t="s">
        <v>63</v>
      </c>
      <c r="D5460" s="401" t="s">
        <v>8857</v>
      </c>
      <c r="E5460" s="120">
        <v>300</v>
      </c>
      <c r="F5460" s="133" t="s">
        <v>11873</v>
      </c>
      <c r="G5460" s="404" t="s">
        <v>45</v>
      </c>
      <c r="H5460" s="411">
        <v>465</v>
      </c>
      <c r="I5460" s="411">
        <v>0</v>
      </c>
      <c r="J5460" s="294">
        <f>-((H5460*0.022)+0.3)</f>
        <v>-10.53</v>
      </c>
      <c r="K5460" s="90">
        <f t="shared" si="1935"/>
        <v>454.47</v>
      </c>
      <c r="L5460" s="187">
        <v>1000</v>
      </c>
      <c r="M5460" s="131">
        <v>10</v>
      </c>
      <c r="N5460" s="91">
        <f t="shared" si="1930"/>
        <v>310</v>
      </c>
      <c r="O5460" s="411">
        <f t="shared" si="1926"/>
        <v>144.47000000000003</v>
      </c>
      <c r="P5460" s="132" t="s">
        <v>183</v>
      </c>
      <c r="Q5460" s="232"/>
      <c r="R5460" s="411"/>
      <c r="T5460" s="172" t="s">
        <v>11734</v>
      </c>
      <c r="U5460" s="259"/>
      <c r="V5460" s="133" t="s">
        <v>9187</v>
      </c>
      <c r="W5460" s="153" t="s">
        <v>11874</v>
      </c>
      <c r="AA5460" s="218"/>
    </row>
    <row r="5461" spans="1:27" ht="24" x14ac:dyDescent="0.25">
      <c r="A5461" s="405">
        <f>A5460+1</f>
        <v>3004300</v>
      </c>
      <c r="B5461" s="406">
        <v>42625</v>
      </c>
      <c r="C5461" s="405" t="s">
        <v>63</v>
      </c>
      <c r="D5461" s="401" t="s">
        <v>3790</v>
      </c>
      <c r="E5461" s="120">
        <v>250</v>
      </c>
      <c r="F5461" s="133" t="s">
        <v>11875</v>
      </c>
      <c r="G5461" s="404" t="s">
        <v>45</v>
      </c>
      <c r="H5461" s="411">
        <v>653.28</v>
      </c>
      <c r="I5461" s="411">
        <v>0</v>
      </c>
      <c r="J5461" s="294">
        <f>-((H5461*0.022)+0.3)</f>
        <v>-14.67216</v>
      </c>
      <c r="K5461" s="90">
        <f t="shared" si="1935"/>
        <v>638.60784000000001</v>
      </c>
      <c r="M5461" s="187">
        <v>46.48</v>
      </c>
      <c r="N5461" s="91">
        <f t="shared" si="1930"/>
        <v>46.48</v>
      </c>
      <c r="O5461" s="411">
        <f t="shared" si="1926"/>
        <v>592.12783999999999</v>
      </c>
      <c r="P5461" s="132" t="s">
        <v>52</v>
      </c>
      <c r="Q5461" s="232"/>
      <c r="R5461" s="411">
        <v>53.28</v>
      </c>
      <c r="S5461" s="133" t="s">
        <v>4608</v>
      </c>
      <c r="T5461" s="172" t="s">
        <v>145</v>
      </c>
      <c r="U5461" s="259" t="s">
        <v>11876</v>
      </c>
      <c r="W5461" s="153" t="s">
        <v>10466</v>
      </c>
      <c r="AA5461" s="218"/>
    </row>
    <row r="5462" spans="1:27" x14ac:dyDescent="0.25">
      <c r="A5462" s="405">
        <f>A5461+1</f>
        <v>3004301</v>
      </c>
      <c r="B5462" s="406">
        <v>42626</v>
      </c>
      <c r="C5462" s="405" t="s">
        <v>63</v>
      </c>
      <c r="D5462" s="401" t="s">
        <v>11877</v>
      </c>
      <c r="E5462" s="120">
        <v>450</v>
      </c>
      <c r="F5462" s="133" t="s">
        <v>11878</v>
      </c>
      <c r="G5462" s="404" t="s">
        <v>45</v>
      </c>
      <c r="H5462" s="411">
        <v>720</v>
      </c>
      <c r="I5462" s="411">
        <v>0</v>
      </c>
      <c r="J5462" s="294">
        <f>-((H5462*0.022)+0.3)</f>
        <v>-16.14</v>
      </c>
      <c r="K5462" s="90">
        <f t="shared" si="1935"/>
        <v>703.86</v>
      </c>
      <c r="L5462" s="131">
        <v>1079</v>
      </c>
      <c r="N5462" s="91">
        <f t="shared" si="1930"/>
        <v>485.55</v>
      </c>
      <c r="O5462" s="411">
        <f t="shared" si="1926"/>
        <v>218.31</v>
      </c>
      <c r="P5462" s="132" t="s">
        <v>59</v>
      </c>
      <c r="Q5462" s="232"/>
      <c r="R5462" s="411"/>
      <c r="T5462" s="134" t="s">
        <v>2652</v>
      </c>
      <c r="U5462" s="267" t="s">
        <v>11879</v>
      </c>
      <c r="W5462" s="153" t="s">
        <v>11880</v>
      </c>
      <c r="AA5462" s="218"/>
    </row>
    <row r="5463" spans="1:27" ht="24" x14ac:dyDescent="0.25">
      <c r="A5463" s="405">
        <v>3004302</v>
      </c>
      <c r="B5463" s="406">
        <v>42626</v>
      </c>
      <c r="C5463" s="405" t="s">
        <v>42</v>
      </c>
      <c r="D5463" s="401" t="s">
        <v>11881</v>
      </c>
      <c r="E5463" s="120">
        <v>200</v>
      </c>
      <c r="F5463" s="133" t="s">
        <v>11882</v>
      </c>
      <c r="G5463" s="404" t="s">
        <v>45</v>
      </c>
      <c r="H5463" s="411">
        <v>590</v>
      </c>
      <c r="I5463" s="89">
        <f>-(H5463*0.09)</f>
        <v>-53.1</v>
      </c>
      <c r="J5463" s="258">
        <f t="shared" ref="J5463" si="1936">-((H5463*0.019)+0.3)</f>
        <v>-11.51</v>
      </c>
      <c r="K5463" s="90">
        <f t="shared" ref="K5463:K5464" si="1937">SUM(H5463:J5463)</f>
        <v>525.39</v>
      </c>
      <c r="L5463" s="187">
        <v>1652</v>
      </c>
      <c r="M5463" s="131">
        <v>0</v>
      </c>
      <c r="N5463" s="91">
        <f t="shared" si="1930"/>
        <v>330.40000000000003</v>
      </c>
      <c r="O5463" s="411">
        <f t="shared" si="1926"/>
        <v>194.98999999999995</v>
      </c>
      <c r="P5463" s="132" t="s">
        <v>926</v>
      </c>
      <c r="Q5463" s="232"/>
      <c r="R5463" s="411"/>
      <c r="T5463" s="134" t="s">
        <v>204</v>
      </c>
      <c r="U5463" s="267" t="s">
        <v>11883</v>
      </c>
      <c r="AA5463" s="218"/>
    </row>
    <row r="5464" spans="1:27" x14ac:dyDescent="0.25">
      <c r="A5464" s="405">
        <v>3004303</v>
      </c>
      <c r="B5464" s="406">
        <v>42626</v>
      </c>
      <c r="C5464" s="405" t="s">
        <v>327</v>
      </c>
      <c r="D5464" s="401" t="s">
        <v>8897</v>
      </c>
      <c r="E5464" s="120">
        <v>100</v>
      </c>
      <c r="F5464" s="133" t="s">
        <v>11391</v>
      </c>
      <c r="G5464" s="404" t="s">
        <v>45</v>
      </c>
      <c r="H5464" s="411">
        <v>1500</v>
      </c>
      <c r="I5464" s="399">
        <v>0</v>
      </c>
      <c r="J5464" s="296">
        <f>-((H5464*0.022)+0.3)</f>
        <v>-33.299999999999997</v>
      </c>
      <c r="K5464" s="396">
        <f t="shared" si="1937"/>
        <v>1466.7</v>
      </c>
      <c r="L5464" s="187">
        <v>7600</v>
      </c>
      <c r="M5464" s="187">
        <v>101.22</v>
      </c>
      <c r="N5464" s="91">
        <f t="shared" si="1930"/>
        <v>861.22</v>
      </c>
      <c r="O5464" s="411">
        <f t="shared" si="1926"/>
        <v>605.48</v>
      </c>
      <c r="P5464" s="132" t="s">
        <v>46</v>
      </c>
      <c r="Q5464" s="232"/>
      <c r="R5464" s="411"/>
      <c r="T5464" s="172" t="s">
        <v>11884</v>
      </c>
      <c r="U5464" s="259" t="s">
        <v>11885</v>
      </c>
      <c r="W5464" s="153" t="s">
        <v>11886</v>
      </c>
      <c r="AA5464" s="218">
        <v>10</v>
      </c>
    </row>
    <row r="5465" spans="1:27" ht="24" x14ac:dyDescent="0.25">
      <c r="A5465" s="405">
        <v>3004304</v>
      </c>
      <c r="B5465" s="406">
        <v>42626</v>
      </c>
      <c r="C5465" s="405" t="s">
        <v>237</v>
      </c>
      <c r="D5465" s="401" t="s">
        <v>11887</v>
      </c>
      <c r="E5465" s="120">
        <v>125</v>
      </c>
      <c r="F5465" s="133" t="s">
        <v>605</v>
      </c>
      <c r="G5465" s="404" t="s">
        <v>45</v>
      </c>
      <c r="H5465" s="411">
        <v>160.5</v>
      </c>
      <c r="I5465" s="397">
        <f t="shared" ref="I5465" si="1938">-(H5465*0.15)</f>
        <v>-24.074999999999999</v>
      </c>
      <c r="J5465" s="258">
        <v>0</v>
      </c>
      <c r="K5465" s="90">
        <f>SUM(H5465:J5465)</f>
        <v>136.42500000000001</v>
      </c>
      <c r="M5465" s="187">
        <v>56.48</v>
      </c>
      <c r="N5465" s="91">
        <f t="shared" si="1930"/>
        <v>56.48</v>
      </c>
      <c r="O5465" s="411">
        <f t="shared" si="1926"/>
        <v>79.945000000000022</v>
      </c>
      <c r="P5465" s="132" t="s">
        <v>86</v>
      </c>
      <c r="Q5465" s="232"/>
      <c r="R5465" s="411"/>
      <c r="T5465" s="134" t="s">
        <v>145</v>
      </c>
      <c r="U5465" s="267" t="s">
        <v>11888</v>
      </c>
      <c r="AA5465" s="218"/>
    </row>
    <row r="5466" spans="1:27" ht="24" x14ac:dyDescent="0.25">
      <c r="A5466" s="405">
        <v>3004305</v>
      </c>
      <c r="B5466" s="406">
        <v>42626</v>
      </c>
      <c r="C5466" s="405" t="s">
        <v>237</v>
      </c>
      <c r="D5466" s="401" t="s">
        <v>11889</v>
      </c>
      <c r="E5466" s="120">
        <v>50</v>
      </c>
      <c r="F5466" s="133" t="s">
        <v>288</v>
      </c>
      <c r="G5466" s="404" t="s">
        <v>45</v>
      </c>
      <c r="H5466" s="411">
        <v>111.16</v>
      </c>
      <c r="I5466" s="397">
        <f t="shared" ref="I5466" si="1939">-(H5466*0.15)</f>
        <v>-16.673999999999999</v>
      </c>
      <c r="J5466" s="258">
        <v>0</v>
      </c>
      <c r="K5466" s="90">
        <f>SUM(H5466:J5466)</f>
        <v>94.48599999999999</v>
      </c>
      <c r="M5466" s="187">
        <v>26.13</v>
      </c>
      <c r="N5466" s="91">
        <f t="shared" si="1930"/>
        <v>26.13</v>
      </c>
      <c r="O5466" s="411">
        <f t="shared" si="1926"/>
        <v>68.355999999999995</v>
      </c>
      <c r="P5466" s="132" t="s">
        <v>52</v>
      </c>
      <c r="Q5466" s="232"/>
      <c r="R5466" s="411"/>
      <c r="T5466" s="134" t="s">
        <v>145</v>
      </c>
      <c r="U5466" s="267" t="s">
        <v>11890</v>
      </c>
      <c r="AA5466" s="218"/>
    </row>
    <row r="5467" spans="1:27" x14ac:dyDescent="0.25">
      <c r="A5467" s="405">
        <v>3004306</v>
      </c>
      <c r="B5467" s="406">
        <v>42626</v>
      </c>
      <c r="C5467" s="405" t="s">
        <v>237</v>
      </c>
      <c r="D5467" s="401" t="s">
        <v>11891</v>
      </c>
      <c r="E5467" s="120">
        <v>250</v>
      </c>
      <c r="F5467" s="133" t="s">
        <v>85</v>
      </c>
      <c r="G5467" s="404" t="s">
        <v>45</v>
      </c>
      <c r="H5467" s="411">
        <v>540.01</v>
      </c>
      <c r="I5467" s="397">
        <f t="shared" ref="I5467" si="1940">-(H5467*0.15)</f>
        <v>-81.001499999999993</v>
      </c>
      <c r="J5467" s="258">
        <v>0</v>
      </c>
      <c r="K5467" s="90">
        <f>SUM(H5467:J5467)</f>
        <v>459.00850000000003</v>
      </c>
      <c r="M5467" s="187">
        <v>116.25</v>
      </c>
      <c r="N5467" s="91">
        <f t="shared" si="1930"/>
        <v>116.25</v>
      </c>
      <c r="O5467" s="411">
        <f t="shared" si="1926"/>
        <v>342.75850000000003</v>
      </c>
      <c r="P5467" s="132" t="s">
        <v>52</v>
      </c>
      <c r="Q5467" s="232"/>
      <c r="R5467" s="411"/>
      <c r="T5467" s="134" t="s">
        <v>11100</v>
      </c>
      <c r="U5467" s="267" t="s">
        <v>11892</v>
      </c>
      <c r="V5467" s="133" t="s">
        <v>3169</v>
      </c>
      <c r="AA5467" s="218"/>
    </row>
    <row r="5468" spans="1:27" ht="24" x14ac:dyDescent="0.25">
      <c r="A5468" s="405">
        <v>3004307</v>
      </c>
      <c r="B5468" s="406">
        <v>42626</v>
      </c>
      <c r="C5468" s="405" t="s">
        <v>237</v>
      </c>
      <c r="D5468" s="401" t="s">
        <v>11893</v>
      </c>
      <c r="E5468" s="120">
        <v>100</v>
      </c>
      <c r="F5468" s="133" t="s">
        <v>304</v>
      </c>
      <c r="G5468" s="404" t="s">
        <v>45</v>
      </c>
      <c r="H5468" s="411">
        <v>266.48</v>
      </c>
      <c r="I5468" s="397">
        <f t="shared" ref="I5468" si="1941">-(H5468*0.15)</f>
        <v>-39.972000000000001</v>
      </c>
      <c r="J5468" s="258">
        <v>0</v>
      </c>
      <c r="K5468" s="90">
        <f>SUM(H5468:J5468)</f>
        <v>226.50800000000001</v>
      </c>
      <c r="M5468" s="187">
        <v>39.14</v>
      </c>
      <c r="N5468" s="91">
        <f t="shared" si="1930"/>
        <v>39.14</v>
      </c>
      <c r="O5468" s="411">
        <f t="shared" si="1926"/>
        <v>187.36799999999999</v>
      </c>
      <c r="P5468" s="132" t="s">
        <v>52</v>
      </c>
      <c r="Q5468" s="232"/>
      <c r="R5468" s="411"/>
      <c r="T5468" s="134" t="s">
        <v>145</v>
      </c>
      <c r="U5468" s="267" t="s">
        <v>11894</v>
      </c>
      <c r="AA5468" s="218"/>
    </row>
    <row r="5469" spans="1:27" ht="24" x14ac:dyDescent="0.25">
      <c r="A5469" s="405">
        <v>3004308</v>
      </c>
      <c r="B5469" s="406">
        <v>42626</v>
      </c>
      <c r="C5469" s="405" t="s">
        <v>237</v>
      </c>
      <c r="D5469" s="401" t="s">
        <v>11895</v>
      </c>
      <c r="E5469" s="120">
        <v>100</v>
      </c>
      <c r="F5469" s="133" t="s">
        <v>11896</v>
      </c>
      <c r="G5469" s="404" t="s">
        <v>45</v>
      </c>
      <c r="H5469" s="411">
        <v>260</v>
      </c>
      <c r="I5469" s="397">
        <f t="shared" ref="I5469" si="1942">-(H5469*0.15)</f>
        <v>-39</v>
      </c>
      <c r="J5469" s="258">
        <v>0</v>
      </c>
      <c r="K5469" s="90">
        <f>SUM(H5469:J5469)</f>
        <v>221</v>
      </c>
      <c r="M5469" s="187">
        <v>35.770000000000003</v>
      </c>
      <c r="N5469" s="91">
        <f t="shared" si="1930"/>
        <v>35.770000000000003</v>
      </c>
      <c r="O5469" s="411">
        <f t="shared" si="1926"/>
        <v>185.23</v>
      </c>
      <c r="P5469" s="132" t="s">
        <v>52</v>
      </c>
      <c r="Q5469" s="232"/>
      <c r="R5469" s="411"/>
      <c r="T5469" s="172" t="s">
        <v>145</v>
      </c>
      <c r="U5469" s="259">
        <v>680483360027</v>
      </c>
      <c r="AA5469" s="218"/>
    </row>
    <row r="5470" spans="1:27" ht="24" x14ac:dyDescent="0.25">
      <c r="A5470" s="405">
        <v>3004309</v>
      </c>
      <c r="B5470" s="406">
        <v>42626</v>
      </c>
      <c r="C5470" s="405" t="s">
        <v>237</v>
      </c>
      <c r="D5470" s="401" t="s">
        <v>11897</v>
      </c>
      <c r="E5470" s="120">
        <v>100</v>
      </c>
      <c r="F5470" s="133" t="s">
        <v>288</v>
      </c>
      <c r="G5470" s="404" t="s">
        <v>45</v>
      </c>
      <c r="H5470" s="411">
        <v>193.04</v>
      </c>
      <c r="I5470" s="397">
        <f t="shared" ref="I5470" si="1943">-(H5470*0.15)</f>
        <v>-28.955999999999996</v>
      </c>
      <c r="J5470" s="258">
        <v>0</v>
      </c>
      <c r="K5470" s="90">
        <f t="shared" ref="K5470:K5493" si="1944">SUM(H5470:J5470)</f>
        <v>164.084</v>
      </c>
      <c r="M5470" s="187">
        <v>22.9</v>
      </c>
      <c r="N5470" s="91">
        <f t="shared" si="1930"/>
        <v>22.9</v>
      </c>
      <c r="O5470" s="411">
        <f t="shared" si="1926"/>
        <v>141.184</v>
      </c>
      <c r="P5470" s="132" t="s">
        <v>52</v>
      </c>
      <c r="Q5470" s="232"/>
      <c r="R5470" s="411"/>
      <c r="T5470" s="134" t="s">
        <v>145</v>
      </c>
      <c r="U5470" s="267" t="s">
        <v>11898</v>
      </c>
      <c r="AA5470" s="218"/>
    </row>
    <row r="5471" spans="1:27" ht="24" x14ac:dyDescent="0.25">
      <c r="A5471" s="405">
        <v>3004310</v>
      </c>
      <c r="B5471" s="406">
        <v>42626</v>
      </c>
      <c r="C5471" s="405" t="s">
        <v>237</v>
      </c>
      <c r="D5471" s="401" t="s">
        <v>11899</v>
      </c>
      <c r="E5471" s="120">
        <v>100</v>
      </c>
      <c r="F5471" s="133" t="s">
        <v>11900</v>
      </c>
      <c r="G5471" s="404" t="s">
        <v>45</v>
      </c>
      <c r="H5471" s="411">
        <v>256.14999999999998</v>
      </c>
      <c r="I5471" s="397">
        <f t="shared" ref="I5471" si="1945">-(H5471*0.15)</f>
        <v>-38.422499999999992</v>
      </c>
      <c r="J5471" s="258">
        <v>0</v>
      </c>
      <c r="K5471" s="90">
        <f t="shared" si="1944"/>
        <v>217.72749999999999</v>
      </c>
      <c r="M5471" s="187">
        <v>33.81</v>
      </c>
      <c r="N5471" s="91">
        <f t="shared" si="1930"/>
        <v>33.81</v>
      </c>
      <c r="O5471" s="411">
        <f t="shared" si="1926"/>
        <v>183.91749999999999</v>
      </c>
      <c r="P5471" s="132" t="s">
        <v>52</v>
      </c>
      <c r="Q5471" s="232"/>
      <c r="R5471" s="411"/>
      <c r="T5471" s="134" t="s">
        <v>145</v>
      </c>
      <c r="U5471" s="267" t="s">
        <v>11901</v>
      </c>
      <c r="AA5471" s="218"/>
    </row>
    <row r="5472" spans="1:27" x14ac:dyDescent="0.25">
      <c r="A5472" s="405">
        <v>3004311</v>
      </c>
      <c r="B5472" s="406">
        <v>42626</v>
      </c>
      <c r="C5472" s="405" t="s">
        <v>237</v>
      </c>
      <c r="D5472" s="401" t="s">
        <v>11902</v>
      </c>
      <c r="E5472" s="120">
        <v>500</v>
      </c>
      <c r="F5472" s="133" t="s">
        <v>2949</v>
      </c>
      <c r="G5472" s="404" t="s">
        <v>45</v>
      </c>
      <c r="H5472" s="411">
        <v>841.5</v>
      </c>
      <c r="I5472" s="397">
        <f t="shared" ref="I5472" si="1946">-(H5472*0.15)</f>
        <v>-126.22499999999999</v>
      </c>
      <c r="J5472" s="258">
        <v>0</v>
      </c>
      <c r="K5472" s="90">
        <f t="shared" si="1944"/>
        <v>715.27499999999998</v>
      </c>
      <c r="L5472" s="187">
        <v>1100</v>
      </c>
      <c r="M5472" s="187">
        <v>155.33000000000001</v>
      </c>
      <c r="N5472" s="91">
        <f t="shared" si="1930"/>
        <v>705.33</v>
      </c>
      <c r="O5472" s="411">
        <f t="shared" si="1926"/>
        <v>9.9449999999999363</v>
      </c>
      <c r="P5472" s="132" t="s">
        <v>638</v>
      </c>
      <c r="Q5472" s="232"/>
      <c r="R5472" s="411"/>
      <c r="T5472" s="407" t="s">
        <v>11100</v>
      </c>
      <c r="U5472" s="308" t="s">
        <v>11903</v>
      </c>
      <c r="V5472" s="133" t="s">
        <v>3169</v>
      </c>
      <c r="AA5472" s="218"/>
    </row>
    <row r="5473" spans="1:27" x14ac:dyDescent="0.25">
      <c r="A5473" s="419">
        <v>3004312</v>
      </c>
      <c r="B5473" s="421">
        <v>42626</v>
      </c>
      <c r="C5473" s="419" t="s">
        <v>141</v>
      </c>
      <c r="D5473" s="417" t="s">
        <v>426</v>
      </c>
      <c r="E5473" s="120">
        <v>3000</v>
      </c>
      <c r="F5473" s="133" t="s">
        <v>182</v>
      </c>
      <c r="G5473" s="434" t="s">
        <v>45</v>
      </c>
      <c r="H5473" s="427">
        <v>6118.45</v>
      </c>
      <c r="I5473" s="468">
        <v>0</v>
      </c>
      <c r="J5473" s="425">
        <f>-((H5473*0.0325)+0.3)</f>
        <v>-199.14962500000001</v>
      </c>
      <c r="K5473" s="90">
        <f t="shared" si="1944"/>
        <v>5919.3003749999998</v>
      </c>
      <c r="L5473" s="187">
        <v>1150</v>
      </c>
      <c r="M5473" s="131">
        <v>0</v>
      </c>
      <c r="N5473" s="91">
        <f t="shared" si="1930"/>
        <v>3450</v>
      </c>
      <c r="O5473" s="411">
        <f t="shared" si="1926"/>
        <v>2469.3003749999998</v>
      </c>
      <c r="P5473" s="132" t="s">
        <v>638</v>
      </c>
      <c r="Q5473" s="232"/>
      <c r="R5473" s="411"/>
      <c r="S5473" s="184"/>
      <c r="T5473" s="134" t="s">
        <v>11904</v>
      </c>
      <c r="U5473" s="267">
        <v>340147339</v>
      </c>
      <c r="V5473" s="318"/>
      <c r="W5473" s="153" t="s">
        <v>429</v>
      </c>
      <c r="AA5473" s="473">
        <v>50</v>
      </c>
    </row>
    <row r="5474" spans="1:27" x14ac:dyDescent="0.25">
      <c r="A5474" s="420"/>
      <c r="B5474" s="422"/>
      <c r="C5474" s="420"/>
      <c r="D5474" s="418"/>
      <c r="E5474" s="120">
        <v>1550</v>
      </c>
      <c r="F5474" s="133" t="s">
        <v>182</v>
      </c>
      <c r="G5474" s="436"/>
      <c r="H5474" s="428"/>
      <c r="I5474" s="469"/>
      <c r="J5474" s="426"/>
      <c r="K5474" s="90">
        <f t="shared" si="1944"/>
        <v>0</v>
      </c>
      <c r="L5474" s="131">
        <v>1060</v>
      </c>
      <c r="M5474" s="187">
        <v>90</v>
      </c>
      <c r="N5474" s="91">
        <f t="shared" si="1930"/>
        <v>1733</v>
      </c>
      <c r="O5474" s="411">
        <f t="shared" si="1926"/>
        <v>-1733</v>
      </c>
      <c r="P5474" s="132" t="s">
        <v>52</v>
      </c>
      <c r="Q5474" s="232"/>
      <c r="R5474" s="411"/>
      <c r="T5474" s="409" t="s">
        <v>875</v>
      </c>
      <c r="U5474" s="309" t="s">
        <v>11905</v>
      </c>
      <c r="V5474" s="133" t="s">
        <v>11906</v>
      </c>
      <c r="AA5474" s="474"/>
    </row>
    <row r="5475" spans="1:27" ht="24" customHeight="1" x14ac:dyDescent="0.25">
      <c r="A5475" s="419">
        <v>3004313</v>
      </c>
      <c r="B5475" s="421">
        <v>42626</v>
      </c>
      <c r="C5475" s="419" t="s">
        <v>63</v>
      </c>
      <c r="D5475" s="417" t="s">
        <v>11907</v>
      </c>
      <c r="E5475" s="120">
        <v>250</v>
      </c>
      <c r="F5475" s="133" t="s">
        <v>11908</v>
      </c>
      <c r="G5475" s="434" t="s">
        <v>45</v>
      </c>
      <c r="H5475" s="427">
        <v>812.25</v>
      </c>
      <c r="I5475" s="427">
        <v>0</v>
      </c>
      <c r="J5475" s="611">
        <f>-((H5475*0.022)+0.3)</f>
        <v>-18.169499999999999</v>
      </c>
      <c r="K5475" s="90">
        <f t="shared" si="1944"/>
        <v>794.08050000000003</v>
      </c>
      <c r="L5475" s="269">
        <v>1579</v>
      </c>
      <c r="M5475" s="187">
        <v>40.49</v>
      </c>
      <c r="N5475" s="91">
        <f t="shared" si="1930"/>
        <v>435.24</v>
      </c>
      <c r="O5475" s="411">
        <f t="shared" si="1926"/>
        <v>358.84050000000002</v>
      </c>
      <c r="P5475" s="132" t="s">
        <v>5292</v>
      </c>
      <c r="Q5475" s="232"/>
      <c r="R5475" s="411"/>
      <c r="T5475" s="535" t="s">
        <v>145</v>
      </c>
      <c r="U5475" s="613" t="s">
        <v>11909</v>
      </c>
      <c r="W5475" s="153" t="s">
        <v>11910</v>
      </c>
      <c r="AA5475" s="218"/>
    </row>
    <row r="5476" spans="1:27" x14ac:dyDescent="0.25">
      <c r="A5476" s="420"/>
      <c r="B5476" s="422"/>
      <c r="C5476" s="420"/>
      <c r="D5476" s="418"/>
      <c r="E5476" s="120">
        <v>50</v>
      </c>
      <c r="F5476" s="133" t="s">
        <v>11911</v>
      </c>
      <c r="G5476" s="436"/>
      <c r="H5476" s="428"/>
      <c r="I5476" s="428"/>
      <c r="J5476" s="612"/>
      <c r="K5476" s="90">
        <f t="shared" si="1944"/>
        <v>0</v>
      </c>
      <c r="L5476" s="269">
        <v>1052</v>
      </c>
      <c r="M5476" s="187"/>
      <c r="N5476" s="91">
        <f t="shared" si="1930"/>
        <v>52.6</v>
      </c>
      <c r="O5476" s="411">
        <f t="shared" si="1926"/>
        <v>-52.6</v>
      </c>
      <c r="P5476" s="132" t="s">
        <v>5292</v>
      </c>
      <c r="Q5476" s="232"/>
      <c r="R5476" s="411"/>
      <c r="T5476" s="536"/>
      <c r="U5476" s="614"/>
      <c r="AA5476" s="218"/>
    </row>
    <row r="5477" spans="1:27" ht="24" x14ac:dyDescent="0.25">
      <c r="A5477" s="405">
        <v>3004314</v>
      </c>
      <c r="B5477" s="406">
        <v>42626</v>
      </c>
      <c r="C5477" s="405" t="s">
        <v>63</v>
      </c>
      <c r="D5477" s="401" t="s">
        <v>8857</v>
      </c>
      <c r="E5477" s="120">
        <v>70</v>
      </c>
      <c r="F5477" s="133" t="s">
        <v>11873</v>
      </c>
      <c r="G5477" s="404" t="s">
        <v>45</v>
      </c>
      <c r="H5477" s="411">
        <v>110</v>
      </c>
      <c r="I5477" s="411">
        <v>0</v>
      </c>
      <c r="J5477" s="294">
        <f>-((H5477*0.022)+0.3)</f>
        <v>-2.7199999999999998</v>
      </c>
      <c r="K5477" s="90">
        <f t="shared" si="1944"/>
        <v>107.28</v>
      </c>
      <c r="L5477" s="131">
        <v>1000</v>
      </c>
      <c r="M5477" s="131">
        <v>10</v>
      </c>
      <c r="N5477" s="91">
        <f t="shared" si="1930"/>
        <v>80</v>
      </c>
      <c r="O5477" s="411">
        <f t="shared" si="1926"/>
        <v>27.28</v>
      </c>
      <c r="P5477" s="132" t="s">
        <v>183</v>
      </c>
      <c r="Q5477" s="232"/>
      <c r="R5477" s="411"/>
      <c r="T5477" s="134" t="s">
        <v>756</v>
      </c>
      <c r="U5477" s="266" t="s">
        <v>756</v>
      </c>
      <c r="V5477" s="133" t="s">
        <v>9187</v>
      </c>
      <c r="AA5477" s="218"/>
    </row>
    <row r="5478" spans="1:27" x14ac:dyDescent="0.25">
      <c r="A5478" s="405">
        <v>3004315</v>
      </c>
      <c r="B5478" s="406">
        <v>42626</v>
      </c>
      <c r="C5478" s="405" t="s">
        <v>141</v>
      </c>
      <c r="D5478" s="401" t="s">
        <v>9738</v>
      </c>
      <c r="E5478" s="120">
        <v>400</v>
      </c>
      <c r="F5478" s="133" t="s">
        <v>51</v>
      </c>
      <c r="G5478" s="404" t="s">
        <v>45</v>
      </c>
      <c r="H5478" s="411">
        <v>740</v>
      </c>
      <c r="I5478" s="187">
        <v>0</v>
      </c>
      <c r="J5478" s="258">
        <f>-((H5478*0.0325)+0.3)</f>
        <v>-24.35</v>
      </c>
      <c r="K5478" s="90">
        <f t="shared" si="1944"/>
        <v>715.65</v>
      </c>
      <c r="L5478" s="131">
        <v>1000</v>
      </c>
      <c r="M5478" s="187">
        <v>117.88</v>
      </c>
      <c r="N5478" s="91">
        <f t="shared" si="1930"/>
        <v>517.88</v>
      </c>
      <c r="O5478" s="411">
        <f t="shared" si="1926"/>
        <v>197.76999999999998</v>
      </c>
      <c r="P5478" s="132" t="s">
        <v>52</v>
      </c>
      <c r="Q5478" s="232"/>
      <c r="R5478" s="411"/>
      <c r="T5478" s="134" t="s">
        <v>11100</v>
      </c>
      <c r="U5478" s="267" t="s">
        <v>11912</v>
      </c>
      <c r="V5478" s="133" t="s">
        <v>3169</v>
      </c>
      <c r="W5478" s="153" t="s">
        <v>11913</v>
      </c>
      <c r="AA5478" s="218"/>
    </row>
    <row r="5479" spans="1:27" ht="24" x14ac:dyDescent="0.25">
      <c r="A5479" s="405">
        <v>3004316</v>
      </c>
      <c r="B5479" s="406">
        <v>42626</v>
      </c>
      <c r="C5479" s="405" t="s">
        <v>63</v>
      </c>
      <c r="D5479" s="401" t="s">
        <v>11914</v>
      </c>
      <c r="E5479" s="120">
        <v>600</v>
      </c>
      <c r="F5479" s="133" t="s">
        <v>11915</v>
      </c>
      <c r="G5479" s="404" t="s">
        <v>45</v>
      </c>
      <c r="H5479" s="411">
        <v>260</v>
      </c>
      <c r="I5479" s="187">
        <v>0</v>
      </c>
      <c r="J5479" s="258">
        <f>-((H5479*0.022)+0.3)</f>
        <v>-6.02</v>
      </c>
      <c r="K5479" s="90">
        <f t="shared" si="1944"/>
        <v>253.98</v>
      </c>
      <c r="L5479" s="187">
        <v>290</v>
      </c>
      <c r="M5479" s="187">
        <v>24.69</v>
      </c>
      <c r="N5479" s="91">
        <f t="shared" si="1930"/>
        <v>198.69</v>
      </c>
      <c r="O5479" s="411">
        <f t="shared" si="1926"/>
        <v>55.289999999999992</v>
      </c>
      <c r="P5479" s="132" t="s">
        <v>235</v>
      </c>
      <c r="Q5479" s="232"/>
      <c r="R5479" s="411"/>
      <c r="T5479" s="134" t="s">
        <v>145</v>
      </c>
      <c r="U5479" s="267" t="s">
        <v>11916</v>
      </c>
      <c r="W5479" s="153" t="s">
        <v>11917</v>
      </c>
      <c r="AA5479" s="218"/>
    </row>
    <row r="5480" spans="1:27" x14ac:dyDescent="0.25">
      <c r="A5480" s="405">
        <v>3004317</v>
      </c>
      <c r="B5480" s="406">
        <v>42626</v>
      </c>
      <c r="C5480" s="405" t="s">
        <v>237</v>
      </c>
      <c r="D5480" s="401" t="s">
        <v>11918</v>
      </c>
      <c r="E5480" s="120">
        <v>225</v>
      </c>
      <c r="F5480" s="133" t="s">
        <v>178</v>
      </c>
      <c r="G5480" s="404" t="s">
        <v>45</v>
      </c>
      <c r="H5480" s="411">
        <v>360</v>
      </c>
      <c r="I5480" s="397">
        <f t="shared" ref="I5480" si="1947">-(H5480*0.15)</f>
        <v>-54</v>
      </c>
      <c r="J5480" s="258">
        <v>0</v>
      </c>
      <c r="K5480" s="90">
        <f t="shared" si="1944"/>
        <v>306</v>
      </c>
      <c r="M5480" s="187">
        <v>191.04</v>
      </c>
      <c r="N5480" s="91">
        <f t="shared" si="1930"/>
        <v>191.04</v>
      </c>
      <c r="O5480" s="411">
        <f t="shared" si="1926"/>
        <v>114.96000000000001</v>
      </c>
      <c r="P5480" s="132" t="s">
        <v>86</v>
      </c>
      <c r="Q5480" s="232"/>
      <c r="R5480" s="411"/>
      <c r="T5480" s="134" t="s">
        <v>244</v>
      </c>
      <c r="U5480" s="267" t="s">
        <v>11919</v>
      </c>
      <c r="V5480" s="133" t="s">
        <v>3169</v>
      </c>
      <c r="AA5480" s="218"/>
    </row>
    <row r="5481" spans="1:27" ht="36" x14ac:dyDescent="0.25">
      <c r="A5481" s="405">
        <v>3004318</v>
      </c>
      <c r="B5481" s="406">
        <v>42626</v>
      </c>
      <c r="C5481" s="405" t="s">
        <v>237</v>
      </c>
      <c r="D5481" s="401" t="s">
        <v>11920</v>
      </c>
      <c r="E5481" s="120">
        <v>300</v>
      </c>
      <c r="F5481" s="133" t="s">
        <v>11921</v>
      </c>
      <c r="G5481" s="404" t="s">
        <v>45</v>
      </c>
      <c r="H5481" s="411">
        <v>579.12</v>
      </c>
      <c r="I5481" s="397">
        <f t="shared" ref="I5481" si="1948">-(H5481*0.15)</f>
        <v>-86.867999999999995</v>
      </c>
      <c r="J5481" s="258">
        <v>0</v>
      </c>
      <c r="K5481" s="90">
        <f t="shared" si="1944"/>
        <v>492.25200000000001</v>
      </c>
      <c r="M5481" s="187">
        <f>25.77+23.44+35.87</f>
        <v>85.08</v>
      </c>
      <c r="N5481" s="91">
        <f t="shared" si="1930"/>
        <v>85.08</v>
      </c>
      <c r="O5481" s="411">
        <f t="shared" si="1926"/>
        <v>407.17200000000003</v>
      </c>
      <c r="P5481" s="132" t="s">
        <v>52</v>
      </c>
      <c r="Q5481" s="232"/>
      <c r="R5481" s="411"/>
      <c r="T5481" s="134" t="s">
        <v>145</v>
      </c>
      <c r="U5481" s="266" t="s">
        <v>11922</v>
      </c>
      <c r="AA5481" s="218"/>
    </row>
    <row r="5482" spans="1:27" ht="24" x14ac:dyDescent="0.25">
      <c r="A5482" s="405">
        <v>3004319</v>
      </c>
      <c r="B5482" s="406">
        <v>42626</v>
      </c>
      <c r="C5482" s="405" t="s">
        <v>237</v>
      </c>
      <c r="D5482" s="401" t="s">
        <v>11923</v>
      </c>
      <c r="E5482" s="120">
        <v>150</v>
      </c>
      <c r="F5482" s="133" t="s">
        <v>11924</v>
      </c>
      <c r="G5482" s="404" t="s">
        <v>45</v>
      </c>
      <c r="H5482" s="411">
        <v>166.6</v>
      </c>
      <c r="I5482" s="397">
        <f t="shared" ref="I5482" si="1949">-(H5482*0.15)</f>
        <v>-24.99</v>
      </c>
      <c r="J5482" s="258">
        <v>0</v>
      </c>
      <c r="K5482" s="90">
        <f t="shared" si="1944"/>
        <v>141.60999999999999</v>
      </c>
      <c r="M5482" s="187">
        <v>24.76</v>
      </c>
      <c r="N5482" s="91">
        <f t="shared" si="1930"/>
        <v>24.76</v>
      </c>
      <c r="O5482" s="411">
        <f t="shared" si="1926"/>
        <v>116.84999999999998</v>
      </c>
      <c r="P5482" s="132" t="s">
        <v>52</v>
      </c>
      <c r="Q5482" s="232"/>
      <c r="R5482" s="411"/>
      <c r="T5482" s="134" t="s">
        <v>145</v>
      </c>
      <c r="U5482" s="267" t="s">
        <v>11925</v>
      </c>
      <c r="AA5482" s="218"/>
    </row>
    <row r="5483" spans="1:27" ht="36" x14ac:dyDescent="0.25">
      <c r="A5483" s="405">
        <v>3004320</v>
      </c>
      <c r="B5483" s="406">
        <v>42626</v>
      </c>
      <c r="C5483" s="405" t="s">
        <v>237</v>
      </c>
      <c r="D5483" s="401" t="s">
        <v>11926</v>
      </c>
      <c r="E5483" s="120">
        <v>250</v>
      </c>
      <c r="F5483" s="119" t="s">
        <v>11927</v>
      </c>
      <c r="G5483" s="404" t="s">
        <v>45</v>
      </c>
      <c r="H5483" s="411">
        <v>107.19</v>
      </c>
      <c r="I5483" s="397">
        <f t="shared" ref="I5483" si="1950">-(H5483*0.15)</f>
        <v>-16.078499999999998</v>
      </c>
      <c r="J5483" s="258">
        <v>0</v>
      </c>
      <c r="K5483" s="90">
        <f t="shared" si="1944"/>
        <v>91.111500000000007</v>
      </c>
      <c r="L5483" s="187">
        <v>217</v>
      </c>
      <c r="M5483" s="187">
        <v>11.02</v>
      </c>
      <c r="N5483" s="91">
        <f t="shared" si="1930"/>
        <v>65.27</v>
      </c>
      <c r="O5483" s="411">
        <f t="shared" si="1926"/>
        <v>25.841500000000011</v>
      </c>
      <c r="P5483" s="132" t="s">
        <v>183</v>
      </c>
      <c r="Q5483" s="232"/>
      <c r="R5483" s="411"/>
      <c r="T5483" s="134" t="s">
        <v>145</v>
      </c>
      <c r="U5483" s="267" t="s">
        <v>11928</v>
      </c>
      <c r="AA5483" s="218"/>
    </row>
    <row r="5484" spans="1:27" ht="24" x14ac:dyDescent="0.25">
      <c r="A5484" s="405">
        <v>3004321</v>
      </c>
      <c r="B5484" s="406">
        <v>42626</v>
      </c>
      <c r="C5484" s="405" t="s">
        <v>63</v>
      </c>
      <c r="D5484" s="401" t="s">
        <v>11929</v>
      </c>
      <c r="E5484" s="120">
        <v>125</v>
      </c>
      <c r="F5484" s="133" t="s">
        <v>247</v>
      </c>
      <c r="G5484" s="404" t="s">
        <v>45</v>
      </c>
      <c r="H5484" s="411">
        <v>151.25</v>
      </c>
      <c r="I5484" s="187">
        <v>0</v>
      </c>
      <c r="J5484" s="258">
        <f>-((H5484*0.022)+0.3)</f>
        <v>-3.6274999999999995</v>
      </c>
      <c r="K5484" s="90">
        <f t="shared" si="1944"/>
        <v>147.6225</v>
      </c>
      <c r="L5484" s="187">
        <v>672</v>
      </c>
      <c r="M5484" s="187">
        <v>27.96</v>
      </c>
      <c r="N5484" s="91">
        <f t="shared" si="1930"/>
        <v>111.96000000000001</v>
      </c>
      <c r="O5484" s="411">
        <f t="shared" si="1926"/>
        <v>35.662499999999994</v>
      </c>
      <c r="P5484" s="132" t="s">
        <v>313</v>
      </c>
      <c r="Q5484" s="232"/>
      <c r="R5484" s="411"/>
      <c r="T5484" s="134" t="s">
        <v>145</v>
      </c>
      <c r="U5484" s="267" t="s">
        <v>11930</v>
      </c>
      <c r="W5484" s="153" t="s">
        <v>11931</v>
      </c>
      <c r="AA5484" s="218"/>
    </row>
    <row r="5485" spans="1:27" ht="24" customHeight="1" x14ac:dyDescent="0.25">
      <c r="A5485" s="419">
        <v>3004322</v>
      </c>
      <c r="B5485" s="421">
        <v>42626</v>
      </c>
      <c r="C5485" s="419" t="s">
        <v>63</v>
      </c>
      <c r="D5485" s="417" t="s">
        <v>7017</v>
      </c>
      <c r="E5485" s="120">
        <v>25</v>
      </c>
      <c r="F5485" s="133" t="s">
        <v>1293</v>
      </c>
      <c r="G5485" s="434" t="s">
        <v>45</v>
      </c>
      <c r="H5485" s="427">
        <v>110</v>
      </c>
      <c r="I5485" s="468">
        <v>0</v>
      </c>
      <c r="J5485" s="425">
        <f>-((H5485*0.022)+0.3)</f>
        <v>-2.7199999999999998</v>
      </c>
      <c r="K5485" s="90">
        <f t="shared" si="1944"/>
        <v>107.28</v>
      </c>
      <c r="L5485" s="187">
        <v>750</v>
      </c>
      <c r="M5485" s="187">
        <v>11.36</v>
      </c>
      <c r="N5485" s="91">
        <f t="shared" si="1930"/>
        <v>30.11</v>
      </c>
      <c r="O5485" s="411">
        <f t="shared" si="1926"/>
        <v>77.17</v>
      </c>
      <c r="P5485" s="132" t="s">
        <v>235</v>
      </c>
      <c r="Q5485" s="232"/>
      <c r="R5485" s="411"/>
      <c r="T5485" s="470" t="s">
        <v>145</v>
      </c>
      <c r="U5485" s="446" t="s">
        <v>11932</v>
      </c>
      <c r="W5485" s="153" t="s">
        <v>11933</v>
      </c>
      <c r="AA5485" s="218"/>
    </row>
    <row r="5486" spans="1:27" x14ac:dyDescent="0.25">
      <c r="A5486" s="420"/>
      <c r="B5486" s="422"/>
      <c r="C5486" s="420"/>
      <c r="D5486" s="418"/>
      <c r="E5486" s="120">
        <v>25</v>
      </c>
      <c r="F5486" s="133" t="s">
        <v>4066</v>
      </c>
      <c r="G5486" s="436"/>
      <c r="H5486" s="428"/>
      <c r="I5486" s="469"/>
      <c r="J5486" s="426"/>
      <c r="K5486" s="90">
        <f t="shared" si="1944"/>
        <v>0</v>
      </c>
      <c r="L5486" s="187">
        <v>930</v>
      </c>
      <c r="N5486" s="91">
        <f t="shared" si="1930"/>
        <v>23.25</v>
      </c>
      <c r="O5486" s="411">
        <f t="shared" si="1926"/>
        <v>-23.25</v>
      </c>
      <c r="P5486" s="132" t="s">
        <v>235</v>
      </c>
      <c r="Q5486" s="232"/>
      <c r="R5486" s="411"/>
      <c r="T5486" s="472"/>
      <c r="U5486" s="447"/>
      <c r="AA5486" s="218"/>
    </row>
    <row r="5487" spans="1:27" x14ac:dyDescent="0.25">
      <c r="A5487" s="405">
        <v>3004323</v>
      </c>
      <c r="B5487" s="406">
        <v>42626</v>
      </c>
      <c r="C5487" s="405" t="s">
        <v>6199</v>
      </c>
      <c r="D5487" s="401" t="s">
        <v>11934</v>
      </c>
      <c r="E5487" s="120">
        <v>130</v>
      </c>
      <c r="F5487" s="133" t="s">
        <v>11935</v>
      </c>
      <c r="G5487" s="404" t="s">
        <v>45</v>
      </c>
      <c r="H5487" s="411">
        <v>0</v>
      </c>
      <c r="I5487" s="411">
        <v>0</v>
      </c>
      <c r="J5487" s="411">
        <v>0</v>
      </c>
      <c r="K5487" s="90">
        <f t="shared" si="1944"/>
        <v>0</v>
      </c>
      <c r="M5487" s="177"/>
      <c r="N5487" s="91">
        <f t="shared" si="1930"/>
        <v>0</v>
      </c>
      <c r="O5487" s="411">
        <f t="shared" si="1926"/>
        <v>0</v>
      </c>
      <c r="P5487" s="132" t="s">
        <v>1229</v>
      </c>
      <c r="Q5487" s="232"/>
      <c r="R5487" s="411"/>
      <c r="T5487" s="134" t="s">
        <v>755</v>
      </c>
      <c r="U5487" s="266"/>
      <c r="AA5487" s="218"/>
    </row>
    <row r="5488" spans="1:27" ht="24" x14ac:dyDescent="0.25">
      <c r="A5488" s="405">
        <v>3004324</v>
      </c>
      <c r="B5488" s="406">
        <v>42627</v>
      </c>
      <c r="C5488" s="405" t="s">
        <v>327</v>
      </c>
      <c r="D5488" s="401" t="s">
        <v>11407</v>
      </c>
      <c r="E5488" s="120">
        <v>600</v>
      </c>
      <c r="F5488" s="133" t="s">
        <v>51</v>
      </c>
      <c r="G5488" s="404" t="s">
        <v>45</v>
      </c>
      <c r="H5488" s="411">
        <v>1098</v>
      </c>
      <c r="I5488" s="187">
        <v>0</v>
      </c>
      <c r="J5488" s="258">
        <f>-((H5488*0.022)+0.3)</f>
        <v>-24.456</v>
      </c>
      <c r="K5488" s="90">
        <f t="shared" si="1944"/>
        <v>1073.5440000000001</v>
      </c>
      <c r="L5488" s="187">
        <v>1200</v>
      </c>
      <c r="M5488" s="187">
        <v>115</v>
      </c>
      <c r="N5488" s="91">
        <f t="shared" si="1930"/>
        <v>835</v>
      </c>
      <c r="O5488" s="411">
        <f t="shared" si="1926"/>
        <v>238.5440000000001</v>
      </c>
      <c r="P5488" s="132" t="s">
        <v>183</v>
      </c>
      <c r="Q5488" s="232"/>
      <c r="R5488" s="411"/>
      <c r="T5488" s="134" t="s">
        <v>3488</v>
      </c>
      <c r="U5488" s="267" t="s">
        <v>11936</v>
      </c>
      <c r="W5488" s="153" t="s">
        <v>11937</v>
      </c>
      <c r="AA5488" s="218">
        <v>10</v>
      </c>
    </row>
    <row r="5489" spans="1:27" x14ac:dyDescent="0.25">
      <c r="A5489" s="419">
        <v>3004325</v>
      </c>
      <c r="B5489" s="421">
        <v>42627</v>
      </c>
      <c r="C5489" s="419" t="s">
        <v>280</v>
      </c>
      <c r="D5489" s="429" t="s">
        <v>11938</v>
      </c>
      <c r="E5489" s="120">
        <v>190</v>
      </c>
      <c r="F5489" s="133" t="s">
        <v>11939</v>
      </c>
      <c r="G5489" s="434" t="s">
        <v>45</v>
      </c>
      <c r="H5489" s="427">
        <v>4122</v>
      </c>
      <c r="I5489" s="510">
        <v>0</v>
      </c>
      <c r="J5489" s="425">
        <f>-((H5489*0.022)+0.3)</f>
        <v>-90.983999999999995</v>
      </c>
      <c r="K5489" s="90">
        <f t="shared" si="1944"/>
        <v>4031.0160000000001</v>
      </c>
      <c r="L5489" s="187">
        <v>4245</v>
      </c>
      <c r="M5489" s="187">
        <v>125.25</v>
      </c>
      <c r="N5489" s="91">
        <f t="shared" si="1930"/>
        <v>931.8</v>
      </c>
      <c r="O5489" s="411">
        <f t="shared" si="1926"/>
        <v>3099.2160000000003</v>
      </c>
      <c r="P5489" s="132" t="s">
        <v>638</v>
      </c>
      <c r="Q5489" s="232"/>
      <c r="R5489" s="411"/>
      <c r="T5489" s="439" t="s">
        <v>717</v>
      </c>
      <c r="U5489" s="505">
        <v>69788329</v>
      </c>
      <c r="W5489" s="153" t="s">
        <v>11940</v>
      </c>
      <c r="AA5489" s="473">
        <v>50</v>
      </c>
    </row>
    <row r="5490" spans="1:27" x14ac:dyDescent="0.25">
      <c r="A5490" s="432"/>
      <c r="B5490" s="433"/>
      <c r="C5490" s="432"/>
      <c r="D5490" s="430"/>
      <c r="E5490" s="120">
        <v>190</v>
      </c>
      <c r="F5490" s="133" t="s">
        <v>11941</v>
      </c>
      <c r="G5490" s="435"/>
      <c r="H5490" s="438"/>
      <c r="I5490" s="511"/>
      <c r="J5490" s="437"/>
      <c r="K5490" s="90">
        <f t="shared" si="1944"/>
        <v>0</v>
      </c>
      <c r="L5490" s="187">
        <v>4245</v>
      </c>
      <c r="M5490" s="264">
        <v>0</v>
      </c>
      <c r="N5490" s="91">
        <f t="shared" si="1930"/>
        <v>806.55</v>
      </c>
      <c r="O5490" s="411">
        <f t="shared" si="1926"/>
        <v>-806.55</v>
      </c>
      <c r="P5490" s="132" t="s">
        <v>638</v>
      </c>
      <c r="Q5490" s="232"/>
      <c r="R5490" s="411"/>
      <c r="T5490" s="440"/>
      <c r="U5490" s="506"/>
      <c r="AA5490" s="478"/>
    </row>
    <row r="5491" spans="1:27" x14ac:dyDescent="0.25">
      <c r="A5491" s="432"/>
      <c r="B5491" s="433"/>
      <c r="C5491" s="432"/>
      <c r="D5491" s="430"/>
      <c r="E5491" s="120">
        <v>190</v>
      </c>
      <c r="F5491" s="133" t="s">
        <v>11942</v>
      </c>
      <c r="G5491" s="435"/>
      <c r="H5491" s="438"/>
      <c r="I5491" s="511"/>
      <c r="J5491" s="437"/>
      <c r="K5491" s="90">
        <f t="shared" si="1944"/>
        <v>0</v>
      </c>
      <c r="L5491" s="187">
        <v>4245</v>
      </c>
      <c r="M5491" s="265">
        <v>0</v>
      </c>
      <c r="N5491" s="91">
        <f t="shared" si="1930"/>
        <v>806.55</v>
      </c>
      <c r="O5491" s="411">
        <f t="shared" si="1926"/>
        <v>-806.55</v>
      </c>
      <c r="P5491" s="132" t="s">
        <v>638</v>
      </c>
      <c r="Q5491" s="232"/>
      <c r="R5491" s="411"/>
      <c r="T5491" s="440"/>
      <c r="U5491" s="506"/>
      <c r="AA5491" s="478"/>
    </row>
    <row r="5492" spans="1:27" x14ac:dyDescent="0.25">
      <c r="A5492" s="432"/>
      <c r="B5492" s="433"/>
      <c r="C5492" s="432"/>
      <c r="D5492" s="430"/>
      <c r="E5492" s="120">
        <v>190</v>
      </c>
      <c r="F5492" s="133" t="s">
        <v>11943</v>
      </c>
      <c r="G5492" s="435"/>
      <c r="H5492" s="438"/>
      <c r="I5492" s="511"/>
      <c r="J5492" s="437"/>
      <c r="K5492" s="90">
        <f t="shared" si="1944"/>
        <v>0</v>
      </c>
      <c r="L5492" s="187">
        <v>4245</v>
      </c>
      <c r="M5492" s="187">
        <v>0</v>
      </c>
      <c r="N5492" s="91">
        <f t="shared" si="1930"/>
        <v>806.55</v>
      </c>
      <c r="O5492" s="411">
        <f t="shared" si="1926"/>
        <v>-806.55</v>
      </c>
      <c r="P5492" s="132" t="s">
        <v>638</v>
      </c>
      <c r="Q5492" s="232"/>
      <c r="R5492" s="411"/>
      <c r="T5492" s="440"/>
      <c r="U5492" s="506"/>
      <c r="AA5492" s="478"/>
    </row>
    <row r="5493" spans="1:27" x14ac:dyDescent="0.25">
      <c r="A5493" s="420"/>
      <c r="B5493" s="422"/>
      <c r="C5493" s="420"/>
      <c r="D5493" s="431"/>
      <c r="E5493" s="120">
        <v>100</v>
      </c>
      <c r="F5493" s="133" t="s">
        <v>11944</v>
      </c>
      <c r="G5493" s="436"/>
      <c r="H5493" s="428"/>
      <c r="I5493" s="512"/>
      <c r="J5493" s="426"/>
      <c r="K5493" s="90">
        <f t="shared" si="1944"/>
        <v>0</v>
      </c>
      <c r="L5493" s="187">
        <v>1143</v>
      </c>
      <c r="M5493" s="187">
        <v>0</v>
      </c>
      <c r="N5493" s="91">
        <f t="shared" si="1930"/>
        <v>114.30000000000001</v>
      </c>
      <c r="O5493" s="411">
        <f t="shared" si="1926"/>
        <v>-114.30000000000001</v>
      </c>
      <c r="P5493" s="132" t="s">
        <v>638</v>
      </c>
      <c r="Q5493" s="232"/>
      <c r="R5493" s="411"/>
      <c r="T5493" s="441"/>
      <c r="U5493" s="490"/>
      <c r="AA5493" s="474"/>
    </row>
    <row r="5494" spans="1:27" x14ac:dyDescent="0.25">
      <c r="A5494" s="419">
        <v>3004326</v>
      </c>
      <c r="B5494" s="421">
        <v>42627</v>
      </c>
      <c r="C5494" s="419" t="s">
        <v>63</v>
      </c>
      <c r="D5494" s="417" t="s">
        <v>11945</v>
      </c>
      <c r="E5494" s="120">
        <v>5100</v>
      </c>
      <c r="F5494" s="133" t="s">
        <v>11946</v>
      </c>
      <c r="G5494" s="434" t="s">
        <v>45</v>
      </c>
      <c r="H5494" s="427">
        <v>9085</v>
      </c>
      <c r="I5494" s="510">
        <v>0</v>
      </c>
      <c r="J5494" s="425">
        <f>-((H5494*0.022)+0.3)</f>
        <v>-200.17</v>
      </c>
      <c r="K5494" s="425">
        <f t="shared" ref="K5494" si="1951">SUM(H5494:J5494)</f>
        <v>8884.83</v>
      </c>
      <c r="L5494" s="187">
        <v>584</v>
      </c>
      <c r="M5494" s="187">
        <v>270.51</v>
      </c>
      <c r="N5494" s="91">
        <f t="shared" si="1930"/>
        <v>3248.91</v>
      </c>
      <c r="O5494" s="411">
        <f t="shared" si="1926"/>
        <v>5635.92</v>
      </c>
      <c r="P5494" s="132" t="s">
        <v>3597</v>
      </c>
      <c r="Q5494" s="232"/>
      <c r="R5494" s="411"/>
      <c r="T5494" s="134" t="s">
        <v>11947</v>
      </c>
      <c r="U5494" s="267" t="s">
        <v>11948</v>
      </c>
      <c r="W5494" s="153" t="s">
        <v>11949</v>
      </c>
      <c r="AA5494" s="473">
        <v>50</v>
      </c>
    </row>
    <row r="5495" spans="1:27" x14ac:dyDescent="0.25">
      <c r="A5495" s="432"/>
      <c r="B5495" s="433"/>
      <c r="C5495" s="432"/>
      <c r="D5495" s="454"/>
      <c r="E5495" s="120">
        <v>2500</v>
      </c>
      <c r="F5495" s="133" t="s">
        <v>11950</v>
      </c>
      <c r="G5495" s="435"/>
      <c r="H5495" s="438"/>
      <c r="I5495" s="511"/>
      <c r="J5495" s="437"/>
      <c r="K5495" s="437"/>
      <c r="L5495" s="131">
        <v>806</v>
      </c>
      <c r="M5495" s="187">
        <v>214.78</v>
      </c>
      <c r="N5495" s="91">
        <f t="shared" si="1930"/>
        <v>2229.7800000000002</v>
      </c>
      <c r="O5495" s="411">
        <f t="shared" si="1926"/>
        <v>-2229.7800000000002</v>
      </c>
      <c r="P5495" s="132" t="s">
        <v>52</v>
      </c>
      <c r="Q5495" s="232"/>
      <c r="R5495" s="411"/>
      <c r="T5495" s="134" t="s">
        <v>875</v>
      </c>
      <c r="U5495" s="267" t="s">
        <v>11951</v>
      </c>
      <c r="V5495" s="133" t="s">
        <v>11952</v>
      </c>
      <c r="AA5495" s="474"/>
    </row>
    <row r="5496" spans="1:27" x14ac:dyDescent="0.25">
      <c r="A5496" s="420"/>
      <c r="B5496" s="422"/>
      <c r="C5496" s="420"/>
      <c r="D5496" s="418"/>
      <c r="E5496" s="120">
        <v>2300</v>
      </c>
      <c r="F5496" s="133" t="s">
        <v>11953</v>
      </c>
      <c r="G5496" s="436"/>
      <c r="H5496" s="428"/>
      <c r="I5496" s="512"/>
      <c r="J5496" s="426"/>
      <c r="K5496" s="426"/>
      <c r="L5496" s="131">
        <v>670</v>
      </c>
      <c r="M5496" s="187">
        <v>233.62</v>
      </c>
      <c r="N5496" s="91">
        <f t="shared" si="1930"/>
        <v>1774.6200000000003</v>
      </c>
      <c r="O5496" s="411">
        <f t="shared" si="1926"/>
        <v>-1774.6200000000003</v>
      </c>
      <c r="P5496" s="132" t="s">
        <v>86</v>
      </c>
      <c r="Q5496" s="232"/>
      <c r="R5496" s="411"/>
      <c r="T5496" s="134" t="s">
        <v>875</v>
      </c>
      <c r="U5496" s="267" t="s">
        <v>11954</v>
      </c>
      <c r="V5496" s="133" t="s">
        <v>11955</v>
      </c>
      <c r="AA5496" s="395"/>
    </row>
    <row r="5497" spans="1:27" ht="24" x14ac:dyDescent="0.25">
      <c r="A5497" s="405">
        <v>3004327</v>
      </c>
      <c r="B5497" s="406">
        <v>42627</v>
      </c>
      <c r="C5497" s="405" t="s">
        <v>327</v>
      </c>
      <c r="D5497" s="401" t="s">
        <v>11956</v>
      </c>
      <c r="E5497" s="120">
        <v>650</v>
      </c>
      <c r="F5497" s="133" t="s">
        <v>11957</v>
      </c>
      <c r="G5497" s="404" t="s">
        <v>45</v>
      </c>
      <c r="H5497" s="411">
        <v>968.5</v>
      </c>
      <c r="I5497" s="187">
        <v>0</v>
      </c>
      <c r="J5497" s="258">
        <f>-((H5497*0.022)+0.3)</f>
        <v>-21.606999999999999</v>
      </c>
      <c r="K5497" s="90">
        <f t="shared" ref="K5497" si="1952">SUM(H5497:J5497)</f>
        <v>946.89300000000003</v>
      </c>
      <c r="L5497" s="187">
        <v>1079</v>
      </c>
      <c r="M5497" s="131">
        <v>0</v>
      </c>
      <c r="N5497" s="91">
        <f t="shared" si="1930"/>
        <v>701.35</v>
      </c>
      <c r="O5497" s="411">
        <f t="shared" si="1926"/>
        <v>245.54300000000001</v>
      </c>
      <c r="P5497" s="132" t="s">
        <v>59</v>
      </c>
      <c r="Q5497" s="232"/>
      <c r="R5497" s="411"/>
      <c r="T5497" s="134" t="s">
        <v>260</v>
      </c>
      <c r="U5497" s="267" t="s">
        <v>11958</v>
      </c>
      <c r="W5497" s="153" t="s">
        <v>11959</v>
      </c>
      <c r="AA5497" s="218"/>
    </row>
    <row r="5498" spans="1:27" x14ac:dyDescent="0.25">
      <c r="A5498" s="405">
        <v>3004328</v>
      </c>
      <c r="B5498" s="406">
        <v>42627</v>
      </c>
      <c r="C5498" s="405" t="s">
        <v>327</v>
      </c>
      <c r="D5498" s="401" t="s">
        <v>11960</v>
      </c>
      <c r="E5498" s="120">
        <v>2000</v>
      </c>
      <c r="F5498" s="133" t="s">
        <v>418</v>
      </c>
      <c r="G5498" s="404" t="s">
        <v>45</v>
      </c>
      <c r="H5498" s="411">
        <v>600</v>
      </c>
      <c r="I5498" s="187">
        <v>0</v>
      </c>
      <c r="J5498" s="258">
        <f>-((H5498*0.022)+0.3)</f>
        <v>-13.5</v>
      </c>
      <c r="K5498" s="90">
        <f t="shared" ref="K5498:K5499" si="1953">SUM(H5498:J5498)</f>
        <v>586.5</v>
      </c>
      <c r="L5498" s="187">
        <v>185</v>
      </c>
      <c r="M5498" s="187">
        <v>84.03</v>
      </c>
      <c r="N5498" s="91">
        <f t="shared" si="1930"/>
        <v>454.03</v>
      </c>
      <c r="O5498" s="411">
        <f t="shared" si="1926"/>
        <v>132.47000000000003</v>
      </c>
      <c r="P5498" s="132" t="s">
        <v>235</v>
      </c>
      <c r="Q5498" s="232"/>
      <c r="R5498" s="411"/>
      <c r="T5498" s="134" t="s">
        <v>565</v>
      </c>
      <c r="U5498" s="267" t="s">
        <v>11961</v>
      </c>
      <c r="W5498" s="153" t="s">
        <v>11962</v>
      </c>
      <c r="AA5498" s="218"/>
    </row>
    <row r="5499" spans="1:27" ht="24" x14ac:dyDescent="0.25">
      <c r="A5499" s="405">
        <v>3004329</v>
      </c>
      <c r="B5499" s="406">
        <v>42627</v>
      </c>
      <c r="C5499" s="405" t="s">
        <v>42</v>
      </c>
      <c r="D5499" s="401" t="s">
        <v>11963</v>
      </c>
      <c r="E5499" s="120">
        <v>150</v>
      </c>
      <c r="F5499" s="133" t="s">
        <v>431</v>
      </c>
      <c r="G5499" s="404" t="s">
        <v>45</v>
      </c>
      <c r="H5499" s="411">
        <v>319.27999999999997</v>
      </c>
      <c r="I5499" s="89">
        <f>-(H5499*0.09)</f>
        <v>-28.735199999999995</v>
      </c>
      <c r="J5499" s="258">
        <f t="shared" ref="J5499" si="1954">-((H5499*0.019)+0.3)</f>
        <v>-6.3663199999999991</v>
      </c>
      <c r="K5499" s="90">
        <f t="shared" si="1953"/>
        <v>284.17847999999998</v>
      </c>
      <c r="L5499" s="131">
        <v>990</v>
      </c>
      <c r="M5499" s="187">
        <v>25.17</v>
      </c>
      <c r="N5499" s="91">
        <f t="shared" si="1930"/>
        <v>173.67000000000002</v>
      </c>
      <c r="O5499" s="411">
        <f t="shared" si="1926"/>
        <v>110.50847999999996</v>
      </c>
      <c r="P5499" s="132" t="s">
        <v>52</v>
      </c>
      <c r="Q5499" s="232"/>
      <c r="R5499" s="411"/>
      <c r="T5499" s="134" t="s">
        <v>145</v>
      </c>
      <c r="U5499" s="267" t="s">
        <v>11964</v>
      </c>
      <c r="AA5499" s="218"/>
    </row>
    <row r="5500" spans="1:27" ht="24" x14ac:dyDescent="0.25">
      <c r="A5500" s="405">
        <v>3004330</v>
      </c>
      <c r="B5500" s="406">
        <v>42627</v>
      </c>
      <c r="C5500" s="405" t="s">
        <v>42</v>
      </c>
      <c r="D5500" s="401" t="s">
        <v>11965</v>
      </c>
      <c r="E5500" s="120">
        <v>100</v>
      </c>
      <c r="F5500" s="133" t="s">
        <v>3838</v>
      </c>
      <c r="G5500" s="404" t="s">
        <v>45</v>
      </c>
      <c r="H5500" s="411">
        <v>123.94</v>
      </c>
      <c r="I5500" s="89">
        <f>-(H5500*0.09)</f>
        <v>-11.154599999999999</v>
      </c>
      <c r="J5500" s="258">
        <f t="shared" ref="J5500" si="1955">-((H5500*0.019)+0.3)</f>
        <v>-2.6548599999999998</v>
      </c>
      <c r="K5500" s="90">
        <f t="shared" ref="K5500" si="1956">SUM(H5500:J5500)</f>
        <v>110.13054</v>
      </c>
      <c r="L5500" s="131">
        <v>480</v>
      </c>
      <c r="M5500" s="187">
        <v>20.399999999999999</v>
      </c>
      <c r="N5500" s="91">
        <f t="shared" si="1930"/>
        <v>68.400000000000006</v>
      </c>
      <c r="O5500" s="411">
        <f t="shared" si="1926"/>
        <v>41.730539999999991</v>
      </c>
      <c r="P5500" s="132" t="s">
        <v>52</v>
      </c>
      <c r="Q5500" s="232"/>
      <c r="R5500" s="411"/>
      <c r="T5500" s="134" t="s">
        <v>145</v>
      </c>
      <c r="U5500" s="267" t="s">
        <v>11966</v>
      </c>
      <c r="AA5500" s="218"/>
    </row>
    <row r="5501" spans="1:27" ht="24" x14ac:dyDescent="0.25">
      <c r="A5501" s="405">
        <v>3004331</v>
      </c>
      <c r="B5501" s="406">
        <v>42627</v>
      </c>
      <c r="C5501" s="405" t="s">
        <v>42</v>
      </c>
      <c r="D5501" s="401" t="s">
        <v>11967</v>
      </c>
      <c r="E5501" s="120">
        <v>50</v>
      </c>
      <c r="F5501" s="133" t="s">
        <v>2517</v>
      </c>
      <c r="G5501" s="404" t="s">
        <v>45</v>
      </c>
      <c r="H5501" s="411">
        <v>288.14999999999998</v>
      </c>
      <c r="I5501" s="89">
        <f>-(H5501*0.09)</f>
        <v>-25.933499999999999</v>
      </c>
      <c r="J5501" s="258">
        <f t="shared" ref="J5501" si="1957">-((H5501*0.019)+0.3)</f>
        <v>-5.7748499999999989</v>
      </c>
      <c r="K5501" s="90">
        <f t="shared" ref="K5501" si="1958">SUM(H5501:J5501)</f>
        <v>256.44164999999998</v>
      </c>
      <c r="L5501" s="131">
        <v>2230</v>
      </c>
      <c r="M5501" s="187">
        <v>23.11</v>
      </c>
      <c r="N5501" s="91">
        <f t="shared" si="1930"/>
        <v>134.61000000000001</v>
      </c>
      <c r="O5501" s="411">
        <f t="shared" si="1926"/>
        <v>121.83164999999997</v>
      </c>
      <c r="P5501" s="132" t="s">
        <v>52</v>
      </c>
      <c r="Q5501" s="232"/>
      <c r="R5501" s="411">
        <v>21.34</v>
      </c>
      <c r="S5501" s="133" t="s">
        <v>1169</v>
      </c>
      <c r="T5501" s="134" t="s">
        <v>145</v>
      </c>
      <c r="U5501" s="267" t="s">
        <v>11968</v>
      </c>
      <c r="AA5501" s="218"/>
    </row>
    <row r="5502" spans="1:27" ht="24" x14ac:dyDescent="0.25">
      <c r="A5502" s="405">
        <v>3004332</v>
      </c>
      <c r="B5502" s="406">
        <v>42627</v>
      </c>
      <c r="C5502" s="405" t="s">
        <v>42</v>
      </c>
      <c r="D5502" s="401" t="s">
        <v>11969</v>
      </c>
      <c r="E5502" s="120">
        <v>50</v>
      </c>
      <c r="F5502" s="133" t="s">
        <v>4767</v>
      </c>
      <c r="G5502" s="404" t="s">
        <v>45</v>
      </c>
      <c r="H5502" s="411">
        <v>156.02000000000001</v>
      </c>
      <c r="I5502" s="89">
        <f>-(H5502*0.09)</f>
        <v>-14.0418</v>
      </c>
      <c r="J5502" s="258">
        <f t="shared" ref="J5502" si="1959">-((H5502*0.019)+0.3)</f>
        <v>-3.2643800000000001</v>
      </c>
      <c r="K5502" s="90">
        <f t="shared" ref="K5502" si="1960">SUM(H5502:J5502)</f>
        <v>138.71382000000003</v>
      </c>
      <c r="L5502" s="187">
        <v>1300</v>
      </c>
      <c r="M5502" s="187">
        <v>19.71</v>
      </c>
      <c r="N5502" s="91">
        <f t="shared" si="1930"/>
        <v>84.710000000000008</v>
      </c>
      <c r="O5502" s="411">
        <f t="shared" si="1926"/>
        <v>54.003820000000019</v>
      </c>
      <c r="P5502" s="132" t="s">
        <v>183</v>
      </c>
      <c r="Q5502" s="232"/>
      <c r="R5502" s="411"/>
      <c r="T5502" s="134" t="s">
        <v>145</v>
      </c>
      <c r="U5502" s="267" t="s">
        <v>11970</v>
      </c>
      <c r="AA5502" s="218"/>
    </row>
    <row r="5503" spans="1:27" x14ac:dyDescent="0.25">
      <c r="A5503" s="419">
        <v>3004333</v>
      </c>
      <c r="B5503" s="421">
        <v>42627</v>
      </c>
      <c r="C5503" s="419" t="s">
        <v>42</v>
      </c>
      <c r="D5503" s="417" t="s">
        <v>11971</v>
      </c>
      <c r="E5503" s="120">
        <v>250</v>
      </c>
      <c r="F5503" s="133" t="s">
        <v>307</v>
      </c>
      <c r="G5503" s="434" t="s">
        <v>45</v>
      </c>
      <c r="H5503" s="427">
        <v>557.6</v>
      </c>
      <c r="I5503" s="452">
        <f>-(H5503*0.09)</f>
        <v>-50.183999999999997</v>
      </c>
      <c r="J5503" s="425">
        <f t="shared" ref="J5503" si="1961">-((H5503*0.019)+0.3)</f>
        <v>-10.894400000000001</v>
      </c>
      <c r="K5503" s="425">
        <f t="shared" ref="K5503" si="1962">SUM(H5503:J5503)</f>
        <v>496.52160000000003</v>
      </c>
      <c r="L5503" s="131">
        <v>640</v>
      </c>
      <c r="M5503" s="187">
        <v>52.74</v>
      </c>
      <c r="N5503" s="91">
        <f t="shared" si="1930"/>
        <v>212.74</v>
      </c>
      <c r="O5503" s="411">
        <f t="shared" si="1926"/>
        <v>283.78160000000003</v>
      </c>
      <c r="P5503" s="132" t="s">
        <v>52</v>
      </c>
      <c r="Q5503" s="232"/>
      <c r="R5503" s="411"/>
      <c r="T5503" s="470" t="s">
        <v>145</v>
      </c>
      <c r="U5503" s="267" t="s">
        <v>11972</v>
      </c>
      <c r="AA5503" s="218"/>
    </row>
    <row r="5504" spans="1:27" x14ac:dyDescent="0.25">
      <c r="A5504" s="420"/>
      <c r="B5504" s="422"/>
      <c r="C5504" s="420"/>
      <c r="D5504" s="418"/>
      <c r="E5504" s="120">
        <v>250</v>
      </c>
      <c r="F5504" s="133" t="s">
        <v>173</v>
      </c>
      <c r="G5504" s="436"/>
      <c r="H5504" s="428"/>
      <c r="I5504" s="453"/>
      <c r="J5504" s="426"/>
      <c r="K5504" s="426"/>
      <c r="L5504" s="131">
        <v>409</v>
      </c>
      <c r="M5504" s="187">
        <v>37.409999999999997</v>
      </c>
      <c r="N5504" s="91">
        <f t="shared" si="1930"/>
        <v>139.66</v>
      </c>
      <c r="O5504" s="411">
        <f t="shared" si="1926"/>
        <v>-139.66</v>
      </c>
      <c r="P5504" s="132" t="s">
        <v>52</v>
      </c>
      <c r="Q5504" s="232"/>
      <c r="R5504" s="411"/>
      <c r="T5504" s="472"/>
      <c r="U5504" s="267" t="s">
        <v>11973</v>
      </c>
      <c r="AA5504" s="218"/>
    </row>
    <row r="5505" spans="1:27" ht="24" x14ac:dyDescent="0.25">
      <c r="A5505" s="405">
        <v>3004334</v>
      </c>
      <c r="B5505" s="406">
        <v>42627</v>
      </c>
      <c r="C5505" s="405" t="s">
        <v>42</v>
      </c>
      <c r="D5505" s="401" t="s">
        <v>11974</v>
      </c>
      <c r="E5505" s="120">
        <v>45</v>
      </c>
      <c r="F5505" s="133" t="s">
        <v>247</v>
      </c>
      <c r="G5505" s="404" t="s">
        <v>45</v>
      </c>
      <c r="H5505" s="411">
        <v>67.8</v>
      </c>
      <c r="I5505" s="89">
        <f t="shared" ref="I5505:I5511" si="1963">-(H5505*0.09)</f>
        <v>-6.1019999999999994</v>
      </c>
      <c r="J5505" s="258">
        <f t="shared" ref="J5505" si="1964">-((H5505*0.019)+0.3)</f>
        <v>-1.5882000000000001</v>
      </c>
      <c r="K5505" s="90">
        <f t="shared" ref="K5505" si="1965">SUM(H5505:J5505)</f>
        <v>60.1098</v>
      </c>
      <c r="L5505" s="131">
        <v>480</v>
      </c>
      <c r="M5505" s="187">
        <v>23.97</v>
      </c>
      <c r="N5505" s="91">
        <f t="shared" si="1930"/>
        <v>45.569999999999993</v>
      </c>
      <c r="O5505" s="411">
        <f t="shared" si="1926"/>
        <v>14.539800000000007</v>
      </c>
      <c r="P5505" s="132" t="s">
        <v>52</v>
      </c>
      <c r="Q5505" s="232"/>
      <c r="R5505" s="411"/>
      <c r="T5505" s="134" t="s">
        <v>145</v>
      </c>
      <c r="U5505" s="267" t="s">
        <v>11975</v>
      </c>
      <c r="AA5505" s="218"/>
    </row>
    <row r="5506" spans="1:27" ht="24" x14ac:dyDescent="0.25">
      <c r="A5506" s="405">
        <v>3004335</v>
      </c>
      <c r="B5506" s="406">
        <v>42627</v>
      </c>
      <c r="C5506" s="405" t="s">
        <v>42</v>
      </c>
      <c r="D5506" s="401" t="s">
        <v>11976</v>
      </c>
      <c r="E5506" s="120">
        <v>200</v>
      </c>
      <c r="F5506" s="133" t="s">
        <v>829</v>
      </c>
      <c r="G5506" s="404" t="s">
        <v>45</v>
      </c>
      <c r="H5506" s="411">
        <v>208.31</v>
      </c>
      <c r="I5506" s="89">
        <f t="shared" si="1963"/>
        <v>-18.747899999999998</v>
      </c>
      <c r="J5506" s="258">
        <f t="shared" ref="J5506" si="1966">-((H5506*0.019)+0.3)</f>
        <v>-4.2578899999999997</v>
      </c>
      <c r="K5506" s="90">
        <f t="shared" ref="K5506" si="1967">SUM(H5506:J5506)</f>
        <v>185.30421000000001</v>
      </c>
      <c r="L5506" s="131">
        <v>510</v>
      </c>
      <c r="M5506" s="187">
        <v>37.03</v>
      </c>
      <c r="N5506" s="91">
        <f t="shared" si="1930"/>
        <v>139.03</v>
      </c>
      <c r="O5506" s="411">
        <f t="shared" si="1926"/>
        <v>46.274210000000011</v>
      </c>
      <c r="P5506" s="132" t="s">
        <v>52</v>
      </c>
      <c r="Q5506" s="232"/>
      <c r="R5506" s="411"/>
      <c r="T5506" s="134" t="s">
        <v>145</v>
      </c>
      <c r="U5506" s="267" t="s">
        <v>11977</v>
      </c>
      <c r="AA5506" s="218"/>
    </row>
    <row r="5507" spans="1:27" ht="24" x14ac:dyDescent="0.25">
      <c r="A5507" s="405">
        <v>3004336</v>
      </c>
      <c r="B5507" s="406">
        <v>42627</v>
      </c>
      <c r="C5507" s="405" t="s">
        <v>42</v>
      </c>
      <c r="D5507" s="401" t="s">
        <v>11978</v>
      </c>
      <c r="E5507" s="120">
        <v>175</v>
      </c>
      <c r="F5507" s="133" t="s">
        <v>247</v>
      </c>
      <c r="G5507" s="404" t="s">
        <v>45</v>
      </c>
      <c r="H5507" s="411">
        <v>216.88</v>
      </c>
      <c r="I5507" s="89">
        <f t="shared" si="1963"/>
        <v>-19.519199999999998</v>
      </c>
      <c r="J5507" s="258">
        <f t="shared" ref="J5507" si="1968">-((H5507*0.019)+0.3)</f>
        <v>-4.4207199999999993</v>
      </c>
      <c r="K5507" s="90">
        <f t="shared" ref="K5507" si="1969">SUM(H5507:J5507)</f>
        <v>192.94007999999999</v>
      </c>
      <c r="L5507" s="187">
        <v>672</v>
      </c>
      <c r="M5507" s="187">
        <v>38.700000000000003</v>
      </c>
      <c r="N5507" s="91">
        <f t="shared" si="1930"/>
        <v>156.30000000000001</v>
      </c>
      <c r="O5507" s="411">
        <f t="shared" si="1926"/>
        <v>36.640079999999983</v>
      </c>
      <c r="P5507" s="132" t="s">
        <v>313</v>
      </c>
      <c r="Q5507" s="232"/>
      <c r="R5507" s="411"/>
      <c r="T5507" s="134" t="s">
        <v>145</v>
      </c>
      <c r="U5507" s="267" t="s">
        <v>11979</v>
      </c>
      <c r="AA5507" s="218"/>
    </row>
    <row r="5508" spans="1:27" x14ac:dyDescent="0.25">
      <c r="A5508" s="405">
        <v>3004337</v>
      </c>
      <c r="B5508" s="406">
        <v>42627</v>
      </c>
      <c r="C5508" s="405" t="s">
        <v>42</v>
      </c>
      <c r="D5508" s="401" t="s">
        <v>11980</v>
      </c>
      <c r="E5508" s="120">
        <v>250</v>
      </c>
      <c r="F5508" s="133" t="s">
        <v>11981</v>
      </c>
      <c r="G5508" s="404" t="s">
        <v>45</v>
      </c>
      <c r="H5508" s="411">
        <v>475</v>
      </c>
      <c r="I5508" s="89">
        <f t="shared" si="1963"/>
        <v>-42.75</v>
      </c>
      <c r="J5508" s="258">
        <f t="shared" ref="J5508" si="1970">-((H5508*0.019)+0.3)</f>
        <v>-9.3250000000000011</v>
      </c>
      <c r="K5508" s="90">
        <f t="shared" ref="K5508" si="1971">SUM(H5508:J5508)</f>
        <v>422.92500000000001</v>
      </c>
      <c r="L5508" s="187">
        <v>1242</v>
      </c>
      <c r="M5508" s="211">
        <v>38.130000000000003</v>
      </c>
      <c r="N5508" s="91">
        <f t="shared" si="1930"/>
        <v>348.63</v>
      </c>
      <c r="O5508" s="411">
        <f t="shared" ref="O5508:O5571" si="1972">K5508-N5508</f>
        <v>74.295000000000016</v>
      </c>
      <c r="P5508" s="132" t="s">
        <v>638</v>
      </c>
      <c r="Q5508" s="232"/>
      <c r="R5508" s="411"/>
      <c r="T5508" s="135" t="s">
        <v>314</v>
      </c>
      <c r="U5508" s="261">
        <v>777294989292</v>
      </c>
      <c r="AA5508" s="218"/>
    </row>
    <row r="5509" spans="1:27" ht="24" x14ac:dyDescent="0.25">
      <c r="A5509" s="405">
        <v>3004338</v>
      </c>
      <c r="B5509" s="406">
        <v>42627</v>
      </c>
      <c r="C5509" s="405" t="s">
        <v>42</v>
      </c>
      <c r="D5509" s="401" t="s">
        <v>11982</v>
      </c>
      <c r="E5509" s="120">
        <v>50</v>
      </c>
      <c r="F5509" s="133" t="s">
        <v>11983</v>
      </c>
      <c r="G5509" s="404" t="s">
        <v>45</v>
      </c>
      <c r="H5509" s="411">
        <v>144.34</v>
      </c>
      <c r="I5509" s="89">
        <f t="shared" si="1963"/>
        <v>-12.990600000000001</v>
      </c>
      <c r="J5509" s="258">
        <f t="shared" ref="J5509:J5510" si="1973">-((H5509*0.019)+0.3)</f>
        <v>-3.0424599999999997</v>
      </c>
      <c r="K5509" s="90">
        <f t="shared" ref="K5509:K5510" si="1974">SUM(H5509:J5509)</f>
        <v>128.30694</v>
      </c>
      <c r="M5509" s="187">
        <v>20.22</v>
      </c>
      <c r="N5509" s="91">
        <f t="shared" si="1930"/>
        <v>20.22</v>
      </c>
      <c r="O5509" s="411">
        <f t="shared" si="1972"/>
        <v>108.08694</v>
      </c>
      <c r="P5509" s="132" t="s">
        <v>52</v>
      </c>
      <c r="Q5509" s="232"/>
      <c r="R5509" s="411">
        <v>9.44</v>
      </c>
      <c r="S5509" s="133" t="s">
        <v>4933</v>
      </c>
      <c r="T5509" s="134" t="s">
        <v>145</v>
      </c>
      <c r="U5509" s="267" t="s">
        <v>11984</v>
      </c>
      <c r="AA5509" s="218"/>
    </row>
    <row r="5510" spans="1:27" ht="24" x14ac:dyDescent="0.25">
      <c r="A5510" s="405">
        <v>3004339</v>
      </c>
      <c r="B5510" s="406">
        <v>42627</v>
      </c>
      <c r="C5510" s="405" t="s">
        <v>42</v>
      </c>
      <c r="D5510" s="401" t="s">
        <v>11985</v>
      </c>
      <c r="E5510" s="120">
        <v>175</v>
      </c>
      <c r="F5510" s="133" t="s">
        <v>247</v>
      </c>
      <c r="G5510" s="404" t="s">
        <v>45</v>
      </c>
      <c r="H5510" s="411">
        <v>216.88</v>
      </c>
      <c r="I5510" s="89">
        <f t="shared" si="1963"/>
        <v>-19.519199999999998</v>
      </c>
      <c r="J5510" s="258">
        <f t="shared" si="1973"/>
        <v>-4.4207199999999993</v>
      </c>
      <c r="K5510" s="90">
        <f t="shared" si="1974"/>
        <v>192.94007999999999</v>
      </c>
      <c r="L5510" s="187">
        <v>672</v>
      </c>
      <c r="M5510" s="187">
        <v>39.01</v>
      </c>
      <c r="N5510" s="91">
        <f t="shared" si="1930"/>
        <v>156.61000000000001</v>
      </c>
      <c r="O5510" s="411">
        <f t="shared" si="1972"/>
        <v>36.330079999999981</v>
      </c>
      <c r="P5510" s="132" t="s">
        <v>313</v>
      </c>
      <c r="Q5510" s="232"/>
      <c r="R5510" s="411"/>
      <c r="T5510" s="134" t="s">
        <v>145</v>
      </c>
      <c r="U5510" s="267" t="s">
        <v>11986</v>
      </c>
      <c r="AA5510" s="218"/>
    </row>
    <row r="5511" spans="1:27" x14ac:dyDescent="0.25">
      <c r="A5511" s="405">
        <v>3004340</v>
      </c>
      <c r="B5511" s="406">
        <v>42627</v>
      </c>
      <c r="C5511" s="405" t="s">
        <v>42</v>
      </c>
      <c r="D5511" s="401" t="s">
        <v>11987</v>
      </c>
      <c r="E5511" s="120">
        <v>260</v>
      </c>
      <c r="F5511" s="133" t="s">
        <v>422</v>
      </c>
      <c r="G5511" s="404" t="s">
        <v>45</v>
      </c>
      <c r="H5511" s="411">
        <v>401.97</v>
      </c>
      <c r="I5511" s="89">
        <f t="shared" si="1963"/>
        <v>-36.177300000000002</v>
      </c>
      <c r="J5511" s="258">
        <f t="shared" ref="J5511" si="1975">-((H5511*0.019)+0.3)</f>
        <v>-7.93743</v>
      </c>
      <c r="K5511" s="90">
        <f t="shared" ref="K5511" si="1976">SUM(H5511:J5511)</f>
        <v>357.85527000000002</v>
      </c>
      <c r="L5511" s="187">
        <v>900</v>
      </c>
      <c r="M5511" s="187">
        <v>105</v>
      </c>
      <c r="N5511" s="91">
        <f t="shared" si="1930"/>
        <v>339</v>
      </c>
      <c r="O5511" s="411">
        <f t="shared" si="1972"/>
        <v>18.855270000000019</v>
      </c>
      <c r="P5511" s="132" t="s">
        <v>183</v>
      </c>
      <c r="Q5511" s="232"/>
      <c r="R5511" s="411"/>
      <c r="T5511" s="134" t="s">
        <v>565</v>
      </c>
      <c r="U5511" s="267" t="s">
        <v>11988</v>
      </c>
      <c r="AA5511" s="218"/>
    </row>
    <row r="5512" spans="1:27" ht="24" x14ac:dyDescent="0.25">
      <c r="A5512" s="405">
        <v>3004341</v>
      </c>
      <c r="B5512" s="406">
        <v>42627</v>
      </c>
      <c r="C5512" s="405" t="s">
        <v>237</v>
      </c>
      <c r="D5512" s="401" t="s">
        <v>11989</v>
      </c>
      <c r="E5512" s="120">
        <v>50</v>
      </c>
      <c r="F5512" s="133" t="s">
        <v>288</v>
      </c>
      <c r="G5512" s="404" t="s">
        <v>45</v>
      </c>
      <c r="H5512" s="411">
        <v>108.93</v>
      </c>
      <c r="I5512" s="397">
        <f t="shared" ref="I5512" si="1977">-(H5512*0.15)</f>
        <v>-16.339500000000001</v>
      </c>
      <c r="J5512" s="258">
        <v>0</v>
      </c>
      <c r="K5512" s="90">
        <f t="shared" ref="K5512:K5517" si="1978">SUM(H5512:J5512)</f>
        <v>92.590500000000006</v>
      </c>
      <c r="L5512" s="131">
        <v>950</v>
      </c>
      <c r="M5512" s="187">
        <v>19.48</v>
      </c>
      <c r="N5512" s="91">
        <f t="shared" si="1930"/>
        <v>66.98</v>
      </c>
      <c r="O5512" s="411">
        <f t="shared" si="1972"/>
        <v>25.610500000000002</v>
      </c>
      <c r="P5512" s="132" t="s">
        <v>86</v>
      </c>
      <c r="Q5512" s="232"/>
      <c r="R5512" s="411"/>
      <c r="T5512" s="134" t="s">
        <v>145</v>
      </c>
      <c r="U5512" s="267" t="s">
        <v>11990</v>
      </c>
      <c r="AA5512" s="218"/>
    </row>
    <row r="5513" spans="1:27" x14ac:dyDescent="0.25">
      <c r="A5513" s="405">
        <v>3004342</v>
      </c>
      <c r="B5513" s="406">
        <v>42627</v>
      </c>
      <c r="C5513" s="405" t="s">
        <v>237</v>
      </c>
      <c r="D5513" s="401" t="s">
        <v>11991</v>
      </c>
      <c r="E5513" s="120">
        <v>250</v>
      </c>
      <c r="F5513" s="133" t="s">
        <v>161</v>
      </c>
      <c r="G5513" s="404" t="s">
        <v>45</v>
      </c>
      <c r="H5513" s="411">
        <v>628.42999999999995</v>
      </c>
      <c r="I5513" s="397">
        <f t="shared" ref="I5513" si="1979">-(H5513*0.15)</f>
        <v>-94.264499999999984</v>
      </c>
      <c r="J5513" s="258">
        <v>0</v>
      </c>
      <c r="K5513" s="90">
        <f t="shared" si="1978"/>
        <v>534.16549999999995</v>
      </c>
      <c r="L5513" s="131">
        <v>1322</v>
      </c>
      <c r="M5513" s="187">
        <v>90</v>
      </c>
      <c r="N5513" s="91">
        <f t="shared" si="1930"/>
        <v>420.5</v>
      </c>
      <c r="O5513" s="411">
        <f t="shared" si="1972"/>
        <v>113.66549999999995</v>
      </c>
      <c r="P5513" s="132" t="s">
        <v>86</v>
      </c>
      <c r="Q5513" s="232"/>
      <c r="R5513" s="411"/>
      <c r="T5513" s="134" t="s">
        <v>875</v>
      </c>
      <c r="U5513" s="267" t="s">
        <v>11992</v>
      </c>
      <c r="V5513" s="133" t="s">
        <v>55</v>
      </c>
      <c r="AA5513" s="218"/>
    </row>
    <row r="5514" spans="1:27" ht="36" x14ac:dyDescent="0.25">
      <c r="A5514" s="405">
        <v>3004343</v>
      </c>
      <c r="B5514" s="406">
        <v>42627</v>
      </c>
      <c r="C5514" s="405" t="s">
        <v>237</v>
      </c>
      <c r="D5514" s="401" t="s">
        <v>11993</v>
      </c>
      <c r="E5514" s="120">
        <v>1000</v>
      </c>
      <c r="F5514" s="119" t="s">
        <v>11994</v>
      </c>
      <c r="G5514" s="404" t="s">
        <v>45</v>
      </c>
      <c r="H5514" s="411">
        <v>196.45</v>
      </c>
      <c r="I5514" s="397">
        <f t="shared" ref="I5514:I5515" si="1980">-(H5514*0.15)</f>
        <v>-29.467499999999998</v>
      </c>
      <c r="J5514" s="258">
        <v>0</v>
      </c>
      <c r="K5514" s="90">
        <f t="shared" si="1978"/>
        <v>166.98249999999999</v>
      </c>
      <c r="L5514" s="187">
        <v>85</v>
      </c>
      <c r="M5514" s="187">
        <v>22.84</v>
      </c>
      <c r="N5514" s="91">
        <f t="shared" si="1930"/>
        <v>107.84</v>
      </c>
      <c r="O5514" s="411">
        <f t="shared" si="1972"/>
        <v>59.142499999999984</v>
      </c>
      <c r="P5514" s="132" t="s">
        <v>183</v>
      </c>
      <c r="Q5514" s="232"/>
      <c r="R5514" s="411"/>
      <c r="T5514" s="134" t="s">
        <v>145</v>
      </c>
      <c r="U5514" s="267" t="s">
        <v>11995</v>
      </c>
      <c r="AA5514" s="218"/>
    </row>
    <row r="5515" spans="1:27" x14ac:dyDescent="0.25">
      <c r="A5515" s="405">
        <v>3004344</v>
      </c>
      <c r="B5515" s="406">
        <v>42627</v>
      </c>
      <c r="C5515" s="405" t="s">
        <v>237</v>
      </c>
      <c r="D5515" s="401" t="s">
        <v>11996</v>
      </c>
      <c r="E5515" s="120">
        <v>350</v>
      </c>
      <c r="F5515" s="133" t="s">
        <v>51</v>
      </c>
      <c r="G5515" s="404" t="s">
        <v>45</v>
      </c>
      <c r="H5515" s="411">
        <v>642.88</v>
      </c>
      <c r="I5515" s="397">
        <f t="shared" si="1980"/>
        <v>-96.432000000000002</v>
      </c>
      <c r="J5515" s="258">
        <v>0</v>
      </c>
      <c r="K5515" s="90">
        <f t="shared" si="1978"/>
        <v>546.44799999999998</v>
      </c>
      <c r="L5515" s="187">
        <v>1200</v>
      </c>
      <c r="M5515" s="187">
        <v>105</v>
      </c>
      <c r="N5515" s="91">
        <f t="shared" si="1930"/>
        <v>525</v>
      </c>
      <c r="O5515" s="411">
        <f t="shared" si="1972"/>
        <v>21.447999999999979</v>
      </c>
      <c r="P5515" s="132" t="s">
        <v>183</v>
      </c>
      <c r="Q5515" s="232"/>
      <c r="R5515" s="411"/>
      <c r="T5515" s="134" t="s">
        <v>565</v>
      </c>
      <c r="U5515" s="267" t="s">
        <v>11997</v>
      </c>
      <c r="AA5515" s="218"/>
    </row>
    <row r="5516" spans="1:27" ht="24" x14ac:dyDescent="0.25">
      <c r="A5516" s="405">
        <v>3004345</v>
      </c>
      <c r="B5516" s="406">
        <v>42627</v>
      </c>
      <c r="C5516" s="405" t="s">
        <v>237</v>
      </c>
      <c r="D5516" s="401" t="s">
        <v>11998</v>
      </c>
      <c r="E5516" s="120">
        <v>75</v>
      </c>
      <c r="F5516" s="133" t="s">
        <v>341</v>
      </c>
      <c r="G5516" s="404" t="s">
        <v>45</v>
      </c>
      <c r="H5516" s="411">
        <v>126.71</v>
      </c>
      <c r="I5516" s="397">
        <f t="shared" ref="I5516" si="1981">-(H5516*0.15)</f>
        <v>-19.006499999999999</v>
      </c>
      <c r="J5516" s="258">
        <v>0</v>
      </c>
      <c r="K5516" s="90">
        <f t="shared" si="1978"/>
        <v>107.70349999999999</v>
      </c>
      <c r="L5516" s="131">
        <v>698</v>
      </c>
      <c r="M5516" s="187">
        <v>34.06</v>
      </c>
      <c r="N5516" s="91">
        <f t="shared" si="1930"/>
        <v>86.41</v>
      </c>
      <c r="O5516" s="411">
        <f t="shared" si="1972"/>
        <v>21.293499999999995</v>
      </c>
      <c r="P5516" s="132" t="s">
        <v>52</v>
      </c>
      <c r="Q5516" s="232"/>
      <c r="R5516" s="411"/>
      <c r="T5516" s="134" t="s">
        <v>145</v>
      </c>
      <c r="U5516" s="267" t="s">
        <v>11999</v>
      </c>
      <c r="AA5516" s="218"/>
    </row>
    <row r="5517" spans="1:27" x14ac:dyDescent="0.25">
      <c r="A5517" s="419">
        <v>3004346</v>
      </c>
      <c r="B5517" s="421">
        <v>42627</v>
      </c>
      <c r="C5517" s="419" t="s">
        <v>56</v>
      </c>
      <c r="D5517" s="417" t="s">
        <v>3595</v>
      </c>
      <c r="E5517" s="120">
        <v>100</v>
      </c>
      <c r="F5517" s="133" t="s">
        <v>12000</v>
      </c>
      <c r="G5517" s="434" t="s">
        <v>45</v>
      </c>
      <c r="H5517" s="427">
        <v>585</v>
      </c>
      <c r="I5517" s="427">
        <v>0</v>
      </c>
      <c r="J5517" s="427">
        <v>0</v>
      </c>
      <c r="K5517" s="425">
        <f t="shared" si="1978"/>
        <v>585</v>
      </c>
      <c r="L5517" s="187">
        <v>2615</v>
      </c>
      <c r="N5517" s="91">
        <f t="shared" ref="N5517:N5578" si="1982">((L5517)*(E5517*0.001))+M5517</f>
        <v>261.5</v>
      </c>
      <c r="O5517" s="411">
        <f t="shared" si="1972"/>
        <v>323.5</v>
      </c>
      <c r="P5517" s="132" t="s">
        <v>330</v>
      </c>
      <c r="Q5517" s="232"/>
      <c r="R5517" s="411"/>
      <c r="T5517" s="470" t="s">
        <v>324</v>
      </c>
      <c r="U5517" s="505" t="s">
        <v>12001</v>
      </c>
      <c r="V5517" s="133" t="s">
        <v>12002</v>
      </c>
      <c r="W5517" s="153" t="s">
        <v>298</v>
      </c>
      <c r="AA5517" s="218"/>
    </row>
    <row r="5518" spans="1:27" x14ac:dyDescent="0.25">
      <c r="A5518" s="420"/>
      <c r="B5518" s="422"/>
      <c r="C5518" s="420"/>
      <c r="D5518" s="418"/>
      <c r="E5518" s="120">
        <v>500</v>
      </c>
      <c r="F5518" s="133" t="s">
        <v>12003</v>
      </c>
      <c r="G5518" s="436"/>
      <c r="H5518" s="428"/>
      <c r="I5518" s="428"/>
      <c r="J5518" s="428"/>
      <c r="K5518" s="426"/>
      <c r="L5518" s="187">
        <v>305</v>
      </c>
      <c r="N5518" s="91">
        <f t="shared" si="1982"/>
        <v>152.5</v>
      </c>
      <c r="O5518" s="411">
        <f t="shared" si="1972"/>
        <v>-152.5</v>
      </c>
      <c r="P5518" s="132" t="s">
        <v>330</v>
      </c>
      <c r="Q5518" s="232"/>
      <c r="R5518" s="411"/>
      <c r="T5518" s="472"/>
      <c r="U5518" s="490"/>
      <c r="AA5518" s="218"/>
    </row>
    <row r="5519" spans="1:27" ht="24" x14ac:dyDescent="0.25">
      <c r="A5519" s="405">
        <v>3004347</v>
      </c>
      <c r="B5519" s="406">
        <v>42627</v>
      </c>
      <c r="C5519" s="405" t="s">
        <v>327</v>
      </c>
      <c r="D5519" s="401" t="s">
        <v>9814</v>
      </c>
      <c r="E5519" s="120">
        <v>50</v>
      </c>
      <c r="F5519" s="133" t="s">
        <v>9637</v>
      </c>
      <c r="G5519" s="404" t="s">
        <v>45</v>
      </c>
      <c r="H5519" s="411">
        <v>275</v>
      </c>
      <c r="I5519" s="187">
        <v>0</v>
      </c>
      <c r="J5519" s="258">
        <f>-((H5519*0.022)+0.3)</f>
        <v>-6.35</v>
      </c>
      <c r="K5519" s="90">
        <f t="shared" ref="K5519" si="1983">SUM(H5519:J5519)</f>
        <v>268.64999999999998</v>
      </c>
      <c r="L5519" s="187">
        <v>2000</v>
      </c>
      <c r="M5519" s="187">
        <v>22.16</v>
      </c>
      <c r="N5519" s="91">
        <f t="shared" si="1982"/>
        <v>122.16</v>
      </c>
      <c r="O5519" s="411">
        <f t="shared" si="1972"/>
        <v>146.48999999999998</v>
      </c>
      <c r="P5519" s="132" t="s">
        <v>183</v>
      </c>
      <c r="Q5519" s="232"/>
      <c r="R5519" s="411"/>
      <c r="T5519" s="134" t="s">
        <v>145</v>
      </c>
      <c r="U5519" s="267" t="s">
        <v>12004</v>
      </c>
      <c r="W5519" s="153" t="s">
        <v>9816</v>
      </c>
      <c r="AA5519" s="218"/>
    </row>
    <row r="5520" spans="1:27" ht="24" x14ac:dyDescent="0.25">
      <c r="A5520" s="405">
        <v>3004348</v>
      </c>
      <c r="B5520" s="406">
        <v>42627</v>
      </c>
      <c r="C5520" s="405" t="s">
        <v>280</v>
      </c>
      <c r="D5520" s="401" t="s">
        <v>11669</v>
      </c>
      <c r="E5520" s="120">
        <v>100</v>
      </c>
      <c r="F5520" s="133" t="s">
        <v>874</v>
      </c>
      <c r="G5520" s="404" t="s">
        <v>45</v>
      </c>
      <c r="H5520" s="411">
        <v>335</v>
      </c>
      <c r="I5520" s="187">
        <v>0</v>
      </c>
      <c r="J5520" s="258">
        <f>-((H5520*0.022)+0.3)</f>
        <v>-7.669999999999999</v>
      </c>
      <c r="K5520" s="90">
        <f t="shared" ref="K5520" si="1984">SUM(H5520:J5520)</f>
        <v>327.33</v>
      </c>
      <c r="L5520" s="131">
        <v>1795</v>
      </c>
      <c r="M5520" s="187">
        <f>58.13+60.12</f>
        <v>118.25</v>
      </c>
      <c r="N5520" s="91">
        <f t="shared" si="1982"/>
        <v>297.75</v>
      </c>
      <c r="O5520" s="411">
        <f t="shared" si="1972"/>
        <v>29.579999999999984</v>
      </c>
      <c r="P5520" s="132" t="s">
        <v>52</v>
      </c>
      <c r="Q5520" s="232"/>
      <c r="R5520" s="411"/>
      <c r="T5520" s="134" t="s">
        <v>145</v>
      </c>
      <c r="U5520" s="267">
        <v>680483360005</v>
      </c>
      <c r="AA5520" s="218"/>
    </row>
    <row r="5521" spans="1:27" x14ac:dyDescent="0.25">
      <c r="A5521" s="405">
        <v>3004349</v>
      </c>
      <c r="B5521" s="406">
        <v>42627</v>
      </c>
      <c r="C5521" s="405" t="s">
        <v>327</v>
      </c>
      <c r="D5521" s="401" t="s">
        <v>4638</v>
      </c>
      <c r="E5521" s="120">
        <v>8000</v>
      </c>
      <c r="F5521" s="133" t="s">
        <v>12005</v>
      </c>
      <c r="G5521" s="404" t="s">
        <v>45</v>
      </c>
      <c r="H5521" s="411">
        <v>3550</v>
      </c>
      <c r="I5521" s="187">
        <v>0</v>
      </c>
      <c r="J5521" s="258">
        <f>-((H5521*0.022)+0.3)</f>
        <v>-78.399999999999991</v>
      </c>
      <c r="K5521" s="90">
        <f t="shared" ref="K5521" si="1985">SUM(H5521:J5521)</f>
        <v>3471.6</v>
      </c>
      <c r="L5521" s="187">
        <v>265</v>
      </c>
      <c r="M5521" s="187">
        <v>105</v>
      </c>
      <c r="N5521" s="91">
        <f t="shared" si="1982"/>
        <v>2225</v>
      </c>
      <c r="O5521" s="411">
        <f t="shared" si="1972"/>
        <v>1246.5999999999999</v>
      </c>
      <c r="P5521" s="132" t="s">
        <v>183</v>
      </c>
      <c r="Q5521" s="232"/>
      <c r="R5521" s="411"/>
      <c r="T5521" s="134" t="s">
        <v>67</v>
      </c>
      <c r="U5521" s="267" t="s">
        <v>12006</v>
      </c>
      <c r="W5521" s="153" t="s">
        <v>4641</v>
      </c>
      <c r="AA5521" s="218">
        <v>30</v>
      </c>
    </row>
    <row r="5522" spans="1:27" x14ac:dyDescent="0.25">
      <c r="A5522" s="405">
        <v>3004350</v>
      </c>
      <c r="B5522" s="406">
        <v>42627</v>
      </c>
      <c r="C5522" s="405" t="s">
        <v>327</v>
      </c>
      <c r="D5522" s="401" t="s">
        <v>1521</v>
      </c>
      <c r="E5522" s="120">
        <v>404</v>
      </c>
      <c r="F5522" s="133" t="s">
        <v>114</v>
      </c>
      <c r="G5522" s="404" t="s">
        <v>45</v>
      </c>
      <c r="H5522" s="411">
        <v>1390.46</v>
      </c>
      <c r="I5522" s="187">
        <v>0</v>
      </c>
      <c r="J5522" s="258">
        <f>-((H5522*0.022)+0.3)</f>
        <v>-30.89012</v>
      </c>
      <c r="K5522" s="90">
        <f t="shared" ref="K5522:K5523" si="1986">SUM(H5522:J5522)</f>
        <v>1359.56988</v>
      </c>
      <c r="L5522" s="187">
        <v>2000</v>
      </c>
      <c r="M5522" s="224">
        <v>169.65</v>
      </c>
      <c r="N5522" s="91">
        <f t="shared" si="1982"/>
        <v>977.65</v>
      </c>
      <c r="O5522" s="411">
        <f t="shared" si="1972"/>
        <v>381.91988000000003</v>
      </c>
      <c r="P5522" s="132" t="s">
        <v>183</v>
      </c>
      <c r="Q5522" s="232"/>
      <c r="R5522" s="411">
        <v>110.46</v>
      </c>
      <c r="S5522" s="133" t="s">
        <v>52</v>
      </c>
      <c r="T5522" s="134" t="s">
        <v>760</v>
      </c>
      <c r="U5522" s="267" t="s">
        <v>12007</v>
      </c>
      <c r="W5522" s="153" t="s">
        <v>1524</v>
      </c>
      <c r="AA5522" s="218">
        <v>10</v>
      </c>
    </row>
    <row r="5523" spans="1:27" ht="24" x14ac:dyDescent="0.25">
      <c r="A5523" s="405">
        <v>3004351</v>
      </c>
      <c r="B5523" s="406">
        <v>42627</v>
      </c>
      <c r="C5523" s="405" t="s">
        <v>555</v>
      </c>
      <c r="D5523" s="401" t="s">
        <v>12008</v>
      </c>
      <c r="E5523" s="120">
        <v>266</v>
      </c>
      <c r="F5523" s="133" t="s">
        <v>12009</v>
      </c>
      <c r="G5523" s="404" t="s">
        <v>45</v>
      </c>
      <c r="H5523" s="411">
        <v>3402</v>
      </c>
      <c r="I5523" s="411">
        <v>0</v>
      </c>
      <c r="J5523" s="411">
        <v>0</v>
      </c>
      <c r="K5523" s="90">
        <f t="shared" si="1986"/>
        <v>3402</v>
      </c>
      <c r="L5523" s="187">
        <v>7300</v>
      </c>
      <c r="M5523" s="131">
        <v>0</v>
      </c>
      <c r="N5523" s="91">
        <f t="shared" si="1982"/>
        <v>1941.8000000000002</v>
      </c>
      <c r="O5523" s="411">
        <f t="shared" si="1972"/>
        <v>1460.1999999999998</v>
      </c>
      <c r="P5523" s="132" t="s">
        <v>235</v>
      </c>
      <c r="Q5523" s="232"/>
      <c r="R5523" s="411"/>
      <c r="T5523" s="134" t="s">
        <v>12010</v>
      </c>
      <c r="U5523" s="266" t="s">
        <v>756</v>
      </c>
      <c r="W5523" s="153" t="s">
        <v>12011</v>
      </c>
      <c r="AA5523" s="218"/>
    </row>
    <row r="5524" spans="1:27" ht="24" x14ac:dyDescent="0.25">
      <c r="A5524" s="419">
        <v>3004352</v>
      </c>
      <c r="B5524" s="421">
        <v>42627</v>
      </c>
      <c r="C5524" s="419" t="s">
        <v>63</v>
      </c>
      <c r="D5524" s="417" t="s">
        <v>3220</v>
      </c>
      <c r="E5524" s="120">
        <v>2500</v>
      </c>
      <c r="F5524" s="133" t="s">
        <v>2491</v>
      </c>
      <c r="G5524" s="434" t="s">
        <v>45</v>
      </c>
      <c r="H5524" s="427">
        <v>32300</v>
      </c>
      <c r="I5524" s="510">
        <v>0</v>
      </c>
      <c r="J5524" s="425">
        <f>-((H5524*0.022)+0.3)</f>
        <v>-710.89999999999986</v>
      </c>
      <c r="K5524" s="425">
        <f t="shared" ref="K5524" si="1987">SUM(H5524:J5524)</f>
        <v>31589.1</v>
      </c>
      <c r="L5524" s="187">
        <v>500</v>
      </c>
      <c r="M5524" s="131">
        <v>30</v>
      </c>
      <c r="N5524" s="91">
        <f t="shared" si="1982"/>
        <v>1280</v>
      </c>
      <c r="O5524" s="411">
        <f t="shared" si="1972"/>
        <v>30309.1</v>
      </c>
      <c r="P5524" s="132" t="s">
        <v>66</v>
      </c>
      <c r="Q5524" s="232"/>
      <c r="R5524" s="411"/>
      <c r="T5524" s="134" t="s">
        <v>12012</v>
      </c>
      <c r="U5524" s="266"/>
      <c r="V5524" s="133" t="s">
        <v>12013</v>
      </c>
      <c r="W5524" s="153" t="s">
        <v>5164</v>
      </c>
      <c r="AA5524" s="473">
        <v>100</v>
      </c>
    </row>
    <row r="5525" spans="1:27" ht="24" x14ac:dyDescent="0.25">
      <c r="A5525" s="432"/>
      <c r="B5525" s="433"/>
      <c r="C5525" s="432"/>
      <c r="D5525" s="454"/>
      <c r="E5525" s="120">
        <v>1000</v>
      </c>
      <c r="F5525" s="133" t="s">
        <v>70</v>
      </c>
      <c r="G5525" s="435"/>
      <c r="H5525" s="438"/>
      <c r="I5525" s="511"/>
      <c r="J5525" s="437"/>
      <c r="K5525" s="437"/>
      <c r="L5525" s="187">
        <v>1670</v>
      </c>
      <c r="M5525" s="187">
        <v>178.28</v>
      </c>
      <c r="N5525" s="91">
        <f t="shared" si="1982"/>
        <v>1848.28</v>
      </c>
      <c r="O5525" s="411">
        <f t="shared" si="1972"/>
        <v>-1848.28</v>
      </c>
      <c r="P5525" s="132" t="s">
        <v>183</v>
      </c>
      <c r="Q5525" s="232"/>
      <c r="R5525" s="411"/>
      <c r="T5525" s="134" t="s">
        <v>473</v>
      </c>
      <c r="U5525" s="267" t="s">
        <v>12014</v>
      </c>
      <c r="V5525" s="133" t="s">
        <v>12015</v>
      </c>
      <c r="AA5525" s="478"/>
    </row>
    <row r="5526" spans="1:27" ht="24" x14ac:dyDescent="0.25">
      <c r="A5526" s="432"/>
      <c r="B5526" s="433"/>
      <c r="C5526" s="432"/>
      <c r="D5526" s="454"/>
      <c r="E5526" s="120">
        <v>1000</v>
      </c>
      <c r="F5526" s="133" t="s">
        <v>12016</v>
      </c>
      <c r="G5526" s="435"/>
      <c r="H5526" s="438"/>
      <c r="I5526" s="511"/>
      <c r="J5526" s="437"/>
      <c r="K5526" s="437"/>
      <c r="L5526" s="187">
        <v>115</v>
      </c>
      <c r="M5526" s="187">
        <v>19.809999999999999</v>
      </c>
      <c r="N5526" s="91">
        <f t="shared" si="1982"/>
        <v>134.81</v>
      </c>
      <c r="O5526" s="411">
        <f t="shared" si="1972"/>
        <v>-134.81</v>
      </c>
      <c r="P5526" s="132" t="s">
        <v>3597</v>
      </c>
      <c r="Q5526" s="232"/>
      <c r="R5526" s="411"/>
      <c r="T5526" s="134" t="s">
        <v>324</v>
      </c>
      <c r="U5526" s="266" t="s">
        <v>12017</v>
      </c>
      <c r="V5526" s="133" t="s">
        <v>12018</v>
      </c>
      <c r="AA5526" s="478"/>
    </row>
    <row r="5527" spans="1:27" ht="24" x14ac:dyDescent="0.25">
      <c r="A5527" s="432"/>
      <c r="B5527" s="433"/>
      <c r="C5527" s="432"/>
      <c r="D5527" s="454"/>
      <c r="E5527" s="120">
        <v>900</v>
      </c>
      <c r="F5527" s="133" t="s">
        <v>12019</v>
      </c>
      <c r="G5527" s="435"/>
      <c r="H5527" s="438"/>
      <c r="I5527" s="511"/>
      <c r="J5527" s="437"/>
      <c r="K5527" s="437"/>
      <c r="L5527" s="187">
        <v>15300</v>
      </c>
      <c r="M5527" s="131">
        <v>30</v>
      </c>
      <c r="N5527" s="91">
        <f t="shared" si="1982"/>
        <v>13800</v>
      </c>
      <c r="O5527" s="411">
        <f t="shared" si="1972"/>
        <v>-13800</v>
      </c>
      <c r="P5527" s="132" t="s">
        <v>66</v>
      </c>
      <c r="Q5527" s="232"/>
      <c r="R5527" s="411"/>
      <c r="T5527" s="134" t="s">
        <v>12012</v>
      </c>
      <c r="U5527" s="266"/>
      <c r="V5527" s="133" t="s">
        <v>12013</v>
      </c>
      <c r="AA5527" s="478"/>
    </row>
    <row r="5528" spans="1:27" ht="24" x14ac:dyDescent="0.25">
      <c r="A5528" s="420"/>
      <c r="B5528" s="422"/>
      <c r="C5528" s="420"/>
      <c r="D5528" s="418"/>
      <c r="E5528" s="120">
        <v>600</v>
      </c>
      <c r="F5528" s="133" t="s">
        <v>12019</v>
      </c>
      <c r="G5528" s="436"/>
      <c r="H5528" s="428"/>
      <c r="I5528" s="512"/>
      <c r="J5528" s="426"/>
      <c r="K5528" s="426"/>
      <c r="L5528" s="131">
        <v>15300</v>
      </c>
      <c r="M5528" s="187">
        <v>600.65</v>
      </c>
      <c r="N5528" s="91">
        <f t="shared" si="1982"/>
        <v>9780.65</v>
      </c>
      <c r="O5528" s="411">
        <f t="shared" si="1972"/>
        <v>-9780.65</v>
      </c>
      <c r="P5528" s="132" t="s">
        <v>52</v>
      </c>
      <c r="Q5528" s="232"/>
      <c r="R5528" s="411"/>
      <c r="T5528" s="134" t="s">
        <v>11311</v>
      </c>
      <c r="U5528" s="267" t="s">
        <v>12020</v>
      </c>
      <c r="V5528" s="133" t="s">
        <v>12021</v>
      </c>
      <c r="AA5528" s="478"/>
    </row>
    <row r="5529" spans="1:27" x14ac:dyDescent="0.25">
      <c r="A5529" s="405">
        <v>3004353</v>
      </c>
      <c r="B5529" s="406">
        <v>42627</v>
      </c>
      <c r="C5529" s="405" t="s">
        <v>63</v>
      </c>
      <c r="D5529" s="401" t="s">
        <v>3220</v>
      </c>
      <c r="E5529" s="120">
        <v>1025</v>
      </c>
      <c r="F5529" s="133" t="s">
        <v>1866</v>
      </c>
      <c r="G5529" s="404" t="s">
        <v>45</v>
      </c>
      <c r="H5529" s="411">
        <v>6000</v>
      </c>
      <c r="I5529" s="187">
        <v>0</v>
      </c>
      <c r="J5529" s="258">
        <f>-((H5529*0.022)+0.3)</f>
        <v>-132.30000000000001</v>
      </c>
      <c r="K5529" s="90">
        <f t="shared" ref="K5529:K5530" si="1988">SUM(H5529:J5529)</f>
        <v>5867.7</v>
      </c>
      <c r="L5529" s="187">
        <v>3300</v>
      </c>
      <c r="M5529" s="187">
        <v>305.49</v>
      </c>
      <c r="N5529" s="91">
        <f t="shared" si="1982"/>
        <v>3687.99</v>
      </c>
      <c r="O5529" s="411">
        <f t="shared" si="1972"/>
        <v>2179.71</v>
      </c>
      <c r="P5529" s="132" t="s">
        <v>2895</v>
      </c>
      <c r="Q5529" s="232"/>
      <c r="R5529" s="411"/>
      <c r="T5529" s="134" t="s">
        <v>97</v>
      </c>
      <c r="U5529" s="267" t="s">
        <v>12022</v>
      </c>
      <c r="V5529" s="133" t="s">
        <v>55</v>
      </c>
      <c r="AA5529" s="474"/>
    </row>
    <row r="5530" spans="1:27" ht="24" x14ac:dyDescent="0.25">
      <c r="A5530" s="405">
        <v>3004354</v>
      </c>
      <c r="B5530" s="406">
        <v>42628</v>
      </c>
      <c r="C5530" s="405" t="s">
        <v>78</v>
      </c>
      <c r="D5530" s="401" t="s">
        <v>12023</v>
      </c>
      <c r="E5530" s="120">
        <v>35</v>
      </c>
      <c r="F5530" s="133" t="s">
        <v>8717</v>
      </c>
      <c r="G5530" s="404" t="s">
        <v>45</v>
      </c>
      <c r="H5530" s="411">
        <v>225</v>
      </c>
      <c r="I5530" s="411">
        <v>0</v>
      </c>
      <c r="J5530" s="258">
        <f t="shared" ref="J5530" si="1989">-((H5530*0.019)+0.3)</f>
        <v>-4.5749999999999993</v>
      </c>
      <c r="K5530" s="90">
        <f t="shared" si="1988"/>
        <v>220.42500000000001</v>
      </c>
      <c r="L5530" s="131">
        <v>3400</v>
      </c>
      <c r="M5530" s="187">
        <v>16.239999999999998</v>
      </c>
      <c r="N5530" s="91">
        <f t="shared" si="1982"/>
        <v>135.24</v>
      </c>
      <c r="O5530" s="411">
        <f t="shared" si="1972"/>
        <v>85.185000000000002</v>
      </c>
      <c r="P5530" s="132" t="s">
        <v>52</v>
      </c>
      <c r="Q5530" s="232"/>
      <c r="R5530" s="411"/>
      <c r="T5530" s="134" t="s">
        <v>145</v>
      </c>
      <c r="U5530" s="267" t="s">
        <v>12024</v>
      </c>
      <c r="AA5530" s="218"/>
    </row>
    <row r="5531" spans="1:27" x14ac:dyDescent="0.25">
      <c r="A5531" s="405">
        <v>3004355</v>
      </c>
      <c r="B5531" s="406">
        <v>42628</v>
      </c>
      <c r="C5531" s="405" t="s">
        <v>141</v>
      </c>
      <c r="D5531" s="401" t="s">
        <v>5803</v>
      </c>
      <c r="E5531" s="120">
        <v>1000</v>
      </c>
      <c r="F5531" s="133" t="s">
        <v>5804</v>
      </c>
      <c r="G5531" s="404" t="s">
        <v>45</v>
      </c>
      <c r="H5531" s="411">
        <v>1425</v>
      </c>
      <c r="I5531" s="187">
        <v>0</v>
      </c>
      <c r="J5531" s="258">
        <f>-((H5531*0.0325)+0.3)</f>
        <v>-46.612499999999997</v>
      </c>
      <c r="K5531" s="90">
        <f t="shared" ref="K5531:K5533" si="1990">SUM(H5531:J5531)</f>
        <v>1378.3875</v>
      </c>
      <c r="L5531" s="187">
        <v>950</v>
      </c>
      <c r="M5531" s="131">
        <v>0</v>
      </c>
      <c r="N5531" s="91">
        <f t="shared" si="1982"/>
        <v>950</v>
      </c>
      <c r="O5531" s="411">
        <f t="shared" si="1972"/>
        <v>428.38750000000005</v>
      </c>
      <c r="P5531" s="132" t="s">
        <v>66</v>
      </c>
      <c r="Q5531" s="232"/>
      <c r="R5531" s="411"/>
      <c r="T5531" s="134" t="s">
        <v>389</v>
      </c>
      <c r="U5531" s="267" t="s">
        <v>12025</v>
      </c>
      <c r="W5531" s="153" t="s">
        <v>5807</v>
      </c>
      <c r="AA5531" s="218">
        <v>10</v>
      </c>
    </row>
    <row r="5532" spans="1:27" x14ac:dyDescent="0.25">
      <c r="A5532" s="405">
        <v>3004356</v>
      </c>
      <c r="B5532" s="406">
        <v>42628</v>
      </c>
      <c r="C5532" s="405" t="s">
        <v>327</v>
      </c>
      <c r="D5532" s="401" t="s">
        <v>754</v>
      </c>
      <c r="E5532" s="120">
        <v>560</v>
      </c>
      <c r="F5532" s="133" t="s">
        <v>12026</v>
      </c>
      <c r="G5532" s="404" t="s">
        <v>45</v>
      </c>
      <c r="H5532" s="411">
        <v>3350</v>
      </c>
      <c r="I5532" s="187">
        <v>0</v>
      </c>
      <c r="J5532" s="258">
        <f>-((H5532*0.022)+0.3)</f>
        <v>-73.999999999999986</v>
      </c>
      <c r="K5532" s="90">
        <f t="shared" si="1990"/>
        <v>3276</v>
      </c>
      <c r="L5532" s="131">
        <v>4000</v>
      </c>
      <c r="M5532" s="187">
        <v>270.86</v>
      </c>
      <c r="N5532" s="91">
        <f t="shared" si="1982"/>
        <v>2510.86</v>
      </c>
      <c r="O5532" s="411">
        <f t="shared" si="1972"/>
        <v>765.13999999999987</v>
      </c>
      <c r="P5532" s="132" t="s">
        <v>52</v>
      </c>
      <c r="Q5532" s="232"/>
      <c r="R5532" s="411"/>
      <c r="T5532" s="134" t="s">
        <v>244</v>
      </c>
      <c r="U5532" s="266" t="s">
        <v>12027</v>
      </c>
      <c r="V5532" s="133" t="s">
        <v>55</v>
      </c>
      <c r="W5532" s="153" t="s">
        <v>757</v>
      </c>
      <c r="AA5532" s="218">
        <v>10</v>
      </c>
    </row>
    <row r="5533" spans="1:27" ht="24" x14ac:dyDescent="0.25">
      <c r="A5533" s="405">
        <v>3004357</v>
      </c>
      <c r="B5533" s="406">
        <v>42628</v>
      </c>
      <c r="C5533" s="405" t="s">
        <v>42</v>
      </c>
      <c r="D5533" s="401" t="s">
        <v>12028</v>
      </c>
      <c r="E5533" s="120">
        <v>250</v>
      </c>
      <c r="F5533" s="133" t="s">
        <v>972</v>
      </c>
      <c r="G5533" s="404" t="s">
        <v>45</v>
      </c>
      <c r="H5533" s="411">
        <v>108.9</v>
      </c>
      <c r="I5533" s="89">
        <f>-(H5533*0.09)</f>
        <v>-9.8010000000000002</v>
      </c>
      <c r="J5533" s="258">
        <f t="shared" ref="J5533" si="1991">-((H5533*0.019)+0.3)</f>
        <v>-2.3691</v>
      </c>
      <c r="K5533" s="90">
        <f t="shared" si="1990"/>
        <v>96.729900000000001</v>
      </c>
      <c r="L5533" s="131">
        <v>205</v>
      </c>
      <c r="M5533" s="187">
        <v>24.27</v>
      </c>
      <c r="N5533" s="91">
        <f t="shared" si="1982"/>
        <v>75.52</v>
      </c>
      <c r="O5533" s="411">
        <f t="shared" si="1972"/>
        <v>21.209900000000005</v>
      </c>
      <c r="P5533" s="132" t="s">
        <v>52</v>
      </c>
      <c r="Q5533" s="232"/>
      <c r="R5533" s="411"/>
      <c r="T5533" s="134" t="s">
        <v>145</v>
      </c>
      <c r="U5533" s="267" t="s">
        <v>12029</v>
      </c>
      <c r="AA5533" s="218"/>
    </row>
    <row r="5534" spans="1:27" ht="24" x14ac:dyDescent="0.25">
      <c r="A5534" s="405">
        <v>3004358</v>
      </c>
      <c r="B5534" s="406">
        <v>42628</v>
      </c>
      <c r="C5534" s="405" t="s">
        <v>42</v>
      </c>
      <c r="D5534" s="401" t="s">
        <v>12030</v>
      </c>
      <c r="E5534" s="120">
        <v>250</v>
      </c>
      <c r="F5534" s="133" t="s">
        <v>9157</v>
      </c>
      <c r="G5534" s="404" t="s">
        <v>45</v>
      </c>
      <c r="H5534" s="411">
        <v>67.27</v>
      </c>
      <c r="I5534" s="89">
        <f>-(H5534*0.09)</f>
        <v>-6.0542999999999996</v>
      </c>
      <c r="J5534" s="258">
        <f t="shared" ref="J5534" si="1992">-((H5534*0.019)+0.3)</f>
        <v>-1.57813</v>
      </c>
      <c r="K5534" s="90">
        <f t="shared" ref="K5534" si="1993">SUM(H5534:J5534)</f>
        <v>59.637569999999997</v>
      </c>
      <c r="L5534" s="187">
        <v>133</v>
      </c>
      <c r="M5534" s="187">
        <v>21.72</v>
      </c>
      <c r="N5534" s="91">
        <f t="shared" si="1982"/>
        <v>54.97</v>
      </c>
      <c r="O5534" s="411">
        <f t="shared" si="1972"/>
        <v>4.6675699999999978</v>
      </c>
      <c r="P5534" s="132" t="s">
        <v>183</v>
      </c>
      <c r="Q5534" s="232"/>
      <c r="R5534" s="411"/>
      <c r="T5534" s="134" t="s">
        <v>145</v>
      </c>
      <c r="U5534" s="267" t="s">
        <v>12031</v>
      </c>
      <c r="AA5534" s="218"/>
    </row>
    <row r="5535" spans="1:27" ht="24" x14ac:dyDescent="0.25">
      <c r="A5535" s="405">
        <v>3004359</v>
      </c>
      <c r="B5535" s="406">
        <v>42628</v>
      </c>
      <c r="C5535" s="405" t="s">
        <v>42</v>
      </c>
      <c r="D5535" s="401" t="s">
        <v>12032</v>
      </c>
      <c r="E5535" s="120">
        <v>500</v>
      </c>
      <c r="F5535" s="133" t="s">
        <v>580</v>
      </c>
      <c r="G5535" s="404" t="s">
        <v>45</v>
      </c>
      <c r="H5535" s="411">
        <v>201.16</v>
      </c>
      <c r="I5535" s="89">
        <f>-(H5535*0.09)</f>
        <v>-18.104399999999998</v>
      </c>
      <c r="J5535" s="258">
        <f t="shared" ref="J5535" si="1994">-((H5535*0.019)+0.3)</f>
        <v>-4.1220400000000001</v>
      </c>
      <c r="K5535" s="90">
        <f t="shared" ref="K5535" si="1995">SUM(H5535:J5535)</f>
        <v>178.93356</v>
      </c>
      <c r="L5535" s="187">
        <v>164</v>
      </c>
      <c r="M5535" s="187">
        <v>30.4</v>
      </c>
      <c r="N5535" s="91">
        <f t="shared" si="1982"/>
        <v>112.4</v>
      </c>
      <c r="O5535" s="411">
        <f t="shared" si="1972"/>
        <v>66.533559999999994</v>
      </c>
      <c r="P5535" s="132" t="s">
        <v>183</v>
      </c>
      <c r="Q5535" s="232"/>
      <c r="R5535" s="411">
        <v>13.16</v>
      </c>
      <c r="S5535" s="133" t="s">
        <v>10565</v>
      </c>
      <c r="T5535" s="134" t="s">
        <v>145</v>
      </c>
      <c r="U5535" s="267" t="s">
        <v>12033</v>
      </c>
      <c r="AA5535" s="218"/>
    </row>
    <row r="5536" spans="1:27" ht="24" x14ac:dyDescent="0.25">
      <c r="A5536" s="405">
        <v>3004360</v>
      </c>
      <c r="B5536" s="406">
        <v>42628</v>
      </c>
      <c r="C5536" s="405" t="s">
        <v>42</v>
      </c>
      <c r="D5536" s="401" t="s">
        <v>12034</v>
      </c>
      <c r="E5536" s="120">
        <v>100</v>
      </c>
      <c r="F5536" s="133" t="s">
        <v>307</v>
      </c>
      <c r="G5536" s="404" t="s">
        <v>45</v>
      </c>
      <c r="H5536" s="411">
        <v>156.97999999999999</v>
      </c>
      <c r="I5536" s="89">
        <f>-(H5536*0.09)</f>
        <v>-14.128199999999998</v>
      </c>
      <c r="J5536" s="258">
        <f t="shared" ref="J5536" si="1996">-((H5536*0.019)+0.3)</f>
        <v>-3.2826199999999996</v>
      </c>
      <c r="K5536" s="90">
        <f t="shared" ref="K5536" si="1997">SUM(H5536:J5536)</f>
        <v>139.56917999999999</v>
      </c>
      <c r="L5536" s="131">
        <v>640</v>
      </c>
      <c r="M5536" s="187">
        <v>20.39</v>
      </c>
      <c r="N5536" s="91">
        <f t="shared" si="1982"/>
        <v>84.39</v>
      </c>
      <c r="O5536" s="411">
        <f t="shared" si="1972"/>
        <v>55.179179999999988</v>
      </c>
      <c r="P5536" s="132" t="s">
        <v>52</v>
      </c>
      <c r="Q5536" s="232"/>
      <c r="R5536" s="411">
        <v>11.63</v>
      </c>
      <c r="S5536" s="133" t="s">
        <v>4608</v>
      </c>
      <c r="T5536" s="134" t="s">
        <v>145</v>
      </c>
      <c r="U5536" s="267" t="s">
        <v>12035</v>
      </c>
      <c r="AA5536" s="218"/>
    </row>
    <row r="5537" spans="1:27" ht="24" x14ac:dyDescent="0.25">
      <c r="A5537" s="419">
        <v>3004361</v>
      </c>
      <c r="B5537" s="421">
        <v>42628</v>
      </c>
      <c r="C5537" s="419" t="s">
        <v>42</v>
      </c>
      <c r="D5537" s="417" t="s">
        <v>12036</v>
      </c>
      <c r="E5537" s="120">
        <v>125</v>
      </c>
      <c r="F5537" s="133" t="s">
        <v>161</v>
      </c>
      <c r="G5537" s="434" t="s">
        <v>45</v>
      </c>
      <c r="H5537" s="427">
        <v>876.5</v>
      </c>
      <c r="I5537" s="452">
        <f>-(H5537*0.09)</f>
        <v>-78.884999999999991</v>
      </c>
      <c r="J5537" s="425">
        <v>0</v>
      </c>
      <c r="K5537" s="425">
        <f t="shared" ref="K5537" si="1998">SUM(H5537:J5537)</f>
        <v>797.61500000000001</v>
      </c>
      <c r="L5537" s="131">
        <v>1322</v>
      </c>
      <c r="M5537" s="187">
        <v>32.909999999999997</v>
      </c>
      <c r="N5537" s="91">
        <f t="shared" si="1982"/>
        <v>198.16</v>
      </c>
      <c r="O5537" s="411">
        <f t="shared" si="1972"/>
        <v>599.45500000000004</v>
      </c>
      <c r="P5537" s="132" t="s">
        <v>86</v>
      </c>
      <c r="Q5537" s="232"/>
      <c r="R5537" s="411"/>
      <c r="T5537" s="134" t="s">
        <v>145</v>
      </c>
      <c r="U5537" s="267" t="s">
        <v>12037</v>
      </c>
      <c r="V5537" s="133" t="s">
        <v>12038</v>
      </c>
      <c r="AA5537" s="218"/>
    </row>
    <row r="5538" spans="1:27" ht="24" x14ac:dyDescent="0.25">
      <c r="A5538" s="420"/>
      <c r="B5538" s="422"/>
      <c r="C5538" s="420"/>
      <c r="D5538" s="418"/>
      <c r="E5538" s="120">
        <v>90</v>
      </c>
      <c r="F5538" s="133" t="s">
        <v>860</v>
      </c>
      <c r="G5538" s="436"/>
      <c r="H5538" s="428"/>
      <c r="I5538" s="453"/>
      <c r="J5538" s="426"/>
      <c r="K5538" s="426"/>
      <c r="M5538" s="187">
        <v>53.53</v>
      </c>
      <c r="N5538" s="91">
        <f t="shared" si="1982"/>
        <v>53.53</v>
      </c>
      <c r="O5538" s="411">
        <f t="shared" si="1972"/>
        <v>-53.53</v>
      </c>
      <c r="P5538" s="132" t="s">
        <v>52</v>
      </c>
      <c r="Q5538" s="232"/>
      <c r="R5538" s="411"/>
      <c r="T5538" s="134" t="s">
        <v>145</v>
      </c>
      <c r="U5538" s="267" t="s">
        <v>12039</v>
      </c>
      <c r="AA5538" s="218"/>
    </row>
    <row r="5539" spans="1:27" ht="24" x14ac:dyDescent="0.25">
      <c r="A5539" s="405">
        <v>3004362</v>
      </c>
      <c r="B5539" s="406">
        <v>42628</v>
      </c>
      <c r="C5539" s="405" t="s">
        <v>42</v>
      </c>
      <c r="D5539" s="401" t="s">
        <v>12040</v>
      </c>
      <c r="E5539" s="120">
        <v>140</v>
      </c>
      <c r="F5539" s="133" t="s">
        <v>222</v>
      </c>
      <c r="G5539" s="404" t="s">
        <v>45</v>
      </c>
      <c r="H5539" s="411">
        <v>229</v>
      </c>
      <c r="I5539" s="89">
        <f>-(H5539*0.09)</f>
        <v>-20.61</v>
      </c>
      <c r="J5539" s="258">
        <f t="shared" ref="J5539" si="1999">-((H5539*0.019)+0.3)</f>
        <v>-4.6509999999999998</v>
      </c>
      <c r="K5539" s="90">
        <f t="shared" ref="K5539" si="2000">SUM(H5539:J5539)</f>
        <v>203.73899999999998</v>
      </c>
      <c r="L5539" s="131">
        <v>670</v>
      </c>
      <c r="M5539" s="187">
        <v>51.1</v>
      </c>
      <c r="N5539" s="91">
        <f t="shared" si="1982"/>
        <v>144.9</v>
      </c>
      <c r="O5539" s="411">
        <f t="shared" si="1972"/>
        <v>58.83899999999997</v>
      </c>
      <c r="P5539" s="132" t="s">
        <v>86</v>
      </c>
      <c r="Q5539" s="232"/>
      <c r="R5539" s="411"/>
      <c r="T5539" s="134" t="s">
        <v>145</v>
      </c>
      <c r="U5539" s="267" t="s">
        <v>12041</v>
      </c>
      <c r="AA5539" s="218"/>
    </row>
    <row r="5540" spans="1:27" ht="24" x14ac:dyDescent="0.25">
      <c r="A5540" s="405">
        <v>3004363</v>
      </c>
      <c r="B5540" s="406">
        <v>42628</v>
      </c>
      <c r="C5540" s="405" t="s">
        <v>42</v>
      </c>
      <c r="D5540" s="401" t="s">
        <v>12042</v>
      </c>
      <c r="E5540" s="120">
        <v>100</v>
      </c>
      <c r="F5540" s="133" t="s">
        <v>161</v>
      </c>
      <c r="G5540" s="404" t="s">
        <v>45</v>
      </c>
      <c r="H5540" s="411">
        <v>245</v>
      </c>
      <c r="I5540" s="89">
        <f>-(H5540*0.09)</f>
        <v>-22.05</v>
      </c>
      <c r="J5540" s="258">
        <f t="shared" ref="J5540" si="2001">-((H5540*0.019)+0.3)</f>
        <v>-4.9550000000000001</v>
      </c>
      <c r="K5540" s="90">
        <f t="shared" ref="K5540" si="2002">SUM(H5540:J5540)</f>
        <v>217.99499999999998</v>
      </c>
      <c r="L5540" s="131">
        <v>1322</v>
      </c>
      <c r="M5540" s="187">
        <v>29.4</v>
      </c>
      <c r="N5540" s="91">
        <f t="shared" si="1982"/>
        <v>161.60000000000002</v>
      </c>
      <c r="O5540" s="411">
        <f t="shared" si="1972"/>
        <v>56.394999999999953</v>
      </c>
      <c r="P5540" s="132" t="s">
        <v>86</v>
      </c>
      <c r="Q5540" s="232"/>
      <c r="R5540" s="411"/>
      <c r="T5540" s="134" t="s">
        <v>145</v>
      </c>
      <c r="U5540" s="267" t="s">
        <v>12043</v>
      </c>
      <c r="AA5540" s="218"/>
    </row>
    <row r="5541" spans="1:27" ht="24" x14ac:dyDescent="0.25">
      <c r="A5541" s="405">
        <v>3004364</v>
      </c>
      <c r="B5541" s="406">
        <v>42628</v>
      </c>
      <c r="C5541" s="405" t="s">
        <v>42</v>
      </c>
      <c r="D5541" s="401" t="s">
        <v>12044</v>
      </c>
      <c r="E5541" s="120">
        <v>75</v>
      </c>
      <c r="F5541" s="133" t="s">
        <v>431</v>
      </c>
      <c r="G5541" s="404" t="s">
        <v>45</v>
      </c>
      <c r="H5541" s="411">
        <v>193</v>
      </c>
      <c r="I5541" s="89">
        <f>-(H5541*0.09)</f>
        <v>-17.37</v>
      </c>
      <c r="J5541" s="258">
        <f t="shared" ref="J5541" si="2003">-((H5541*0.019)+0.3)</f>
        <v>-3.9669999999999996</v>
      </c>
      <c r="K5541" s="90">
        <f t="shared" ref="K5541" si="2004">SUM(H5541:J5541)</f>
        <v>171.66299999999998</v>
      </c>
      <c r="L5541" s="131">
        <v>990</v>
      </c>
      <c r="M5541" s="187">
        <v>28.79</v>
      </c>
      <c r="N5541" s="91">
        <f t="shared" si="1982"/>
        <v>103.03999999999999</v>
      </c>
      <c r="O5541" s="411">
        <f t="shared" si="1972"/>
        <v>68.62299999999999</v>
      </c>
      <c r="P5541" s="132" t="s">
        <v>52</v>
      </c>
      <c r="Q5541" s="232"/>
      <c r="R5541" s="411"/>
      <c r="T5541" s="134" t="s">
        <v>145</v>
      </c>
      <c r="U5541" s="267" t="s">
        <v>12045</v>
      </c>
      <c r="AA5541" s="218"/>
    </row>
    <row r="5542" spans="1:27" ht="24" x14ac:dyDescent="0.25">
      <c r="A5542" s="405">
        <v>3004365</v>
      </c>
      <c r="B5542" s="406">
        <v>42628</v>
      </c>
      <c r="C5542" s="405" t="s">
        <v>42</v>
      </c>
      <c r="D5542" s="401" t="s">
        <v>12046</v>
      </c>
      <c r="E5542" s="120">
        <v>500</v>
      </c>
      <c r="F5542" s="119" t="s">
        <v>12047</v>
      </c>
      <c r="G5542" s="404" t="s">
        <v>45</v>
      </c>
      <c r="H5542" s="411">
        <v>118.75</v>
      </c>
      <c r="I5542" s="89">
        <f>-(H5542*0.09)</f>
        <v>-10.6875</v>
      </c>
      <c r="J5542" s="258">
        <f t="shared" ref="J5542" si="2005">-((H5542*0.019)+0.3)</f>
        <v>-2.5562499999999999</v>
      </c>
      <c r="K5542" s="90">
        <f t="shared" ref="K5542" si="2006">SUM(H5542:J5542)</f>
        <v>105.50624999999999</v>
      </c>
      <c r="L5542" s="187">
        <v>123</v>
      </c>
      <c r="M5542" s="187">
        <v>24.48</v>
      </c>
      <c r="N5542" s="91">
        <f t="shared" si="1982"/>
        <v>85.98</v>
      </c>
      <c r="O5542" s="411">
        <f t="shared" si="1972"/>
        <v>19.52624999999999</v>
      </c>
      <c r="P5542" s="132" t="s">
        <v>183</v>
      </c>
      <c r="Q5542" s="232"/>
      <c r="R5542" s="411"/>
      <c r="T5542" s="134" t="s">
        <v>324</v>
      </c>
      <c r="U5542" s="266" t="s">
        <v>12048</v>
      </c>
      <c r="AA5542" s="218"/>
    </row>
    <row r="5543" spans="1:27" ht="24" x14ac:dyDescent="0.25">
      <c r="A5543" s="405">
        <v>3004366</v>
      </c>
      <c r="B5543" s="406">
        <v>42628</v>
      </c>
      <c r="C5543" s="405" t="s">
        <v>237</v>
      </c>
      <c r="D5543" s="401" t="s">
        <v>12049</v>
      </c>
      <c r="E5543" s="120">
        <v>150</v>
      </c>
      <c r="F5543" s="133" t="s">
        <v>247</v>
      </c>
      <c r="G5543" s="404" t="s">
        <v>45</v>
      </c>
      <c r="H5543" s="411">
        <v>140</v>
      </c>
      <c r="I5543" s="397">
        <f t="shared" ref="I5543" si="2007">-(H5543*0.15)</f>
        <v>-21</v>
      </c>
      <c r="J5543" s="258">
        <v>0</v>
      </c>
      <c r="K5543" s="90">
        <f>SUM(H5543:J5543)</f>
        <v>119</v>
      </c>
      <c r="L5543" s="131">
        <v>480</v>
      </c>
      <c r="M5543" s="187">
        <v>23.25</v>
      </c>
      <c r="N5543" s="91">
        <f t="shared" si="1982"/>
        <v>95.25</v>
      </c>
      <c r="O5543" s="411">
        <f t="shared" si="1972"/>
        <v>23.75</v>
      </c>
      <c r="P5543" s="132" t="s">
        <v>52</v>
      </c>
      <c r="Q5543" s="232"/>
      <c r="R5543" s="411"/>
      <c r="T5543" s="134" t="s">
        <v>145</v>
      </c>
      <c r="U5543" s="267" t="s">
        <v>12050</v>
      </c>
      <c r="AA5543" s="218"/>
    </row>
    <row r="5544" spans="1:27" x14ac:dyDescent="0.25">
      <c r="A5544" s="419">
        <v>3004367</v>
      </c>
      <c r="B5544" s="421">
        <v>42628</v>
      </c>
      <c r="C5544" s="419" t="s">
        <v>237</v>
      </c>
      <c r="D5544" s="417" t="s">
        <v>12051</v>
      </c>
      <c r="E5544" s="120">
        <v>100</v>
      </c>
      <c r="F5544" s="133" t="s">
        <v>10698</v>
      </c>
      <c r="G5544" s="434" t="s">
        <v>45</v>
      </c>
      <c r="H5544" s="427">
        <v>159</v>
      </c>
      <c r="I5544" s="452">
        <f t="shared" ref="I5544" si="2008">-(H5544*0.15)</f>
        <v>-23.849999999999998</v>
      </c>
      <c r="J5544" s="425">
        <v>0</v>
      </c>
      <c r="K5544" s="425">
        <f>SUM(H5544:J5544)</f>
        <v>135.15</v>
      </c>
      <c r="L5544" s="187">
        <v>468</v>
      </c>
      <c r="M5544" s="187">
        <v>23.34</v>
      </c>
      <c r="N5544" s="91">
        <f t="shared" si="1982"/>
        <v>70.14</v>
      </c>
      <c r="O5544" s="411">
        <f t="shared" si="1972"/>
        <v>65.010000000000005</v>
      </c>
      <c r="P5544" s="132" t="s">
        <v>601</v>
      </c>
      <c r="Q5544" s="232"/>
      <c r="R5544" s="411"/>
      <c r="T5544" s="439" t="s">
        <v>145</v>
      </c>
      <c r="U5544" s="446" t="s">
        <v>12052</v>
      </c>
      <c r="AA5544" s="218"/>
    </row>
    <row r="5545" spans="1:27" x14ac:dyDescent="0.25">
      <c r="A5545" s="420"/>
      <c r="B5545" s="422"/>
      <c r="C5545" s="420"/>
      <c r="D5545" s="418"/>
      <c r="E5545" s="120">
        <v>100</v>
      </c>
      <c r="F5545" s="133" t="s">
        <v>4881</v>
      </c>
      <c r="G5545" s="436"/>
      <c r="H5545" s="428"/>
      <c r="I5545" s="453"/>
      <c r="J5545" s="426"/>
      <c r="K5545" s="426"/>
      <c r="L5545" s="187">
        <v>478</v>
      </c>
      <c r="N5545" s="91">
        <f t="shared" si="1982"/>
        <v>47.800000000000004</v>
      </c>
      <c r="O5545" s="411">
        <f t="shared" si="1972"/>
        <v>-47.800000000000004</v>
      </c>
      <c r="P5545" s="132" t="s">
        <v>601</v>
      </c>
      <c r="Q5545" s="232"/>
      <c r="R5545" s="411"/>
      <c r="T5545" s="441"/>
      <c r="U5545" s="447"/>
      <c r="AA5545" s="218"/>
    </row>
    <row r="5546" spans="1:27" ht="24" x14ac:dyDescent="0.25">
      <c r="A5546" s="405">
        <v>3004368</v>
      </c>
      <c r="B5546" s="406">
        <v>42628</v>
      </c>
      <c r="C5546" s="405" t="s">
        <v>237</v>
      </c>
      <c r="D5546" s="401" t="s">
        <v>12053</v>
      </c>
      <c r="E5546" s="120">
        <v>50</v>
      </c>
      <c r="F5546" s="133" t="s">
        <v>288</v>
      </c>
      <c r="G5546" s="404" t="s">
        <v>45</v>
      </c>
      <c r="H5546" s="411">
        <v>118.8</v>
      </c>
      <c r="I5546" s="397">
        <f t="shared" ref="I5546" si="2009">-(H5546*0.15)</f>
        <v>-17.82</v>
      </c>
      <c r="J5546" s="258">
        <v>0</v>
      </c>
      <c r="K5546" s="90">
        <f t="shared" ref="K5546:K5551" si="2010">SUM(H5546:J5546)</f>
        <v>100.97999999999999</v>
      </c>
      <c r="L5546" s="131">
        <v>950</v>
      </c>
      <c r="M5546" s="187">
        <v>13.26</v>
      </c>
      <c r="N5546" s="91">
        <f t="shared" si="1982"/>
        <v>60.76</v>
      </c>
      <c r="O5546" s="411">
        <f t="shared" si="1972"/>
        <v>40.219999999999992</v>
      </c>
      <c r="P5546" s="132" t="s">
        <v>86</v>
      </c>
      <c r="Q5546" s="232"/>
      <c r="R5546" s="411"/>
      <c r="T5546" s="134" t="s">
        <v>145</v>
      </c>
      <c r="U5546" s="267" t="s">
        <v>12054</v>
      </c>
      <c r="AA5546" s="218"/>
    </row>
    <row r="5547" spans="1:27" ht="24" x14ac:dyDescent="0.25">
      <c r="A5547" s="405">
        <v>3004369</v>
      </c>
      <c r="B5547" s="406">
        <v>42628</v>
      </c>
      <c r="C5547" s="405" t="s">
        <v>237</v>
      </c>
      <c r="D5547" s="401" t="s">
        <v>12055</v>
      </c>
      <c r="E5547" s="120">
        <v>250</v>
      </c>
      <c r="F5547" s="133" t="s">
        <v>2949</v>
      </c>
      <c r="G5547" s="404" t="s">
        <v>45</v>
      </c>
      <c r="H5547" s="411">
        <v>487.83</v>
      </c>
      <c r="I5547" s="397">
        <f t="shared" ref="I5547" si="2011">-(H5547*0.15)</f>
        <v>-73.174499999999995</v>
      </c>
      <c r="J5547" s="258">
        <v>0</v>
      </c>
      <c r="K5547" s="90">
        <f t="shared" si="2010"/>
        <v>414.65549999999996</v>
      </c>
      <c r="L5547" s="131">
        <v>660</v>
      </c>
      <c r="M5547" s="187">
        <v>50.23</v>
      </c>
      <c r="N5547" s="91">
        <f t="shared" si="1982"/>
        <v>215.23</v>
      </c>
      <c r="O5547" s="411">
        <f t="shared" si="1972"/>
        <v>199.42549999999997</v>
      </c>
      <c r="P5547" s="132" t="s">
        <v>52</v>
      </c>
      <c r="Q5547" s="232"/>
      <c r="R5547" s="411"/>
      <c r="T5547" s="134" t="s">
        <v>145</v>
      </c>
      <c r="U5547" s="267" t="s">
        <v>12056</v>
      </c>
      <c r="AA5547" s="218"/>
    </row>
    <row r="5548" spans="1:27" ht="24" x14ac:dyDescent="0.25">
      <c r="A5548" s="405">
        <v>3004370</v>
      </c>
      <c r="B5548" s="406">
        <v>42628</v>
      </c>
      <c r="C5548" s="405" t="s">
        <v>237</v>
      </c>
      <c r="D5548" s="401" t="s">
        <v>12057</v>
      </c>
      <c r="E5548" s="120">
        <v>300</v>
      </c>
      <c r="F5548" s="133" t="s">
        <v>1293</v>
      </c>
      <c r="G5548" s="404" t="s">
        <v>45</v>
      </c>
      <c r="H5548" s="411">
        <v>304.25</v>
      </c>
      <c r="I5548" s="397">
        <f t="shared" ref="I5548" si="2012">-(H5548*0.15)</f>
        <v>-45.637499999999996</v>
      </c>
      <c r="J5548" s="258">
        <v>0</v>
      </c>
      <c r="K5548" s="90">
        <f t="shared" si="2010"/>
        <v>258.61250000000001</v>
      </c>
      <c r="L5548" s="131">
        <v>504</v>
      </c>
      <c r="M5548" s="187">
        <v>56.9</v>
      </c>
      <c r="N5548" s="91">
        <f t="shared" si="1982"/>
        <v>208.1</v>
      </c>
      <c r="O5548" s="411">
        <f t="shared" si="1972"/>
        <v>50.512500000000017</v>
      </c>
      <c r="P5548" s="132" t="s">
        <v>52</v>
      </c>
      <c r="Q5548" s="232"/>
      <c r="R5548" s="411"/>
      <c r="T5548" s="134" t="s">
        <v>145</v>
      </c>
      <c r="U5548" s="267" t="s">
        <v>12058</v>
      </c>
      <c r="AA5548" s="218"/>
    </row>
    <row r="5549" spans="1:27" ht="24" x14ac:dyDescent="0.25">
      <c r="A5549" s="405">
        <v>3004371</v>
      </c>
      <c r="B5549" s="406">
        <v>42628</v>
      </c>
      <c r="C5549" s="405" t="s">
        <v>237</v>
      </c>
      <c r="D5549" s="401" t="s">
        <v>12059</v>
      </c>
      <c r="E5549" s="120">
        <v>100</v>
      </c>
      <c r="F5549" s="133" t="s">
        <v>590</v>
      </c>
      <c r="G5549" s="404" t="s">
        <v>45</v>
      </c>
      <c r="H5549" s="411">
        <v>118.7</v>
      </c>
      <c r="I5549" s="397">
        <f t="shared" ref="I5549" si="2013">-(H5549*0.15)</f>
        <v>-17.805</v>
      </c>
      <c r="J5549" s="258">
        <v>0</v>
      </c>
      <c r="K5549" s="90">
        <f t="shared" si="2010"/>
        <v>100.89500000000001</v>
      </c>
      <c r="L5549" s="131">
        <v>577</v>
      </c>
      <c r="M5549" s="187">
        <v>22.91</v>
      </c>
      <c r="N5549" s="91">
        <f t="shared" si="1982"/>
        <v>80.61</v>
      </c>
      <c r="O5549" s="411">
        <f t="shared" si="1972"/>
        <v>20.285000000000011</v>
      </c>
      <c r="P5549" s="132" t="s">
        <v>52</v>
      </c>
      <c r="Q5549" s="232"/>
      <c r="R5549" s="411"/>
      <c r="T5549" s="134" t="s">
        <v>145</v>
      </c>
      <c r="U5549" s="267" t="s">
        <v>12060</v>
      </c>
      <c r="AA5549" s="218"/>
    </row>
    <row r="5550" spans="1:27" ht="24" x14ac:dyDescent="0.25">
      <c r="A5550" s="405">
        <v>3004372</v>
      </c>
      <c r="B5550" s="406">
        <v>42628</v>
      </c>
      <c r="C5550" s="405" t="s">
        <v>237</v>
      </c>
      <c r="D5550" s="401" t="s">
        <v>12061</v>
      </c>
      <c r="E5550" s="120">
        <v>100</v>
      </c>
      <c r="F5550" s="133" t="s">
        <v>288</v>
      </c>
      <c r="G5550" s="404" t="s">
        <v>45</v>
      </c>
      <c r="H5550" s="411">
        <v>193.04</v>
      </c>
      <c r="I5550" s="397">
        <f t="shared" ref="I5550" si="2014">-(H5550*0.15)</f>
        <v>-28.955999999999996</v>
      </c>
      <c r="J5550" s="258">
        <v>0</v>
      </c>
      <c r="K5550" s="90">
        <f t="shared" si="2010"/>
        <v>164.084</v>
      </c>
      <c r="L5550" s="131">
        <v>950</v>
      </c>
      <c r="M5550" s="187">
        <v>24.03</v>
      </c>
      <c r="N5550" s="91">
        <f t="shared" si="1982"/>
        <v>119.03</v>
      </c>
      <c r="O5550" s="411">
        <f t="shared" si="1972"/>
        <v>45.054000000000002</v>
      </c>
      <c r="P5550" s="132" t="s">
        <v>86</v>
      </c>
      <c r="Q5550" s="232"/>
      <c r="R5550" s="411"/>
      <c r="T5550" s="134" t="s">
        <v>145</v>
      </c>
      <c r="U5550" s="267" t="s">
        <v>12062</v>
      </c>
      <c r="AA5550" s="218"/>
    </row>
    <row r="5551" spans="1:27" ht="24" x14ac:dyDescent="0.25">
      <c r="A5551" s="405">
        <v>3004373</v>
      </c>
      <c r="B5551" s="406">
        <v>42628</v>
      </c>
      <c r="C5551" s="405" t="s">
        <v>237</v>
      </c>
      <c r="D5551" s="401" t="s">
        <v>12063</v>
      </c>
      <c r="E5551" s="120">
        <v>100</v>
      </c>
      <c r="F5551" s="133" t="s">
        <v>161</v>
      </c>
      <c r="G5551" s="404" t="s">
        <v>45</v>
      </c>
      <c r="H5551" s="411">
        <v>234</v>
      </c>
      <c r="I5551" s="397">
        <f t="shared" ref="I5551" si="2015">-(H5551*0.15)</f>
        <v>-35.1</v>
      </c>
      <c r="J5551" s="258">
        <v>0</v>
      </c>
      <c r="K5551" s="90">
        <f t="shared" si="2010"/>
        <v>198.9</v>
      </c>
      <c r="L5551" s="131">
        <v>1322</v>
      </c>
      <c r="M5551" s="187">
        <v>19.739999999999998</v>
      </c>
      <c r="N5551" s="91">
        <f t="shared" si="1982"/>
        <v>151.94000000000003</v>
      </c>
      <c r="O5551" s="411">
        <f t="shared" si="1972"/>
        <v>46.95999999999998</v>
      </c>
      <c r="P5551" s="132" t="s">
        <v>86</v>
      </c>
      <c r="Q5551" s="232"/>
      <c r="R5551" s="411"/>
      <c r="T5551" s="134" t="s">
        <v>145</v>
      </c>
      <c r="U5551" s="267" t="s">
        <v>12064</v>
      </c>
      <c r="AA5551" s="218"/>
    </row>
    <row r="5552" spans="1:27" ht="24" x14ac:dyDescent="0.25">
      <c r="A5552" s="405">
        <v>3004374</v>
      </c>
      <c r="B5552" s="406">
        <v>42628</v>
      </c>
      <c r="C5552" s="405" t="s">
        <v>63</v>
      </c>
      <c r="D5552" s="401" t="s">
        <v>12065</v>
      </c>
      <c r="E5552" s="120">
        <v>260</v>
      </c>
      <c r="F5552" s="133" t="s">
        <v>51</v>
      </c>
      <c r="G5552" s="404" t="s">
        <v>45</v>
      </c>
      <c r="H5552" s="411">
        <v>559</v>
      </c>
      <c r="I5552" s="187">
        <v>0</v>
      </c>
      <c r="J5552" s="258">
        <f>-((H5552*0.022)+0.3)</f>
        <v>-12.598000000000001</v>
      </c>
      <c r="K5552" s="90">
        <f t="shared" ref="K5552" si="2016">SUM(H5552:J5552)</f>
        <v>546.40200000000004</v>
      </c>
      <c r="L5552" s="131">
        <v>1015</v>
      </c>
      <c r="M5552" s="187">
        <v>166.97</v>
      </c>
      <c r="N5552" s="91">
        <f t="shared" si="1982"/>
        <v>430.87</v>
      </c>
      <c r="O5552" s="411">
        <f t="shared" si="1972"/>
        <v>115.53200000000004</v>
      </c>
      <c r="P5552" s="132" t="s">
        <v>52</v>
      </c>
      <c r="Q5552" s="232"/>
      <c r="R5552" s="411"/>
      <c r="T5552" s="134" t="s">
        <v>12066</v>
      </c>
      <c r="U5552" s="267" t="s">
        <v>12067</v>
      </c>
      <c r="V5552" s="133" t="s">
        <v>55</v>
      </c>
      <c r="W5552" s="153" t="s">
        <v>12068</v>
      </c>
      <c r="AA5552" s="218"/>
    </row>
    <row r="5553" spans="1:27" ht="24" x14ac:dyDescent="0.25">
      <c r="A5553" s="405">
        <v>3004375</v>
      </c>
      <c r="B5553" s="406">
        <v>42628</v>
      </c>
      <c r="C5553" s="405" t="s">
        <v>63</v>
      </c>
      <c r="D5553" s="401" t="s">
        <v>12069</v>
      </c>
      <c r="E5553" s="120">
        <v>250</v>
      </c>
      <c r="F5553" s="133" t="s">
        <v>1550</v>
      </c>
      <c r="G5553" s="404" t="s">
        <v>45</v>
      </c>
      <c r="H5553" s="411">
        <v>334.62</v>
      </c>
      <c r="I5553" s="187">
        <v>0</v>
      </c>
      <c r="J5553" s="258">
        <f>-((H5553*0.022)+0.3)</f>
        <v>-7.6616399999999993</v>
      </c>
      <c r="K5553" s="90">
        <f t="shared" ref="K5553:K5554" si="2017">SUM(H5553:J5553)</f>
        <v>326.95836000000003</v>
      </c>
      <c r="M5553" s="187">
        <v>50.38</v>
      </c>
      <c r="N5553" s="91">
        <f t="shared" si="1982"/>
        <v>50.38</v>
      </c>
      <c r="O5553" s="411">
        <f t="shared" si="1972"/>
        <v>276.57836000000003</v>
      </c>
      <c r="P5553" s="132" t="s">
        <v>52</v>
      </c>
      <c r="Q5553" s="232"/>
      <c r="R5553" s="411"/>
      <c r="T5553" s="134" t="s">
        <v>145</v>
      </c>
      <c r="U5553" s="267" t="s">
        <v>12070</v>
      </c>
      <c r="W5553" s="153" t="s">
        <v>12071</v>
      </c>
      <c r="AA5553" s="218"/>
    </row>
    <row r="5554" spans="1:27" ht="24" x14ac:dyDescent="0.25">
      <c r="A5554" s="405">
        <v>3004376</v>
      </c>
      <c r="B5554" s="406">
        <v>42628</v>
      </c>
      <c r="C5554" s="405" t="s">
        <v>42</v>
      </c>
      <c r="D5554" s="401" t="s">
        <v>12072</v>
      </c>
      <c r="E5554" s="120">
        <v>500</v>
      </c>
      <c r="F5554" s="133" t="s">
        <v>175</v>
      </c>
      <c r="G5554" s="404" t="s">
        <v>45</v>
      </c>
      <c r="H5554" s="411">
        <v>283.27</v>
      </c>
      <c r="I5554" s="89">
        <f>-(H5554*0.09)</f>
        <v>-25.494299999999999</v>
      </c>
      <c r="J5554" s="258">
        <f t="shared" ref="J5554" si="2018">-((H5554*0.019)+0.3)</f>
        <v>-5.682129999999999</v>
      </c>
      <c r="K5554" s="90">
        <f t="shared" si="2017"/>
        <v>252.09356999999997</v>
      </c>
      <c r="L5554" s="131">
        <v>250</v>
      </c>
      <c r="M5554" s="187">
        <v>56.85</v>
      </c>
      <c r="N5554" s="91">
        <f t="shared" si="1982"/>
        <v>181.85</v>
      </c>
      <c r="O5554" s="411">
        <f t="shared" si="1972"/>
        <v>70.243569999999977</v>
      </c>
      <c r="P5554" s="132" t="s">
        <v>52</v>
      </c>
      <c r="Q5554" s="232"/>
      <c r="R5554" s="411"/>
      <c r="T5554" s="134" t="s">
        <v>145</v>
      </c>
      <c r="U5554" s="267" t="s">
        <v>12073</v>
      </c>
      <c r="AA5554" s="218"/>
    </row>
    <row r="5555" spans="1:27" x14ac:dyDescent="0.25">
      <c r="A5555" s="405">
        <v>3004377</v>
      </c>
      <c r="B5555" s="406">
        <v>42628</v>
      </c>
      <c r="C5555" s="405" t="s">
        <v>42</v>
      </c>
      <c r="D5555" s="401" t="s">
        <v>12074</v>
      </c>
      <c r="E5555" s="120">
        <v>500</v>
      </c>
      <c r="F5555" s="133" t="s">
        <v>2213</v>
      </c>
      <c r="G5555" s="404" t="s">
        <v>45</v>
      </c>
      <c r="H5555" s="411">
        <v>619.91999999999996</v>
      </c>
      <c r="I5555" s="89">
        <f>-(H5555*0.09)</f>
        <v>-55.792799999999993</v>
      </c>
      <c r="J5555" s="258">
        <f t="shared" ref="J5555" si="2019">-((H5555*0.019)+0.3)</f>
        <v>-12.078479999999999</v>
      </c>
      <c r="K5555" s="90">
        <f t="shared" ref="K5555:K5556" si="2020">SUM(H5555:J5555)</f>
        <v>552.04872</v>
      </c>
      <c r="L5555" s="187">
        <v>584.49</v>
      </c>
      <c r="M5555" s="187">
        <v>48</v>
      </c>
      <c r="N5555" s="91">
        <f t="shared" si="1982"/>
        <v>340.245</v>
      </c>
      <c r="O5555" s="411">
        <f t="shared" si="1972"/>
        <v>211.80372</v>
      </c>
      <c r="P5555" s="132" t="s">
        <v>46</v>
      </c>
      <c r="Q5555" s="232"/>
      <c r="R5555" s="411">
        <v>45.92</v>
      </c>
      <c r="S5555" s="133" t="s">
        <v>4608</v>
      </c>
      <c r="T5555" s="134" t="s">
        <v>463</v>
      </c>
      <c r="U5555" s="267" t="s">
        <v>12075</v>
      </c>
      <c r="AA5555" s="218"/>
    </row>
    <row r="5556" spans="1:27" x14ac:dyDescent="0.25">
      <c r="A5556" s="419">
        <v>3004378</v>
      </c>
      <c r="B5556" s="421">
        <v>42628</v>
      </c>
      <c r="C5556" s="419" t="s">
        <v>56</v>
      </c>
      <c r="D5556" s="429" t="s">
        <v>12076</v>
      </c>
      <c r="E5556" s="120">
        <v>1600</v>
      </c>
      <c r="F5556" s="133" t="s">
        <v>12077</v>
      </c>
      <c r="G5556" s="434" t="s">
        <v>45</v>
      </c>
      <c r="H5556" s="427">
        <v>10390</v>
      </c>
      <c r="I5556" s="427">
        <v>0</v>
      </c>
      <c r="J5556" s="427">
        <v>0</v>
      </c>
      <c r="K5556" s="425">
        <f t="shared" si="2020"/>
        <v>10390</v>
      </c>
      <c r="L5556" s="187">
        <v>3005</v>
      </c>
      <c r="M5556" s="513">
        <v>525</v>
      </c>
      <c r="N5556" s="91">
        <f t="shared" si="1982"/>
        <v>5333</v>
      </c>
      <c r="O5556" s="411">
        <f t="shared" si="1972"/>
        <v>5057</v>
      </c>
      <c r="P5556" s="132" t="s">
        <v>638</v>
      </c>
      <c r="Q5556" s="232"/>
      <c r="R5556" s="516"/>
      <c r="T5556" s="439" t="s">
        <v>53</v>
      </c>
      <c r="U5556" s="505">
        <v>854017194</v>
      </c>
      <c r="V5556" s="133" t="s">
        <v>12078</v>
      </c>
      <c r="AA5556" s="218"/>
    </row>
    <row r="5557" spans="1:27" x14ac:dyDescent="0.25">
      <c r="A5557" s="432"/>
      <c r="B5557" s="433"/>
      <c r="C5557" s="432"/>
      <c r="D5557" s="430"/>
      <c r="E5557" s="120">
        <v>7500</v>
      </c>
      <c r="F5557" s="133" t="s">
        <v>12079</v>
      </c>
      <c r="G5557" s="435"/>
      <c r="H5557" s="438"/>
      <c r="I5557" s="438"/>
      <c r="J5557" s="438"/>
      <c r="K5557" s="437"/>
      <c r="L5557" s="187">
        <v>68</v>
      </c>
      <c r="M5557" s="514"/>
      <c r="N5557" s="91">
        <f t="shared" si="1982"/>
        <v>510</v>
      </c>
      <c r="O5557" s="411">
        <f t="shared" si="1972"/>
        <v>-510</v>
      </c>
      <c r="P5557" s="132" t="s">
        <v>638</v>
      </c>
      <c r="Q5557" s="232"/>
      <c r="R5557" s="517"/>
      <c r="T5557" s="440"/>
      <c r="U5557" s="506"/>
      <c r="AA5557" s="218"/>
    </row>
    <row r="5558" spans="1:27" x14ac:dyDescent="0.25">
      <c r="A5558" s="432"/>
      <c r="B5558" s="433"/>
      <c r="C5558" s="432"/>
      <c r="D5558" s="430"/>
      <c r="E5558" s="120">
        <v>7500</v>
      </c>
      <c r="F5558" s="133" t="s">
        <v>12080</v>
      </c>
      <c r="G5558" s="435"/>
      <c r="H5558" s="438"/>
      <c r="I5558" s="438"/>
      <c r="J5558" s="438"/>
      <c r="K5558" s="437"/>
      <c r="L5558" s="187">
        <v>68</v>
      </c>
      <c r="M5558" s="514"/>
      <c r="N5558" s="91">
        <f>((L5558)*(E5558*0.001))+M5556</f>
        <v>1035</v>
      </c>
      <c r="O5558" s="411">
        <f t="shared" si="1972"/>
        <v>-1035</v>
      </c>
      <c r="P5558" s="132" t="s">
        <v>638</v>
      </c>
      <c r="Q5558" s="232"/>
      <c r="R5558" s="517"/>
      <c r="T5558" s="440"/>
      <c r="U5558" s="506"/>
      <c r="AA5558" s="218"/>
    </row>
    <row r="5559" spans="1:27" x14ac:dyDescent="0.25">
      <c r="A5559" s="432"/>
      <c r="B5559" s="433"/>
      <c r="C5559" s="432"/>
      <c r="D5559" s="430"/>
      <c r="E5559" s="120">
        <v>500</v>
      </c>
      <c r="F5559" s="133" t="s">
        <v>1419</v>
      </c>
      <c r="G5559" s="435"/>
      <c r="H5559" s="438"/>
      <c r="I5559" s="438"/>
      <c r="J5559" s="438"/>
      <c r="K5559" s="437"/>
      <c r="L5559" s="187">
        <v>167</v>
      </c>
      <c r="M5559" s="514"/>
      <c r="N5559" s="91">
        <f t="shared" si="1982"/>
        <v>83.5</v>
      </c>
      <c r="O5559" s="411">
        <f t="shared" si="1972"/>
        <v>-83.5</v>
      </c>
      <c r="P5559" s="132" t="s">
        <v>638</v>
      </c>
      <c r="Q5559" s="232"/>
      <c r="R5559" s="517"/>
      <c r="T5559" s="440"/>
      <c r="U5559" s="506"/>
      <c r="AA5559" s="218"/>
    </row>
    <row r="5560" spans="1:27" x14ac:dyDescent="0.25">
      <c r="A5560" s="432"/>
      <c r="B5560" s="433"/>
      <c r="C5560" s="432"/>
      <c r="D5560" s="430"/>
      <c r="E5560" s="120">
        <v>500</v>
      </c>
      <c r="F5560" s="133" t="s">
        <v>84</v>
      </c>
      <c r="G5560" s="435"/>
      <c r="H5560" s="438"/>
      <c r="I5560" s="438"/>
      <c r="J5560" s="438"/>
      <c r="K5560" s="437"/>
      <c r="L5560" s="187">
        <v>258</v>
      </c>
      <c r="M5560" s="514"/>
      <c r="N5560" s="91">
        <f t="shared" si="1982"/>
        <v>129</v>
      </c>
      <c r="O5560" s="411">
        <f t="shared" si="1972"/>
        <v>-129</v>
      </c>
      <c r="P5560" s="132" t="s">
        <v>638</v>
      </c>
      <c r="Q5560" s="232"/>
      <c r="R5560" s="517"/>
      <c r="T5560" s="440"/>
      <c r="U5560" s="506"/>
      <c r="AA5560" s="218"/>
    </row>
    <row r="5561" spans="1:27" x14ac:dyDescent="0.25">
      <c r="A5561" s="432"/>
      <c r="B5561" s="433"/>
      <c r="C5561" s="432"/>
      <c r="D5561" s="430"/>
      <c r="E5561" s="120">
        <v>4000</v>
      </c>
      <c r="F5561" s="133" t="s">
        <v>12081</v>
      </c>
      <c r="G5561" s="435"/>
      <c r="H5561" s="438"/>
      <c r="I5561" s="438"/>
      <c r="J5561" s="438"/>
      <c r="K5561" s="437"/>
      <c r="L5561" s="187">
        <v>318</v>
      </c>
      <c r="M5561" s="514"/>
      <c r="N5561" s="91">
        <f t="shared" si="1982"/>
        <v>1272</v>
      </c>
      <c r="O5561" s="411">
        <f t="shared" si="1972"/>
        <v>-1272</v>
      </c>
      <c r="P5561" s="132" t="s">
        <v>638</v>
      </c>
      <c r="Q5561" s="232"/>
      <c r="R5561" s="517"/>
      <c r="T5561" s="440"/>
      <c r="U5561" s="506"/>
      <c r="AA5561" s="218"/>
    </row>
    <row r="5562" spans="1:27" x14ac:dyDescent="0.25">
      <c r="A5562" s="420"/>
      <c r="B5562" s="422"/>
      <c r="C5562" s="420"/>
      <c r="D5562" s="431"/>
      <c r="E5562" s="120">
        <v>500</v>
      </c>
      <c r="F5562" s="133" t="s">
        <v>12082</v>
      </c>
      <c r="G5562" s="436"/>
      <c r="H5562" s="428"/>
      <c r="I5562" s="428"/>
      <c r="J5562" s="428"/>
      <c r="K5562" s="426"/>
      <c r="L5562" s="187">
        <v>1460</v>
      </c>
      <c r="M5562" s="515"/>
      <c r="N5562" s="91">
        <f t="shared" si="1982"/>
        <v>730</v>
      </c>
      <c r="O5562" s="411">
        <f t="shared" si="1972"/>
        <v>-730</v>
      </c>
      <c r="P5562" s="132" t="s">
        <v>638</v>
      </c>
      <c r="Q5562" s="232"/>
      <c r="R5562" s="518"/>
      <c r="T5562" s="441"/>
      <c r="U5562" s="490"/>
      <c r="AA5562" s="218"/>
    </row>
    <row r="5563" spans="1:27" ht="24" x14ac:dyDescent="0.25">
      <c r="A5563" s="419">
        <v>3004379</v>
      </c>
      <c r="B5563" s="421">
        <v>42628</v>
      </c>
      <c r="C5563" s="419" t="s">
        <v>78</v>
      </c>
      <c r="D5563" s="417" t="s">
        <v>4006</v>
      </c>
      <c r="E5563" s="120">
        <v>835</v>
      </c>
      <c r="F5563" s="119" t="s">
        <v>12083</v>
      </c>
      <c r="G5563" s="434" t="s">
        <v>45</v>
      </c>
      <c r="H5563" s="427">
        <v>1981.8</v>
      </c>
      <c r="I5563" s="427">
        <v>0</v>
      </c>
      <c r="J5563" s="425">
        <f t="shared" ref="J5563" si="2021">-((H5563*0.019)+0.3)</f>
        <v>-37.954199999999993</v>
      </c>
      <c r="K5563" s="425">
        <f t="shared" ref="K5563" si="2022">SUM(H5563:J5563)</f>
        <v>1943.8458000000001</v>
      </c>
      <c r="L5563" s="187">
        <v>640</v>
      </c>
      <c r="N5563" s="91">
        <f t="shared" si="1982"/>
        <v>534.4</v>
      </c>
      <c r="O5563" s="411">
        <f t="shared" si="1972"/>
        <v>1409.4458</v>
      </c>
      <c r="P5563" s="132" t="s">
        <v>2895</v>
      </c>
      <c r="Q5563" s="232"/>
      <c r="R5563" s="411"/>
      <c r="T5563" s="470" t="s">
        <v>11100</v>
      </c>
      <c r="U5563" s="481" t="s">
        <v>12084</v>
      </c>
      <c r="V5563" s="133" t="s">
        <v>55</v>
      </c>
      <c r="W5563" s="153" t="s">
        <v>4009</v>
      </c>
      <c r="AA5563" s="473">
        <v>10</v>
      </c>
    </row>
    <row r="5564" spans="1:27" ht="24" x14ac:dyDescent="0.25">
      <c r="A5564" s="420"/>
      <c r="B5564" s="422"/>
      <c r="C5564" s="420"/>
      <c r="D5564" s="418"/>
      <c r="E5564" s="120">
        <v>1000</v>
      </c>
      <c r="F5564" s="119" t="s">
        <v>12085</v>
      </c>
      <c r="G5564" s="436"/>
      <c r="H5564" s="428"/>
      <c r="I5564" s="428"/>
      <c r="J5564" s="426"/>
      <c r="K5564" s="426"/>
      <c r="L5564" s="187">
        <v>640</v>
      </c>
      <c r="M5564" s="187">
        <v>155.32</v>
      </c>
      <c r="N5564" s="91">
        <f t="shared" si="1982"/>
        <v>795.31999999999994</v>
      </c>
      <c r="O5564" s="411">
        <f t="shared" si="1972"/>
        <v>-795.31999999999994</v>
      </c>
      <c r="P5564" s="132" t="s">
        <v>2895</v>
      </c>
      <c r="Q5564" s="232"/>
      <c r="R5564" s="411"/>
      <c r="T5564" s="472"/>
      <c r="U5564" s="483"/>
      <c r="AA5564" s="474"/>
    </row>
    <row r="5565" spans="1:27" ht="24" x14ac:dyDescent="0.25">
      <c r="A5565" s="405">
        <v>3004380</v>
      </c>
      <c r="B5565" s="406">
        <v>42629</v>
      </c>
      <c r="C5565" s="405" t="s">
        <v>1227</v>
      </c>
      <c r="D5565" s="401" t="s">
        <v>12086</v>
      </c>
      <c r="E5565" s="120">
        <v>1000</v>
      </c>
      <c r="F5565" s="133" t="s">
        <v>1707</v>
      </c>
      <c r="G5565" s="242" t="s">
        <v>45</v>
      </c>
      <c r="H5565" s="411">
        <v>700</v>
      </c>
      <c r="I5565" s="411">
        <v>0</v>
      </c>
      <c r="J5565" s="411">
        <v>0</v>
      </c>
      <c r="K5565" s="90">
        <f t="shared" ref="K5565:K5570" si="2023">SUM(H5565:J5565)</f>
        <v>700</v>
      </c>
      <c r="L5565" s="187">
        <v>428.85</v>
      </c>
      <c r="N5565" s="91">
        <f t="shared" si="1982"/>
        <v>428.85</v>
      </c>
      <c r="O5565" s="411">
        <f t="shared" si="1972"/>
        <v>271.14999999999998</v>
      </c>
      <c r="P5565" s="132" t="s">
        <v>46</v>
      </c>
      <c r="Q5565" s="232"/>
      <c r="R5565" s="411"/>
      <c r="T5565" s="134" t="s">
        <v>12087</v>
      </c>
      <c r="U5565" s="134" t="s">
        <v>12087</v>
      </c>
      <c r="AA5565" s="218"/>
    </row>
    <row r="5566" spans="1:27" x14ac:dyDescent="0.25">
      <c r="A5566" s="419">
        <v>3004382</v>
      </c>
      <c r="B5566" s="421">
        <v>42629</v>
      </c>
      <c r="C5566" s="419" t="s">
        <v>56</v>
      </c>
      <c r="D5566" s="417" t="s">
        <v>8815</v>
      </c>
      <c r="E5566" s="120">
        <v>2000</v>
      </c>
      <c r="F5566" s="133" t="s">
        <v>12088</v>
      </c>
      <c r="G5566" s="434" t="s">
        <v>45</v>
      </c>
      <c r="H5566" s="427">
        <v>3195</v>
      </c>
      <c r="I5566" s="427">
        <v>0</v>
      </c>
      <c r="J5566" s="427">
        <v>0</v>
      </c>
      <c r="K5566" s="425">
        <f t="shared" si="2023"/>
        <v>3195</v>
      </c>
      <c r="L5566" s="187">
        <v>390</v>
      </c>
      <c r="M5566" s="468">
        <v>341.27</v>
      </c>
      <c r="N5566" s="91">
        <f t="shared" si="1982"/>
        <v>1121.27</v>
      </c>
      <c r="O5566" s="411">
        <f t="shared" si="1972"/>
        <v>2073.73</v>
      </c>
      <c r="P5566" s="132" t="s">
        <v>2895</v>
      </c>
      <c r="Q5566" s="232"/>
      <c r="R5566" s="411"/>
      <c r="T5566" s="439" t="s">
        <v>12089</v>
      </c>
      <c r="U5566" s="446" t="s">
        <v>12090</v>
      </c>
      <c r="V5566" s="133" t="s">
        <v>10703</v>
      </c>
      <c r="W5566" s="153" t="s">
        <v>10861</v>
      </c>
      <c r="AA5566" s="218"/>
    </row>
    <row r="5567" spans="1:27" x14ac:dyDescent="0.25">
      <c r="A5567" s="420"/>
      <c r="B5567" s="422"/>
      <c r="C5567" s="420"/>
      <c r="D5567" s="418"/>
      <c r="E5567" s="120">
        <v>2000</v>
      </c>
      <c r="F5567" s="133" t="s">
        <v>12091</v>
      </c>
      <c r="G5567" s="436"/>
      <c r="H5567" s="428"/>
      <c r="I5567" s="428"/>
      <c r="J5567" s="428"/>
      <c r="K5567" s="426"/>
      <c r="L5567" s="187">
        <v>570</v>
      </c>
      <c r="M5567" s="469"/>
      <c r="N5567" s="91">
        <f t="shared" si="1982"/>
        <v>1140</v>
      </c>
      <c r="O5567" s="411">
        <f t="shared" si="1972"/>
        <v>-1140</v>
      </c>
      <c r="P5567" s="132" t="s">
        <v>2895</v>
      </c>
      <c r="Q5567" s="232"/>
      <c r="R5567" s="411"/>
      <c r="T5567" s="441"/>
      <c r="U5567" s="447"/>
      <c r="V5567" s="133" t="s">
        <v>55</v>
      </c>
      <c r="AA5567" s="218"/>
    </row>
    <row r="5568" spans="1:27" x14ac:dyDescent="0.25">
      <c r="A5568" s="419">
        <v>3004383</v>
      </c>
      <c r="B5568" s="421">
        <v>42629</v>
      </c>
      <c r="C5568" s="419" t="s">
        <v>56</v>
      </c>
      <c r="D5568" s="417" t="s">
        <v>6462</v>
      </c>
      <c r="E5568" s="120">
        <v>2000</v>
      </c>
      <c r="F5568" s="133" t="s">
        <v>12092</v>
      </c>
      <c r="G5568" s="434" t="s">
        <v>45</v>
      </c>
      <c r="H5568" s="427">
        <v>21300</v>
      </c>
      <c r="I5568" s="427">
        <v>0</v>
      </c>
      <c r="J5568" s="427">
        <v>0</v>
      </c>
      <c r="K5568" s="425">
        <f t="shared" si="2023"/>
        <v>21300</v>
      </c>
      <c r="L5568" s="187">
        <v>6850</v>
      </c>
      <c r="M5568" s="131">
        <v>0</v>
      </c>
      <c r="N5568" s="91">
        <f t="shared" si="1982"/>
        <v>13700</v>
      </c>
      <c r="O5568" s="411">
        <f t="shared" si="1972"/>
        <v>7600</v>
      </c>
      <c r="P5568" s="132" t="s">
        <v>638</v>
      </c>
      <c r="Q5568" s="232"/>
      <c r="R5568" s="411"/>
      <c r="T5568" s="439" t="s">
        <v>9096</v>
      </c>
      <c r="U5568" s="444">
        <v>5612521723</v>
      </c>
      <c r="V5568" s="133" t="s">
        <v>12093</v>
      </c>
      <c r="AA5568" s="218"/>
    </row>
    <row r="5569" spans="1:27" x14ac:dyDescent="0.25">
      <c r="A5569" s="420"/>
      <c r="B5569" s="422"/>
      <c r="C5569" s="420"/>
      <c r="D5569" s="418"/>
      <c r="E5569" s="120">
        <v>500</v>
      </c>
      <c r="F5569" s="133" t="s">
        <v>12094</v>
      </c>
      <c r="G5569" s="436"/>
      <c r="H5569" s="428"/>
      <c r="I5569" s="428"/>
      <c r="J5569" s="428"/>
      <c r="K5569" s="426"/>
      <c r="L5569" s="187">
        <v>1650</v>
      </c>
      <c r="M5569" s="131">
        <v>0</v>
      </c>
      <c r="N5569" s="91">
        <f t="shared" si="1982"/>
        <v>825</v>
      </c>
      <c r="O5569" s="411">
        <f t="shared" si="1972"/>
        <v>-825</v>
      </c>
      <c r="P5569" s="132" t="s">
        <v>638</v>
      </c>
      <c r="Q5569" s="232"/>
      <c r="R5569" s="411"/>
      <c r="T5569" s="441"/>
      <c r="U5569" s="445"/>
      <c r="AA5569" s="218"/>
    </row>
    <row r="5570" spans="1:27" ht="24" x14ac:dyDescent="0.25">
      <c r="A5570" s="405">
        <v>3004384</v>
      </c>
      <c r="B5570" s="406">
        <v>42629</v>
      </c>
      <c r="C5570" s="405" t="s">
        <v>63</v>
      </c>
      <c r="D5570" s="401" t="s">
        <v>12095</v>
      </c>
      <c r="E5570" s="120">
        <v>30</v>
      </c>
      <c r="F5570" s="133" t="s">
        <v>2220</v>
      </c>
      <c r="G5570" s="404" t="s">
        <v>45</v>
      </c>
      <c r="H5570" s="411">
        <v>110</v>
      </c>
      <c r="I5570" s="411">
        <v>0</v>
      </c>
      <c r="J5570" s="258">
        <f>-((H5570*0.022)+0.3)</f>
        <v>-2.7199999999999998</v>
      </c>
      <c r="K5570" s="90">
        <f t="shared" si="2023"/>
        <v>107.28</v>
      </c>
      <c r="M5570" s="187">
        <v>21.52</v>
      </c>
      <c r="N5570" s="91">
        <f t="shared" si="1982"/>
        <v>21.52</v>
      </c>
      <c r="O5570" s="411">
        <f t="shared" si="1972"/>
        <v>85.76</v>
      </c>
      <c r="P5570" s="132" t="s">
        <v>52</v>
      </c>
      <c r="Q5570" s="232"/>
      <c r="R5570" s="411"/>
      <c r="T5570" s="134" t="s">
        <v>145</v>
      </c>
      <c r="U5570" s="267" t="s">
        <v>12096</v>
      </c>
      <c r="W5570" s="153" t="s">
        <v>12097</v>
      </c>
      <c r="AA5570" s="218"/>
    </row>
    <row r="5571" spans="1:27" ht="24" x14ac:dyDescent="0.25">
      <c r="A5571" s="405">
        <v>3004385</v>
      </c>
      <c r="B5571" s="406">
        <v>42629</v>
      </c>
      <c r="C5571" s="405" t="s">
        <v>327</v>
      </c>
      <c r="D5571" s="401" t="s">
        <v>12098</v>
      </c>
      <c r="E5571" s="120">
        <v>450</v>
      </c>
      <c r="F5571" s="133" t="s">
        <v>247</v>
      </c>
      <c r="G5571" s="404" t="s">
        <v>45</v>
      </c>
      <c r="H5571" s="411">
        <v>529</v>
      </c>
      <c r="I5571" s="411">
        <v>0</v>
      </c>
      <c r="J5571" s="258">
        <f>-((H5571*0.022)+0.3)</f>
        <v>-11.938000000000001</v>
      </c>
      <c r="K5571" s="90">
        <f t="shared" ref="K5571:K5572" si="2024">SUM(H5571:J5571)</f>
        <v>517.06200000000001</v>
      </c>
      <c r="L5571" s="187">
        <v>672</v>
      </c>
      <c r="M5571" s="187">
        <v>140.06</v>
      </c>
      <c r="N5571" s="91">
        <f t="shared" si="1982"/>
        <v>442.46000000000004</v>
      </c>
      <c r="O5571" s="411">
        <f t="shared" si="1972"/>
        <v>74.601999999999975</v>
      </c>
      <c r="P5571" s="132" t="s">
        <v>313</v>
      </c>
      <c r="Q5571" s="232"/>
      <c r="R5571" s="411"/>
      <c r="T5571" s="134" t="s">
        <v>12099</v>
      </c>
      <c r="U5571" s="267" t="s">
        <v>12100</v>
      </c>
      <c r="V5571" s="133" t="s">
        <v>55</v>
      </c>
      <c r="W5571" s="153" t="s">
        <v>12101</v>
      </c>
      <c r="AA5571" s="218"/>
    </row>
    <row r="5572" spans="1:27" ht="24" x14ac:dyDescent="0.25">
      <c r="A5572" s="405">
        <v>3004386</v>
      </c>
      <c r="B5572" s="406">
        <v>42629</v>
      </c>
      <c r="C5572" s="405" t="s">
        <v>42</v>
      </c>
      <c r="D5572" s="401" t="s">
        <v>12102</v>
      </c>
      <c r="E5572" s="120">
        <v>250</v>
      </c>
      <c r="F5572" s="133" t="s">
        <v>1137</v>
      </c>
      <c r="G5572" s="404" t="s">
        <v>45</v>
      </c>
      <c r="H5572" s="411">
        <v>133</v>
      </c>
      <c r="I5572" s="89">
        <f t="shared" ref="I5572:I5578" si="2025">-(H5572*0.09)</f>
        <v>-11.969999999999999</v>
      </c>
      <c r="J5572" s="258">
        <f t="shared" ref="J5572" si="2026">-((H5572*0.019)+0.3)</f>
        <v>-2.827</v>
      </c>
      <c r="K5572" s="90">
        <f t="shared" si="2024"/>
        <v>118.203</v>
      </c>
      <c r="L5572" s="131">
        <v>220</v>
      </c>
      <c r="M5572" s="187">
        <v>15.18</v>
      </c>
      <c r="N5572" s="91">
        <f t="shared" si="1982"/>
        <v>70.180000000000007</v>
      </c>
      <c r="O5572" s="411">
        <f t="shared" ref="O5572:O5635" si="2027">K5572-N5572</f>
        <v>48.022999999999996</v>
      </c>
      <c r="P5572" s="132" t="s">
        <v>52</v>
      </c>
      <c r="Q5572" s="232"/>
      <c r="R5572" s="411"/>
      <c r="T5572" s="134" t="s">
        <v>145</v>
      </c>
      <c r="U5572" s="267" t="s">
        <v>12103</v>
      </c>
      <c r="AA5572" s="218"/>
    </row>
    <row r="5573" spans="1:27" ht="24" x14ac:dyDescent="0.25">
      <c r="A5573" s="405">
        <v>3004387</v>
      </c>
      <c r="B5573" s="406">
        <v>42629</v>
      </c>
      <c r="C5573" s="405" t="s">
        <v>42</v>
      </c>
      <c r="D5573" s="401" t="s">
        <v>12104</v>
      </c>
      <c r="E5573" s="120">
        <v>100</v>
      </c>
      <c r="F5573" s="133" t="s">
        <v>431</v>
      </c>
      <c r="G5573" s="404" t="s">
        <v>45</v>
      </c>
      <c r="H5573" s="411">
        <v>227.48</v>
      </c>
      <c r="I5573" s="89">
        <f t="shared" si="2025"/>
        <v>-20.473199999999999</v>
      </c>
      <c r="J5573" s="258">
        <f t="shared" ref="J5573" si="2028">-((H5573*0.019)+0.3)</f>
        <v>-4.6221199999999998</v>
      </c>
      <c r="K5573" s="90">
        <f t="shared" ref="K5573" si="2029">SUM(H5573:J5573)</f>
        <v>202.38468</v>
      </c>
      <c r="L5573" s="131">
        <v>990</v>
      </c>
      <c r="M5573" s="187">
        <v>28.61</v>
      </c>
      <c r="N5573" s="91">
        <f t="shared" si="1982"/>
        <v>127.61</v>
      </c>
      <c r="O5573" s="411">
        <f t="shared" si="2027"/>
        <v>74.774680000000004</v>
      </c>
      <c r="P5573" s="132" t="s">
        <v>52</v>
      </c>
      <c r="Q5573" s="232"/>
      <c r="R5573" s="411"/>
      <c r="T5573" s="134" t="s">
        <v>145</v>
      </c>
      <c r="U5573" s="267" t="s">
        <v>12105</v>
      </c>
      <c r="AA5573" s="218"/>
    </row>
    <row r="5574" spans="1:27" ht="24" x14ac:dyDescent="0.25">
      <c r="A5574" s="405">
        <v>3004388</v>
      </c>
      <c r="B5574" s="406">
        <v>42629</v>
      </c>
      <c r="C5574" s="405" t="s">
        <v>42</v>
      </c>
      <c r="D5574" s="401" t="s">
        <v>12106</v>
      </c>
      <c r="E5574" s="120">
        <v>125</v>
      </c>
      <c r="F5574" s="133" t="s">
        <v>605</v>
      </c>
      <c r="G5574" s="404" t="s">
        <v>45</v>
      </c>
      <c r="H5574" s="411">
        <v>186.52</v>
      </c>
      <c r="I5574" s="89">
        <f t="shared" si="2025"/>
        <v>-16.786799999999999</v>
      </c>
      <c r="J5574" s="258">
        <f t="shared" ref="J5574" si="2030">-((H5574*0.019)+0.3)</f>
        <v>-3.84388</v>
      </c>
      <c r="K5574" s="90">
        <f t="shared" ref="K5574" si="2031">SUM(H5574:J5574)</f>
        <v>165.88932</v>
      </c>
      <c r="L5574" s="131">
        <v>480</v>
      </c>
      <c r="M5574" s="187">
        <v>44.56</v>
      </c>
      <c r="N5574" s="91">
        <f t="shared" si="1982"/>
        <v>104.56</v>
      </c>
      <c r="O5574" s="411">
        <f t="shared" si="2027"/>
        <v>61.329319999999996</v>
      </c>
      <c r="P5574" s="132" t="s">
        <v>86</v>
      </c>
      <c r="Q5574" s="232"/>
      <c r="R5574" s="411"/>
      <c r="T5574" s="134" t="s">
        <v>145</v>
      </c>
      <c r="U5574" s="267" t="s">
        <v>12107</v>
      </c>
      <c r="AA5574" s="218"/>
    </row>
    <row r="5575" spans="1:27" ht="24" x14ac:dyDescent="0.25">
      <c r="A5575" s="405">
        <v>3004389</v>
      </c>
      <c r="B5575" s="406">
        <v>42629</v>
      </c>
      <c r="C5575" s="405" t="s">
        <v>42</v>
      </c>
      <c r="D5575" s="401" t="s">
        <v>12108</v>
      </c>
      <c r="E5575" s="120">
        <v>250</v>
      </c>
      <c r="F5575" s="133" t="s">
        <v>12109</v>
      </c>
      <c r="G5575" s="404" t="s">
        <v>45</v>
      </c>
      <c r="H5575" s="411">
        <v>384.81</v>
      </c>
      <c r="I5575" s="89">
        <f t="shared" si="2025"/>
        <v>-34.632899999999999</v>
      </c>
      <c r="J5575" s="258">
        <f t="shared" ref="J5575" si="2032">-((H5575*0.019)+0.3)</f>
        <v>-7.6113900000000001</v>
      </c>
      <c r="K5575" s="90">
        <f t="shared" ref="K5575" si="2033">SUM(H5575:J5575)</f>
        <v>342.56570999999997</v>
      </c>
      <c r="L5575" s="187">
        <v>687</v>
      </c>
      <c r="M5575" s="224">
        <v>14.87</v>
      </c>
      <c r="N5575" s="91">
        <f t="shared" si="1982"/>
        <v>186.62</v>
      </c>
      <c r="O5575" s="411">
        <f t="shared" si="2027"/>
        <v>155.94570999999996</v>
      </c>
      <c r="P5575" s="132" t="s">
        <v>183</v>
      </c>
      <c r="Q5575" s="232"/>
      <c r="R5575" s="411"/>
      <c r="T5575" s="134" t="s">
        <v>145</v>
      </c>
      <c r="U5575" s="267" t="s">
        <v>12110</v>
      </c>
      <c r="AA5575" s="218"/>
    </row>
    <row r="5576" spans="1:27" ht="24" x14ac:dyDescent="0.25">
      <c r="A5576" s="405">
        <v>3004390</v>
      </c>
      <c r="B5576" s="406">
        <v>42629</v>
      </c>
      <c r="C5576" s="405" t="s">
        <v>42</v>
      </c>
      <c r="D5576" s="401" t="s">
        <v>12111</v>
      </c>
      <c r="E5576" s="120">
        <v>250</v>
      </c>
      <c r="F5576" s="133" t="s">
        <v>609</v>
      </c>
      <c r="G5576" s="404" t="s">
        <v>45</v>
      </c>
      <c r="H5576" s="411">
        <v>166.59</v>
      </c>
      <c r="I5576" s="89">
        <f t="shared" si="2025"/>
        <v>-14.9931</v>
      </c>
      <c r="J5576" s="258">
        <f t="shared" ref="J5576" si="2034">-((H5576*0.019)+0.3)</f>
        <v>-3.4652099999999999</v>
      </c>
      <c r="K5576" s="90">
        <f t="shared" ref="K5576" si="2035">SUM(H5576:J5576)</f>
        <v>148.13168999999999</v>
      </c>
      <c r="L5576" s="131">
        <v>150</v>
      </c>
      <c r="M5576" s="187">
        <v>21.26</v>
      </c>
      <c r="N5576" s="91">
        <f t="shared" si="1982"/>
        <v>58.760000000000005</v>
      </c>
      <c r="O5576" s="411">
        <f t="shared" si="2027"/>
        <v>89.371689999999987</v>
      </c>
      <c r="P5576" s="132" t="s">
        <v>52</v>
      </c>
      <c r="Q5576" s="232"/>
      <c r="R5576" s="411"/>
      <c r="T5576" s="134" t="s">
        <v>145</v>
      </c>
      <c r="U5576" s="267" t="s">
        <v>12112</v>
      </c>
      <c r="AA5576" s="218"/>
    </row>
    <row r="5577" spans="1:27" ht="24" x14ac:dyDescent="0.25">
      <c r="A5577" s="405">
        <v>3004391</v>
      </c>
      <c r="B5577" s="406">
        <v>42629</v>
      </c>
      <c r="C5577" s="405" t="s">
        <v>42</v>
      </c>
      <c r="D5577" s="401" t="s">
        <v>12113</v>
      </c>
      <c r="E5577" s="120">
        <v>100</v>
      </c>
      <c r="F5577" s="133" t="s">
        <v>161</v>
      </c>
      <c r="G5577" s="404" t="s">
        <v>45</v>
      </c>
      <c r="H5577" s="411">
        <v>245</v>
      </c>
      <c r="I5577" s="89">
        <f t="shared" si="2025"/>
        <v>-22.05</v>
      </c>
      <c r="J5577" s="258">
        <f t="shared" ref="J5577" si="2036">-((H5577*0.019)+0.3)</f>
        <v>-4.9550000000000001</v>
      </c>
      <c r="K5577" s="90">
        <f t="shared" ref="K5577" si="2037">SUM(H5577:J5577)</f>
        <v>217.99499999999998</v>
      </c>
      <c r="L5577" s="131">
        <v>1322</v>
      </c>
      <c r="M5577" s="187">
        <v>26.8</v>
      </c>
      <c r="N5577" s="91">
        <f t="shared" si="1982"/>
        <v>159.00000000000003</v>
      </c>
      <c r="O5577" s="411">
        <f t="shared" si="2027"/>
        <v>58.994999999999948</v>
      </c>
      <c r="P5577" s="132" t="s">
        <v>52</v>
      </c>
      <c r="Q5577" s="232"/>
      <c r="R5577" s="411"/>
      <c r="T5577" s="134" t="s">
        <v>145</v>
      </c>
      <c r="U5577" s="267" t="s">
        <v>12114</v>
      </c>
      <c r="AA5577" s="218"/>
    </row>
    <row r="5578" spans="1:27" ht="24" x14ac:dyDescent="0.25">
      <c r="A5578" s="405">
        <v>3004392</v>
      </c>
      <c r="B5578" s="406">
        <v>42629</v>
      </c>
      <c r="C5578" s="405" t="s">
        <v>42</v>
      </c>
      <c r="D5578" s="401" t="s">
        <v>12115</v>
      </c>
      <c r="E5578" s="120">
        <v>100</v>
      </c>
      <c r="F5578" s="133" t="s">
        <v>161</v>
      </c>
      <c r="G5578" s="404" t="s">
        <v>45</v>
      </c>
      <c r="H5578" s="411">
        <v>245</v>
      </c>
      <c r="I5578" s="89">
        <f t="shared" si="2025"/>
        <v>-22.05</v>
      </c>
      <c r="J5578" s="258">
        <f t="shared" ref="J5578" si="2038">-((H5578*0.019)+0.3)</f>
        <v>-4.9550000000000001</v>
      </c>
      <c r="K5578" s="90">
        <f t="shared" ref="K5578" si="2039">SUM(H5578:J5578)</f>
        <v>217.99499999999998</v>
      </c>
      <c r="L5578" s="131">
        <v>1322</v>
      </c>
      <c r="M5578" s="187">
        <v>31.25</v>
      </c>
      <c r="N5578" s="91">
        <f t="shared" si="1982"/>
        <v>163.45000000000002</v>
      </c>
      <c r="O5578" s="411">
        <f t="shared" si="2027"/>
        <v>54.544999999999959</v>
      </c>
      <c r="P5578" s="132" t="s">
        <v>52</v>
      </c>
      <c r="Q5578" s="232"/>
      <c r="R5578" s="411"/>
      <c r="T5578" s="134" t="s">
        <v>145</v>
      </c>
      <c r="U5578" s="267" t="s">
        <v>12116</v>
      </c>
      <c r="X5578" s="245"/>
      <c r="AA5578" s="218"/>
    </row>
    <row r="5579" spans="1:27" ht="60" x14ac:dyDescent="0.25">
      <c r="A5579" s="405">
        <v>3004393</v>
      </c>
      <c r="B5579" s="406">
        <v>42629</v>
      </c>
      <c r="C5579" s="405" t="s">
        <v>237</v>
      </c>
      <c r="D5579" s="401" t="s">
        <v>12117</v>
      </c>
      <c r="E5579" s="120">
        <v>100</v>
      </c>
      <c r="F5579" s="119" t="s">
        <v>12118</v>
      </c>
      <c r="G5579" s="404" t="s">
        <v>45</v>
      </c>
      <c r="H5579" s="411">
        <v>141.83000000000001</v>
      </c>
      <c r="I5579" s="397">
        <f t="shared" ref="I5579" si="2040">-(H5579*0.15)</f>
        <v>-21.2745</v>
      </c>
      <c r="J5579" s="258">
        <v>0</v>
      </c>
      <c r="K5579" s="90">
        <f>SUM(H5579:J5579)</f>
        <v>120.55550000000001</v>
      </c>
      <c r="L5579" s="187">
        <v>750</v>
      </c>
      <c r="M5579" s="187">
        <v>17.55</v>
      </c>
      <c r="N5579" s="91">
        <f t="shared" ref="N5579:N5600" si="2041">((L5579)*(E5579*0.001))+M5579</f>
        <v>92.55</v>
      </c>
      <c r="O5579" s="411">
        <f t="shared" si="2027"/>
        <v>28.005500000000012</v>
      </c>
      <c r="P5579" s="132" t="s">
        <v>643</v>
      </c>
      <c r="Q5579" s="232"/>
      <c r="R5579" s="411"/>
      <c r="T5579" s="134" t="s">
        <v>145</v>
      </c>
      <c r="U5579" s="267" t="s">
        <v>12119</v>
      </c>
      <c r="AA5579" s="218"/>
    </row>
    <row r="5580" spans="1:27" ht="24" x14ac:dyDescent="0.25">
      <c r="A5580" s="405">
        <v>3004394</v>
      </c>
      <c r="B5580" s="406">
        <v>42629</v>
      </c>
      <c r="C5580" s="405" t="s">
        <v>237</v>
      </c>
      <c r="D5580" s="401" t="s">
        <v>12120</v>
      </c>
      <c r="E5580" s="120">
        <v>50</v>
      </c>
      <c r="F5580" s="133" t="s">
        <v>288</v>
      </c>
      <c r="G5580" s="404" t="s">
        <v>45</v>
      </c>
      <c r="H5580" s="411">
        <v>112.29</v>
      </c>
      <c r="I5580" s="397">
        <f t="shared" ref="I5580" si="2042">-(H5580*0.15)</f>
        <v>-16.843499999999999</v>
      </c>
      <c r="J5580" s="258">
        <v>0</v>
      </c>
      <c r="K5580" s="90">
        <f>SUM(H5580:J5580)</f>
        <v>95.446500000000015</v>
      </c>
      <c r="L5580" s="131">
        <v>950</v>
      </c>
      <c r="M5580" s="187">
        <v>11.85</v>
      </c>
      <c r="N5580" s="91">
        <f t="shared" si="2041"/>
        <v>59.35</v>
      </c>
      <c r="O5580" s="411">
        <f t="shared" si="2027"/>
        <v>36.096500000000013</v>
      </c>
      <c r="P5580" s="132" t="s">
        <v>86</v>
      </c>
      <c r="Q5580" s="232"/>
      <c r="R5580" s="411"/>
      <c r="T5580" s="134" t="s">
        <v>145</v>
      </c>
      <c r="U5580" s="267" t="s">
        <v>12121</v>
      </c>
      <c r="AA5580" s="218"/>
    </row>
    <row r="5581" spans="1:27" ht="24" x14ac:dyDescent="0.25">
      <c r="A5581" s="405">
        <v>3004395</v>
      </c>
      <c r="B5581" s="406">
        <v>42629</v>
      </c>
      <c r="C5581" s="405" t="s">
        <v>237</v>
      </c>
      <c r="D5581" s="401" t="s">
        <v>12122</v>
      </c>
      <c r="E5581" s="120">
        <v>50</v>
      </c>
      <c r="F5581" s="133" t="s">
        <v>288</v>
      </c>
      <c r="G5581" s="404" t="s">
        <v>45</v>
      </c>
      <c r="H5581" s="411">
        <v>115.76</v>
      </c>
      <c r="I5581" s="397">
        <f t="shared" ref="I5581" si="2043">-(H5581*0.15)</f>
        <v>-17.364000000000001</v>
      </c>
      <c r="J5581" s="258">
        <v>0</v>
      </c>
      <c r="K5581" s="90">
        <f>SUM(H5581:J5581)</f>
        <v>98.396000000000001</v>
      </c>
      <c r="L5581" s="131">
        <v>950</v>
      </c>
      <c r="M5581" s="187">
        <v>18.350000000000001</v>
      </c>
      <c r="N5581" s="91">
        <f t="shared" si="2041"/>
        <v>65.849999999999994</v>
      </c>
      <c r="O5581" s="411">
        <f t="shared" si="2027"/>
        <v>32.546000000000006</v>
      </c>
      <c r="P5581" s="132" t="s">
        <v>52</v>
      </c>
      <c r="Q5581" s="232"/>
      <c r="R5581" s="411"/>
      <c r="T5581" s="134" t="s">
        <v>145</v>
      </c>
      <c r="U5581" s="267" t="s">
        <v>12123</v>
      </c>
      <c r="AA5581" s="218"/>
    </row>
    <row r="5582" spans="1:27" ht="24" x14ac:dyDescent="0.25">
      <c r="A5582" s="405">
        <v>3004396</v>
      </c>
      <c r="B5582" s="406">
        <v>42629</v>
      </c>
      <c r="C5582" s="405" t="s">
        <v>237</v>
      </c>
      <c r="D5582" s="401" t="s">
        <v>12124</v>
      </c>
      <c r="E5582" s="120">
        <v>100</v>
      </c>
      <c r="F5582" s="133" t="s">
        <v>431</v>
      </c>
      <c r="G5582" s="404" t="s">
        <v>45</v>
      </c>
      <c r="H5582" s="411">
        <v>266.48</v>
      </c>
      <c r="I5582" s="397">
        <f t="shared" ref="I5582" si="2044">-(H5582*0.15)</f>
        <v>-39.972000000000001</v>
      </c>
      <c r="J5582" s="258">
        <v>0</v>
      </c>
      <c r="K5582" s="90">
        <f>SUM(H5582:J5582)</f>
        <v>226.50800000000001</v>
      </c>
      <c r="L5582" s="131">
        <v>990</v>
      </c>
      <c r="M5582" s="187">
        <v>38.450000000000003</v>
      </c>
      <c r="N5582" s="91">
        <f t="shared" si="2041"/>
        <v>137.44999999999999</v>
      </c>
      <c r="O5582" s="411">
        <f t="shared" si="2027"/>
        <v>89.058000000000021</v>
      </c>
      <c r="P5582" s="132" t="s">
        <v>52</v>
      </c>
      <c r="Q5582" s="232"/>
      <c r="R5582" s="411"/>
      <c r="T5582" s="134" t="s">
        <v>145</v>
      </c>
      <c r="U5582" s="267" t="s">
        <v>12125</v>
      </c>
      <c r="AA5582" s="218"/>
    </row>
    <row r="5583" spans="1:27" ht="24" customHeight="1" x14ac:dyDescent="0.25">
      <c r="A5583" s="419">
        <v>3004397</v>
      </c>
      <c r="B5583" s="421">
        <v>42629</v>
      </c>
      <c r="C5583" s="419" t="s">
        <v>237</v>
      </c>
      <c r="D5583" s="429" t="s">
        <v>12126</v>
      </c>
      <c r="E5583" s="120">
        <v>500</v>
      </c>
      <c r="F5583" s="133" t="s">
        <v>451</v>
      </c>
      <c r="G5583" s="434" t="s">
        <v>45</v>
      </c>
      <c r="H5583" s="427">
        <v>483.68</v>
      </c>
      <c r="I5583" s="452">
        <f t="shared" ref="I5583" si="2045">-(H5583*0.15)</f>
        <v>-72.551999999999992</v>
      </c>
      <c r="J5583" s="425">
        <v>0</v>
      </c>
      <c r="K5583" s="425">
        <f>SUM(H5583:J5583)</f>
        <v>411.12800000000004</v>
      </c>
      <c r="L5583" s="131">
        <v>300</v>
      </c>
      <c r="M5583" s="187">
        <v>31.98</v>
      </c>
      <c r="N5583" s="91">
        <f t="shared" si="2041"/>
        <v>181.98</v>
      </c>
      <c r="O5583" s="411">
        <f t="shared" si="2027"/>
        <v>229.14800000000005</v>
      </c>
      <c r="P5583" s="132" t="s">
        <v>52</v>
      </c>
      <c r="Q5583" s="232"/>
      <c r="R5583" s="411"/>
      <c r="T5583" s="470" t="s">
        <v>145</v>
      </c>
      <c r="U5583" s="267" t="s">
        <v>12127</v>
      </c>
      <c r="AA5583" s="218"/>
    </row>
    <row r="5584" spans="1:27" x14ac:dyDescent="0.25">
      <c r="A5584" s="420"/>
      <c r="B5584" s="422"/>
      <c r="C5584" s="420"/>
      <c r="D5584" s="431"/>
      <c r="E5584" s="120">
        <v>500</v>
      </c>
      <c r="F5584" s="133" t="s">
        <v>1137</v>
      </c>
      <c r="G5584" s="436"/>
      <c r="H5584" s="428"/>
      <c r="I5584" s="453"/>
      <c r="J5584" s="426"/>
      <c r="K5584" s="426"/>
      <c r="L5584" s="131">
        <v>220</v>
      </c>
      <c r="M5584" s="187">
        <v>28.72</v>
      </c>
      <c r="N5584" s="91">
        <f t="shared" si="2041"/>
        <v>138.72</v>
      </c>
      <c r="O5584" s="411">
        <f t="shared" si="2027"/>
        <v>-138.72</v>
      </c>
      <c r="P5584" s="132" t="s">
        <v>52</v>
      </c>
      <c r="Q5584" s="232"/>
      <c r="R5584" s="411"/>
      <c r="T5584" s="472"/>
      <c r="U5584" s="267" t="s">
        <v>12128</v>
      </c>
      <c r="AA5584" s="218"/>
    </row>
    <row r="5585" spans="1:27" x14ac:dyDescent="0.25">
      <c r="A5585" s="405">
        <v>3004398</v>
      </c>
      <c r="B5585" s="406">
        <v>42629</v>
      </c>
      <c r="C5585" s="405" t="s">
        <v>63</v>
      </c>
      <c r="D5585" s="401" t="s">
        <v>12129</v>
      </c>
      <c r="E5585" s="120">
        <v>300</v>
      </c>
      <c r="F5585" s="133" t="s">
        <v>7850</v>
      </c>
      <c r="G5585" s="404" t="s">
        <v>45</v>
      </c>
      <c r="H5585" s="411">
        <v>1100</v>
      </c>
      <c r="I5585" s="411">
        <v>0</v>
      </c>
      <c r="J5585" s="258">
        <f>-((H5585*0.022)+0.3)</f>
        <v>-24.5</v>
      </c>
      <c r="K5585" s="90">
        <f t="shared" ref="K5585" si="2046">SUM(H5585:J5585)</f>
        <v>1075.5</v>
      </c>
      <c r="L5585" s="131">
        <v>2325</v>
      </c>
      <c r="M5585" s="187">
        <v>176.31</v>
      </c>
      <c r="N5585" s="91">
        <f t="shared" si="2041"/>
        <v>873.81</v>
      </c>
      <c r="O5585" s="411">
        <f t="shared" si="2027"/>
        <v>201.69000000000005</v>
      </c>
      <c r="P5585" s="132" t="s">
        <v>52</v>
      </c>
      <c r="Q5585" s="232"/>
      <c r="R5585" s="411"/>
      <c r="T5585" s="134" t="s">
        <v>97</v>
      </c>
      <c r="U5585" s="267" t="s">
        <v>12130</v>
      </c>
      <c r="V5585" s="133" t="s">
        <v>55</v>
      </c>
      <c r="W5585" s="153" t="s">
        <v>12131</v>
      </c>
      <c r="AA5585" s="218">
        <v>10</v>
      </c>
    </row>
    <row r="5586" spans="1:27" ht="24" x14ac:dyDescent="0.25">
      <c r="A5586" s="405">
        <v>3004399</v>
      </c>
      <c r="B5586" s="406">
        <v>42629</v>
      </c>
      <c r="C5586" s="405" t="s">
        <v>237</v>
      </c>
      <c r="D5586" s="401" t="s">
        <v>12132</v>
      </c>
      <c r="E5586" s="120">
        <v>100</v>
      </c>
      <c r="F5586" s="133" t="s">
        <v>288</v>
      </c>
      <c r="G5586" s="404" t="s">
        <v>45</v>
      </c>
      <c r="H5586" s="411">
        <v>193.04</v>
      </c>
      <c r="I5586" s="397">
        <f t="shared" ref="I5586" si="2047">-(H5586*0.15)</f>
        <v>-28.955999999999996</v>
      </c>
      <c r="J5586" s="258">
        <v>0</v>
      </c>
      <c r="K5586" s="90">
        <f>SUM(H5586:J5586)</f>
        <v>164.084</v>
      </c>
      <c r="L5586" s="131">
        <v>950</v>
      </c>
      <c r="M5586" s="187">
        <v>22.76</v>
      </c>
      <c r="N5586" s="91">
        <f t="shared" si="2041"/>
        <v>117.76</v>
      </c>
      <c r="O5586" s="411">
        <f t="shared" si="2027"/>
        <v>46.323999999999998</v>
      </c>
      <c r="P5586" s="132" t="s">
        <v>86</v>
      </c>
      <c r="Q5586" s="232"/>
      <c r="R5586" s="411"/>
      <c r="T5586" s="134" t="s">
        <v>145</v>
      </c>
      <c r="U5586" s="267" t="s">
        <v>12133</v>
      </c>
      <c r="AA5586" s="218"/>
    </row>
    <row r="5587" spans="1:27" ht="24" x14ac:dyDescent="0.25">
      <c r="A5587" s="405">
        <v>3004400</v>
      </c>
      <c r="B5587" s="406">
        <v>42629</v>
      </c>
      <c r="C5587" s="405" t="s">
        <v>237</v>
      </c>
      <c r="D5587" s="401" t="s">
        <v>12134</v>
      </c>
      <c r="E5587" s="120">
        <v>300</v>
      </c>
      <c r="F5587" s="133" t="s">
        <v>227</v>
      </c>
      <c r="G5587" s="404" t="s">
        <v>45</v>
      </c>
      <c r="H5587" s="411">
        <v>135.35</v>
      </c>
      <c r="I5587" s="397">
        <f t="shared" ref="I5587" si="2048">-(H5587*0.15)</f>
        <v>-20.302499999999998</v>
      </c>
      <c r="J5587" s="258">
        <v>0</v>
      </c>
      <c r="K5587" s="90">
        <f>SUM(H5587:J5587)</f>
        <v>115.0475</v>
      </c>
      <c r="L5587" s="131">
        <v>235</v>
      </c>
      <c r="M5587" s="187">
        <v>36.94</v>
      </c>
      <c r="N5587" s="91">
        <f t="shared" si="2041"/>
        <v>107.44</v>
      </c>
      <c r="O5587" s="411">
        <f t="shared" si="2027"/>
        <v>7.6075000000000017</v>
      </c>
      <c r="P5587" s="132" t="s">
        <v>86</v>
      </c>
      <c r="Q5587" s="232"/>
      <c r="R5587" s="411"/>
      <c r="T5587" s="134" t="s">
        <v>145</v>
      </c>
      <c r="U5587" s="267" t="s">
        <v>12135</v>
      </c>
      <c r="AA5587" s="218"/>
    </row>
    <row r="5588" spans="1:27" x14ac:dyDescent="0.25">
      <c r="A5588" s="419">
        <v>3004401</v>
      </c>
      <c r="B5588" s="421">
        <v>42629</v>
      </c>
      <c r="C5588" s="419" t="s">
        <v>237</v>
      </c>
      <c r="D5588" s="417" t="s">
        <v>12136</v>
      </c>
      <c r="E5588" s="120">
        <v>75</v>
      </c>
      <c r="F5588" s="133" t="s">
        <v>3719</v>
      </c>
      <c r="G5588" s="434" t="s">
        <v>45</v>
      </c>
      <c r="H5588" s="427">
        <v>290.08</v>
      </c>
      <c r="I5588" s="452">
        <f t="shared" ref="I5588" si="2049">-(H5588*0.15)</f>
        <v>-43.511999999999993</v>
      </c>
      <c r="J5588" s="425">
        <v>0</v>
      </c>
      <c r="K5588" s="425">
        <f>SUM(H5588:J5588)</f>
        <v>246.56799999999998</v>
      </c>
      <c r="L5588" s="187">
        <v>1150</v>
      </c>
      <c r="M5588" s="187">
        <v>41.57</v>
      </c>
      <c r="N5588" s="91">
        <f t="shared" si="2041"/>
        <v>127.82</v>
      </c>
      <c r="O5588" s="411">
        <f t="shared" si="2027"/>
        <v>118.74799999999999</v>
      </c>
      <c r="P5588" s="132" t="s">
        <v>601</v>
      </c>
      <c r="Q5588" s="232"/>
      <c r="R5588" s="411"/>
      <c r="T5588" s="439" t="s">
        <v>145</v>
      </c>
      <c r="U5588" s="446" t="s">
        <v>12137</v>
      </c>
      <c r="AA5588" s="218"/>
    </row>
    <row r="5589" spans="1:27" x14ac:dyDescent="0.25">
      <c r="A5589" s="420"/>
      <c r="B5589" s="422"/>
      <c r="C5589" s="420"/>
      <c r="D5589" s="418"/>
      <c r="E5589" s="120">
        <v>75</v>
      </c>
      <c r="F5589" s="133" t="s">
        <v>3307</v>
      </c>
      <c r="G5589" s="436"/>
      <c r="H5589" s="428"/>
      <c r="I5589" s="453"/>
      <c r="J5589" s="426"/>
      <c r="K5589" s="426"/>
      <c r="L5589" s="187">
        <v>1180</v>
      </c>
      <c r="N5589" s="91">
        <f t="shared" si="2041"/>
        <v>88.5</v>
      </c>
      <c r="O5589" s="411">
        <f t="shared" si="2027"/>
        <v>-88.5</v>
      </c>
      <c r="P5589" s="132" t="s">
        <v>601</v>
      </c>
      <c r="Q5589" s="232"/>
      <c r="R5589" s="411"/>
      <c r="T5589" s="441"/>
      <c r="U5589" s="447"/>
      <c r="AA5589" s="218"/>
    </row>
    <row r="5590" spans="1:27" ht="24" x14ac:dyDescent="0.25">
      <c r="A5590" s="405">
        <v>3004402</v>
      </c>
      <c r="B5590" s="406">
        <v>42629</v>
      </c>
      <c r="C5590" s="405" t="s">
        <v>694</v>
      </c>
      <c r="D5590" s="401" t="s">
        <v>12138</v>
      </c>
      <c r="E5590" s="120">
        <v>100</v>
      </c>
      <c r="F5590" s="133" t="s">
        <v>161</v>
      </c>
      <c r="G5590" s="404" t="s">
        <v>45</v>
      </c>
      <c r="H5590" s="411">
        <v>244.41</v>
      </c>
      <c r="I5590" s="411">
        <v>0</v>
      </c>
      <c r="J5590" s="258">
        <f t="shared" ref="J5590:J5591" si="2050">-((H5590*0.019)+0.3)</f>
        <v>-4.9437899999999999</v>
      </c>
      <c r="K5590" s="90">
        <f>SUM(H5590:J5590)</f>
        <v>239.46620999999999</v>
      </c>
      <c r="L5590" s="131">
        <v>1322</v>
      </c>
      <c r="M5590" s="187">
        <v>24.39</v>
      </c>
      <c r="N5590" s="91">
        <f t="shared" si="2041"/>
        <v>156.59000000000003</v>
      </c>
      <c r="O5590" s="411">
        <f t="shared" si="2027"/>
        <v>82.876209999999958</v>
      </c>
      <c r="P5590" s="132" t="s">
        <v>52</v>
      </c>
      <c r="Q5590" s="232"/>
      <c r="R5590" s="411">
        <v>19.41</v>
      </c>
      <c r="S5590" s="133" t="s">
        <v>52</v>
      </c>
      <c r="T5590" s="134" t="s">
        <v>145</v>
      </c>
      <c r="U5590" s="267" t="s">
        <v>12139</v>
      </c>
      <c r="W5590" s="153" t="s">
        <v>12140</v>
      </c>
      <c r="AA5590" s="218"/>
    </row>
    <row r="5591" spans="1:27" ht="24" x14ac:dyDescent="0.25">
      <c r="A5591" s="405">
        <v>3004403</v>
      </c>
      <c r="B5591" s="406">
        <v>42629</v>
      </c>
      <c r="C5591" s="405" t="s">
        <v>42</v>
      </c>
      <c r="D5591" s="401" t="s">
        <v>12141</v>
      </c>
      <c r="E5591" s="120">
        <v>200</v>
      </c>
      <c r="F5591" s="133" t="s">
        <v>451</v>
      </c>
      <c r="G5591" s="404" t="s">
        <v>45</v>
      </c>
      <c r="H5591" s="411">
        <v>140.30000000000001</v>
      </c>
      <c r="I5591" s="89">
        <f>-(H5591*0.09)</f>
        <v>-12.627000000000001</v>
      </c>
      <c r="J5591" s="258">
        <f t="shared" si="2050"/>
        <v>-2.9657</v>
      </c>
      <c r="K5591" s="90">
        <f t="shared" ref="K5591:K5593" si="2051">SUM(H5591:J5591)</f>
        <v>124.70730000000002</v>
      </c>
      <c r="L5591" s="131">
        <v>300</v>
      </c>
      <c r="M5591" s="187">
        <v>37.21</v>
      </c>
      <c r="N5591" s="91">
        <f t="shared" si="2041"/>
        <v>97.210000000000008</v>
      </c>
      <c r="O5591" s="411">
        <f t="shared" si="2027"/>
        <v>27.49730000000001</v>
      </c>
      <c r="P5591" s="132" t="s">
        <v>52</v>
      </c>
      <c r="Q5591" s="232"/>
      <c r="R5591" s="411"/>
      <c r="T5591" s="134" t="s">
        <v>145</v>
      </c>
      <c r="U5591" s="267" t="s">
        <v>12142</v>
      </c>
      <c r="AA5591" s="218"/>
    </row>
    <row r="5592" spans="1:27" ht="36" x14ac:dyDescent="0.25">
      <c r="A5592" s="405">
        <v>3004404</v>
      </c>
      <c r="B5592" s="406">
        <v>42629</v>
      </c>
      <c r="C5592" s="405" t="s">
        <v>237</v>
      </c>
      <c r="D5592" s="401" t="s">
        <v>12143</v>
      </c>
      <c r="E5592" s="120">
        <v>500</v>
      </c>
      <c r="F5592" s="119" t="s">
        <v>12144</v>
      </c>
      <c r="G5592" s="404" t="s">
        <v>45</v>
      </c>
      <c r="H5592" s="411">
        <v>112.95</v>
      </c>
      <c r="I5592" s="397">
        <f t="shared" ref="I5592" si="2052">-(H5592*0.15)</f>
        <v>-16.942499999999999</v>
      </c>
      <c r="J5592" s="258">
        <v>0</v>
      </c>
      <c r="K5592" s="90">
        <f>SUM(H5592:J5592)</f>
        <v>96.007500000000007</v>
      </c>
      <c r="L5592" s="187">
        <v>101</v>
      </c>
      <c r="M5592" s="187">
        <v>15.66</v>
      </c>
      <c r="N5592" s="91">
        <f t="shared" si="2041"/>
        <v>66.16</v>
      </c>
      <c r="O5592" s="411">
        <f t="shared" si="2027"/>
        <v>29.847500000000011</v>
      </c>
      <c r="P5592" s="132" t="s">
        <v>7593</v>
      </c>
      <c r="Q5592" s="232"/>
      <c r="R5592" s="411"/>
      <c r="T5592" s="134" t="s">
        <v>145</v>
      </c>
      <c r="U5592" s="267" t="s">
        <v>12145</v>
      </c>
      <c r="AA5592" s="218"/>
    </row>
    <row r="5593" spans="1:27" x14ac:dyDescent="0.25">
      <c r="A5593" s="419">
        <v>3004405</v>
      </c>
      <c r="B5593" s="421">
        <v>42629</v>
      </c>
      <c r="C5593" s="419" t="s">
        <v>56</v>
      </c>
      <c r="D5593" s="417" t="s">
        <v>3382</v>
      </c>
      <c r="E5593" s="120">
        <v>790</v>
      </c>
      <c r="F5593" s="133" t="s">
        <v>1453</v>
      </c>
      <c r="G5593" s="434" t="s">
        <v>45</v>
      </c>
      <c r="H5593" s="427">
        <v>1881.5</v>
      </c>
      <c r="I5593" s="427">
        <v>0</v>
      </c>
      <c r="J5593" s="427">
        <v>0</v>
      </c>
      <c r="K5593" s="523">
        <f t="shared" si="2051"/>
        <v>1881.5</v>
      </c>
      <c r="L5593" s="131">
        <v>1025</v>
      </c>
      <c r="M5593" s="468">
        <v>108.38</v>
      </c>
      <c r="N5593" s="91">
        <f t="shared" si="2041"/>
        <v>918.13</v>
      </c>
      <c r="O5593" s="411">
        <f t="shared" si="2027"/>
        <v>963.37</v>
      </c>
      <c r="P5593" s="132" t="s">
        <v>52</v>
      </c>
      <c r="Q5593" s="232"/>
      <c r="R5593" s="411"/>
      <c r="T5593" s="470" t="s">
        <v>503</v>
      </c>
      <c r="U5593" s="446" t="s">
        <v>12146</v>
      </c>
      <c r="V5593" s="133" t="s">
        <v>55</v>
      </c>
      <c r="AA5593" s="218"/>
    </row>
    <row r="5594" spans="1:27" x14ac:dyDescent="0.25">
      <c r="A5594" s="432"/>
      <c r="B5594" s="433"/>
      <c r="C5594" s="432"/>
      <c r="D5594" s="454"/>
      <c r="E5594" s="120">
        <v>200</v>
      </c>
      <c r="F5594" s="133" t="s">
        <v>161</v>
      </c>
      <c r="G5594" s="435"/>
      <c r="H5594" s="438"/>
      <c r="I5594" s="438"/>
      <c r="J5594" s="438"/>
      <c r="K5594" s="534"/>
      <c r="L5594" s="131">
        <v>1322</v>
      </c>
      <c r="M5594" s="491"/>
      <c r="N5594" s="91">
        <f t="shared" si="2041"/>
        <v>264.40000000000003</v>
      </c>
      <c r="O5594" s="411">
        <f t="shared" si="2027"/>
        <v>-264.40000000000003</v>
      </c>
      <c r="P5594" s="132" t="s">
        <v>52</v>
      </c>
      <c r="Q5594" s="232"/>
      <c r="R5594" s="411"/>
      <c r="T5594" s="471"/>
      <c r="U5594" s="448"/>
      <c r="V5594" s="133" t="s">
        <v>12147</v>
      </c>
      <c r="AA5594" s="218"/>
    </row>
    <row r="5595" spans="1:27" x14ac:dyDescent="0.25">
      <c r="A5595" s="420"/>
      <c r="B5595" s="422"/>
      <c r="C5595" s="420"/>
      <c r="D5595" s="418"/>
      <c r="E5595" s="120">
        <v>500</v>
      </c>
      <c r="F5595" s="133" t="s">
        <v>307</v>
      </c>
      <c r="G5595" s="436"/>
      <c r="H5595" s="428"/>
      <c r="I5595" s="428"/>
      <c r="J5595" s="428"/>
      <c r="K5595" s="524"/>
      <c r="L5595" s="131">
        <v>690</v>
      </c>
      <c r="M5595" s="469"/>
      <c r="N5595" s="91">
        <f t="shared" si="2041"/>
        <v>345</v>
      </c>
      <c r="O5595" s="411">
        <f t="shared" si="2027"/>
        <v>-345</v>
      </c>
      <c r="P5595" s="132" t="s">
        <v>52</v>
      </c>
      <c r="Q5595" s="232"/>
      <c r="R5595" s="411"/>
      <c r="T5595" s="472"/>
      <c r="U5595" s="447"/>
      <c r="AA5595" s="218"/>
    </row>
    <row r="5596" spans="1:27" x14ac:dyDescent="0.25">
      <c r="A5596" s="419">
        <v>3004406</v>
      </c>
      <c r="B5596" s="421">
        <v>42629</v>
      </c>
      <c r="C5596" s="419" t="s">
        <v>237</v>
      </c>
      <c r="D5596" s="417" t="s">
        <v>12148</v>
      </c>
      <c r="E5596" s="120">
        <v>50</v>
      </c>
      <c r="F5596" s="133" t="s">
        <v>3301</v>
      </c>
      <c r="G5596" s="434" t="s">
        <v>45</v>
      </c>
      <c r="H5596" s="427">
        <v>132.41999999999999</v>
      </c>
      <c r="I5596" s="452">
        <f t="shared" ref="I5596" si="2053">-(H5596*0.15)</f>
        <v>-19.862999999999996</v>
      </c>
      <c r="J5596" s="425">
        <v>0</v>
      </c>
      <c r="K5596" s="425">
        <f>SUM(H5596:J5596)</f>
        <v>112.55699999999999</v>
      </c>
      <c r="L5596" s="187">
        <v>765</v>
      </c>
      <c r="M5596" s="187">
        <f>67.77+34.24</f>
        <v>102.00999999999999</v>
      </c>
      <c r="N5596" s="91">
        <f t="shared" si="2041"/>
        <v>140.26</v>
      </c>
      <c r="O5596" s="411">
        <f t="shared" si="2027"/>
        <v>-27.703000000000003</v>
      </c>
      <c r="P5596" s="132" t="s">
        <v>601</v>
      </c>
      <c r="Q5596" s="232"/>
      <c r="R5596" s="411"/>
      <c r="T5596" s="439" t="s">
        <v>145</v>
      </c>
      <c r="U5596" s="446" t="s">
        <v>12149</v>
      </c>
      <c r="AA5596" s="218"/>
    </row>
    <row r="5597" spans="1:27" x14ac:dyDescent="0.25">
      <c r="A5597" s="420"/>
      <c r="B5597" s="422"/>
      <c r="C5597" s="420"/>
      <c r="D5597" s="418"/>
      <c r="E5597" s="120">
        <v>50</v>
      </c>
      <c r="F5597" s="133" t="s">
        <v>3299</v>
      </c>
      <c r="G5597" s="436"/>
      <c r="H5597" s="428"/>
      <c r="I5597" s="453"/>
      <c r="J5597" s="426"/>
      <c r="K5597" s="426"/>
      <c r="L5597" s="187">
        <v>780</v>
      </c>
      <c r="M5597" s="187"/>
      <c r="N5597" s="91">
        <f t="shared" si="2041"/>
        <v>39</v>
      </c>
      <c r="O5597" s="411">
        <f t="shared" si="2027"/>
        <v>-39</v>
      </c>
      <c r="P5597" s="132" t="s">
        <v>601</v>
      </c>
      <c r="Q5597" s="232"/>
      <c r="R5597" s="411"/>
      <c r="T5597" s="441"/>
      <c r="U5597" s="447"/>
      <c r="AA5597" s="218"/>
    </row>
    <row r="5598" spans="1:27" ht="24" x14ac:dyDescent="0.25">
      <c r="A5598" s="405">
        <v>3004407</v>
      </c>
      <c r="B5598" s="406">
        <v>42629</v>
      </c>
      <c r="C5598" s="405" t="s">
        <v>63</v>
      </c>
      <c r="D5598" s="401" t="s">
        <v>12150</v>
      </c>
      <c r="E5598" s="120">
        <v>580</v>
      </c>
      <c r="F5598" s="133" t="s">
        <v>12151</v>
      </c>
      <c r="G5598" s="404" t="s">
        <v>45</v>
      </c>
      <c r="H5598" s="411">
        <v>2395.36</v>
      </c>
      <c r="I5598" s="411">
        <v>0</v>
      </c>
      <c r="J5598" s="258">
        <f>-((H5598*0.022)+0.3)</f>
        <v>-52.997919999999993</v>
      </c>
      <c r="K5598" s="90">
        <f t="shared" ref="K5598" si="2054">SUM(H5598:J5598)</f>
        <v>2342.3620800000003</v>
      </c>
      <c r="L5598" s="187">
        <v>2230</v>
      </c>
      <c r="M5598" s="131">
        <v>0</v>
      </c>
      <c r="N5598" s="91">
        <f t="shared" si="2041"/>
        <v>1293.3999999999999</v>
      </c>
      <c r="O5598" s="411">
        <f t="shared" si="2027"/>
        <v>1048.9620800000005</v>
      </c>
      <c r="P5598" s="132" t="s">
        <v>59</v>
      </c>
      <c r="Q5598" s="232"/>
      <c r="R5598" s="411"/>
      <c r="T5598" s="134" t="s">
        <v>71</v>
      </c>
      <c r="U5598" s="267" t="s">
        <v>12152</v>
      </c>
      <c r="W5598" s="153" t="s">
        <v>12153</v>
      </c>
      <c r="AA5598" s="218">
        <v>10</v>
      </c>
    </row>
    <row r="5599" spans="1:27" x14ac:dyDescent="0.25">
      <c r="A5599" s="405">
        <v>3004408</v>
      </c>
      <c r="B5599" s="406">
        <v>42632</v>
      </c>
      <c r="C5599" s="405" t="s">
        <v>63</v>
      </c>
      <c r="D5599" s="401" t="s">
        <v>12154</v>
      </c>
      <c r="E5599" s="120">
        <v>1000</v>
      </c>
      <c r="F5599" s="133" t="s">
        <v>51</v>
      </c>
      <c r="G5599" s="404" t="s">
        <v>45</v>
      </c>
      <c r="H5599" s="411">
        <v>1638.77</v>
      </c>
      <c r="I5599" s="411">
        <v>0</v>
      </c>
      <c r="J5599" s="258">
        <f>-((H5599*0.022)+0.3)</f>
        <v>-36.352939999999997</v>
      </c>
      <c r="K5599" s="90">
        <f t="shared" ref="K5599:K5600" si="2055">SUM(H5599:J5599)</f>
        <v>1602.41706</v>
      </c>
      <c r="L5599" s="187">
        <v>1190</v>
      </c>
      <c r="M5599" s="187">
        <v>115</v>
      </c>
      <c r="N5599" s="91">
        <f t="shared" si="2041"/>
        <v>1305</v>
      </c>
      <c r="O5599" s="411">
        <f t="shared" si="2027"/>
        <v>297.41705999999999</v>
      </c>
      <c r="P5599" s="132" t="s">
        <v>183</v>
      </c>
      <c r="Q5599" s="232"/>
      <c r="R5599" s="411"/>
      <c r="T5599" s="134" t="s">
        <v>399</v>
      </c>
      <c r="U5599" s="267" t="s">
        <v>12155</v>
      </c>
      <c r="W5599" s="153" t="s">
        <v>12156</v>
      </c>
      <c r="AA5599" s="218">
        <v>10</v>
      </c>
    </row>
    <row r="5600" spans="1:27" x14ac:dyDescent="0.25">
      <c r="A5600" s="419">
        <v>3004409</v>
      </c>
      <c r="B5600" s="421">
        <v>42632</v>
      </c>
      <c r="C5600" s="419" t="s">
        <v>56</v>
      </c>
      <c r="D5600" s="417" t="s">
        <v>6840</v>
      </c>
      <c r="E5600" s="120">
        <v>2000</v>
      </c>
      <c r="F5600" s="133" t="s">
        <v>12157</v>
      </c>
      <c r="G5600" s="434" t="s">
        <v>45</v>
      </c>
      <c r="H5600" s="427">
        <v>1072.9000000000001</v>
      </c>
      <c r="I5600" s="427">
        <v>0</v>
      </c>
      <c r="J5600" s="427">
        <v>0</v>
      </c>
      <c r="K5600" s="425">
        <f t="shared" si="2055"/>
        <v>1072.9000000000001</v>
      </c>
      <c r="L5600" s="187">
        <v>104</v>
      </c>
      <c r="M5600" s="187"/>
      <c r="N5600" s="91">
        <f t="shared" si="2041"/>
        <v>208</v>
      </c>
      <c r="O5600" s="411">
        <f t="shared" si="2027"/>
        <v>864.90000000000009</v>
      </c>
      <c r="P5600" s="132" t="s">
        <v>638</v>
      </c>
      <c r="Q5600" s="232"/>
      <c r="R5600" s="411"/>
      <c r="T5600" s="134" t="s">
        <v>717</v>
      </c>
      <c r="U5600" s="266">
        <v>23922347</v>
      </c>
      <c r="V5600" s="133" t="s">
        <v>11223</v>
      </c>
      <c r="W5600" s="153" t="s">
        <v>298</v>
      </c>
      <c r="AA5600" s="218"/>
    </row>
    <row r="5601" spans="1:27" x14ac:dyDescent="0.25">
      <c r="A5601" s="432"/>
      <c r="B5601" s="433"/>
      <c r="C5601" s="432"/>
      <c r="D5601" s="454"/>
      <c r="E5601" s="120">
        <v>180</v>
      </c>
      <c r="F5601" s="133" t="s">
        <v>12158</v>
      </c>
      <c r="G5601" s="435"/>
      <c r="H5601" s="438"/>
      <c r="I5601" s="438"/>
      <c r="J5601" s="438"/>
      <c r="K5601" s="437"/>
      <c r="L5601" s="187">
        <v>310</v>
      </c>
      <c r="M5601" s="187">
        <v>9.0399999999999991</v>
      </c>
      <c r="N5601" s="91">
        <f t="shared" ref="N5601:N5617" si="2056">((L5601)*(E5601*0.001))+M5601</f>
        <v>64.84</v>
      </c>
      <c r="O5601" s="411">
        <f t="shared" si="2027"/>
        <v>-64.84</v>
      </c>
      <c r="P5601" s="132" t="s">
        <v>235</v>
      </c>
      <c r="Q5601" s="232"/>
      <c r="R5601" s="411"/>
      <c r="T5601" s="439" t="s">
        <v>145</v>
      </c>
      <c r="U5601" s="267" t="s">
        <v>12159</v>
      </c>
      <c r="V5601" s="133" t="s">
        <v>12160</v>
      </c>
      <c r="AA5601" s="218"/>
    </row>
    <row r="5602" spans="1:27" x14ac:dyDescent="0.25">
      <c r="A5602" s="432"/>
      <c r="B5602" s="433"/>
      <c r="C5602" s="432"/>
      <c r="D5602" s="454"/>
      <c r="E5602" s="120">
        <v>60</v>
      </c>
      <c r="F5602" s="133" t="s">
        <v>12161</v>
      </c>
      <c r="G5602" s="435"/>
      <c r="H5602" s="438"/>
      <c r="I5602" s="438"/>
      <c r="J5602" s="438"/>
      <c r="K5602" s="437"/>
      <c r="L5602" s="187">
        <v>160</v>
      </c>
      <c r="M5602" s="187">
        <v>7.48</v>
      </c>
      <c r="N5602" s="91">
        <f t="shared" si="2056"/>
        <v>17.079999999999998</v>
      </c>
      <c r="O5602" s="411">
        <f t="shared" si="2027"/>
        <v>-17.079999999999998</v>
      </c>
      <c r="P5602" s="132" t="s">
        <v>235</v>
      </c>
      <c r="Q5602" s="232"/>
      <c r="R5602" s="411"/>
      <c r="T5602" s="441"/>
      <c r="U5602" s="267" t="s">
        <v>12162</v>
      </c>
      <c r="V5602" s="133" t="s">
        <v>12160</v>
      </c>
      <c r="AA5602" s="218"/>
    </row>
    <row r="5603" spans="1:27" x14ac:dyDescent="0.25">
      <c r="A5603" s="432"/>
      <c r="B5603" s="433"/>
      <c r="C5603" s="432"/>
      <c r="D5603" s="454"/>
      <c r="E5603" s="120">
        <v>100</v>
      </c>
      <c r="F5603" s="133" t="s">
        <v>12163</v>
      </c>
      <c r="G5603" s="435"/>
      <c r="H5603" s="438"/>
      <c r="I5603" s="438"/>
      <c r="J5603" s="438"/>
      <c r="K5603" s="437"/>
      <c r="L5603" s="187">
        <v>3397</v>
      </c>
      <c r="M5603" s="187">
        <v>56.35</v>
      </c>
      <c r="N5603" s="91">
        <f t="shared" si="2056"/>
        <v>396.05000000000007</v>
      </c>
      <c r="O5603" s="411">
        <f t="shared" si="2027"/>
        <v>-396.05000000000007</v>
      </c>
      <c r="P5603" s="132" t="s">
        <v>638</v>
      </c>
      <c r="Q5603" s="232"/>
      <c r="R5603" s="411"/>
      <c r="T5603" s="134" t="s">
        <v>717</v>
      </c>
      <c r="U5603" s="266">
        <v>23922347</v>
      </c>
      <c r="AA5603" s="218"/>
    </row>
    <row r="5604" spans="1:27" ht="24" x14ac:dyDescent="0.25">
      <c r="A5604" s="420"/>
      <c r="B5604" s="422"/>
      <c r="C5604" s="420"/>
      <c r="D5604" s="418"/>
      <c r="E5604" s="120">
        <v>75</v>
      </c>
      <c r="F5604" s="133" t="s">
        <v>161</v>
      </c>
      <c r="G5604" s="436"/>
      <c r="H5604" s="428"/>
      <c r="I5604" s="428"/>
      <c r="J5604" s="428"/>
      <c r="K5604" s="426"/>
      <c r="L5604" s="131">
        <v>1322</v>
      </c>
      <c r="M5604" s="187">
        <v>13.88</v>
      </c>
      <c r="N5604" s="91">
        <f t="shared" si="2056"/>
        <v>113.02999999999999</v>
      </c>
      <c r="O5604" s="411">
        <f t="shared" si="2027"/>
        <v>-113.02999999999999</v>
      </c>
      <c r="P5604" s="132" t="s">
        <v>86</v>
      </c>
      <c r="Q5604" s="232"/>
      <c r="R5604" s="411"/>
      <c r="T5604" s="134" t="s">
        <v>145</v>
      </c>
      <c r="U5604" s="267" t="s">
        <v>12164</v>
      </c>
      <c r="V5604" s="133" t="s">
        <v>12165</v>
      </c>
      <c r="AA5604" s="218"/>
    </row>
    <row r="5605" spans="1:27" x14ac:dyDescent="0.25">
      <c r="A5605" s="419">
        <v>3004410</v>
      </c>
      <c r="B5605" s="421">
        <v>42632</v>
      </c>
      <c r="C5605" s="419" t="s">
        <v>63</v>
      </c>
      <c r="D5605" s="417" t="s">
        <v>12166</v>
      </c>
      <c r="E5605" s="120">
        <v>300</v>
      </c>
      <c r="F5605" s="133" t="s">
        <v>12167</v>
      </c>
      <c r="G5605" s="434" t="s">
        <v>45</v>
      </c>
      <c r="H5605" s="427">
        <v>3347.85</v>
      </c>
      <c r="I5605" s="427">
        <v>0</v>
      </c>
      <c r="J5605" s="425">
        <f>-((H5605*0.022)+0.3)</f>
        <v>-73.952699999999993</v>
      </c>
      <c r="K5605" s="425">
        <f t="shared" ref="K5605" si="2057">SUM(H5605:J5605)</f>
        <v>3273.8973000000001</v>
      </c>
      <c r="L5605" s="187">
        <v>5210</v>
      </c>
      <c r="M5605" s="187">
        <v>165.1</v>
      </c>
      <c r="N5605" s="91">
        <f t="shared" si="2056"/>
        <v>1728.1</v>
      </c>
      <c r="O5605" s="411">
        <f t="shared" si="2027"/>
        <v>1545.7973000000002</v>
      </c>
      <c r="P5605" s="132" t="s">
        <v>183</v>
      </c>
      <c r="Q5605" s="232"/>
      <c r="R5605" s="411"/>
      <c r="T5605" s="439" t="s">
        <v>10527</v>
      </c>
      <c r="U5605" s="446" t="s">
        <v>12168</v>
      </c>
      <c r="W5605" s="153" t="s">
        <v>12169</v>
      </c>
      <c r="AA5605" s="218">
        <v>10</v>
      </c>
    </row>
    <row r="5606" spans="1:27" x14ac:dyDescent="0.25">
      <c r="A5606" s="420"/>
      <c r="B5606" s="422"/>
      <c r="C5606" s="420"/>
      <c r="D5606" s="418"/>
      <c r="E5606" s="120">
        <v>200</v>
      </c>
      <c r="F5606" s="133" t="s">
        <v>12170</v>
      </c>
      <c r="G5606" s="436"/>
      <c r="H5606" s="428"/>
      <c r="I5606" s="428"/>
      <c r="J5606" s="426"/>
      <c r="K5606" s="426"/>
      <c r="L5606" s="187">
        <v>1500</v>
      </c>
      <c r="M5606" s="187"/>
      <c r="N5606" s="91">
        <f t="shared" si="2056"/>
        <v>300</v>
      </c>
      <c r="O5606" s="411">
        <f t="shared" si="2027"/>
        <v>-300</v>
      </c>
      <c r="P5606" s="132" t="s">
        <v>183</v>
      </c>
      <c r="Q5606" s="232"/>
      <c r="R5606" s="411"/>
      <c r="T5606" s="441"/>
      <c r="U5606" s="447"/>
      <c r="AA5606" s="218"/>
    </row>
    <row r="5607" spans="1:27" x14ac:dyDescent="0.25">
      <c r="A5607" s="419">
        <v>3004411</v>
      </c>
      <c r="B5607" s="421">
        <v>42632</v>
      </c>
      <c r="C5607" s="419" t="s">
        <v>63</v>
      </c>
      <c r="D5607" s="417" t="s">
        <v>12171</v>
      </c>
      <c r="E5607" s="120">
        <v>175</v>
      </c>
      <c r="F5607" s="133" t="s">
        <v>12172</v>
      </c>
      <c r="G5607" s="434" t="s">
        <v>45</v>
      </c>
      <c r="H5607" s="427">
        <v>540</v>
      </c>
      <c r="I5607" s="427">
        <v>0</v>
      </c>
      <c r="J5607" s="425">
        <f>-((H5607*0.022)+0.3)</f>
        <v>-12.18</v>
      </c>
      <c r="K5607" s="425">
        <f t="shared" ref="K5607" si="2058">SUM(H5607:J5607)</f>
        <v>527.82000000000005</v>
      </c>
      <c r="L5607" s="187">
        <v>2030</v>
      </c>
      <c r="M5607" s="187">
        <v>215.23</v>
      </c>
      <c r="N5607" s="91">
        <f t="shared" si="2056"/>
        <v>570.48</v>
      </c>
      <c r="O5607" s="411">
        <f t="shared" si="2027"/>
        <v>-42.659999999999968</v>
      </c>
      <c r="P5607" s="132" t="s">
        <v>183</v>
      </c>
      <c r="Q5607" s="232"/>
      <c r="R5607" s="411"/>
      <c r="T5607" s="439" t="s">
        <v>473</v>
      </c>
      <c r="U5607" s="446" t="s">
        <v>12173</v>
      </c>
      <c r="W5607" s="153" t="s">
        <v>12174</v>
      </c>
      <c r="AA5607" s="218"/>
    </row>
    <row r="5608" spans="1:27" x14ac:dyDescent="0.25">
      <c r="A5608" s="420"/>
      <c r="B5608" s="422"/>
      <c r="C5608" s="420"/>
      <c r="D5608" s="418"/>
      <c r="E5608" s="120">
        <v>175</v>
      </c>
      <c r="F5608" s="133" t="s">
        <v>6908</v>
      </c>
      <c r="G5608" s="436"/>
      <c r="H5608" s="428"/>
      <c r="I5608" s="428"/>
      <c r="J5608" s="426"/>
      <c r="K5608" s="426"/>
      <c r="L5608" s="187">
        <v>178</v>
      </c>
      <c r="M5608" s="187"/>
      <c r="N5608" s="91">
        <f t="shared" si="2056"/>
        <v>31.150000000000002</v>
      </c>
      <c r="O5608" s="411">
        <f t="shared" si="2027"/>
        <v>-31.150000000000002</v>
      </c>
      <c r="P5608" s="132" t="s">
        <v>183</v>
      </c>
      <c r="Q5608" s="232"/>
      <c r="R5608" s="411"/>
      <c r="T5608" s="441"/>
      <c r="U5608" s="447"/>
      <c r="AA5608" s="218"/>
    </row>
    <row r="5609" spans="1:27" ht="24" x14ac:dyDescent="0.25">
      <c r="A5609" s="405">
        <v>3004412</v>
      </c>
      <c r="B5609" s="406">
        <v>42632</v>
      </c>
      <c r="C5609" s="405" t="s">
        <v>78</v>
      </c>
      <c r="D5609" s="401" t="s">
        <v>4752</v>
      </c>
      <c r="E5609" s="120">
        <v>500</v>
      </c>
      <c r="F5609" s="133" t="s">
        <v>12175</v>
      </c>
      <c r="G5609" s="404" t="s">
        <v>45</v>
      </c>
      <c r="H5609" s="411">
        <v>280</v>
      </c>
      <c r="I5609" s="411">
        <v>0</v>
      </c>
      <c r="J5609" s="258">
        <f t="shared" ref="J5609:J5610" si="2059">-((H5609*0.019)+0.3)</f>
        <v>-5.62</v>
      </c>
      <c r="K5609" s="90">
        <f t="shared" ref="K5609:K5610" si="2060">SUM(H5609:J5609)</f>
        <v>274.38</v>
      </c>
      <c r="L5609" s="187">
        <v>320</v>
      </c>
      <c r="M5609" s="187">
        <v>23.07</v>
      </c>
      <c r="N5609" s="91">
        <f t="shared" si="2056"/>
        <v>183.07</v>
      </c>
      <c r="O5609" s="411">
        <f t="shared" si="2027"/>
        <v>91.31</v>
      </c>
      <c r="P5609" s="132" t="s">
        <v>183</v>
      </c>
      <c r="Q5609" s="232"/>
      <c r="R5609" s="411"/>
      <c r="T5609" s="134" t="s">
        <v>145</v>
      </c>
      <c r="U5609" s="267" t="s">
        <v>12176</v>
      </c>
      <c r="W5609" s="153" t="s">
        <v>7804</v>
      </c>
      <c r="AA5609" s="218"/>
    </row>
    <row r="5610" spans="1:27" ht="24" x14ac:dyDescent="0.25">
      <c r="A5610" s="405">
        <v>3004413</v>
      </c>
      <c r="B5610" s="406">
        <v>42632</v>
      </c>
      <c r="C5610" s="405" t="s">
        <v>42</v>
      </c>
      <c r="D5610" s="401" t="s">
        <v>12177</v>
      </c>
      <c r="E5610" s="120">
        <v>500</v>
      </c>
      <c r="F5610" s="119" t="s">
        <v>12178</v>
      </c>
      <c r="G5610" s="404" t="s">
        <v>45</v>
      </c>
      <c r="H5610" s="411">
        <v>0</v>
      </c>
      <c r="I5610" s="89">
        <f t="shared" ref="I5610:I5624" si="2061">-(H5610*0.09)</f>
        <v>0</v>
      </c>
      <c r="J5610" s="258">
        <f t="shared" si="2059"/>
        <v>-0.3</v>
      </c>
      <c r="K5610" s="90">
        <f t="shared" si="2060"/>
        <v>-0.3</v>
      </c>
      <c r="L5610" s="131">
        <v>0</v>
      </c>
      <c r="N5610" s="91">
        <f t="shared" si="2056"/>
        <v>0</v>
      </c>
      <c r="O5610" s="411">
        <f t="shared" si="2027"/>
        <v>-0.3</v>
      </c>
      <c r="P5610" s="132" t="s">
        <v>52</v>
      </c>
      <c r="Q5610" s="232"/>
      <c r="R5610" s="411"/>
      <c r="T5610" s="134"/>
      <c r="U5610" s="266"/>
      <c r="AA5610" s="218"/>
    </row>
    <row r="5611" spans="1:27" ht="24" x14ac:dyDescent="0.25">
      <c r="A5611" s="405">
        <v>3004414</v>
      </c>
      <c r="B5611" s="406">
        <v>42632</v>
      </c>
      <c r="C5611" s="405" t="s">
        <v>42</v>
      </c>
      <c r="D5611" s="401" t="s">
        <v>12179</v>
      </c>
      <c r="E5611" s="120">
        <v>50</v>
      </c>
      <c r="F5611" s="133" t="s">
        <v>3654</v>
      </c>
      <c r="G5611" s="404" t="s">
        <v>45</v>
      </c>
      <c r="H5611" s="411">
        <v>161.69999999999999</v>
      </c>
      <c r="I5611" s="89">
        <f t="shared" si="2061"/>
        <v>-14.552999999999999</v>
      </c>
      <c r="J5611" s="258">
        <f t="shared" ref="J5611" si="2062">-((H5611*0.019)+0.3)</f>
        <v>-3.3722999999999996</v>
      </c>
      <c r="K5611" s="90">
        <f t="shared" ref="K5611" si="2063">SUM(H5611:J5611)</f>
        <v>143.7747</v>
      </c>
      <c r="L5611" s="187">
        <v>2200</v>
      </c>
      <c r="M5611" s="187">
        <v>30.58</v>
      </c>
      <c r="N5611" s="91">
        <f t="shared" si="2056"/>
        <v>140.57999999999998</v>
      </c>
      <c r="O5611" s="411">
        <f t="shared" si="2027"/>
        <v>3.1947000000000116</v>
      </c>
      <c r="P5611" s="132" t="s">
        <v>601</v>
      </c>
      <c r="Q5611" s="232"/>
      <c r="R5611" s="411"/>
      <c r="T5611" s="134" t="s">
        <v>145</v>
      </c>
      <c r="U5611" s="267" t="s">
        <v>12180</v>
      </c>
      <c r="AA5611" s="218"/>
    </row>
    <row r="5612" spans="1:27" ht="24" x14ac:dyDescent="0.25">
      <c r="A5612" s="405">
        <v>3004415</v>
      </c>
      <c r="B5612" s="406">
        <v>42632</v>
      </c>
      <c r="C5612" s="405" t="s">
        <v>42</v>
      </c>
      <c r="D5612" s="401" t="s">
        <v>12181</v>
      </c>
      <c r="E5612" s="120">
        <v>25</v>
      </c>
      <c r="F5612" s="133" t="s">
        <v>277</v>
      </c>
      <c r="G5612" s="404" t="s">
        <v>45</v>
      </c>
      <c r="H5612" s="411">
        <v>195.03</v>
      </c>
      <c r="I5612" s="89">
        <f t="shared" si="2061"/>
        <v>-17.552699999999998</v>
      </c>
      <c r="J5612" s="258">
        <f t="shared" ref="J5612" si="2064">-((H5612*0.019)+0.3)</f>
        <v>-4.0055699999999996</v>
      </c>
      <c r="K5612" s="90">
        <f t="shared" ref="K5612" si="2065">SUM(H5612:J5612)</f>
        <v>173.47173000000001</v>
      </c>
      <c r="L5612" s="187">
        <v>3400</v>
      </c>
      <c r="M5612" s="187">
        <v>36.74</v>
      </c>
      <c r="N5612" s="91">
        <f t="shared" si="2056"/>
        <v>121.74000000000001</v>
      </c>
      <c r="O5612" s="411">
        <f t="shared" si="2027"/>
        <v>51.731729999999999</v>
      </c>
      <c r="P5612" s="132" t="s">
        <v>183</v>
      </c>
      <c r="Q5612" s="232"/>
      <c r="R5612" s="411"/>
      <c r="T5612" s="134" t="s">
        <v>145</v>
      </c>
      <c r="U5612" s="267" t="s">
        <v>12182</v>
      </c>
      <c r="V5612" s="133" t="s">
        <v>10227</v>
      </c>
      <c r="AA5612" s="218"/>
    </row>
    <row r="5613" spans="1:27" ht="24" x14ac:dyDescent="0.25">
      <c r="A5613" s="405">
        <v>3004416</v>
      </c>
      <c r="B5613" s="406">
        <v>42632</v>
      </c>
      <c r="C5613" s="405" t="s">
        <v>42</v>
      </c>
      <c r="D5613" s="401" t="s">
        <v>12183</v>
      </c>
      <c r="E5613" s="120">
        <v>200</v>
      </c>
      <c r="F5613" s="133" t="s">
        <v>877</v>
      </c>
      <c r="G5613" s="404" t="s">
        <v>7486</v>
      </c>
      <c r="H5613" s="411">
        <v>147.12</v>
      </c>
      <c r="I5613" s="89">
        <f t="shared" si="2061"/>
        <v>-13.2408</v>
      </c>
      <c r="J5613" s="258">
        <f t="shared" ref="J5613" si="2066">-((H5613*0.019)+0.3)</f>
        <v>-3.0952799999999998</v>
      </c>
      <c r="K5613" s="90">
        <f t="shared" ref="K5613" si="2067">SUM(H5613:J5613)</f>
        <v>130.78391999999999</v>
      </c>
      <c r="L5613" s="131">
        <v>235</v>
      </c>
      <c r="M5613" s="187">
        <v>18.420000000000002</v>
      </c>
      <c r="N5613" s="91">
        <f t="shared" si="2056"/>
        <v>65.42</v>
      </c>
      <c r="O5613" s="411">
        <f t="shared" si="2027"/>
        <v>65.363919999999993</v>
      </c>
      <c r="P5613" s="132" t="s">
        <v>52</v>
      </c>
      <c r="Q5613" s="232"/>
      <c r="R5613" s="411"/>
      <c r="T5613" s="134" t="s">
        <v>145</v>
      </c>
      <c r="U5613" s="267" t="s">
        <v>12184</v>
      </c>
      <c r="AA5613" s="218"/>
    </row>
    <row r="5614" spans="1:27" ht="24" x14ac:dyDescent="0.25">
      <c r="A5614" s="405">
        <v>3004417</v>
      </c>
      <c r="B5614" s="406">
        <v>42632</v>
      </c>
      <c r="C5614" s="405" t="s">
        <v>42</v>
      </c>
      <c r="D5614" s="401" t="s">
        <v>12185</v>
      </c>
      <c r="E5614" s="120">
        <v>100</v>
      </c>
      <c r="F5614" s="133" t="s">
        <v>161</v>
      </c>
      <c r="G5614" s="404" t="s">
        <v>7486</v>
      </c>
      <c r="H5614" s="411">
        <v>245</v>
      </c>
      <c r="I5614" s="89">
        <f t="shared" si="2061"/>
        <v>-22.05</v>
      </c>
      <c r="J5614" s="258">
        <f t="shared" ref="J5614" si="2068">-((H5614*0.019)+0.3)</f>
        <v>-4.9550000000000001</v>
      </c>
      <c r="K5614" s="90">
        <f t="shared" ref="K5614" si="2069">SUM(H5614:J5614)</f>
        <v>217.99499999999998</v>
      </c>
      <c r="L5614" s="131">
        <v>1322</v>
      </c>
      <c r="M5614" s="187">
        <v>50.76</v>
      </c>
      <c r="N5614" s="91">
        <f t="shared" si="2056"/>
        <v>182.96</v>
      </c>
      <c r="O5614" s="411">
        <f t="shared" si="2027"/>
        <v>35.034999999999968</v>
      </c>
      <c r="P5614" s="132" t="s">
        <v>52</v>
      </c>
      <c r="Q5614" s="232"/>
      <c r="R5614" s="411"/>
      <c r="T5614" s="134" t="s">
        <v>145</v>
      </c>
      <c r="U5614" s="267" t="s">
        <v>12186</v>
      </c>
      <c r="AA5614" s="218"/>
    </row>
    <row r="5615" spans="1:27" ht="24" x14ac:dyDescent="0.25">
      <c r="A5615" s="405">
        <v>3004418</v>
      </c>
      <c r="B5615" s="406">
        <v>42632</v>
      </c>
      <c r="C5615" s="405" t="s">
        <v>42</v>
      </c>
      <c r="D5615" s="401" t="s">
        <v>12187</v>
      </c>
      <c r="E5615" s="120">
        <v>100</v>
      </c>
      <c r="F5615" s="133" t="s">
        <v>860</v>
      </c>
      <c r="G5615" s="404" t="s">
        <v>7486</v>
      </c>
      <c r="H5615" s="411">
        <v>749.1</v>
      </c>
      <c r="I5615" s="89">
        <f t="shared" si="2061"/>
        <v>-67.418999999999997</v>
      </c>
      <c r="J5615" s="258">
        <f t="shared" ref="J5615" si="2070">-((H5615*0.019)+0.3)</f>
        <v>-14.532900000000001</v>
      </c>
      <c r="K5615" s="90">
        <f t="shared" ref="K5615" si="2071">SUM(H5615:J5615)</f>
        <v>667.1481</v>
      </c>
      <c r="L5615" s="131">
        <v>3300</v>
      </c>
      <c r="M5615" s="187">
        <v>71.72</v>
      </c>
      <c r="N5615" s="91">
        <f t="shared" si="2056"/>
        <v>401.72</v>
      </c>
      <c r="O5615" s="411">
        <f t="shared" si="2027"/>
        <v>265.42809999999997</v>
      </c>
      <c r="P5615" s="132" t="s">
        <v>52</v>
      </c>
      <c r="Q5615" s="232"/>
      <c r="R5615" s="411"/>
      <c r="T5615" s="134" t="s">
        <v>145</v>
      </c>
      <c r="U5615" s="267" t="s">
        <v>12188</v>
      </c>
      <c r="AA5615" s="218"/>
    </row>
    <row r="5616" spans="1:27" ht="24" x14ac:dyDescent="0.25">
      <c r="A5616" s="405">
        <v>3004419</v>
      </c>
      <c r="B5616" s="406">
        <v>42632</v>
      </c>
      <c r="C5616" s="405" t="s">
        <v>42</v>
      </c>
      <c r="D5616" s="401" t="s">
        <v>12189</v>
      </c>
      <c r="E5616" s="120">
        <v>200</v>
      </c>
      <c r="F5616" s="133" t="s">
        <v>605</v>
      </c>
      <c r="G5616" s="404" t="s">
        <v>7486</v>
      </c>
      <c r="H5616" s="411">
        <v>298.44</v>
      </c>
      <c r="I5616" s="89">
        <f t="shared" si="2061"/>
        <v>-26.8596</v>
      </c>
      <c r="J5616" s="258">
        <f t="shared" ref="J5616" si="2072">-((H5616*0.019)+0.3)</f>
        <v>-5.9703599999999994</v>
      </c>
      <c r="K5616" s="90">
        <f t="shared" ref="K5616" si="2073">SUM(H5616:J5616)</f>
        <v>265.61004000000003</v>
      </c>
      <c r="L5616" s="131">
        <v>595</v>
      </c>
      <c r="M5616" s="187">
        <v>45.86</v>
      </c>
      <c r="N5616" s="91">
        <f t="shared" si="2056"/>
        <v>164.86</v>
      </c>
      <c r="O5616" s="411">
        <f t="shared" si="2027"/>
        <v>100.75004000000001</v>
      </c>
      <c r="P5616" s="132" t="s">
        <v>52</v>
      </c>
      <c r="Q5616" s="232"/>
      <c r="R5616" s="411"/>
      <c r="T5616" s="134" t="s">
        <v>145</v>
      </c>
      <c r="U5616" s="267" t="s">
        <v>12190</v>
      </c>
      <c r="AA5616" s="218"/>
    </row>
    <row r="5617" spans="1:27" ht="24" x14ac:dyDescent="0.25">
      <c r="A5617" s="405">
        <v>3004420</v>
      </c>
      <c r="B5617" s="406">
        <v>42632</v>
      </c>
      <c r="C5617" s="405" t="s">
        <v>42</v>
      </c>
      <c r="D5617" s="401" t="s">
        <v>12191</v>
      </c>
      <c r="E5617" s="120">
        <v>100</v>
      </c>
      <c r="F5617" s="133" t="s">
        <v>161</v>
      </c>
      <c r="G5617" s="404" t="s">
        <v>7486</v>
      </c>
      <c r="H5617" s="411">
        <v>245</v>
      </c>
      <c r="I5617" s="89">
        <f t="shared" si="2061"/>
        <v>-22.05</v>
      </c>
      <c r="J5617" s="258">
        <f t="shared" ref="J5617" si="2074">-((H5617*0.019)+0.3)</f>
        <v>-4.9550000000000001</v>
      </c>
      <c r="K5617" s="90">
        <f t="shared" ref="K5617" si="2075">SUM(H5617:J5617)</f>
        <v>217.99499999999998</v>
      </c>
      <c r="L5617" s="131">
        <v>1322</v>
      </c>
      <c r="M5617" s="187">
        <v>35.89</v>
      </c>
      <c r="N5617" s="91">
        <f t="shared" si="2056"/>
        <v>168.09000000000003</v>
      </c>
      <c r="O5617" s="411">
        <f t="shared" si="2027"/>
        <v>49.904999999999944</v>
      </c>
      <c r="P5617" s="132" t="s">
        <v>52</v>
      </c>
      <c r="Q5617" s="232"/>
      <c r="R5617" s="411"/>
      <c r="T5617" s="134" t="s">
        <v>145</v>
      </c>
      <c r="U5617" s="267" t="s">
        <v>12192</v>
      </c>
      <c r="AA5617" s="218"/>
    </row>
    <row r="5618" spans="1:27" ht="24" x14ac:dyDescent="0.25">
      <c r="A5618" s="405">
        <v>3004421</v>
      </c>
      <c r="B5618" s="406">
        <v>42632</v>
      </c>
      <c r="C5618" s="405" t="s">
        <v>42</v>
      </c>
      <c r="D5618" s="401" t="s">
        <v>12193</v>
      </c>
      <c r="E5618" s="120">
        <v>100</v>
      </c>
      <c r="F5618" s="133" t="s">
        <v>829</v>
      </c>
      <c r="G5618" s="404" t="s">
        <v>7486</v>
      </c>
      <c r="H5618" s="411">
        <v>112.63</v>
      </c>
      <c r="I5618" s="89">
        <f t="shared" si="2061"/>
        <v>-10.136699999999999</v>
      </c>
      <c r="J5618" s="258">
        <f t="shared" ref="J5618" si="2076">-((H5618*0.019)+0.3)</f>
        <v>-2.4399699999999998</v>
      </c>
      <c r="K5618" s="90">
        <f t="shared" ref="K5618" si="2077">SUM(H5618:J5618)</f>
        <v>100.05332999999999</v>
      </c>
      <c r="L5618" s="131">
        <v>510</v>
      </c>
      <c r="M5618" s="187">
        <v>25.07</v>
      </c>
      <c r="N5618" s="91">
        <f t="shared" ref="N5618:N5624" si="2078">((L5618)*(E5618*0.001))+M5618</f>
        <v>76.069999999999993</v>
      </c>
      <c r="O5618" s="411">
        <f t="shared" si="2027"/>
        <v>23.983329999999995</v>
      </c>
      <c r="P5618" s="132" t="s">
        <v>52</v>
      </c>
      <c r="Q5618" s="232"/>
      <c r="R5618" s="411"/>
      <c r="T5618" s="134" t="s">
        <v>145</v>
      </c>
      <c r="U5618" s="267" t="s">
        <v>12194</v>
      </c>
      <c r="AA5618" s="218"/>
    </row>
    <row r="5619" spans="1:27" ht="24" x14ac:dyDescent="0.25">
      <c r="A5619" s="405">
        <v>3004422</v>
      </c>
      <c r="B5619" s="406">
        <v>42632</v>
      </c>
      <c r="C5619" s="405" t="s">
        <v>42</v>
      </c>
      <c r="D5619" s="401" t="s">
        <v>12195</v>
      </c>
      <c r="E5619" s="120">
        <v>250</v>
      </c>
      <c r="F5619" s="133" t="s">
        <v>1550</v>
      </c>
      <c r="G5619" s="404" t="s">
        <v>7486</v>
      </c>
      <c r="H5619" s="411">
        <v>334.62</v>
      </c>
      <c r="I5619" s="89">
        <f t="shared" si="2061"/>
        <v>-30.1158</v>
      </c>
      <c r="J5619" s="258">
        <f t="shared" ref="J5619" si="2079">-((H5619*0.019)+0.3)</f>
        <v>-6.6577799999999998</v>
      </c>
      <c r="K5619" s="90">
        <f t="shared" ref="K5619" si="2080">SUM(H5619:J5619)</f>
        <v>297.84642000000002</v>
      </c>
      <c r="M5619" s="187">
        <v>34.58</v>
      </c>
      <c r="N5619" s="91">
        <f t="shared" si="2078"/>
        <v>34.58</v>
      </c>
      <c r="O5619" s="411">
        <f t="shared" si="2027"/>
        <v>263.26642000000004</v>
      </c>
      <c r="P5619" s="132" t="s">
        <v>52</v>
      </c>
      <c r="Q5619" s="232"/>
      <c r="R5619" s="411"/>
      <c r="T5619" s="134" t="s">
        <v>145</v>
      </c>
      <c r="U5619" s="267" t="s">
        <v>12196</v>
      </c>
      <c r="AA5619" s="218"/>
    </row>
    <row r="5620" spans="1:27" ht="24" x14ac:dyDescent="0.25">
      <c r="A5620" s="405">
        <v>3004423</v>
      </c>
      <c r="B5620" s="406">
        <v>42632</v>
      </c>
      <c r="C5620" s="405" t="s">
        <v>42</v>
      </c>
      <c r="D5620" s="401" t="s">
        <v>12197</v>
      </c>
      <c r="E5620" s="120">
        <v>250</v>
      </c>
      <c r="F5620" s="133" t="s">
        <v>165</v>
      </c>
      <c r="G5620" s="404" t="s">
        <v>7486</v>
      </c>
      <c r="H5620" s="411">
        <v>251.97</v>
      </c>
      <c r="I5620" s="89">
        <f t="shared" si="2061"/>
        <v>-22.677299999999999</v>
      </c>
      <c r="J5620" s="258">
        <f t="shared" ref="J5620" si="2081">-((H5620*0.019)+0.3)</f>
        <v>-5.0874299999999995</v>
      </c>
      <c r="K5620" s="90">
        <f t="shared" ref="K5620" si="2082">SUM(H5620:J5620)</f>
        <v>224.20526999999998</v>
      </c>
      <c r="L5620" s="131">
        <v>375</v>
      </c>
      <c r="M5620" s="187">
        <v>34.659999999999997</v>
      </c>
      <c r="N5620" s="91">
        <f t="shared" si="2078"/>
        <v>128.41</v>
      </c>
      <c r="O5620" s="411">
        <f t="shared" si="2027"/>
        <v>95.795269999999988</v>
      </c>
      <c r="P5620" s="132" t="s">
        <v>52</v>
      </c>
      <c r="Q5620" s="232"/>
      <c r="R5620" s="411"/>
      <c r="T5620" s="134" t="s">
        <v>145</v>
      </c>
      <c r="U5620" s="267" t="s">
        <v>12198</v>
      </c>
      <c r="AA5620" s="218"/>
    </row>
    <row r="5621" spans="1:27" ht="24" x14ac:dyDescent="0.25">
      <c r="A5621" s="405">
        <v>3004424</v>
      </c>
      <c r="B5621" s="406">
        <v>42632</v>
      </c>
      <c r="C5621" s="405" t="s">
        <v>42</v>
      </c>
      <c r="D5621" s="401" t="s">
        <v>12199</v>
      </c>
      <c r="E5621" s="120">
        <v>175</v>
      </c>
      <c r="F5621" s="133" t="s">
        <v>247</v>
      </c>
      <c r="G5621" s="404" t="s">
        <v>7486</v>
      </c>
      <c r="H5621" s="411">
        <v>216.88</v>
      </c>
      <c r="I5621" s="89">
        <f t="shared" si="2061"/>
        <v>-19.519199999999998</v>
      </c>
      <c r="J5621" s="258">
        <f t="shared" ref="J5621" si="2083">-((H5621*0.019)+0.3)</f>
        <v>-4.4207199999999993</v>
      </c>
      <c r="K5621" s="90">
        <f t="shared" ref="K5621" si="2084">SUM(H5621:J5621)</f>
        <v>192.94007999999999</v>
      </c>
      <c r="L5621" s="187">
        <v>672</v>
      </c>
      <c r="M5621" s="187">
        <v>38.53</v>
      </c>
      <c r="N5621" s="91">
        <f t="shared" si="2078"/>
        <v>156.13</v>
      </c>
      <c r="O5621" s="411">
        <f t="shared" si="2027"/>
        <v>36.810079999999999</v>
      </c>
      <c r="P5621" s="132" t="s">
        <v>313</v>
      </c>
      <c r="Q5621" s="232"/>
      <c r="R5621" s="411"/>
      <c r="T5621" s="134" t="s">
        <v>145</v>
      </c>
      <c r="U5621" s="267" t="s">
        <v>12200</v>
      </c>
      <c r="AA5621" s="218"/>
    </row>
    <row r="5622" spans="1:27" ht="24" x14ac:dyDescent="0.25">
      <c r="A5622" s="405">
        <v>3004425</v>
      </c>
      <c r="B5622" s="406">
        <v>42632</v>
      </c>
      <c r="C5622" s="405" t="s">
        <v>42</v>
      </c>
      <c r="D5622" s="401" t="s">
        <v>12201</v>
      </c>
      <c r="E5622" s="120">
        <v>300</v>
      </c>
      <c r="F5622" s="133" t="s">
        <v>247</v>
      </c>
      <c r="G5622" s="404" t="s">
        <v>7486</v>
      </c>
      <c r="H5622" s="411">
        <v>349.12</v>
      </c>
      <c r="I5622" s="89">
        <f t="shared" si="2061"/>
        <v>-31.4208</v>
      </c>
      <c r="J5622" s="258">
        <f t="shared" ref="J5622" si="2085">-((H5622*0.019)+0.3)</f>
        <v>-6.9332799999999999</v>
      </c>
      <c r="K5622" s="90">
        <f t="shared" ref="K5622" si="2086">SUM(H5622:J5622)</f>
        <v>310.76591999999999</v>
      </c>
      <c r="L5622" s="187">
        <v>672</v>
      </c>
      <c r="M5622" s="187">
        <v>61.52</v>
      </c>
      <c r="N5622" s="91">
        <f t="shared" si="2078"/>
        <v>263.12</v>
      </c>
      <c r="O5622" s="411">
        <f t="shared" si="2027"/>
        <v>47.64591999999999</v>
      </c>
      <c r="P5622" s="132" t="s">
        <v>313</v>
      </c>
      <c r="Q5622" s="232"/>
      <c r="R5622" s="411"/>
      <c r="T5622" s="134" t="s">
        <v>145</v>
      </c>
      <c r="U5622" s="267" t="s">
        <v>12202</v>
      </c>
      <c r="AA5622" s="218"/>
    </row>
    <row r="5623" spans="1:27" ht="24" x14ac:dyDescent="0.25">
      <c r="A5623" s="405">
        <v>3004426</v>
      </c>
      <c r="B5623" s="406">
        <v>42632</v>
      </c>
      <c r="C5623" s="405" t="s">
        <v>42</v>
      </c>
      <c r="D5623" s="401" t="s">
        <v>12203</v>
      </c>
      <c r="E5623" s="120">
        <v>100</v>
      </c>
      <c r="F5623" s="133" t="s">
        <v>227</v>
      </c>
      <c r="G5623" s="404" t="s">
        <v>7486</v>
      </c>
      <c r="H5623" s="411">
        <v>112.76</v>
      </c>
      <c r="I5623" s="89">
        <f t="shared" si="2061"/>
        <v>-10.148400000000001</v>
      </c>
      <c r="J5623" s="258">
        <f t="shared" ref="J5623" si="2087">-((H5623*0.019)+0.3)</f>
        <v>-2.4424399999999999</v>
      </c>
      <c r="K5623" s="90">
        <f t="shared" ref="K5623" si="2088">SUM(H5623:J5623)</f>
        <v>100.16916000000001</v>
      </c>
      <c r="L5623" s="131">
        <v>350</v>
      </c>
      <c r="M5623" s="187">
        <v>31.3</v>
      </c>
      <c r="N5623" s="91">
        <f t="shared" si="2078"/>
        <v>66.3</v>
      </c>
      <c r="O5623" s="411">
        <f t="shared" si="2027"/>
        <v>33.869160000000008</v>
      </c>
      <c r="P5623" s="132" t="s">
        <v>52</v>
      </c>
      <c r="Q5623" s="232"/>
      <c r="R5623" s="411"/>
      <c r="T5623" s="134" t="s">
        <v>145</v>
      </c>
      <c r="U5623" s="267" t="s">
        <v>12204</v>
      </c>
      <c r="AA5623" s="218"/>
    </row>
    <row r="5624" spans="1:27" ht="24" x14ac:dyDescent="0.25">
      <c r="A5624" s="405">
        <v>3004427</v>
      </c>
      <c r="B5624" s="406">
        <v>42632</v>
      </c>
      <c r="C5624" s="405" t="s">
        <v>42</v>
      </c>
      <c r="D5624" s="401" t="s">
        <v>12205</v>
      </c>
      <c r="E5624" s="120">
        <v>250</v>
      </c>
      <c r="F5624" s="133" t="s">
        <v>207</v>
      </c>
      <c r="G5624" s="404" t="s">
        <v>7486</v>
      </c>
      <c r="H5624" s="411">
        <v>270</v>
      </c>
      <c r="I5624" s="89">
        <f t="shared" si="2061"/>
        <v>-24.3</v>
      </c>
      <c r="J5624" s="258">
        <f t="shared" ref="J5624" si="2089">-((H5624*0.019)+0.3)</f>
        <v>-5.43</v>
      </c>
      <c r="K5624" s="90">
        <f t="shared" ref="K5624:K5625" si="2090">SUM(H5624:J5624)</f>
        <v>240.26999999999998</v>
      </c>
      <c r="L5624" s="131">
        <v>570</v>
      </c>
      <c r="M5624" s="187">
        <v>31</v>
      </c>
      <c r="N5624" s="91">
        <f t="shared" si="2078"/>
        <v>173.5</v>
      </c>
      <c r="O5624" s="411">
        <f t="shared" si="2027"/>
        <v>66.769999999999982</v>
      </c>
      <c r="P5624" s="132" t="s">
        <v>52</v>
      </c>
      <c r="Q5624" s="232"/>
      <c r="R5624" s="411"/>
      <c r="T5624" s="134" t="s">
        <v>145</v>
      </c>
      <c r="U5624" s="267" t="s">
        <v>12206</v>
      </c>
      <c r="AA5624" s="218"/>
    </row>
    <row r="5625" spans="1:27" x14ac:dyDescent="0.25">
      <c r="A5625" s="419">
        <v>3004428</v>
      </c>
      <c r="B5625" s="421">
        <v>42632</v>
      </c>
      <c r="C5625" s="419" t="s">
        <v>280</v>
      </c>
      <c r="D5625" s="429" t="s">
        <v>11938</v>
      </c>
      <c r="E5625" s="120">
        <v>190</v>
      </c>
      <c r="F5625" s="133" t="s">
        <v>11939</v>
      </c>
      <c r="G5625" s="434" t="s">
        <v>45</v>
      </c>
      <c r="H5625" s="427">
        <v>4122</v>
      </c>
      <c r="I5625" s="510">
        <v>0</v>
      </c>
      <c r="J5625" s="425">
        <f>-((H5625*0.022)+0.3)</f>
        <v>-90.983999999999995</v>
      </c>
      <c r="K5625" s="425">
        <f t="shared" si="2090"/>
        <v>4031.0160000000001</v>
      </c>
      <c r="L5625" s="187">
        <v>4245</v>
      </c>
      <c r="M5625" s="187">
        <v>191.47</v>
      </c>
      <c r="N5625" s="91">
        <f t="shared" ref="N5625:N5685" si="2091">((L5625)*(E5625*0.001))+M5625</f>
        <v>998.02</v>
      </c>
      <c r="O5625" s="411">
        <f t="shared" si="2027"/>
        <v>3032.9960000000001</v>
      </c>
      <c r="P5625" s="132" t="s">
        <v>638</v>
      </c>
      <c r="Q5625" s="232"/>
      <c r="R5625" s="411"/>
      <c r="T5625" s="439" t="s">
        <v>717</v>
      </c>
      <c r="U5625" s="444">
        <v>23922331</v>
      </c>
      <c r="W5625" s="153" t="s">
        <v>11940</v>
      </c>
      <c r="AA5625" s="473"/>
    </row>
    <row r="5626" spans="1:27" x14ac:dyDescent="0.25">
      <c r="A5626" s="432"/>
      <c r="B5626" s="433"/>
      <c r="C5626" s="432"/>
      <c r="D5626" s="430"/>
      <c r="E5626" s="120">
        <v>190</v>
      </c>
      <c r="F5626" s="133" t="s">
        <v>11941</v>
      </c>
      <c r="G5626" s="435"/>
      <c r="H5626" s="438"/>
      <c r="I5626" s="511"/>
      <c r="J5626" s="437"/>
      <c r="K5626" s="437"/>
      <c r="L5626" s="187">
        <v>4245</v>
      </c>
      <c r="M5626" s="264"/>
      <c r="N5626" s="91">
        <f t="shared" si="2091"/>
        <v>806.55</v>
      </c>
      <c r="O5626" s="411">
        <f t="shared" si="2027"/>
        <v>-806.55</v>
      </c>
      <c r="P5626" s="132" t="s">
        <v>638</v>
      </c>
      <c r="Q5626" s="232"/>
      <c r="R5626" s="411"/>
      <c r="T5626" s="440"/>
      <c r="U5626" s="539"/>
      <c r="AA5626" s="478"/>
    </row>
    <row r="5627" spans="1:27" x14ac:dyDescent="0.25">
      <c r="A5627" s="432"/>
      <c r="B5627" s="433"/>
      <c r="C5627" s="432"/>
      <c r="D5627" s="430"/>
      <c r="E5627" s="120">
        <v>190</v>
      </c>
      <c r="F5627" s="133" t="s">
        <v>11942</v>
      </c>
      <c r="G5627" s="435"/>
      <c r="H5627" s="438"/>
      <c r="I5627" s="511"/>
      <c r="J5627" s="437"/>
      <c r="K5627" s="437"/>
      <c r="L5627" s="187">
        <v>4245</v>
      </c>
      <c r="M5627" s="265"/>
      <c r="N5627" s="91">
        <f t="shared" si="2091"/>
        <v>806.55</v>
      </c>
      <c r="O5627" s="411">
        <f t="shared" si="2027"/>
        <v>-806.55</v>
      </c>
      <c r="P5627" s="132" t="s">
        <v>638</v>
      </c>
      <c r="Q5627" s="232"/>
      <c r="R5627" s="411"/>
      <c r="T5627" s="440"/>
      <c r="U5627" s="539"/>
      <c r="AA5627" s="478"/>
    </row>
    <row r="5628" spans="1:27" x14ac:dyDescent="0.25">
      <c r="A5628" s="432"/>
      <c r="B5628" s="433"/>
      <c r="C5628" s="432"/>
      <c r="D5628" s="430"/>
      <c r="E5628" s="120">
        <v>190</v>
      </c>
      <c r="F5628" s="133" t="s">
        <v>11943</v>
      </c>
      <c r="G5628" s="435"/>
      <c r="H5628" s="438"/>
      <c r="I5628" s="511"/>
      <c r="J5628" s="437"/>
      <c r="K5628" s="437"/>
      <c r="L5628" s="187">
        <v>4245</v>
      </c>
      <c r="M5628" s="187"/>
      <c r="N5628" s="91">
        <f t="shared" si="2091"/>
        <v>806.55</v>
      </c>
      <c r="O5628" s="411">
        <f t="shared" si="2027"/>
        <v>-806.55</v>
      </c>
      <c r="P5628" s="132" t="s">
        <v>638</v>
      </c>
      <c r="Q5628" s="232"/>
      <c r="R5628" s="411"/>
      <c r="T5628" s="440"/>
      <c r="U5628" s="539"/>
      <c r="AA5628" s="478"/>
    </row>
    <row r="5629" spans="1:27" x14ac:dyDescent="0.25">
      <c r="A5629" s="420"/>
      <c r="B5629" s="422"/>
      <c r="C5629" s="420"/>
      <c r="D5629" s="431"/>
      <c r="E5629" s="120">
        <v>100</v>
      </c>
      <c r="F5629" s="133" t="s">
        <v>11944</v>
      </c>
      <c r="G5629" s="436"/>
      <c r="H5629" s="428"/>
      <c r="I5629" s="512"/>
      <c r="J5629" s="426"/>
      <c r="K5629" s="426"/>
      <c r="L5629" s="187">
        <v>1143</v>
      </c>
      <c r="M5629" s="187"/>
      <c r="N5629" s="91">
        <f t="shared" si="2091"/>
        <v>114.30000000000001</v>
      </c>
      <c r="O5629" s="411">
        <f t="shared" si="2027"/>
        <v>-114.30000000000001</v>
      </c>
      <c r="P5629" s="132" t="s">
        <v>638</v>
      </c>
      <c r="Q5629" s="232"/>
      <c r="R5629" s="411"/>
      <c r="T5629" s="441"/>
      <c r="U5629" s="445"/>
      <c r="AA5629" s="474"/>
    </row>
    <row r="5630" spans="1:27" ht="24" x14ac:dyDescent="0.25">
      <c r="A5630" s="405">
        <v>3004429</v>
      </c>
      <c r="B5630" s="406">
        <v>42632</v>
      </c>
      <c r="C5630" s="405" t="s">
        <v>237</v>
      </c>
      <c r="D5630" s="401" t="s">
        <v>12207</v>
      </c>
      <c r="E5630" s="120">
        <v>500</v>
      </c>
      <c r="F5630" s="133" t="s">
        <v>451</v>
      </c>
      <c r="G5630" s="404" t="s">
        <v>7486</v>
      </c>
      <c r="H5630" s="411">
        <v>299.97000000000003</v>
      </c>
      <c r="I5630" s="397">
        <f t="shared" ref="I5630" si="2092">-(H5630*0.15)</f>
        <v>-44.9955</v>
      </c>
      <c r="J5630" s="258">
        <v>0</v>
      </c>
      <c r="K5630" s="90">
        <f>SUM(H5630:J5630)</f>
        <v>254.97450000000003</v>
      </c>
      <c r="L5630" s="131">
        <v>300</v>
      </c>
      <c r="M5630" s="187">
        <v>45.64</v>
      </c>
      <c r="N5630" s="91">
        <f t="shared" si="2091"/>
        <v>195.64</v>
      </c>
      <c r="O5630" s="411">
        <f t="shared" si="2027"/>
        <v>59.334500000000048</v>
      </c>
      <c r="P5630" s="132" t="s">
        <v>52</v>
      </c>
      <c r="Q5630" s="232"/>
      <c r="R5630" s="411"/>
      <c r="T5630" s="134" t="s">
        <v>145</v>
      </c>
      <c r="U5630" s="267" t="s">
        <v>12208</v>
      </c>
      <c r="AA5630" s="218"/>
    </row>
    <row r="5631" spans="1:27" ht="24" x14ac:dyDescent="0.25">
      <c r="A5631" s="405">
        <v>3004430</v>
      </c>
      <c r="B5631" s="406">
        <v>42632</v>
      </c>
      <c r="C5631" s="405" t="s">
        <v>237</v>
      </c>
      <c r="D5631" s="401" t="s">
        <v>12209</v>
      </c>
      <c r="E5631" s="120">
        <v>75</v>
      </c>
      <c r="F5631" s="133" t="s">
        <v>341</v>
      </c>
      <c r="G5631" s="404" t="s">
        <v>7486</v>
      </c>
      <c r="H5631" s="411">
        <v>126.71</v>
      </c>
      <c r="I5631" s="397">
        <f t="shared" ref="I5631" si="2093">-(H5631*0.15)</f>
        <v>-19.006499999999999</v>
      </c>
      <c r="J5631" s="258">
        <v>0</v>
      </c>
      <c r="K5631" s="90">
        <f>SUM(H5631:J5631)</f>
        <v>107.70349999999999</v>
      </c>
      <c r="L5631" s="131">
        <v>698</v>
      </c>
      <c r="M5631" s="187">
        <v>19.88</v>
      </c>
      <c r="N5631" s="91">
        <f t="shared" si="2091"/>
        <v>72.23</v>
      </c>
      <c r="O5631" s="411">
        <f t="shared" si="2027"/>
        <v>35.473499999999987</v>
      </c>
      <c r="P5631" s="132" t="s">
        <v>52</v>
      </c>
      <c r="Q5631" s="232"/>
      <c r="R5631" s="411"/>
      <c r="T5631" s="134" t="s">
        <v>145</v>
      </c>
      <c r="U5631" s="267" t="s">
        <v>12210</v>
      </c>
      <c r="AA5631" s="218"/>
    </row>
    <row r="5632" spans="1:27" x14ac:dyDescent="0.25">
      <c r="A5632" s="405">
        <v>3004431</v>
      </c>
      <c r="B5632" s="406">
        <v>42632</v>
      </c>
      <c r="C5632" s="405" t="s">
        <v>56</v>
      </c>
      <c r="D5632" s="401" t="s">
        <v>1251</v>
      </c>
      <c r="E5632" s="120">
        <v>10000</v>
      </c>
      <c r="F5632" s="133" t="s">
        <v>12211</v>
      </c>
      <c r="G5632" s="404" t="s">
        <v>7486</v>
      </c>
      <c r="H5632" s="411">
        <v>4600</v>
      </c>
      <c r="I5632" s="411">
        <v>0</v>
      </c>
      <c r="J5632" s="411">
        <v>0</v>
      </c>
      <c r="K5632" s="90">
        <f>SUM(H5632:J5632)</f>
        <v>4600</v>
      </c>
      <c r="L5632" s="187">
        <v>298</v>
      </c>
      <c r="N5632" s="91">
        <f t="shared" si="2091"/>
        <v>2980</v>
      </c>
      <c r="O5632" s="411">
        <f t="shared" si="2027"/>
        <v>1620</v>
      </c>
      <c r="P5632" s="132" t="s">
        <v>2846</v>
      </c>
      <c r="Q5632" s="232"/>
      <c r="R5632" s="411"/>
      <c r="T5632" s="134" t="s">
        <v>3644</v>
      </c>
      <c r="U5632" s="267" t="s">
        <v>12212</v>
      </c>
      <c r="V5632" s="133" t="s">
        <v>12213</v>
      </c>
      <c r="AA5632" s="218"/>
    </row>
    <row r="5633" spans="1:27" x14ac:dyDescent="0.25">
      <c r="A5633" s="419">
        <v>3004432</v>
      </c>
      <c r="B5633" s="421">
        <v>42632</v>
      </c>
      <c r="C5633" s="419" t="s">
        <v>63</v>
      </c>
      <c r="D5633" s="417" t="s">
        <v>12214</v>
      </c>
      <c r="E5633" s="120">
        <v>2900</v>
      </c>
      <c r="F5633" s="133" t="s">
        <v>165</v>
      </c>
      <c r="G5633" s="434" t="s">
        <v>7486</v>
      </c>
      <c r="H5633" s="427">
        <v>4665</v>
      </c>
      <c r="I5633" s="427">
        <v>0</v>
      </c>
      <c r="J5633" s="425">
        <f>-((H5633*0.022)+0.3)</f>
        <v>-102.92999999999999</v>
      </c>
      <c r="K5633" s="425">
        <f t="shared" ref="K5633" si="2094">SUM(H5633:J5633)</f>
        <v>4562.07</v>
      </c>
      <c r="L5633" s="131">
        <v>300</v>
      </c>
      <c r="M5633" s="187">
        <v>88.35</v>
      </c>
      <c r="N5633" s="91">
        <f t="shared" si="2091"/>
        <v>958.35</v>
      </c>
      <c r="O5633" s="411">
        <f t="shared" si="2027"/>
        <v>3603.72</v>
      </c>
      <c r="P5633" s="132" t="s">
        <v>86</v>
      </c>
      <c r="Q5633" s="232"/>
      <c r="R5633" s="411"/>
      <c r="T5633" s="134" t="s">
        <v>1327</v>
      </c>
      <c r="U5633" s="267" t="s">
        <v>12215</v>
      </c>
      <c r="V5633" s="133" t="s">
        <v>55</v>
      </c>
      <c r="W5633" s="153" t="s">
        <v>12216</v>
      </c>
      <c r="AA5633" s="479">
        <v>25</v>
      </c>
    </row>
    <row r="5634" spans="1:27" x14ac:dyDescent="0.25">
      <c r="A5634" s="420"/>
      <c r="B5634" s="422"/>
      <c r="C5634" s="420"/>
      <c r="D5634" s="418"/>
      <c r="E5634" s="120">
        <v>1500</v>
      </c>
      <c r="F5634" s="133" t="s">
        <v>12217</v>
      </c>
      <c r="G5634" s="436"/>
      <c r="H5634" s="428"/>
      <c r="I5634" s="428"/>
      <c r="J5634" s="426"/>
      <c r="K5634" s="426"/>
      <c r="L5634" s="131">
        <v>1296</v>
      </c>
      <c r="M5634" s="187">
        <v>143.28</v>
      </c>
      <c r="N5634" s="91">
        <f t="shared" si="2091"/>
        <v>2087.2800000000002</v>
      </c>
      <c r="O5634" s="411">
        <f t="shared" si="2027"/>
        <v>-2087.2800000000002</v>
      </c>
      <c r="P5634" s="132" t="s">
        <v>52</v>
      </c>
      <c r="Q5634" s="232"/>
      <c r="R5634" s="411"/>
      <c r="T5634" s="134" t="s">
        <v>1327</v>
      </c>
      <c r="U5634" s="266">
        <v>153824114</v>
      </c>
      <c r="V5634" s="133" t="s">
        <v>12218</v>
      </c>
      <c r="AA5634" s="480"/>
    </row>
    <row r="5635" spans="1:27" ht="24" x14ac:dyDescent="0.25">
      <c r="A5635" s="405">
        <v>3004433</v>
      </c>
      <c r="B5635" s="406">
        <v>42632</v>
      </c>
      <c r="C5635" s="405" t="s">
        <v>141</v>
      </c>
      <c r="D5635" s="401" t="s">
        <v>12219</v>
      </c>
      <c r="E5635" s="120">
        <v>1000</v>
      </c>
      <c r="F5635" s="133" t="s">
        <v>12220</v>
      </c>
      <c r="G5635" s="404" t="s">
        <v>7486</v>
      </c>
      <c r="H5635" s="411">
        <v>2200</v>
      </c>
      <c r="I5635" s="411">
        <v>0</v>
      </c>
      <c r="J5635" s="258">
        <f>-((H5635*0.0325)+0.3)</f>
        <v>-71.8</v>
      </c>
      <c r="K5635" s="90">
        <f t="shared" ref="K5635:K5643" si="2095">SUM(H5635:J5635)</f>
        <v>2128.1999999999998</v>
      </c>
      <c r="L5635" s="187">
        <v>1350</v>
      </c>
      <c r="M5635" s="131">
        <v>0</v>
      </c>
      <c r="N5635" s="91">
        <f t="shared" si="2091"/>
        <v>1350</v>
      </c>
      <c r="O5635" s="411">
        <f t="shared" si="2027"/>
        <v>778.19999999999982</v>
      </c>
      <c r="P5635" s="132" t="s">
        <v>601</v>
      </c>
      <c r="Q5635" s="232"/>
      <c r="R5635" s="411"/>
      <c r="T5635" s="134" t="s">
        <v>473</v>
      </c>
      <c r="U5635" s="267" t="s">
        <v>12221</v>
      </c>
      <c r="W5635" s="153" t="s">
        <v>12222</v>
      </c>
      <c r="AA5635" s="218">
        <v>10</v>
      </c>
    </row>
    <row r="5636" spans="1:27" x14ac:dyDescent="0.25">
      <c r="A5636" s="405">
        <v>3004434</v>
      </c>
      <c r="B5636" s="406">
        <v>42632</v>
      </c>
      <c r="C5636" s="405" t="s">
        <v>63</v>
      </c>
      <c r="D5636" s="401" t="s">
        <v>9627</v>
      </c>
      <c r="E5636" s="120">
        <v>1000</v>
      </c>
      <c r="F5636" s="133" t="s">
        <v>1522</v>
      </c>
      <c r="G5636" s="404" t="s">
        <v>7486</v>
      </c>
      <c r="H5636" s="411">
        <v>1490</v>
      </c>
      <c r="I5636" s="411">
        <v>0</v>
      </c>
      <c r="J5636" s="258">
        <f>-((H5636*0.022)+0.3)</f>
        <v>-33.08</v>
      </c>
      <c r="K5636" s="90">
        <f t="shared" si="2095"/>
        <v>1456.92</v>
      </c>
      <c r="L5636" s="131">
        <v>716</v>
      </c>
      <c r="M5636" s="187">
        <v>90.01</v>
      </c>
      <c r="N5636" s="91">
        <f t="shared" si="2091"/>
        <v>806.01</v>
      </c>
      <c r="O5636" s="411">
        <f t="shared" ref="O5636:O5699" si="2096">K5636-N5636</f>
        <v>650.91000000000008</v>
      </c>
      <c r="P5636" s="132" t="s">
        <v>52</v>
      </c>
      <c r="Q5636" s="232"/>
      <c r="R5636" s="411"/>
      <c r="T5636" s="134" t="s">
        <v>875</v>
      </c>
      <c r="U5636" s="267" t="s">
        <v>12223</v>
      </c>
      <c r="V5636" s="133" t="s">
        <v>55</v>
      </c>
      <c r="W5636" s="153" t="s">
        <v>12224</v>
      </c>
      <c r="AA5636" s="218">
        <v>10</v>
      </c>
    </row>
    <row r="5637" spans="1:27" x14ac:dyDescent="0.25">
      <c r="A5637" s="405">
        <v>3004435</v>
      </c>
      <c r="B5637" s="406">
        <v>42632</v>
      </c>
      <c r="C5637" s="405" t="s">
        <v>327</v>
      </c>
      <c r="D5637" s="401" t="s">
        <v>1521</v>
      </c>
      <c r="E5637" s="120">
        <v>150</v>
      </c>
      <c r="F5637" s="133" t="s">
        <v>9669</v>
      </c>
      <c r="G5637" s="404" t="s">
        <v>7486</v>
      </c>
      <c r="H5637" s="411">
        <v>1108.03</v>
      </c>
      <c r="I5637" s="411">
        <v>0</v>
      </c>
      <c r="J5637" s="258">
        <f>-((H5637*0.022)+0.3)</f>
        <v>-24.676659999999998</v>
      </c>
      <c r="K5637" s="90">
        <f t="shared" si="2095"/>
        <v>1083.3533399999999</v>
      </c>
      <c r="L5637" s="187">
        <v>3075</v>
      </c>
      <c r="M5637" s="187">
        <v>125.36</v>
      </c>
      <c r="N5637" s="91">
        <f t="shared" si="2091"/>
        <v>586.61</v>
      </c>
      <c r="O5637" s="411">
        <f t="shared" si="2096"/>
        <v>496.74333999999988</v>
      </c>
      <c r="P5637" s="132" t="s">
        <v>183</v>
      </c>
      <c r="Q5637" s="232"/>
      <c r="R5637" s="411">
        <v>88.03</v>
      </c>
      <c r="S5637" s="133" t="s">
        <v>52</v>
      </c>
      <c r="T5637" s="134" t="s">
        <v>717</v>
      </c>
      <c r="U5637" s="267" t="s">
        <v>12225</v>
      </c>
      <c r="W5637" s="153" t="s">
        <v>1524</v>
      </c>
      <c r="AA5637" s="218"/>
    </row>
    <row r="5638" spans="1:27" ht="24" x14ac:dyDescent="0.25">
      <c r="A5638" s="405">
        <v>3004436</v>
      </c>
      <c r="B5638" s="406">
        <v>42632</v>
      </c>
      <c r="C5638" s="405" t="s">
        <v>237</v>
      </c>
      <c r="D5638" s="401" t="s">
        <v>12226</v>
      </c>
      <c r="E5638" s="120">
        <v>100</v>
      </c>
      <c r="F5638" s="133" t="s">
        <v>3307</v>
      </c>
      <c r="G5638" s="404" t="s">
        <v>7486</v>
      </c>
      <c r="H5638" s="411">
        <v>180.18</v>
      </c>
      <c r="I5638" s="397">
        <f t="shared" ref="I5638" si="2097">-(H5638*0.15)</f>
        <v>-27.027000000000001</v>
      </c>
      <c r="J5638" s="258">
        <v>0</v>
      </c>
      <c r="K5638" s="90">
        <f t="shared" si="2095"/>
        <v>153.15300000000002</v>
      </c>
      <c r="L5638" s="187">
        <v>1180</v>
      </c>
      <c r="M5638" s="187">
        <v>24</v>
      </c>
      <c r="N5638" s="91">
        <f t="shared" si="2091"/>
        <v>142</v>
      </c>
      <c r="O5638" s="411">
        <f t="shared" si="2096"/>
        <v>11.15300000000002</v>
      </c>
      <c r="P5638" s="132" t="s">
        <v>601</v>
      </c>
      <c r="Q5638" s="232"/>
      <c r="R5638" s="411"/>
      <c r="T5638" s="134" t="s">
        <v>145</v>
      </c>
      <c r="U5638" s="267" t="s">
        <v>12227</v>
      </c>
      <c r="AA5638" s="218"/>
    </row>
    <row r="5639" spans="1:27" ht="24" x14ac:dyDescent="0.25">
      <c r="A5639" s="405">
        <v>3004437</v>
      </c>
      <c r="B5639" s="406">
        <v>42632</v>
      </c>
      <c r="C5639" s="405" t="s">
        <v>237</v>
      </c>
      <c r="D5639" s="401" t="s">
        <v>12228</v>
      </c>
      <c r="E5639" s="120">
        <v>150</v>
      </c>
      <c r="F5639" s="133" t="s">
        <v>307</v>
      </c>
      <c r="G5639" s="404" t="s">
        <v>7486</v>
      </c>
      <c r="H5639" s="411">
        <v>218.22</v>
      </c>
      <c r="I5639" s="397">
        <f t="shared" ref="I5639" si="2098">-(H5639*0.15)</f>
        <v>-32.732999999999997</v>
      </c>
      <c r="J5639" s="258">
        <v>0</v>
      </c>
      <c r="K5639" s="90">
        <f t="shared" si="2095"/>
        <v>185.48699999999999</v>
      </c>
      <c r="L5639" s="131">
        <v>690</v>
      </c>
      <c r="M5639" s="187">
        <v>28.58</v>
      </c>
      <c r="N5639" s="91">
        <f t="shared" si="2091"/>
        <v>132.07999999999998</v>
      </c>
      <c r="O5639" s="411">
        <f t="shared" si="2096"/>
        <v>53.407000000000011</v>
      </c>
      <c r="P5639" s="132" t="s">
        <v>52</v>
      </c>
      <c r="Q5639" s="232"/>
      <c r="R5639" s="411"/>
      <c r="T5639" s="134" t="s">
        <v>145</v>
      </c>
      <c r="U5639" s="267" t="s">
        <v>12229</v>
      </c>
      <c r="AA5639" s="218"/>
    </row>
    <row r="5640" spans="1:27" ht="24" x14ac:dyDescent="0.25">
      <c r="A5640" s="405">
        <v>3004438</v>
      </c>
      <c r="B5640" s="406">
        <v>42632</v>
      </c>
      <c r="C5640" s="405" t="s">
        <v>237</v>
      </c>
      <c r="D5640" s="401" t="s">
        <v>12230</v>
      </c>
      <c r="E5640" s="120">
        <v>250</v>
      </c>
      <c r="F5640" s="133" t="s">
        <v>307</v>
      </c>
      <c r="G5640" s="404" t="s">
        <v>45</v>
      </c>
      <c r="H5640" s="411">
        <v>320</v>
      </c>
      <c r="I5640" s="397">
        <f t="shared" ref="I5640" si="2099">-(H5640*0.15)</f>
        <v>-48</v>
      </c>
      <c r="J5640" s="258">
        <v>0</v>
      </c>
      <c r="K5640" s="90">
        <f t="shared" si="2095"/>
        <v>272</v>
      </c>
      <c r="L5640" s="131">
        <v>690</v>
      </c>
      <c r="M5640" s="187">
        <v>56.91</v>
      </c>
      <c r="N5640" s="91">
        <f t="shared" si="2091"/>
        <v>229.41</v>
      </c>
      <c r="O5640" s="411">
        <f t="shared" si="2096"/>
        <v>42.59</v>
      </c>
      <c r="P5640" s="132" t="s">
        <v>52</v>
      </c>
      <c r="Q5640" s="232"/>
      <c r="R5640" s="411"/>
      <c r="T5640" s="134" t="s">
        <v>145</v>
      </c>
      <c r="U5640" s="267" t="s">
        <v>12231</v>
      </c>
      <c r="AA5640" s="218"/>
    </row>
    <row r="5641" spans="1:27" ht="24" x14ac:dyDescent="0.25">
      <c r="A5641" s="405">
        <v>3004439</v>
      </c>
      <c r="B5641" s="406">
        <v>42632</v>
      </c>
      <c r="C5641" s="405" t="s">
        <v>237</v>
      </c>
      <c r="D5641" s="401" t="s">
        <v>12232</v>
      </c>
      <c r="E5641" s="120">
        <v>100</v>
      </c>
      <c r="F5641" s="133" t="s">
        <v>590</v>
      </c>
      <c r="G5641" s="404" t="s">
        <v>7486</v>
      </c>
      <c r="H5641" s="411">
        <v>118.7</v>
      </c>
      <c r="I5641" s="397">
        <f t="shared" ref="I5641" si="2100">-(H5641*0.15)</f>
        <v>-17.805</v>
      </c>
      <c r="J5641" s="258">
        <v>0</v>
      </c>
      <c r="K5641" s="90">
        <f t="shared" si="2095"/>
        <v>100.89500000000001</v>
      </c>
      <c r="L5641" s="131">
        <v>577</v>
      </c>
      <c r="M5641" s="187">
        <v>9.34</v>
      </c>
      <c r="N5641" s="91">
        <f t="shared" si="2091"/>
        <v>67.040000000000006</v>
      </c>
      <c r="O5641" s="411">
        <f t="shared" si="2096"/>
        <v>33.855000000000004</v>
      </c>
      <c r="P5641" s="132" t="s">
        <v>52</v>
      </c>
      <c r="Q5641" s="232"/>
      <c r="R5641" s="411"/>
      <c r="T5641" s="134" t="s">
        <v>145</v>
      </c>
      <c r="U5641" s="267" t="s">
        <v>12233</v>
      </c>
      <c r="AA5641" s="218"/>
    </row>
    <row r="5642" spans="1:27" ht="24" x14ac:dyDescent="0.25">
      <c r="A5642" s="405">
        <v>3004440</v>
      </c>
      <c r="B5642" s="406">
        <v>42632</v>
      </c>
      <c r="C5642" s="405" t="s">
        <v>237</v>
      </c>
      <c r="D5642" s="401" t="s">
        <v>11032</v>
      </c>
      <c r="E5642" s="120">
        <v>500</v>
      </c>
      <c r="F5642" s="133" t="s">
        <v>1293</v>
      </c>
      <c r="G5642" s="404" t="s">
        <v>7486</v>
      </c>
      <c r="H5642" s="411">
        <v>577</v>
      </c>
      <c r="I5642" s="397">
        <f t="shared" ref="I5642" si="2101">-(H5642*0.15)</f>
        <v>-86.55</v>
      </c>
      <c r="J5642" s="258">
        <v>0</v>
      </c>
      <c r="K5642" s="90">
        <f t="shared" si="2095"/>
        <v>490.45</v>
      </c>
      <c r="L5642" s="131">
        <v>504</v>
      </c>
      <c r="M5642" s="187">
        <v>58.64</v>
      </c>
      <c r="N5642" s="91">
        <f t="shared" si="2091"/>
        <v>310.64</v>
      </c>
      <c r="O5642" s="411">
        <f t="shared" si="2096"/>
        <v>179.81</v>
      </c>
      <c r="P5642" s="132" t="s">
        <v>52</v>
      </c>
      <c r="Q5642" s="232"/>
      <c r="R5642" s="411"/>
      <c r="T5642" s="134" t="s">
        <v>145</v>
      </c>
      <c r="U5642" s="267" t="s">
        <v>12234</v>
      </c>
      <c r="AA5642" s="218"/>
    </row>
    <row r="5643" spans="1:27" ht="24" x14ac:dyDescent="0.25">
      <c r="A5643" s="405">
        <v>3004441</v>
      </c>
      <c r="B5643" s="406">
        <v>42632</v>
      </c>
      <c r="C5643" s="405" t="s">
        <v>237</v>
      </c>
      <c r="D5643" s="401" t="s">
        <v>12235</v>
      </c>
      <c r="E5643" s="120">
        <v>500</v>
      </c>
      <c r="F5643" s="133" t="s">
        <v>1233</v>
      </c>
      <c r="G5643" s="404" t="s">
        <v>7486</v>
      </c>
      <c r="H5643" s="411">
        <v>640</v>
      </c>
      <c r="I5643" s="397">
        <f t="shared" ref="I5643" si="2102">-(H5643*0.15)</f>
        <v>-96</v>
      </c>
      <c r="J5643" s="258">
        <v>0</v>
      </c>
      <c r="K5643" s="90">
        <f t="shared" si="2095"/>
        <v>544</v>
      </c>
      <c r="L5643" s="131">
        <v>690</v>
      </c>
      <c r="M5643" s="187">
        <f>52.74+52.74</f>
        <v>105.48</v>
      </c>
      <c r="N5643" s="91">
        <f t="shared" si="2091"/>
        <v>450.48</v>
      </c>
      <c r="O5643" s="411">
        <f t="shared" si="2096"/>
        <v>93.519999999999982</v>
      </c>
      <c r="P5643" s="132" t="s">
        <v>52</v>
      </c>
      <c r="Q5643" s="232"/>
      <c r="R5643" s="411"/>
      <c r="T5643" s="134" t="s">
        <v>145</v>
      </c>
      <c r="U5643" s="266" t="s">
        <v>12236</v>
      </c>
      <c r="AA5643" s="218"/>
    </row>
    <row r="5644" spans="1:27" ht="24" x14ac:dyDescent="0.25">
      <c r="A5644" s="405">
        <v>3004442</v>
      </c>
      <c r="B5644" s="406">
        <v>42632</v>
      </c>
      <c r="C5644" s="405" t="s">
        <v>42</v>
      </c>
      <c r="D5644" s="401" t="s">
        <v>12237</v>
      </c>
      <c r="E5644" s="120">
        <v>10</v>
      </c>
      <c r="F5644" s="133" t="s">
        <v>605</v>
      </c>
      <c r="G5644" s="404" t="s">
        <v>7486</v>
      </c>
      <c r="H5644" s="411">
        <v>24.2</v>
      </c>
      <c r="I5644" s="89">
        <f>-(H5644*0.09)</f>
        <v>-2.1779999999999999</v>
      </c>
      <c r="J5644" s="258">
        <f t="shared" ref="J5644" si="2103">-((H5644*0.019)+0.3)</f>
        <v>-0.75980000000000003</v>
      </c>
      <c r="K5644" s="90">
        <f t="shared" ref="K5644" si="2104">SUM(H5644:J5644)</f>
        <v>21.2622</v>
      </c>
      <c r="L5644" s="131">
        <v>595</v>
      </c>
      <c r="M5644" s="187">
        <v>11.05</v>
      </c>
      <c r="N5644" s="91">
        <f t="shared" si="2091"/>
        <v>17</v>
      </c>
      <c r="O5644" s="411">
        <f t="shared" si="2096"/>
        <v>4.2622</v>
      </c>
      <c r="P5644" s="132" t="s">
        <v>52</v>
      </c>
      <c r="Q5644" s="232"/>
      <c r="R5644" s="411"/>
      <c r="T5644" s="134" t="s">
        <v>145</v>
      </c>
      <c r="U5644" s="267" t="s">
        <v>12238</v>
      </c>
      <c r="AA5644" s="218"/>
    </row>
    <row r="5645" spans="1:27" x14ac:dyDescent="0.25">
      <c r="A5645" s="419">
        <v>3004443</v>
      </c>
      <c r="B5645" s="421">
        <v>42632</v>
      </c>
      <c r="C5645" s="419" t="s">
        <v>237</v>
      </c>
      <c r="D5645" s="417" t="s">
        <v>12239</v>
      </c>
      <c r="E5645" s="120">
        <v>75</v>
      </c>
      <c r="F5645" s="133" t="s">
        <v>3440</v>
      </c>
      <c r="G5645" s="434" t="s">
        <v>7486</v>
      </c>
      <c r="H5645" s="427">
        <v>250</v>
      </c>
      <c r="I5645" s="452">
        <f t="shared" ref="I5645" si="2105">-(H5645*0.15)</f>
        <v>-37.5</v>
      </c>
      <c r="J5645" s="425">
        <v>0</v>
      </c>
      <c r="K5645" s="425">
        <f>SUM(H5645:J5645)</f>
        <v>212.5</v>
      </c>
      <c r="L5645" s="187">
        <v>959</v>
      </c>
      <c r="M5645" s="187">
        <v>19.66</v>
      </c>
      <c r="N5645" s="91">
        <f t="shared" si="2091"/>
        <v>91.584999999999994</v>
      </c>
      <c r="O5645" s="411">
        <f t="shared" si="2096"/>
        <v>120.91500000000001</v>
      </c>
      <c r="P5645" s="132" t="s">
        <v>601</v>
      </c>
      <c r="Q5645" s="232"/>
      <c r="R5645" s="411"/>
      <c r="T5645" s="439" t="s">
        <v>145</v>
      </c>
      <c r="U5645" s="308" t="s">
        <v>12240</v>
      </c>
      <c r="AA5645" s="218"/>
    </row>
    <row r="5646" spans="1:27" x14ac:dyDescent="0.25">
      <c r="A5646" s="420"/>
      <c r="B5646" s="422"/>
      <c r="C5646" s="420"/>
      <c r="D5646" s="418"/>
      <c r="E5646" s="120">
        <v>75</v>
      </c>
      <c r="F5646" s="133" t="s">
        <v>3442</v>
      </c>
      <c r="G5646" s="436"/>
      <c r="H5646" s="428"/>
      <c r="I5646" s="453"/>
      <c r="J5646" s="426"/>
      <c r="K5646" s="426"/>
      <c r="L5646" s="187">
        <v>979</v>
      </c>
      <c r="M5646" s="187">
        <v>20.21</v>
      </c>
      <c r="N5646" s="91">
        <f t="shared" si="2091"/>
        <v>93.634999999999991</v>
      </c>
      <c r="O5646" s="411">
        <f t="shared" si="2096"/>
        <v>-93.634999999999991</v>
      </c>
      <c r="P5646" s="132" t="s">
        <v>12241</v>
      </c>
      <c r="Q5646" s="232"/>
      <c r="R5646" s="411"/>
      <c r="T5646" s="441"/>
      <c r="U5646" s="309">
        <v>642286528949</v>
      </c>
      <c r="AA5646" s="218"/>
    </row>
    <row r="5647" spans="1:27" ht="24" x14ac:dyDescent="0.25">
      <c r="A5647" s="405">
        <v>3004444</v>
      </c>
      <c r="B5647" s="406">
        <v>42632</v>
      </c>
      <c r="C5647" s="405" t="s">
        <v>237</v>
      </c>
      <c r="D5647" s="401" t="s">
        <v>12242</v>
      </c>
      <c r="E5647" s="120">
        <v>350</v>
      </c>
      <c r="F5647" s="133" t="s">
        <v>247</v>
      </c>
      <c r="G5647" s="404" t="s">
        <v>7486</v>
      </c>
      <c r="H5647" s="411">
        <v>350</v>
      </c>
      <c r="I5647" s="397">
        <f t="shared" ref="I5647" si="2106">-(H5647*0.15)</f>
        <v>-52.5</v>
      </c>
      <c r="J5647" s="258">
        <v>0</v>
      </c>
      <c r="K5647" s="90">
        <f t="shared" ref="K5647:K5653" si="2107">SUM(H5647:J5647)</f>
        <v>297.5</v>
      </c>
      <c r="L5647" s="187">
        <v>672</v>
      </c>
      <c r="N5647" s="91">
        <f t="shared" si="2091"/>
        <v>235.20000000000002</v>
      </c>
      <c r="O5647" s="411">
        <f t="shared" si="2096"/>
        <v>62.299999999999983</v>
      </c>
      <c r="P5647" s="132" t="s">
        <v>313</v>
      </c>
      <c r="Q5647" s="232"/>
      <c r="R5647" s="411"/>
      <c r="T5647" s="134" t="s">
        <v>473</v>
      </c>
      <c r="U5647" s="267" t="s">
        <v>12243</v>
      </c>
      <c r="AA5647" s="218"/>
    </row>
    <row r="5648" spans="1:27" ht="24" x14ac:dyDescent="0.25">
      <c r="A5648" s="405">
        <v>3004445</v>
      </c>
      <c r="B5648" s="406">
        <v>42632</v>
      </c>
      <c r="C5648" s="405" t="s">
        <v>237</v>
      </c>
      <c r="D5648" s="401" t="s">
        <v>12244</v>
      </c>
      <c r="E5648" s="120">
        <v>150</v>
      </c>
      <c r="F5648" s="133" t="s">
        <v>247</v>
      </c>
      <c r="G5648" s="404" t="s">
        <v>7486</v>
      </c>
      <c r="H5648" s="411">
        <v>180</v>
      </c>
      <c r="I5648" s="397">
        <f t="shared" ref="I5648" si="2108">-(H5648*0.15)</f>
        <v>-27</v>
      </c>
      <c r="J5648" s="258">
        <v>0</v>
      </c>
      <c r="K5648" s="90">
        <f t="shared" si="2107"/>
        <v>153</v>
      </c>
      <c r="L5648" s="187">
        <v>672</v>
      </c>
      <c r="M5648" s="187">
        <v>29.22</v>
      </c>
      <c r="N5648" s="91">
        <f t="shared" si="2091"/>
        <v>130.01999999999998</v>
      </c>
      <c r="O5648" s="411">
        <f t="shared" si="2096"/>
        <v>22.980000000000018</v>
      </c>
      <c r="P5648" s="132" t="s">
        <v>313</v>
      </c>
      <c r="Q5648" s="232"/>
      <c r="R5648" s="411"/>
      <c r="T5648" s="134" t="s">
        <v>145</v>
      </c>
      <c r="U5648" s="267" t="s">
        <v>12245</v>
      </c>
      <c r="AA5648" s="218"/>
    </row>
    <row r="5649" spans="1:27" ht="24" x14ac:dyDescent="0.25">
      <c r="A5649" s="405">
        <v>3004446</v>
      </c>
      <c r="B5649" s="406">
        <v>42632</v>
      </c>
      <c r="C5649" s="405" t="s">
        <v>237</v>
      </c>
      <c r="D5649" s="401" t="s">
        <v>12246</v>
      </c>
      <c r="E5649" s="120">
        <v>100</v>
      </c>
      <c r="F5649" s="133" t="s">
        <v>247</v>
      </c>
      <c r="G5649" s="404" t="s">
        <v>7486</v>
      </c>
      <c r="H5649" s="411">
        <v>124.97</v>
      </c>
      <c r="I5649" s="397">
        <f t="shared" ref="I5649" si="2109">-(H5649*0.15)</f>
        <v>-18.7455</v>
      </c>
      <c r="J5649" s="258">
        <v>0</v>
      </c>
      <c r="K5649" s="90">
        <f t="shared" si="2107"/>
        <v>106.22450000000001</v>
      </c>
      <c r="L5649" s="187">
        <v>672</v>
      </c>
      <c r="M5649" s="187">
        <v>38.31</v>
      </c>
      <c r="N5649" s="91">
        <f t="shared" si="2091"/>
        <v>105.51</v>
      </c>
      <c r="O5649" s="411">
        <f t="shared" si="2096"/>
        <v>0.71450000000000102</v>
      </c>
      <c r="P5649" s="132" t="s">
        <v>313</v>
      </c>
      <c r="Q5649" s="232"/>
      <c r="R5649" s="411"/>
      <c r="T5649" s="134" t="s">
        <v>145</v>
      </c>
      <c r="U5649" s="267" t="s">
        <v>12247</v>
      </c>
      <c r="AA5649" s="218"/>
    </row>
    <row r="5650" spans="1:27" ht="24" x14ac:dyDescent="0.25">
      <c r="A5650" s="405">
        <v>3004447</v>
      </c>
      <c r="B5650" s="406">
        <v>42632</v>
      </c>
      <c r="C5650" s="405" t="s">
        <v>237</v>
      </c>
      <c r="D5650" s="401" t="s">
        <v>12248</v>
      </c>
      <c r="E5650" s="120">
        <v>200</v>
      </c>
      <c r="F5650" s="133" t="s">
        <v>5066</v>
      </c>
      <c r="G5650" s="404" t="s">
        <v>7486</v>
      </c>
      <c r="H5650" s="411">
        <v>360.36</v>
      </c>
      <c r="I5650" s="397">
        <f t="shared" ref="I5650" si="2110">-(H5650*0.15)</f>
        <v>-54.054000000000002</v>
      </c>
      <c r="J5650" s="258">
        <v>0</v>
      </c>
      <c r="K5650" s="90">
        <f t="shared" si="2107"/>
        <v>306.30600000000004</v>
      </c>
      <c r="L5650" s="187">
        <v>1180</v>
      </c>
      <c r="M5650" s="187">
        <v>48</v>
      </c>
      <c r="N5650" s="91">
        <f>((L5650)*(E5650*0.001))+M5650</f>
        <v>284</v>
      </c>
      <c r="O5650" s="411">
        <f t="shared" si="2096"/>
        <v>22.30600000000004</v>
      </c>
      <c r="P5650" s="132" t="s">
        <v>601</v>
      </c>
      <c r="Q5650" s="232"/>
      <c r="R5650" s="411"/>
      <c r="T5650" s="134" t="s">
        <v>145</v>
      </c>
      <c r="U5650" s="266">
        <v>639794969500</v>
      </c>
      <c r="AA5650" s="218"/>
    </row>
    <row r="5651" spans="1:27" x14ac:dyDescent="0.25">
      <c r="A5651" s="405">
        <v>3004448</v>
      </c>
      <c r="B5651" s="406">
        <v>42632</v>
      </c>
      <c r="C5651" s="405" t="s">
        <v>237</v>
      </c>
      <c r="D5651" s="401" t="s">
        <v>12249</v>
      </c>
      <c r="E5651" s="120">
        <v>400</v>
      </c>
      <c r="F5651" s="133" t="s">
        <v>178</v>
      </c>
      <c r="G5651" s="404" t="s">
        <v>7486</v>
      </c>
      <c r="H5651" s="411">
        <v>664.98</v>
      </c>
      <c r="I5651" s="397">
        <f t="shared" ref="I5651" si="2111">-(H5651*0.15)</f>
        <v>-99.747</v>
      </c>
      <c r="J5651" s="258">
        <v>0</v>
      </c>
      <c r="K5651" s="90">
        <f t="shared" si="2107"/>
        <v>565.23300000000006</v>
      </c>
      <c r="L5651" s="131">
        <v>830</v>
      </c>
      <c r="M5651" s="187">
        <v>187.2</v>
      </c>
      <c r="N5651" s="91">
        <f>((L5651)*(E5651*0.001))+M5651</f>
        <v>519.20000000000005</v>
      </c>
      <c r="O5651" s="411">
        <f t="shared" si="2096"/>
        <v>46.033000000000015</v>
      </c>
      <c r="P5651" s="402" t="s">
        <v>86</v>
      </c>
      <c r="Q5651" s="232"/>
      <c r="R5651" s="411"/>
      <c r="T5651" s="134" t="s">
        <v>97</v>
      </c>
      <c r="U5651" s="266">
        <v>3653246225</v>
      </c>
      <c r="V5651" s="133" t="s">
        <v>55</v>
      </c>
      <c r="AA5651" s="218"/>
    </row>
    <row r="5652" spans="1:27" ht="36" x14ac:dyDescent="0.25">
      <c r="A5652" s="405">
        <v>3004449</v>
      </c>
      <c r="B5652" s="406">
        <v>42632</v>
      </c>
      <c r="C5652" s="405" t="s">
        <v>237</v>
      </c>
      <c r="D5652" s="401" t="s">
        <v>12250</v>
      </c>
      <c r="E5652" s="120">
        <v>150</v>
      </c>
      <c r="F5652" s="119" t="s">
        <v>12251</v>
      </c>
      <c r="G5652" s="404" t="s">
        <v>7486</v>
      </c>
      <c r="H5652" s="411">
        <v>161.94</v>
      </c>
      <c r="I5652" s="397">
        <f t="shared" ref="I5652:I5653" si="2112">-(H5652*0.15)</f>
        <v>-24.291</v>
      </c>
      <c r="J5652" s="258">
        <v>0</v>
      </c>
      <c r="K5652" s="90">
        <f t="shared" si="2107"/>
        <v>137.649</v>
      </c>
      <c r="L5652" s="187">
        <v>565</v>
      </c>
      <c r="M5652" s="187">
        <v>7.22</v>
      </c>
      <c r="N5652" s="91">
        <f t="shared" si="2091"/>
        <v>91.97</v>
      </c>
      <c r="O5652" s="411">
        <f t="shared" si="2096"/>
        <v>45.679000000000002</v>
      </c>
      <c r="P5652" s="405" t="s">
        <v>12252</v>
      </c>
      <c r="Q5652" s="220"/>
      <c r="R5652" s="411"/>
      <c r="T5652" s="134" t="s">
        <v>145</v>
      </c>
      <c r="U5652" s="267" t="s">
        <v>12253</v>
      </c>
      <c r="AA5652" s="218"/>
    </row>
    <row r="5653" spans="1:27" x14ac:dyDescent="0.25">
      <c r="A5653" s="419">
        <v>3004450</v>
      </c>
      <c r="B5653" s="421">
        <v>42632</v>
      </c>
      <c r="C5653" s="419" t="s">
        <v>237</v>
      </c>
      <c r="D5653" s="417" t="s">
        <v>12254</v>
      </c>
      <c r="E5653" s="120">
        <v>75</v>
      </c>
      <c r="F5653" s="133" t="s">
        <v>3440</v>
      </c>
      <c r="G5653" s="434" t="s">
        <v>7486</v>
      </c>
      <c r="H5653" s="427">
        <v>250</v>
      </c>
      <c r="I5653" s="452">
        <f t="shared" si="2112"/>
        <v>-37.5</v>
      </c>
      <c r="J5653" s="425">
        <v>0</v>
      </c>
      <c r="K5653" s="425">
        <f t="shared" si="2107"/>
        <v>212.5</v>
      </c>
      <c r="L5653" s="187">
        <v>959</v>
      </c>
      <c r="M5653" s="187">
        <f>25+27.83</f>
        <v>52.83</v>
      </c>
      <c r="N5653" s="91">
        <f t="shared" si="2091"/>
        <v>124.755</v>
      </c>
      <c r="O5653" s="411">
        <f t="shared" si="2096"/>
        <v>87.745000000000005</v>
      </c>
      <c r="P5653" s="403" t="s">
        <v>601</v>
      </c>
      <c r="Q5653" s="232"/>
      <c r="R5653" s="411"/>
      <c r="T5653" s="439" t="s">
        <v>145</v>
      </c>
      <c r="U5653" s="481" t="s">
        <v>12255</v>
      </c>
      <c r="V5653" s="133" t="s">
        <v>12256</v>
      </c>
      <c r="AA5653" s="218"/>
    </row>
    <row r="5654" spans="1:27" x14ac:dyDescent="0.25">
      <c r="A5654" s="420"/>
      <c r="B5654" s="422"/>
      <c r="C5654" s="420"/>
      <c r="D5654" s="418"/>
      <c r="E5654" s="120">
        <v>75</v>
      </c>
      <c r="F5654" s="133" t="s">
        <v>3442</v>
      </c>
      <c r="G5654" s="436"/>
      <c r="H5654" s="428"/>
      <c r="I5654" s="453"/>
      <c r="J5654" s="426"/>
      <c r="K5654" s="426"/>
      <c r="L5654" s="187">
        <v>979</v>
      </c>
      <c r="M5654" s="131">
        <v>25</v>
      </c>
      <c r="N5654" s="91">
        <f t="shared" si="2091"/>
        <v>98.424999999999997</v>
      </c>
      <c r="O5654" s="411">
        <f t="shared" si="2096"/>
        <v>-98.424999999999997</v>
      </c>
      <c r="P5654" s="132" t="s">
        <v>601</v>
      </c>
      <c r="Q5654" s="232"/>
      <c r="R5654" s="411"/>
      <c r="T5654" s="441"/>
      <c r="U5654" s="483"/>
      <c r="V5654" s="133" t="s">
        <v>12256</v>
      </c>
      <c r="AA5654" s="218"/>
    </row>
    <row r="5655" spans="1:27" ht="24" x14ac:dyDescent="0.25">
      <c r="A5655" s="405">
        <v>3004451</v>
      </c>
      <c r="B5655" s="406">
        <v>42632</v>
      </c>
      <c r="C5655" s="405" t="s">
        <v>237</v>
      </c>
      <c r="D5655" s="401" t="s">
        <v>12257</v>
      </c>
      <c r="E5655" s="120">
        <v>100</v>
      </c>
      <c r="F5655" s="133" t="s">
        <v>161</v>
      </c>
      <c r="G5655" s="404" t="s">
        <v>7486</v>
      </c>
      <c r="H5655" s="411">
        <v>260</v>
      </c>
      <c r="I5655" s="397">
        <f t="shared" ref="I5655" si="2113">-(H5655*0.15)</f>
        <v>-39</v>
      </c>
      <c r="J5655" s="258">
        <v>0</v>
      </c>
      <c r="K5655" s="90">
        <f>SUM(H5655:J5655)</f>
        <v>221</v>
      </c>
      <c r="L5655" s="131">
        <v>1322</v>
      </c>
      <c r="M5655" s="187">
        <v>30.32</v>
      </c>
      <c r="N5655" s="91">
        <f t="shared" si="2091"/>
        <v>162.52000000000001</v>
      </c>
      <c r="O5655" s="411">
        <f t="shared" si="2096"/>
        <v>58.47999999999999</v>
      </c>
      <c r="P5655" s="132" t="s">
        <v>86</v>
      </c>
      <c r="Q5655" s="232"/>
      <c r="R5655" s="411"/>
      <c r="T5655" s="134" t="s">
        <v>145</v>
      </c>
      <c r="U5655" s="267" t="s">
        <v>12258</v>
      </c>
      <c r="AA5655" s="218"/>
    </row>
    <row r="5656" spans="1:27" ht="24" x14ac:dyDescent="0.25">
      <c r="A5656" s="405">
        <v>3004452</v>
      </c>
      <c r="B5656" s="406">
        <v>42632</v>
      </c>
      <c r="C5656" s="405" t="s">
        <v>237</v>
      </c>
      <c r="D5656" s="401" t="s">
        <v>12259</v>
      </c>
      <c r="E5656" s="120">
        <v>125</v>
      </c>
      <c r="F5656" s="133" t="s">
        <v>4066</v>
      </c>
      <c r="G5656" s="404" t="s">
        <v>7486</v>
      </c>
      <c r="H5656" s="411">
        <v>186.06</v>
      </c>
      <c r="I5656" s="397">
        <f t="shared" ref="I5656" si="2114">-(H5656*0.15)</f>
        <v>-27.908999999999999</v>
      </c>
      <c r="J5656" s="258">
        <v>0</v>
      </c>
      <c r="K5656" s="90">
        <f>SUM(H5656:J5656)</f>
        <v>158.15100000000001</v>
      </c>
      <c r="L5656" s="131">
        <v>680</v>
      </c>
      <c r="M5656" s="187">
        <v>14.05</v>
      </c>
      <c r="N5656" s="91">
        <f t="shared" si="2091"/>
        <v>99.05</v>
      </c>
      <c r="O5656" s="411">
        <f t="shared" si="2096"/>
        <v>59.101000000000013</v>
      </c>
      <c r="P5656" s="132" t="s">
        <v>52</v>
      </c>
      <c r="Q5656" s="232"/>
      <c r="R5656" s="411"/>
      <c r="T5656" s="134" t="s">
        <v>145</v>
      </c>
      <c r="U5656" s="267" t="s">
        <v>12260</v>
      </c>
      <c r="AA5656" s="218"/>
    </row>
    <row r="5657" spans="1:27" x14ac:dyDescent="0.25">
      <c r="A5657" s="405">
        <v>3004453</v>
      </c>
      <c r="B5657" s="406">
        <v>42633</v>
      </c>
      <c r="C5657" s="405" t="s">
        <v>280</v>
      </c>
      <c r="D5657" s="401" t="s">
        <v>12261</v>
      </c>
      <c r="E5657" s="120">
        <v>380</v>
      </c>
      <c r="F5657" s="133" t="s">
        <v>222</v>
      </c>
      <c r="G5657" s="404" t="s">
        <v>7486</v>
      </c>
      <c r="H5657" s="411">
        <v>589</v>
      </c>
      <c r="I5657" s="411">
        <v>0</v>
      </c>
      <c r="J5657" s="258">
        <f>-((H5657*0.022)+0.3)</f>
        <v>-13.257999999999999</v>
      </c>
      <c r="K5657" s="90">
        <f>SUM(H5657:J5657)</f>
        <v>575.74199999999996</v>
      </c>
      <c r="L5657" s="131">
        <v>806</v>
      </c>
      <c r="M5657" s="187">
        <v>114.03</v>
      </c>
      <c r="N5657" s="91">
        <f t="shared" si="2091"/>
        <v>420.31000000000006</v>
      </c>
      <c r="O5657" s="411">
        <f t="shared" si="2096"/>
        <v>155.4319999999999</v>
      </c>
      <c r="P5657" s="132" t="s">
        <v>52</v>
      </c>
      <c r="Q5657" s="232"/>
      <c r="R5657" s="411"/>
      <c r="T5657" s="134" t="s">
        <v>7260</v>
      </c>
      <c r="U5657" s="266">
        <v>730487151</v>
      </c>
      <c r="V5657" s="133" t="s">
        <v>55</v>
      </c>
      <c r="W5657" s="153" t="s">
        <v>12262</v>
      </c>
      <c r="AA5657" s="218"/>
    </row>
    <row r="5658" spans="1:27" x14ac:dyDescent="0.25">
      <c r="A5658" s="419">
        <v>3004454</v>
      </c>
      <c r="B5658" s="421">
        <v>42633</v>
      </c>
      <c r="C5658" s="419" t="s">
        <v>63</v>
      </c>
      <c r="D5658" s="417" t="s">
        <v>2860</v>
      </c>
      <c r="E5658" s="120">
        <v>120</v>
      </c>
      <c r="F5658" s="133" t="s">
        <v>12263</v>
      </c>
      <c r="G5658" s="434" t="s">
        <v>7486</v>
      </c>
      <c r="H5658" s="427">
        <v>1014</v>
      </c>
      <c r="I5658" s="427">
        <v>0</v>
      </c>
      <c r="J5658" s="425">
        <f>-((H5658*0.022)+0.3)</f>
        <v>-22.608000000000001</v>
      </c>
      <c r="K5658" s="425">
        <f>SUM(H5658:J5658)</f>
        <v>991.39200000000005</v>
      </c>
      <c r="L5658" s="187">
        <v>1738.94</v>
      </c>
      <c r="M5658" s="187">
        <v>48</v>
      </c>
      <c r="N5658" s="91">
        <f t="shared" si="2091"/>
        <v>256.6728</v>
      </c>
      <c r="O5658" s="411">
        <f t="shared" si="2096"/>
        <v>734.7192</v>
      </c>
      <c r="P5658" s="132" t="s">
        <v>46</v>
      </c>
      <c r="Q5658" s="232"/>
      <c r="R5658" s="411"/>
      <c r="T5658" s="439" t="s">
        <v>463</v>
      </c>
      <c r="U5658" s="446" t="s">
        <v>12264</v>
      </c>
      <c r="W5658" s="153" t="s">
        <v>2864</v>
      </c>
      <c r="AA5658" s="473">
        <v>10</v>
      </c>
    </row>
    <row r="5659" spans="1:27" x14ac:dyDescent="0.25">
      <c r="A5659" s="420"/>
      <c r="B5659" s="422"/>
      <c r="C5659" s="420"/>
      <c r="D5659" s="418"/>
      <c r="E5659" s="120">
        <v>135</v>
      </c>
      <c r="F5659" s="133" t="s">
        <v>282</v>
      </c>
      <c r="G5659" s="436"/>
      <c r="H5659" s="428"/>
      <c r="I5659" s="428"/>
      <c r="J5659" s="426"/>
      <c r="K5659" s="426"/>
      <c r="L5659" s="187">
        <v>1750</v>
      </c>
      <c r="M5659" s="187"/>
      <c r="N5659" s="91">
        <f t="shared" si="2091"/>
        <v>236.25000000000003</v>
      </c>
      <c r="O5659" s="411">
        <f t="shared" si="2096"/>
        <v>-236.25000000000003</v>
      </c>
      <c r="P5659" s="132" t="s">
        <v>46</v>
      </c>
      <c r="Q5659" s="232"/>
      <c r="R5659" s="411"/>
      <c r="T5659" s="441"/>
      <c r="U5659" s="447"/>
      <c r="AA5659" s="474"/>
    </row>
    <row r="5660" spans="1:27" ht="24" x14ac:dyDescent="0.25">
      <c r="A5660" s="405">
        <v>3004455</v>
      </c>
      <c r="B5660" s="406">
        <v>42633</v>
      </c>
      <c r="C5660" s="405" t="s">
        <v>63</v>
      </c>
      <c r="D5660" s="401" t="s">
        <v>12265</v>
      </c>
      <c r="E5660" s="120">
        <v>325</v>
      </c>
      <c r="F5660" s="133" t="s">
        <v>605</v>
      </c>
      <c r="G5660" s="404" t="s">
        <v>7486</v>
      </c>
      <c r="H5660" s="411">
        <v>396.5</v>
      </c>
      <c r="I5660" s="411">
        <v>0</v>
      </c>
      <c r="J5660" s="258">
        <f>-((H5660*0.022)+0.3)</f>
        <v>-9.0229999999999997</v>
      </c>
      <c r="K5660" s="90">
        <f>SUM(H5660:J5660)</f>
        <v>387.47699999999998</v>
      </c>
      <c r="L5660" s="131">
        <v>595</v>
      </c>
      <c r="M5660" s="187">
        <v>63.35</v>
      </c>
      <c r="N5660" s="91">
        <f t="shared" si="2091"/>
        <v>256.72500000000002</v>
      </c>
      <c r="O5660" s="411">
        <f t="shared" si="2096"/>
        <v>130.75199999999995</v>
      </c>
      <c r="P5660" s="132" t="s">
        <v>52</v>
      </c>
      <c r="Q5660" s="232"/>
      <c r="R5660" s="411"/>
      <c r="T5660" s="134" t="s">
        <v>145</v>
      </c>
      <c r="U5660" s="267" t="s">
        <v>12266</v>
      </c>
      <c r="W5660" s="153" t="s">
        <v>12267</v>
      </c>
      <c r="AA5660" s="218"/>
    </row>
    <row r="5661" spans="1:27" ht="24" customHeight="1" x14ac:dyDescent="0.25">
      <c r="A5661" s="419">
        <v>3004456</v>
      </c>
      <c r="B5661" s="421">
        <v>42633</v>
      </c>
      <c r="C5661" s="419" t="s">
        <v>56</v>
      </c>
      <c r="D5661" s="417" t="s">
        <v>7975</v>
      </c>
      <c r="E5661" s="120">
        <v>50</v>
      </c>
      <c r="F5661" s="133" t="s">
        <v>860</v>
      </c>
      <c r="G5661" s="434" t="s">
        <v>7486</v>
      </c>
      <c r="H5661" s="427">
        <v>790</v>
      </c>
      <c r="I5661" s="427">
        <v>0</v>
      </c>
      <c r="J5661" s="427">
        <v>0</v>
      </c>
      <c r="K5661" s="425">
        <f>SUM(H5661:J5661)</f>
        <v>790</v>
      </c>
      <c r="L5661" s="131">
        <v>3300</v>
      </c>
      <c r="M5661" s="187">
        <v>24.2</v>
      </c>
      <c r="N5661" s="91">
        <f t="shared" si="2091"/>
        <v>189.2</v>
      </c>
      <c r="O5661" s="411">
        <f t="shared" si="2096"/>
        <v>600.79999999999995</v>
      </c>
      <c r="P5661" s="132" t="s">
        <v>52</v>
      </c>
      <c r="Q5661" s="232"/>
      <c r="R5661" s="411"/>
      <c r="T5661" s="439" t="s">
        <v>145</v>
      </c>
      <c r="U5661" s="446" t="s">
        <v>12268</v>
      </c>
      <c r="V5661" s="133" t="s">
        <v>12269</v>
      </c>
      <c r="AA5661" s="218"/>
    </row>
    <row r="5662" spans="1:27" x14ac:dyDescent="0.25">
      <c r="A5662" s="432"/>
      <c r="B5662" s="433"/>
      <c r="C5662" s="432"/>
      <c r="D5662" s="454"/>
      <c r="E5662" s="120">
        <v>50</v>
      </c>
      <c r="F5662" s="133" t="s">
        <v>4803</v>
      </c>
      <c r="G5662" s="435"/>
      <c r="H5662" s="438"/>
      <c r="I5662" s="438"/>
      <c r="J5662" s="438"/>
      <c r="K5662" s="437"/>
      <c r="N5662" s="91">
        <f t="shared" si="2091"/>
        <v>0</v>
      </c>
      <c r="O5662" s="411">
        <f t="shared" si="2096"/>
        <v>0</v>
      </c>
      <c r="P5662" s="132" t="s">
        <v>52</v>
      </c>
      <c r="Q5662" s="232"/>
      <c r="R5662" s="411"/>
      <c r="T5662" s="441"/>
      <c r="U5662" s="447"/>
      <c r="AA5662" s="218"/>
    </row>
    <row r="5663" spans="1:27" ht="24" x14ac:dyDescent="0.25">
      <c r="A5663" s="420"/>
      <c r="B5663" s="422"/>
      <c r="C5663" s="420"/>
      <c r="D5663" s="418"/>
      <c r="E5663" s="120">
        <v>4000</v>
      </c>
      <c r="F5663" s="133" t="s">
        <v>12270</v>
      </c>
      <c r="G5663" s="436"/>
      <c r="H5663" s="428"/>
      <c r="I5663" s="428"/>
      <c r="J5663" s="428"/>
      <c r="K5663" s="426"/>
      <c r="L5663" s="187">
        <v>48.5</v>
      </c>
      <c r="M5663" s="224">
        <v>24.6</v>
      </c>
      <c r="N5663" s="91">
        <f t="shared" si="2091"/>
        <v>218.6</v>
      </c>
      <c r="O5663" s="411">
        <f t="shared" si="2096"/>
        <v>-218.6</v>
      </c>
      <c r="P5663" s="132" t="s">
        <v>2846</v>
      </c>
      <c r="Q5663" s="232"/>
      <c r="R5663" s="411"/>
      <c r="T5663" s="134" t="s">
        <v>145</v>
      </c>
      <c r="U5663" s="267" t="s">
        <v>12271</v>
      </c>
      <c r="V5663" s="133" t="s">
        <v>12272</v>
      </c>
      <c r="AA5663" s="218"/>
    </row>
    <row r="5664" spans="1:27" ht="24" x14ac:dyDescent="0.25">
      <c r="A5664" s="405">
        <v>3004457</v>
      </c>
      <c r="B5664" s="406">
        <v>42633</v>
      </c>
      <c r="C5664" s="405" t="s">
        <v>42</v>
      </c>
      <c r="D5664" s="401" t="s">
        <v>12273</v>
      </c>
      <c r="E5664" s="120">
        <v>100</v>
      </c>
      <c r="F5664" s="133" t="s">
        <v>217</v>
      </c>
      <c r="G5664" s="404" t="s">
        <v>7486</v>
      </c>
      <c r="H5664" s="411">
        <v>245</v>
      </c>
      <c r="I5664" s="89">
        <f t="shared" ref="I5664:I5669" si="2115">-(H5664*0.09)</f>
        <v>-22.05</v>
      </c>
      <c r="J5664" s="258">
        <f t="shared" ref="J5664" si="2116">-((H5664*0.019)+0.3)</f>
        <v>-4.9550000000000001</v>
      </c>
      <c r="K5664" s="90">
        <f t="shared" ref="K5664" si="2117">SUM(H5664:J5664)</f>
        <v>217.99499999999998</v>
      </c>
      <c r="L5664" s="131">
        <v>1322</v>
      </c>
      <c r="M5664" s="187">
        <v>36.340000000000003</v>
      </c>
      <c r="N5664" s="91">
        <f t="shared" si="2091"/>
        <v>168.54000000000002</v>
      </c>
      <c r="O5664" s="411">
        <f t="shared" si="2096"/>
        <v>49.454999999999956</v>
      </c>
      <c r="P5664" s="132" t="s">
        <v>52</v>
      </c>
      <c r="Q5664" s="232"/>
      <c r="R5664" s="411"/>
      <c r="T5664" s="134" t="s">
        <v>145</v>
      </c>
      <c r="U5664" s="267" t="s">
        <v>12274</v>
      </c>
      <c r="AA5664" s="218"/>
    </row>
    <row r="5665" spans="1:27" ht="24" x14ac:dyDescent="0.25">
      <c r="A5665" s="405">
        <v>3004458</v>
      </c>
      <c r="B5665" s="406">
        <v>42633</v>
      </c>
      <c r="C5665" s="405" t="s">
        <v>42</v>
      </c>
      <c r="D5665" s="401" t="s">
        <v>12275</v>
      </c>
      <c r="E5665" s="120">
        <v>50</v>
      </c>
      <c r="F5665" s="133" t="s">
        <v>5466</v>
      </c>
      <c r="G5665" s="404" t="s">
        <v>7486</v>
      </c>
      <c r="H5665" s="411">
        <v>122.5</v>
      </c>
      <c r="I5665" s="89">
        <f t="shared" si="2115"/>
        <v>-11.025</v>
      </c>
      <c r="J5665" s="258">
        <f t="shared" ref="J5665" si="2118">-((H5665*0.019)+0.3)</f>
        <v>-2.6274999999999999</v>
      </c>
      <c r="K5665" s="90">
        <f t="shared" ref="K5665" si="2119">SUM(H5665:J5665)</f>
        <v>108.8475</v>
      </c>
      <c r="L5665" s="187">
        <v>1470</v>
      </c>
      <c r="M5665" s="187">
        <v>23.78</v>
      </c>
      <c r="N5665" s="91">
        <f t="shared" si="2091"/>
        <v>97.28</v>
      </c>
      <c r="O5665" s="411">
        <f t="shared" si="2096"/>
        <v>11.567499999999995</v>
      </c>
      <c r="P5665" s="132" t="s">
        <v>601</v>
      </c>
      <c r="Q5665" s="232"/>
      <c r="R5665" s="411"/>
      <c r="T5665" s="134" t="s">
        <v>145</v>
      </c>
      <c r="U5665" s="267" t="s">
        <v>12276</v>
      </c>
      <c r="AA5665" s="218"/>
    </row>
    <row r="5666" spans="1:27" ht="24" x14ac:dyDescent="0.25">
      <c r="A5666" s="405">
        <v>3004459</v>
      </c>
      <c r="B5666" s="406">
        <v>42633</v>
      </c>
      <c r="C5666" s="405" t="s">
        <v>42</v>
      </c>
      <c r="D5666" s="401" t="s">
        <v>12277</v>
      </c>
      <c r="E5666" s="120">
        <v>500</v>
      </c>
      <c r="F5666" s="133" t="s">
        <v>1137</v>
      </c>
      <c r="G5666" s="404" t="s">
        <v>7486</v>
      </c>
      <c r="H5666" s="411">
        <v>230</v>
      </c>
      <c r="I5666" s="89">
        <f t="shared" si="2115"/>
        <v>-20.7</v>
      </c>
      <c r="J5666" s="258">
        <f t="shared" ref="J5666" si="2120">-((H5666*0.019)+0.3)</f>
        <v>-4.67</v>
      </c>
      <c r="K5666" s="90">
        <f t="shared" ref="K5666" si="2121">SUM(H5666:J5666)</f>
        <v>204.63000000000002</v>
      </c>
      <c r="L5666" s="131">
        <v>220</v>
      </c>
      <c r="M5666" s="187">
        <v>41.1</v>
      </c>
      <c r="N5666" s="91">
        <f t="shared" si="2091"/>
        <v>151.1</v>
      </c>
      <c r="O5666" s="411">
        <f t="shared" si="2096"/>
        <v>53.53000000000003</v>
      </c>
      <c r="P5666" s="132" t="s">
        <v>52</v>
      </c>
      <c r="Q5666" s="232"/>
      <c r="R5666" s="411"/>
      <c r="T5666" s="134" t="s">
        <v>145</v>
      </c>
      <c r="U5666" s="267" t="s">
        <v>12278</v>
      </c>
      <c r="AA5666" s="218"/>
    </row>
    <row r="5667" spans="1:27" x14ac:dyDescent="0.25">
      <c r="A5667" s="405">
        <v>3004460</v>
      </c>
      <c r="B5667" s="406">
        <v>42633</v>
      </c>
      <c r="C5667" s="405" t="s">
        <v>42</v>
      </c>
      <c r="D5667" s="401" t="s">
        <v>9920</v>
      </c>
      <c r="E5667" s="120">
        <v>210</v>
      </c>
      <c r="F5667" s="133" t="s">
        <v>70</v>
      </c>
      <c r="G5667" s="404" t="s">
        <v>7486</v>
      </c>
      <c r="H5667" s="411">
        <v>583.20000000000005</v>
      </c>
      <c r="I5667" s="89">
        <f t="shared" si="2115"/>
        <v>-52.488</v>
      </c>
      <c r="J5667" s="258">
        <f t="shared" ref="J5667" si="2122">-((H5667*0.019)+0.3)</f>
        <v>-11.380800000000001</v>
      </c>
      <c r="K5667" s="90">
        <f t="shared" ref="K5667" si="2123">SUM(H5667:J5667)</f>
        <v>519.33119999999997</v>
      </c>
      <c r="L5667" s="131">
        <v>1200</v>
      </c>
      <c r="M5667" s="187">
        <v>181.54</v>
      </c>
      <c r="N5667" s="91">
        <f t="shared" si="2091"/>
        <v>433.53999999999996</v>
      </c>
      <c r="O5667" s="411">
        <f t="shared" si="2096"/>
        <v>85.791200000000003</v>
      </c>
      <c r="P5667" s="132" t="s">
        <v>86</v>
      </c>
      <c r="Q5667" s="232"/>
      <c r="R5667" s="411"/>
      <c r="T5667" s="134" t="s">
        <v>7260</v>
      </c>
      <c r="U5667" s="267" t="s">
        <v>12279</v>
      </c>
      <c r="V5667" s="133" t="s">
        <v>55</v>
      </c>
      <c r="AA5667" s="218"/>
    </row>
    <row r="5668" spans="1:27" ht="24" x14ac:dyDescent="0.25">
      <c r="A5668" s="405">
        <v>3004461</v>
      </c>
      <c r="B5668" s="406">
        <v>42633</v>
      </c>
      <c r="C5668" s="405" t="s">
        <v>42</v>
      </c>
      <c r="D5668" s="401" t="s">
        <v>12280</v>
      </c>
      <c r="E5668" s="120">
        <v>275</v>
      </c>
      <c r="F5668" s="133" t="s">
        <v>829</v>
      </c>
      <c r="G5668" s="404" t="s">
        <v>7486</v>
      </c>
      <c r="H5668" s="411">
        <v>257.17</v>
      </c>
      <c r="I5668" s="89">
        <f t="shared" si="2115"/>
        <v>-23.145299999999999</v>
      </c>
      <c r="J5668" s="258">
        <f t="shared" ref="J5668" si="2124">-((H5668*0.019)+0.3)</f>
        <v>-5.1862300000000001</v>
      </c>
      <c r="K5668" s="90">
        <f t="shared" ref="K5668" si="2125">SUM(H5668:J5668)</f>
        <v>228.83847000000003</v>
      </c>
      <c r="L5668" s="131">
        <v>510</v>
      </c>
      <c r="M5668" s="187">
        <v>45.86</v>
      </c>
      <c r="N5668" s="91">
        <f t="shared" si="2091"/>
        <v>186.11</v>
      </c>
      <c r="O5668" s="411">
        <f t="shared" si="2096"/>
        <v>42.728470000000016</v>
      </c>
      <c r="P5668" s="132" t="s">
        <v>52</v>
      </c>
      <c r="Q5668" s="232"/>
      <c r="R5668" s="411"/>
      <c r="T5668" s="134" t="s">
        <v>145</v>
      </c>
      <c r="U5668" s="267" t="s">
        <v>12281</v>
      </c>
      <c r="AA5668" s="218"/>
    </row>
    <row r="5669" spans="1:27" ht="24" x14ac:dyDescent="0.25">
      <c r="A5669" s="405">
        <v>3004462</v>
      </c>
      <c r="B5669" s="406">
        <v>42633</v>
      </c>
      <c r="C5669" s="405" t="s">
        <v>42</v>
      </c>
      <c r="D5669" s="401" t="s">
        <v>12282</v>
      </c>
      <c r="E5669" s="120">
        <v>250</v>
      </c>
      <c r="F5669" s="133" t="s">
        <v>451</v>
      </c>
      <c r="G5669" s="404" t="s">
        <v>7486</v>
      </c>
      <c r="H5669" s="411">
        <v>168.27</v>
      </c>
      <c r="I5669" s="89">
        <f t="shared" si="2115"/>
        <v>-15.144300000000001</v>
      </c>
      <c r="J5669" s="258">
        <f t="shared" ref="J5669" si="2126">-((H5669*0.019)+0.3)</f>
        <v>-3.4971299999999998</v>
      </c>
      <c r="K5669" s="90">
        <f t="shared" ref="K5669" si="2127">SUM(H5669:J5669)</f>
        <v>149.62857</v>
      </c>
      <c r="L5669" s="131">
        <v>300</v>
      </c>
      <c r="M5669" s="187">
        <v>19.84</v>
      </c>
      <c r="N5669" s="91">
        <f t="shared" si="2091"/>
        <v>94.84</v>
      </c>
      <c r="O5669" s="411">
        <f t="shared" si="2096"/>
        <v>54.788569999999993</v>
      </c>
      <c r="P5669" s="132" t="s">
        <v>52</v>
      </c>
      <c r="Q5669" s="232"/>
      <c r="R5669" s="411"/>
      <c r="T5669" s="134" t="s">
        <v>145</v>
      </c>
      <c r="U5669" s="267" t="s">
        <v>12283</v>
      </c>
      <c r="AA5669" s="218"/>
    </row>
    <row r="5670" spans="1:27" ht="24" x14ac:dyDescent="0.25">
      <c r="A5670" s="405">
        <v>3004463</v>
      </c>
      <c r="B5670" s="406">
        <v>42633</v>
      </c>
      <c r="C5670" s="405" t="s">
        <v>237</v>
      </c>
      <c r="D5670" s="401" t="s">
        <v>12284</v>
      </c>
      <c r="E5670" s="120">
        <v>75</v>
      </c>
      <c r="F5670" s="133" t="s">
        <v>341</v>
      </c>
      <c r="G5670" s="404" t="s">
        <v>7486</v>
      </c>
      <c r="H5670" s="411">
        <v>126.71</v>
      </c>
      <c r="I5670" s="397">
        <f t="shared" ref="I5670" si="2128">-(H5670*0.15)</f>
        <v>-19.006499999999999</v>
      </c>
      <c r="J5670" s="258">
        <v>0</v>
      </c>
      <c r="K5670" s="90">
        <f>SUM(H5670:J5670)</f>
        <v>107.70349999999999</v>
      </c>
      <c r="L5670" s="131">
        <v>698</v>
      </c>
      <c r="M5670" s="187">
        <v>13.91</v>
      </c>
      <c r="N5670" s="91">
        <f t="shared" si="2091"/>
        <v>66.260000000000005</v>
      </c>
      <c r="O5670" s="411">
        <f t="shared" si="2096"/>
        <v>41.443499999999986</v>
      </c>
      <c r="P5670" s="132" t="s">
        <v>52</v>
      </c>
      <c r="Q5670" s="232"/>
      <c r="R5670" s="411"/>
      <c r="T5670" s="134" t="s">
        <v>145</v>
      </c>
      <c r="U5670" s="267" t="s">
        <v>12285</v>
      </c>
      <c r="AA5670" s="218"/>
    </row>
    <row r="5671" spans="1:27" ht="24" x14ac:dyDescent="0.25">
      <c r="A5671" s="405">
        <v>3004464</v>
      </c>
      <c r="B5671" s="406">
        <v>42633</v>
      </c>
      <c r="C5671" s="405" t="s">
        <v>237</v>
      </c>
      <c r="D5671" s="401" t="s">
        <v>12286</v>
      </c>
      <c r="E5671" s="120">
        <v>300</v>
      </c>
      <c r="F5671" s="133" t="s">
        <v>590</v>
      </c>
      <c r="G5671" s="404" t="s">
        <v>7486</v>
      </c>
      <c r="H5671" s="411">
        <v>359.27</v>
      </c>
      <c r="I5671" s="397">
        <f t="shared" ref="I5671" si="2129">-(H5671*0.15)</f>
        <v>-53.890499999999996</v>
      </c>
      <c r="J5671" s="258">
        <v>0</v>
      </c>
      <c r="K5671" s="90">
        <f>SUM(H5671:J5671)</f>
        <v>305.37950000000001</v>
      </c>
      <c r="L5671" s="131">
        <v>577</v>
      </c>
      <c r="M5671" s="187">
        <v>42.72</v>
      </c>
      <c r="N5671" s="91">
        <f t="shared" si="2091"/>
        <v>215.82</v>
      </c>
      <c r="O5671" s="411">
        <f t="shared" si="2096"/>
        <v>89.559500000000014</v>
      </c>
      <c r="P5671" s="132" t="s">
        <v>52</v>
      </c>
      <c r="Q5671" s="232"/>
      <c r="R5671" s="411"/>
      <c r="T5671" s="134" t="s">
        <v>145</v>
      </c>
      <c r="U5671" s="267" t="s">
        <v>12287</v>
      </c>
      <c r="AA5671" s="218"/>
    </row>
    <row r="5672" spans="1:27" ht="24" x14ac:dyDescent="0.25">
      <c r="A5672" s="405">
        <v>3004465</v>
      </c>
      <c r="B5672" s="406">
        <v>42633</v>
      </c>
      <c r="C5672" s="405" t="s">
        <v>237</v>
      </c>
      <c r="D5672" s="401" t="s">
        <v>12288</v>
      </c>
      <c r="E5672" s="120">
        <v>500</v>
      </c>
      <c r="F5672" s="133" t="s">
        <v>323</v>
      </c>
      <c r="G5672" s="404" t="s">
        <v>7486</v>
      </c>
      <c r="H5672" s="411">
        <v>296.01</v>
      </c>
      <c r="I5672" s="397">
        <f t="shared" ref="I5672" si="2130">-(H5672*0.15)</f>
        <v>-44.401499999999999</v>
      </c>
      <c r="J5672" s="258">
        <v>0</v>
      </c>
      <c r="K5672" s="90">
        <f>SUM(H5672:J5672)</f>
        <v>251.60849999999999</v>
      </c>
      <c r="L5672" s="131">
        <v>395</v>
      </c>
      <c r="M5672" s="187">
        <v>42.22</v>
      </c>
      <c r="N5672" s="91">
        <f t="shared" si="2091"/>
        <v>239.72</v>
      </c>
      <c r="O5672" s="411">
        <f t="shared" si="2096"/>
        <v>11.888499999999993</v>
      </c>
      <c r="P5672" s="132" t="s">
        <v>52</v>
      </c>
      <c r="Q5672" s="232"/>
      <c r="R5672" s="411"/>
      <c r="T5672" s="134" t="s">
        <v>145</v>
      </c>
      <c r="U5672" s="267" t="s">
        <v>12289</v>
      </c>
      <c r="AA5672" s="218"/>
    </row>
    <row r="5673" spans="1:27" x14ac:dyDescent="0.25">
      <c r="A5673" s="419">
        <v>3004466</v>
      </c>
      <c r="B5673" s="421">
        <v>42633</v>
      </c>
      <c r="C5673" s="419" t="s">
        <v>237</v>
      </c>
      <c r="D5673" s="417" t="s">
        <v>12290</v>
      </c>
      <c r="E5673" s="120">
        <v>25</v>
      </c>
      <c r="F5673" s="133" t="s">
        <v>2483</v>
      </c>
      <c r="G5673" s="434" t="s">
        <v>7486</v>
      </c>
      <c r="H5673" s="427">
        <v>187.8</v>
      </c>
      <c r="I5673" s="452">
        <f t="shared" ref="I5673" si="2131">-(H5673*0.15)</f>
        <v>-28.17</v>
      </c>
      <c r="J5673" s="425">
        <v>0</v>
      </c>
      <c r="K5673" s="425">
        <f>SUM(H5673:J5673)</f>
        <v>159.63</v>
      </c>
      <c r="L5673" s="187">
        <v>1450</v>
      </c>
      <c r="M5673" s="187">
        <f>44.25+34.11</f>
        <v>78.36</v>
      </c>
      <c r="N5673" s="91">
        <f t="shared" si="2091"/>
        <v>114.61</v>
      </c>
      <c r="O5673" s="411">
        <f t="shared" si="2096"/>
        <v>45.019999999999996</v>
      </c>
      <c r="P5673" s="132" t="s">
        <v>601</v>
      </c>
      <c r="Q5673" s="232"/>
      <c r="R5673" s="411"/>
      <c r="T5673" s="439" t="s">
        <v>145</v>
      </c>
      <c r="U5673" s="446" t="s">
        <v>12291</v>
      </c>
      <c r="AA5673" s="218"/>
    </row>
    <row r="5674" spans="1:27" x14ac:dyDescent="0.25">
      <c r="A5674" s="420"/>
      <c r="B5674" s="422"/>
      <c r="C5674" s="420"/>
      <c r="D5674" s="418"/>
      <c r="E5674" s="120">
        <v>25</v>
      </c>
      <c r="F5674" s="133" t="s">
        <v>3345</v>
      </c>
      <c r="G5674" s="436"/>
      <c r="H5674" s="428"/>
      <c r="I5674" s="453"/>
      <c r="J5674" s="426"/>
      <c r="K5674" s="426"/>
      <c r="L5674" s="187">
        <v>1470</v>
      </c>
      <c r="M5674" s="187"/>
      <c r="N5674" s="91">
        <f t="shared" si="2091"/>
        <v>36.75</v>
      </c>
      <c r="O5674" s="411">
        <f t="shared" si="2096"/>
        <v>-36.75</v>
      </c>
      <c r="P5674" s="132" t="s">
        <v>601</v>
      </c>
      <c r="Q5674" s="232"/>
      <c r="R5674" s="411"/>
      <c r="T5674" s="441"/>
      <c r="U5674" s="447"/>
      <c r="AA5674" s="218"/>
    </row>
    <row r="5675" spans="1:27" ht="15" customHeight="1" x14ac:dyDescent="0.25">
      <c r="A5675" s="405">
        <v>3004467</v>
      </c>
      <c r="B5675" s="406">
        <v>42633</v>
      </c>
      <c r="C5675" s="405" t="s">
        <v>237</v>
      </c>
      <c r="D5675" s="401" t="s">
        <v>12292</v>
      </c>
      <c r="E5675" s="120">
        <v>100</v>
      </c>
      <c r="F5675" s="133" t="s">
        <v>161</v>
      </c>
      <c r="G5675" s="404" t="s">
        <v>7486</v>
      </c>
      <c r="H5675" s="411">
        <v>234</v>
      </c>
      <c r="I5675" s="397">
        <f t="shared" ref="I5675" si="2132">-(H5675*0.15)</f>
        <v>-35.1</v>
      </c>
      <c r="J5675" s="258">
        <v>0</v>
      </c>
      <c r="K5675" s="90">
        <f>SUM(H5675:J5675)</f>
        <v>198.9</v>
      </c>
      <c r="L5675" s="131">
        <v>1322</v>
      </c>
      <c r="M5675" s="187">
        <v>28</v>
      </c>
      <c r="N5675" s="91">
        <f t="shared" si="2091"/>
        <v>160.20000000000002</v>
      </c>
      <c r="O5675" s="411">
        <f t="shared" si="2096"/>
        <v>38.699999999999989</v>
      </c>
      <c r="P5675" s="132" t="s">
        <v>86</v>
      </c>
      <c r="Q5675" s="232"/>
      <c r="R5675" s="411"/>
      <c r="T5675" s="134" t="s">
        <v>145</v>
      </c>
      <c r="U5675" s="266">
        <v>675157529960</v>
      </c>
      <c r="AA5675" s="218"/>
    </row>
    <row r="5676" spans="1:27" ht="24" x14ac:dyDescent="0.25">
      <c r="A5676" s="405">
        <v>3004468</v>
      </c>
      <c r="B5676" s="406">
        <v>42633</v>
      </c>
      <c r="C5676" s="405" t="s">
        <v>237</v>
      </c>
      <c r="D5676" s="401" t="s">
        <v>12293</v>
      </c>
      <c r="E5676" s="120">
        <v>150</v>
      </c>
      <c r="F5676" s="133" t="s">
        <v>247</v>
      </c>
      <c r="G5676" s="404" t="s">
        <v>7486</v>
      </c>
      <c r="H5676" s="411">
        <v>180</v>
      </c>
      <c r="I5676" s="397">
        <f t="shared" ref="I5676" si="2133">-(H5676*0.15)</f>
        <v>-27</v>
      </c>
      <c r="J5676" s="258">
        <v>0</v>
      </c>
      <c r="K5676" s="90">
        <f>SUM(H5676:J5676)</f>
        <v>153</v>
      </c>
      <c r="L5676" s="187">
        <v>672</v>
      </c>
      <c r="M5676" s="187">
        <v>24.34</v>
      </c>
      <c r="N5676" s="91">
        <f t="shared" si="2091"/>
        <v>125.14</v>
      </c>
      <c r="O5676" s="411">
        <f t="shared" si="2096"/>
        <v>27.86</v>
      </c>
      <c r="P5676" s="132" t="s">
        <v>313</v>
      </c>
      <c r="Q5676" s="232"/>
      <c r="R5676" s="411"/>
      <c r="T5676" s="134" t="s">
        <v>145</v>
      </c>
      <c r="U5676" s="267" t="s">
        <v>12294</v>
      </c>
      <c r="AA5676" s="218"/>
    </row>
    <row r="5677" spans="1:27" ht="24" x14ac:dyDescent="0.25">
      <c r="A5677" s="405">
        <v>3004469</v>
      </c>
      <c r="B5677" s="406">
        <v>42633</v>
      </c>
      <c r="C5677" s="405" t="s">
        <v>327</v>
      </c>
      <c r="D5677" s="401" t="s">
        <v>12295</v>
      </c>
      <c r="E5677" s="120">
        <v>102</v>
      </c>
      <c r="F5677" s="133" t="s">
        <v>422</v>
      </c>
      <c r="G5677" s="404" t="s">
        <v>7486</v>
      </c>
      <c r="H5677" s="411">
        <v>148</v>
      </c>
      <c r="I5677" s="411">
        <v>0</v>
      </c>
      <c r="J5677" s="258">
        <f>-((H5677*0.022)+0.3)</f>
        <v>-3.5559999999999996</v>
      </c>
      <c r="K5677" s="90">
        <f>SUM(H5677:J5677)</f>
        <v>144.44399999999999</v>
      </c>
      <c r="L5677" s="187">
        <v>905</v>
      </c>
      <c r="M5677" s="187">
        <v>20.9</v>
      </c>
      <c r="N5677" s="91">
        <f t="shared" si="2091"/>
        <v>113.21000000000001</v>
      </c>
      <c r="O5677" s="411">
        <f t="shared" si="2096"/>
        <v>31.23399999999998</v>
      </c>
      <c r="P5677" s="132" t="s">
        <v>183</v>
      </c>
      <c r="Q5677" s="232"/>
      <c r="R5677" s="411"/>
      <c r="T5677" s="134" t="s">
        <v>145</v>
      </c>
      <c r="U5677" s="267" t="s">
        <v>12296</v>
      </c>
      <c r="W5677" s="153" t="s">
        <v>12297</v>
      </c>
      <c r="AA5677" s="218"/>
    </row>
    <row r="5678" spans="1:27" ht="24" x14ac:dyDescent="0.25">
      <c r="A5678" s="405">
        <v>3004470</v>
      </c>
      <c r="B5678" s="406">
        <v>42633</v>
      </c>
      <c r="C5678" s="405" t="s">
        <v>141</v>
      </c>
      <c r="D5678" s="401" t="s">
        <v>12298</v>
      </c>
      <c r="E5678" s="120">
        <v>4009</v>
      </c>
      <c r="F5678" s="119" t="s">
        <v>12299</v>
      </c>
      <c r="G5678" s="404" t="s">
        <v>7486</v>
      </c>
      <c r="H5678" s="411">
        <v>19600</v>
      </c>
      <c r="I5678" s="411">
        <v>0</v>
      </c>
      <c r="J5678" s="258">
        <f>-((H5678*0.0325)+0.3)</f>
        <v>-637.29999999999995</v>
      </c>
      <c r="K5678" s="90">
        <f>SUM(H5678:J5678)</f>
        <v>18962.7</v>
      </c>
      <c r="L5678" s="187">
        <v>4210</v>
      </c>
      <c r="M5678" s="187">
        <v>0</v>
      </c>
      <c r="N5678" s="91">
        <f t="shared" si="2091"/>
        <v>16877.890000000003</v>
      </c>
      <c r="O5678" s="411">
        <f t="shared" si="2096"/>
        <v>2084.8099999999977</v>
      </c>
      <c r="P5678" s="132" t="s">
        <v>4568</v>
      </c>
      <c r="Q5678" s="232"/>
      <c r="R5678" s="411"/>
      <c r="T5678" s="134" t="s">
        <v>12300</v>
      </c>
      <c r="U5678" s="267" t="s">
        <v>12301</v>
      </c>
      <c r="W5678" s="153" t="s">
        <v>12302</v>
      </c>
      <c r="AA5678" s="218">
        <v>100</v>
      </c>
    </row>
    <row r="5679" spans="1:27" ht="24" x14ac:dyDescent="0.25">
      <c r="A5679" s="419">
        <v>3004471</v>
      </c>
      <c r="B5679" s="421">
        <v>42633</v>
      </c>
      <c r="C5679" s="419" t="s">
        <v>280</v>
      </c>
      <c r="D5679" s="417" t="s">
        <v>12303</v>
      </c>
      <c r="E5679" s="120">
        <v>800</v>
      </c>
      <c r="F5679" s="133" t="s">
        <v>85</v>
      </c>
      <c r="G5679" s="434" t="s">
        <v>7486</v>
      </c>
      <c r="H5679" s="427">
        <v>2243.8000000000002</v>
      </c>
      <c r="I5679" s="427">
        <v>0</v>
      </c>
      <c r="J5679" s="425">
        <f>-((H5679*0.022)+0.3)</f>
        <v>-49.663599999999995</v>
      </c>
      <c r="K5679" s="425">
        <f>SUM(H5679:J5679)</f>
        <v>2194.1364000000003</v>
      </c>
      <c r="L5679" s="187">
        <v>1490</v>
      </c>
      <c r="M5679" s="131">
        <v>0</v>
      </c>
      <c r="N5679" s="91">
        <f t="shared" si="2091"/>
        <v>1192</v>
      </c>
      <c r="O5679" s="411">
        <f t="shared" si="2096"/>
        <v>1002.1364000000003</v>
      </c>
      <c r="P5679" s="132" t="s">
        <v>183</v>
      </c>
      <c r="Q5679" s="232"/>
      <c r="R5679" s="411"/>
      <c r="T5679" s="134" t="s">
        <v>756</v>
      </c>
      <c r="U5679" s="266" t="s">
        <v>756</v>
      </c>
      <c r="W5679" s="153" t="s">
        <v>12304</v>
      </c>
      <c r="AA5679" s="473">
        <v>10</v>
      </c>
    </row>
    <row r="5680" spans="1:27" x14ac:dyDescent="0.25">
      <c r="A5680" s="432"/>
      <c r="B5680" s="433"/>
      <c r="C5680" s="432"/>
      <c r="D5680" s="454"/>
      <c r="E5680" s="120">
        <v>430</v>
      </c>
      <c r="F5680" s="133" t="s">
        <v>7398</v>
      </c>
      <c r="G5680" s="435"/>
      <c r="H5680" s="438"/>
      <c r="I5680" s="438"/>
      <c r="J5680" s="437"/>
      <c r="K5680" s="437"/>
      <c r="L5680" s="187">
        <v>930.23</v>
      </c>
      <c r="M5680" s="131">
        <v>0</v>
      </c>
      <c r="N5680" s="91">
        <f t="shared" si="2091"/>
        <v>399.99889999999999</v>
      </c>
      <c r="O5680" s="411">
        <f t="shared" si="2096"/>
        <v>-399.99889999999999</v>
      </c>
      <c r="P5680" s="132" t="s">
        <v>59</v>
      </c>
      <c r="Q5680" s="232"/>
      <c r="R5680" s="411"/>
      <c r="T5680" s="134" t="s">
        <v>364</v>
      </c>
      <c r="U5680" s="267" t="s">
        <v>12305</v>
      </c>
      <c r="V5680" s="133" t="s">
        <v>12306</v>
      </c>
      <c r="AA5680" s="478"/>
    </row>
    <row r="5681" spans="1:27" ht="24" x14ac:dyDescent="0.25">
      <c r="A5681" s="420"/>
      <c r="B5681" s="422"/>
      <c r="C5681" s="420"/>
      <c r="D5681" s="418"/>
      <c r="E5681" s="120">
        <v>300</v>
      </c>
      <c r="F5681" s="133" t="s">
        <v>2491</v>
      </c>
      <c r="G5681" s="436"/>
      <c r="H5681" s="428"/>
      <c r="I5681" s="428"/>
      <c r="J5681" s="426"/>
      <c r="K5681" s="426"/>
      <c r="L5681" s="187">
        <v>610</v>
      </c>
      <c r="M5681" s="131">
        <v>0</v>
      </c>
      <c r="N5681" s="91">
        <f t="shared" si="2091"/>
        <v>183</v>
      </c>
      <c r="O5681" s="411">
        <f t="shared" si="2096"/>
        <v>-183</v>
      </c>
      <c r="P5681" s="132" t="s">
        <v>183</v>
      </c>
      <c r="Q5681" s="232"/>
      <c r="R5681" s="411"/>
      <c r="T5681" s="134" t="s">
        <v>756</v>
      </c>
      <c r="U5681" s="266" t="s">
        <v>756</v>
      </c>
      <c r="AA5681" s="474"/>
    </row>
    <row r="5682" spans="1:27" ht="24" x14ac:dyDescent="0.25">
      <c r="A5682" s="405">
        <v>3004472</v>
      </c>
      <c r="B5682" s="406">
        <v>42633</v>
      </c>
      <c r="C5682" s="405" t="s">
        <v>42</v>
      </c>
      <c r="D5682" s="401" t="s">
        <v>12307</v>
      </c>
      <c r="E5682" s="120">
        <v>250</v>
      </c>
      <c r="F5682" s="133" t="s">
        <v>12308</v>
      </c>
      <c r="G5682" s="404" t="s">
        <v>7486</v>
      </c>
      <c r="H5682" s="411">
        <v>567.33000000000004</v>
      </c>
      <c r="I5682" s="89">
        <f>-(H5682*0.09)</f>
        <v>-51.059699999999999</v>
      </c>
      <c r="J5682" s="258">
        <f t="shared" ref="J5682" si="2134">-((H5682*0.019)+0.3)</f>
        <v>-11.079270000000001</v>
      </c>
      <c r="K5682" s="90">
        <f t="shared" ref="K5682" si="2135">SUM(H5682:J5682)</f>
        <v>505.19103000000001</v>
      </c>
      <c r="L5682" s="187">
        <v>1120</v>
      </c>
      <c r="M5682" s="187">
        <v>46.79</v>
      </c>
      <c r="N5682" s="91">
        <f t="shared" si="2091"/>
        <v>326.79000000000002</v>
      </c>
      <c r="O5682" s="411">
        <f t="shared" si="2096"/>
        <v>178.40102999999999</v>
      </c>
      <c r="P5682" s="132" t="s">
        <v>235</v>
      </c>
      <c r="Q5682" s="232"/>
      <c r="R5682" s="411"/>
      <c r="T5682" s="134" t="s">
        <v>145</v>
      </c>
      <c r="U5682" s="267" t="s">
        <v>12309</v>
      </c>
      <c r="AA5682" s="218"/>
    </row>
    <row r="5683" spans="1:27" ht="24" x14ac:dyDescent="0.25">
      <c r="A5683" s="405">
        <v>3004473</v>
      </c>
      <c r="B5683" s="406">
        <v>42633</v>
      </c>
      <c r="C5683" s="405" t="s">
        <v>237</v>
      </c>
      <c r="D5683" s="401" t="s">
        <v>12310</v>
      </c>
      <c r="E5683" s="120">
        <v>100</v>
      </c>
      <c r="F5683" s="133" t="s">
        <v>590</v>
      </c>
      <c r="G5683" s="404" t="s">
        <v>7486</v>
      </c>
      <c r="H5683" s="411">
        <v>136.78</v>
      </c>
      <c r="I5683" s="397">
        <f t="shared" ref="I5683" si="2136">-(H5683*0.15)</f>
        <v>-20.516999999999999</v>
      </c>
      <c r="J5683" s="258">
        <v>0</v>
      </c>
      <c r="K5683" s="90">
        <f>SUM(H5683:J5683)</f>
        <v>116.26300000000001</v>
      </c>
      <c r="L5683" s="131">
        <v>577</v>
      </c>
      <c r="M5683" s="187">
        <v>23.64</v>
      </c>
      <c r="N5683" s="91">
        <f t="shared" si="2091"/>
        <v>81.34</v>
      </c>
      <c r="O5683" s="411">
        <f t="shared" si="2096"/>
        <v>34.923000000000002</v>
      </c>
      <c r="P5683" s="132" t="s">
        <v>52</v>
      </c>
      <c r="Q5683" s="232"/>
      <c r="R5683" s="411"/>
      <c r="T5683" s="134" t="s">
        <v>145</v>
      </c>
      <c r="U5683" s="267" t="s">
        <v>12311</v>
      </c>
      <c r="AA5683" s="218"/>
    </row>
    <row r="5684" spans="1:27" ht="24" x14ac:dyDescent="0.25">
      <c r="A5684" s="405">
        <v>3004474</v>
      </c>
      <c r="B5684" s="406">
        <v>42633</v>
      </c>
      <c r="C5684" s="405" t="s">
        <v>42</v>
      </c>
      <c r="D5684" s="401" t="s">
        <v>12312</v>
      </c>
      <c r="E5684" s="120">
        <v>106</v>
      </c>
      <c r="F5684" s="133" t="s">
        <v>614</v>
      </c>
      <c r="G5684" s="404" t="s">
        <v>7486</v>
      </c>
      <c r="H5684" s="411">
        <v>167.37</v>
      </c>
      <c r="I5684" s="89">
        <f t="shared" ref="I5684:I5692" si="2137">-(H5684*0.09)</f>
        <v>-15.0633</v>
      </c>
      <c r="J5684" s="258">
        <f t="shared" ref="J5684" si="2138">-((H5684*0.019)+0.3)</f>
        <v>-3.4800299999999997</v>
      </c>
      <c r="K5684" s="90">
        <f t="shared" ref="K5684" si="2139">SUM(H5684:J5684)</f>
        <v>148.82667000000001</v>
      </c>
      <c r="L5684" s="187">
        <v>919</v>
      </c>
      <c r="M5684" s="187">
        <v>19.25</v>
      </c>
      <c r="N5684" s="91">
        <f t="shared" si="2091"/>
        <v>116.664</v>
      </c>
      <c r="O5684" s="411">
        <f t="shared" si="2096"/>
        <v>32.162670000000006</v>
      </c>
      <c r="P5684" s="132" t="s">
        <v>183</v>
      </c>
      <c r="Q5684" s="232"/>
      <c r="R5684" s="411"/>
      <c r="T5684" s="134" t="s">
        <v>145</v>
      </c>
      <c r="U5684" s="267" t="s">
        <v>12313</v>
      </c>
      <c r="AA5684" s="218"/>
    </row>
    <row r="5685" spans="1:27" ht="24" x14ac:dyDescent="0.25">
      <c r="A5685" s="405">
        <v>3004475</v>
      </c>
      <c r="B5685" s="406">
        <v>42633</v>
      </c>
      <c r="C5685" s="405" t="s">
        <v>42</v>
      </c>
      <c r="D5685" s="401" t="s">
        <v>12314</v>
      </c>
      <c r="E5685" s="120">
        <v>250</v>
      </c>
      <c r="F5685" s="133" t="s">
        <v>438</v>
      </c>
      <c r="G5685" s="404" t="s">
        <v>7486</v>
      </c>
      <c r="H5685" s="411">
        <v>201</v>
      </c>
      <c r="I5685" s="89">
        <f t="shared" si="2137"/>
        <v>-18.09</v>
      </c>
      <c r="J5685" s="258">
        <f t="shared" ref="J5685" si="2140">-((H5685*0.019)+0.3)</f>
        <v>-4.1189999999999998</v>
      </c>
      <c r="K5685" s="90">
        <f t="shared" ref="K5685" si="2141">SUM(H5685:J5685)</f>
        <v>178.791</v>
      </c>
      <c r="L5685" s="187">
        <v>190</v>
      </c>
      <c r="M5685" s="187">
        <v>22.11</v>
      </c>
      <c r="N5685" s="91">
        <f t="shared" si="2091"/>
        <v>69.61</v>
      </c>
      <c r="O5685" s="411">
        <f t="shared" si="2096"/>
        <v>109.181</v>
      </c>
      <c r="P5685" s="132" t="s">
        <v>3597</v>
      </c>
      <c r="Q5685" s="232"/>
      <c r="R5685" s="411">
        <v>14.89</v>
      </c>
      <c r="S5685" s="133" t="s">
        <v>4494</v>
      </c>
      <c r="T5685" s="134" t="s">
        <v>145</v>
      </c>
      <c r="U5685" s="267" t="s">
        <v>12315</v>
      </c>
      <c r="AA5685" s="218"/>
    </row>
    <row r="5686" spans="1:27" ht="24" x14ac:dyDescent="0.25">
      <c r="A5686" s="405">
        <v>3004476</v>
      </c>
      <c r="B5686" s="406">
        <v>42633</v>
      </c>
      <c r="C5686" s="405" t="s">
        <v>42</v>
      </c>
      <c r="D5686" s="401" t="s">
        <v>12316</v>
      </c>
      <c r="E5686" s="120">
        <v>200</v>
      </c>
      <c r="F5686" s="133" t="s">
        <v>877</v>
      </c>
      <c r="G5686" s="404" t="s">
        <v>7486</v>
      </c>
      <c r="H5686" s="411">
        <v>147.12</v>
      </c>
      <c r="I5686" s="89">
        <f t="shared" si="2137"/>
        <v>-13.2408</v>
      </c>
      <c r="J5686" s="258">
        <f t="shared" ref="J5686" si="2142">-((H5686*0.019)+0.3)</f>
        <v>-3.0952799999999998</v>
      </c>
      <c r="K5686" s="90">
        <f t="shared" ref="K5686" si="2143">SUM(H5686:J5686)</f>
        <v>130.78391999999999</v>
      </c>
      <c r="L5686" s="131">
        <v>235</v>
      </c>
      <c r="M5686" s="187">
        <v>16.54</v>
      </c>
      <c r="N5686" s="91">
        <f>((L5686)*(E5686*0.001))+M5686</f>
        <v>63.54</v>
      </c>
      <c r="O5686" s="411">
        <f t="shared" si="2096"/>
        <v>67.243920000000003</v>
      </c>
      <c r="P5686" s="132" t="s">
        <v>52</v>
      </c>
      <c r="Q5686" s="232"/>
      <c r="R5686" s="411"/>
      <c r="T5686" s="134" t="s">
        <v>145</v>
      </c>
      <c r="U5686" s="267" t="s">
        <v>12317</v>
      </c>
      <c r="AA5686" s="218"/>
    </row>
    <row r="5687" spans="1:27" x14ac:dyDescent="0.25">
      <c r="A5687" s="405">
        <v>3004477</v>
      </c>
      <c r="B5687" s="406">
        <v>42634</v>
      </c>
      <c r="C5687" s="405" t="s">
        <v>42</v>
      </c>
      <c r="D5687" s="401" t="s">
        <v>12318</v>
      </c>
      <c r="E5687" s="120">
        <v>100</v>
      </c>
      <c r="F5687" s="133" t="s">
        <v>593</v>
      </c>
      <c r="G5687" s="404" t="s">
        <v>7486</v>
      </c>
      <c r="H5687" s="411">
        <v>138.9</v>
      </c>
      <c r="I5687" s="89">
        <f t="shared" si="2137"/>
        <v>-12.500999999999999</v>
      </c>
      <c r="J5687" s="258">
        <f t="shared" ref="J5687" si="2144">-((H5687*0.019)+0.3)</f>
        <v>-2.9390999999999998</v>
      </c>
      <c r="K5687" s="90">
        <f t="shared" ref="K5687" si="2145">SUM(H5687:J5687)</f>
        <v>123.4599</v>
      </c>
      <c r="L5687" s="131">
        <v>648</v>
      </c>
      <c r="M5687" s="187">
        <v>10.25</v>
      </c>
      <c r="N5687" s="91">
        <f>((L5687)*(E5687*0.001))+M5687</f>
        <v>75.05</v>
      </c>
      <c r="O5687" s="411">
        <f t="shared" si="2096"/>
        <v>48.409900000000007</v>
      </c>
      <c r="P5687" s="132" t="s">
        <v>86</v>
      </c>
      <c r="Q5687" s="232"/>
      <c r="R5687" s="411"/>
      <c r="T5687" s="134" t="s">
        <v>6482</v>
      </c>
      <c r="U5687" s="266">
        <v>675157529992</v>
      </c>
      <c r="AA5687" s="218"/>
    </row>
    <row r="5688" spans="1:27" ht="24" x14ac:dyDescent="0.25">
      <c r="A5688" s="405">
        <v>3004478</v>
      </c>
      <c r="B5688" s="406">
        <v>42634</v>
      </c>
      <c r="C5688" s="405" t="s">
        <v>42</v>
      </c>
      <c r="D5688" s="401" t="s">
        <v>941</v>
      </c>
      <c r="E5688" s="120">
        <v>100</v>
      </c>
      <c r="F5688" s="133" t="s">
        <v>829</v>
      </c>
      <c r="G5688" s="404" t="s">
        <v>7486</v>
      </c>
      <c r="H5688" s="411">
        <v>112.63</v>
      </c>
      <c r="I5688" s="89">
        <f t="shared" si="2137"/>
        <v>-10.136699999999999</v>
      </c>
      <c r="J5688" s="258">
        <f t="shared" ref="J5688" si="2146">-((H5688*0.019)+0.3)</f>
        <v>-2.4399699999999998</v>
      </c>
      <c r="K5688" s="90">
        <f t="shared" ref="K5688" si="2147">SUM(H5688:J5688)</f>
        <v>100.05332999999999</v>
      </c>
      <c r="L5688" s="131">
        <v>510</v>
      </c>
      <c r="M5688" s="187">
        <v>14.58</v>
      </c>
      <c r="N5688" s="91">
        <f t="shared" ref="N5688:N5738" si="2148">((L5688)*(E5688*0.001))+M5688</f>
        <v>65.58</v>
      </c>
      <c r="O5688" s="411">
        <f t="shared" si="2096"/>
        <v>34.47332999999999</v>
      </c>
      <c r="P5688" s="132" t="s">
        <v>52</v>
      </c>
      <c r="Q5688" s="232"/>
      <c r="R5688" s="411"/>
      <c r="T5688" s="134" t="s">
        <v>145</v>
      </c>
      <c r="U5688" s="267" t="s">
        <v>12319</v>
      </c>
      <c r="AA5688" s="218"/>
    </row>
    <row r="5689" spans="1:27" ht="24" x14ac:dyDescent="0.25">
      <c r="A5689" s="405">
        <v>3004479</v>
      </c>
      <c r="B5689" s="406">
        <v>42634</v>
      </c>
      <c r="C5689" s="405" t="s">
        <v>42</v>
      </c>
      <c r="D5689" s="401" t="s">
        <v>12320</v>
      </c>
      <c r="E5689" s="120">
        <v>500</v>
      </c>
      <c r="F5689" s="119" t="s">
        <v>12321</v>
      </c>
      <c r="G5689" s="404" t="s">
        <v>7486</v>
      </c>
      <c r="H5689" s="411">
        <v>1000</v>
      </c>
      <c r="I5689" s="89">
        <f t="shared" si="2137"/>
        <v>-90</v>
      </c>
      <c r="J5689" s="258">
        <f t="shared" ref="J5689" si="2149">-((H5689*0.019)+0.3)</f>
        <v>-19.3</v>
      </c>
      <c r="K5689" s="90">
        <f t="shared" ref="K5689" si="2150">SUM(H5689:J5689)</f>
        <v>890.7</v>
      </c>
      <c r="L5689" s="187">
        <v>1200</v>
      </c>
      <c r="M5689" s="187">
        <v>140.15</v>
      </c>
      <c r="N5689" s="91">
        <f t="shared" si="2148"/>
        <v>740.15</v>
      </c>
      <c r="O5689" s="411">
        <f t="shared" si="2096"/>
        <v>150.55000000000007</v>
      </c>
      <c r="P5689" s="132" t="s">
        <v>183</v>
      </c>
      <c r="Q5689" s="232"/>
      <c r="R5689" s="411"/>
      <c r="T5689" s="134" t="s">
        <v>67</v>
      </c>
      <c r="U5689" s="267" t="s">
        <v>12322</v>
      </c>
      <c r="AA5689" s="218"/>
    </row>
    <row r="5690" spans="1:27" ht="24" x14ac:dyDescent="0.25">
      <c r="A5690" s="405">
        <v>3004480</v>
      </c>
      <c r="B5690" s="406">
        <v>42634</v>
      </c>
      <c r="C5690" s="405" t="s">
        <v>42</v>
      </c>
      <c r="D5690" s="401" t="s">
        <v>12323</v>
      </c>
      <c r="E5690" s="120">
        <v>100</v>
      </c>
      <c r="F5690" s="133" t="s">
        <v>1707</v>
      </c>
      <c r="G5690" s="404" t="s">
        <v>7486</v>
      </c>
      <c r="H5690" s="411">
        <v>119.44</v>
      </c>
      <c r="I5690" s="89">
        <f t="shared" si="2137"/>
        <v>-10.749599999999999</v>
      </c>
      <c r="J5690" s="258">
        <f t="shared" ref="J5690" si="2151">-((H5690*0.019)+0.3)</f>
        <v>-2.5693599999999996</v>
      </c>
      <c r="K5690" s="90">
        <f t="shared" ref="K5690" si="2152">SUM(H5690:J5690)</f>
        <v>106.12103999999999</v>
      </c>
      <c r="L5690" s="131">
        <v>400</v>
      </c>
      <c r="M5690" s="187">
        <v>28.61</v>
      </c>
      <c r="N5690" s="91">
        <f t="shared" si="2148"/>
        <v>68.61</v>
      </c>
      <c r="O5690" s="411">
        <f t="shared" si="2096"/>
        <v>37.511039999999994</v>
      </c>
      <c r="P5690" s="132" t="s">
        <v>52</v>
      </c>
      <c r="Q5690" s="232"/>
      <c r="R5690" s="411"/>
      <c r="T5690" s="134" t="s">
        <v>145</v>
      </c>
      <c r="U5690" s="267" t="s">
        <v>12324</v>
      </c>
      <c r="AA5690" s="218"/>
    </row>
    <row r="5691" spans="1:27" ht="24" x14ac:dyDescent="0.25">
      <c r="A5691" s="405">
        <v>3004481</v>
      </c>
      <c r="B5691" s="406">
        <v>42634</v>
      </c>
      <c r="C5691" s="405" t="s">
        <v>42</v>
      </c>
      <c r="D5691" s="401" t="s">
        <v>7456</v>
      </c>
      <c r="E5691" s="120">
        <v>250</v>
      </c>
      <c r="F5691" s="133" t="s">
        <v>323</v>
      </c>
      <c r="G5691" s="404" t="s">
        <v>7486</v>
      </c>
      <c r="H5691" s="411">
        <v>197.99</v>
      </c>
      <c r="I5691" s="89">
        <f t="shared" si="2137"/>
        <v>-17.819099999999999</v>
      </c>
      <c r="J5691" s="258">
        <f t="shared" ref="J5691" si="2153">-((H5691*0.019)+0.3)</f>
        <v>-4.0618100000000004</v>
      </c>
      <c r="K5691" s="90">
        <f t="shared" ref="K5691" si="2154">SUM(H5691:J5691)</f>
        <v>176.10909000000001</v>
      </c>
      <c r="L5691" s="131">
        <v>395</v>
      </c>
      <c r="M5691" s="187">
        <v>17.95</v>
      </c>
      <c r="N5691" s="91">
        <f t="shared" si="2148"/>
        <v>116.7</v>
      </c>
      <c r="O5691" s="411">
        <f t="shared" si="2096"/>
        <v>59.409090000000006</v>
      </c>
      <c r="P5691" s="132" t="s">
        <v>52</v>
      </c>
      <c r="Q5691" s="232"/>
      <c r="R5691" s="411"/>
      <c r="T5691" s="134" t="s">
        <v>145</v>
      </c>
      <c r="U5691" s="267" t="s">
        <v>12325</v>
      </c>
      <c r="AA5691" s="218"/>
    </row>
    <row r="5692" spans="1:27" ht="24" x14ac:dyDescent="0.25">
      <c r="A5692" s="405">
        <v>3004482</v>
      </c>
      <c r="B5692" s="406">
        <v>42634</v>
      </c>
      <c r="C5692" s="405" t="s">
        <v>42</v>
      </c>
      <c r="D5692" s="401" t="s">
        <v>12326</v>
      </c>
      <c r="E5692" s="120">
        <v>175</v>
      </c>
      <c r="F5692" s="133" t="s">
        <v>829</v>
      </c>
      <c r="G5692" s="404" t="s">
        <v>7486</v>
      </c>
      <c r="H5692" s="411">
        <v>182.27</v>
      </c>
      <c r="I5692" s="89">
        <f t="shared" si="2137"/>
        <v>-16.404299999999999</v>
      </c>
      <c r="J5692" s="258">
        <f t="shared" ref="J5692" si="2155">-((H5692*0.019)+0.3)</f>
        <v>-3.7631299999999999</v>
      </c>
      <c r="K5692" s="90">
        <f t="shared" ref="K5692:K5693" si="2156">SUM(H5692:J5692)</f>
        <v>162.10257000000001</v>
      </c>
      <c r="L5692" s="131">
        <v>510</v>
      </c>
      <c r="M5692" s="187">
        <v>33.51</v>
      </c>
      <c r="N5692" s="91">
        <f t="shared" si="2148"/>
        <v>122.76000000000002</v>
      </c>
      <c r="O5692" s="411">
        <f t="shared" si="2096"/>
        <v>39.342569999999995</v>
      </c>
      <c r="P5692" s="132" t="s">
        <v>52</v>
      </c>
      <c r="Q5692" s="232"/>
      <c r="R5692" s="411"/>
      <c r="T5692" s="134" t="s">
        <v>145</v>
      </c>
      <c r="U5692" s="267" t="s">
        <v>12327</v>
      </c>
      <c r="AA5692" s="218"/>
    </row>
    <row r="5693" spans="1:27" x14ac:dyDescent="0.25">
      <c r="A5693" s="419">
        <v>3004483</v>
      </c>
      <c r="B5693" s="421">
        <v>42634</v>
      </c>
      <c r="C5693" s="419" t="s">
        <v>56</v>
      </c>
      <c r="D5693" s="417" t="s">
        <v>12328</v>
      </c>
      <c r="E5693" s="120">
        <v>1000</v>
      </c>
      <c r="F5693" s="133" t="s">
        <v>12329</v>
      </c>
      <c r="G5693" s="434" t="s">
        <v>7486</v>
      </c>
      <c r="H5693" s="427">
        <v>9028</v>
      </c>
      <c r="I5693" s="427">
        <v>0</v>
      </c>
      <c r="J5693" s="427">
        <v>0</v>
      </c>
      <c r="K5693" s="425">
        <f t="shared" si="2156"/>
        <v>9028</v>
      </c>
      <c r="L5693" s="187">
        <v>2630</v>
      </c>
      <c r="M5693" s="131">
        <v>0</v>
      </c>
      <c r="N5693" s="91">
        <f t="shared" si="2148"/>
        <v>2630</v>
      </c>
      <c r="O5693" s="411">
        <f t="shared" si="2096"/>
        <v>6398</v>
      </c>
      <c r="P5693" s="132" t="s">
        <v>12330</v>
      </c>
      <c r="Q5693" s="232"/>
      <c r="R5693" s="411"/>
      <c r="T5693" s="439" t="s">
        <v>12331</v>
      </c>
      <c r="U5693" s="444">
        <v>553479471</v>
      </c>
      <c r="V5693" s="133" t="s">
        <v>11223</v>
      </c>
      <c r="W5693" s="153" t="s">
        <v>298</v>
      </c>
      <c r="AA5693" s="218"/>
    </row>
    <row r="5694" spans="1:27" x14ac:dyDescent="0.25">
      <c r="A5694" s="420"/>
      <c r="B5694" s="422"/>
      <c r="C5694" s="420"/>
      <c r="D5694" s="418"/>
      <c r="E5694" s="120">
        <v>1000</v>
      </c>
      <c r="F5694" s="133" t="s">
        <v>12332</v>
      </c>
      <c r="G5694" s="436"/>
      <c r="H5694" s="428"/>
      <c r="I5694" s="428"/>
      <c r="J5694" s="428"/>
      <c r="K5694" s="426"/>
      <c r="L5694" s="187">
        <v>4891</v>
      </c>
      <c r="M5694" s="131">
        <v>0</v>
      </c>
      <c r="N5694" s="91">
        <f t="shared" si="2148"/>
        <v>4891</v>
      </c>
      <c r="O5694" s="411">
        <f t="shared" si="2096"/>
        <v>-4891</v>
      </c>
      <c r="P5694" s="132" t="s">
        <v>12330</v>
      </c>
      <c r="Q5694" s="232"/>
      <c r="R5694" s="411"/>
      <c r="T5694" s="441"/>
      <c r="U5694" s="445"/>
      <c r="AA5694" s="218"/>
    </row>
    <row r="5695" spans="1:27" x14ac:dyDescent="0.25">
      <c r="A5695" s="405">
        <v>3004484</v>
      </c>
      <c r="B5695" s="406">
        <v>42634</v>
      </c>
      <c r="C5695" s="405" t="s">
        <v>63</v>
      </c>
      <c r="D5695" s="401" t="s">
        <v>12333</v>
      </c>
      <c r="E5695" s="120">
        <v>1000</v>
      </c>
      <c r="F5695" s="133" t="s">
        <v>161</v>
      </c>
      <c r="G5695" s="404" t="s">
        <v>7486</v>
      </c>
      <c r="H5695" s="411">
        <v>2010</v>
      </c>
      <c r="I5695" s="411">
        <v>0</v>
      </c>
      <c r="J5695" s="258">
        <f>-((H5695*0.022)+0.3)</f>
        <v>-44.519999999999996</v>
      </c>
      <c r="K5695" s="90">
        <f t="shared" ref="K5695:K5700" si="2157">SUM(H5695:J5695)</f>
        <v>1965.48</v>
      </c>
      <c r="L5695" s="131">
        <v>1322</v>
      </c>
      <c r="M5695" s="187">
        <v>108.38</v>
      </c>
      <c r="N5695" s="91">
        <f t="shared" si="2148"/>
        <v>1430.38</v>
      </c>
      <c r="O5695" s="411">
        <f t="shared" si="2096"/>
        <v>535.09999999999991</v>
      </c>
      <c r="P5695" s="132" t="s">
        <v>52</v>
      </c>
      <c r="Q5695" s="232"/>
      <c r="R5695" s="411"/>
      <c r="T5695" s="134" t="s">
        <v>503</v>
      </c>
      <c r="U5695" s="267" t="s">
        <v>12334</v>
      </c>
      <c r="V5695" s="133" t="s">
        <v>55</v>
      </c>
      <c r="W5695" s="153" t="s">
        <v>12335</v>
      </c>
      <c r="AA5695" s="218">
        <v>10</v>
      </c>
    </row>
    <row r="5696" spans="1:27" ht="24" x14ac:dyDescent="0.25">
      <c r="A5696" s="405">
        <v>3004485</v>
      </c>
      <c r="B5696" s="406">
        <v>42634</v>
      </c>
      <c r="C5696" s="405" t="s">
        <v>237</v>
      </c>
      <c r="D5696" s="401" t="s">
        <v>12336</v>
      </c>
      <c r="E5696" s="120">
        <v>100</v>
      </c>
      <c r="F5696" s="133" t="s">
        <v>288</v>
      </c>
      <c r="G5696" s="404" t="s">
        <v>7486</v>
      </c>
      <c r="H5696" s="411">
        <v>193.04</v>
      </c>
      <c r="I5696" s="397">
        <f t="shared" ref="I5696" si="2158">-(H5696*0.15)</f>
        <v>-28.955999999999996</v>
      </c>
      <c r="J5696" s="258">
        <v>0</v>
      </c>
      <c r="K5696" s="90">
        <f t="shared" si="2157"/>
        <v>164.084</v>
      </c>
      <c r="L5696" s="131">
        <v>950</v>
      </c>
      <c r="M5696" s="187">
        <v>24.18</v>
      </c>
      <c r="N5696" s="91">
        <f t="shared" si="2148"/>
        <v>119.18</v>
      </c>
      <c r="O5696" s="411">
        <f t="shared" si="2096"/>
        <v>44.903999999999996</v>
      </c>
      <c r="P5696" s="132" t="s">
        <v>52</v>
      </c>
      <c r="Q5696" s="232"/>
      <c r="R5696" s="411"/>
      <c r="T5696" s="134" t="s">
        <v>145</v>
      </c>
      <c r="U5696" s="267" t="s">
        <v>12337</v>
      </c>
      <c r="AA5696" s="218"/>
    </row>
    <row r="5697" spans="1:27" ht="24" x14ac:dyDescent="0.25">
      <c r="A5697" s="405">
        <v>3004486</v>
      </c>
      <c r="B5697" s="406">
        <v>42634</v>
      </c>
      <c r="C5697" s="405" t="s">
        <v>237</v>
      </c>
      <c r="D5697" s="401" t="s">
        <v>12338</v>
      </c>
      <c r="E5697" s="120">
        <v>500</v>
      </c>
      <c r="F5697" s="133" t="s">
        <v>451</v>
      </c>
      <c r="G5697" s="404" t="s">
        <v>7486</v>
      </c>
      <c r="H5697" s="411">
        <v>299.97000000000003</v>
      </c>
      <c r="I5697" s="397">
        <f t="shared" ref="I5697" si="2159">-(H5697*0.15)</f>
        <v>-44.9955</v>
      </c>
      <c r="J5697" s="258">
        <v>0</v>
      </c>
      <c r="K5697" s="90">
        <f t="shared" si="2157"/>
        <v>254.97450000000003</v>
      </c>
      <c r="L5697" s="131">
        <v>300</v>
      </c>
      <c r="M5697" s="187">
        <v>41</v>
      </c>
      <c r="N5697" s="91">
        <f t="shared" si="2148"/>
        <v>191</v>
      </c>
      <c r="O5697" s="411">
        <f t="shared" si="2096"/>
        <v>63.974500000000035</v>
      </c>
      <c r="P5697" s="132" t="s">
        <v>52</v>
      </c>
      <c r="Q5697" s="232"/>
      <c r="R5697" s="411"/>
      <c r="T5697" s="134" t="s">
        <v>145</v>
      </c>
      <c r="U5697" s="267" t="s">
        <v>12339</v>
      </c>
      <c r="AA5697" s="218"/>
    </row>
    <row r="5698" spans="1:27" ht="24" x14ac:dyDescent="0.25">
      <c r="A5698" s="405">
        <v>3004487</v>
      </c>
      <c r="B5698" s="406">
        <v>42634</v>
      </c>
      <c r="C5698" s="405" t="s">
        <v>237</v>
      </c>
      <c r="D5698" s="401" t="s">
        <v>12340</v>
      </c>
      <c r="E5698" s="120">
        <v>150</v>
      </c>
      <c r="F5698" s="133" t="s">
        <v>438</v>
      </c>
      <c r="G5698" s="404" t="s">
        <v>7486</v>
      </c>
      <c r="H5698" s="411">
        <v>146.09</v>
      </c>
      <c r="I5698" s="397">
        <f t="shared" ref="I5698" si="2160">-(H5698*0.15)</f>
        <v>-21.913499999999999</v>
      </c>
      <c r="J5698" s="258">
        <v>0</v>
      </c>
      <c r="K5698" s="90">
        <f t="shared" si="2157"/>
        <v>124.1765</v>
      </c>
      <c r="L5698" s="187">
        <v>190</v>
      </c>
      <c r="M5698" s="187">
        <v>25.99</v>
      </c>
      <c r="N5698" s="91">
        <f t="shared" si="2148"/>
        <v>54.489999999999995</v>
      </c>
      <c r="O5698" s="411">
        <f t="shared" si="2096"/>
        <v>69.686500000000009</v>
      </c>
      <c r="P5698" s="132" t="s">
        <v>3597</v>
      </c>
      <c r="Q5698" s="232"/>
      <c r="R5698" s="411"/>
      <c r="T5698" s="134" t="s">
        <v>145</v>
      </c>
      <c r="U5698" s="267" t="s">
        <v>12341</v>
      </c>
      <c r="AA5698" s="218"/>
    </row>
    <row r="5699" spans="1:27" ht="24" x14ac:dyDescent="0.25">
      <c r="A5699" s="405">
        <v>3004488</v>
      </c>
      <c r="B5699" s="406">
        <v>42634</v>
      </c>
      <c r="C5699" s="405" t="s">
        <v>63</v>
      </c>
      <c r="D5699" s="401" t="s">
        <v>12342</v>
      </c>
      <c r="E5699" s="120">
        <v>200</v>
      </c>
      <c r="F5699" s="133" t="s">
        <v>431</v>
      </c>
      <c r="G5699" s="404" t="s">
        <v>45</v>
      </c>
      <c r="H5699" s="411">
        <v>420</v>
      </c>
      <c r="I5699" s="411">
        <v>0</v>
      </c>
      <c r="J5699" s="258">
        <f>-((H5699*0.022)+0.3)</f>
        <v>-9.5400000000000009</v>
      </c>
      <c r="K5699" s="90">
        <f t="shared" si="2157"/>
        <v>410.46</v>
      </c>
      <c r="L5699" s="131">
        <v>990</v>
      </c>
      <c r="N5699" s="91">
        <f t="shared" si="2148"/>
        <v>198</v>
      </c>
      <c r="O5699" s="411">
        <f t="shared" si="2096"/>
        <v>212.45999999999998</v>
      </c>
      <c r="P5699" s="132" t="s">
        <v>52</v>
      </c>
      <c r="Q5699" s="232"/>
      <c r="R5699" s="411"/>
      <c r="T5699" s="134" t="s">
        <v>756</v>
      </c>
      <c r="U5699" s="266" t="s">
        <v>756</v>
      </c>
      <c r="W5699" s="153" t="s">
        <v>12343</v>
      </c>
      <c r="AA5699" s="218"/>
    </row>
    <row r="5700" spans="1:27" x14ac:dyDescent="0.25">
      <c r="A5700" s="419">
        <v>3004489</v>
      </c>
      <c r="B5700" s="421">
        <v>42634</v>
      </c>
      <c r="C5700" s="419" t="s">
        <v>78</v>
      </c>
      <c r="D5700" s="417" t="s">
        <v>12344</v>
      </c>
      <c r="E5700" s="120">
        <v>118</v>
      </c>
      <c r="F5700" s="133" t="s">
        <v>12345</v>
      </c>
      <c r="G5700" s="434" t="s">
        <v>7486</v>
      </c>
      <c r="H5700" s="427">
        <v>1704</v>
      </c>
      <c r="I5700" s="427">
        <v>0</v>
      </c>
      <c r="J5700" s="425">
        <f t="shared" ref="J5700" si="2161">-((H5700*0.019)+0.3)</f>
        <v>-32.675999999999995</v>
      </c>
      <c r="K5700" s="425">
        <f t="shared" si="2157"/>
        <v>1671.3240000000001</v>
      </c>
      <c r="M5700" s="468">
        <v>154.25</v>
      </c>
      <c r="N5700" s="91">
        <f t="shared" si="2148"/>
        <v>154.25</v>
      </c>
      <c r="O5700" s="411">
        <f t="shared" ref="O5700:O5763" si="2162">K5700-N5700</f>
        <v>1517.0740000000001</v>
      </c>
      <c r="P5700" s="132" t="s">
        <v>52</v>
      </c>
      <c r="Q5700" s="232"/>
      <c r="R5700" s="411"/>
      <c r="T5700" s="470" t="s">
        <v>875</v>
      </c>
      <c r="U5700" s="446" t="s">
        <v>12346</v>
      </c>
      <c r="V5700" s="133" t="s">
        <v>55</v>
      </c>
      <c r="W5700" s="153" t="s">
        <v>12347</v>
      </c>
      <c r="AA5700" s="473">
        <v>10</v>
      </c>
    </row>
    <row r="5701" spans="1:27" ht="27.75" customHeight="1" x14ac:dyDescent="0.25">
      <c r="A5701" s="432"/>
      <c r="B5701" s="433"/>
      <c r="C5701" s="432"/>
      <c r="D5701" s="454"/>
      <c r="E5701" s="120">
        <v>122</v>
      </c>
      <c r="F5701" s="133" t="s">
        <v>7715</v>
      </c>
      <c r="G5701" s="435"/>
      <c r="H5701" s="438"/>
      <c r="I5701" s="438"/>
      <c r="J5701" s="437"/>
      <c r="K5701" s="437"/>
      <c r="L5701" s="131">
        <v>3840</v>
      </c>
      <c r="M5701" s="491"/>
      <c r="N5701" s="91">
        <f t="shared" si="2148"/>
        <v>468.48</v>
      </c>
      <c r="O5701" s="411">
        <f t="shared" si="2162"/>
        <v>-468.48</v>
      </c>
      <c r="P5701" s="132" t="s">
        <v>52</v>
      </c>
      <c r="Q5701" s="232"/>
      <c r="R5701" s="411"/>
      <c r="T5701" s="471"/>
      <c r="U5701" s="448"/>
      <c r="AA5701" s="478"/>
    </row>
    <row r="5702" spans="1:27" x14ac:dyDescent="0.25">
      <c r="A5702" s="420"/>
      <c r="B5702" s="422"/>
      <c r="C5702" s="420"/>
      <c r="D5702" s="418"/>
      <c r="E5702" s="120">
        <v>115</v>
      </c>
      <c r="F5702" s="133" t="s">
        <v>12348</v>
      </c>
      <c r="G5702" s="436"/>
      <c r="H5702" s="428"/>
      <c r="I5702" s="428"/>
      <c r="J5702" s="426"/>
      <c r="K5702" s="426"/>
      <c r="L5702" s="131">
        <v>3840</v>
      </c>
      <c r="M5702" s="469"/>
      <c r="N5702" s="91">
        <f t="shared" si="2148"/>
        <v>441.6</v>
      </c>
      <c r="O5702" s="411">
        <f t="shared" si="2162"/>
        <v>-441.6</v>
      </c>
      <c r="P5702" s="132" t="s">
        <v>52</v>
      </c>
      <c r="Q5702" s="232"/>
      <c r="R5702" s="411"/>
      <c r="T5702" s="472"/>
      <c r="U5702" s="447"/>
      <c r="AA5702" s="474"/>
    </row>
    <row r="5703" spans="1:27" ht="24" x14ac:dyDescent="0.25">
      <c r="A5703" s="405">
        <v>3004490</v>
      </c>
      <c r="B5703" s="406">
        <v>42634</v>
      </c>
      <c r="C5703" s="405" t="s">
        <v>42</v>
      </c>
      <c r="D5703" s="401" t="s">
        <v>12349</v>
      </c>
      <c r="E5703" s="120">
        <v>150</v>
      </c>
      <c r="F5703" s="133" t="s">
        <v>307</v>
      </c>
      <c r="G5703" s="404" t="s">
        <v>7486</v>
      </c>
      <c r="H5703" s="411">
        <v>215</v>
      </c>
      <c r="I5703" s="89">
        <f>-(H5703*0.09)</f>
        <v>-19.349999999999998</v>
      </c>
      <c r="J5703" s="258">
        <f t="shared" ref="J5703" si="2163">-((H5703*0.019)+0.3)</f>
        <v>-4.3849999999999998</v>
      </c>
      <c r="K5703" s="90">
        <f t="shared" ref="K5703" si="2164">SUM(H5703:J5703)</f>
        <v>191.26500000000001</v>
      </c>
      <c r="L5703" s="131">
        <v>690</v>
      </c>
      <c r="M5703" s="187">
        <v>27.9</v>
      </c>
      <c r="N5703" s="91">
        <f t="shared" si="2148"/>
        <v>131.4</v>
      </c>
      <c r="O5703" s="411">
        <f t="shared" si="2162"/>
        <v>59.865000000000009</v>
      </c>
      <c r="P5703" s="132" t="s">
        <v>52</v>
      </c>
      <c r="Q5703" s="232"/>
      <c r="R5703" s="411"/>
      <c r="T5703" s="134" t="s">
        <v>145</v>
      </c>
      <c r="U5703" s="267" t="s">
        <v>12350</v>
      </c>
      <c r="AA5703" s="218"/>
    </row>
    <row r="5704" spans="1:27" ht="24" x14ac:dyDescent="0.25">
      <c r="A5704" s="405">
        <v>3004491</v>
      </c>
      <c r="B5704" s="406">
        <v>42634</v>
      </c>
      <c r="C5704" s="405" t="s">
        <v>237</v>
      </c>
      <c r="D5704" s="401" t="s">
        <v>12351</v>
      </c>
      <c r="E5704" s="120">
        <v>100</v>
      </c>
      <c r="F5704" s="133" t="s">
        <v>288</v>
      </c>
      <c r="G5704" s="404" t="s">
        <v>7486</v>
      </c>
      <c r="H5704" s="411">
        <v>193.04</v>
      </c>
      <c r="I5704" s="397">
        <f t="shared" ref="I5704" si="2165">-(H5704*0.15)</f>
        <v>-28.955999999999996</v>
      </c>
      <c r="J5704" s="258">
        <v>0</v>
      </c>
      <c r="K5704" s="90">
        <f>SUM(H5704:J5704)</f>
        <v>164.084</v>
      </c>
      <c r="L5704" s="131">
        <v>950</v>
      </c>
      <c r="M5704" s="187">
        <v>42.18</v>
      </c>
      <c r="N5704" s="91">
        <f t="shared" si="2148"/>
        <v>137.18</v>
      </c>
      <c r="O5704" s="411">
        <f t="shared" si="2162"/>
        <v>26.903999999999996</v>
      </c>
      <c r="P5704" s="132" t="s">
        <v>52</v>
      </c>
      <c r="Q5704" s="232"/>
      <c r="R5704" s="411"/>
      <c r="T5704" s="134" t="s">
        <v>145</v>
      </c>
      <c r="U5704" s="267" t="s">
        <v>12352</v>
      </c>
      <c r="AA5704" s="218"/>
    </row>
    <row r="5705" spans="1:27" ht="24" x14ac:dyDescent="0.25">
      <c r="A5705" s="405">
        <v>3004492</v>
      </c>
      <c r="B5705" s="406">
        <v>42634</v>
      </c>
      <c r="C5705" s="405" t="s">
        <v>237</v>
      </c>
      <c r="D5705" s="401" t="s">
        <v>12353</v>
      </c>
      <c r="E5705" s="120">
        <v>250</v>
      </c>
      <c r="F5705" s="133" t="s">
        <v>2238</v>
      </c>
      <c r="G5705" s="404" t="s">
        <v>7486</v>
      </c>
      <c r="H5705" s="411">
        <v>129.15</v>
      </c>
      <c r="I5705" s="397">
        <f t="shared" ref="I5705" si="2166">-(H5705*0.15)</f>
        <v>-19.372499999999999</v>
      </c>
      <c r="J5705" s="258">
        <v>0</v>
      </c>
      <c r="K5705" s="90">
        <f>SUM(H5705:J5705)</f>
        <v>109.7775</v>
      </c>
      <c r="L5705" s="131">
        <v>200</v>
      </c>
      <c r="M5705" s="187">
        <v>23.65</v>
      </c>
      <c r="N5705" s="91">
        <f t="shared" si="2148"/>
        <v>73.650000000000006</v>
      </c>
      <c r="O5705" s="411">
        <f t="shared" si="2162"/>
        <v>36.127499999999998</v>
      </c>
      <c r="P5705" s="132" t="s">
        <v>52</v>
      </c>
      <c r="Q5705" s="232"/>
      <c r="R5705" s="411"/>
      <c r="T5705" s="134" t="s">
        <v>145</v>
      </c>
      <c r="U5705" s="267" t="s">
        <v>12354</v>
      </c>
      <c r="AA5705" s="218"/>
    </row>
    <row r="5706" spans="1:27" ht="24" x14ac:dyDescent="0.25">
      <c r="A5706" s="405">
        <v>3004493</v>
      </c>
      <c r="B5706" s="406">
        <v>42634</v>
      </c>
      <c r="C5706" s="405" t="s">
        <v>42</v>
      </c>
      <c r="D5706" s="401" t="s">
        <v>12355</v>
      </c>
      <c r="E5706" s="120">
        <v>150</v>
      </c>
      <c r="F5706" s="133" t="s">
        <v>877</v>
      </c>
      <c r="G5706" s="404" t="s">
        <v>7486</v>
      </c>
      <c r="H5706" s="411">
        <v>129.47</v>
      </c>
      <c r="I5706" s="89">
        <f>-(H5706*0.09)</f>
        <v>-11.6523</v>
      </c>
      <c r="J5706" s="258">
        <f t="shared" ref="J5706" si="2167">-((H5706*0.019)+0.3)</f>
        <v>-2.7599299999999998</v>
      </c>
      <c r="K5706" s="90">
        <f t="shared" ref="K5706:K5707" si="2168">SUM(H5706:J5706)</f>
        <v>115.05777</v>
      </c>
      <c r="L5706" s="131">
        <v>235</v>
      </c>
      <c r="M5706" s="187">
        <v>23.8</v>
      </c>
      <c r="N5706" s="91">
        <f t="shared" si="2148"/>
        <v>59.05</v>
      </c>
      <c r="O5706" s="411">
        <f t="shared" si="2162"/>
        <v>56.007770000000008</v>
      </c>
      <c r="P5706" s="132" t="s">
        <v>52</v>
      </c>
      <c r="Q5706" s="232"/>
      <c r="R5706" s="411"/>
      <c r="T5706" s="134" t="s">
        <v>145</v>
      </c>
      <c r="U5706" s="267" t="s">
        <v>12356</v>
      </c>
      <c r="AA5706" s="218"/>
    </row>
    <row r="5707" spans="1:27" ht="24" customHeight="1" x14ac:dyDescent="0.25">
      <c r="A5707" s="567">
        <v>3004494</v>
      </c>
      <c r="B5707" s="607">
        <v>42634</v>
      </c>
      <c r="C5707" s="419" t="s">
        <v>56</v>
      </c>
      <c r="D5707" s="417" t="s">
        <v>87</v>
      </c>
      <c r="E5707" s="120">
        <v>10000</v>
      </c>
      <c r="F5707" s="133" t="s">
        <v>12357</v>
      </c>
      <c r="G5707" s="434" t="s">
        <v>7486</v>
      </c>
      <c r="H5707" s="427">
        <v>8639.5</v>
      </c>
      <c r="I5707" s="427">
        <v>0</v>
      </c>
      <c r="J5707" s="427">
        <v>0</v>
      </c>
      <c r="K5707" s="523">
        <f t="shared" si="2168"/>
        <v>8639.5</v>
      </c>
      <c r="M5707" s="510">
        <v>237.32</v>
      </c>
      <c r="N5707" s="91">
        <f t="shared" si="2148"/>
        <v>237.32</v>
      </c>
      <c r="O5707" s="411">
        <f t="shared" si="2162"/>
        <v>8402.18</v>
      </c>
      <c r="P5707" s="132" t="s">
        <v>5735</v>
      </c>
      <c r="Q5707" s="232"/>
      <c r="R5707" s="411"/>
      <c r="T5707" s="470" t="s">
        <v>11311</v>
      </c>
      <c r="U5707" s="446" t="s">
        <v>12358</v>
      </c>
      <c r="V5707" s="133" t="s">
        <v>8550</v>
      </c>
      <c r="AA5707" s="218"/>
    </row>
    <row r="5708" spans="1:27" x14ac:dyDescent="0.25">
      <c r="A5708" s="616"/>
      <c r="B5708" s="615"/>
      <c r="C5708" s="432"/>
      <c r="D5708" s="454"/>
      <c r="E5708" s="120">
        <v>5000</v>
      </c>
      <c r="F5708" s="133" t="s">
        <v>12359</v>
      </c>
      <c r="G5708" s="435"/>
      <c r="H5708" s="438"/>
      <c r="I5708" s="438"/>
      <c r="J5708" s="438"/>
      <c r="K5708" s="534"/>
      <c r="M5708" s="511"/>
      <c r="N5708" s="91">
        <f t="shared" si="2148"/>
        <v>0</v>
      </c>
      <c r="O5708" s="411">
        <f t="shared" si="2162"/>
        <v>0</v>
      </c>
      <c r="P5708" s="132" t="s">
        <v>5735</v>
      </c>
      <c r="Q5708" s="232"/>
      <c r="R5708" s="411"/>
      <c r="T5708" s="471"/>
      <c r="U5708" s="448"/>
      <c r="AA5708" s="218"/>
    </row>
    <row r="5709" spans="1:27" x14ac:dyDescent="0.25">
      <c r="A5709" s="616"/>
      <c r="B5709" s="615"/>
      <c r="C5709" s="432"/>
      <c r="D5709" s="454"/>
      <c r="E5709" s="120">
        <v>10000</v>
      </c>
      <c r="F5709" s="133" t="s">
        <v>12360</v>
      </c>
      <c r="G5709" s="435"/>
      <c r="H5709" s="438"/>
      <c r="I5709" s="438"/>
      <c r="J5709" s="438"/>
      <c r="K5709" s="534"/>
      <c r="M5709" s="511"/>
      <c r="N5709" s="91">
        <f t="shared" si="2148"/>
        <v>0</v>
      </c>
      <c r="O5709" s="411">
        <f t="shared" si="2162"/>
        <v>0</v>
      </c>
      <c r="P5709" s="132" t="s">
        <v>5735</v>
      </c>
      <c r="Q5709" s="232"/>
      <c r="R5709" s="411"/>
      <c r="T5709" s="471"/>
      <c r="U5709" s="448"/>
      <c r="AA5709" s="218"/>
    </row>
    <row r="5710" spans="1:27" x14ac:dyDescent="0.25">
      <c r="A5710" s="616"/>
      <c r="B5710" s="615"/>
      <c r="C5710" s="432"/>
      <c r="D5710" s="454"/>
      <c r="E5710" s="120">
        <v>5000</v>
      </c>
      <c r="F5710" s="133" t="s">
        <v>12361</v>
      </c>
      <c r="G5710" s="435"/>
      <c r="H5710" s="438"/>
      <c r="I5710" s="438"/>
      <c r="J5710" s="438"/>
      <c r="K5710" s="534"/>
      <c r="M5710" s="511"/>
      <c r="N5710" s="91">
        <f t="shared" si="2148"/>
        <v>0</v>
      </c>
      <c r="O5710" s="411">
        <f t="shared" si="2162"/>
        <v>0</v>
      </c>
      <c r="P5710" s="132" t="s">
        <v>5735</v>
      </c>
      <c r="Q5710" s="232"/>
      <c r="R5710" s="411"/>
      <c r="T5710" s="471"/>
      <c r="U5710" s="448"/>
      <c r="AA5710" s="218"/>
    </row>
    <row r="5711" spans="1:27" x14ac:dyDescent="0.25">
      <c r="A5711" s="616"/>
      <c r="B5711" s="615"/>
      <c r="C5711" s="432"/>
      <c r="D5711" s="454"/>
      <c r="E5711" s="120">
        <v>32500</v>
      </c>
      <c r="F5711" s="133" t="s">
        <v>12362</v>
      </c>
      <c r="G5711" s="435"/>
      <c r="H5711" s="438"/>
      <c r="I5711" s="438"/>
      <c r="J5711" s="438"/>
      <c r="K5711" s="534"/>
      <c r="M5711" s="511"/>
      <c r="N5711" s="91"/>
      <c r="O5711" s="411">
        <f t="shared" si="2162"/>
        <v>0</v>
      </c>
      <c r="P5711" s="132" t="s">
        <v>5735</v>
      </c>
      <c r="Q5711" s="232"/>
      <c r="R5711" s="411"/>
      <c r="T5711" s="471"/>
      <c r="U5711" s="448"/>
      <c r="AA5711" s="218"/>
    </row>
    <row r="5712" spans="1:27" x14ac:dyDescent="0.25">
      <c r="A5712" s="616"/>
      <c r="B5712" s="615"/>
      <c r="C5712" s="432"/>
      <c r="D5712" s="454"/>
      <c r="E5712" s="120">
        <v>2500</v>
      </c>
      <c r="F5712" s="133" t="s">
        <v>12363</v>
      </c>
      <c r="G5712" s="435"/>
      <c r="H5712" s="438"/>
      <c r="I5712" s="438"/>
      <c r="J5712" s="438"/>
      <c r="K5712" s="534"/>
      <c r="M5712" s="511"/>
      <c r="N5712" s="91"/>
      <c r="O5712" s="411">
        <f t="shared" si="2162"/>
        <v>0</v>
      </c>
      <c r="P5712" s="132" t="s">
        <v>5735</v>
      </c>
      <c r="Q5712" s="232"/>
      <c r="R5712" s="411"/>
      <c r="T5712" s="471"/>
      <c r="U5712" s="448"/>
      <c r="AA5712" s="218"/>
    </row>
    <row r="5713" spans="1:27" x14ac:dyDescent="0.25">
      <c r="A5713" s="568"/>
      <c r="B5713" s="608"/>
      <c r="C5713" s="420"/>
      <c r="D5713" s="418"/>
      <c r="E5713" s="120">
        <v>30000</v>
      </c>
      <c r="F5713" s="133" t="s">
        <v>12362</v>
      </c>
      <c r="G5713" s="436"/>
      <c r="H5713" s="428"/>
      <c r="I5713" s="428"/>
      <c r="J5713" s="428"/>
      <c r="K5713" s="524"/>
      <c r="M5713" s="512"/>
      <c r="N5713" s="91"/>
      <c r="O5713" s="411">
        <f t="shared" si="2162"/>
        <v>0</v>
      </c>
      <c r="P5713" s="132" t="s">
        <v>5735</v>
      </c>
      <c r="Q5713" s="232"/>
      <c r="R5713" s="411"/>
      <c r="T5713" s="472"/>
      <c r="U5713" s="447"/>
      <c r="AA5713" s="218"/>
    </row>
    <row r="5714" spans="1:27" ht="24" x14ac:dyDescent="0.25">
      <c r="A5714" s="405">
        <v>3004495</v>
      </c>
      <c r="B5714" s="406">
        <v>42634</v>
      </c>
      <c r="C5714" s="405" t="s">
        <v>327</v>
      </c>
      <c r="D5714" s="401" t="s">
        <v>12364</v>
      </c>
      <c r="E5714" s="120">
        <v>200</v>
      </c>
      <c r="F5714" s="133" t="s">
        <v>12365</v>
      </c>
      <c r="G5714" s="404" t="s">
        <v>45</v>
      </c>
      <c r="H5714" s="411">
        <v>335</v>
      </c>
      <c r="I5714" s="411">
        <v>0</v>
      </c>
      <c r="J5714" s="258">
        <f>-((H5714*0.022)+0.3)</f>
        <v>-7.669999999999999</v>
      </c>
      <c r="K5714" s="90">
        <f t="shared" ref="K5714:K5719" si="2169">SUM(H5714:J5714)</f>
        <v>327.33</v>
      </c>
      <c r="L5714" s="187">
        <v>750</v>
      </c>
      <c r="N5714" s="91">
        <f t="shared" si="2148"/>
        <v>150</v>
      </c>
      <c r="O5714" s="411">
        <f t="shared" si="2162"/>
        <v>177.32999999999998</v>
      </c>
      <c r="P5714" s="132" t="s">
        <v>313</v>
      </c>
      <c r="Q5714" s="232"/>
      <c r="R5714" s="411"/>
      <c r="T5714" s="134" t="s">
        <v>204</v>
      </c>
      <c r="U5714" s="267" t="s">
        <v>12366</v>
      </c>
      <c r="W5714" s="153" t="s">
        <v>12367</v>
      </c>
      <c r="AA5714" s="218"/>
    </row>
    <row r="5715" spans="1:27" ht="24" x14ac:dyDescent="0.25">
      <c r="A5715" s="405">
        <v>3004496</v>
      </c>
      <c r="B5715" s="406">
        <v>42634</v>
      </c>
      <c r="C5715" s="405" t="s">
        <v>63</v>
      </c>
      <c r="D5715" s="401" t="s">
        <v>12368</v>
      </c>
      <c r="E5715" s="120">
        <v>660</v>
      </c>
      <c r="F5715" s="133" t="s">
        <v>178</v>
      </c>
      <c r="G5715" s="404" t="s">
        <v>7486</v>
      </c>
      <c r="H5715" s="411">
        <v>1426.54</v>
      </c>
      <c r="I5715" s="411">
        <v>0</v>
      </c>
      <c r="J5715" s="258">
        <f>-((H5715*0.022)+0.3)</f>
        <v>-31.683879999999998</v>
      </c>
      <c r="K5715" s="90">
        <f t="shared" si="2169"/>
        <v>1394.8561199999999</v>
      </c>
      <c r="L5715" s="131">
        <v>830</v>
      </c>
      <c r="M5715" s="224">
        <f>219.57+30.94</f>
        <v>250.51</v>
      </c>
      <c r="N5715" s="91">
        <f t="shared" si="2148"/>
        <v>798.31000000000006</v>
      </c>
      <c r="O5715" s="411">
        <f t="shared" si="2162"/>
        <v>596.54611999999986</v>
      </c>
      <c r="P5715" s="132" t="s">
        <v>86</v>
      </c>
      <c r="Q5715" s="232"/>
      <c r="R5715" s="411"/>
      <c r="T5715" s="134" t="s">
        <v>12369</v>
      </c>
      <c r="U5715" s="267" t="s">
        <v>12370</v>
      </c>
      <c r="V5715" s="133" t="s">
        <v>55</v>
      </c>
      <c r="W5715" s="153" t="s">
        <v>12371</v>
      </c>
      <c r="AA5715" s="218">
        <v>10</v>
      </c>
    </row>
    <row r="5716" spans="1:27" ht="24" x14ac:dyDescent="0.25">
      <c r="A5716" s="405">
        <v>3004497</v>
      </c>
      <c r="B5716" s="406">
        <v>42634</v>
      </c>
      <c r="C5716" s="405" t="s">
        <v>63</v>
      </c>
      <c r="D5716" s="401" t="s">
        <v>12372</v>
      </c>
      <c r="E5716" s="120">
        <v>675</v>
      </c>
      <c r="F5716" s="133" t="s">
        <v>70</v>
      </c>
      <c r="G5716" s="404" t="s">
        <v>45</v>
      </c>
      <c r="H5716" s="411">
        <v>1329</v>
      </c>
      <c r="I5716" s="411">
        <v>0</v>
      </c>
      <c r="J5716" s="258">
        <f>-((H5716*0.022)+0.3)</f>
        <v>-29.538</v>
      </c>
      <c r="K5716" s="90">
        <f t="shared" si="2169"/>
        <v>1299.462</v>
      </c>
      <c r="L5716" s="187">
        <v>1670</v>
      </c>
      <c r="M5716" s="177"/>
      <c r="N5716" s="91">
        <f t="shared" si="2148"/>
        <v>1127.25</v>
      </c>
      <c r="O5716" s="411">
        <f t="shared" si="2162"/>
        <v>172.21199999999999</v>
      </c>
      <c r="P5716" s="132" t="s">
        <v>183</v>
      </c>
      <c r="Q5716" s="232"/>
      <c r="R5716" s="411"/>
      <c r="T5716" s="134" t="s">
        <v>756</v>
      </c>
      <c r="U5716" s="266" t="s">
        <v>756</v>
      </c>
      <c r="W5716" s="153" t="s">
        <v>12373</v>
      </c>
      <c r="AA5716" s="218">
        <v>10</v>
      </c>
    </row>
    <row r="5717" spans="1:27" ht="24" x14ac:dyDescent="0.25">
      <c r="A5717" s="405">
        <v>3004498</v>
      </c>
      <c r="B5717" s="406">
        <v>42635</v>
      </c>
      <c r="C5717" s="405" t="s">
        <v>63</v>
      </c>
      <c r="D5717" s="401" t="s">
        <v>12374</v>
      </c>
      <c r="E5717" s="120">
        <v>250</v>
      </c>
      <c r="F5717" s="133" t="s">
        <v>161</v>
      </c>
      <c r="G5717" s="404" t="s">
        <v>7486</v>
      </c>
      <c r="H5717" s="411">
        <v>550</v>
      </c>
      <c r="I5717" s="411">
        <v>0</v>
      </c>
      <c r="J5717" s="258">
        <f>-((H5717*0.022)+0.3)</f>
        <v>-12.4</v>
      </c>
      <c r="K5717" s="90">
        <f t="shared" si="2169"/>
        <v>537.6</v>
      </c>
      <c r="L5717" s="131">
        <v>1322</v>
      </c>
      <c r="N5717" s="91">
        <f t="shared" si="2148"/>
        <v>330.5</v>
      </c>
      <c r="O5717" s="411">
        <f t="shared" si="2162"/>
        <v>207.10000000000002</v>
      </c>
      <c r="P5717" s="132" t="s">
        <v>52</v>
      </c>
      <c r="Q5717" s="232"/>
      <c r="R5717" s="411"/>
      <c r="T5717" s="134" t="s">
        <v>8218</v>
      </c>
      <c r="U5717" s="266" t="s">
        <v>8218</v>
      </c>
      <c r="W5717" s="153" t="s">
        <v>12375</v>
      </c>
      <c r="AA5717" s="218"/>
    </row>
    <row r="5718" spans="1:27" ht="24" x14ac:dyDescent="0.25">
      <c r="A5718" s="405">
        <v>3004499</v>
      </c>
      <c r="B5718" s="406">
        <v>42635</v>
      </c>
      <c r="C5718" s="405" t="s">
        <v>327</v>
      </c>
      <c r="D5718" s="401" t="s">
        <v>12376</v>
      </c>
      <c r="E5718" s="120">
        <v>650</v>
      </c>
      <c r="F5718" s="133" t="s">
        <v>12377</v>
      </c>
      <c r="G5718" s="404" t="s">
        <v>7486</v>
      </c>
      <c r="H5718" s="411">
        <v>776</v>
      </c>
      <c r="I5718" s="411">
        <v>0</v>
      </c>
      <c r="J5718" s="258">
        <f>-((H5718*0.022)+0.3)</f>
        <v>-17.372</v>
      </c>
      <c r="K5718" s="90">
        <f t="shared" si="2169"/>
        <v>758.62800000000004</v>
      </c>
      <c r="L5718" s="187">
        <v>388</v>
      </c>
      <c r="M5718" s="221"/>
      <c r="N5718" s="91">
        <f t="shared" si="2148"/>
        <v>252.20000000000002</v>
      </c>
      <c r="O5718" s="411">
        <f t="shared" si="2162"/>
        <v>506.428</v>
      </c>
      <c r="P5718" s="132" t="s">
        <v>1277</v>
      </c>
      <c r="Q5718" s="232"/>
      <c r="R5718" s="411"/>
      <c r="T5718" s="134" t="s">
        <v>145</v>
      </c>
      <c r="U5718" s="266"/>
      <c r="W5718" s="153" t="s">
        <v>12378</v>
      </c>
      <c r="AA5718" s="218"/>
    </row>
    <row r="5719" spans="1:27" ht="24" customHeight="1" x14ac:dyDescent="0.25">
      <c r="A5719" s="419">
        <v>3004500</v>
      </c>
      <c r="B5719" s="421">
        <v>42635</v>
      </c>
      <c r="C5719" s="419" t="s">
        <v>78</v>
      </c>
      <c r="D5719" s="417" t="s">
        <v>12379</v>
      </c>
      <c r="E5719" s="120">
        <v>250</v>
      </c>
      <c r="F5719" s="133" t="s">
        <v>12380</v>
      </c>
      <c r="G5719" s="434" t="s">
        <v>7486</v>
      </c>
      <c r="H5719" s="427">
        <v>1000</v>
      </c>
      <c r="I5719" s="427">
        <v>0</v>
      </c>
      <c r="J5719" s="425">
        <f t="shared" ref="J5719" si="2170">-((H5719*0.019)+0.3)</f>
        <v>-19.3</v>
      </c>
      <c r="K5719" s="425">
        <f t="shared" si="2169"/>
        <v>980.7</v>
      </c>
      <c r="L5719" s="187">
        <v>816.07</v>
      </c>
      <c r="M5719" s="187">
        <v>48</v>
      </c>
      <c r="N5719" s="91">
        <f t="shared" si="2148"/>
        <v>252.01750000000001</v>
      </c>
      <c r="O5719" s="411">
        <f t="shared" si="2162"/>
        <v>728.6825</v>
      </c>
      <c r="P5719" s="132" t="s">
        <v>46</v>
      </c>
      <c r="Q5719" s="232"/>
      <c r="R5719" s="411"/>
      <c r="T5719" s="470" t="s">
        <v>756</v>
      </c>
      <c r="U5719" s="444" t="s">
        <v>756</v>
      </c>
      <c r="W5719" s="153" t="s">
        <v>12381</v>
      </c>
      <c r="AA5719" s="473">
        <v>10</v>
      </c>
    </row>
    <row r="5720" spans="1:27" x14ac:dyDescent="0.25">
      <c r="A5720" s="420"/>
      <c r="B5720" s="422"/>
      <c r="C5720" s="420"/>
      <c r="D5720" s="418"/>
      <c r="E5720" s="120">
        <v>500</v>
      </c>
      <c r="F5720" s="133" t="s">
        <v>12382</v>
      </c>
      <c r="G5720" s="436"/>
      <c r="H5720" s="428"/>
      <c r="I5720" s="428"/>
      <c r="J5720" s="426"/>
      <c r="K5720" s="426"/>
      <c r="L5720" s="187">
        <v>490</v>
      </c>
      <c r="N5720" s="91">
        <f t="shared" si="2148"/>
        <v>245</v>
      </c>
      <c r="O5720" s="411">
        <f t="shared" si="2162"/>
        <v>-245</v>
      </c>
      <c r="P5720" s="132" t="s">
        <v>46</v>
      </c>
      <c r="Q5720" s="232"/>
      <c r="R5720" s="411"/>
      <c r="T5720" s="472"/>
      <c r="U5720" s="445"/>
      <c r="AA5720" s="474"/>
    </row>
    <row r="5721" spans="1:27" ht="24" x14ac:dyDescent="0.25">
      <c r="A5721" s="419">
        <v>3004501</v>
      </c>
      <c r="B5721" s="421">
        <v>42635</v>
      </c>
      <c r="C5721" s="419" t="s">
        <v>56</v>
      </c>
      <c r="D5721" s="417" t="s">
        <v>1750</v>
      </c>
      <c r="E5721" s="120">
        <v>500</v>
      </c>
      <c r="F5721" s="133" t="s">
        <v>12383</v>
      </c>
      <c r="G5721" s="434" t="s">
        <v>7486</v>
      </c>
      <c r="H5721" s="427">
        <v>4100</v>
      </c>
      <c r="I5721" s="427">
        <v>0</v>
      </c>
      <c r="J5721" s="427">
        <v>0</v>
      </c>
      <c r="K5721" s="425">
        <f>SUM(H5721:J5721)</f>
        <v>4100</v>
      </c>
      <c r="L5721" s="131">
        <v>3600</v>
      </c>
      <c r="M5721" s="187">
        <v>307.77</v>
      </c>
      <c r="N5721" s="91">
        <f t="shared" si="2148"/>
        <v>2107.77</v>
      </c>
      <c r="O5721" s="411">
        <f t="shared" si="2162"/>
        <v>1992.23</v>
      </c>
      <c r="P5721" s="132" t="s">
        <v>1793</v>
      </c>
      <c r="Q5721" s="232"/>
      <c r="R5721" s="411"/>
      <c r="T5721" s="134" t="s">
        <v>7260</v>
      </c>
      <c r="U5721" s="267" t="s">
        <v>12384</v>
      </c>
      <c r="V5721" s="133" t="s">
        <v>12213</v>
      </c>
      <c r="W5721" s="153" t="s">
        <v>12385</v>
      </c>
      <c r="AA5721" s="218"/>
    </row>
    <row r="5722" spans="1:27" x14ac:dyDescent="0.25">
      <c r="A5722" s="420"/>
      <c r="B5722" s="422"/>
      <c r="C5722" s="420"/>
      <c r="D5722" s="418"/>
      <c r="E5722" s="120">
        <v>500</v>
      </c>
      <c r="F5722" s="133" t="s">
        <v>4655</v>
      </c>
      <c r="G5722" s="436"/>
      <c r="H5722" s="428"/>
      <c r="I5722" s="428"/>
      <c r="J5722" s="428"/>
      <c r="K5722" s="426"/>
      <c r="L5722" s="131">
        <v>2030</v>
      </c>
      <c r="M5722" s="187">
        <v>128.97999999999999</v>
      </c>
      <c r="N5722" s="91">
        <f t="shared" si="2148"/>
        <v>1143.98</v>
      </c>
      <c r="O5722" s="411">
        <f t="shared" si="2162"/>
        <v>-1143.98</v>
      </c>
      <c r="P5722" s="132" t="s">
        <v>52</v>
      </c>
      <c r="Q5722" s="232"/>
      <c r="R5722" s="411"/>
      <c r="T5722" s="134" t="s">
        <v>12386</v>
      </c>
      <c r="U5722" s="267" t="s">
        <v>12387</v>
      </c>
      <c r="V5722" s="133" t="s">
        <v>12388</v>
      </c>
      <c r="AA5722" s="218"/>
    </row>
    <row r="5723" spans="1:27" x14ac:dyDescent="0.25">
      <c r="A5723" s="405">
        <v>3004502</v>
      </c>
      <c r="B5723" s="406">
        <v>42635</v>
      </c>
      <c r="C5723" s="405" t="s">
        <v>63</v>
      </c>
      <c r="D5723" s="401" t="s">
        <v>6287</v>
      </c>
      <c r="E5723" s="120">
        <v>1000</v>
      </c>
      <c r="F5723" s="133" t="s">
        <v>178</v>
      </c>
      <c r="G5723" s="404" t="s">
        <v>45</v>
      </c>
      <c r="H5723" s="411">
        <v>1550</v>
      </c>
      <c r="I5723" s="411">
        <v>0</v>
      </c>
      <c r="J5723" s="258">
        <f>-((H5723*0.022)+0.3)</f>
        <v>-34.4</v>
      </c>
      <c r="K5723" s="90">
        <f>SUM(H5723:J5723)</f>
        <v>1515.6</v>
      </c>
      <c r="L5723" s="131">
        <v>830</v>
      </c>
      <c r="M5723" s="224">
        <v>111.24</v>
      </c>
      <c r="N5723" s="91">
        <f t="shared" si="2148"/>
        <v>941.24</v>
      </c>
      <c r="O5723" s="411">
        <f t="shared" si="2162"/>
        <v>574.3599999999999</v>
      </c>
      <c r="P5723" s="132" t="s">
        <v>86</v>
      </c>
      <c r="Q5723" s="232"/>
      <c r="R5723" s="411"/>
      <c r="T5723" s="134" t="s">
        <v>1467</v>
      </c>
      <c r="U5723" s="266" t="s">
        <v>12389</v>
      </c>
      <c r="V5723" s="133" t="s">
        <v>55</v>
      </c>
      <c r="W5723" s="153" t="s">
        <v>12390</v>
      </c>
      <c r="AA5723" s="218">
        <v>10</v>
      </c>
    </row>
    <row r="5724" spans="1:27" ht="24" x14ac:dyDescent="0.25">
      <c r="A5724" s="405">
        <v>3004503</v>
      </c>
      <c r="B5724" s="406">
        <v>42635</v>
      </c>
      <c r="C5724" s="405" t="s">
        <v>42</v>
      </c>
      <c r="D5724" s="401" t="s">
        <v>12391</v>
      </c>
      <c r="E5724" s="120">
        <v>150</v>
      </c>
      <c r="F5724" s="133" t="s">
        <v>431</v>
      </c>
      <c r="G5724" s="404" t="s">
        <v>7486</v>
      </c>
      <c r="H5724" s="411">
        <v>319.27999999999997</v>
      </c>
      <c r="I5724" s="89">
        <f>-(H5724*0.09)</f>
        <v>-28.735199999999995</v>
      </c>
      <c r="J5724" s="258">
        <f t="shared" ref="J5724" si="2171">-((H5724*0.019)+0.3)</f>
        <v>-6.3663199999999991</v>
      </c>
      <c r="K5724" s="90">
        <f t="shared" ref="K5724" si="2172">SUM(H5724:J5724)</f>
        <v>284.17847999999998</v>
      </c>
      <c r="L5724" s="131">
        <v>990</v>
      </c>
      <c r="M5724" s="187">
        <v>35.909999999999997</v>
      </c>
      <c r="N5724" s="91">
        <f t="shared" si="2148"/>
        <v>184.41</v>
      </c>
      <c r="O5724" s="411">
        <f t="shared" si="2162"/>
        <v>99.768479999999983</v>
      </c>
      <c r="P5724" s="132" t="s">
        <v>52</v>
      </c>
      <c r="Q5724" s="232"/>
      <c r="R5724" s="411"/>
      <c r="T5724" s="134" t="s">
        <v>145</v>
      </c>
      <c r="U5724" s="267" t="s">
        <v>12392</v>
      </c>
      <c r="AA5724" s="218"/>
    </row>
    <row r="5725" spans="1:27" ht="24" x14ac:dyDescent="0.25">
      <c r="A5725" s="405">
        <v>3004504</v>
      </c>
      <c r="B5725" s="406">
        <v>42635</v>
      </c>
      <c r="C5725" s="405" t="s">
        <v>42</v>
      </c>
      <c r="D5725" s="401" t="s">
        <v>12393</v>
      </c>
      <c r="E5725" s="120">
        <v>300</v>
      </c>
      <c r="F5725" s="119" t="s">
        <v>8436</v>
      </c>
      <c r="G5725" s="404" t="s">
        <v>7486</v>
      </c>
      <c r="H5725" s="411">
        <v>855</v>
      </c>
      <c r="I5725" s="89">
        <f>-(H5725*0.09)</f>
        <v>-76.95</v>
      </c>
      <c r="J5725" s="258">
        <f t="shared" ref="J5725" si="2173">-((H5725*0.019)+0.3)</f>
        <v>-16.545000000000002</v>
      </c>
      <c r="K5725" s="90">
        <f t="shared" ref="K5725" si="2174">SUM(H5725:J5725)</f>
        <v>761.505</v>
      </c>
      <c r="L5725" s="187">
        <v>1640</v>
      </c>
      <c r="M5725" s="131">
        <v>0</v>
      </c>
      <c r="N5725" s="91">
        <f t="shared" si="2148"/>
        <v>492</v>
      </c>
      <c r="O5725" s="411">
        <f t="shared" si="2162"/>
        <v>269.505</v>
      </c>
      <c r="P5725" s="132" t="s">
        <v>59</v>
      </c>
      <c r="Q5725" s="232"/>
      <c r="R5725" s="411"/>
      <c r="T5725" s="134" t="s">
        <v>389</v>
      </c>
      <c r="U5725" s="267" t="s">
        <v>12394</v>
      </c>
      <c r="AA5725" s="218"/>
    </row>
    <row r="5726" spans="1:27" ht="24" x14ac:dyDescent="0.25">
      <c r="A5726" s="405">
        <v>3004505</v>
      </c>
      <c r="B5726" s="406">
        <v>42635</v>
      </c>
      <c r="C5726" s="405" t="s">
        <v>42</v>
      </c>
      <c r="D5726" s="401" t="s">
        <v>12395</v>
      </c>
      <c r="E5726" s="120">
        <v>50</v>
      </c>
      <c r="F5726" s="133" t="s">
        <v>2408</v>
      </c>
      <c r="G5726" s="404" t="s">
        <v>7486</v>
      </c>
      <c r="H5726" s="411">
        <v>155.5</v>
      </c>
      <c r="I5726" s="89">
        <f>-(H5726*0.09)</f>
        <v>-13.994999999999999</v>
      </c>
      <c r="J5726" s="258">
        <f t="shared" ref="J5726" si="2175">-((H5726*0.019)+0.3)</f>
        <v>-3.2544999999999997</v>
      </c>
      <c r="K5726" s="90">
        <f t="shared" ref="K5726" si="2176">SUM(H5726:J5726)</f>
        <v>138.25049999999999</v>
      </c>
      <c r="L5726" s="187">
        <v>1450</v>
      </c>
      <c r="M5726" s="187">
        <v>15.72</v>
      </c>
      <c r="N5726" s="91">
        <f t="shared" si="2148"/>
        <v>88.22</v>
      </c>
      <c r="O5726" s="411">
        <f t="shared" si="2162"/>
        <v>50.030499999999989</v>
      </c>
      <c r="P5726" s="132" t="s">
        <v>601</v>
      </c>
      <c r="Q5726" s="232"/>
      <c r="R5726" s="411"/>
      <c r="T5726" s="134" t="s">
        <v>145</v>
      </c>
      <c r="U5726" s="267" t="s">
        <v>12396</v>
      </c>
      <c r="AA5726" s="218"/>
    </row>
    <row r="5727" spans="1:27" ht="24" x14ac:dyDescent="0.25">
      <c r="A5727" s="405">
        <v>3004506</v>
      </c>
      <c r="B5727" s="406">
        <v>42635</v>
      </c>
      <c r="C5727" s="405" t="s">
        <v>42</v>
      </c>
      <c r="D5727" s="401" t="s">
        <v>12397</v>
      </c>
      <c r="E5727" s="120">
        <v>250</v>
      </c>
      <c r="F5727" s="133" t="s">
        <v>51</v>
      </c>
      <c r="G5727" s="404" t="s">
        <v>7486</v>
      </c>
      <c r="H5727" s="411">
        <v>597.51</v>
      </c>
      <c r="I5727" s="89">
        <f>-(H5727*0.09)</f>
        <v>-53.7759</v>
      </c>
      <c r="J5727" s="258">
        <f t="shared" ref="J5727" si="2177">-((H5727*0.019)+0.3)</f>
        <v>-11.65269</v>
      </c>
      <c r="K5727" s="90">
        <f t="shared" ref="K5727" si="2178">SUM(H5727:J5727)</f>
        <v>532.08141000000001</v>
      </c>
      <c r="L5727" s="131">
        <v>1015</v>
      </c>
      <c r="M5727" s="224">
        <f>187.93+45</f>
        <v>232.93</v>
      </c>
      <c r="N5727" s="91">
        <f t="shared" si="2148"/>
        <v>486.68</v>
      </c>
      <c r="O5727" s="411">
        <f t="shared" si="2162"/>
        <v>45.401409999999998</v>
      </c>
      <c r="P5727" s="132" t="s">
        <v>52</v>
      </c>
      <c r="Q5727" s="232"/>
      <c r="R5727" s="411"/>
      <c r="T5727" s="134" t="s">
        <v>11311</v>
      </c>
      <c r="U5727" s="267" t="s">
        <v>12398</v>
      </c>
      <c r="V5727" s="133" t="s">
        <v>55</v>
      </c>
      <c r="AA5727" s="218"/>
    </row>
    <row r="5728" spans="1:27" x14ac:dyDescent="0.25">
      <c r="A5728" s="405">
        <v>3004507</v>
      </c>
      <c r="B5728" s="406">
        <v>42635</v>
      </c>
      <c r="C5728" s="405" t="s">
        <v>42</v>
      </c>
      <c r="D5728" s="401" t="s">
        <v>10727</v>
      </c>
      <c r="E5728" s="120">
        <v>1500</v>
      </c>
      <c r="F5728" s="133" t="s">
        <v>12399</v>
      </c>
      <c r="G5728" s="404" t="s">
        <v>7486</v>
      </c>
      <c r="H5728" s="411">
        <v>861.15</v>
      </c>
      <c r="I5728" s="89">
        <f>-(H5728*0.09)</f>
        <v>-77.503499999999988</v>
      </c>
      <c r="J5728" s="258">
        <f t="shared" ref="J5728" si="2179">-((H5728*0.019)+0.3)</f>
        <v>-16.661850000000001</v>
      </c>
      <c r="K5728" s="90">
        <f t="shared" ref="K5728" si="2180">SUM(H5728:J5728)</f>
        <v>766.98464999999999</v>
      </c>
      <c r="L5728" s="187">
        <v>380</v>
      </c>
      <c r="M5728" s="131">
        <v>0</v>
      </c>
      <c r="N5728" s="91">
        <f t="shared" si="2148"/>
        <v>570</v>
      </c>
      <c r="O5728" s="411">
        <f t="shared" si="2162"/>
        <v>196.98464999999999</v>
      </c>
      <c r="P5728" s="132" t="s">
        <v>66</v>
      </c>
      <c r="Q5728" s="232"/>
      <c r="R5728" s="411"/>
      <c r="T5728" s="134" t="s">
        <v>47</v>
      </c>
      <c r="U5728" s="267" t="s">
        <v>12400</v>
      </c>
      <c r="AA5728" s="218"/>
    </row>
    <row r="5729" spans="1:27" ht="24" x14ac:dyDescent="0.25">
      <c r="A5729" s="405">
        <v>3004508</v>
      </c>
      <c r="B5729" s="406">
        <v>42635</v>
      </c>
      <c r="C5729" s="405" t="s">
        <v>237</v>
      </c>
      <c r="D5729" s="401" t="s">
        <v>12401</v>
      </c>
      <c r="E5729" s="120">
        <v>100</v>
      </c>
      <c r="F5729" s="133" t="s">
        <v>590</v>
      </c>
      <c r="G5729" s="404" t="s">
        <v>7486</v>
      </c>
      <c r="H5729" s="411">
        <v>138.16999999999999</v>
      </c>
      <c r="I5729" s="397">
        <f t="shared" ref="I5729" si="2181">-(H5729*0.15)</f>
        <v>-20.725499999999997</v>
      </c>
      <c r="J5729" s="258">
        <v>0</v>
      </c>
      <c r="K5729" s="90">
        <f>SUM(H5729:J5729)</f>
        <v>117.44449999999999</v>
      </c>
      <c r="L5729" s="131">
        <v>577</v>
      </c>
      <c r="M5729" s="187">
        <v>36.49</v>
      </c>
      <c r="N5729" s="91">
        <f t="shared" si="2148"/>
        <v>94.19</v>
      </c>
      <c r="O5729" s="411">
        <f t="shared" si="2162"/>
        <v>23.254499999999993</v>
      </c>
      <c r="P5729" s="132" t="s">
        <v>52</v>
      </c>
      <c r="Q5729" s="232"/>
      <c r="R5729" s="411"/>
      <c r="T5729" s="134" t="s">
        <v>145</v>
      </c>
      <c r="U5729" s="267" t="s">
        <v>12402</v>
      </c>
      <c r="AA5729" s="218"/>
    </row>
    <row r="5730" spans="1:27" ht="60" x14ac:dyDescent="0.25">
      <c r="A5730" s="405">
        <v>3004509</v>
      </c>
      <c r="B5730" s="406">
        <v>42635</v>
      </c>
      <c r="C5730" s="405" t="s">
        <v>237</v>
      </c>
      <c r="D5730" s="401" t="s">
        <v>12403</v>
      </c>
      <c r="E5730" s="120">
        <v>250</v>
      </c>
      <c r="F5730" s="119" t="s">
        <v>12404</v>
      </c>
      <c r="G5730" s="404" t="s">
        <v>7486</v>
      </c>
      <c r="H5730" s="411">
        <v>327.17</v>
      </c>
      <c r="I5730" s="397">
        <f t="shared" ref="I5730" si="2182">-(H5730*0.15)</f>
        <v>-49.075499999999998</v>
      </c>
      <c r="J5730" s="258">
        <v>0</v>
      </c>
      <c r="K5730" s="90">
        <f>SUM(H5730:J5730)</f>
        <v>278.09450000000004</v>
      </c>
      <c r="L5730" s="187">
        <v>750</v>
      </c>
      <c r="M5730" s="187">
        <v>13.55</v>
      </c>
      <c r="N5730" s="91">
        <f t="shared" si="2148"/>
        <v>201.05</v>
      </c>
      <c r="O5730" s="411">
        <f t="shared" si="2162"/>
        <v>77.044500000000028</v>
      </c>
      <c r="P5730" s="132" t="s">
        <v>12330</v>
      </c>
      <c r="Q5730" s="232"/>
      <c r="R5730" s="411"/>
      <c r="T5730" s="134" t="s">
        <v>145</v>
      </c>
      <c r="U5730" s="267" t="s">
        <v>12405</v>
      </c>
      <c r="AA5730" s="218"/>
    </row>
    <row r="5731" spans="1:27" ht="24" x14ac:dyDescent="0.25">
      <c r="A5731" s="405">
        <v>3004510</v>
      </c>
      <c r="B5731" s="406">
        <v>42635</v>
      </c>
      <c r="C5731" s="405" t="s">
        <v>237</v>
      </c>
      <c r="D5731" s="401" t="s">
        <v>12406</v>
      </c>
      <c r="E5731" s="120">
        <v>150</v>
      </c>
      <c r="F5731" s="133" t="s">
        <v>247</v>
      </c>
      <c r="G5731" s="404" t="s">
        <v>7486</v>
      </c>
      <c r="H5731" s="411">
        <v>180</v>
      </c>
      <c r="I5731" s="397">
        <f t="shared" ref="I5731" si="2183">-(H5731*0.15)</f>
        <v>-27</v>
      </c>
      <c r="J5731" s="258">
        <v>0</v>
      </c>
      <c r="K5731" s="90">
        <f>SUM(H5731:J5731)</f>
        <v>153</v>
      </c>
      <c r="L5731" s="187">
        <v>672</v>
      </c>
      <c r="M5731" s="187">
        <v>34.83</v>
      </c>
      <c r="N5731" s="91">
        <f t="shared" si="2148"/>
        <v>135.63</v>
      </c>
      <c r="O5731" s="411">
        <f t="shared" si="2162"/>
        <v>17.370000000000005</v>
      </c>
      <c r="P5731" s="132" t="s">
        <v>313</v>
      </c>
      <c r="Q5731" s="232"/>
      <c r="R5731" s="411"/>
      <c r="T5731" s="134" t="s">
        <v>145</v>
      </c>
      <c r="U5731" s="267" t="s">
        <v>12407</v>
      </c>
      <c r="AA5731" s="218"/>
    </row>
    <row r="5732" spans="1:27" ht="24" x14ac:dyDescent="0.25">
      <c r="A5732" s="405">
        <v>3004511</v>
      </c>
      <c r="B5732" s="406">
        <v>42635</v>
      </c>
      <c r="C5732" s="405" t="s">
        <v>237</v>
      </c>
      <c r="D5732" s="401" t="s">
        <v>12408</v>
      </c>
      <c r="E5732" s="120">
        <v>150</v>
      </c>
      <c r="F5732" s="133" t="s">
        <v>247</v>
      </c>
      <c r="G5732" s="404" t="s">
        <v>7486</v>
      </c>
      <c r="H5732" s="411">
        <v>180</v>
      </c>
      <c r="I5732" s="397">
        <f t="shared" ref="I5732" si="2184">-(H5732*0.15)</f>
        <v>-27</v>
      </c>
      <c r="J5732" s="258">
        <v>0</v>
      </c>
      <c r="K5732" s="90">
        <f>SUM(H5732:J5732)</f>
        <v>153</v>
      </c>
      <c r="L5732" s="187">
        <v>672</v>
      </c>
      <c r="M5732" s="187">
        <v>20.18</v>
      </c>
      <c r="N5732" s="91">
        <f t="shared" si="2148"/>
        <v>120.97999999999999</v>
      </c>
      <c r="O5732" s="411">
        <f t="shared" si="2162"/>
        <v>32.02000000000001</v>
      </c>
      <c r="P5732" s="132" t="s">
        <v>313</v>
      </c>
      <c r="Q5732" s="232"/>
      <c r="R5732" s="411"/>
      <c r="T5732" s="134" t="s">
        <v>145</v>
      </c>
      <c r="U5732" s="267" t="s">
        <v>12409</v>
      </c>
      <c r="AA5732" s="218"/>
    </row>
    <row r="5733" spans="1:27" x14ac:dyDescent="0.25">
      <c r="A5733" s="419">
        <v>3004512</v>
      </c>
      <c r="B5733" s="421">
        <v>42635</v>
      </c>
      <c r="C5733" s="419" t="s">
        <v>56</v>
      </c>
      <c r="D5733" s="417" t="s">
        <v>12410</v>
      </c>
      <c r="E5733" s="120">
        <v>4000</v>
      </c>
      <c r="F5733" s="133" t="s">
        <v>4590</v>
      </c>
      <c r="G5733" s="434" t="s">
        <v>7486</v>
      </c>
      <c r="H5733" s="427">
        <v>5000.93</v>
      </c>
      <c r="I5733" s="427">
        <v>0</v>
      </c>
      <c r="J5733" s="427">
        <v>0</v>
      </c>
      <c r="K5733" s="425">
        <f>SUM(H5733:J5733)</f>
        <v>5000.93</v>
      </c>
      <c r="L5733" s="187">
        <v>540</v>
      </c>
      <c r="M5733" s="187">
        <v>105</v>
      </c>
      <c r="N5733" s="91">
        <f t="shared" si="2148"/>
        <v>2265</v>
      </c>
      <c r="O5733" s="411">
        <f t="shared" si="2162"/>
        <v>2735.9300000000003</v>
      </c>
      <c r="P5733" s="132" t="s">
        <v>183</v>
      </c>
      <c r="Q5733" s="232"/>
      <c r="R5733" s="411"/>
      <c r="T5733" s="134" t="s">
        <v>576</v>
      </c>
      <c r="U5733" s="267" t="s">
        <v>12411</v>
      </c>
      <c r="V5733" s="133" t="s">
        <v>10703</v>
      </c>
      <c r="W5733" s="153" t="s">
        <v>1796</v>
      </c>
      <c r="AA5733" s="473">
        <v>75</v>
      </c>
    </row>
    <row r="5734" spans="1:27" x14ac:dyDescent="0.25">
      <c r="A5734" s="432"/>
      <c r="B5734" s="433"/>
      <c r="C5734" s="432"/>
      <c r="D5734" s="454"/>
      <c r="E5734" s="120">
        <v>250</v>
      </c>
      <c r="F5734" s="133" t="s">
        <v>3893</v>
      </c>
      <c r="G5734" s="435"/>
      <c r="H5734" s="438"/>
      <c r="I5734" s="438"/>
      <c r="J5734" s="438"/>
      <c r="K5734" s="437"/>
      <c r="L5734" s="187">
        <v>2150</v>
      </c>
      <c r="M5734" s="187">
        <v>136.05000000000001</v>
      </c>
      <c r="N5734" s="91">
        <f t="shared" si="2148"/>
        <v>673.55</v>
      </c>
      <c r="O5734" s="411">
        <f t="shared" si="2162"/>
        <v>-673.55</v>
      </c>
      <c r="P5734" s="132" t="s">
        <v>46</v>
      </c>
      <c r="Q5734" s="232"/>
      <c r="R5734" s="411"/>
      <c r="T5734" s="134" t="s">
        <v>639</v>
      </c>
      <c r="U5734" s="267" t="s">
        <v>12412</v>
      </c>
      <c r="V5734" s="133" t="s">
        <v>12413</v>
      </c>
      <c r="AA5734" s="478"/>
    </row>
    <row r="5735" spans="1:27" x14ac:dyDescent="0.25">
      <c r="A5735" s="432"/>
      <c r="B5735" s="433"/>
      <c r="C5735" s="432"/>
      <c r="D5735" s="454"/>
      <c r="E5735" s="120">
        <v>500</v>
      </c>
      <c r="F5735" s="133" t="s">
        <v>5632</v>
      </c>
      <c r="G5735" s="435"/>
      <c r="H5735" s="438"/>
      <c r="I5735" s="438"/>
      <c r="J5735" s="438"/>
      <c r="K5735" s="437"/>
      <c r="L5735" s="187">
        <v>78</v>
      </c>
      <c r="M5735" s="187">
        <v>8.67</v>
      </c>
      <c r="N5735" s="91">
        <f t="shared" si="2148"/>
        <v>47.67</v>
      </c>
      <c r="O5735" s="411">
        <f t="shared" si="2162"/>
        <v>-47.67</v>
      </c>
      <c r="P5735" s="132" t="s">
        <v>235</v>
      </c>
      <c r="Q5735" s="232"/>
      <c r="R5735" s="411"/>
      <c r="T5735" s="439" t="s">
        <v>145</v>
      </c>
      <c r="U5735" s="267" t="s">
        <v>12414</v>
      </c>
      <c r="V5735" s="133" t="s">
        <v>12415</v>
      </c>
      <c r="AA5735" s="478"/>
    </row>
    <row r="5736" spans="1:27" ht="24" x14ac:dyDescent="0.25">
      <c r="A5736" s="432"/>
      <c r="B5736" s="433"/>
      <c r="C5736" s="432"/>
      <c r="D5736" s="454"/>
      <c r="E5736" s="120">
        <v>1000</v>
      </c>
      <c r="F5736" s="119" t="s">
        <v>12416</v>
      </c>
      <c r="G5736" s="435"/>
      <c r="H5736" s="438"/>
      <c r="I5736" s="438"/>
      <c r="J5736" s="438"/>
      <c r="K5736" s="437"/>
      <c r="L5736" s="187">
        <v>52</v>
      </c>
      <c r="M5736" s="187">
        <f>8.67+8.85</f>
        <v>17.52</v>
      </c>
      <c r="N5736" s="91">
        <f t="shared" si="2148"/>
        <v>69.52</v>
      </c>
      <c r="O5736" s="411">
        <f t="shared" si="2162"/>
        <v>-69.52</v>
      </c>
      <c r="P5736" s="132" t="s">
        <v>235</v>
      </c>
      <c r="Q5736" s="232"/>
      <c r="R5736" s="411"/>
      <c r="T5736" s="441"/>
      <c r="U5736" s="266" t="s">
        <v>12417</v>
      </c>
      <c r="V5736" s="133" t="s">
        <v>12415</v>
      </c>
      <c r="AA5736" s="478"/>
    </row>
    <row r="5737" spans="1:27" ht="24" x14ac:dyDescent="0.25">
      <c r="A5737" s="420"/>
      <c r="B5737" s="422"/>
      <c r="C5737" s="420"/>
      <c r="D5737" s="418"/>
      <c r="E5737" s="120">
        <v>500</v>
      </c>
      <c r="F5737" s="133" t="s">
        <v>12418</v>
      </c>
      <c r="G5737" s="436"/>
      <c r="H5737" s="428"/>
      <c r="I5737" s="428"/>
      <c r="J5737" s="428"/>
      <c r="K5737" s="426"/>
      <c r="L5737" s="187">
        <v>40</v>
      </c>
      <c r="M5737" s="187">
        <v>12.22</v>
      </c>
      <c r="N5737" s="91">
        <f t="shared" si="2148"/>
        <v>32.22</v>
      </c>
      <c r="O5737" s="411">
        <f t="shared" si="2162"/>
        <v>-32.22</v>
      </c>
      <c r="P5737" s="132" t="s">
        <v>313</v>
      </c>
      <c r="Q5737" s="232"/>
      <c r="R5737" s="411"/>
      <c r="T5737" s="134" t="s">
        <v>145</v>
      </c>
      <c r="U5737" s="267" t="s">
        <v>12419</v>
      </c>
      <c r="V5737" s="133" t="s">
        <v>12420</v>
      </c>
      <c r="AA5737" s="474"/>
    </row>
    <row r="5738" spans="1:27" ht="24" x14ac:dyDescent="0.25">
      <c r="A5738" s="405">
        <v>3004513</v>
      </c>
      <c r="B5738" s="406">
        <v>42635</v>
      </c>
      <c r="C5738" s="405" t="s">
        <v>56</v>
      </c>
      <c r="D5738" s="401" t="s">
        <v>12421</v>
      </c>
      <c r="E5738" s="120">
        <v>1000</v>
      </c>
      <c r="F5738" s="133" t="s">
        <v>12422</v>
      </c>
      <c r="G5738" s="242" t="s">
        <v>7486</v>
      </c>
      <c r="H5738" s="411">
        <v>430</v>
      </c>
      <c r="I5738" s="411">
        <v>0</v>
      </c>
      <c r="J5738" s="411">
        <v>0</v>
      </c>
      <c r="K5738" s="90">
        <f>SUM(H5738:J5738)</f>
        <v>430</v>
      </c>
      <c r="L5738" s="187">
        <v>310</v>
      </c>
      <c r="M5738" s="187">
        <v>49.74</v>
      </c>
      <c r="N5738" s="91">
        <f t="shared" si="2148"/>
        <v>359.74</v>
      </c>
      <c r="O5738" s="411">
        <f t="shared" si="2162"/>
        <v>70.259999999999991</v>
      </c>
      <c r="P5738" s="132" t="s">
        <v>183</v>
      </c>
      <c r="Q5738" s="232"/>
      <c r="R5738" s="411"/>
      <c r="T5738" s="134" t="s">
        <v>145</v>
      </c>
      <c r="U5738" s="267" t="s">
        <v>12423</v>
      </c>
      <c r="V5738" s="133" t="s">
        <v>12424</v>
      </c>
      <c r="AA5738" s="218"/>
    </row>
    <row r="5739" spans="1:27" ht="24" x14ac:dyDescent="0.25">
      <c r="A5739" s="405">
        <v>3004514</v>
      </c>
      <c r="B5739" s="406">
        <v>42635</v>
      </c>
      <c r="C5739" s="405" t="s">
        <v>42</v>
      </c>
      <c r="D5739" s="401" t="s">
        <v>12425</v>
      </c>
      <c r="E5739" s="120">
        <v>150</v>
      </c>
      <c r="F5739" s="133" t="s">
        <v>877</v>
      </c>
      <c r="G5739" s="404" t="s">
        <v>7486</v>
      </c>
      <c r="H5739" s="411">
        <v>129.47</v>
      </c>
      <c r="I5739" s="89">
        <f>-(H5739*0.09)</f>
        <v>-11.6523</v>
      </c>
      <c r="J5739" s="258">
        <f t="shared" ref="J5739" si="2185">-((H5739*0.019)+0.3)</f>
        <v>-2.7599299999999998</v>
      </c>
      <c r="K5739" s="90">
        <f t="shared" ref="K5739" si="2186">SUM(H5739:J5739)</f>
        <v>115.05777</v>
      </c>
      <c r="L5739" s="131">
        <v>235</v>
      </c>
      <c r="M5739" s="187">
        <v>13.57</v>
      </c>
      <c r="N5739" s="91">
        <f t="shared" ref="N5739:N5802" si="2187">((L5739)*(E5739*0.001))+M5739</f>
        <v>48.82</v>
      </c>
      <c r="O5739" s="411">
        <f t="shared" si="2162"/>
        <v>66.237770000000012</v>
      </c>
      <c r="P5739" s="132" t="s">
        <v>52</v>
      </c>
      <c r="Q5739" s="232"/>
      <c r="R5739" s="411"/>
      <c r="T5739" s="134" t="s">
        <v>145</v>
      </c>
      <c r="U5739" s="267" t="s">
        <v>12426</v>
      </c>
      <c r="AA5739" s="218"/>
    </row>
    <row r="5740" spans="1:27" x14ac:dyDescent="0.25">
      <c r="A5740" s="405">
        <v>3004515</v>
      </c>
      <c r="B5740" s="406">
        <v>42635</v>
      </c>
      <c r="C5740" s="405" t="s">
        <v>327</v>
      </c>
      <c r="D5740" s="401" t="s">
        <v>12427</v>
      </c>
      <c r="E5740" s="120">
        <v>50</v>
      </c>
      <c r="F5740" s="133" t="s">
        <v>12428</v>
      </c>
      <c r="G5740" s="404" t="s">
        <v>45</v>
      </c>
      <c r="H5740" s="411">
        <v>225</v>
      </c>
      <c r="I5740" s="411">
        <v>0</v>
      </c>
      <c r="J5740" s="258">
        <f>-((H5740*0.022)+0.3)</f>
        <v>-5.2499999999999991</v>
      </c>
      <c r="K5740" s="90">
        <f>SUM(H5740:J5740)</f>
        <v>219.75</v>
      </c>
      <c r="L5740" s="187">
        <v>1490</v>
      </c>
      <c r="N5740" s="91">
        <f t="shared" si="2187"/>
        <v>74.5</v>
      </c>
      <c r="O5740" s="411">
        <f t="shared" si="2162"/>
        <v>145.25</v>
      </c>
      <c r="P5740" s="132" t="s">
        <v>4288</v>
      </c>
      <c r="Q5740" s="232"/>
      <c r="R5740" s="411"/>
      <c r="T5740" s="134" t="s">
        <v>12429</v>
      </c>
      <c r="U5740" s="267" t="s">
        <v>12430</v>
      </c>
      <c r="W5740" s="153" t="s">
        <v>12431</v>
      </c>
      <c r="AA5740" s="218"/>
    </row>
    <row r="5741" spans="1:27" ht="24" x14ac:dyDescent="0.25">
      <c r="A5741" s="405">
        <v>3004516</v>
      </c>
      <c r="B5741" s="406">
        <v>42636</v>
      </c>
      <c r="C5741" s="405" t="s">
        <v>42</v>
      </c>
      <c r="D5741" s="401" t="s">
        <v>12432</v>
      </c>
      <c r="E5741" s="120">
        <v>100</v>
      </c>
      <c r="F5741" s="133" t="s">
        <v>431</v>
      </c>
      <c r="G5741" s="404" t="s">
        <v>7486</v>
      </c>
      <c r="H5741" s="411">
        <v>227.48</v>
      </c>
      <c r="I5741" s="89">
        <f>-(H5741*0.09)</f>
        <v>-20.473199999999999</v>
      </c>
      <c r="J5741" s="258">
        <f t="shared" ref="J5741" si="2188">-((H5741*0.019)+0.3)</f>
        <v>-4.6221199999999998</v>
      </c>
      <c r="K5741" s="90">
        <f t="shared" ref="K5741" si="2189">SUM(H5741:J5741)</f>
        <v>202.38468</v>
      </c>
      <c r="L5741" s="131">
        <v>990</v>
      </c>
      <c r="M5741" s="187">
        <v>30.31</v>
      </c>
      <c r="N5741" s="91">
        <f t="shared" si="2187"/>
        <v>129.31</v>
      </c>
      <c r="O5741" s="411">
        <f t="shared" si="2162"/>
        <v>73.074680000000001</v>
      </c>
      <c r="P5741" s="132" t="s">
        <v>52</v>
      </c>
      <c r="Q5741" s="232"/>
      <c r="R5741" s="411"/>
      <c r="T5741" s="134" t="s">
        <v>145</v>
      </c>
      <c r="U5741" s="267" t="s">
        <v>12433</v>
      </c>
      <c r="AA5741" s="218"/>
    </row>
    <row r="5742" spans="1:27" ht="24" x14ac:dyDescent="0.25">
      <c r="A5742" s="405">
        <v>3004517</v>
      </c>
      <c r="B5742" s="406">
        <v>42636</v>
      </c>
      <c r="C5742" s="405" t="s">
        <v>63</v>
      </c>
      <c r="D5742" s="401" t="s">
        <v>12434</v>
      </c>
      <c r="E5742" s="120">
        <v>500</v>
      </c>
      <c r="F5742" s="133" t="s">
        <v>12435</v>
      </c>
      <c r="G5742" s="404" t="s">
        <v>7486</v>
      </c>
      <c r="H5742" s="411">
        <v>254.86</v>
      </c>
      <c r="I5742" s="411">
        <v>0</v>
      </c>
      <c r="J5742" s="258">
        <f>-((H5742*0.022)+0.3)</f>
        <v>-5.9069199999999995</v>
      </c>
      <c r="K5742" s="90">
        <f>SUM(H5742:J5742)</f>
        <v>248.95308</v>
      </c>
      <c r="L5742" s="187">
        <v>269</v>
      </c>
      <c r="M5742" s="187">
        <v>17.95</v>
      </c>
      <c r="N5742" s="91">
        <f t="shared" si="2187"/>
        <v>152.44999999999999</v>
      </c>
      <c r="O5742" s="411">
        <f t="shared" si="2162"/>
        <v>96.503080000000011</v>
      </c>
      <c r="P5742" s="132" t="s">
        <v>183</v>
      </c>
      <c r="Q5742" s="232"/>
      <c r="R5742" s="411">
        <v>31.46</v>
      </c>
      <c r="S5742" s="133" t="s">
        <v>1396</v>
      </c>
      <c r="T5742" s="134" t="s">
        <v>145</v>
      </c>
      <c r="U5742" s="267" t="s">
        <v>12436</v>
      </c>
      <c r="W5742" s="153" t="s">
        <v>12437</v>
      </c>
      <c r="AA5742" s="218"/>
    </row>
    <row r="5743" spans="1:27" ht="24" x14ac:dyDescent="0.25">
      <c r="A5743" s="405">
        <v>3004518</v>
      </c>
      <c r="B5743" s="406">
        <v>42636</v>
      </c>
      <c r="C5743" s="405" t="s">
        <v>42</v>
      </c>
      <c r="D5743" s="401" t="s">
        <v>12438</v>
      </c>
      <c r="E5743" s="120">
        <v>1000</v>
      </c>
      <c r="F5743" s="133" t="s">
        <v>451</v>
      </c>
      <c r="G5743" s="404" t="s">
        <v>7486</v>
      </c>
      <c r="H5743" s="411">
        <v>585</v>
      </c>
      <c r="I5743" s="89">
        <f>-(H5743*0.09)</f>
        <v>-52.65</v>
      </c>
      <c r="J5743" s="258">
        <f t="shared" ref="J5743" si="2190">-((H5743*0.019)+0.3)</f>
        <v>-11.415000000000001</v>
      </c>
      <c r="K5743" s="90">
        <f t="shared" ref="K5743" si="2191">SUM(H5743:J5743)</f>
        <v>520.93500000000006</v>
      </c>
      <c r="L5743" s="187">
        <v>330</v>
      </c>
      <c r="M5743" s="131">
        <v>0</v>
      </c>
      <c r="N5743" s="91">
        <f t="shared" si="2187"/>
        <v>330</v>
      </c>
      <c r="O5743" s="411">
        <f t="shared" si="2162"/>
        <v>190.93500000000006</v>
      </c>
      <c r="P5743" s="132" t="s">
        <v>66</v>
      </c>
      <c r="Q5743" s="232"/>
      <c r="R5743" s="411"/>
      <c r="T5743" s="134" t="s">
        <v>12439</v>
      </c>
      <c r="U5743" s="267" t="s">
        <v>12440</v>
      </c>
      <c r="AA5743" s="218"/>
    </row>
    <row r="5744" spans="1:27" ht="24" x14ac:dyDescent="0.25">
      <c r="A5744" s="405">
        <v>3004519</v>
      </c>
      <c r="B5744" s="406">
        <v>42636</v>
      </c>
      <c r="C5744" s="405" t="s">
        <v>42</v>
      </c>
      <c r="D5744" s="401" t="s">
        <v>12441</v>
      </c>
      <c r="E5744" s="120">
        <v>50</v>
      </c>
      <c r="F5744" s="133" t="s">
        <v>161</v>
      </c>
      <c r="G5744" s="404" t="s">
        <v>7486</v>
      </c>
      <c r="H5744" s="411">
        <v>142.75</v>
      </c>
      <c r="I5744" s="89">
        <f>-(H5744*0.09)</f>
        <v>-12.8475</v>
      </c>
      <c r="J5744" s="258">
        <f t="shared" ref="J5744" si="2192">-((H5744*0.019)+0.3)</f>
        <v>-3.0122499999999999</v>
      </c>
      <c r="K5744" s="90">
        <f t="shared" ref="K5744" si="2193">SUM(H5744:J5744)</f>
        <v>126.89025000000001</v>
      </c>
      <c r="L5744" s="131">
        <v>1322</v>
      </c>
      <c r="M5744" s="187">
        <v>32.74</v>
      </c>
      <c r="N5744" s="91">
        <f t="shared" si="2187"/>
        <v>98.84</v>
      </c>
      <c r="O5744" s="411">
        <f t="shared" si="2162"/>
        <v>28.050250000000005</v>
      </c>
      <c r="P5744" s="132" t="s">
        <v>52</v>
      </c>
      <c r="Q5744" s="232"/>
      <c r="R5744" s="411"/>
      <c r="T5744" s="134" t="s">
        <v>145</v>
      </c>
      <c r="U5744" s="267" t="s">
        <v>12442</v>
      </c>
      <c r="AA5744" s="218"/>
    </row>
    <row r="5745" spans="1:27" ht="24" x14ac:dyDescent="0.25">
      <c r="A5745" s="405">
        <v>3004520</v>
      </c>
      <c r="B5745" s="406">
        <v>42636</v>
      </c>
      <c r="C5745" s="405" t="s">
        <v>327</v>
      </c>
      <c r="D5745" s="401" t="s">
        <v>754</v>
      </c>
      <c r="E5745" s="120">
        <v>42</v>
      </c>
      <c r="F5745" s="133" t="s">
        <v>1835</v>
      </c>
      <c r="G5745" s="404" t="s">
        <v>7486</v>
      </c>
      <c r="H5745" s="411">
        <v>220</v>
      </c>
      <c r="I5745" s="411">
        <v>0</v>
      </c>
      <c r="J5745" s="258">
        <f>-((H5745*0.022)+0.3)</f>
        <v>-5.14</v>
      </c>
      <c r="K5745" s="90">
        <f t="shared" ref="K5745:K5750" si="2194">SUM(H5745:J5745)</f>
        <v>214.86</v>
      </c>
      <c r="L5745" s="187">
        <v>2350</v>
      </c>
      <c r="M5745" s="187">
        <v>23.09</v>
      </c>
      <c r="N5745" s="91">
        <f t="shared" si="2187"/>
        <v>121.79</v>
      </c>
      <c r="O5745" s="411">
        <f t="shared" si="2162"/>
        <v>93.070000000000007</v>
      </c>
      <c r="P5745" s="132" t="s">
        <v>183</v>
      </c>
      <c r="Q5745" s="232"/>
      <c r="R5745" s="411"/>
      <c r="T5745" s="134" t="s">
        <v>145</v>
      </c>
      <c r="U5745" s="267" t="s">
        <v>12443</v>
      </c>
      <c r="W5745" s="153" t="s">
        <v>757</v>
      </c>
      <c r="AA5745" s="218"/>
    </row>
    <row r="5746" spans="1:27" ht="24" x14ac:dyDescent="0.25">
      <c r="A5746" s="405">
        <v>3004521</v>
      </c>
      <c r="B5746" s="406">
        <v>42636</v>
      </c>
      <c r="C5746" s="405" t="s">
        <v>237</v>
      </c>
      <c r="D5746" s="401" t="s">
        <v>12444</v>
      </c>
      <c r="E5746" s="120">
        <v>150</v>
      </c>
      <c r="F5746" s="133" t="s">
        <v>590</v>
      </c>
      <c r="G5746" s="404" t="s">
        <v>7486</v>
      </c>
      <c r="H5746" s="411">
        <v>166.6</v>
      </c>
      <c r="I5746" s="397">
        <f t="shared" ref="I5746" si="2195">-(H5746*0.15)</f>
        <v>-24.99</v>
      </c>
      <c r="J5746" s="258">
        <v>0</v>
      </c>
      <c r="K5746" s="90">
        <f t="shared" si="2194"/>
        <v>141.60999999999999</v>
      </c>
      <c r="L5746" s="131">
        <v>571.41999999999996</v>
      </c>
      <c r="M5746" s="187">
        <v>23.92</v>
      </c>
      <c r="N5746" s="91">
        <f t="shared" si="2187"/>
        <v>109.633</v>
      </c>
      <c r="O5746" s="411">
        <f t="shared" si="2162"/>
        <v>31.97699999999999</v>
      </c>
      <c r="P5746" s="132" t="s">
        <v>52</v>
      </c>
      <c r="Q5746" s="232"/>
      <c r="R5746" s="411"/>
      <c r="T5746" s="134" t="s">
        <v>145</v>
      </c>
      <c r="U5746" s="267" t="s">
        <v>12445</v>
      </c>
      <c r="AA5746" s="218"/>
    </row>
    <row r="5747" spans="1:27" ht="24" x14ac:dyDescent="0.25">
      <c r="A5747" s="405">
        <v>3004522</v>
      </c>
      <c r="B5747" s="406">
        <v>42636</v>
      </c>
      <c r="C5747" s="405" t="s">
        <v>237</v>
      </c>
      <c r="D5747" s="401" t="s">
        <v>12446</v>
      </c>
      <c r="E5747" s="120">
        <v>75</v>
      </c>
      <c r="F5747" s="133" t="s">
        <v>341</v>
      </c>
      <c r="G5747" s="404" t="s">
        <v>7486</v>
      </c>
      <c r="H5747" s="411">
        <v>126.71</v>
      </c>
      <c r="I5747" s="397">
        <f t="shared" ref="I5747" si="2196">-(H5747*0.15)</f>
        <v>-19.006499999999999</v>
      </c>
      <c r="J5747" s="258">
        <v>0</v>
      </c>
      <c r="K5747" s="90">
        <f t="shared" si="2194"/>
        <v>107.70349999999999</v>
      </c>
      <c r="L5747" s="131">
        <v>698</v>
      </c>
      <c r="M5747" s="187">
        <v>19.98</v>
      </c>
      <c r="N5747" s="91">
        <f t="shared" si="2187"/>
        <v>72.33</v>
      </c>
      <c r="O5747" s="411">
        <f t="shared" si="2162"/>
        <v>35.373499999999993</v>
      </c>
      <c r="P5747" s="132" t="s">
        <v>52</v>
      </c>
      <c r="Q5747" s="232"/>
      <c r="R5747" s="411"/>
      <c r="T5747" s="134" t="s">
        <v>145</v>
      </c>
      <c r="U5747" s="267" t="s">
        <v>12447</v>
      </c>
      <c r="AA5747" s="218"/>
    </row>
    <row r="5748" spans="1:27" ht="24" x14ac:dyDescent="0.25">
      <c r="A5748" s="405">
        <v>3004523</v>
      </c>
      <c r="B5748" s="406">
        <v>42636</v>
      </c>
      <c r="C5748" s="405" t="s">
        <v>237</v>
      </c>
      <c r="D5748" s="401" t="s">
        <v>12448</v>
      </c>
      <c r="E5748" s="120">
        <v>200</v>
      </c>
      <c r="F5748" s="133" t="s">
        <v>10653</v>
      </c>
      <c r="G5748" s="404" t="s">
        <v>7486</v>
      </c>
      <c r="H5748" s="411">
        <v>100</v>
      </c>
      <c r="I5748" s="397">
        <f t="shared" ref="I5748" si="2197">-(H5748*0.15)</f>
        <v>-15</v>
      </c>
      <c r="J5748" s="258">
        <v>0</v>
      </c>
      <c r="K5748" s="90">
        <f t="shared" si="2194"/>
        <v>85</v>
      </c>
      <c r="L5748" s="187">
        <v>310</v>
      </c>
      <c r="M5748" s="187">
        <v>15.99</v>
      </c>
      <c r="N5748" s="91">
        <f t="shared" si="2187"/>
        <v>77.989999999999995</v>
      </c>
      <c r="O5748" s="411">
        <f t="shared" si="2162"/>
        <v>7.0100000000000051</v>
      </c>
      <c r="P5748" s="132" t="s">
        <v>235</v>
      </c>
      <c r="Q5748" s="232"/>
      <c r="R5748" s="411"/>
      <c r="T5748" s="134" t="s">
        <v>145</v>
      </c>
      <c r="U5748" s="267" t="s">
        <v>12449</v>
      </c>
      <c r="AA5748" s="218"/>
    </row>
    <row r="5749" spans="1:27" x14ac:dyDescent="0.25">
      <c r="A5749" s="405">
        <v>3004524</v>
      </c>
      <c r="B5749" s="406">
        <v>42636</v>
      </c>
      <c r="C5749" s="405" t="s">
        <v>327</v>
      </c>
      <c r="D5749" s="401" t="s">
        <v>11960</v>
      </c>
      <c r="E5749" s="120">
        <v>2000</v>
      </c>
      <c r="F5749" s="133" t="s">
        <v>12450</v>
      </c>
      <c r="G5749" s="404" t="s">
        <v>7486</v>
      </c>
      <c r="H5749" s="411">
        <v>960</v>
      </c>
      <c r="I5749" s="411">
        <v>0</v>
      </c>
      <c r="J5749" s="258">
        <f>-((H5749*0.022)+0.3)</f>
        <v>-21.419999999999998</v>
      </c>
      <c r="K5749" s="90">
        <f t="shared" si="2194"/>
        <v>938.58</v>
      </c>
      <c r="L5749" s="187">
        <v>290</v>
      </c>
      <c r="M5749" s="187">
        <v>105</v>
      </c>
      <c r="N5749" s="91">
        <f t="shared" si="2187"/>
        <v>685</v>
      </c>
      <c r="O5749" s="411">
        <f t="shared" si="2162"/>
        <v>253.58000000000004</v>
      </c>
      <c r="P5749" s="132" t="s">
        <v>183</v>
      </c>
      <c r="Q5749" s="232"/>
      <c r="R5749" s="411"/>
      <c r="T5749" s="134" t="s">
        <v>67</v>
      </c>
      <c r="U5749" s="267" t="s">
        <v>12451</v>
      </c>
      <c r="W5749" s="153" t="s">
        <v>11962</v>
      </c>
      <c r="AA5749" s="218"/>
    </row>
    <row r="5750" spans="1:27" x14ac:dyDescent="0.25">
      <c r="A5750" s="419">
        <v>3004525</v>
      </c>
      <c r="B5750" s="421">
        <v>42636</v>
      </c>
      <c r="C5750" s="419" t="s">
        <v>141</v>
      </c>
      <c r="D5750" s="417" t="s">
        <v>4308</v>
      </c>
      <c r="E5750" s="120">
        <v>2625</v>
      </c>
      <c r="F5750" s="133" t="s">
        <v>12452</v>
      </c>
      <c r="G5750" s="434" t="s">
        <v>7486</v>
      </c>
      <c r="H5750" s="427">
        <v>6250</v>
      </c>
      <c r="I5750" s="427">
        <v>0</v>
      </c>
      <c r="J5750" s="425">
        <f>-((H5750*0.0325)+0.3)</f>
        <v>-203.42500000000001</v>
      </c>
      <c r="K5750" s="425">
        <f t="shared" si="2194"/>
        <v>6046.5749999999998</v>
      </c>
      <c r="L5750" s="131">
        <v>1322</v>
      </c>
      <c r="M5750" s="187">
        <v>197.5</v>
      </c>
      <c r="N5750" s="91">
        <f t="shared" si="2187"/>
        <v>3667.75</v>
      </c>
      <c r="O5750" s="411">
        <f t="shared" si="2162"/>
        <v>2378.8249999999998</v>
      </c>
      <c r="P5750" s="132" t="s">
        <v>52</v>
      </c>
      <c r="Q5750" s="232"/>
      <c r="R5750" s="411"/>
      <c r="T5750" s="134" t="s">
        <v>875</v>
      </c>
      <c r="U5750" s="267" t="s">
        <v>12453</v>
      </c>
      <c r="V5750" s="133" t="s">
        <v>55</v>
      </c>
      <c r="W5750" s="153" t="s">
        <v>4310</v>
      </c>
      <c r="AA5750" s="218">
        <v>100</v>
      </c>
    </row>
    <row r="5751" spans="1:27" x14ac:dyDescent="0.25">
      <c r="A5751" s="420"/>
      <c r="B5751" s="422"/>
      <c r="C5751" s="420"/>
      <c r="D5751" s="418"/>
      <c r="E5751" s="120">
        <v>375</v>
      </c>
      <c r="F5751" s="133" t="s">
        <v>12454</v>
      </c>
      <c r="G5751" s="436"/>
      <c r="H5751" s="428"/>
      <c r="I5751" s="428"/>
      <c r="J5751" s="426"/>
      <c r="K5751" s="426"/>
      <c r="L5751" s="131">
        <v>1322</v>
      </c>
      <c r="M5751" s="187">
        <v>90.01</v>
      </c>
      <c r="N5751" s="91">
        <f t="shared" si="2187"/>
        <v>585.76</v>
      </c>
      <c r="O5751" s="411">
        <f t="shared" si="2162"/>
        <v>-585.76</v>
      </c>
      <c r="P5751" s="132" t="s">
        <v>86</v>
      </c>
      <c r="Q5751" s="232"/>
      <c r="R5751" s="411"/>
      <c r="T5751" s="134" t="s">
        <v>875</v>
      </c>
      <c r="U5751" s="267" t="s">
        <v>12455</v>
      </c>
      <c r="V5751" s="133" t="s">
        <v>12456</v>
      </c>
      <c r="W5751" s="153"/>
      <c r="AA5751" s="218"/>
    </row>
    <row r="5752" spans="1:27" ht="24" x14ac:dyDescent="0.25">
      <c r="A5752" s="405">
        <v>3004526</v>
      </c>
      <c r="B5752" s="406">
        <v>42636</v>
      </c>
      <c r="C5752" s="405" t="s">
        <v>42</v>
      </c>
      <c r="D5752" s="401" t="s">
        <v>12457</v>
      </c>
      <c r="E5752" s="120">
        <v>50</v>
      </c>
      <c r="F5752" s="133" t="s">
        <v>1991</v>
      </c>
      <c r="G5752" s="404" t="s">
        <v>7486</v>
      </c>
      <c r="H5752" s="411">
        <v>320</v>
      </c>
      <c r="I5752" s="89">
        <f>-(H5752*0.09)</f>
        <v>-28.799999999999997</v>
      </c>
      <c r="J5752" s="258">
        <f t="shared" ref="J5752" si="2198">-((H5752*0.019)+0.3)</f>
        <v>-6.38</v>
      </c>
      <c r="K5752" s="90">
        <f t="shared" ref="K5752:K5753" si="2199">SUM(H5752:J5752)</f>
        <v>284.82</v>
      </c>
      <c r="L5752" s="187">
        <v>3150</v>
      </c>
      <c r="M5752" s="187">
        <v>33.18</v>
      </c>
      <c r="N5752" s="91">
        <f t="shared" si="2187"/>
        <v>190.68</v>
      </c>
      <c r="O5752" s="411">
        <f t="shared" si="2162"/>
        <v>94.139999999999986</v>
      </c>
      <c r="P5752" s="132" t="s">
        <v>183</v>
      </c>
      <c r="Q5752" s="232"/>
      <c r="R5752" s="411"/>
      <c r="T5752" s="134" t="s">
        <v>145</v>
      </c>
      <c r="U5752" s="267" t="s">
        <v>12458</v>
      </c>
      <c r="V5752" s="133" t="s">
        <v>10301</v>
      </c>
      <c r="AA5752" s="218"/>
    </row>
    <row r="5753" spans="1:27" x14ac:dyDescent="0.25">
      <c r="A5753" s="419">
        <v>3004527</v>
      </c>
      <c r="B5753" s="421">
        <v>42636</v>
      </c>
      <c r="C5753" s="419" t="s">
        <v>56</v>
      </c>
      <c r="D5753" s="417" t="s">
        <v>5176</v>
      </c>
      <c r="E5753" s="120">
        <v>900</v>
      </c>
      <c r="F5753" s="133" t="s">
        <v>12459</v>
      </c>
      <c r="G5753" s="460" t="s">
        <v>7486</v>
      </c>
      <c r="H5753" s="427">
        <v>33913.74</v>
      </c>
      <c r="I5753" s="427">
        <v>0</v>
      </c>
      <c r="J5753" s="427">
        <v>0</v>
      </c>
      <c r="K5753" s="425">
        <f t="shared" si="2199"/>
        <v>33913.74</v>
      </c>
      <c r="L5753" s="131">
        <v>312</v>
      </c>
      <c r="N5753" s="91">
        <f t="shared" si="2187"/>
        <v>280.8</v>
      </c>
      <c r="O5753" s="411">
        <f t="shared" si="2162"/>
        <v>33632.939999999995</v>
      </c>
      <c r="P5753" s="132" t="s">
        <v>638</v>
      </c>
      <c r="Q5753" s="232"/>
      <c r="R5753" s="411"/>
      <c r="T5753" s="470"/>
      <c r="U5753" s="505"/>
      <c r="V5753" s="133" t="s">
        <v>12460</v>
      </c>
      <c r="AA5753" s="218"/>
    </row>
    <row r="5754" spans="1:27" x14ac:dyDescent="0.25">
      <c r="A5754" s="432"/>
      <c r="B5754" s="433"/>
      <c r="C5754" s="432"/>
      <c r="D5754" s="454"/>
      <c r="E5754" s="120">
        <v>198</v>
      </c>
      <c r="F5754" s="133" t="s">
        <v>12461</v>
      </c>
      <c r="G5754" s="461"/>
      <c r="H5754" s="438"/>
      <c r="I5754" s="438"/>
      <c r="J5754" s="438"/>
      <c r="K5754" s="437"/>
      <c r="L5754" s="131">
        <v>373</v>
      </c>
      <c r="N5754" s="91">
        <f t="shared" si="2187"/>
        <v>73.853999999999999</v>
      </c>
      <c r="O5754" s="411">
        <f t="shared" si="2162"/>
        <v>-73.853999999999999</v>
      </c>
      <c r="P5754" s="132" t="s">
        <v>638</v>
      </c>
      <c r="Q5754" s="232"/>
      <c r="R5754" s="411"/>
      <c r="T5754" s="471"/>
      <c r="U5754" s="506"/>
      <c r="AA5754" s="218"/>
    </row>
    <row r="5755" spans="1:27" x14ac:dyDescent="0.25">
      <c r="A5755" s="432"/>
      <c r="B5755" s="433"/>
      <c r="C5755" s="432"/>
      <c r="D5755" s="454"/>
      <c r="E5755" s="120">
        <v>235</v>
      </c>
      <c r="F5755" s="133" t="s">
        <v>12462</v>
      </c>
      <c r="G5755" s="461"/>
      <c r="H5755" s="438"/>
      <c r="I5755" s="438"/>
      <c r="J5755" s="438"/>
      <c r="K5755" s="437"/>
      <c r="L5755" s="131">
        <v>984</v>
      </c>
      <c r="N5755" s="91">
        <f t="shared" si="2187"/>
        <v>231.24</v>
      </c>
      <c r="O5755" s="411">
        <f t="shared" si="2162"/>
        <v>-231.24</v>
      </c>
      <c r="P5755" s="132" t="s">
        <v>638</v>
      </c>
      <c r="Q5755" s="232"/>
      <c r="R5755" s="411"/>
      <c r="T5755" s="471"/>
      <c r="U5755" s="506"/>
      <c r="AA5755" s="218"/>
    </row>
    <row r="5756" spans="1:27" x14ac:dyDescent="0.25">
      <c r="A5756" s="432"/>
      <c r="B5756" s="433"/>
      <c r="C5756" s="432"/>
      <c r="D5756" s="454"/>
      <c r="E5756" s="120">
        <v>290</v>
      </c>
      <c r="F5756" s="133" t="s">
        <v>12463</v>
      </c>
      <c r="G5756" s="461"/>
      <c r="H5756" s="438"/>
      <c r="I5756" s="438"/>
      <c r="J5756" s="438"/>
      <c r="K5756" s="437"/>
      <c r="L5756" s="131">
        <v>984</v>
      </c>
      <c r="N5756" s="91">
        <f t="shared" si="2187"/>
        <v>285.35999999999996</v>
      </c>
      <c r="O5756" s="411">
        <f t="shared" si="2162"/>
        <v>-285.35999999999996</v>
      </c>
      <c r="P5756" s="132" t="s">
        <v>638</v>
      </c>
      <c r="Q5756" s="232"/>
      <c r="R5756" s="411"/>
      <c r="T5756" s="471"/>
      <c r="U5756" s="506"/>
      <c r="AA5756" s="218"/>
    </row>
    <row r="5757" spans="1:27" x14ac:dyDescent="0.25">
      <c r="A5757" s="432"/>
      <c r="B5757" s="433"/>
      <c r="C5757" s="432"/>
      <c r="D5757" s="454"/>
      <c r="E5757" s="120">
        <v>445</v>
      </c>
      <c r="F5757" s="133" t="s">
        <v>12464</v>
      </c>
      <c r="G5757" s="461"/>
      <c r="H5757" s="438"/>
      <c r="I5757" s="438"/>
      <c r="J5757" s="438"/>
      <c r="K5757" s="437"/>
      <c r="L5757" s="131">
        <v>1145</v>
      </c>
      <c r="N5757" s="91">
        <f t="shared" si="2187"/>
        <v>509.52500000000003</v>
      </c>
      <c r="O5757" s="411">
        <f t="shared" si="2162"/>
        <v>-509.52500000000003</v>
      </c>
      <c r="P5757" s="132" t="s">
        <v>638</v>
      </c>
      <c r="Q5757" s="232"/>
      <c r="R5757" s="411"/>
      <c r="T5757" s="471"/>
      <c r="U5757" s="506"/>
      <c r="AA5757" s="218"/>
    </row>
    <row r="5758" spans="1:27" x14ac:dyDescent="0.25">
      <c r="A5758" s="432"/>
      <c r="B5758" s="433"/>
      <c r="C5758" s="432"/>
      <c r="D5758" s="454"/>
      <c r="E5758" s="120">
        <v>363</v>
      </c>
      <c r="F5758" s="133" t="s">
        <v>12465</v>
      </c>
      <c r="G5758" s="461"/>
      <c r="H5758" s="438"/>
      <c r="I5758" s="438"/>
      <c r="J5758" s="438"/>
      <c r="K5758" s="437"/>
      <c r="L5758" s="131">
        <v>2224</v>
      </c>
      <c r="N5758" s="91">
        <f t="shared" si="2187"/>
        <v>807.31200000000001</v>
      </c>
      <c r="O5758" s="411">
        <f t="shared" si="2162"/>
        <v>-807.31200000000001</v>
      </c>
      <c r="P5758" s="132" t="s">
        <v>638</v>
      </c>
      <c r="Q5758" s="232"/>
      <c r="R5758" s="411"/>
      <c r="T5758" s="471"/>
      <c r="U5758" s="506"/>
      <c r="AA5758" s="218"/>
    </row>
    <row r="5759" spans="1:27" x14ac:dyDescent="0.25">
      <c r="A5759" s="432"/>
      <c r="B5759" s="433"/>
      <c r="C5759" s="432"/>
      <c r="D5759" s="454"/>
      <c r="E5759" s="120">
        <v>485</v>
      </c>
      <c r="F5759" s="133" t="s">
        <v>12466</v>
      </c>
      <c r="G5759" s="461"/>
      <c r="H5759" s="438"/>
      <c r="I5759" s="438"/>
      <c r="J5759" s="438"/>
      <c r="K5759" s="437"/>
      <c r="L5759" s="131">
        <v>2224</v>
      </c>
      <c r="N5759" s="91">
        <f t="shared" si="2187"/>
        <v>1078.6399999999999</v>
      </c>
      <c r="O5759" s="411">
        <f t="shared" si="2162"/>
        <v>-1078.6399999999999</v>
      </c>
      <c r="P5759" s="132" t="s">
        <v>638</v>
      </c>
      <c r="Q5759" s="232"/>
      <c r="R5759" s="411"/>
      <c r="T5759" s="471"/>
      <c r="U5759" s="506"/>
      <c r="AA5759" s="218"/>
    </row>
    <row r="5760" spans="1:27" x14ac:dyDescent="0.25">
      <c r="A5760" s="432"/>
      <c r="B5760" s="433"/>
      <c r="C5760" s="432"/>
      <c r="D5760" s="454"/>
      <c r="E5760" s="120">
        <v>440</v>
      </c>
      <c r="F5760" s="133" t="s">
        <v>12467</v>
      </c>
      <c r="G5760" s="461"/>
      <c r="H5760" s="438"/>
      <c r="I5760" s="438"/>
      <c r="J5760" s="438"/>
      <c r="K5760" s="437"/>
      <c r="L5760" s="131">
        <v>2224</v>
      </c>
      <c r="N5760" s="91">
        <f t="shared" si="2187"/>
        <v>978.56000000000006</v>
      </c>
      <c r="O5760" s="411">
        <f t="shared" si="2162"/>
        <v>-978.56000000000006</v>
      </c>
      <c r="P5760" s="132" t="s">
        <v>638</v>
      </c>
      <c r="Q5760" s="232"/>
      <c r="R5760" s="411"/>
      <c r="T5760" s="471"/>
      <c r="U5760" s="506"/>
      <c r="AA5760" s="218"/>
    </row>
    <row r="5761" spans="1:27" x14ac:dyDescent="0.25">
      <c r="A5761" s="432"/>
      <c r="B5761" s="433"/>
      <c r="C5761" s="432"/>
      <c r="D5761" s="454"/>
      <c r="E5761" s="120">
        <v>340</v>
      </c>
      <c r="F5761" s="133" t="s">
        <v>12468</v>
      </c>
      <c r="G5761" s="461"/>
      <c r="H5761" s="438"/>
      <c r="I5761" s="438"/>
      <c r="J5761" s="438"/>
      <c r="K5761" s="437"/>
      <c r="L5761" s="131">
        <v>2540</v>
      </c>
      <c r="N5761" s="91">
        <f t="shared" si="2187"/>
        <v>863.6</v>
      </c>
      <c r="O5761" s="411">
        <f t="shared" si="2162"/>
        <v>-863.6</v>
      </c>
      <c r="P5761" s="132" t="s">
        <v>638</v>
      </c>
      <c r="Q5761" s="232"/>
      <c r="R5761" s="411"/>
      <c r="T5761" s="471"/>
      <c r="U5761" s="506"/>
      <c r="AA5761" s="218"/>
    </row>
    <row r="5762" spans="1:27" x14ac:dyDescent="0.25">
      <c r="A5762" s="432"/>
      <c r="B5762" s="433"/>
      <c r="C5762" s="432"/>
      <c r="D5762" s="454"/>
      <c r="E5762" s="120">
        <v>353</v>
      </c>
      <c r="F5762" s="133" t="s">
        <v>12469</v>
      </c>
      <c r="G5762" s="461"/>
      <c r="H5762" s="438"/>
      <c r="I5762" s="438"/>
      <c r="J5762" s="438"/>
      <c r="K5762" s="437"/>
      <c r="L5762" s="131">
        <v>2540</v>
      </c>
      <c r="N5762" s="91">
        <f t="shared" si="2187"/>
        <v>896.62</v>
      </c>
      <c r="O5762" s="411">
        <f t="shared" si="2162"/>
        <v>-896.62</v>
      </c>
      <c r="P5762" s="132" t="s">
        <v>638</v>
      </c>
      <c r="Q5762" s="232"/>
      <c r="R5762" s="411"/>
      <c r="T5762" s="471"/>
      <c r="U5762" s="506"/>
      <c r="AA5762" s="218"/>
    </row>
    <row r="5763" spans="1:27" x14ac:dyDescent="0.25">
      <c r="A5763" s="432"/>
      <c r="B5763" s="433"/>
      <c r="C5763" s="432"/>
      <c r="D5763" s="454"/>
      <c r="E5763" s="120">
        <v>562</v>
      </c>
      <c r="F5763" s="133" t="s">
        <v>12470</v>
      </c>
      <c r="G5763" s="461"/>
      <c r="H5763" s="438"/>
      <c r="I5763" s="438"/>
      <c r="J5763" s="438"/>
      <c r="K5763" s="437"/>
      <c r="L5763" s="131">
        <v>2820</v>
      </c>
      <c r="N5763" s="91">
        <f t="shared" si="2187"/>
        <v>1584.8400000000001</v>
      </c>
      <c r="O5763" s="411">
        <f t="shared" si="2162"/>
        <v>-1584.8400000000001</v>
      </c>
      <c r="P5763" s="132" t="s">
        <v>638</v>
      </c>
      <c r="Q5763" s="232"/>
      <c r="R5763" s="411"/>
      <c r="T5763" s="471"/>
      <c r="U5763" s="506"/>
      <c r="AA5763" s="218"/>
    </row>
    <row r="5764" spans="1:27" x14ac:dyDescent="0.25">
      <c r="A5764" s="432"/>
      <c r="B5764" s="433"/>
      <c r="C5764" s="432"/>
      <c r="D5764" s="454"/>
      <c r="E5764" s="120">
        <v>400</v>
      </c>
      <c r="F5764" s="133" t="s">
        <v>12471</v>
      </c>
      <c r="G5764" s="461"/>
      <c r="H5764" s="438"/>
      <c r="I5764" s="438"/>
      <c r="J5764" s="438"/>
      <c r="K5764" s="437"/>
      <c r="L5764" s="131">
        <v>2820</v>
      </c>
      <c r="N5764" s="91">
        <f t="shared" si="2187"/>
        <v>1128</v>
      </c>
      <c r="O5764" s="411">
        <f t="shared" ref="O5764:O5827" si="2200">K5764-N5764</f>
        <v>-1128</v>
      </c>
      <c r="P5764" s="132" t="s">
        <v>638</v>
      </c>
      <c r="Q5764" s="232"/>
      <c r="R5764" s="411"/>
      <c r="T5764" s="471"/>
      <c r="U5764" s="506"/>
      <c r="AA5764" s="218"/>
    </row>
    <row r="5765" spans="1:27" ht="24" x14ac:dyDescent="0.25">
      <c r="A5765" s="432"/>
      <c r="B5765" s="433"/>
      <c r="C5765" s="432"/>
      <c r="D5765" s="454"/>
      <c r="E5765" s="120">
        <v>2751</v>
      </c>
      <c r="F5765" s="119" t="s">
        <v>12472</v>
      </c>
      <c r="G5765" s="461"/>
      <c r="H5765" s="438"/>
      <c r="I5765" s="438"/>
      <c r="J5765" s="438"/>
      <c r="K5765" s="437"/>
      <c r="L5765" s="131">
        <v>3626</v>
      </c>
      <c r="N5765" s="91">
        <f t="shared" si="2187"/>
        <v>9975.1260000000002</v>
      </c>
      <c r="O5765" s="411">
        <f t="shared" si="2200"/>
        <v>-9975.1260000000002</v>
      </c>
      <c r="P5765" s="132" t="s">
        <v>638</v>
      </c>
      <c r="Q5765" s="232"/>
      <c r="R5765" s="411"/>
      <c r="T5765" s="471"/>
      <c r="U5765" s="506"/>
      <c r="AA5765" s="218"/>
    </row>
    <row r="5766" spans="1:27" x14ac:dyDescent="0.25">
      <c r="A5766" s="432"/>
      <c r="B5766" s="433"/>
      <c r="C5766" s="432"/>
      <c r="D5766" s="454"/>
      <c r="E5766" s="120">
        <v>235</v>
      </c>
      <c r="F5766" s="133" t="s">
        <v>12473</v>
      </c>
      <c r="G5766" s="461"/>
      <c r="H5766" s="438"/>
      <c r="I5766" s="438"/>
      <c r="J5766" s="438"/>
      <c r="K5766" s="437"/>
      <c r="L5766" s="131">
        <v>3626</v>
      </c>
      <c r="N5766" s="91">
        <f t="shared" si="2187"/>
        <v>852.11</v>
      </c>
      <c r="O5766" s="411">
        <f t="shared" si="2200"/>
        <v>-852.11</v>
      </c>
      <c r="P5766" s="132" t="s">
        <v>638</v>
      </c>
      <c r="Q5766" s="232"/>
      <c r="R5766" s="411"/>
      <c r="T5766" s="471"/>
      <c r="U5766" s="506"/>
      <c r="AA5766" s="218"/>
    </row>
    <row r="5767" spans="1:27" x14ac:dyDescent="0.25">
      <c r="A5767" s="432"/>
      <c r="B5767" s="433"/>
      <c r="C5767" s="432"/>
      <c r="D5767" s="454"/>
      <c r="E5767" s="120">
        <v>376</v>
      </c>
      <c r="F5767" s="133" t="s">
        <v>12345</v>
      </c>
      <c r="G5767" s="461"/>
      <c r="H5767" s="438"/>
      <c r="I5767" s="438"/>
      <c r="J5767" s="438"/>
      <c r="K5767" s="437"/>
      <c r="L5767" s="131">
        <v>3626</v>
      </c>
      <c r="N5767" s="91">
        <f t="shared" si="2187"/>
        <v>1363.376</v>
      </c>
      <c r="O5767" s="411">
        <f t="shared" si="2200"/>
        <v>-1363.376</v>
      </c>
      <c r="P5767" s="132" t="s">
        <v>638</v>
      </c>
      <c r="Q5767" s="232"/>
      <c r="R5767" s="411"/>
      <c r="T5767" s="471"/>
      <c r="U5767" s="506"/>
      <c r="AA5767" s="218"/>
    </row>
    <row r="5768" spans="1:27" x14ac:dyDescent="0.25">
      <c r="A5768" s="432"/>
      <c r="B5768" s="433"/>
      <c r="C5768" s="432"/>
      <c r="D5768" s="454"/>
      <c r="E5768" s="120">
        <v>351</v>
      </c>
      <c r="F5768" s="133" t="s">
        <v>12348</v>
      </c>
      <c r="G5768" s="461"/>
      <c r="H5768" s="438"/>
      <c r="I5768" s="438"/>
      <c r="J5768" s="438"/>
      <c r="K5768" s="437"/>
      <c r="L5768" s="131">
        <v>3626</v>
      </c>
      <c r="N5768" s="91">
        <f t="shared" si="2187"/>
        <v>1272.7260000000001</v>
      </c>
      <c r="O5768" s="411">
        <f t="shared" si="2200"/>
        <v>-1272.7260000000001</v>
      </c>
      <c r="P5768" s="132" t="s">
        <v>638</v>
      </c>
      <c r="Q5768" s="232"/>
      <c r="R5768" s="411"/>
      <c r="T5768" s="471"/>
      <c r="U5768" s="506"/>
      <c r="AA5768" s="218"/>
    </row>
    <row r="5769" spans="1:27" x14ac:dyDescent="0.25">
      <c r="A5769" s="432"/>
      <c r="B5769" s="433"/>
      <c r="C5769" s="432"/>
      <c r="D5769" s="454"/>
      <c r="E5769" s="120">
        <v>290</v>
      </c>
      <c r="F5769" s="133" t="s">
        <v>12474</v>
      </c>
      <c r="G5769" s="461"/>
      <c r="H5769" s="438"/>
      <c r="I5769" s="438"/>
      <c r="J5769" s="438"/>
      <c r="K5769" s="437"/>
      <c r="L5769" s="131">
        <v>4452</v>
      </c>
      <c r="N5769" s="91">
        <f t="shared" si="2187"/>
        <v>1291.08</v>
      </c>
      <c r="O5769" s="411">
        <f t="shared" si="2200"/>
        <v>-1291.08</v>
      </c>
      <c r="P5769" s="132" t="s">
        <v>638</v>
      </c>
      <c r="Q5769" s="232"/>
      <c r="R5769" s="411"/>
      <c r="T5769" s="471"/>
      <c r="U5769" s="506"/>
      <c r="AA5769" s="218"/>
    </row>
    <row r="5770" spans="1:27" x14ac:dyDescent="0.25">
      <c r="A5770" s="432"/>
      <c r="B5770" s="433"/>
      <c r="C5770" s="432"/>
      <c r="D5770" s="454"/>
      <c r="E5770" s="120">
        <v>749</v>
      </c>
      <c r="F5770" s="133" t="s">
        <v>12475</v>
      </c>
      <c r="G5770" s="461"/>
      <c r="H5770" s="438"/>
      <c r="I5770" s="438"/>
      <c r="J5770" s="438"/>
      <c r="K5770" s="437"/>
      <c r="L5770" s="131">
        <v>4452</v>
      </c>
      <c r="N5770" s="91">
        <f t="shared" si="2187"/>
        <v>3334.5479999999998</v>
      </c>
      <c r="O5770" s="411">
        <f t="shared" si="2200"/>
        <v>-3334.5479999999998</v>
      </c>
      <c r="P5770" s="132" t="s">
        <v>638</v>
      </c>
      <c r="Q5770" s="232"/>
      <c r="R5770" s="411"/>
      <c r="T5770" s="471"/>
      <c r="U5770" s="506"/>
      <c r="AA5770" s="218"/>
    </row>
    <row r="5771" spans="1:27" x14ac:dyDescent="0.25">
      <c r="A5771" s="432"/>
      <c r="B5771" s="433"/>
      <c r="C5771" s="432"/>
      <c r="D5771" s="454"/>
      <c r="E5771" s="120">
        <v>443</v>
      </c>
      <c r="F5771" s="133" t="s">
        <v>12476</v>
      </c>
      <c r="G5771" s="461"/>
      <c r="H5771" s="438"/>
      <c r="I5771" s="438"/>
      <c r="J5771" s="438"/>
      <c r="K5771" s="437"/>
      <c r="L5771" s="131">
        <v>4452</v>
      </c>
      <c r="N5771" s="91">
        <f t="shared" si="2187"/>
        <v>1972.2360000000001</v>
      </c>
      <c r="O5771" s="411">
        <f t="shared" si="2200"/>
        <v>-1972.2360000000001</v>
      </c>
      <c r="P5771" s="132" t="s">
        <v>638</v>
      </c>
      <c r="Q5771" s="232"/>
      <c r="R5771" s="411"/>
      <c r="T5771" s="471"/>
      <c r="U5771" s="506"/>
      <c r="AA5771" s="218"/>
    </row>
    <row r="5772" spans="1:27" x14ac:dyDescent="0.25">
      <c r="A5772" s="420"/>
      <c r="B5772" s="422"/>
      <c r="C5772" s="420"/>
      <c r="D5772" s="418"/>
      <c r="E5772" s="120">
        <v>365</v>
      </c>
      <c r="F5772" s="133" t="s">
        <v>12477</v>
      </c>
      <c r="G5772" s="462"/>
      <c r="H5772" s="428"/>
      <c r="I5772" s="428"/>
      <c r="J5772" s="428"/>
      <c r="K5772" s="426"/>
      <c r="L5772" s="131">
        <v>4452</v>
      </c>
      <c r="N5772" s="91">
        <f t="shared" si="2187"/>
        <v>1624.98</v>
      </c>
      <c r="O5772" s="411">
        <f t="shared" si="2200"/>
        <v>-1624.98</v>
      </c>
      <c r="P5772" s="132" t="s">
        <v>638</v>
      </c>
      <c r="Q5772" s="232"/>
      <c r="R5772" s="411"/>
      <c r="T5772" s="472"/>
      <c r="U5772" s="490"/>
      <c r="AA5772" s="218"/>
    </row>
    <row r="5773" spans="1:27" x14ac:dyDescent="0.25">
      <c r="A5773" s="419">
        <v>3004528</v>
      </c>
      <c r="B5773" s="421">
        <v>42639</v>
      </c>
      <c r="C5773" s="419" t="s">
        <v>63</v>
      </c>
      <c r="D5773" s="417" t="s">
        <v>5621</v>
      </c>
      <c r="E5773" s="120">
        <v>150</v>
      </c>
      <c r="F5773" s="133" t="s">
        <v>12478</v>
      </c>
      <c r="G5773" s="434" t="s">
        <v>7486</v>
      </c>
      <c r="H5773" s="427">
        <v>1265</v>
      </c>
      <c r="I5773" s="427">
        <v>0</v>
      </c>
      <c r="J5773" s="425">
        <f>-((H5773*0.022)+0.3)</f>
        <v>-28.13</v>
      </c>
      <c r="K5773" s="425">
        <f>SUM(H5773:J5773)</f>
        <v>1236.8699999999999</v>
      </c>
      <c r="L5773" s="187">
        <v>5200</v>
      </c>
      <c r="M5773" s="187">
        <v>215.23</v>
      </c>
      <c r="N5773" s="91">
        <f t="shared" si="2187"/>
        <v>995.23</v>
      </c>
      <c r="O5773" s="411">
        <f t="shared" si="2200"/>
        <v>241.63999999999987</v>
      </c>
      <c r="P5773" s="132" t="s">
        <v>183</v>
      </c>
      <c r="Q5773" s="232"/>
      <c r="R5773" s="411"/>
      <c r="T5773" s="470" t="s">
        <v>324</v>
      </c>
      <c r="U5773" s="481" t="s">
        <v>12479</v>
      </c>
      <c r="W5773" s="153" t="s">
        <v>5624</v>
      </c>
      <c r="AA5773" s="547">
        <v>10</v>
      </c>
    </row>
    <row r="5774" spans="1:27" x14ac:dyDescent="0.25">
      <c r="A5774" s="420"/>
      <c r="B5774" s="422"/>
      <c r="C5774" s="420"/>
      <c r="D5774" s="418"/>
      <c r="E5774" s="120">
        <v>100</v>
      </c>
      <c r="F5774" s="133" t="s">
        <v>12480</v>
      </c>
      <c r="G5774" s="436"/>
      <c r="H5774" s="428"/>
      <c r="I5774" s="428"/>
      <c r="J5774" s="426"/>
      <c r="K5774" s="426"/>
      <c r="L5774" s="187">
        <v>530</v>
      </c>
      <c r="M5774" s="187">
        <v>24.48</v>
      </c>
      <c r="N5774" s="91">
        <f t="shared" si="2187"/>
        <v>77.48</v>
      </c>
      <c r="O5774" s="411">
        <f t="shared" si="2200"/>
        <v>-77.48</v>
      </c>
      <c r="P5774" s="132" t="s">
        <v>183</v>
      </c>
      <c r="Q5774" s="232"/>
      <c r="R5774" s="411"/>
      <c r="T5774" s="472"/>
      <c r="U5774" s="483"/>
      <c r="AA5774" s="548"/>
    </row>
    <row r="5775" spans="1:27" ht="24" x14ac:dyDescent="0.25">
      <c r="A5775" s="405">
        <v>3004529</v>
      </c>
      <c r="B5775" s="406">
        <v>42639</v>
      </c>
      <c r="C5775" s="405" t="s">
        <v>42</v>
      </c>
      <c r="D5775" s="401" t="s">
        <v>12481</v>
      </c>
      <c r="E5775" s="120">
        <v>250</v>
      </c>
      <c r="F5775" s="133" t="s">
        <v>173</v>
      </c>
      <c r="G5775" s="404" t="s">
        <v>7486</v>
      </c>
      <c r="H5775" s="411">
        <v>225</v>
      </c>
      <c r="I5775" s="89">
        <f>-(H5775*0.09)</f>
        <v>-20.25</v>
      </c>
      <c r="J5775" s="258">
        <f t="shared" ref="J5775" si="2201">-((H5775*0.019)+0.3)</f>
        <v>-4.5749999999999993</v>
      </c>
      <c r="K5775" s="90">
        <f t="shared" ref="K5775" si="2202">SUM(H5775:J5775)</f>
        <v>200.17500000000001</v>
      </c>
      <c r="L5775" s="131">
        <v>409</v>
      </c>
      <c r="M5775" s="187">
        <v>44.11</v>
      </c>
      <c r="N5775" s="91">
        <f t="shared" si="2187"/>
        <v>146.36000000000001</v>
      </c>
      <c r="O5775" s="411">
        <f t="shared" si="2200"/>
        <v>53.814999999999998</v>
      </c>
      <c r="P5775" s="132" t="s">
        <v>52</v>
      </c>
      <c r="Q5775" s="232"/>
      <c r="R5775" s="411"/>
      <c r="T5775" s="134" t="s">
        <v>145</v>
      </c>
      <c r="U5775" s="267" t="s">
        <v>12482</v>
      </c>
      <c r="AA5775" s="218"/>
    </row>
    <row r="5776" spans="1:27" ht="24" x14ac:dyDescent="0.25">
      <c r="A5776" s="405">
        <v>3004530</v>
      </c>
      <c r="B5776" s="406">
        <v>42639</v>
      </c>
      <c r="C5776" s="405" t="s">
        <v>237</v>
      </c>
      <c r="D5776" s="401" t="s">
        <v>12483</v>
      </c>
      <c r="E5776" s="120">
        <v>150</v>
      </c>
      <c r="F5776" s="133" t="s">
        <v>1293</v>
      </c>
      <c r="G5776" s="404" t="s">
        <v>7486</v>
      </c>
      <c r="H5776" s="411">
        <v>154.83000000000001</v>
      </c>
      <c r="I5776" s="397">
        <f t="shared" ref="I5776" si="2203">-(H5776*0.15)</f>
        <v>-23.224500000000003</v>
      </c>
      <c r="J5776" s="258">
        <v>0</v>
      </c>
      <c r="K5776" s="90">
        <f>SUM(H5776:J5776)</f>
        <v>131.60550000000001</v>
      </c>
      <c r="L5776" s="131">
        <v>504</v>
      </c>
      <c r="M5776" s="187">
        <v>29.32</v>
      </c>
      <c r="N5776" s="91">
        <f t="shared" si="2187"/>
        <v>104.91999999999999</v>
      </c>
      <c r="O5776" s="411">
        <f t="shared" si="2200"/>
        <v>26.685500000000019</v>
      </c>
      <c r="P5776" s="132" t="s">
        <v>52</v>
      </c>
      <c r="Q5776" s="232"/>
      <c r="R5776" s="411"/>
      <c r="T5776" s="134" t="s">
        <v>145</v>
      </c>
      <c r="U5776" s="267" t="s">
        <v>12484</v>
      </c>
      <c r="AA5776" s="218"/>
    </row>
    <row r="5777" spans="1:27" ht="24" x14ac:dyDescent="0.25">
      <c r="A5777" s="405">
        <v>3004531</v>
      </c>
      <c r="B5777" s="406">
        <v>42639</v>
      </c>
      <c r="C5777" s="405" t="s">
        <v>42</v>
      </c>
      <c r="D5777" s="401" t="s">
        <v>12485</v>
      </c>
      <c r="E5777" s="120">
        <v>175</v>
      </c>
      <c r="F5777" s="133" t="s">
        <v>247</v>
      </c>
      <c r="G5777" s="404" t="s">
        <v>7486</v>
      </c>
      <c r="H5777" s="411">
        <v>216.88</v>
      </c>
      <c r="I5777" s="89">
        <f>-(H5777*0.09)</f>
        <v>-19.519199999999998</v>
      </c>
      <c r="J5777" s="258">
        <f t="shared" ref="J5777" si="2204">-((H5777*0.019)+0.3)</f>
        <v>-4.4207199999999993</v>
      </c>
      <c r="K5777" s="90">
        <f t="shared" ref="K5777" si="2205">SUM(H5777:J5777)</f>
        <v>192.94007999999999</v>
      </c>
      <c r="L5777" s="187">
        <v>672</v>
      </c>
      <c r="M5777" s="187">
        <v>41.97</v>
      </c>
      <c r="N5777" s="91">
        <f t="shared" si="2187"/>
        <v>159.57</v>
      </c>
      <c r="O5777" s="411">
        <f t="shared" si="2200"/>
        <v>33.370080000000002</v>
      </c>
      <c r="P5777" s="132" t="s">
        <v>313</v>
      </c>
      <c r="Q5777" s="232"/>
      <c r="R5777" s="411"/>
      <c r="T5777" s="134" t="s">
        <v>145</v>
      </c>
      <c r="U5777" s="267" t="s">
        <v>12486</v>
      </c>
      <c r="AA5777" s="218"/>
    </row>
    <row r="5778" spans="1:27" ht="24" x14ac:dyDescent="0.25">
      <c r="A5778" s="405">
        <v>3004532</v>
      </c>
      <c r="B5778" s="406">
        <v>42639</v>
      </c>
      <c r="C5778" s="405" t="s">
        <v>42</v>
      </c>
      <c r="D5778" s="401" t="s">
        <v>12487</v>
      </c>
      <c r="E5778" s="120">
        <v>250</v>
      </c>
      <c r="F5778" s="133" t="s">
        <v>207</v>
      </c>
      <c r="G5778" s="404" t="s">
        <v>7486</v>
      </c>
      <c r="H5778" s="411">
        <v>270</v>
      </c>
      <c r="I5778" s="89">
        <f>-(H5778*0.09)</f>
        <v>-24.3</v>
      </c>
      <c r="J5778" s="258">
        <f t="shared" ref="J5778" si="2206">-((H5778*0.019)+0.3)</f>
        <v>-5.43</v>
      </c>
      <c r="K5778" s="90">
        <f t="shared" ref="K5778" si="2207">SUM(H5778:J5778)</f>
        <v>240.26999999999998</v>
      </c>
      <c r="L5778" s="131">
        <v>570</v>
      </c>
      <c r="M5778" s="187">
        <v>44.66</v>
      </c>
      <c r="N5778" s="91">
        <f t="shared" si="2187"/>
        <v>187.16</v>
      </c>
      <c r="O5778" s="411">
        <f t="shared" si="2200"/>
        <v>53.109999999999985</v>
      </c>
      <c r="P5778" s="132" t="s">
        <v>52</v>
      </c>
      <c r="Q5778" s="232"/>
      <c r="R5778" s="411"/>
      <c r="T5778" s="134" t="s">
        <v>145</v>
      </c>
      <c r="U5778" s="267" t="s">
        <v>12488</v>
      </c>
      <c r="AA5778" s="218"/>
    </row>
    <row r="5779" spans="1:27" ht="24" x14ac:dyDescent="0.25">
      <c r="A5779" s="405">
        <v>3004533</v>
      </c>
      <c r="B5779" s="406">
        <v>42639</v>
      </c>
      <c r="C5779" s="405" t="s">
        <v>42</v>
      </c>
      <c r="D5779" s="401" t="s">
        <v>12489</v>
      </c>
      <c r="E5779" s="120">
        <v>100</v>
      </c>
      <c r="F5779" s="133" t="s">
        <v>829</v>
      </c>
      <c r="G5779" s="404" t="s">
        <v>7486</v>
      </c>
      <c r="H5779" s="411">
        <v>112.63</v>
      </c>
      <c r="I5779" s="89">
        <f>-(H5779*0.09)</f>
        <v>-10.136699999999999</v>
      </c>
      <c r="J5779" s="258">
        <f t="shared" ref="J5779" si="2208">-((H5779*0.019)+0.3)</f>
        <v>-2.4399699999999998</v>
      </c>
      <c r="K5779" s="90">
        <f t="shared" ref="K5779" si="2209">SUM(H5779:J5779)</f>
        <v>100.05332999999999</v>
      </c>
      <c r="L5779" s="131">
        <v>510</v>
      </c>
      <c r="M5779" s="187">
        <v>28.16</v>
      </c>
      <c r="N5779" s="91">
        <f t="shared" si="2187"/>
        <v>79.16</v>
      </c>
      <c r="O5779" s="411">
        <f t="shared" si="2200"/>
        <v>20.893329999999992</v>
      </c>
      <c r="P5779" s="132" t="s">
        <v>52</v>
      </c>
      <c r="Q5779" s="232"/>
      <c r="R5779" s="411"/>
      <c r="T5779" s="134" t="s">
        <v>145</v>
      </c>
      <c r="U5779" s="267" t="s">
        <v>12490</v>
      </c>
      <c r="AA5779" s="218"/>
    </row>
    <row r="5780" spans="1:27" ht="24" x14ac:dyDescent="0.25">
      <c r="A5780" s="405">
        <v>3004534</v>
      </c>
      <c r="B5780" s="406">
        <v>42639</v>
      </c>
      <c r="C5780" s="405" t="s">
        <v>141</v>
      </c>
      <c r="D5780" s="401" t="s">
        <v>12491</v>
      </c>
      <c r="E5780" s="120">
        <v>500</v>
      </c>
      <c r="F5780" s="119" t="s">
        <v>12492</v>
      </c>
      <c r="G5780" s="404" t="s">
        <v>7486</v>
      </c>
      <c r="H5780" s="411">
        <v>13300</v>
      </c>
      <c r="I5780" s="399">
        <v>0</v>
      </c>
      <c r="J5780" s="396">
        <f>-((H5780*0.0325)+0.3)</f>
        <v>-432.55</v>
      </c>
      <c r="K5780" s="396">
        <f>SUM(H5780:J5780)</f>
        <v>12867.45</v>
      </c>
      <c r="L5780" s="187">
        <v>21170</v>
      </c>
      <c r="M5780" s="131">
        <v>30</v>
      </c>
      <c r="N5780" s="91">
        <f t="shared" si="2187"/>
        <v>10615</v>
      </c>
      <c r="O5780" s="411">
        <f t="shared" si="2200"/>
        <v>2252.4500000000007</v>
      </c>
      <c r="P5780" s="132" t="s">
        <v>66</v>
      </c>
      <c r="Q5780" s="232"/>
      <c r="R5780" s="411"/>
      <c r="T5780" s="134" t="s">
        <v>314</v>
      </c>
      <c r="U5780" s="267" t="s">
        <v>12493</v>
      </c>
      <c r="V5780" s="133" t="s">
        <v>12494</v>
      </c>
      <c r="W5780" s="153" t="s">
        <v>12495</v>
      </c>
      <c r="AA5780" s="219">
        <v>100</v>
      </c>
    </row>
    <row r="5781" spans="1:27" ht="24" x14ac:dyDescent="0.25">
      <c r="A5781" s="405">
        <v>3004535</v>
      </c>
      <c r="B5781" s="406">
        <v>42639</v>
      </c>
      <c r="C5781" s="405" t="s">
        <v>42</v>
      </c>
      <c r="D5781" s="401" t="s">
        <v>12496</v>
      </c>
      <c r="E5781" s="120">
        <v>250</v>
      </c>
      <c r="F5781" s="133" t="s">
        <v>451</v>
      </c>
      <c r="G5781" s="404" t="s">
        <v>7486</v>
      </c>
      <c r="H5781" s="411">
        <v>168.27</v>
      </c>
      <c r="I5781" s="89">
        <f t="shared" ref="I5781:I5786" si="2210">-(H5781*0.09)</f>
        <v>-15.144300000000001</v>
      </c>
      <c r="J5781" s="258">
        <f t="shared" ref="J5781" si="2211">-((H5781*0.019)+0.3)</f>
        <v>-3.4971299999999998</v>
      </c>
      <c r="K5781" s="90">
        <f t="shared" ref="K5781" si="2212">SUM(H5781:J5781)</f>
        <v>149.62857</v>
      </c>
      <c r="L5781" s="131">
        <v>300</v>
      </c>
      <c r="M5781" s="187">
        <v>23.64</v>
      </c>
      <c r="N5781" s="91">
        <f t="shared" si="2187"/>
        <v>98.64</v>
      </c>
      <c r="O5781" s="411">
        <f t="shared" si="2200"/>
        <v>50.988569999999996</v>
      </c>
      <c r="P5781" s="132" t="s">
        <v>52</v>
      </c>
      <c r="Q5781" s="232"/>
      <c r="R5781" s="411"/>
      <c r="T5781" s="134" t="s">
        <v>145</v>
      </c>
      <c r="U5781" s="267" t="s">
        <v>12497</v>
      </c>
      <c r="AA5781" s="218"/>
    </row>
    <row r="5782" spans="1:27" ht="24" x14ac:dyDescent="0.25">
      <c r="A5782" s="405">
        <v>3004536</v>
      </c>
      <c r="B5782" s="406">
        <v>42639</v>
      </c>
      <c r="C5782" s="405" t="s">
        <v>42</v>
      </c>
      <c r="D5782" s="401" t="s">
        <v>12498</v>
      </c>
      <c r="E5782" s="120">
        <v>250</v>
      </c>
      <c r="F5782" s="133" t="s">
        <v>1550</v>
      </c>
      <c r="G5782" s="404" t="s">
        <v>7486</v>
      </c>
      <c r="H5782" s="411">
        <v>361.39</v>
      </c>
      <c r="I5782" s="89">
        <f t="shared" si="2210"/>
        <v>-32.525099999999995</v>
      </c>
      <c r="J5782" s="258">
        <f t="shared" ref="J5782" si="2213">-((H5782*0.019)+0.3)</f>
        <v>-7.1664099999999991</v>
      </c>
      <c r="K5782" s="90">
        <f t="shared" ref="K5782" si="2214">SUM(H5782:J5782)</f>
        <v>321.69848999999999</v>
      </c>
      <c r="M5782" s="187">
        <v>38</v>
      </c>
      <c r="N5782" s="91">
        <f t="shared" si="2187"/>
        <v>38</v>
      </c>
      <c r="O5782" s="411">
        <f t="shared" si="2200"/>
        <v>283.69848999999999</v>
      </c>
      <c r="P5782" s="132" t="s">
        <v>52</v>
      </c>
      <c r="Q5782" s="232"/>
      <c r="R5782" s="411">
        <v>26.77</v>
      </c>
      <c r="S5782" s="133" t="s">
        <v>12499</v>
      </c>
      <c r="T5782" s="134" t="s">
        <v>145</v>
      </c>
      <c r="U5782" s="267" t="s">
        <v>12500</v>
      </c>
      <c r="AA5782" s="218"/>
    </row>
    <row r="5783" spans="1:27" ht="24" x14ac:dyDescent="0.25">
      <c r="A5783" s="405">
        <v>3004537</v>
      </c>
      <c r="B5783" s="406">
        <v>42639</v>
      </c>
      <c r="C5783" s="405" t="s">
        <v>42</v>
      </c>
      <c r="D5783" s="401" t="s">
        <v>12501</v>
      </c>
      <c r="E5783" s="120">
        <v>250</v>
      </c>
      <c r="F5783" s="119" t="s">
        <v>12502</v>
      </c>
      <c r="G5783" s="330" t="s">
        <v>7486</v>
      </c>
      <c r="H5783" s="411">
        <v>156.51</v>
      </c>
      <c r="I5783" s="89">
        <f t="shared" si="2210"/>
        <v>-14.085899999999999</v>
      </c>
      <c r="J5783" s="258">
        <f t="shared" ref="J5783" si="2215">-((H5783*0.019)+0.3)</f>
        <v>-3.2736899999999998</v>
      </c>
      <c r="K5783" s="90">
        <f t="shared" ref="K5783" si="2216">SUM(H5783:J5783)</f>
        <v>139.15040999999999</v>
      </c>
      <c r="L5783" s="187">
        <v>324</v>
      </c>
      <c r="M5783" s="187">
        <v>22.11</v>
      </c>
      <c r="N5783" s="91">
        <f t="shared" si="2187"/>
        <v>103.11</v>
      </c>
      <c r="O5783" s="411">
        <f t="shared" si="2200"/>
        <v>36.040409999999994</v>
      </c>
      <c r="P5783" s="132" t="s">
        <v>313</v>
      </c>
      <c r="Q5783" s="232"/>
      <c r="R5783" s="411"/>
      <c r="T5783" s="134" t="s">
        <v>145</v>
      </c>
      <c r="U5783" s="267" t="s">
        <v>12503</v>
      </c>
      <c r="AA5783" s="218"/>
    </row>
    <row r="5784" spans="1:27" ht="24" x14ac:dyDescent="0.25">
      <c r="A5784" s="405">
        <v>3004538</v>
      </c>
      <c r="B5784" s="406">
        <v>42639</v>
      </c>
      <c r="C5784" s="405" t="s">
        <v>42</v>
      </c>
      <c r="D5784" s="401" t="s">
        <v>12504</v>
      </c>
      <c r="E5784" s="120">
        <v>250</v>
      </c>
      <c r="F5784" s="133" t="s">
        <v>2361</v>
      </c>
      <c r="G5784" s="404" t="s">
        <v>7486</v>
      </c>
      <c r="H5784" s="411">
        <v>345.6</v>
      </c>
      <c r="I5784" s="89">
        <f t="shared" si="2210"/>
        <v>-31.103999999999999</v>
      </c>
      <c r="J5784" s="258">
        <f t="shared" ref="J5784" si="2217">-((H5784*0.019)+0.3)</f>
        <v>-6.8664000000000005</v>
      </c>
      <c r="K5784" s="90">
        <f t="shared" ref="K5784" si="2218">SUM(H5784:J5784)</f>
        <v>307.62960000000004</v>
      </c>
      <c r="L5784" s="131">
        <v>750</v>
      </c>
      <c r="M5784" s="187">
        <v>35.119999999999997</v>
      </c>
      <c r="N5784" s="91">
        <f t="shared" si="2187"/>
        <v>222.62</v>
      </c>
      <c r="O5784" s="411">
        <f t="shared" si="2200"/>
        <v>85.009600000000034</v>
      </c>
      <c r="P5784" s="132" t="s">
        <v>52</v>
      </c>
      <c r="Q5784" s="232"/>
      <c r="R5784" s="411">
        <v>25.6</v>
      </c>
      <c r="S5784" s="133" t="s">
        <v>7185</v>
      </c>
      <c r="T5784" s="134" t="s">
        <v>145</v>
      </c>
      <c r="U5784" s="267" t="s">
        <v>12505</v>
      </c>
      <c r="AA5784" s="218"/>
    </row>
    <row r="5785" spans="1:27" ht="24" x14ac:dyDescent="0.25">
      <c r="A5785" s="405">
        <v>3004539</v>
      </c>
      <c r="B5785" s="406">
        <v>42639</v>
      </c>
      <c r="C5785" s="405" t="s">
        <v>42</v>
      </c>
      <c r="D5785" s="401" t="s">
        <v>12506</v>
      </c>
      <c r="E5785" s="120">
        <v>100</v>
      </c>
      <c r="F5785" s="133" t="s">
        <v>247</v>
      </c>
      <c r="G5785" s="404" t="s">
        <v>7486</v>
      </c>
      <c r="H5785" s="411">
        <v>123.94</v>
      </c>
      <c r="I5785" s="89">
        <f t="shared" si="2210"/>
        <v>-11.154599999999999</v>
      </c>
      <c r="J5785" s="258">
        <f t="shared" ref="J5785" si="2219">-((H5785*0.019)+0.3)</f>
        <v>-2.6548599999999998</v>
      </c>
      <c r="K5785" s="90">
        <f t="shared" ref="K5785" si="2220">SUM(H5785:J5785)</f>
        <v>110.13054</v>
      </c>
      <c r="L5785" s="187">
        <v>672</v>
      </c>
      <c r="M5785" s="187">
        <v>27.06</v>
      </c>
      <c r="N5785" s="91">
        <f t="shared" si="2187"/>
        <v>94.26</v>
      </c>
      <c r="O5785" s="411">
        <f t="shared" si="2200"/>
        <v>15.870539999999991</v>
      </c>
      <c r="P5785" s="132" t="s">
        <v>313</v>
      </c>
      <c r="Q5785" s="232"/>
      <c r="R5785" s="411"/>
      <c r="T5785" s="134" t="s">
        <v>145</v>
      </c>
      <c r="U5785" s="267" t="s">
        <v>12507</v>
      </c>
      <c r="AA5785" s="218"/>
    </row>
    <row r="5786" spans="1:27" ht="24" x14ac:dyDescent="0.25">
      <c r="A5786" s="405">
        <v>3004540</v>
      </c>
      <c r="B5786" s="406">
        <v>42639</v>
      </c>
      <c r="C5786" s="405" t="s">
        <v>42</v>
      </c>
      <c r="D5786" s="401" t="s">
        <v>12508</v>
      </c>
      <c r="E5786" s="120">
        <v>150</v>
      </c>
      <c r="F5786" s="133" t="s">
        <v>247</v>
      </c>
      <c r="G5786" s="404" t="s">
        <v>7486</v>
      </c>
      <c r="H5786" s="411">
        <v>185.9</v>
      </c>
      <c r="I5786" s="89">
        <f t="shared" si="2210"/>
        <v>-16.731000000000002</v>
      </c>
      <c r="J5786" s="258">
        <f t="shared" ref="J5786" si="2221">-((H5786*0.019)+0.3)</f>
        <v>-3.8321000000000001</v>
      </c>
      <c r="K5786" s="90">
        <f t="shared" ref="K5786" si="2222">SUM(H5786:J5786)</f>
        <v>165.33690000000001</v>
      </c>
      <c r="L5786" s="187">
        <v>672</v>
      </c>
      <c r="M5786" s="187">
        <v>24.57</v>
      </c>
      <c r="N5786" s="91">
        <f t="shared" si="2187"/>
        <v>125.37</v>
      </c>
      <c r="O5786" s="411">
        <f t="shared" si="2200"/>
        <v>39.96690000000001</v>
      </c>
      <c r="P5786" s="132" t="s">
        <v>313</v>
      </c>
      <c r="Q5786" s="183"/>
      <c r="R5786" s="411"/>
      <c r="T5786" s="134" t="s">
        <v>145</v>
      </c>
      <c r="U5786" s="267" t="s">
        <v>12509</v>
      </c>
      <c r="AA5786" s="218"/>
    </row>
    <row r="5787" spans="1:27" ht="24" x14ac:dyDescent="0.25">
      <c r="A5787" s="405">
        <v>3004541</v>
      </c>
      <c r="B5787" s="406">
        <v>42639</v>
      </c>
      <c r="C5787" s="405" t="s">
        <v>63</v>
      </c>
      <c r="D5787" s="401" t="s">
        <v>12510</v>
      </c>
      <c r="E5787" s="120">
        <v>1500</v>
      </c>
      <c r="F5787" s="133" t="s">
        <v>217</v>
      </c>
      <c r="G5787" s="404" t="s">
        <v>7486</v>
      </c>
      <c r="H5787" s="411">
        <v>3000</v>
      </c>
      <c r="I5787" s="399">
        <v>0</v>
      </c>
      <c r="J5787" s="396">
        <f>-((H5787*0.022)+0.3)</f>
        <v>-66.3</v>
      </c>
      <c r="K5787" s="396">
        <f>SUM(H5787:J5787)</f>
        <v>2933.7</v>
      </c>
      <c r="L5787" s="187">
        <v>1322</v>
      </c>
      <c r="M5787" s="177">
        <v>0</v>
      </c>
      <c r="N5787" s="91">
        <f t="shared" si="2187"/>
        <v>1983</v>
      </c>
      <c r="O5787" s="411">
        <f t="shared" si="2200"/>
        <v>950.69999999999982</v>
      </c>
      <c r="P5787" s="132" t="s">
        <v>66</v>
      </c>
      <c r="Q5787" s="232"/>
      <c r="R5787" s="411"/>
      <c r="T5787" s="134" t="s">
        <v>260</v>
      </c>
      <c r="U5787" s="267" t="s">
        <v>12511</v>
      </c>
      <c r="W5787" s="153" t="s">
        <v>12512</v>
      </c>
      <c r="AA5787" s="218">
        <v>10</v>
      </c>
    </row>
    <row r="5788" spans="1:27" ht="24" x14ac:dyDescent="0.25">
      <c r="A5788" s="405">
        <v>3004542</v>
      </c>
      <c r="B5788" s="406">
        <v>42639</v>
      </c>
      <c r="C5788" s="405" t="s">
        <v>42</v>
      </c>
      <c r="D5788" s="401" t="s">
        <v>12513</v>
      </c>
      <c r="E5788" s="120">
        <v>500</v>
      </c>
      <c r="F5788" s="119" t="s">
        <v>994</v>
      </c>
      <c r="G5788" s="404" t="s">
        <v>7486</v>
      </c>
      <c r="H5788" s="411">
        <v>95</v>
      </c>
      <c r="I5788" s="89">
        <f>-(H5788*0.09)</f>
        <v>-8.5499999999999989</v>
      </c>
      <c r="J5788" s="258">
        <f t="shared" ref="J5788:J5789" si="2223">-((H5788*0.019)+0.3)</f>
        <v>-2.105</v>
      </c>
      <c r="K5788" s="90">
        <f t="shared" ref="K5788:K5789" si="2224">SUM(H5788:J5788)</f>
        <v>84.344999999999999</v>
      </c>
      <c r="L5788" s="187">
        <v>110</v>
      </c>
      <c r="M5788" s="187">
        <v>22.25</v>
      </c>
      <c r="N5788" s="91">
        <f t="shared" si="2187"/>
        <v>77.25</v>
      </c>
      <c r="O5788" s="411">
        <f t="shared" si="2200"/>
        <v>7.0949999999999989</v>
      </c>
      <c r="P5788" s="132" t="s">
        <v>183</v>
      </c>
      <c r="Q5788" s="232"/>
      <c r="R5788" s="411"/>
      <c r="T5788" s="134" t="s">
        <v>145</v>
      </c>
      <c r="U5788" s="267" t="s">
        <v>12514</v>
      </c>
      <c r="AA5788" s="218"/>
    </row>
    <row r="5789" spans="1:27" x14ac:dyDescent="0.25">
      <c r="A5789" s="419">
        <v>3004543</v>
      </c>
      <c r="B5789" s="421">
        <v>42639</v>
      </c>
      <c r="C5789" s="419" t="s">
        <v>42</v>
      </c>
      <c r="D5789" s="417" t="s">
        <v>12515</v>
      </c>
      <c r="E5789" s="120">
        <v>100</v>
      </c>
      <c r="F5789" s="133" t="s">
        <v>2483</v>
      </c>
      <c r="G5789" s="434" t="s">
        <v>7486</v>
      </c>
      <c r="H5789" s="427">
        <v>459.36</v>
      </c>
      <c r="I5789" s="452">
        <f>-(H5789*0.09)</f>
        <v>-41.342399999999998</v>
      </c>
      <c r="J5789" s="425">
        <f t="shared" si="2223"/>
        <v>-9.0278400000000012</v>
      </c>
      <c r="K5789" s="425">
        <f t="shared" si="2224"/>
        <v>408.98975999999999</v>
      </c>
      <c r="L5789" s="187">
        <v>1450</v>
      </c>
      <c r="M5789" s="187">
        <v>23.01</v>
      </c>
      <c r="N5789" s="91">
        <f t="shared" si="2187"/>
        <v>168.01</v>
      </c>
      <c r="O5789" s="411">
        <f t="shared" si="2200"/>
        <v>240.97976</v>
      </c>
      <c r="P5789" s="132" t="s">
        <v>601</v>
      </c>
      <c r="Q5789" s="232"/>
      <c r="R5789" s="411"/>
      <c r="T5789" s="439" t="s">
        <v>145</v>
      </c>
      <c r="U5789" s="308" t="s">
        <v>12516</v>
      </c>
      <c r="AA5789" s="218"/>
    </row>
    <row r="5790" spans="1:27" x14ac:dyDescent="0.25">
      <c r="A5790" s="420"/>
      <c r="B5790" s="422"/>
      <c r="C5790" s="420"/>
      <c r="D5790" s="418"/>
      <c r="E5790" s="120">
        <v>100</v>
      </c>
      <c r="F5790" s="133" t="s">
        <v>3345</v>
      </c>
      <c r="G5790" s="436"/>
      <c r="H5790" s="428"/>
      <c r="I5790" s="453"/>
      <c r="J5790" s="426"/>
      <c r="K5790" s="426"/>
      <c r="L5790" s="187">
        <v>1470</v>
      </c>
      <c r="M5790" s="187">
        <v>18.07</v>
      </c>
      <c r="N5790" s="91">
        <f t="shared" si="2187"/>
        <v>165.07</v>
      </c>
      <c r="O5790" s="411">
        <f t="shared" si="2200"/>
        <v>-165.07</v>
      </c>
      <c r="P5790" s="132" t="s">
        <v>601</v>
      </c>
      <c r="Q5790" s="232"/>
      <c r="R5790" s="411"/>
      <c r="T5790" s="441"/>
      <c r="U5790" s="309">
        <v>642286529030</v>
      </c>
      <c r="AA5790" s="218"/>
    </row>
    <row r="5791" spans="1:27" ht="24" x14ac:dyDescent="0.25">
      <c r="A5791" s="405">
        <v>3004544</v>
      </c>
      <c r="B5791" s="406">
        <v>42639</v>
      </c>
      <c r="C5791" s="405" t="s">
        <v>42</v>
      </c>
      <c r="D5791" s="401" t="s">
        <v>12517</v>
      </c>
      <c r="E5791" s="120">
        <v>250</v>
      </c>
      <c r="F5791" s="133" t="s">
        <v>2524</v>
      </c>
      <c r="G5791" s="404" t="s">
        <v>7486</v>
      </c>
      <c r="H5791" s="411">
        <v>142.58000000000001</v>
      </c>
      <c r="I5791" s="89">
        <f t="shared" ref="I5791:I5797" si="2225">-(H5791*0.09)</f>
        <v>-12.8322</v>
      </c>
      <c r="J5791" s="258">
        <f t="shared" ref="J5791" si="2226">-((H5791*0.019)+0.3)</f>
        <v>-3.00902</v>
      </c>
      <c r="K5791" s="90">
        <f t="shared" ref="K5791" si="2227">SUM(H5791:J5791)</f>
        <v>126.73878000000001</v>
      </c>
      <c r="L5791" s="187">
        <v>280</v>
      </c>
      <c r="M5791" s="187">
        <v>28.16</v>
      </c>
      <c r="N5791" s="91">
        <f t="shared" si="2187"/>
        <v>98.16</v>
      </c>
      <c r="O5791" s="411">
        <f t="shared" si="2200"/>
        <v>28.578780000000009</v>
      </c>
      <c r="P5791" s="132" t="s">
        <v>235</v>
      </c>
      <c r="Q5791" s="232"/>
      <c r="R5791" s="411"/>
      <c r="T5791" s="134" t="s">
        <v>145</v>
      </c>
      <c r="U5791" s="267" t="s">
        <v>12518</v>
      </c>
      <c r="AA5791" s="218"/>
    </row>
    <row r="5792" spans="1:27" ht="24" x14ac:dyDescent="0.25">
      <c r="A5792" s="405">
        <v>3004545</v>
      </c>
      <c r="B5792" s="406">
        <v>42639</v>
      </c>
      <c r="C5792" s="405" t="s">
        <v>42</v>
      </c>
      <c r="D5792" s="401" t="s">
        <v>12519</v>
      </c>
      <c r="E5792" s="120">
        <v>125</v>
      </c>
      <c r="F5792" s="133" t="s">
        <v>247</v>
      </c>
      <c r="G5792" s="404" t="s">
        <v>7486</v>
      </c>
      <c r="H5792" s="411">
        <v>152.38</v>
      </c>
      <c r="I5792" s="89">
        <f t="shared" si="2225"/>
        <v>-13.7142</v>
      </c>
      <c r="J5792" s="258">
        <f t="shared" ref="J5792" si="2228">-((H5792*0.019)+0.3)</f>
        <v>-3.1952199999999995</v>
      </c>
      <c r="K5792" s="90">
        <f t="shared" ref="K5792" si="2229">SUM(H5792:J5792)</f>
        <v>135.47057999999998</v>
      </c>
      <c r="L5792" s="187">
        <v>672</v>
      </c>
      <c r="M5792" s="187">
        <f>23.28</f>
        <v>23.28</v>
      </c>
      <c r="N5792" s="91">
        <f t="shared" si="2187"/>
        <v>107.28</v>
      </c>
      <c r="O5792" s="411">
        <f t="shared" si="2200"/>
        <v>28.190579999999983</v>
      </c>
      <c r="P5792" s="132" t="s">
        <v>313</v>
      </c>
      <c r="Q5792" s="232"/>
      <c r="R5792" s="411"/>
      <c r="T5792" s="134" t="s">
        <v>473</v>
      </c>
      <c r="U5792" s="267" t="s">
        <v>12520</v>
      </c>
      <c r="AA5792" s="218"/>
    </row>
    <row r="5793" spans="1:27" ht="24" x14ac:dyDescent="0.25">
      <c r="A5793" s="405">
        <v>3004546</v>
      </c>
      <c r="B5793" s="406">
        <v>42639</v>
      </c>
      <c r="C5793" s="405" t="s">
        <v>42</v>
      </c>
      <c r="D5793" s="401" t="s">
        <v>12521</v>
      </c>
      <c r="E5793" s="120">
        <v>475</v>
      </c>
      <c r="F5793" s="133" t="s">
        <v>165</v>
      </c>
      <c r="G5793" s="404" t="s">
        <v>7486</v>
      </c>
      <c r="H5793" s="411">
        <v>454.77</v>
      </c>
      <c r="I5793" s="89">
        <f t="shared" si="2225"/>
        <v>-40.929299999999998</v>
      </c>
      <c r="J5793" s="258">
        <f t="shared" ref="J5793" si="2230">-((H5793*0.019)+0.3)</f>
        <v>-8.9406300000000005</v>
      </c>
      <c r="K5793" s="90">
        <f t="shared" ref="K5793" si="2231">SUM(H5793:J5793)</f>
        <v>404.90006999999997</v>
      </c>
      <c r="L5793" s="131">
        <v>375</v>
      </c>
      <c r="M5793" s="187">
        <f>60.45+59.86+177.12+9.77</f>
        <v>307.2</v>
      </c>
      <c r="N5793" s="91">
        <f t="shared" si="2187"/>
        <v>485.32499999999999</v>
      </c>
      <c r="O5793" s="411">
        <f t="shared" si="2200"/>
        <v>-80.424930000000018</v>
      </c>
      <c r="P5793" s="132" t="s">
        <v>52</v>
      </c>
      <c r="Q5793" s="232"/>
      <c r="R5793" s="411"/>
      <c r="T5793" s="134" t="s">
        <v>145</v>
      </c>
      <c r="U5793" s="267" t="s">
        <v>12522</v>
      </c>
      <c r="AA5793" s="218"/>
    </row>
    <row r="5794" spans="1:27" ht="24" x14ac:dyDescent="0.25">
      <c r="A5794" s="405">
        <v>3004547</v>
      </c>
      <c r="B5794" s="406">
        <v>42639</v>
      </c>
      <c r="C5794" s="405" t="s">
        <v>42</v>
      </c>
      <c r="D5794" s="401" t="s">
        <v>12523</v>
      </c>
      <c r="E5794" s="120">
        <v>250</v>
      </c>
      <c r="F5794" s="133" t="s">
        <v>5804</v>
      </c>
      <c r="G5794" s="404" t="s">
        <v>7486</v>
      </c>
      <c r="H5794" s="411">
        <v>428.67</v>
      </c>
      <c r="I5794" s="89">
        <f t="shared" si="2225"/>
        <v>-38.580300000000001</v>
      </c>
      <c r="J5794" s="258">
        <f t="shared" ref="J5794" si="2232">-((H5794*0.019)+0.3)</f>
        <v>-8.4447300000000016</v>
      </c>
      <c r="K5794" s="90">
        <f t="shared" ref="K5794" si="2233">SUM(H5794:J5794)</f>
        <v>381.64497</v>
      </c>
      <c r="L5794" s="187">
        <v>950</v>
      </c>
      <c r="N5794" s="91">
        <f t="shared" si="2187"/>
        <v>237.5</v>
      </c>
      <c r="O5794" s="411">
        <f t="shared" si="2200"/>
        <v>144.14497</v>
      </c>
      <c r="P5794" s="132" t="s">
        <v>66</v>
      </c>
      <c r="Q5794" s="232"/>
      <c r="R5794" s="411"/>
      <c r="T5794" s="134" t="s">
        <v>324</v>
      </c>
      <c r="U5794" s="266" t="s">
        <v>12524</v>
      </c>
      <c r="AA5794" s="218"/>
    </row>
    <row r="5795" spans="1:27" ht="24" x14ac:dyDescent="0.25">
      <c r="A5795" s="405">
        <v>3004548</v>
      </c>
      <c r="B5795" s="406">
        <v>42639</v>
      </c>
      <c r="C5795" s="405" t="s">
        <v>42</v>
      </c>
      <c r="D5795" s="401" t="s">
        <v>12525</v>
      </c>
      <c r="E5795" s="120">
        <v>1000</v>
      </c>
      <c r="F5795" s="119" t="s">
        <v>12526</v>
      </c>
      <c r="G5795" s="404" t="s">
        <v>7486</v>
      </c>
      <c r="H5795" s="411">
        <v>250</v>
      </c>
      <c r="I5795" s="89">
        <f t="shared" si="2225"/>
        <v>-22.5</v>
      </c>
      <c r="J5795" s="258">
        <f t="shared" ref="J5795" si="2234">-((H5795*0.019)+0.3)</f>
        <v>-5.05</v>
      </c>
      <c r="K5795" s="90">
        <f t="shared" ref="K5795" si="2235">SUM(H5795:J5795)</f>
        <v>222.45</v>
      </c>
      <c r="L5795" s="187">
        <v>100</v>
      </c>
      <c r="M5795" s="187">
        <v>11.02</v>
      </c>
      <c r="N5795" s="91">
        <f t="shared" si="2187"/>
        <v>111.02</v>
      </c>
      <c r="O5795" s="411">
        <f t="shared" si="2200"/>
        <v>111.42999999999999</v>
      </c>
      <c r="P5795" s="132" t="s">
        <v>4288</v>
      </c>
      <c r="Q5795" s="232"/>
      <c r="R5795" s="411" t="s">
        <v>12527</v>
      </c>
      <c r="T5795" s="134" t="s">
        <v>145</v>
      </c>
      <c r="U5795" s="267" t="s">
        <v>12528</v>
      </c>
      <c r="AA5795" s="218"/>
    </row>
    <row r="5796" spans="1:27" ht="24" x14ac:dyDescent="0.25">
      <c r="A5796" s="405">
        <v>3004549</v>
      </c>
      <c r="B5796" s="406">
        <v>42639</v>
      </c>
      <c r="C5796" s="405" t="s">
        <v>42</v>
      </c>
      <c r="D5796" s="401" t="s">
        <v>12529</v>
      </c>
      <c r="E5796" s="120">
        <v>125</v>
      </c>
      <c r="F5796" s="133" t="s">
        <v>161</v>
      </c>
      <c r="G5796" s="404" t="s">
        <v>7486</v>
      </c>
      <c r="H5796" s="411">
        <v>350</v>
      </c>
      <c r="I5796" s="89">
        <f t="shared" si="2225"/>
        <v>-31.5</v>
      </c>
      <c r="J5796" s="258">
        <f t="shared" ref="J5796" si="2236">-((H5796*0.019)+0.3)</f>
        <v>-6.9499999999999993</v>
      </c>
      <c r="K5796" s="90">
        <f t="shared" ref="K5796" si="2237">SUM(H5796:J5796)</f>
        <v>311.55</v>
      </c>
      <c r="L5796" s="131">
        <v>1322</v>
      </c>
      <c r="M5796" s="187">
        <v>42.16</v>
      </c>
      <c r="N5796" s="91">
        <f t="shared" si="2187"/>
        <v>207.41</v>
      </c>
      <c r="O5796" s="411">
        <f t="shared" si="2200"/>
        <v>104.14000000000001</v>
      </c>
      <c r="P5796" s="132" t="s">
        <v>86</v>
      </c>
      <c r="Q5796" s="232"/>
      <c r="R5796" s="411"/>
      <c r="T5796" s="134" t="s">
        <v>145</v>
      </c>
      <c r="U5796" s="267" t="s">
        <v>12530</v>
      </c>
      <c r="AA5796" s="218"/>
    </row>
    <row r="5797" spans="1:27" ht="24" x14ac:dyDescent="0.25">
      <c r="A5797" s="405">
        <v>3004550</v>
      </c>
      <c r="B5797" s="406">
        <v>42639</v>
      </c>
      <c r="C5797" s="405" t="s">
        <v>42</v>
      </c>
      <c r="D5797" s="377" t="s">
        <v>12531</v>
      </c>
      <c r="E5797" s="120">
        <v>200</v>
      </c>
      <c r="F5797" s="133" t="s">
        <v>605</v>
      </c>
      <c r="G5797" s="404" t="s">
        <v>7486</v>
      </c>
      <c r="H5797" s="411">
        <v>298.44</v>
      </c>
      <c r="I5797" s="89">
        <f t="shared" si="2225"/>
        <v>-26.8596</v>
      </c>
      <c r="J5797" s="258">
        <f t="shared" ref="J5797" si="2238">-((H5797*0.019)+0.3)</f>
        <v>-5.9703599999999994</v>
      </c>
      <c r="K5797" s="90">
        <f t="shared" ref="K5797:K5798" si="2239">SUM(H5797:J5797)</f>
        <v>265.61004000000003</v>
      </c>
      <c r="L5797" s="131">
        <v>480</v>
      </c>
      <c r="M5797" s="187">
        <v>36.57</v>
      </c>
      <c r="N5797" s="91">
        <f t="shared" si="2187"/>
        <v>132.57</v>
      </c>
      <c r="O5797" s="411">
        <f t="shared" si="2200"/>
        <v>133.04004000000003</v>
      </c>
      <c r="P5797" s="132" t="s">
        <v>52</v>
      </c>
      <c r="Q5797" s="232"/>
      <c r="R5797" s="411"/>
      <c r="T5797" s="134" t="s">
        <v>145</v>
      </c>
      <c r="U5797" s="267" t="s">
        <v>12532</v>
      </c>
      <c r="AA5797" s="218"/>
    </row>
    <row r="5798" spans="1:27" ht="24" customHeight="1" x14ac:dyDescent="0.25">
      <c r="A5798" s="419">
        <v>3004551</v>
      </c>
      <c r="B5798" s="421">
        <v>42639</v>
      </c>
      <c r="C5798" s="508" t="s">
        <v>555</v>
      </c>
      <c r="D5798" s="507" t="s">
        <v>12533</v>
      </c>
      <c r="E5798" s="329">
        <v>2100</v>
      </c>
      <c r="F5798" s="133" t="s">
        <v>12534</v>
      </c>
      <c r="G5798" s="434" t="s">
        <v>7486</v>
      </c>
      <c r="H5798" s="427">
        <v>6540</v>
      </c>
      <c r="I5798" s="427">
        <v>0</v>
      </c>
      <c r="J5798" s="427">
        <v>0</v>
      </c>
      <c r="K5798" s="425">
        <f t="shared" si="2239"/>
        <v>6540</v>
      </c>
      <c r="L5798" s="187">
        <v>787</v>
      </c>
      <c r="M5798" s="468">
        <v>214.29</v>
      </c>
      <c r="N5798" s="91">
        <f t="shared" si="2187"/>
        <v>1866.99</v>
      </c>
      <c r="O5798" s="411">
        <f t="shared" si="2200"/>
        <v>4673.01</v>
      </c>
      <c r="P5798" s="132" t="s">
        <v>1793</v>
      </c>
      <c r="Q5798" s="232"/>
      <c r="R5798" s="411"/>
      <c r="T5798" s="470" t="s">
        <v>12535</v>
      </c>
      <c r="U5798" s="444">
        <v>71242186</v>
      </c>
      <c r="V5798" s="133" t="s">
        <v>55</v>
      </c>
      <c r="AA5798" s="218"/>
    </row>
    <row r="5799" spans="1:27" x14ac:dyDescent="0.25">
      <c r="A5799" s="420"/>
      <c r="B5799" s="422"/>
      <c r="C5799" s="509"/>
      <c r="D5799" s="507"/>
      <c r="E5799" s="329">
        <v>7200</v>
      </c>
      <c r="F5799" s="133" t="s">
        <v>12536</v>
      </c>
      <c r="G5799" s="436"/>
      <c r="H5799" s="428"/>
      <c r="I5799" s="428"/>
      <c r="J5799" s="428"/>
      <c r="K5799" s="426"/>
      <c r="L5799" s="187">
        <v>300</v>
      </c>
      <c r="M5799" s="469"/>
      <c r="N5799" s="91">
        <f t="shared" si="2187"/>
        <v>2160</v>
      </c>
      <c r="O5799" s="411">
        <f t="shared" si="2200"/>
        <v>-2160</v>
      </c>
      <c r="P5799" s="132" t="s">
        <v>1793</v>
      </c>
      <c r="Q5799" s="232"/>
      <c r="R5799" s="411"/>
      <c r="T5799" s="472"/>
      <c r="U5799" s="445"/>
      <c r="AA5799" s="218"/>
    </row>
    <row r="5800" spans="1:27" x14ac:dyDescent="0.25">
      <c r="A5800" s="405">
        <v>3004552</v>
      </c>
      <c r="B5800" s="406">
        <v>42639</v>
      </c>
      <c r="C5800" s="405" t="s">
        <v>327</v>
      </c>
      <c r="D5800" s="378" t="s">
        <v>12537</v>
      </c>
      <c r="E5800" s="120">
        <v>300</v>
      </c>
      <c r="F5800" s="133" t="s">
        <v>887</v>
      </c>
      <c r="G5800" s="404" t="s">
        <v>7486</v>
      </c>
      <c r="H5800" s="411">
        <v>789.52</v>
      </c>
      <c r="I5800" s="399">
        <v>0</v>
      </c>
      <c r="J5800" s="396">
        <f>-((H5800*0.022)+0.3)</f>
        <v>-17.669439999999998</v>
      </c>
      <c r="K5800" s="396">
        <f>SUM(H5800:J5800)</f>
        <v>771.85055999999997</v>
      </c>
      <c r="L5800" s="187">
        <v>1820</v>
      </c>
      <c r="M5800" s="131">
        <v>0</v>
      </c>
      <c r="N5800" s="91">
        <f t="shared" si="2187"/>
        <v>546</v>
      </c>
      <c r="O5800" s="411">
        <f t="shared" si="2200"/>
        <v>225.85055999999997</v>
      </c>
      <c r="P5800" s="132" t="s">
        <v>59</v>
      </c>
      <c r="Q5800" s="232"/>
      <c r="R5800" s="411">
        <v>63.52</v>
      </c>
      <c r="S5800" s="133" t="s">
        <v>1396</v>
      </c>
      <c r="T5800" s="134" t="s">
        <v>2652</v>
      </c>
      <c r="U5800" s="267" t="s">
        <v>12538</v>
      </c>
      <c r="W5800" s="153" t="s">
        <v>12539</v>
      </c>
      <c r="AA5800" s="218"/>
    </row>
    <row r="5801" spans="1:27" ht="24" x14ac:dyDescent="0.25">
      <c r="A5801" s="405">
        <v>3004553</v>
      </c>
      <c r="B5801" s="406">
        <v>42639</v>
      </c>
      <c r="C5801" s="405" t="s">
        <v>237</v>
      </c>
      <c r="D5801" s="401" t="s">
        <v>12540</v>
      </c>
      <c r="E5801" s="120">
        <v>100</v>
      </c>
      <c r="F5801" s="133" t="s">
        <v>161</v>
      </c>
      <c r="G5801" s="404" t="s">
        <v>7486</v>
      </c>
      <c r="H5801" s="411">
        <v>250</v>
      </c>
      <c r="I5801" s="397">
        <f t="shared" ref="I5801" si="2240">-(H5801*0.15)</f>
        <v>-37.5</v>
      </c>
      <c r="J5801" s="258">
        <v>0</v>
      </c>
      <c r="K5801" s="90">
        <f>SUM(H5801:J5801)</f>
        <v>212.5</v>
      </c>
      <c r="L5801" s="131">
        <v>1322</v>
      </c>
      <c r="M5801" s="187">
        <v>45.39</v>
      </c>
      <c r="N5801" s="91">
        <f t="shared" si="2187"/>
        <v>177.59000000000003</v>
      </c>
      <c r="O5801" s="411">
        <f t="shared" si="2200"/>
        <v>34.909999999999968</v>
      </c>
      <c r="P5801" s="132" t="s">
        <v>86</v>
      </c>
      <c r="Q5801" s="232"/>
      <c r="R5801" s="411"/>
      <c r="T5801" s="134" t="s">
        <v>145</v>
      </c>
      <c r="U5801" s="267" t="s">
        <v>12541</v>
      </c>
      <c r="AA5801" s="218"/>
    </row>
    <row r="5802" spans="1:27" ht="24" x14ac:dyDescent="0.25">
      <c r="A5802" s="405">
        <v>3004554</v>
      </c>
      <c r="B5802" s="406">
        <v>42639</v>
      </c>
      <c r="C5802" s="405" t="s">
        <v>237</v>
      </c>
      <c r="D5802" s="401" t="s">
        <v>12542</v>
      </c>
      <c r="E5802" s="120">
        <v>50</v>
      </c>
      <c r="F5802" s="133" t="s">
        <v>431</v>
      </c>
      <c r="G5802" s="404" t="s">
        <v>7486</v>
      </c>
      <c r="H5802" s="411">
        <v>143.84</v>
      </c>
      <c r="I5802" s="397">
        <f t="shared" ref="I5802" si="2241">-(H5802*0.15)</f>
        <v>-21.576000000000001</v>
      </c>
      <c r="J5802" s="258">
        <v>0</v>
      </c>
      <c r="K5802" s="90">
        <f>SUM(H5802:J5802)</f>
        <v>122.26400000000001</v>
      </c>
      <c r="L5802" s="131">
        <v>990</v>
      </c>
      <c r="M5802" s="187">
        <v>30.07</v>
      </c>
      <c r="N5802" s="91">
        <f t="shared" si="2187"/>
        <v>79.569999999999993</v>
      </c>
      <c r="O5802" s="411">
        <f t="shared" si="2200"/>
        <v>42.694000000000017</v>
      </c>
      <c r="P5802" s="132" t="s">
        <v>52</v>
      </c>
      <c r="Q5802" s="232"/>
      <c r="R5802" s="411"/>
      <c r="T5802" s="134" t="s">
        <v>145</v>
      </c>
      <c r="U5802" s="267" t="s">
        <v>12543</v>
      </c>
      <c r="AA5802" s="218"/>
    </row>
    <row r="5803" spans="1:27" x14ac:dyDescent="0.25">
      <c r="A5803" s="419">
        <v>3004555</v>
      </c>
      <c r="B5803" s="421">
        <v>42639</v>
      </c>
      <c r="C5803" s="419" t="s">
        <v>237</v>
      </c>
      <c r="D5803" s="417" t="s">
        <v>12544</v>
      </c>
      <c r="E5803" s="120">
        <v>100</v>
      </c>
      <c r="F5803" s="133" t="s">
        <v>3719</v>
      </c>
      <c r="G5803" s="434" t="s">
        <v>7486</v>
      </c>
      <c r="H5803" s="427">
        <v>492.8</v>
      </c>
      <c r="I5803" s="500">
        <f t="shared" ref="I5803" si="2242">-(H5803*0.15)</f>
        <v>-73.92</v>
      </c>
      <c r="J5803" s="425">
        <v>0</v>
      </c>
      <c r="K5803" s="425">
        <f>SUM(H5803:J5803)</f>
        <v>418.88</v>
      </c>
      <c r="L5803" s="187">
        <v>1150</v>
      </c>
      <c r="M5803" s="187">
        <v>49.5</v>
      </c>
      <c r="N5803" s="91">
        <f t="shared" ref="N5803:N5870" si="2243">((L5803)*(E5803*0.001))+M5803</f>
        <v>164.5</v>
      </c>
      <c r="O5803" s="411">
        <f t="shared" si="2200"/>
        <v>254.38</v>
      </c>
      <c r="P5803" s="132" t="s">
        <v>601</v>
      </c>
      <c r="Q5803" s="232"/>
      <c r="R5803" s="411"/>
      <c r="T5803" s="439" t="s">
        <v>145</v>
      </c>
      <c r="U5803" s="446" t="s">
        <v>12545</v>
      </c>
      <c r="AA5803" s="218"/>
    </row>
    <row r="5804" spans="1:27" x14ac:dyDescent="0.25">
      <c r="A5804" s="420"/>
      <c r="B5804" s="422"/>
      <c r="C5804" s="420"/>
      <c r="D5804" s="418"/>
      <c r="E5804" s="120">
        <v>150</v>
      </c>
      <c r="F5804" s="133" t="s">
        <v>3307</v>
      </c>
      <c r="G5804" s="436"/>
      <c r="H5804" s="428"/>
      <c r="I5804" s="501"/>
      <c r="J5804" s="426"/>
      <c r="K5804" s="426"/>
      <c r="L5804" s="187">
        <v>1180</v>
      </c>
      <c r="N5804" s="91">
        <f t="shared" si="2243"/>
        <v>177</v>
      </c>
      <c r="O5804" s="411">
        <f t="shared" si="2200"/>
        <v>-177</v>
      </c>
      <c r="P5804" s="132" t="s">
        <v>601</v>
      </c>
      <c r="Q5804" s="232"/>
      <c r="R5804" s="411"/>
      <c r="T5804" s="441"/>
      <c r="U5804" s="447"/>
      <c r="AA5804" s="218"/>
    </row>
    <row r="5805" spans="1:27" ht="24" x14ac:dyDescent="0.25">
      <c r="A5805" s="405">
        <v>3004556</v>
      </c>
      <c r="B5805" s="406">
        <v>42639</v>
      </c>
      <c r="C5805" s="405" t="s">
        <v>237</v>
      </c>
      <c r="D5805" s="401" t="s">
        <v>12546</v>
      </c>
      <c r="E5805" s="120">
        <v>100</v>
      </c>
      <c r="F5805" s="133" t="s">
        <v>4066</v>
      </c>
      <c r="G5805" s="404" t="s">
        <v>7486</v>
      </c>
      <c r="H5805" s="411">
        <v>194.04</v>
      </c>
      <c r="I5805" s="397">
        <f t="shared" ref="I5805" si="2244">-(H5805*0.15)</f>
        <v>-29.105999999999998</v>
      </c>
      <c r="J5805" s="258">
        <v>0</v>
      </c>
      <c r="K5805" s="90">
        <f t="shared" ref="K5805:K5820" si="2245">SUM(H5805:J5805)</f>
        <v>164.934</v>
      </c>
      <c r="L5805" s="131">
        <v>680</v>
      </c>
      <c r="M5805" s="187">
        <v>35.14</v>
      </c>
      <c r="N5805" s="91">
        <f t="shared" si="2243"/>
        <v>103.14</v>
      </c>
      <c r="O5805" s="411">
        <f t="shared" si="2200"/>
        <v>61.793999999999997</v>
      </c>
      <c r="P5805" s="132" t="s">
        <v>52</v>
      </c>
      <c r="Q5805" s="232"/>
      <c r="R5805" s="411"/>
      <c r="T5805" s="134" t="s">
        <v>145</v>
      </c>
      <c r="U5805" s="267" t="s">
        <v>12547</v>
      </c>
      <c r="AA5805" s="218"/>
    </row>
    <row r="5806" spans="1:27" ht="24" x14ac:dyDescent="0.25">
      <c r="A5806" s="405">
        <v>3004557</v>
      </c>
      <c r="B5806" s="406">
        <v>42639</v>
      </c>
      <c r="C5806" s="405" t="s">
        <v>237</v>
      </c>
      <c r="D5806" s="401" t="s">
        <v>12548</v>
      </c>
      <c r="E5806" s="120">
        <v>200</v>
      </c>
      <c r="F5806" s="133" t="s">
        <v>247</v>
      </c>
      <c r="G5806" s="404" t="s">
        <v>7486</v>
      </c>
      <c r="H5806" s="411">
        <v>226.71</v>
      </c>
      <c r="I5806" s="397">
        <f t="shared" ref="I5806" si="2246">-(H5806*0.15)</f>
        <v>-34.006500000000003</v>
      </c>
      <c r="J5806" s="258">
        <v>0</v>
      </c>
      <c r="K5806" s="90">
        <f t="shared" si="2245"/>
        <v>192.70350000000002</v>
      </c>
      <c r="L5806" s="187">
        <v>672</v>
      </c>
      <c r="N5806" s="91">
        <f t="shared" si="2243"/>
        <v>134.4</v>
      </c>
      <c r="O5806" s="411">
        <f t="shared" si="2200"/>
        <v>58.303500000000014</v>
      </c>
      <c r="P5806" s="132" t="s">
        <v>313</v>
      </c>
      <c r="Q5806" s="232"/>
      <c r="R5806" s="411"/>
      <c r="T5806" s="134" t="s">
        <v>473</v>
      </c>
      <c r="U5806" s="267" t="s">
        <v>12549</v>
      </c>
      <c r="AA5806" s="218"/>
    </row>
    <row r="5807" spans="1:27" ht="24" x14ac:dyDescent="0.25">
      <c r="A5807" s="405">
        <v>3004558</v>
      </c>
      <c r="B5807" s="406">
        <v>42639</v>
      </c>
      <c r="C5807" s="405" t="s">
        <v>237</v>
      </c>
      <c r="D5807" s="401" t="s">
        <v>12550</v>
      </c>
      <c r="E5807" s="120">
        <v>275</v>
      </c>
      <c r="F5807" s="133" t="s">
        <v>247</v>
      </c>
      <c r="G5807" s="404" t="s">
        <v>7486</v>
      </c>
      <c r="H5807" s="411">
        <v>323.43</v>
      </c>
      <c r="I5807" s="397">
        <f t="shared" ref="I5807" si="2247">-(H5807*0.15)</f>
        <v>-48.514499999999998</v>
      </c>
      <c r="J5807" s="258">
        <v>0</v>
      </c>
      <c r="K5807" s="90">
        <f t="shared" si="2245"/>
        <v>274.91550000000001</v>
      </c>
      <c r="L5807" s="187">
        <v>672</v>
      </c>
      <c r="M5807" s="187">
        <v>48.8</v>
      </c>
      <c r="N5807" s="91">
        <f t="shared" si="2243"/>
        <v>233.60000000000002</v>
      </c>
      <c r="O5807" s="411">
        <f t="shared" si="2200"/>
        <v>41.315499999999986</v>
      </c>
      <c r="P5807" s="132" t="s">
        <v>313</v>
      </c>
      <c r="Q5807" s="232"/>
      <c r="R5807" s="411"/>
      <c r="T5807" s="134" t="s">
        <v>145</v>
      </c>
      <c r="U5807" s="267" t="s">
        <v>12551</v>
      </c>
      <c r="AA5807" s="218"/>
    </row>
    <row r="5808" spans="1:27" ht="24" x14ac:dyDescent="0.25">
      <c r="A5808" s="405">
        <v>3004559</v>
      </c>
      <c r="B5808" s="406">
        <v>42639</v>
      </c>
      <c r="C5808" s="405" t="s">
        <v>237</v>
      </c>
      <c r="D5808" s="401" t="s">
        <v>12552</v>
      </c>
      <c r="E5808" s="120">
        <v>500</v>
      </c>
      <c r="F5808" s="133" t="s">
        <v>2524</v>
      </c>
      <c r="G5808" s="404" t="s">
        <v>7486</v>
      </c>
      <c r="H5808" s="411">
        <v>187.4</v>
      </c>
      <c r="I5808" s="397">
        <f t="shared" ref="I5808" si="2248">-(H5808*0.15)</f>
        <v>-28.11</v>
      </c>
      <c r="J5808" s="258">
        <v>0</v>
      </c>
      <c r="K5808" s="90">
        <f t="shared" si="2245"/>
        <v>159.29000000000002</v>
      </c>
      <c r="L5808" s="187">
        <v>280</v>
      </c>
      <c r="M5808" s="187">
        <v>10.06</v>
      </c>
      <c r="N5808" s="91">
        <f t="shared" si="2243"/>
        <v>150.06</v>
      </c>
      <c r="O5808" s="411">
        <f t="shared" si="2200"/>
        <v>9.2300000000000182</v>
      </c>
      <c r="P5808" s="132" t="s">
        <v>235</v>
      </c>
      <c r="Q5808" s="232"/>
      <c r="R5808" s="411"/>
      <c r="T5808" s="134" t="s">
        <v>145</v>
      </c>
      <c r="U5808" s="267" t="s">
        <v>12553</v>
      </c>
      <c r="AA5808" s="218"/>
    </row>
    <row r="5809" spans="1:27" ht="24" x14ac:dyDescent="0.25">
      <c r="A5809" s="405">
        <v>3004560</v>
      </c>
      <c r="B5809" s="406">
        <v>42639</v>
      </c>
      <c r="C5809" s="405" t="s">
        <v>237</v>
      </c>
      <c r="D5809" s="401" t="s">
        <v>12554</v>
      </c>
      <c r="E5809" s="120">
        <v>100</v>
      </c>
      <c r="F5809" s="133" t="s">
        <v>3719</v>
      </c>
      <c r="G5809" s="404" t="s">
        <v>7486</v>
      </c>
      <c r="H5809" s="411">
        <v>180.18</v>
      </c>
      <c r="I5809" s="397">
        <f t="shared" ref="I5809" si="2249">-(H5809*0.15)</f>
        <v>-27.027000000000001</v>
      </c>
      <c r="J5809" s="258">
        <v>0</v>
      </c>
      <c r="K5809" s="90">
        <f t="shared" si="2245"/>
        <v>153.15300000000002</v>
      </c>
      <c r="L5809" s="187">
        <v>1150</v>
      </c>
      <c r="N5809" s="91">
        <f t="shared" si="2243"/>
        <v>115</v>
      </c>
      <c r="O5809" s="411">
        <f t="shared" si="2200"/>
        <v>38.15300000000002</v>
      </c>
      <c r="P5809" s="132" t="s">
        <v>601</v>
      </c>
      <c r="Q5809" s="232"/>
      <c r="R5809" s="411"/>
      <c r="T5809" s="134" t="s">
        <v>145</v>
      </c>
      <c r="U5809" s="267" t="s">
        <v>12555</v>
      </c>
      <c r="AA5809" s="218"/>
    </row>
    <row r="5810" spans="1:27" ht="24" x14ac:dyDescent="0.25">
      <c r="A5810" s="405">
        <v>3004561</v>
      </c>
      <c r="B5810" s="406">
        <v>42639</v>
      </c>
      <c r="C5810" s="405" t="s">
        <v>237</v>
      </c>
      <c r="D5810" s="401" t="s">
        <v>12540</v>
      </c>
      <c r="E5810" s="120">
        <v>100</v>
      </c>
      <c r="F5810" s="133" t="s">
        <v>431</v>
      </c>
      <c r="G5810" s="404" t="s">
        <v>7486</v>
      </c>
      <c r="H5810" s="411">
        <v>248.31</v>
      </c>
      <c r="I5810" s="397">
        <f t="shared" ref="I5810" si="2250">-(H5810*0.15)</f>
        <v>-37.246499999999997</v>
      </c>
      <c r="J5810" s="258">
        <v>0</v>
      </c>
      <c r="K5810" s="90">
        <f t="shared" si="2245"/>
        <v>211.0635</v>
      </c>
      <c r="L5810" s="131">
        <v>990</v>
      </c>
      <c r="M5810" s="187">
        <v>41.78</v>
      </c>
      <c r="N5810" s="91">
        <f t="shared" si="2243"/>
        <v>140.78</v>
      </c>
      <c r="O5810" s="411">
        <f t="shared" si="2200"/>
        <v>70.283500000000004</v>
      </c>
      <c r="P5810" s="132" t="s">
        <v>52</v>
      </c>
      <c r="Q5810" s="232"/>
      <c r="R5810" s="411"/>
      <c r="T5810" s="134" t="s">
        <v>145</v>
      </c>
      <c r="U5810" s="267" t="s">
        <v>12556</v>
      </c>
      <c r="AA5810" s="218"/>
    </row>
    <row r="5811" spans="1:27" ht="24" x14ac:dyDescent="0.25">
      <c r="A5811" s="405">
        <v>3004562</v>
      </c>
      <c r="B5811" s="406">
        <v>42639</v>
      </c>
      <c r="C5811" s="405" t="s">
        <v>237</v>
      </c>
      <c r="D5811" s="401" t="s">
        <v>12557</v>
      </c>
      <c r="E5811" s="120">
        <v>75</v>
      </c>
      <c r="F5811" s="133" t="s">
        <v>431</v>
      </c>
      <c r="G5811" s="404" t="s">
        <v>7486</v>
      </c>
      <c r="H5811" s="411">
        <v>192.58</v>
      </c>
      <c r="I5811" s="397">
        <f t="shared" ref="I5811" si="2251">-(H5811*0.15)</f>
        <v>-28.887</v>
      </c>
      <c r="J5811" s="258">
        <v>0</v>
      </c>
      <c r="K5811" s="90">
        <f t="shared" si="2245"/>
        <v>163.69300000000001</v>
      </c>
      <c r="L5811" s="131">
        <v>990</v>
      </c>
      <c r="M5811" s="187">
        <v>29.59</v>
      </c>
      <c r="N5811" s="91">
        <f t="shared" si="2243"/>
        <v>103.84</v>
      </c>
      <c r="O5811" s="411">
        <f t="shared" si="2200"/>
        <v>59.853000000000009</v>
      </c>
      <c r="P5811" s="132" t="s">
        <v>52</v>
      </c>
      <c r="Q5811" s="232"/>
      <c r="R5811" s="411"/>
      <c r="T5811" s="134" t="s">
        <v>145</v>
      </c>
      <c r="U5811" s="267" t="s">
        <v>12558</v>
      </c>
      <c r="AA5811" s="218"/>
    </row>
    <row r="5812" spans="1:27" ht="24" x14ac:dyDescent="0.25">
      <c r="A5812" s="405">
        <v>3004563</v>
      </c>
      <c r="B5812" s="406">
        <v>42639</v>
      </c>
      <c r="C5812" s="405" t="s">
        <v>237</v>
      </c>
      <c r="D5812" s="401" t="s">
        <v>12559</v>
      </c>
      <c r="E5812" s="120">
        <v>150</v>
      </c>
      <c r="F5812" s="133" t="s">
        <v>247</v>
      </c>
      <c r="G5812" s="404" t="s">
        <v>7486</v>
      </c>
      <c r="H5812" s="411">
        <v>176.4</v>
      </c>
      <c r="I5812" s="397">
        <f t="shared" ref="I5812" si="2252">-(H5812*0.15)</f>
        <v>-26.46</v>
      </c>
      <c r="J5812" s="258">
        <v>0</v>
      </c>
      <c r="K5812" s="90">
        <f t="shared" si="2245"/>
        <v>149.94</v>
      </c>
      <c r="L5812" s="187">
        <v>672</v>
      </c>
      <c r="M5812" s="187">
        <v>27.06</v>
      </c>
      <c r="N5812" s="91">
        <f t="shared" si="2243"/>
        <v>127.86</v>
      </c>
      <c r="O5812" s="411">
        <f t="shared" si="2200"/>
        <v>22.08</v>
      </c>
      <c r="P5812" s="132" t="s">
        <v>313</v>
      </c>
      <c r="Q5812" s="232"/>
      <c r="R5812" s="411"/>
      <c r="T5812" s="134" t="s">
        <v>145</v>
      </c>
      <c r="U5812" s="267" t="s">
        <v>12560</v>
      </c>
      <c r="AA5812" s="218"/>
    </row>
    <row r="5813" spans="1:27" ht="24" x14ac:dyDescent="0.25">
      <c r="A5813" s="405">
        <v>3004564</v>
      </c>
      <c r="B5813" s="406">
        <v>42639</v>
      </c>
      <c r="C5813" s="405" t="s">
        <v>237</v>
      </c>
      <c r="D5813" s="401" t="s">
        <v>12561</v>
      </c>
      <c r="E5813" s="120">
        <v>100</v>
      </c>
      <c r="F5813" s="133" t="s">
        <v>3307</v>
      </c>
      <c r="G5813" s="404" t="s">
        <v>7486</v>
      </c>
      <c r="H5813" s="411">
        <v>180.18</v>
      </c>
      <c r="I5813" s="397">
        <f t="shared" ref="I5813" si="2253">-(H5813*0.15)</f>
        <v>-27.027000000000001</v>
      </c>
      <c r="J5813" s="258">
        <v>0</v>
      </c>
      <c r="K5813" s="90">
        <f t="shared" si="2245"/>
        <v>153.15300000000002</v>
      </c>
      <c r="L5813" s="187">
        <v>1180</v>
      </c>
      <c r="M5813" s="187">
        <v>23.76</v>
      </c>
      <c r="N5813" s="91">
        <f t="shared" si="2243"/>
        <v>141.76</v>
      </c>
      <c r="O5813" s="411">
        <f t="shared" si="2200"/>
        <v>11.393000000000029</v>
      </c>
      <c r="P5813" s="132" t="s">
        <v>601</v>
      </c>
      <c r="Q5813" s="232"/>
      <c r="R5813" s="411"/>
      <c r="T5813" s="134" t="s">
        <v>145</v>
      </c>
      <c r="U5813" s="267" t="s">
        <v>12562</v>
      </c>
      <c r="AA5813" s="218"/>
    </row>
    <row r="5814" spans="1:27" ht="36" x14ac:dyDescent="0.25">
      <c r="A5814" s="405">
        <v>3004565</v>
      </c>
      <c r="B5814" s="406">
        <v>42639</v>
      </c>
      <c r="C5814" s="405" t="s">
        <v>141</v>
      </c>
      <c r="D5814" s="401" t="s">
        <v>12320</v>
      </c>
      <c r="E5814" s="120">
        <v>123</v>
      </c>
      <c r="F5814" s="119" t="s">
        <v>12563</v>
      </c>
      <c r="G5814" s="404" t="s">
        <v>7486</v>
      </c>
      <c r="H5814" s="411">
        <v>295.2</v>
      </c>
      <c r="I5814" s="397">
        <v>0</v>
      </c>
      <c r="J5814" s="396">
        <f>-((H5814*0.0325)+0.3)</f>
        <v>-9.8940000000000001</v>
      </c>
      <c r="K5814" s="90">
        <f t="shared" si="2245"/>
        <v>285.30599999999998</v>
      </c>
      <c r="L5814" s="187">
        <v>1200</v>
      </c>
      <c r="M5814" s="254">
        <v>0</v>
      </c>
      <c r="N5814" s="91">
        <f t="shared" si="2243"/>
        <v>147.6</v>
      </c>
      <c r="O5814" s="411">
        <f t="shared" si="2200"/>
        <v>137.70599999999999</v>
      </c>
      <c r="P5814" s="132" t="s">
        <v>183</v>
      </c>
      <c r="Q5814" s="232"/>
      <c r="R5814" s="411"/>
      <c r="T5814" s="134" t="s">
        <v>145</v>
      </c>
      <c r="U5814" s="267" t="s">
        <v>12564</v>
      </c>
      <c r="W5814" s="153" t="s">
        <v>12565</v>
      </c>
      <c r="AA5814" s="218"/>
    </row>
    <row r="5815" spans="1:27" ht="24" x14ac:dyDescent="0.25">
      <c r="A5815" s="405">
        <v>3004566</v>
      </c>
      <c r="B5815" s="406">
        <v>42639</v>
      </c>
      <c r="C5815" s="405" t="s">
        <v>327</v>
      </c>
      <c r="D5815" s="401" t="s">
        <v>12566</v>
      </c>
      <c r="E5815" s="120">
        <v>8000</v>
      </c>
      <c r="F5815" s="133" t="s">
        <v>972</v>
      </c>
      <c r="G5815" s="404" t="s">
        <v>7486</v>
      </c>
      <c r="H5815" s="411">
        <v>3281</v>
      </c>
      <c r="I5815" s="399">
        <v>0</v>
      </c>
      <c r="J5815" s="396">
        <f>-((H5815*0.022)+0.3)</f>
        <v>-72.481999999999999</v>
      </c>
      <c r="K5815" s="396">
        <f t="shared" si="2245"/>
        <v>3208.518</v>
      </c>
      <c r="L5815" s="187">
        <v>231</v>
      </c>
      <c r="M5815" s="224">
        <v>215.23</v>
      </c>
      <c r="N5815" s="91">
        <f t="shared" si="2243"/>
        <v>2063.23</v>
      </c>
      <c r="O5815" s="411">
        <f t="shared" si="2200"/>
        <v>1145.288</v>
      </c>
      <c r="P5815" s="132" t="s">
        <v>183</v>
      </c>
      <c r="Q5815" s="232"/>
      <c r="R5815" s="411"/>
      <c r="T5815" s="134" t="s">
        <v>473</v>
      </c>
      <c r="U5815" s="267" t="s">
        <v>12567</v>
      </c>
      <c r="W5815" s="153" t="s">
        <v>12568</v>
      </c>
      <c r="AA5815" s="218"/>
    </row>
    <row r="5816" spans="1:27" ht="24" x14ac:dyDescent="0.25">
      <c r="A5816" s="405">
        <v>3004567</v>
      </c>
      <c r="B5816" s="406">
        <v>42639</v>
      </c>
      <c r="C5816" s="405" t="s">
        <v>237</v>
      </c>
      <c r="D5816" s="401" t="s">
        <v>12569</v>
      </c>
      <c r="E5816" s="120">
        <v>65</v>
      </c>
      <c r="F5816" s="133" t="s">
        <v>3307</v>
      </c>
      <c r="G5816" s="404" t="s">
        <v>7486</v>
      </c>
      <c r="H5816" s="411">
        <v>127.4</v>
      </c>
      <c r="I5816" s="397">
        <f t="shared" ref="I5816" si="2254">-(H5816*0.15)</f>
        <v>-19.11</v>
      </c>
      <c r="J5816" s="258">
        <v>0</v>
      </c>
      <c r="K5816" s="90">
        <f t="shared" si="2245"/>
        <v>108.29</v>
      </c>
      <c r="L5816" s="187">
        <v>1150</v>
      </c>
      <c r="M5816" s="187">
        <v>31.59</v>
      </c>
      <c r="N5816" s="91">
        <f t="shared" si="2243"/>
        <v>106.34</v>
      </c>
      <c r="O5816" s="411">
        <f t="shared" si="2200"/>
        <v>1.9500000000000028</v>
      </c>
      <c r="P5816" s="132" t="s">
        <v>601</v>
      </c>
      <c r="Q5816" s="232"/>
      <c r="R5816" s="411"/>
      <c r="T5816" s="134" t="s">
        <v>145</v>
      </c>
      <c r="U5816" s="267" t="s">
        <v>12570</v>
      </c>
      <c r="AA5816" s="218"/>
    </row>
    <row r="5817" spans="1:27" ht="24" x14ac:dyDescent="0.25">
      <c r="A5817" s="405">
        <v>3004568</v>
      </c>
      <c r="B5817" s="406">
        <v>42639</v>
      </c>
      <c r="C5817" s="405" t="s">
        <v>237</v>
      </c>
      <c r="D5817" s="401" t="s">
        <v>12571</v>
      </c>
      <c r="E5817" s="120">
        <v>250</v>
      </c>
      <c r="F5817" s="133" t="s">
        <v>247</v>
      </c>
      <c r="G5817" s="404" t="s">
        <v>7486</v>
      </c>
      <c r="H5817" s="411">
        <v>249.94</v>
      </c>
      <c r="I5817" s="397">
        <f t="shared" ref="I5817" si="2255">-(H5817*0.15)</f>
        <v>-37.491</v>
      </c>
      <c r="J5817" s="258">
        <v>0</v>
      </c>
      <c r="K5817" s="90">
        <f t="shared" si="2245"/>
        <v>212.44900000000001</v>
      </c>
      <c r="L5817" s="187">
        <v>672</v>
      </c>
      <c r="M5817" s="187">
        <v>49.27</v>
      </c>
      <c r="N5817" s="91">
        <f t="shared" si="2243"/>
        <v>217.27</v>
      </c>
      <c r="O5817" s="411">
        <f t="shared" si="2200"/>
        <v>-4.820999999999998</v>
      </c>
      <c r="P5817" s="132" t="s">
        <v>313</v>
      </c>
      <c r="Q5817" s="232"/>
      <c r="R5817" s="411"/>
      <c r="T5817" s="134" t="s">
        <v>145</v>
      </c>
      <c r="U5817" s="267" t="s">
        <v>12572</v>
      </c>
      <c r="AA5817" s="218"/>
    </row>
    <row r="5818" spans="1:27" ht="24" x14ac:dyDescent="0.25">
      <c r="A5818" s="405">
        <v>3004569</v>
      </c>
      <c r="B5818" s="406">
        <v>42639</v>
      </c>
      <c r="C5818" s="405" t="s">
        <v>78</v>
      </c>
      <c r="D5818" s="401" t="s">
        <v>12573</v>
      </c>
      <c r="E5818" s="120">
        <v>50</v>
      </c>
      <c r="F5818" s="133" t="s">
        <v>161</v>
      </c>
      <c r="G5818" s="404" t="s">
        <v>7486</v>
      </c>
      <c r="H5818" s="411">
        <v>140</v>
      </c>
      <c r="I5818" s="411">
        <v>0</v>
      </c>
      <c r="J5818" s="258">
        <f t="shared" ref="J5818:J5820" si="2256">-((H5818*0.019)+0.3)</f>
        <v>-2.96</v>
      </c>
      <c r="K5818" s="90">
        <f t="shared" si="2245"/>
        <v>137.04</v>
      </c>
      <c r="L5818" s="187">
        <v>1680</v>
      </c>
      <c r="M5818" s="187">
        <v>32.380000000000003</v>
      </c>
      <c r="N5818" s="91">
        <f t="shared" si="2243"/>
        <v>116.38</v>
      </c>
      <c r="O5818" s="411">
        <f t="shared" si="2200"/>
        <v>20.659999999999997</v>
      </c>
      <c r="P5818" s="132" t="s">
        <v>183</v>
      </c>
      <c r="Q5818" s="232"/>
      <c r="R5818" s="411"/>
      <c r="T5818" s="134" t="s">
        <v>145</v>
      </c>
      <c r="U5818" s="267" t="s">
        <v>12574</v>
      </c>
      <c r="W5818" s="153" t="s">
        <v>12575</v>
      </c>
      <c r="AA5818" s="218">
        <v>10</v>
      </c>
    </row>
    <row r="5819" spans="1:27" x14ac:dyDescent="0.25">
      <c r="A5819" s="405">
        <v>3004570</v>
      </c>
      <c r="B5819" s="406">
        <v>42639</v>
      </c>
      <c r="C5819" s="405" t="s">
        <v>56</v>
      </c>
      <c r="D5819" s="401" t="s">
        <v>12576</v>
      </c>
      <c r="E5819" s="120">
        <v>2000</v>
      </c>
      <c r="F5819" s="133" t="s">
        <v>12577</v>
      </c>
      <c r="G5819" s="404" t="s">
        <v>7486</v>
      </c>
      <c r="H5819" s="411">
        <v>4280</v>
      </c>
      <c r="I5819" s="411">
        <v>0</v>
      </c>
      <c r="J5819" s="411">
        <v>0</v>
      </c>
      <c r="K5819" s="90">
        <f t="shared" si="2245"/>
        <v>4280</v>
      </c>
      <c r="L5819" s="131">
        <v>1693</v>
      </c>
      <c r="M5819" s="187">
        <v>350.71</v>
      </c>
      <c r="N5819" s="91">
        <f t="shared" si="2243"/>
        <v>3736.71</v>
      </c>
      <c r="O5819" s="411">
        <f t="shared" si="2200"/>
        <v>543.29</v>
      </c>
      <c r="P5819" s="132" t="s">
        <v>52</v>
      </c>
      <c r="Q5819" s="232"/>
      <c r="R5819" s="411"/>
      <c r="T5819" s="134" t="s">
        <v>89</v>
      </c>
      <c r="U5819" s="267" t="s">
        <v>12578</v>
      </c>
      <c r="V5819" s="133" t="s">
        <v>12579</v>
      </c>
      <c r="AA5819" s="218"/>
    </row>
    <row r="5820" spans="1:27" x14ac:dyDescent="0.25">
      <c r="A5820" s="419">
        <v>3004571</v>
      </c>
      <c r="B5820" s="421">
        <v>42639</v>
      </c>
      <c r="C5820" s="419" t="s">
        <v>78</v>
      </c>
      <c r="D5820" s="417" t="s">
        <v>12580</v>
      </c>
      <c r="E5820" s="120">
        <v>500</v>
      </c>
      <c r="F5820" s="133" t="s">
        <v>2675</v>
      </c>
      <c r="G5820" s="434" t="s">
        <v>7486</v>
      </c>
      <c r="H5820" s="427">
        <v>1890</v>
      </c>
      <c r="I5820" s="427">
        <v>0</v>
      </c>
      <c r="J5820" s="425">
        <f t="shared" si="2256"/>
        <v>-36.209999999999994</v>
      </c>
      <c r="K5820" s="425">
        <f t="shared" si="2245"/>
        <v>1853.79</v>
      </c>
      <c r="L5820" s="187">
        <v>780</v>
      </c>
      <c r="N5820" s="91">
        <f t="shared" si="2243"/>
        <v>390</v>
      </c>
      <c r="O5820" s="411">
        <f t="shared" si="2200"/>
        <v>1463.79</v>
      </c>
      <c r="P5820" s="132" t="s">
        <v>12581</v>
      </c>
      <c r="Q5820" s="232"/>
      <c r="R5820" s="411"/>
      <c r="T5820" s="439" t="s">
        <v>260</v>
      </c>
      <c r="U5820" s="446" t="s">
        <v>12582</v>
      </c>
      <c r="W5820" s="153" t="s">
        <v>9206</v>
      </c>
      <c r="AA5820" s="473">
        <v>10</v>
      </c>
    </row>
    <row r="5821" spans="1:27" x14ac:dyDescent="0.25">
      <c r="A5821" s="420"/>
      <c r="B5821" s="422"/>
      <c r="C5821" s="420"/>
      <c r="D5821" s="418"/>
      <c r="E5821" s="120">
        <v>500</v>
      </c>
      <c r="F5821" s="133" t="s">
        <v>12583</v>
      </c>
      <c r="G5821" s="436"/>
      <c r="H5821" s="428"/>
      <c r="I5821" s="428"/>
      <c r="J5821" s="426"/>
      <c r="K5821" s="426"/>
      <c r="L5821" s="187">
        <v>1380</v>
      </c>
      <c r="N5821" s="91">
        <f t="shared" si="2243"/>
        <v>690</v>
      </c>
      <c r="O5821" s="411">
        <f t="shared" si="2200"/>
        <v>-690</v>
      </c>
      <c r="P5821" s="132" t="s">
        <v>12581</v>
      </c>
      <c r="Q5821" s="232"/>
      <c r="R5821" s="411"/>
      <c r="T5821" s="441"/>
      <c r="U5821" s="447"/>
      <c r="AA5821" s="474"/>
    </row>
    <row r="5822" spans="1:27" ht="24" x14ac:dyDescent="0.25">
      <c r="A5822" s="405">
        <v>3004572</v>
      </c>
      <c r="B5822" s="406">
        <v>42639</v>
      </c>
      <c r="C5822" s="405" t="s">
        <v>56</v>
      </c>
      <c r="D5822" s="401" t="s">
        <v>12584</v>
      </c>
      <c r="E5822" s="120">
        <v>135</v>
      </c>
      <c r="F5822" s="133" t="s">
        <v>590</v>
      </c>
      <c r="G5822" s="404" t="s">
        <v>7486</v>
      </c>
      <c r="H5822" s="411">
        <v>97.2</v>
      </c>
      <c r="I5822" s="411">
        <v>0</v>
      </c>
      <c r="J5822" s="411">
        <v>0</v>
      </c>
      <c r="K5822" s="90">
        <f>SUM(H5822:J5822)</f>
        <v>97.2</v>
      </c>
      <c r="L5822" s="131">
        <v>577</v>
      </c>
      <c r="N5822" s="91">
        <f t="shared" si="2243"/>
        <v>77.89500000000001</v>
      </c>
      <c r="O5822" s="411">
        <f t="shared" si="2200"/>
        <v>19.304999999999993</v>
      </c>
      <c r="P5822" s="132" t="s">
        <v>52</v>
      </c>
      <c r="Q5822" s="232"/>
      <c r="R5822" s="411"/>
      <c r="T5822" s="134" t="s">
        <v>8218</v>
      </c>
      <c r="U5822" s="134" t="s">
        <v>8218</v>
      </c>
      <c r="V5822" s="133" t="s">
        <v>12093</v>
      </c>
      <c r="W5822" s="153" t="s">
        <v>12585</v>
      </c>
      <c r="AA5822" s="218"/>
    </row>
    <row r="5823" spans="1:27" ht="24" x14ac:dyDescent="0.25">
      <c r="A5823" s="405">
        <v>3004573</v>
      </c>
      <c r="B5823" s="406">
        <v>42639</v>
      </c>
      <c r="C5823" s="405" t="s">
        <v>63</v>
      </c>
      <c r="D5823" s="401" t="s">
        <v>12586</v>
      </c>
      <c r="E5823" s="120">
        <v>75</v>
      </c>
      <c r="F5823" s="133" t="s">
        <v>1547</v>
      </c>
      <c r="G5823" s="404" t="s">
        <v>7486</v>
      </c>
      <c r="H5823" s="411">
        <v>76.5</v>
      </c>
      <c r="I5823" s="399">
        <v>0</v>
      </c>
      <c r="J5823" s="396">
        <f>-((H5823*0.022)+0.3)</f>
        <v>-1.9829999999999999</v>
      </c>
      <c r="K5823" s="396">
        <f>SUM(H5823:J5823)</f>
        <v>74.516999999999996</v>
      </c>
      <c r="L5823" s="187">
        <v>800</v>
      </c>
      <c r="M5823" s="187">
        <v>15.61</v>
      </c>
      <c r="N5823" s="91">
        <f t="shared" si="2243"/>
        <v>75.61</v>
      </c>
      <c r="O5823" s="411">
        <f t="shared" si="2200"/>
        <v>-1.0930000000000035</v>
      </c>
      <c r="P5823" s="132" t="s">
        <v>183</v>
      </c>
      <c r="Q5823" s="232"/>
      <c r="R5823" s="411"/>
      <c r="T5823" s="134" t="s">
        <v>145</v>
      </c>
      <c r="U5823" s="267" t="s">
        <v>12587</v>
      </c>
      <c r="W5823" s="153" t="s">
        <v>12588</v>
      </c>
      <c r="AA5823" s="218"/>
    </row>
    <row r="5824" spans="1:27" ht="24" x14ac:dyDescent="0.25">
      <c r="A5824" s="405">
        <v>3004574</v>
      </c>
      <c r="B5824" s="406">
        <v>42639</v>
      </c>
      <c r="C5824" s="405" t="s">
        <v>42</v>
      </c>
      <c r="D5824" s="401" t="s">
        <v>11666</v>
      </c>
      <c r="E5824" s="120">
        <v>150</v>
      </c>
      <c r="F5824" s="133" t="s">
        <v>247</v>
      </c>
      <c r="G5824" s="404" t="s">
        <v>7486</v>
      </c>
      <c r="H5824" s="411">
        <v>185.9</v>
      </c>
      <c r="I5824" s="89">
        <f>-(H5824*0.09)</f>
        <v>-16.731000000000002</v>
      </c>
      <c r="J5824" s="258">
        <f t="shared" ref="J5824" si="2257">-((H5824*0.019)+0.3)</f>
        <v>-3.8321000000000001</v>
      </c>
      <c r="K5824" s="90">
        <f t="shared" ref="K5824" si="2258">SUM(H5824:J5824)</f>
        <v>165.33690000000001</v>
      </c>
      <c r="L5824" s="187">
        <v>672</v>
      </c>
      <c r="M5824" s="187">
        <v>19.62</v>
      </c>
      <c r="N5824" s="91">
        <f t="shared" si="2243"/>
        <v>120.42</v>
      </c>
      <c r="O5824" s="411">
        <f t="shared" si="2200"/>
        <v>44.916900000000012</v>
      </c>
      <c r="P5824" s="402" t="s">
        <v>313</v>
      </c>
      <c r="Q5824" s="232"/>
      <c r="R5824" s="411"/>
      <c r="T5824" s="134" t="s">
        <v>145</v>
      </c>
      <c r="U5824" s="267" t="s">
        <v>12589</v>
      </c>
      <c r="AA5824" s="218"/>
    </row>
    <row r="5825" spans="1:27" ht="48" x14ac:dyDescent="0.25">
      <c r="A5825" s="419">
        <v>3004575</v>
      </c>
      <c r="B5825" s="421">
        <v>42639</v>
      </c>
      <c r="C5825" s="419" t="s">
        <v>237</v>
      </c>
      <c r="D5825" s="417" t="s">
        <v>12590</v>
      </c>
      <c r="E5825" s="120">
        <v>250</v>
      </c>
      <c r="F5825" s="119" t="s">
        <v>12591</v>
      </c>
      <c r="G5825" s="434" t="s">
        <v>7486</v>
      </c>
      <c r="H5825" s="427">
        <v>410.13</v>
      </c>
      <c r="I5825" s="452">
        <f t="shared" ref="I5825" si="2259">-(H5825*0.15)</f>
        <v>-61.519499999999994</v>
      </c>
      <c r="J5825" s="425">
        <v>0</v>
      </c>
      <c r="K5825" s="425">
        <f>SUM(H5825:J5825)</f>
        <v>348.6105</v>
      </c>
      <c r="L5825" s="187">
        <v>330</v>
      </c>
      <c r="M5825" s="187">
        <v>12.26</v>
      </c>
      <c r="N5825" s="91">
        <f t="shared" si="2243"/>
        <v>94.76</v>
      </c>
      <c r="O5825" s="411">
        <f t="shared" si="2200"/>
        <v>253.85050000000001</v>
      </c>
      <c r="P5825" s="405" t="s">
        <v>856</v>
      </c>
      <c r="Q5825" s="220"/>
      <c r="R5825" s="411"/>
      <c r="T5825" s="439" t="s">
        <v>145</v>
      </c>
      <c r="U5825" s="446" t="s">
        <v>12592</v>
      </c>
      <c r="AA5825" s="218"/>
    </row>
    <row r="5826" spans="1:27" ht="36" x14ac:dyDescent="0.25">
      <c r="A5826" s="420"/>
      <c r="B5826" s="422"/>
      <c r="C5826" s="420"/>
      <c r="D5826" s="418"/>
      <c r="E5826" s="120">
        <v>542</v>
      </c>
      <c r="F5826" s="119" t="s">
        <v>12593</v>
      </c>
      <c r="G5826" s="436"/>
      <c r="H5826" s="428"/>
      <c r="I5826" s="453"/>
      <c r="J5826" s="426"/>
      <c r="K5826" s="426"/>
      <c r="L5826" s="187">
        <v>220</v>
      </c>
      <c r="N5826" s="91">
        <f t="shared" si="2243"/>
        <v>119.24000000000001</v>
      </c>
      <c r="O5826" s="411">
        <f t="shared" si="2200"/>
        <v>-119.24000000000001</v>
      </c>
      <c r="P5826" s="405" t="s">
        <v>856</v>
      </c>
      <c r="Q5826" s="220"/>
      <c r="R5826" s="411"/>
      <c r="T5826" s="441"/>
      <c r="U5826" s="447"/>
      <c r="AA5826" s="218"/>
    </row>
    <row r="5827" spans="1:27" ht="48" x14ac:dyDescent="0.25">
      <c r="A5827" s="405">
        <v>3004576</v>
      </c>
      <c r="B5827" s="406">
        <v>42639</v>
      </c>
      <c r="C5827" s="405" t="s">
        <v>237</v>
      </c>
      <c r="D5827" s="401" t="s">
        <v>12594</v>
      </c>
      <c r="E5827" s="120">
        <v>50</v>
      </c>
      <c r="F5827" s="119" t="s">
        <v>12595</v>
      </c>
      <c r="G5827" s="404" t="s">
        <v>7486</v>
      </c>
      <c r="H5827" s="411">
        <v>129.65</v>
      </c>
      <c r="I5827" s="397">
        <f t="shared" ref="I5827" si="2260">-(H5827*0.15)</f>
        <v>-19.447500000000002</v>
      </c>
      <c r="J5827" s="258">
        <v>0</v>
      </c>
      <c r="K5827" s="90">
        <f>SUM(H5827:J5827)</f>
        <v>110.2025</v>
      </c>
      <c r="L5827" s="187">
        <v>1200</v>
      </c>
      <c r="M5827" s="187">
        <v>15.13</v>
      </c>
      <c r="N5827" s="91">
        <f t="shared" si="2243"/>
        <v>75.13</v>
      </c>
      <c r="O5827" s="411">
        <f t="shared" si="2200"/>
        <v>35.072500000000005</v>
      </c>
      <c r="P5827" s="405" t="s">
        <v>856</v>
      </c>
      <c r="Q5827" s="220"/>
      <c r="R5827" s="411"/>
      <c r="T5827" s="134" t="s">
        <v>145</v>
      </c>
      <c r="U5827" s="267" t="s">
        <v>12596</v>
      </c>
      <c r="AA5827" s="218"/>
    </row>
    <row r="5828" spans="1:27" x14ac:dyDescent="0.25">
      <c r="A5828" s="405">
        <v>3004577</v>
      </c>
      <c r="B5828" s="406">
        <v>42640</v>
      </c>
      <c r="C5828" s="405" t="s">
        <v>63</v>
      </c>
      <c r="D5828" s="401" t="s">
        <v>1900</v>
      </c>
      <c r="E5828" s="120">
        <v>2000</v>
      </c>
      <c r="F5828" s="133" t="s">
        <v>12597</v>
      </c>
      <c r="G5828" s="404" t="s">
        <v>45</v>
      </c>
      <c r="H5828" s="411">
        <v>1760</v>
      </c>
      <c r="I5828" s="399">
        <v>0</v>
      </c>
      <c r="J5828" s="396">
        <f>-((H5828*0.022)+0.3)</f>
        <v>-39.019999999999996</v>
      </c>
      <c r="K5828" s="396">
        <f>SUM(H5828:J5828)</f>
        <v>1720.98</v>
      </c>
      <c r="L5828" s="187">
        <v>620</v>
      </c>
      <c r="M5828" s="187">
        <v>170.21</v>
      </c>
      <c r="N5828" s="91">
        <f t="shared" si="2243"/>
        <v>1410.21</v>
      </c>
      <c r="O5828" s="411">
        <f t="shared" ref="O5828:O5891" si="2261">K5828-N5828</f>
        <v>310.77</v>
      </c>
      <c r="P5828" s="403" t="s">
        <v>638</v>
      </c>
      <c r="Q5828" s="232"/>
      <c r="R5828" s="411"/>
      <c r="T5828" s="134" t="s">
        <v>11100</v>
      </c>
      <c r="U5828" s="267" t="s">
        <v>12598</v>
      </c>
      <c r="V5828" s="133" t="s">
        <v>55</v>
      </c>
      <c r="W5828" s="153" t="s">
        <v>1903</v>
      </c>
      <c r="AA5828" s="218">
        <v>10</v>
      </c>
    </row>
    <row r="5829" spans="1:27" ht="24" x14ac:dyDescent="0.25">
      <c r="A5829" s="405">
        <v>3004578</v>
      </c>
      <c r="B5829" s="406">
        <v>42640</v>
      </c>
      <c r="C5829" s="405" t="s">
        <v>42</v>
      </c>
      <c r="D5829" s="401" t="s">
        <v>12599</v>
      </c>
      <c r="E5829" s="120">
        <v>300</v>
      </c>
      <c r="F5829" s="133" t="s">
        <v>939</v>
      </c>
      <c r="G5829" s="404" t="s">
        <v>7486</v>
      </c>
      <c r="H5829" s="411">
        <v>276.79000000000002</v>
      </c>
      <c r="I5829" s="89">
        <f t="shared" ref="I5829:I5835" si="2262">-(H5829*0.09)</f>
        <v>-24.911100000000001</v>
      </c>
      <c r="J5829" s="258">
        <f t="shared" ref="J5829" si="2263">-((H5829*0.019)+0.3)</f>
        <v>-5.5590099999999998</v>
      </c>
      <c r="K5829" s="90">
        <f t="shared" ref="K5829" si="2264">SUM(H5829:J5829)</f>
        <v>246.31989000000002</v>
      </c>
      <c r="L5829" s="131">
        <v>445</v>
      </c>
      <c r="M5829" s="187">
        <v>45.14</v>
      </c>
      <c r="N5829" s="91">
        <f t="shared" si="2243"/>
        <v>178.64</v>
      </c>
      <c r="O5829" s="411">
        <f t="shared" si="2261"/>
        <v>67.679890000000029</v>
      </c>
      <c r="P5829" s="132" t="s">
        <v>52</v>
      </c>
      <c r="Q5829" s="232"/>
      <c r="R5829" s="411"/>
      <c r="T5829" s="134" t="s">
        <v>145</v>
      </c>
      <c r="U5829" s="267" t="s">
        <v>12600</v>
      </c>
      <c r="AA5829" s="218"/>
    </row>
    <row r="5830" spans="1:27" ht="24" x14ac:dyDescent="0.25">
      <c r="A5830" s="405">
        <v>3004579</v>
      </c>
      <c r="B5830" s="406">
        <v>42640</v>
      </c>
      <c r="C5830" s="405" t="s">
        <v>42</v>
      </c>
      <c r="D5830" s="401" t="s">
        <v>12601</v>
      </c>
      <c r="E5830" s="120">
        <v>100</v>
      </c>
      <c r="F5830" s="133" t="s">
        <v>288</v>
      </c>
      <c r="G5830" s="404" t="s">
        <v>7486</v>
      </c>
      <c r="H5830" s="411">
        <v>195.25</v>
      </c>
      <c r="I5830" s="89">
        <f t="shared" si="2262"/>
        <v>-17.572499999999998</v>
      </c>
      <c r="J5830" s="258">
        <f t="shared" ref="J5830" si="2265">-((H5830*0.019)+0.3)</f>
        <v>-4.0097500000000004</v>
      </c>
      <c r="K5830" s="90">
        <f t="shared" ref="K5830" si="2266">SUM(H5830:J5830)</f>
        <v>173.66775000000001</v>
      </c>
      <c r="L5830" s="131">
        <v>950</v>
      </c>
      <c r="M5830" s="187">
        <v>26.19</v>
      </c>
      <c r="N5830" s="91">
        <f t="shared" si="2243"/>
        <v>121.19</v>
      </c>
      <c r="O5830" s="411">
        <f t="shared" si="2261"/>
        <v>52.477750000000015</v>
      </c>
      <c r="P5830" s="132" t="s">
        <v>52</v>
      </c>
      <c r="Q5830" s="232"/>
      <c r="R5830" s="411"/>
      <c r="T5830" s="134" t="s">
        <v>145</v>
      </c>
      <c r="U5830" s="267" t="s">
        <v>12602</v>
      </c>
      <c r="AA5830" s="218"/>
    </row>
    <row r="5831" spans="1:27" ht="24" x14ac:dyDescent="0.25">
      <c r="A5831" s="405">
        <v>3004580</v>
      </c>
      <c r="B5831" s="406">
        <v>42640</v>
      </c>
      <c r="C5831" s="405" t="s">
        <v>42</v>
      </c>
      <c r="D5831" s="401" t="s">
        <v>12603</v>
      </c>
      <c r="E5831" s="120">
        <v>150</v>
      </c>
      <c r="F5831" s="133" t="s">
        <v>161</v>
      </c>
      <c r="G5831" s="404" t="s">
        <v>7486</v>
      </c>
      <c r="H5831" s="411">
        <v>341.55</v>
      </c>
      <c r="I5831" s="89">
        <f t="shared" si="2262"/>
        <v>-30.7395</v>
      </c>
      <c r="J5831" s="258">
        <f t="shared" ref="J5831" si="2267">-((H5831*0.019)+0.3)</f>
        <v>-6.7894499999999995</v>
      </c>
      <c r="K5831" s="90">
        <f t="shared" ref="K5831" si="2268">SUM(H5831:J5831)</f>
        <v>304.02105</v>
      </c>
      <c r="L5831" s="131">
        <v>1322</v>
      </c>
      <c r="M5831" s="187">
        <v>49.35</v>
      </c>
      <c r="N5831" s="91">
        <f t="shared" si="2243"/>
        <v>247.64999999999998</v>
      </c>
      <c r="O5831" s="411">
        <f t="shared" si="2261"/>
        <v>56.371050000000025</v>
      </c>
      <c r="P5831" s="132" t="s">
        <v>52</v>
      </c>
      <c r="Q5831" s="232"/>
      <c r="R5831" s="411"/>
      <c r="T5831" s="134" t="s">
        <v>145</v>
      </c>
      <c r="U5831" s="267" t="s">
        <v>12604</v>
      </c>
      <c r="AA5831" s="218"/>
    </row>
    <row r="5832" spans="1:27" ht="24" x14ac:dyDescent="0.25">
      <c r="A5832" s="405">
        <v>3004581</v>
      </c>
      <c r="B5832" s="406">
        <v>42640</v>
      </c>
      <c r="C5832" s="405" t="s">
        <v>42</v>
      </c>
      <c r="D5832" s="401" t="s">
        <v>12605</v>
      </c>
      <c r="E5832" s="120">
        <v>300</v>
      </c>
      <c r="F5832" s="133" t="s">
        <v>165</v>
      </c>
      <c r="G5832" s="404" t="s">
        <v>7486</v>
      </c>
      <c r="H5832" s="411">
        <v>285.27</v>
      </c>
      <c r="I5832" s="89">
        <f t="shared" si="2262"/>
        <v>-25.674299999999999</v>
      </c>
      <c r="J5832" s="258">
        <f t="shared" ref="J5832" si="2269">-((H5832*0.019)+0.3)</f>
        <v>-5.7201299999999993</v>
      </c>
      <c r="K5832" s="90">
        <f t="shared" ref="K5832" si="2270">SUM(H5832:J5832)</f>
        <v>253.87556999999995</v>
      </c>
      <c r="L5832" s="131">
        <v>375</v>
      </c>
      <c r="M5832" s="187">
        <v>46.06</v>
      </c>
      <c r="N5832" s="91">
        <f t="shared" si="2243"/>
        <v>158.56</v>
      </c>
      <c r="O5832" s="411">
        <f t="shared" si="2261"/>
        <v>95.315569999999951</v>
      </c>
      <c r="P5832" s="132" t="s">
        <v>52</v>
      </c>
      <c r="Q5832" s="232"/>
      <c r="R5832" s="411"/>
      <c r="T5832" s="134" t="s">
        <v>145</v>
      </c>
      <c r="U5832" s="267" t="s">
        <v>12606</v>
      </c>
      <c r="AA5832" s="218"/>
    </row>
    <row r="5833" spans="1:27" x14ac:dyDescent="0.25">
      <c r="A5833" s="405">
        <v>3004582</v>
      </c>
      <c r="B5833" s="406">
        <v>42640</v>
      </c>
      <c r="C5833" s="405" t="s">
        <v>42</v>
      </c>
      <c r="D5833" s="401" t="s">
        <v>12607</v>
      </c>
      <c r="E5833" s="120">
        <v>460</v>
      </c>
      <c r="F5833" s="133" t="s">
        <v>70</v>
      </c>
      <c r="G5833" s="404" t="s">
        <v>7486</v>
      </c>
      <c r="H5833" s="411">
        <v>1263.2</v>
      </c>
      <c r="I5833" s="89">
        <f t="shared" si="2262"/>
        <v>-113.688</v>
      </c>
      <c r="J5833" s="258">
        <f t="shared" ref="J5833" si="2271">-((H5833*0.019)+0.3)</f>
        <v>-24.300800000000002</v>
      </c>
      <c r="K5833" s="90">
        <f t="shared" ref="K5833" si="2272">SUM(H5833:J5833)</f>
        <v>1125.2112</v>
      </c>
      <c r="L5833" s="131">
        <v>1200</v>
      </c>
      <c r="M5833" s="187">
        <v>187.81</v>
      </c>
      <c r="N5833" s="91">
        <f t="shared" si="2243"/>
        <v>739.81</v>
      </c>
      <c r="O5833" s="411">
        <f t="shared" si="2261"/>
        <v>385.40120000000002</v>
      </c>
      <c r="P5833" s="132" t="s">
        <v>86</v>
      </c>
      <c r="Q5833" s="232"/>
      <c r="R5833" s="411"/>
      <c r="T5833" s="134" t="s">
        <v>7260</v>
      </c>
      <c r="U5833" s="267" t="s">
        <v>12608</v>
      </c>
      <c r="V5833" s="133" t="s">
        <v>55</v>
      </c>
      <c r="AA5833" s="218"/>
    </row>
    <row r="5834" spans="1:27" ht="24" x14ac:dyDescent="0.25">
      <c r="A5834" s="405">
        <v>3004583</v>
      </c>
      <c r="B5834" s="406">
        <v>42640</v>
      </c>
      <c r="C5834" s="405" t="s">
        <v>42</v>
      </c>
      <c r="D5834" s="401" t="s">
        <v>12609</v>
      </c>
      <c r="E5834" s="120">
        <v>150</v>
      </c>
      <c r="F5834" s="133" t="s">
        <v>247</v>
      </c>
      <c r="G5834" s="404" t="s">
        <v>7486</v>
      </c>
      <c r="H5834" s="411">
        <v>185.9</v>
      </c>
      <c r="I5834" s="89">
        <f t="shared" si="2262"/>
        <v>-16.731000000000002</v>
      </c>
      <c r="J5834" s="258">
        <f t="shared" ref="J5834" si="2273">-((H5834*0.019)+0.3)</f>
        <v>-3.8321000000000001</v>
      </c>
      <c r="K5834" s="90">
        <f t="shared" ref="K5834" si="2274">SUM(H5834:J5834)</f>
        <v>165.33690000000001</v>
      </c>
      <c r="L5834" s="187">
        <v>672</v>
      </c>
      <c r="M5834" s="187">
        <v>27.6</v>
      </c>
      <c r="N5834" s="91">
        <f t="shared" si="2243"/>
        <v>128.4</v>
      </c>
      <c r="O5834" s="411">
        <f t="shared" si="2261"/>
        <v>36.936900000000009</v>
      </c>
      <c r="P5834" s="132" t="s">
        <v>313</v>
      </c>
      <c r="Q5834" s="232"/>
      <c r="R5834" s="411"/>
      <c r="T5834" s="134" t="s">
        <v>145</v>
      </c>
      <c r="U5834" s="267" t="s">
        <v>12610</v>
      </c>
      <c r="AA5834" s="218"/>
    </row>
    <row r="5835" spans="1:27" ht="24" x14ac:dyDescent="0.25">
      <c r="A5835" s="405">
        <v>3004584</v>
      </c>
      <c r="B5835" s="406">
        <v>42640</v>
      </c>
      <c r="C5835" s="405" t="s">
        <v>42</v>
      </c>
      <c r="D5835" s="401" t="s">
        <v>12611</v>
      </c>
      <c r="E5835" s="120">
        <v>100</v>
      </c>
      <c r="F5835" s="133" t="s">
        <v>288</v>
      </c>
      <c r="G5835" s="404" t="s">
        <v>7486</v>
      </c>
      <c r="H5835" s="411">
        <v>195.25</v>
      </c>
      <c r="I5835" s="89">
        <f t="shared" si="2262"/>
        <v>-17.572499999999998</v>
      </c>
      <c r="J5835" s="258">
        <f t="shared" ref="J5835" si="2275">-((H5835*0.019)+0.3)</f>
        <v>-4.0097500000000004</v>
      </c>
      <c r="K5835" s="90">
        <f t="shared" ref="K5835" si="2276">SUM(H5835:J5835)</f>
        <v>173.66775000000001</v>
      </c>
      <c r="L5835" s="131">
        <v>950</v>
      </c>
      <c r="M5835" s="187">
        <v>17.27</v>
      </c>
      <c r="N5835" s="91">
        <f t="shared" si="2243"/>
        <v>112.27</v>
      </c>
      <c r="O5835" s="411">
        <f t="shared" si="2261"/>
        <v>61.397750000000016</v>
      </c>
      <c r="P5835" s="132" t="s">
        <v>52</v>
      </c>
      <c r="Q5835" s="232"/>
      <c r="R5835" s="411"/>
      <c r="T5835" s="134" t="s">
        <v>145</v>
      </c>
      <c r="U5835" s="267" t="s">
        <v>12612</v>
      </c>
      <c r="AA5835" s="218"/>
    </row>
    <row r="5836" spans="1:27" ht="24" x14ac:dyDescent="0.25">
      <c r="A5836" s="405">
        <v>3004585</v>
      </c>
      <c r="B5836" s="406">
        <v>42640</v>
      </c>
      <c r="C5836" s="405" t="s">
        <v>237</v>
      </c>
      <c r="D5836" s="401" t="s">
        <v>12613</v>
      </c>
      <c r="E5836" s="120">
        <v>350</v>
      </c>
      <c r="F5836" s="133" t="s">
        <v>537</v>
      </c>
      <c r="G5836" s="404" t="s">
        <v>7486</v>
      </c>
      <c r="H5836" s="411">
        <v>219.41</v>
      </c>
      <c r="I5836" s="397">
        <f t="shared" ref="I5836" si="2277">-(H5836*0.15)</f>
        <v>-32.911499999999997</v>
      </c>
      <c r="J5836" s="258">
        <v>0</v>
      </c>
      <c r="K5836" s="90">
        <f>SUM(H5836:J5836)</f>
        <v>186.49850000000001</v>
      </c>
      <c r="L5836" s="187">
        <v>162</v>
      </c>
      <c r="M5836" s="187">
        <v>31.79</v>
      </c>
      <c r="N5836" s="91">
        <f t="shared" si="2243"/>
        <v>88.490000000000009</v>
      </c>
      <c r="O5836" s="411">
        <f t="shared" si="2261"/>
        <v>98.008499999999998</v>
      </c>
      <c r="P5836" s="132" t="s">
        <v>313</v>
      </c>
      <c r="Q5836" s="232"/>
      <c r="R5836" s="411"/>
      <c r="T5836" s="134" t="s">
        <v>145</v>
      </c>
      <c r="U5836" s="267" t="s">
        <v>12614</v>
      </c>
      <c r="AA5836" s="218"/>
    </row>
    <row r="5837" spans="1:27" ht="24" x14ac:dyDescent="0.25">
      <c r="A5837" s="405">
        <v>3004586</v>
      </c>
      <c r="B5837" s="406">
        <v>42640</v>
      </c>
      <c r="C5837" s="405" t="s">
        <v>237</v>
      </c>
      <c r="D5837" s="401" t="s">
        <v>12615</v>
      </c>
      <c r="E5837" s="120">
        <v>50</v>
      </c>
      <c r="F5837" s="133" t="s">
        <v>288</v>
      </c>
      <c r="G5837" s="404" t="s">
        <v>7486</v>
      </c>
      <c r="H5837" s="411">
        <v>113.43</v>
      </c>
      <c r="I5837" s="397">
        <f t="shared" ref="I5837" si="2278">-(H5837*0.15)</f>
        <v>-17.014500000000002</v>
      </c>
      <c r="J5837" s="258">
        <v>0</v>
      </c>
      <c r="K5837" s="90">
        <f>SUM(H5837:J5837)</f>
        <v>96.415500000000009</v>
      </c>
      <c r="L5837" s="131">
        <v>950</v>
      </c>
      <c r="M5837" s="187">
        <v>20.8</v>
      </c>
      <c r="N5837" s="91">
        <f t="shared" si="2243"/>
        <v>68.3</v>
      </c>
      <c r="O5837" s="411">
        <f t="shared" si="2261"/>
        <v>28.115500000000011</v>
      </c>
      <c r="P5837" s="132" t="s">
        <v>52</v>
      </c>
      <c r="Q5837" s="232"/>
      <c r="R5837" s="411"/>
      <c r="T5837" s="134" t="s">
        <v>145</v>
      </c>
      <c r="U5837" s="267" t="s">
        <v>12616</v>
      </c>
      <c r="AA5837" s="218"/>
    </row>
    <row r="5838" spans="1:27" ht="24" x14ac:dyDescent="0.25">
      <c r="A5838" s="405">
        <v>3004587</v>
      </c>
      <c r="B5838" s="406">
        <v>42640</v>
      </c>
      <c r="C5838" s="405" t="s">
        <v>237</v>
      </c>
      <c r="D5838" s="401" t="s">
        <v>12617</v>
      </c>
      <c r="E5838" s="120">
        <v>500</v>
      </c>
      <c r="F5838" s="133" t="s">
        <v>1137</v>
      </c>
      <c r="G5838" s="404" t="s">
        <v>7486</v>
      </c>
      <c r="H5838" s="411">
        <v>183.71</v>
      </c>
      <c r="I5838" s="397">
        <f t="shared" ref="I5838" si="2279">-(H5838*0.15)</f>
        <v>-27.5565</v>
      </c>
      <c r="J5838" s="258">
        <v>0</v>
      </c>
      <c r="K5838" s="90">
        <f>SUM(H5838:J5838)</f>
        <v>156.15350000000001</v>
      </c>
      <c r="L5838" s="131">
        <v>220</v>
      </c>
      <c r="M5838" s="187">
        <v>46.6</v>
      </c>
      <c r="N5838" s="91">
        <f t="shared" si="2243"/>
        <v>156.6</v>
      </c>
      <c r="O5838" s="411">
        <f t="shared" si="2261"/>
        <v>-0.44649999999998613</v>
      </c>
      <c r="P5838" s="132" t="s">
        <v>52</v>
      </c>
      <c r="Q5838" s="232"/>
      <c r="R5838" s="411"/>
      <c r="T5838" s="134" t="s">
        <v>145</v>
      </c>
      <c r="U5838" s="267" t="s">
        <v>12618</v>
      </c>
      <c r="AA5838" s="218"/>
    </row>
    <row r="5839" spans="1:27" ht="24" x14ac:dyDescent="0.25">
      <c r="A5839" s="405">
        <v>3004588</v>
      </c>
      <c r="B5839" s="406">
        <v>42640</v>
      </c>
      <c r="C5839" s="405" t="s">
        <v>237</v>
      </c>
      <c r="D5839" s="401" t="s">
        <v>12619</v>
      </c>
      <c r="E5839" s="120">
        <v>50</v>
      </c>
      <c r="F5839" s="133" t="s">
        <v>341</v>
      </c>
      <c r="G5839" s="404" t="s">
        <v>7486</v>
      </c>
      <c r="H5839" s="411">
        <v>99.98</v>
      </c>
      <c r="I5839" s="397">
        <f t="shared" ref="I5839" si="2280">-(H5839*0.15)</f>
        <v>-14.997</v>
      </c>
      <c r="J5839" s="258">
        <v>0</v>
      </c>
      <c r="K5839" s="90">
        <f>SUM(H5839:J5839)</f>
        <v>84.983000000000004</v>
      </c>
      <c r="L5839" s="131">
        <v>698</v>
      </c>
      <c r="M5839" s="187">
        <v>30.05</v>
      </c>
      <c r="N5839" s="91">
        <f t="shared" si="2243"/>
        <v>64.95</v>
      </c>
      <c r="O5839" s="411">
        <f t="shared" si="2261"/>
        <v>20.033000000000001</v>
      </c>
      <c r="P5839" s="132" t="s">
        <v>52</v>
      </c>
      <c r="Q5839" s="232"/>
      <c r="R5839" s="411"/>
      <c r="T5839" s="134" t="s">
        <v>145</v>
      </c>
      <c r="U5839" s="267" t="s">
        <v>12620</v>
      </c>
      <c r="AA5839" s="218"/>
    </row>
    <row r="5840" spans="1:27" ht="24" x14ac:dyDescent="0.25">
      <c r="A5840" s="405">
        <v>3004589</v>
      </c>
      <c r="B5840" s="406">
        <v>42640</v>
      </c>
      <c r="C5840" s="405" t="s">
        <v>555</v>
      </c>
      <c r="D5840" s="401" t="s">
        <v>12621</v>
      </c>
      <c r="E5840" s="120">
        <v>200</v>
      </c>
      <c r="F5840" s="119" t="s">
        <v>12622</v>
      </c>
      <c r="G5840" s="404" t="s">
        <v>7486</v>
      </c>
      <c r="H5840" s="411">
        <v>3030.56</v>
      </c>
      <c r="I5840" s="411">
        <v>0</v>
      </c>
      <c r="J5840" s="411">
        <v>0</v>
      </c>
      <c r="K5840" s="90">
        <f>SUM(H5840:J5840)</f>
        <v>3030.56</v>
      </c>
      <c r="L5840" s="187">
        <v>8450</v>
      </c>
      <c r="M5840" s="187">
        <v>0</v>
      </c>
      <c r="N5840" s="91">
        <f t="shared" si="2243"/>
        <v>1690</v>
      </c>
      <c r="O5840" s="411">
        <f t="shared" si="2261"/>
        <v>1340.56</v>
      </c>
      <c r="P5840" s="132" t="s">
        <v>4568</v>
      </c>
      <c r="Q5840" s="232"/>
      <c r="R5840" s="411"/>
      <c r="T5840" s="134" t="s">
        <v>12623</v>
      </c>
      <c r="U5840" s="267" t="s">
        <v>12624</v>
      </c>
      <c r="W5840" s="153" t="s">
        <v>12625</v>
      </c>
      <c r="AA5840" s="218">
        <v>10</v>
      </c>
    </row>
    <row r="5841" spans="1:27" ht="24" x14ac:dyDescent="0.25">
      <c r="A5841" s="405">
        <v>3004590</v>
      </c>
      <c r="B5841" s="406">
        <v>42640</v>
      </c>
      <c r="C5841" s="405" t="s">
        <v>42</v>
      </c>
      <c r="D5841" s="401" t="s">
        <v>12626</v>
      </c>
      <c r="E5841" s="120">
        <v>250</v>
      </c>
      <c r="F5841" s="133" t="s">
        <v>2949</v>
      </c>
      <c r="G5841" s="404" t="s">
        <v>7486</v>
      </c>
      <c r="H5841" s="411">
        <v>431.64</v>
      </c>
      <c r="I5841" s="89">
        <f>-(H5841*0.09)</f>
        <v>-38.8476</v>
      </c>
      <c r="J5841" s="258">
        <f t="shared" ref="J5841" si="2281">-((H5841*0.019)+0.3)</f>
        <v>-8.5011600000000005</v>
      </c>
      <c r="K5841" s="90">
        <f t="shared" ref="K5841" si="2282">SUM(H5841:J5841)</f>
        <v>384.29123999999996</v>
      </c>
      <c r="L5841" s="131">
        <v>1100</v>
      </c>
      <c r="M5841" s="187">
        <v>57.95</v>
      </c>
      <c r="N5841" s="91">
        <f t="shared" si="2243"/>
        <v>332.95</v>
      </c>
      <c r="O5841" s="411">
        <f t="shared" si="2261"/>
        <v>51.341239999999971</v>
      </c>
      <c r="P5841" s="132" t="s">
        <v>52</v>
      </c>
      <c r="Q5841" s="232"/>
      <c r="R5841" s="411"/>
      <c r="T5841" s="134" t="s">
        <v>145</v>
      </c>
      <c r="U5841" s="267" t="s">
        <v>12627</v>
      </c>
      <c r="AA5841" s="218"/>
    </row>
    <row r="5842" spans="1:27" ht="24" x14ac:dyDescent="0.25">
      <c r="A5842" s="405">
        <v>3004591</v>
      </c>
      <c r="B5842" s="406">
        <v>42640</v>
      </c>
      <c r="C5842" s="405" t="s">
        <v>42</v>
      </c>
      <c r="D5842" s="401" t="s">
        <v>12628</v>
      </c>
      <c r="E5842" s="120">
        <v>150</v>
      </c>
      <c r="F5842" s="133" t="s">
        <v>247</v>
      </c>
      <c r="G5842" s="404" t="s">
        <v>7486</v>
      </c>
      <c r="H5842" s="411">
        <v>185.9</v>
      </c>
      <c r="I5842" s="89">
        <f>-(H5842*0.09)</f>
        <v>-16.731000000000002</v>
      </c>
      <c r="J5842" s="258">
        <f t="shared" ref="J5842" si="2283">-((H5842*0.019)+0.3)</f>
        <v>-3.8321000000000001</v>
      </c>
      <c r="K5842" s="90">
        <f t="shared" ref="K5842" si="2284">SUM(H5842:J5842)</f>
        <v>165.33690000000001</v>
      </c>
      <c r="L5842" s="187">
        <v>672</v>
      </c>
      <c r="M5842" s="187">
        <v>20.18</v>
      </c>
      <c r="N5842" s="91">
        <f t="shared" si="2243"/>
        <v>120.97999999999999</v>
      </c>
      <c r="O5842" s="411">
        <f t="shared" si="2261"/>
        <v>44.356900000000024</v>
      </c>
      <c r="P5842" s="132" t="s">
        <v>313</v>
      </c>
      <c r="Q5842" s="232"/>
      <c r="R5842" s="411"/>
      <c r="T5842" s="134" t="s">
        <v>145</v>
      </c>
      <c r="U5842" s="267" t="s">
        <v>12629</v>
      </c>
      <c r="AA5842" s="218"/>
    </row>
    <row r="5843" spans="1:27" ht="24" x14ac:dyDescent="0.25">
      <c r="A5843" s="405">
        <v>3004592</v>
      </c>
      <c r="B5843" s="406">
        <v>42640</v>
      </c>
      <c r="C5843" s="405" t="s">
        <v>42</v>
      </c>
      <c r="D5843" s="401" t="s">
        <v>12630</v>
      </c>
      <c r="E5843" s="120">
        <v>100</v>
      </c>
      <c r="F5843" s="133" t="s">
        <v>2200</v>
      </c>
      <c r="G5843" s="404" t="s">
        <v>7486</v>
      </c>
      <c r="H5843" s="411">
        <v>112.95</v>
      </c>
      <c r="I5843" s="89">
        <f>-(H5843*0.09)</f>
        <v>-10.1655</v>
      </c>
      <c r="J5843" s="258">
        <f t="shared" ref="J5843" si="2285">-((H5843*0.019)+0.3)</f>
        <v>-2.4460499999999996</v>
      </c>
      <c r="K5843" s="90">
        <f t="shared" ref="K5843" si="2286">SUM(H5843:J5843)</f>
        <v>100.33845000000001</v>
      </c>
      <c r="L5843" s="131">
        <v>386</v>
      </c>
      <c r="M5843" s="187">
        <v>9.27</v>
      </c>
      <c r="N5843" s="91">
        <f t="shared" si="2243"/>
        <v>47.870000000000005</v>
      </c>
      <c r="O5843" s="411">
        <f t="shared" si="2261"/>
        <v>52.468450000000004</v>
      </c>
      <c r="P5843" s="132" t="s">
        <v>52</v>
      </c>
      <c r="Q5843" s="232"/>
      <c r="R5843" s="411"/>
      <c r="T5843" s="134" t="s">
        <v>145</v>
      </c>
      <c r="U5843" s="267" t="s">
        <v>12631</v>
      </c>
      <c r="AA5843" s="218"/>
    </row>
    <row r="5844" spans="1:27" x14ac:dyDescent="0.25">
      <c r="A5844" s="405">
        <v>3004593</v>
      </c>
      <c r="B5844" s="406">
        <v>42640</v>
      </c>
      <c r="C5844" s="405" t="s">
        <v>327</v>
      </c>
      <c r="D5844" s="401" t="s">
        <v>12632</v>
      </c>
      <c r="E5844" s="120">
        <v>500</v>
      </c>
      <c r="F5844" s="133" t="s">
        <v>247</v>
      </c>
      <c r="G5844" s="404" t="s">
        <v>45</v>
      </c>
      <c r="H5844" s="411">
        <v>482</v>
      </c>
      <c r="I5844" s="399">
        <v>0</v>
      </c>
      <c r="J5844" s="396">
        <f t="shared" ref="J5844:J5849" si="2287">-((H5844*0.022)+0.3)</f>
        <v>-10.904</v>
      </c>
      <c r="K5844" s="396">
        <f t="shared" ref="K5844:K5850" si="2288">SUM(H5844:J5844)</f>
        <v>471.096</v>
      </c>
      <c r="L5844" s="187">
        <v>584</v>
      </c>
      <c r="M5844" s="187">
        <v>110.85</v>
      </c>
      <c r="N5844" s="91">
        <f t="shared" si="2243"/>
        <v>402.85</v>
      </c>
      <c r="O5844" s="411">
        <f t="shared" si="2261"/>
        <v>68.245999999999981</v>
      </c>
      <c r="P5844" s="132" t="s">
        <v>3597</v>
      </c>
      <c r="Q5844" s="232"/>
      <c r="R5844" s="411"/>
      <c r="T5844" s="134" t="s">
        <v>565</v>
      </c>
      <c r="U5844" s="267">
        <v>734738112</v>
      </c>
      <c r="AA5844" s="218"/>
    </row>
    <row r="5845" spans="1:27" ht="24" x14ac:dyDescent="0.25">
      <c r="A5845" s="405">
        <v>3004594</v>
      </c>
      <c r="B5845" s="406">
        <v>42640</v>
      </c>
      <c r="C5845" s="405" t="s">
        <v>280</v>
      </c>
      <c r="D5845" s="401" t="s">
        <v>12303</v>
      </c>
      <c r="E5845" s="120">
        <v>800</v>
      </c>
      <c r="F5845" s="133" t="s">
        <v>1236</v>
      </c>
      <c r="G5845" s="404" t="s">
        <v>7486</v>
      </c>
      <c r="H5845" s="411">
        <v>256</v>
      </c>
      <c r="I5845" s="399">
        <v>0</v>
      </c>
      <c r="J5845" s="396">
        <f t="shared" si="2287"/>
        <v>-5.9319999999999995</v>
      </c>
      <c r="K5845" s="396">
        <f t="shared" si="2288"/>
        <v>250.06800000000001</v>
      </c>
      <c r="L5845" s="187">
        <v>209</v>
      </c>
      <c r="M5845" s="131">
        <v>0</v>
      </c>
      <c r="N5845" s="91">
        <f t="shared" si="2243"/>
        <v>167.20000000000002</v>
      </c>
      <c r="O5845" s="411">
        <f t="shared" si="2261"/>
        <v>82.867999999999995</v>
      </c>
      <c r="P5845" s="132" t="s">
        <v>183</v>
      </c>
      <c r="Q5845" s="232"/>
      <c r="R5845" s="411"/>
      <c r="T5845" s="134" t="s">
        <v>8218</v>
      </c>
      <c r="U5845" s="266" t="s">
        <v>8218</v>
      </c>
      <c r="W5845" s="153" t="s">
        <v>12304</v>
      </c>
      <c r="AA5845" s="218"/>
    </row>
    <row r="5846" spans="1:27" ht="24" x14ac:dyDescent="0.25">
      <c r="A5846" s="405">
        <v>3004596</v>
      </c>
      <c r="B5846" s="406">
        <v>42640</v>
      </c>
      <c r="C5846" s="405" t="s">
        <v>63</v>
      </c>
      <c r="D5846" s="401" t="s">
        <v>12633</v>
      </c>
      <c r="E5846" s="120">
        <v>50</v>
      </c>
      <c r="F5846" s="133" t="s">
        <v>161</v>
      </c>
      <c r="G5846" s="404" t="s">
        <v>7486</v>
      </c>
      <c r="H5846" s="411">
        <v>139</v>
      </c>
      <c r="I5846" s="399">
        <v>0</v>
      </c>
      <c r="J5846" s="396">
        <f t="shared" si="2287"/>
        <v>-3.3579999999999997</v>
      </c>
      <c r="K5846" s="396">
        <f t="shared" si="2288"/>
        <v>135.642</v>
      </c>
      <c r="L5846" s="131">
        <v>1322</v>
      </c>
      <c r="M5846" s="187">
        <v>41.75</v>
      </c>
      <c r="N5846" s="91">
        <f t="shared" si="2243"/>
        <v>107.85000000000001</v>
      </c>
      <c r="O5846" s="411">
        <f t="shared" si="2261"/>
        <v>27.791999999999987</v>
      </c>
      <c r="P5846" s="132" t="s">
        <v>52</v>
      </c>
      <c r="Q5846" s="232"/>
      <c r="R5846" s="411"/>
      <c r="T5846" s="134" t="s">
        <v>145</v>
      </c>
      <c r="U5846" s="267" t="s">
        <v>12634</v>
      </c>
      <c r="W5846" s="153" t="s">
        <v>12635</v>
      </c>
      <c r="AA5846" s="218"/>
    </row>
    <row r="5847" spans="1:27" ht="24" x14ac:dyDescent="0.25">
      <c r="A5847" s="405">
        <v>3004597</v>
      </c>
      <c r="B5847" s="406">
        <v>42640</v>
      </c>
      <c r="C5847" s="405" t="s">
        <v>63</v>
      </c>
      <c r="D5847" s="401" t="s">
        <v>2191</v>
      </c>
      <c r="E5847" s="120">
        <v>22</v>
      </c>
      <c r="F5847" s="133" t="s">
        <v>4761</v>
      </c>
      <c r="G5847" s="404" t="s">
        <v>45</v>
      </c>
      <c r="H5847" s="411">
        <v>297</v>
      </c>
      <c r="I5847" s="399">
        <v>0</v>
      </c>
      <c r="J5847" s="396">
        <f t="shared" si="2287"/>
        <v>-6.8339999999999996</v>
      </c>
      <c r="K5847" s="396">
        <f t="shared" si="2288"/>
        <v>290.166</v>
      </c>
      <c r="L5847" s="187">
        <v>6550.96</v>
      </c>
      <c r="M5847" s="224">
        <v>25.11</v>
      </c>
      <c r="N5847" s="91">
        <f t="shared" si="2243"/>
        <v>169.23111999999998</v>
      </c>
      <c r="O5847" s="411">
        <f t="shared" si="2261"/>
        <v>120.93488000000002</v>
      </c>
      <c r="P5847" s="132" t="s">
        <v>46</v>
      </c>
      <c r="Q5847" s="232"/>
      <c r="R5847" s="411"/>
      <c r="T5847" s="134" t="s">
        <v>145</v>
      </c>
      <c r="U5847" s="267" t="s">
        <v>12636</v>
      </c>
      <c r="W5847" s="153" t="s">
        <v>2193</v>
      </c>
      <c r="AA5847" s="218"/>
    </row>
    <row r="5848" spans="1:27" x14ac:dyDescent="0.25">
      <c r="A5848" s="405">
        <v>3004598</v>
      </c>
      <c r="B5848" s="406">
        <v>42640</v>
      </c>
      <c r="C5848" s="405" t="s">
        <v>327</v>
      </c>
      <c r="D5848" s="401" t="s">
        <v>12637</v>
      </c>
      <c r="E5848" s="120">
        <v>250</v>
      </c>
      <c r="F5848" s="133" t="s">
        <v>12638</v>
      </c>
      <c r="G5848" s="404" t="s">
        <v>45</v>
      </c>
      <c r="H5848" s="411">
        <v>3691.5</v>
      </c>
      <c r="I5848" s="399">
        <v>0</v>
      </c>
      <c r="J5848" s="396">
        <f t="shared" si="2287"/>
        <v>-81.512999999999991</v>
      </c>
      <c r="K5848" s="396">
        <f t="shared" si="2288"/>
        <v>3609.9870000000001</v>
      </c>
      <c r="L5848" s="187">
        <v>10283</v>
      </c>
      <c r="M5848" s="131">
        <v>0</v>
      </c>
      <c r="N5848" s="91">
        <f t="shared" si="2243"/>
        <v>2570.75</v>
      </c>
      <c r="O5848" s="411">
        <f t="shared" si="2261"/>
        <v>1039.2370000000001</v>
      </c>
      <c r="P5848" s="132" t="s">
        <v>12639</v>
      </c>
      <c r="Q5848" s="232"/>
      <c r="R5848" s="411"/>
      <c r="T5848" s="134" t="s">
        <v>12640</v>
      </c>
      <c r="U5848" s="266" t="s">
        <v>12640</v>
      </c>
      <c r="W5848" s="153" t="s">
        <v>12641</v>
      </c>
      <c r="AA5848" s="218">
        <v>10</v>
      </c>
    </row>
    <row r="5849" spans="1:27" ht="24" x14ac:dyDescent="0.25">
      <c r="A5849" s="405">
        <v>3004600</v>
      </c>
      <c r="B5849" s="406">
        <v>42641</v>
      </c>
      <c r="C5849" s="405" t="s">
        <v>327</v>
      </c>
      <c r="D5849" s="401" t="s">
        <v>12642</v>
      </c>
      <c r="E5849" s="120">
        <v>100</v>
      </c>
      <c r="F5849" s="133" t="s">
        <v>288</v>
      </c>
      <c r="G5849" s="404" t="s">
        <v>7486</v>
      </c>
      <c r="H5849" s="411">
        <v>189</v>
      </c>
      <c r="I5849" s="399">
        <v>0</v>
      </c>
      <c r="J5849" s="396">
        <f t="shared" si="2287"/>
        <v>-4.4579999999999993</v>
      </c>
      <c r="K5849" s="396">
        <f t="shared" si="2288"/>
        <v>184.542</v>
      </c>
      <c r="L5849" s="131">
        <v>950</v>
      </c>
      <c r="M5849" s="187">
        <v>34.68</v>
      </c>
      <c r="N5849" s="91">
        <f t="shared" si="2243"/>
        <v>129.68</v>
      </c>
      <c r="O5849" s="411">
        <f t="shared" si="2261"/>
        <v>54.861999999999995</v>
      </c>
      <c r="P5849" s="132" t="s">
        <v>52</v>
      </c>
      <c r="Q5849" s="232"/>
      <c r="R5849" s="411"/>
      <c r="T5849" s="134" t="s">
        <v>145</v>
      </c>
      <c r="U5849" s="267" t="s">
        <v>12643</v>
      </c>
      <c r="W5849" s="153" t="s">
        <v>12644</v>
      </c>
      <c r="AA5849" s="218"/>
    </row>
    <row r="5850" spans="1:27" x14ac:dyDescent="0.25">
      <c r="A5850" s="419">
        <v>3004601</v>
      </c>
      <c r="B5850" s="421">
        <v>42641</v>
      </c>
      <c r="C5850" s="419" t="s">
        <v>141</v>
      </c>
      <c r="D5850" s="417" t="s">
        <v>11681</v>
      </c>
      <c r="E5850" s="120">
        <v>170</v>
      </c>
      <c r="F5850" s="133" t="s">
        <v>12645</v>
      </c>
      <c r="G5850" s="434" t="s">
        <v>7486</v>
      </c>
      <c r="H5850" s="427">
        <v>590</v>
      </c>
      <c r="I5850" s="427">
        <v>0</v>
      </c>
      <c r="J5850" s="425">
        <f>-((H5850*0.0325)+0.3)</f>
        <v>-19.475000000000001</v>
      </c>
      <c r="K5850" s="425">
        <f t="shared" si="2288"/>
        <v>570.52499999999998</v>
      </c>
      <c r="M5850" s="468">
        <v>119.6</v>
      </c>
      <c r="N5850" s="91">
        <f t="shared" si="2243"/>
        <v>119.6</v>
      </c>
      <c r="O5850" s="411">
        <f t="shared" si="2261"/>
        <v>450.92499999999995</v>
      </c>
      <c r="P5850" s="132" t="s">
        <v>52</v>
      </c>
      <c r="Q5850" s="232"/>
      <c r="R5850" s="411"/>
      <c r="T5850" s="470" t="s">
        <v>12646</v>
      </c>
      <c r="U5850" s="446" t="s">
        <v>12647</v>
      </c>
      <c r="V5850" s="133" t="s">
        <v>3169</v>
      </c>
      <c r="W5850" s="153" t="s">
        <v>4065</v>
      </c>
      <c r="AA5850" s="218"/>
    </row>
    <row r="5851" spans="1:27" x14ac:dyDescent="0.25">
      <c r="A5851" s="420"/>
      <c r="B5851" s="422"/>
      <c r="C5851" s="420"/>
      <c r="D5851" s="418"/>
      <c r="E5851" s="120">
        <v>140</v>
      </c>
      <c r="F5851" s="133" t="s">
        <v>4011</v>
      </c>
      <c r="G5851" s="436"/>
      <c r="H5851" s="428"/>
      <c r="I5851" s="428"/>
      <c r="J5851" s="426"/>
      <c r="K5851" s="426"/>
      <c r="M5851" s="469"/>
      <c r="N5851" s="91">
        <f t="shared" si="2243"/>
        <v>0</v>
      </c>
      <c r="O5851" s="411">
        <f t="shared" si="2261"/>
        <v>0</v>
      </c>
      <c r="P5851" s="132" t="s">
        <v>52</v>
      </c>
      <c r="Q5851" s="232"/>
      <c r="R5851" s="411"/>
      <c r="T5851" s="472"/>
      <c r="U5851" s="447"/>
      <c r="AA5851" s="218"/>
    </row>
    <row r="5852" spans="1:27" x14ac:dyDescent="0.25">
      <c r="A5852" s="419">
        <v>3004602</v>
      </c>
      <c r="B5852" s="421">
        <v>42641</v>
      </c>
      <c r="C5852" s="419" t="s">
        <v>56</v>
      </c>
      <c r="D5852" s="417" t="s">
        <v>3595</v>
      </c>
      <c r="E5852" s="120">
        <v>500</v>
      </c>
      <c r="F5852" s="133" t="s">
        <v>12648</v>
      </c>
      <c r="G5852" s="434" t="s">
        <v>7486</v>
      </c>
      <c r="H5852" s="427">
        <v>4634</v>
      </c>
      <c r="I5852" s="427">
        <v>0</v>
      </c>
      <c r="J5852" s="427">
        <v>0</v>
      </c>
      <c r="K5852" s="425">
        <f>SUM(H5852:J5852)</f>
        <v>4634</v>
      </c>
      <c r="L5852" s="187">
        <v>513.73</v>
      </c>
      <c r="N5852" s="91">
        <f t="shared" si="2243"/>
        <v>256.86500000000001</v>
      </c>
      <c r="O5852" s="411">
        <f t="shared" si="2261"/>
        <v>4377.1350000000002</v>
      </c>
      <c r="P5852" s="132" t="s">
        <v>76</v>
      </c>
      <c r="Q5852" s="232"/>
      <c r="R5852" s="411"/>
      <c r="T5852" s="439" t="s">
        <v>12649</v>
      </c>
      <c r="U5852" s="439" t="s">
        <v>12649</v>
      </c>
      <c r="V5852" s="133" t="s">
        <v>11849</v>
      </c>
      <c r="W5852" s="153" t="s">
        <v>298</v>
      </c>
      <c r="AA5852" s="218"/>
    </row>
    <row r="5853" spans="1:27" x14ac:dyDescent="0.25">
      <c r="A5853" s="432"/>
      <c r="B5853" s="433"/>
      <c r="C5853" s="432"/>
      <c r="D5853" s="454"/>
      <c r="E5853" s="120">
        <v>500</v>
      </c>
      <c r="F5853" s="133" t="s">
        <v>10653</v>
      </c>
      <c r="G5853" s="435"/>
      <c r="H5853" s="438"/>
      <c r="I5853" s="438"/>
      <c r="J5853" s="438"/>
      <c r="K5853" s="437"/>
      <c r="L5853" s="187">
        <v>274.08</v>
      </c>
      <c r="N5853" s="91">
        <f t="shared" si="2243"/>
        <v>137.04</v>
      </c>
      <c r="O5853" s="411">
        <f t="shared" si="2261"/>
        <v>-137.04</v>
      </c>
      <c r="P5853" s="132" t="s">
        <v>76</v>
      </c>
      <c r="Q5853" s="232"/>
      <c r="R5853" s="411"/>
      <c r="T5853" s="440"/>
      <c r="U5853" s="440"/>
      <c r="AA5853" s="218"/>
    </row>
    <row r="5854" spans="1:27" x14ac:dyDescent="0.25">
      <c r="A5854" s="432"/>
      <c r="B5854" s="433"/>
      <c r="C5854" s="432"/>
      <c r="D5854" s="454"/>
      <c r="E5854" s="120">
        <v>500</v>
      </c>
      <c r="F5854" s="133" t="s">
        <v>8768</v>
      </c>
      <c r="G5854" s="435"/>
      <c r="H5854" s="438"/>
      <c r="I5854" s="438"/>
      <c r="J5854" s="438"/>
      <c r="K5854" s="437"/>
      <c r="L5854" s="187">
        <v>178.14</v>
      </c>
      <c r="N5854" s="91">
        <f t="shared" si="2243"/>
        <v>89.07</v>
      </c>
      <c r="O5854" s="411">
        <f t="shared" si="2261"/>
        <v>-89.07</v>
      </c>
      <c r="P5854" s="132" t="s">
        <v>76</v>
      </c>
      <c r="Q5854" s="232"/>
      <c r="R5854" s="411"/>
      <c r="T5854" s="440"/>
      <c r="U5854" s="440"/>
      <c r="AA5854" s="218"/>
    </row>
    <row r="5855" spans="1:27" x14ac:dyDescent="0.25">
      <c r="A5855" s="432"/>
      <c r="B5855" s="433"/>
      <c r="C5855" s="432"/>
      <c r="D5855" s="454"/>
      <c r="E5855" s="120">
        <v>500</v>
      </c>
      <c r="F5855" s="133" t="s">
        <v>12650</v>
      </c>
      <c r="G5855" s="435"/>
      <c r="H5855" s="438"/>
      <c r="I5855" s="438"/>
      <c r="J5855" s="438"/>
      <c r="K5855" s="437"/>
      <c r="L5855" s="187">
        <v>643.04</v>
      </c>
      <c r="N5855" s="91">
        <f t="shared" si="2243"/>
        <v>321.52</v>
      </c>
      <c r="O5855" s="411">
        <f t="shared" si="2261"/>
        <v>-321.52</v>
      </c>
      <c r="P5855" s="132" t="s">
        <v>76</v>
      </c>
      <c r="Q5855" s="232"/>
      <c r="R5855" s="411"/>
      <c r="T5855" s="440"/>
      <c r="U5855" s="440"/>
      <c r="AA5855" s="218"/>
    </row>
    <row r="5856" spans="1:27" x14ac:dyDescent="0.25">
      <c r="A5856" s="432"/>
      <c r="B5856" s="433"/>
      <c r="C5856" s="432"/>
      <c r="D5856" s="454"/>
      <c r="E5856" s="120">
        <v>500</v>
      </c>
      <c r="F5856" s="133" t="s">
        <v>12651</v>
      </c>
      <c r="G5856" s="435"/>
      <c r="H5856" s="438"/>
      <c r="I5856" s="438"/>
      <c r="J5856" s="438"/>
      <c r="K5856" s="437"/>
      <c r="L5856" s="187">
        <v>513.73</v>
      </c>
      <c r="N5856" s="91">
        <f t="shared" si="2243"/>
        <v>256.86500000000001</v>
      </c>
      <c r="O5856" s="411">
        <f t="shared" si="2261"/>
        <v>-256.86500000000001</v>
      </c>
      <c r="P5856" s="132" t="s">
        <v>76</v>
      </c>
      <c r="Q5856" s="232"/>
      <c r="R5856" s="411"/>
      <c r="T5856" s="440"/>
      <c r="U5856" s="440"/>
      <c r="AA5856" s="218"/>
    </row>
    <row r="5857" spans="1:27" x14ac:dyDescent="0.25">
      <c r="A5857" s="432"/>
      <c r="B5857" s="433"/>
      <c r="C5857" s="432"/>
      <c r="D5857" s="454"/>
      <c r="E5857" s="120">
        <v>500</v>
      </c>
      <c r="F5857" s="133" t="s">
        <v>12652</v>
      </c>
      <c r="G5857" s="435"/>
      <c r="H5857" s="438"/>
      <c r="I5857" s="438"/>
      <c r="J5857" s="438"/>
      <c r="K5857" s="437"/>
      <c r="L5857" s="187">
        <v>513.73</v>
      </c>
      <c r="N5857" s="91">
        <f t="shared" si="2243"/>
        <v>256.86500000000001</v>
      </c>
      <c r="O5857" s="411">
        <f t="shared" si="2261"/>
        <v>-256.86500000000001</v>
      </c>
      <c r="P5857" s="132" t="s">
        <v>76</v>
      </c>
      <c r="Q5857" s="232"/>
      <c r="R5857" s="411"/>
      <c r="T5857" s="440"/>
      <c r="U5857" s="440"/>
      <c r="AA5857" s="218"/>
    </row>
    <row r="5858" spans="1:27" x14ac:dyDescent="0.25">
      <c r="A5858" s="432"/>
      <c r="B5858" s="433"/>
      <c r="C5858" s="432"/>
      <c r="D5858" s="454"/>
      <c r="E5858" s="120">
        <v>500</v>
      </c>
      <c r="F5858" s="133" t="s">
        <v>12653</v>
      </c>
      <c r="G5858" s="435"/>
      <c r="H5858" s="438"/>
      <c r="I5858" s="438"/>
      <c r="J5858" s="438"/>
      <c r="K5858" s="437"/>
      <c r="L5858" s="187">
        <v>513.73</v>
      </c>
      <c r="N5858" s="91">
        <f t="shared" si="2243"/>
        <v>256.86500000000001</v>
      </c>
      <c r="O5858" s="411">
        <f t="shared" si="2261"/>
        <v>-256.86500000000001</v>
      </c>
      <c r="P5858" s="132" t="s">
        <v>76</v>
      </c>
      <c r="Q5858" s="232"/>
      <c r="R5858" s="411"/>
      <c r="T5858" s="440"/>
      <c r="U5858" s="440"/>
      <c r="AA5858" s="218"/>
    </row>
    <row r="5859" spans="1:27" x14ac:dyDescent="0.25">
      <c r="A5859" s="432"/>
      <c r="B5859" s="433"/>
      <c r="C5859" s="432"/>
      <c r="D5859" s="454"/>
      <c r="E5859" s="120">
        <v>500</v>
      </c>
      <c r="F5859" s="133" t="s">
        <v>12654</v>
      </c>
      <c r="G5859" s="435"/>
      <c r="H5859" s="438"/>
      <c r="I5859" s="438"/>
      <c r="J5859" s="438"/>
      <c r="K5859" s="437"/>
      <c r="L5859" s="187">
        <v>643.04</v>
      </c>
      <c r="N5859" s="91">
        <f t="shared" si="2243"/>
        <v>321.52</v>
      </c>
      <c r="O5859" s="411">
        <f t="shared" si="2261"/>
        <v>-321.52</v>
      </c>
      <c r="P5859" s="132" t="s">
        <v>76</v>
      </c>
      <c r="Q5859" s="232"/>
      <c r="R5859" s="411"/>
      <c r="T5859" s="440"/>
      <c r="U5859" s="440"/>
      <c r="AA5859" s="218"/>
    </row>
    <row r="5860" spans="1:27" x14ac:dyDescent="0.25">
      <c r="A5860" s="432"/>
      <c r="B5860" s="433"/>
      <c r="C5860" s="432"/>
      <c r="D5860" s="454"/>
      <c r="E5860" s="120">
        <v>500</v>
      </c>
      <c r="F5860" s="133" t="s">
        <v>12655</v>
      </c>
      <c r="G5860" s="435"/>
      <c r="H5860" s="438"/>
      <c r="I5860" s="438"/>
      <c r="J5860" s="438"/>
      <c r="K5860" s="437"/>
      <c r="L5860" s="187">
        <v>643.04</v>
      </c>
      <c r="N5860" s="91">
        <f t="shared" si="2243"/>
        <v>321.52</v>
      </c>
      <c r="O5860" s="411">
        <f t="shared" si="2261"/>
        <v>-321.52</v>
      </c>
      <c r="P5860" s="132" t="s">
        <v>76</v>
      </c>
      <c r="Q5860" s="232"/>
      <c r="R5860" s="411"/>
      <c r="T5860" s="441"/>
      <c r="U5860" s="441"/>
      <c r="AA5860" s="218"/>
    </row>
    <row r="5861" spans="1:27" x14ac:dyDescent="0.25">
      <c r="A5861" s="432"/>
      <c r="B5861" s="433"/>
      <c r="C5861" s="432"/>
      <c r="D5861" s="454"/>
      <c r="E5861" s="120">
        <v>2000</v>
      </c>
      <c r="F5861" s="133" t="s">
        <v>12656</v>
      </c>
      <c r="G5861" s="435"/>
      <c r="H5861" s="438"/>
      <c r="I5861" s="438"/>
      <c r="J5861" s="438"/>
      <c r="K5861" s="437"/>
      <c r="L5861" s="187">
        <v>318</v>
      </c>
      <c r="M5861" s="187">
        <v>47.81</v>
      </c>
      <c r="N5861" s="91">
        <f t="shared" si="2243"/>
        <v>683.81</v>
      </c>
      <c r="O5861" s="411">
        <f t="shared" si="2261"/>
        <v>-683.81</v>
      </c>
      <c r="P5861" s="132" t="s">
        <v>638</v>
      </c>
      <c r="Q5861" s="232"/>
      <c r="R5861" s="411"/>
      <c r="T5861" s="407" t="s">
        <v>717</v>
      </c>
      <c r="U5861" s="299">
        <v>23922393</v>
      </c>
      <c r="V5861" s="133" t="s">
        <v>12657</v>
      </c>
      <c r="AA5861" s="218"/>
    </row>
    <row r="5862" spans="1:27" x14ac:dyDescent="0.25">
      <c r="A5862" s="420"/>
      <c r="B5862" s="422"/>
      <c r="C5862" s="420"/>
      <c r="D5862" s="418"/>
      <c r="E5862" s="120">
        <v>2000</v>
      </c>
      <c r="F5862" s="194" t="s">
        <v>12658</v>
      </c>
      <c r="G5862" s="436"/>
      <c r="H5862" s="428"/>
      <c r="I5862" s="428"/>
      <c r="J5862" s="428"/>
      <c r="K5862" s="426"/>
      <c r="L5862" s="187">
        <v>448</v>
      </c>
      <c r="N5862" s="91">
        <f t="shared" si="2243"/>
        <v>896</v>
      </c>
      <c r="O5862" s="411">
        <f t="shared" si="2261"/>
        <v>-896</v>
      </c>
      <c r="P5862" s="132" t="s">
        <v>638</v>
      </c>
      <c r="Q5862" s="232"/>
      <c r="R5862" s="411"/>
      <c r="T5862" s="409" t="s">
        <v>717</v>
      </c>
      <c r="U5862" s="339">
        <v>23922402</v>
      </c>
      <c r="V5862" s="133" t="s">
        <v>12657</v>
      </c>
      <c r="AA5862" s="218"/>
    </row>
    <row r="5863" spans="1:27" x14ac:dyDescent="0.25">
      <c r="A5863" s="405">
        <v>3004603</v>
      </c>
      <c r="B5863" s="406">
        <v>42641</v>
      </c>
      <c r="C5863" s="405" t="s">
        <v>141</v>
      </c>
      <c r="D5863" s="401" t="s">
        <v>12659</v>
      </c>
      <c r="E5863" s="120">
        <v>200</v>
      </c>
      <c r="F5863" s="133" t="s">
        <v>12660</v>
      </c>
      <c r="G5863" s="404" t="s">
        <v>45</v>
      </c>
      <c r="H5863" s="411">
        <v>680</v>
      </c>
      <c r="I5863" s="399">
        <v>0</v>
      </c>
      <c r="J5863" s="396">
        <f>-((H5863*0.0325)+0.3)</f>
        <v>-22.400000000000002</v>
      </c>
      <c r="K5863" s="396">
        <f>SUM(H5863:J5863)</f>
        <v>657.6</v>
      </c>
      <c r="L5863" s="131">
        <v>1900</v>
      </c>
      <c r="M5863" s="187">
        <v>113.93</v>
      </c>
      <c r="N5863" s="91">
        <f t="shared" si="2243"/>
        <v>493.93</v>
      </c>
      <c r="O5863" s="411">
        <f t="shared" si="2261"/>
        <v>163.67000000000002</v>
      </c>
      <c r="P5863" s="132" t="s">
        <v>52</v>
      </c>
      <c r="Q5863" s="232"/>
      <c r="R5863" s="411"/>
      <c r="T5863" s="134" t="s">
        <v>7260</v>
      </c>
      <c r="U5863" s="267" t="s">
        <v>12661</v>
      </c>
      <c r="V5863" s="133" t="s">
        <v>55</v>
      </c>
      <c r="W5863" s="153" t="s">
        <v>12662</v>
      </c>
      <c r="AA5863" s="218"/>
    </row>
    <row r="5864" spans="1:27" x14ac:dyDescent="0.25">
      <c r="A5864" s="405">
        <v>3004604</v>
      </c>
      <c r="B5864" s="406">
        <v>42641</v>
      </c>
      <c r="C5864" s="405" t="s">
        <v>56</v>
      </c>
      <c r="D5864" s="401" t="s">
        <v>1750</v>
      </c>
      <c r="E5864" s="120">
        <v>500</v>
      </c>
      <c r="F5864" s="133" t="s">
        <v>12383</v>
      </c>
      <c r="G5864" s="404" t="s">
        <v>7486</v>
      </c>
      <c r="H5864" s="411">
        <v>2750</v>
      </c>
      <c r="I5864" s="411">
        <v>0</v>
      </c>
      <c r="J5864" s="411">
        <v>0</v>
      </c>
      <c r="K5864" s="396">
        <f>SUM(H5864:J5864)</f>
        <v>2750</v>
      </c>
      <c r="L5864" s="131">
        <v>3635</v>
      </c>
      <c r="N5864" s="91">
        <f t="shared" si="2243"/>
        <v>1817.5</v>
      </c>
      <c r="O5864" s="411">
        <f t="shared" si="2261"/>
        <v>932.5</v>
      </c>
      <c r="P5864" s="132" t="s">
        <v>1793</v>
      </c>
      <c r="Q5864" s="232"/>
      <c r="R5864" s="411"/>
      <c r="T5864" s="134" t="s">
        <v>12663</v>
      </c>
      <c r="U5864" s="266" t="s">
        <v>12663</v>
      </c>
      <c r="V5864" s="133" t="s">
        <v>12213</v>
      </c>
      <c r="W5864" s="153" t="s">
        <v>12664</v>
      </c>
      <c r="AA5864" s="218"/>
    </row>
    <row r="5865" spans="1:27" ht="24" x14ac:dyDescent="0.25">
      <c r="A5865" s="405">
        <v>3004605</v>
      </c>
      <c r="B5865" s="406">
        <v>42641</v>
      </c>
      <c r="C5865" s="405" t="s">
        <v>42</v>
      </c>
      <c r="D5865" s="401" t="s">
        <v>12665</v>
      </c>
      <c r="E5865" s="120">
        <v>500</v>
      </c>
      <c r="F5865" s="133" t="s">
        <v>1137</v>
      </c>
      <c r="G5865" s="404" t="s">
        <v>7486</v>
      </c>
      <c r="H5865" s="411">
        <v>230</v>
      </c>
      <c r="I5865" s="89">
        <f>-(H5865*0.09)</f>
        <v>-20.7</v>
      </c>
      <c r="J5865" s="258">
        <f t="shared" ref="J5865" si="2289">-((H5865*0.019)+0.3)</f>
        <v>-4.67</v>
      </c>
      <c r="K5865" s="90">
        <f t="shared" ref="K5865" si="2290">SUM(H5865:J5865)</f>
        <v>204.63000000000002</v>
      </c>
      <c r="L5865" s="131">
        <v>220</v>
      </c>
      <c r="M5865" s="187">
        <v>41.3</v>
      </c>
      <c r="N5865" s="91">
        <f t="shared" si="2243"/>
        <v>151.30000000000001</v>
      </c>
      <c r="O5865" s="411">
        <f t="shared" si="2261"/>
        <v>53.330000000000013</v>
      </c>
      <c r="P5865" s="132" t="s">
        <v>52</v>
      </c>
      <c r="Q5865" s="232"/>
      <c r="R5865" s="411"/>
      <c r="T5865" s="134" t="s">
        <v>145</v>
      </c>
      <c r="U5865" s="267" t="s">
        <v>12666</v>
      </c>
      <c r="AA5865" s="218"/>
    </row>
    <row r="5866" spans="1:27" ht="24" x14ac:dyDescent="0.25">
      <c r="A5866" s="405">
        <v>3004606</v>
      </c>
      <c r="B5866" s="406">
        <v>42641</v>
      </c>
      <c r="C5866" s="405" t="s">
        <v>42</v>
      </c>
      <c r="D5866" s="401" t="s">
        <v>12667</v>
      </c>
      <c r="E5866" s="120">
        <v>250</v>
      </c>
      <c r="F5866" s="133" t="s">
        <v>824</v>
      </c>
      <c r="G5866" s="404" t="s">
        <v>7486</v>
      </c>
      <c r="H5866" s="411">
        <v>97.95</v>
      </c>
      <c r="I5866" s="89">
        <f>-(H5866*0.09)</f>
        <v>-8.8155000000000001</v>
      </c>
      <c r="J5866" s="258">
        <f t="shared" ref="J5866" si="2291">-((H5866*0.019)+0.3)</f>
        <v>-2.1610499999999999</v>
      </c>
      <c r="K5866" s="90">
        <f t="shared" ref="K5866" si="2292">SUM(H5866:J5866)</f>
        <v>86.97345</v>
      </c>
      <c r="M5866" s="187">
        <v>31.06</v>
      </c>
      <c r="N5866" s="91">
        <f t="shared" si="2243"/>
        <v>31.06</v>
      </c>
      <c r="O5866" s="411">
        <f t="shared" si="2261"/>
        <v>55.913449999999997</v>
      </c>
      <c r="P5866" s="132" t="s">
        <v>52</v>
      </c>
      <c r="Q5866" s="232"/>
      <c r="R5866" s="411"/>
      <c r="T5866" s="134" t="s">
        <v>145</v>
      </c>
      <c r="U5866" s="267" t="s">
        <v>12668</v>
      </c>
      <c r="AA5866" s="218"/>
    </row>
    <row r="5867" spans="1:27" ht="24" x14ac:dyDescent="0.25">
      <c r="A5867" s="405">
        <v>3004607</v>
      </c>
      <c r="B5867" s="406">
        <v>42641</v>
      </c>
      <c r="C5867" s="405" t="s">
        <v>42</v>
      </c>
      <c r="D5867" s="401" t="s">
        <v>12669</v>
      </c>
      <c r="E5867" s="120">
        <v>50</v>
      </c>
      <c r="F5867" s="133" t="s">
        <v>300</v>
      </c>
      <c r="G5867" s="404" t="s">
        <v>9241</v>
      </c>
      <c r="H5867" s="411">
        <v>213.77</v>
      </c>
      <c r="I5867" s="89">
        <f>-(H5867*0.09)</f>
        <v>-19.2393</v>
      </c>
      <c r="J5867" s="258">
        <f t="shared" ref="J5867" si="2293">-((H5867*0.019)+0.3)</f>
        <v>-4.3616299999999999</v>
      </c>
      <c r="K5867" s="90">
        <f t="shared" ref="K5867" si="2294">SUM(H5867:J5867)</f>
        <v>190.16907000000003</v>
      </c>
      <c r="L5867" s="131">
        <v>2150</v>
      </c>
      <c r="M5867" s="187">
        <v>31.76</v>
      </c>
      <c r="N5867" s="91">
        <f t="shared" si="2243"/>
        <v>139.26</v>
      </c>
      <c r="O5867" s="411">
        <f t="shared" si="2261"/>
        <v>50.909070000000042</v>
      </c>
      <c r="P5867" s="132" t="s">
        <v>52</v>
      </c>
      <c r="Q5867" s="232"/>
      <c r="R5867" s="411"/>
      <c r="T5867" s="134" t="s">
        <v>145</v>
      </c>
      <c r="U5867" s="267" t="s">
        <v>12670</v>
      </c>
      <c r="AA5867" s="218"/>
    </row>
    <row r="5868" spans="1:27" ht="24" x14ac:dyDescent="0.25">
      <c r="A5868" s="405">
        <v>3004608</v>
      </c>
      <c r="B5868" s="406">
        <v>42641</v>
      </c>
      <c r="C5868" s="405" t="s">
        <v>42</v>
      </c>
      <c r="D5868" s="401" t="s">
        <v>12671</v>
      </c>
      <c r="E5868" s="120">
        <v>300</v>
      </c>
      <c r="F5868" s="133" t="s">
        <v>227</v>
      </c>
      <c r="G5868" s="404" t="s">
        <v>9241</v>
      </c>
      <c r="H5868" s="411">
        <v>267.17</v>
      </c>
      <c r="I5868" s="89">
        <f>-(H5868*0.09)</f>
        <v>-24.045300000000001</v>
      </c>
      <c r="J5868" s="258">
        <f t="shared" ref="J5868" si="2295">-((H5868*0.019)+0.3)</f>
        <v>-5.3762299999999996</v>
      </c>
      <c r="K5868" s="90">
        <f t="shared" ref="K5868" si="2296">SUM(H5868:J5868)</f>
        <v>237.74847000000003</v>
      </c>
      <c r="L5868" s="131">
        <v>350</v>
      </c>
      <c r="M5868" s="187">
        <v>18.850000000000001</v>
      </c>
      <c r="N5868" s="91">
        <f t="shared" si="2243"/>
        <v>123.85</v>
      </c>
      <c r="O5868" s="411">
        <f t="shared" si="2261"/>
        <v>113.89847000000003</v>
      </c>
      <c r="P5868" s="132" t="s">
        <v>52</v>
      </c>
      <c r="Q5868" s="232"/>
      <c r="R5868" s="411"/>
      <c r="T5868" s="134" t="s">
        <v>145</v>
      </c>
      <c r="U5868" s="267" t="s">
        <v>12672</v>
      </c>
      <c r="AA5868" s="218"/>
    </row>
    <row r="5869" spans="1:27" ht="24" x14ac:dyDescent="0.25">
      <c r="A5869" s="405">
        <v>3004609</v>
      </c>
      <c r="B5869" s="406">
        <v>42641</v>
      </c>
      <c r="C5869" s="405" t="s">
        <v>42</v>
      </c>
      <c r="D5869" s="401" t="s">
        <v>12673</v>
      </c>
      <c r="E5869" s="120">
        <v>100</v>
      </c>
      <c r="F5869" s="133" t="s">
        <v>1522</v>
      </c>
      <c r="G5869" s="404" t="s">
        <v>7486</v>
      </c>
      <c r="H5869" s="411">
        <v>228</v>
      </c>
      <c r="I5869" s="89">
        <f>-(H5869*0.09)</f>
        <v>-20.52</v>
      </c>
      <c r="J5869" s="258">
        <f t="shared" ref="J5869" si="2297">-((H5869*0.019)+0.3)</f>
        <v>-4.6319999999999997</v>
      </c>
      <c r="K5869" s="90">
        <f t="shared" ref="K5869" si="2298">SUM(H5869:J5869)</f>
        <v>202.84799999999998</v>
      </c>
      <c r="L5869" s="131">
        <v>716</v>
      </c>
      <c r="M5869" s="187">
        <v>34.58</v>
      </c>
      <c r="N5869" s="91">
        <f t="shared" si="2243"/>
        <v>106.18</v>
      </c>
      <c r="O5869" s="411">
        <f t="shared" si="2261"/>
        <v>96.667999999999978</v>
      </c>
      <c r="P5869" s="132" t="s">
        <v>52</v>
      </c>
      <c r="Q5869" s="232"/>
      <c r="R5869" s="411"/>
      <c r="T5869" s="134" t="s">
        <v>145</v>
      </c>
      <c r="U5869" s="267" t="s">
        <v>12674</v>
      </c>
      <c r="AA5869" s="218"/>
    </row>
    <row r="5870" spans="1:27" ht="24" x14ac:dyDescent="0.25">
      <c r="A5870" s="405">
        <v>3004610</v>
      </c>
      <c r="B5870" s="406">
        <v>42641</v>
      </c>
      <c r="C5870" s="405" t="s">
        <v>237</v>
      </c>
      <c r="D5870" s="401" t="s">
        <v>12675</v>
      </c>
      <c r="E5870" s="120">
        <v>100</v>
      </c>
      <c r="F5870" s="133" t="s">
        <v>431</v>
      </c>
      <c r="G5870" s="404" t="s">
        <v>7486</v>
      </c>
      <c r="H5870" s="411">
        <v>243.55</v>
      </c>
      <c r="I5870" s="397">
        <f t="shared" ref="I5870" si="2299">-(H5870*0.15)</f>
        <v>-36.532499999999999</v>
      </c>
      <c r="J5870" s="258">
        <v>0</v>
      </c>
      <c r="K5870" s="90">
        <f>SUM(H5870:J5870)</f>
        <v>207.01750000000001</v>
      </c>
      <c r="L5870" s="131">
        <v>990</v>
      </c>
      <c r="M5870" s="187">
        <f>36.44+36.59</f>
        <v>73.03</v>
      </c>
      <c r="N5870" s="91">
        <f t="shared" si="2243"/>
        <v>172.03</v>
      </c>
      <c r="O5870" s="411">
        <f t="shared" si="2261"/>
        <v>34.987500000000011</v>
      </c>
      <c r="P5870" s="132" t="s">
        <v>52</v>
      </c>
      <c r="Q5870" s="232"/>
      <c r="R5870" s="411"/>
      <c r="T5870" s="134" t="s">
        <v>145</v>
      </c>
      <c r="U5870" s="266">
        <v>702723288863</v>
      </c>
      <c r="AA5870" s="218"/>
    </row>
    <row r="5871" spans="1:27" ht="24" x14ac:dyDescent="0.25">
      <c r="A5871" s="405">
        <v>3004611</v>
      </c>
      <c r="B5871" s="406">
        <v>42641</v>
      </c>
      <c r="C5871" s="405" t="s">
        <v>42</v>
      </c>
      <c r="D5871" s="401" t="s">
        <v>12425</v>
      </c>
      <c r="E5871" s="120">
        <v>150</v>
      </c>
      <c r="F5871" s="133" t="s">
        <v>247</v>
      </c>
      <c r="G5871" s="404" t="s">
        <v>7486</v>
      </c>
      <c r="H5871" s="411">
        <v>192</v>
      </c>
      <c r="I5871" s="89">
        <f>-(H5871*0.09)</f>
        <v>-17.28</v>
      </c>
      <c r="J5871" s="258">
        <f t="shared" ref="J5871" si="2300">-((H5871*0.019)+0.3)</f>
        <v>-3.9479999999999995</v>
      </c>
      <c r="K5871" s="90">
        <f t="shared" ref="K5871" si="2301">SUM(H5871:J5871)</f>
        <v>170.77199999999999</v>
      </c>
      <c r="L5871" s="187">
        <v>672</v>
      </c>
      <c r="M5871" s="187">
        <v>23.44</v>
      </c>
      <c r="N5871" s="91">
        <f t="shared" ref="N5871:N5910" si="2302">((L5871)*(E5871*0.001))+M5871</f>
        <v>124.24</v>
      </c>
      <c r="O5871" s="411">
        <f t="shared" si="2261"/>
        <v>46.531999999999996</v>
      </c>
      <c r="P5871" s="132" t="s">
        <v>313</v>
      </c>
      <c r="Q5871" s="232"/>
      <c r="R5871" s="411"/>
      <c r="T5871" s="134" t="s">
        <v>145</v>
      </c>
      <c r="U5871" s="267" t="s">
        <v>12676</v>
      </c>
      <c r="AA5871" s="218"/>
    </row>
    <row r="5872" spans="1:27" ht="24" x14ac:dyDescent="0.25">
      <c r="A5872" s="405">
        <v>3004612</v>
      </c>
      <c r="B5872" s="406">
        <v>42641</v>
      </c>
      <c r="C5872" s="405" t="s">
        <v>237</v>
      </c>
      <c r="D5872" s="401" t="s">
        <v>12677</v>
      </c>
      <c r="E5872" s="120">
        <v>500</v>
      </c>
      <c r="F5872" s="133" t="s">
        <v>12678</v>
      </c>
      <c r="G5872" s="404" t="s">
        <v>7486</v>
      </c>
      <c r="H5872" s="411">
        <v>179.96</v>
      </c>
      <c r="I5872" s="397">
        <f t="shared" ref="I5872" si="2303">-(H5872*0.15)</f>
        <v>-26.994</v>
      </c>
      <c r="J5872" s="258">
        <v>0</v>
      </c>
      <c r="K5872" s="90">
        <f>SUM(H5872:J5872)</f>
        <v>152.96600000000001</v>
      </c>
      <c r="L5872" s="187">
        <v>280</v>
      </c>
      <c r="M5872" s="187">
        <v>25.51</v>
      </c>
      <c r="N5872" s="91">
        <f t="shared" si="2302"/>
        <v>165.51</v>
      </c>
      <c r="O5872" s="411">
        <f t="shared" si="2261"/>
        <v>-12.543999999999983</v>
      </c>
      <c r="P5872" s="132" t="s">
        <v>235</v>
      </c>
      <c r="Q5872" s="232"/>
      <c r="R5872" s="411"/>
      <c r="T5872" s="134" t="s">
        <v>145</v>
      </c>
      <c r="U5872" s="267" t="s">
        <v>12679</v>
      </c>
      <c r="AA5872" s="218"/>
    </row>
    <row r="5873" spans="1:27" x14ac:dyDescent="0.25">
      <c r="A5873" s="419">
        <v>3004613</v>
      </c>
      <c r="B5873" s="421">
        <v>42641</v>
      </c>
      <c r="C5873" s="419" t="s">
        <v>237</v>
      </c>
      <c r="D5873" s="417" t="s">
        <v>12680</v>
      </c>
      <c r="E5873" s="120">
        <v>25</v>
      </c>
      <c r="F5873" s="133" t="s">
        <v>2483</v>
      </c>
      <c r="G5873" s="434" t="s">
        <v>7486</v>
      </c>
      <c r="H5873" s="427">
        <v>190.39</v>
      </c>
      <c r="I5873" s="500">
        <f t="shared" ref="I5873" si="2304">-(H5873*0.15)</f>
        <v>-28.558499999999999</v>
      </c>
      <c r="J5873" s="425">
        <v>0</v>
      </c>
      <c r="K5873" s="425">
        <f>SUM(H5873:J5873)</f>
        <v>161.83149999999998</v>
      </c>
      <c r="L5873" s="187">
        <v>1450</v>
      </c>
      <c r="M5873" s="187">
        <f>35.48+27.83</f>
        <v>63.309999999999995</v>
      </c>
      <c r="N5873" s="91">
        <f t="shared" si="2302"/>
        <v>99.56</v>
      </c>
      <c r="O5873" s="411">
        <f t="shared" si="2261"/>
        <v>62.271499999999975</v>
      </c>
      <c r="P5873" s="132" t="s">
        <v>601</v>
      </c>
      <c r="Q5873" s="232"/>
      <c r="R5873" s="411"/>
      <c r="T5873" s="439" t="s">
        <v>145</v>
      </c>
      <c r="U5873" s="446" t="s">
        <v>12681</v>
      </c>
      <c r="AA5873" s="218"/>
    </row>
    <row r="5874" spans="1:27" x14ac:dyDescent="0.25">
      <c r="A5874" s="420"/>
      <c r="B5874" s="422"/>
      <c r="C5874" s="420"/>
      <c r="D5874" s="418"/>
      <c r="E5874" s="120">
        <v>25</v>
      </c>
      <c r="F5874" s="133" t="s">
        <v>3345</v>
      </c>
      <c r="G5874" s="436"/>
      <c r="H5874" s="428"/>
      <c r="I5874" s="501"/>
      <c r="J5874" s="426"/>
      <c r="K5874" s="426"/>
      <c r="L5874" s="187">
        <v>1470</v>
      </c>
      <c r="M5874" s="187">
        <v>35.479999999999997</v>
      </c>
      <c r="N5874" s="91">
        <f t="shared" si="2302"/>
        <v>72.22999999999999</v>
      </c>
      <c r="O5874" s="411">
        <f t="shared" si="2261"/>
        <v>-72.22999999999999</v>
      </c>
      <c r="P5874" s="132" t="s">
        <v>601</v>
      </c>
      <c r="Q5874" s="232"/>
      <c r="R5874" s="411"/>
      <c r="T5874" s="441"/>
      <c r="U5874" s="447"/>
      <c r="AA5874" s="218"/>
    </row>
    <row r="5875" spans="1:27" x14ac:dyDescent="0.25">
      <c r="A5875" s="419">
        <v>3004614</v>
      </c>
      <c r="B5875" s="421">
        <v>42641</v>
      </c>
      <c r="C5875" s="419" t="s">
        <v>237</v>
      </c>
      <c r="D5875" s="417" t="s">
        <v>12682</v>
      </c>
      <c r="E5875" s="120">
        <v>100</v>
      </c>
      <c r="F5875" s="133" t="s">
        <v>3307</v>
      </c>
      <c r="G5875" s="434" t="s">
        <v>7486</v>
      </c>
      <c r="H5875" s="427">
        <v>360.36</v>
      </c>
      <c r="I5875" s="452">
        <f t="shared" ref="I5875" si="2305">-(H5875*0.15)</f>
        <v>-54.054000000000002</v>
      </c>
      <c r="J5875" s="425">
        <v>0</v>
      </c>
      <c r="K5875" s="425">
        <f>SUM(H5875:J5875)</f>
        <v>306.30600000000004</v>
      </c>
      <c r="L5875" s="187">
        <v>1150</v>
      </c>
      <c r="M5875" s="187">
        <v>13.27</v>
      </c>
      <c r="N5875" s="91">
        <f t="shared" si="2302"/>
        <v>128.27000000000001</v>
      </c>
      <c r="O5875" s="411">
        <f t="shared" si="2261"/>
        <v>178.03600000000003</v>
      </c>
      <c r="P5875" s="132" t="s">
        <v>601</v>
      </c>
      <c r="Q5875" s="232"/>
      <c r="R5875" s="411"/>
      <c r="T5875" s="439" t="s">
        <v>145</v>
      </c>
      <c r="U5875" s="308" t="s">
        <v>12683</v>
      </c>
      <c r="AA5875" s="218"/>
    </row>
    <row r="5876" spans="1:27" x14ac:dyDescent="0.25">
      <c r="A5876" s="420"/>
      <c r="B5876" s="422"/>
      <c r="C5876" s="420"/>
      <c r="D5876" s="418"/>
      <c r="E5876" s="120">
        <v>100</v>
      </c>
      <c r="F5876" s="133" t="s">
        <v>3719</v>
      </c>
      <c r="G5876" s="436"/>
      <c r="H5876" s="428"/>
      <c r="I5876" s="453"/>
      <c r="J5876" s="426"/>
      <c r="K5876" s="426"/>
      <c r="L5876" s="187">
        <v>1180</v>
      </c>
      <c r="M5876" s="187">
        <v>13.3</v>
      </c>
      <c r="N5876" s="91">
        <f t="shared" si="2302"/>
        <v>131.30000000000001</v>
      </c>
      <c r="O5876" s="411">
        <f t="shared" si="2261"/>
        <v>-131.30000000000001</v>
      </c>
      <c r="P5876" s="132" t="s">
        <v>601</v>
      </c>
      <c r="Q5876" s="232"/>
      <c r="R5876" s="411"/>
      <c r="T5876" s="441"/>
      <c r="U5876" s="309">
        <v>642286529084</v>
      </c>
      <c r="AA5876" s="218"/>
    </row>
    <row r="5877" spans="1:27" x14ac:dyDescent="0.25">
      <c r="A5877" s="405">
        <v>3004615</v>
      </c>
      <c r="B5877" s="406">
        <v>42641</v>
      </c>
      <c r="C5877" s="405" t="s">
        <v>42</v>
      </c>
      <c r="D5877" s="401" t="s">
        <v>9407</v>
      </c>
      <c r="E5877" s="120">
        <v>1000</v>
      </c>
      <c r="F5877" s="133" t="s">
        <v>1293</v>
      </c>
      <c r="G5877" s="404" t="s">
        <v>7486</v>
      </c>
      <c r="H5877" s="411">
        <v>880</v>
      </c>
      <c r="I5877" s="89">
        <f>-(H5877*0.09)</f>
        <v>-79.2</v>
      </c>
      <c r="J5877" s="258">
        <f t="shared" ref="J5877" si="2306">-((H5877*0.019)+0.3)</f>
        <v>-17.02</v>
      </c>
      <c r="K5877" s="90">
        <f t="shared" ref="K5877" si="2307">SUM(H5877:J5877)</f>
        <v>783.78</v>
      </c>
      <c r="L5877" s="131">
        <v>504</v>
      </c>
      <c r="M5877" s="187">
        <v>158.06</v>
      </c>
      <c r="N5877" s="91">
        <f t="shared" si="2302"/>
        <v>662.06</v>
      </c>
      <c r="O5877" s="411">
        <f t="shared" si="2261"/>
        <v>121.72000000000003</v>
      </c>
      <c r="P5877" s="132" t="s">
        <v>52</v>
      </c>
      <c r="Q5877" s="232"/>
      <c r="R5877" s="411"/>
      <c r="T5877" s="134" t="s">
        <v>11100</v>
      </c>
      <c r="U5877" s="267" t="s">
        <v>12684</v>
      </c>
      <c r="V5877" s="133" t="s">
        <v>55</v>
      </c>
      <c r="AA5877" s="218"/>
    </row>
    <row r="5878" spans="1:27" ht="24" x14ac:dyDescent="0.25">
      <c r="A5878" s="405">
        <v>3004616</v>
      </c>
      <c r="B5878" s="406">
        <v>42641</v>
      </c>
      <c r="C5878" s="405" t="s">
        <v>327</v>
      </c>
      <c r="D5878" s="401" t="s">
        <v>12685</v>
      </c>
      <c r="E5878" s="120">
        <v>1000</v>
      </c>
      <c r="F5878" s="119" t="s">
        <v>12686</v>
      </c>
      <c r="G5878" s="404" t="s">
        <v>7486</v>
      </c>
      <c r="H5878" s="411">
        <v>2185</v>
      </c>
      <c r="I5878" s="399">
        <v>0</v>
      </c>
      <c r="J5878" s="396">
        <f>-((H5878*0.022)+0.3)</f>
        <v>-48.37</v>
      </c>
      <c r="K5878" s="396">
        <f>SUM(H5878:J5878)</f>
        <v>2136.63</v>
      </c>
      <c r="L5878" s="187">
        <v>1200</v>
      </c>
      <c r="M5878" s="187">
        <v>133.25</v>
      </c>
      <c r="N5878" s="91">
        <f t="shared" si="2302"/>
        <v>1333.25</v>
      </c>
      <c r="O5878" s="411">
        <f t="shared" si="2261"/>
        <v>803.38000000000011</v>
      </c>
      <c r="P5878" s="132" t="s">
        <v>7057</v>
      </c>
      <c r="Q5878" s="232"/>
      <c r="R5878" s="411"/>
      <c r="T5878" s="134" t="s">
        <v>97</v>
      </c>
      <c r="U5878" s="267" t="s">
        <v>12687</v>
      </c>
      <c r="V5878" s="133" t="s">
        <v>55</v>
      </c>
      <c r="W5878" s="153" t="s">
        <v>12688</v>
      </c>
      <c r="AA5878" s="218">
        <v>10</v>
      </c>
    </row>
    <row r="5879" spans="1:27" ht="24" x14ac:dyDescent="0.25">
      <c r="A5879" s="405">
        <v>3004617</v>
      </c>
      <c r="B5879" s="406">
        <v>42641</v>
      </c>
      <c r="C5879" s="405" t="s">
        <v>42</v>
      </c>
      <c r="D5879" s="401" t="s">
        <v>12689</v>
      </c>
      <c r="E5879" s="120">
        <v>500</v>
      </c>
      <c r="F5879" s="133" t="s">
        <v>451</v>
      </c>
      <c r="G5879" s="404" t="s">
        <v>7486</v>
      </c>
      <c r="H5879" s="411">
        <v>291.85000000000002</v>
      </c>
      <c r="I5879" s="89">
        <f>-(H5879*0.09)</f>
        <v>-26.266500000000001</v>
      </c>
      <c r="J5879" s="258">
        <f t="shared" ref="J5879" si="2308">-((H5879*0.019)+0.3)</f>
        <v>-5.8451500000000003</v>
      </c>
      <c r="K5879" s="90">
        <f t="shared" ref="K5879" si="2309">SUM(H5879:J5879)</f>
        <v>259.73835000000003</v>
      </c>
      <c r="L5879" s="131">
        <v>300</v>
      </c>
      <c r="M5879" s="187">
        <v>42.82</v>
      </c>
      <c r="N5879" s="91">
        <f t="shared" si="2302"/>
        <v>192.82</v>
      </c>
      <c r="O5879" s="411">
        <f t="shared" si="2261"/>
        <v>66.918350000000032</v>
      </c>
      <c r="P5879" s="132" t="s">
        <v>52</v>
      </c>
      <c r="Q5879" s="232"/>
      <c r="R5879" s="411"/>
      <c r="T5879" s="134" t="s">
        <v>145</v>
      </c>
      <c r="U5879" s="267" t="s">
        <v>12690</v>
      </c>
      <c r="AA5879" s="218"/>
    </row>
    <row r="5880" spans="1:27" ht="24" x14ac:dyDescent="0.25">
      <c r="A5880" s="405">
        <v>3004618</v>
      </c>
      <c r="B5880" s="406">
        <v>42641</v>
      </c>
      <c r="C5880" s="405" t="s">
        <v>237</v>
      </c>
      <c r="D5880" s="401" t="s">
        <v>12691</v>
      </c>
      <c r="E5880" s="120">
        <v>250</v>
      </c>
      <c r="F5880" s="133" t="s">
        <v>307</v>
      </c>
      <c r="G5880" s="404" t="s">
        <v>7486</v>
      </c>
      <c r="H5880" s="411">
        <v>320</v>
      </c>
      <c r="I5880" s="397">
        <f t="shared" ref="I5880" si="2310">-(H5880*0.15)</f>
        <v>-48</v>
      </c>
      <c r="J5880" s="258">
        <v>0</v>
      </c>
      <c r="K5880" s="90">
        <f>SUM(H5880:J5880)</f>
        <v>272</v>
      </c>
      <c r="L5880" s="131">
        <v>630</v>
      </c>
      <c r="M5880" s="187">
        <v>45.8</v>
      </c>
      <c r="N5880" s="91">
        <f t="shared" si="2302"/>
        <v>203.3</v>
      </c>
      <c r="O5880" s="411">
        <f t="shared" si="2261"/>
        <v>68.699999999999989</v>
      </c>
      <c r="P5880" s="132" t="s">
        <v>52</v>
      </c>
      <c r="Q5880" s="232"/>
      <c r="R5880" s="411"/>
      <c r="T5880" s="134" t="s">
        <v>145</v>
      </c>
      <c r="U5880" s="267" t="s">
        <v>12692</v>
      </c>
      <c r="AA5880" s="218"/>
    </row>
    <row r="5881" spans="1:27" ht="36" x14ac:dyDescent="0.25">
      <c r="A5881" s="405">
        <v>3004619</v>
      </c>
      <c r="B5881" s="406">
        <v>42641</v>
      </c>
      <c r="C5881" s="405" t="s">
        <v>237</v>
      </c>
      <c r="D5881" s="401" t="s">
        <v>6853</v>
      </c>
      <c r="E5881" s="120">
        <v>3000</v>
      </c>
      <c r="F5881" s="133" t="s">
        <v>12693</v>
      </c>
      <c r="G5881" s="404" t="s">
        <v>7486</v>
      </c>
      <c r="H5881" s="411">
        <v>986.85</v>
      </c>
      <c r="I5881" s="397">
        <f t="shared" ref="I5881" si="2311">-(H5881*0.15)</f>
        <v>-148.0275</v>
      </c>
      <c r="J5881" s="258">
        <v>0</v>
      </c>
      <c r="K5881" s="90">
        <f>SUM(H5881:J5881)</f>
        <v>838.82249999999999</v>
      </c>
      <c r="L5881" s="131">
        <v>225.95</v>
      </c>
      <c r="M5881" s="131">
        <v>0</v>
      </c>
      <c r="N5881" s="91">
        <f t="shared" si="2302"/>
        <v>677.84999999999991</v>
      </c>
      <c r="O5881" s="411">
        <f t="shared" si="2261"/>
        <v>160.97250000000008</v>
      </c>
      <c r="P5881" s="132" t="s">
        <v>12694</v>
      </c>
      <c r="Q5881" s="232"/>
      <c r="R5881" s="411"/>
      <c r="T5881" s="134" t="s">
        <v>145</v>
      </c>
      <c r="U5881" s="266" t="s">
        <v>12695</v>
      </c>
      <c r="AA5881" s="218"/>
    </row>
    <row r="5882" spans="1:27" ht="24" x14ac:dyDescent="0.25">
      <c r="A5882" s="405">
        <v>3004620</v>
      </c>
      <c r="B5882" s="406">
        <v>42641</v>
      </c>
      <c r="C5882" s="405" t="s">
        <v>42</v>
      </c>
      <c r="D5882" s="401" t="s">
        <v>12696</v>
      </c>
      <c r="E5882" s="120">
        <v>500</v>
      </c>
      <c r="F5882" s="133" t="s">
        <v>12697</v>
      </c>
      <c r="G5882" s="404" t="s">
        <v>7486</v>
      </c>
      <c r="H5882" s="411">
        <v>138.97999999999999</v>
      </c>
      <c r="I5882" s="89">
        <f>-(H5882*0.09)</f>
        <v>-12.508199999999999</v>
      </c>
      <c r="J5882" s="258">
        <f t="shared" ref="J5882" si="2312">-((H5882*0.019)+0.3)</f>
        <v>-2.9406199999999996</v>
      </c>
      <c r="K5882" s="90">
        <f t="shared" ref="K5882" si="2313">SUM(H5882:J5882)</f>
        <v>123.53117999999999</v>
      </c>
      <c r="L5882" s="187">
        <v>129</v>
      </c>
      <c r="M5882" s="187">
        <v>18.45</v>
      </c>
      <c r="N5882" s="91">
        <f t="shared" si="2302"/>
        <v>82.95</v>
      </c>
      <c r="O5882" s="411">
        <f t="shared" si="2261"/>
        <v>40.581179999999989</v>
      </c>
      <c r="P5882" s="132" t="s">
        <v>183</v>
      </c>
      <c r="Q5882" s="232"/>
      <c r="R5882" s="411"/>
      <c r="T5882" s="134" t="s">
        <v>145</v>
      </c>
      <c r="U5882" s="267" t="s">
        <v>12698</v>
      </c>
      <c r="AA5882" s="218"/>
    </row>
    <row r="5883" spans="1:27" ht="24" x14ac:dyDescent="0.25">
      <c r="A5883" s="405">
        <v>3004621</v>
      </c>
      <c r="B5883" s="406">
        <v>42641</v>
      </c>
      <c r="C5883" s="405" t="s">
        <v>327</v>
      </c>
      <c r="D5883" s="401" t="s">
        <v>12699</v>
      </c>
      <c r="E5883" s="120">
        <v>25</v>
      </c>
      <c r="F5883" s="133" t="s">
        <v>4808</v>
      </c>
      <c r="G5883" s="404" t="s">
        <v>45</v>
      </c>
      <c r="H5883" s="411">
        <v>62.5</v>
      </c>
      <c r="I5883" s="399">
        <v>0</v>
      </c>
      <c r="J5883" s="396">
        <f>-((H5883*0.022)+0.3)</f>
        <v>-1.675</v>
      </c>
      <c r="K5883" s="396">
        <f>SUM(H5883:J5883)</f>
        <v>60.825000000000003</v>
      </c>
      <c r="L5883" s="187">
        <v>1066</v>
      </c>
      <c r="M5883" s="187">
        <v>17.12</v>
      </c>
      <c r="N5883" s="91">
        <f t="shared" si="2302"/>
        <v>43.77</v>
      </c>
      <c r="O5883" s="411">
        <f t="shared" si="2261"/>
        <v>17.055</v>
      </c>
      <c r="P5883" s="132" t="s">
        <v>183</v>
      </c>
      <c r="Q5883" s="232"/>
      <c r="R5883" s="411"/>
      <c r="T5883" s="134" t="s">
        <v>145</v>
      </c>
      <c r="U5883" s="267" t="s">
        <v>12700</v>
      </c>
      <c r="W5883" s="153" t="s">
        <v>12701</v>
      </c>
      <c r="AA5883" s="218"/>
    </row>
    <row r="5884" spans="1:27" x14ac:dyDescent="0.25">
      <c r="A5884" s="405">
        <v>3004622</v>
      </c>
      <c r="B5884" s="406">
        <v>42641</v>
      </c>
      <c r="C5884" s="405" t="s">
        <v>63</v>
      </c>
      <c r="D5884" s="401" t="s">
        <v>12702</v>
      </c>
      <c r="E5884" s="120">
        <v>1000</v>
      </c>
      <c r="F5884" s="133" t="s">
        <v>1293</v>
      </c>
      <c r="G5884" s="404" t="s">
        <v>7486</v>
      </c>
      <c r="H5884" s="411">
        <v>860</v>
      </c>
      <c r="I5884" s="399">
        <v>0</v>
      </c>
      <c r="J5884" s="396">
        <f>-((H5884*0.022)+0.3)</f>
        <v>-19.22</v>
      </c>
      <c r="K5884" s="396">
        <f>SUM(H5884:J5884)</f>
        <v>840.78</v>
      </c>
      <c r="L5884" s="131">
        <v>504</v>
      </c>
      <c r="M5884" s="187">
        <v>156.15</v>
      </c>
      <c r="N5884" s="91">
        <f t="shared" si="2302"/>
        <v>660.15</v>
      </c>
      <c r="O5884" s="411">
        <f t="shared" si="2261"/>
        <v>180.63</v>
      </c>
      <c r="P5884" s="132" t="s">
        <v>52</v>
      </c>
      <c r="Q5884" s="232"/>
      <c r="R5884" s="411"/>
      <c r="T5884" s="134" t="s">
        <v>97</v>
      </c>
      <c r="U5884" s="267" t="s">
        <v>12703</v>
      </c>
      <c r="V5884" s="133" t="s">
        <v>55</v>
      </c>
      <c r="W5884" s="153" t="s">
        <v>12704</v>
      </c>
      <c r="AA5884" s="218"/>
    </row>
    <row r="5885" spans="1:27" x14ac:dyDescent="0.25">
      <c r="A5885" s="405">
        <v>3004623</v>
      </c>
      <c r="B5885" s="406">
        <v>42641</v>
      </c>
      <c r="C5885" s="405" t="s">
        <v>56</v>
      </c>
      <c r="D5885" s="401" t="s">
        <v>1192</v>
      </c>
      <c r="E5885" s="120">
        <v>250</v>
      </c>
      <c r="F5885" s="133" t="s">
        <v>161</v>
      </c>
      <c r="G5885" s="404" t="s">
        <v>7486</v>
      </c>
      <c r="H5885" s="411">
        <v>630</v>
      </c>
      <c r="I5885" s="411">
        <v>0</v>
      </c>
      <c r="J5885" s="411">
        <v>0</v>
      </c>
      <c r="K5885" s="396">
        <f>SUM(H5885:J5885)</f>
        <v>630</v>
      </c>
      <c r="L5885" s="131">
        <v>1322</v>
      </c>
      <c r="M5885" s="187">
        <v>119.6</v>
      </c>
      <c r="N5885" s="91">
        <f t="shared" si="2302"/>
        <v>450.1</v>
      </c>
      <c r="O5885" s="411">
        <f t="shared" si="2261"/>
        <v>179.89999999999998</v>
      </c>
      <c r="P5885" s="132" t="s">
        <v>52</v>
      </c>
      <c r="Q5885" s="232"/>
      <c r="R5885" s="411"/>
      <c r="T5885" s="134" t="s">
        <v>12646</v>
      </c>
      <c r="U5885" s="267" t="s">
        <v>12705</v>
      </c>
      <c r="V5885" s="133" t="s">
        <v>11223</v>
      </c>
      <c r="W5885" s="153" t="s">
        <v>2090</v>
      </c>
      <c r="AA5885" s="218"/>
    </row>
    <row r="5886" spans="1:27" x14ac:dyDescent="0.25">
      <c r="A5886" s="419">
        <v>3004624</v>
      </c>
      <c r="B5886" s="421">
        <v>42641</v>
      </c>
      <c r="C5886" s="419" t="s">
        <v>141</v>
      </c>
      <c r="D5886" s="417" t="s">
        <v>2212</v>
      </c>
      <c r="E5886" s="120">
        <v>1000</v>
      </c>
      <c r="F5886" s="133" t="s">
        <v>307</v>
      </c>
      <c r="G5886" s="434" t="s">
        <v>7486</v>
      </c>
      <c r="H5886" s="427">
        <v>2150</v>
      </c>
      <c r="I5886" s="427">
        <v>0</v>
      </c>
      <c r="J5886" s="425">
        <f>-((H5886*0.0325)+0.3)</f>
        <v>-70.174999999999997</v>
      </c>
      <c r="K5886" s="425">
        <f>SUM(H5886:J5886)</f>
        <v>2079.8249999999998</v>
      </c>
      <c r="L5886" s="187">
        <v>633.19000000000005</v>
      </c>
      <c r="M5886" s="187">
        <v>74.25</v>
      </c>
      <c r="N5886" s="91">
        <f t="shared" si="2302"/>
        <v>707.44</v>
      </c>
      <c r="O5886" s="411">
        <f t="shared" si="2261"/>
        <v>1372.3849999999998</v>
      </c>
      <c r="P5886" s="132" t="s">
        <v>46</v>
      </c>
      <c r="Q5886" s="232"/>
      <c r="R5886" s="411"/>
      <c r="T5886" s="439" t="s">
        <v>851</v>
      </c>
      <c r="U5886" s="444" t="s">
        <v>12706</v>
      </c>
      <c r="W5886" s="153" t="s">
        <v>2214</v>
      </c>
      <c r="AA5886" s="473">
        <v>10</v>
      </c>
    </row>
    <row r="5887" spans="1:27" x14ac:dyDescent="0.25">
      <c r="A5887" s="420"/>
      <c r="B5887" s="422"/>
      <c r="C5887" s="420"/>
      <c r="D5887" s="418"/>
      <c r="E5887" s="120">
        <v>1000</v>
      </c>
      <c r="F5887" s="133" t="s">
        <v>2213</v>
      </c>
      <c r="G5887" s="436"/>
      <c r="H5887" s="428"/>
      <c r="I5887" s="428"/>
      <c r="J5887" s="426"/>
      <c r="K5887" s="426"/>
      <c r="L5887" s="187">
        <v>481.57</v>
      </c>
      <c r="M5887" s="187"/>
      <c r="N5887" s="91">
        <f t="shared" si="2302"/>
        <v>481.57</v>
      </c>
      <c r="O5887" s="411">
        <f t="shared" si="2261"/>
        <v>-481.57</v>
      </c>
      <c r="P5887" s="132" t="s">
        <v>46</v>
      </c>
      <c r="Q5887" s="232"/>
      <c r="R5887" s="411"/>
      <c r="T5887" s="441"/>
      <c r="U5887" s="445"/>
      <c r="AA5887" s="474"/>
    </row>
    <row r="5888" spans="1:27" ht="24" x14ac:dyDescent="0.25">
      <c r="A5888" s="419">
        <v>3004625</v>
      </c>
      <c r="B5888" s="421">
        <v>42642</v>
      </c>
      <c r="C5888" s="419" t="s">
        <v>327</v>
      </c>
      <c r="D5888" s="417" t="s">
        <v>12707</v>
      </c>
      <c r="E5888" s="120">
        <v>849</v>
      </c>
      <c r="F5888" s="119" t="s">
        <v>12708</v>
      </c>
      <c r="G5888" s="434" t="s">
        <v>7486</v>
      </c>
      <c r="H5888" s="427">
        <v>6114</v>
      </c>
      <c r="I5888" s="427">
        <v>0</v>
      </c>
      <c r="J5888" s="425">
        <f>-((H5888*0.022)+0.3)</f>
        <v>-134.80799999999999</v>
      </c>
      <c r="K5888" s="425">
        <f>SUM(H5888:J5888)</f>
        <v>5979.192</v>
      </c>
      <c r="L5888" s="131">
        <v>3840</v>
      </c>
      <c r="M5888" s="187">
        <v>167.93</v>
      </c>
      <c r="N5888" s="91">
        <f t="shared" si="2302"/>
        <v>3428.0899999999997</v>
      </c>
      <c r="O5888" s="411">
        <f t="shared" si="2261"/>
        <v>2551.1020000000003</v>
      </c>
      <c r="P5888" s="132" t="s">
        <v>52</v>
      </c>
      <c r="Q5888" s="232"/>
      <c r="R5888" s="411"/>
      <c r="T5888" s="134" t="s">
        <v>10999</v>
      </c>
      <c r="U5888" s="267" t="s">
        <v>12709</v>
      </c>
      <c r="V5888" s="133" t="s">
        <v>55</v>
      </c>
      <c r="W5888" s="153" t="s">
        <v>12710</v>
      </c>
      <c r="AA5888" s="473">
        <v>50</v>
      </c>
    </row>
    <row r="5889" spans="1:27" x14ac:dyDescent="0.25">
      <c r="A5889" s="420"/>
      <c r="B5889" s="422"/>
      <c r="C5889" s="420"/>
      <c r="D5889" s="418"/>
      <c r="E5889" s="120">
        <v>4000</v>
      </c>
      <c r="F5889" s="133" t="s">
        <v>5506</v>
      </c>
      <c r="G5889" s="436"/>
      <c r="H5889" s="428"/>
      <c r="I5889" s="428"/>
      <c r="J5889" s="426"/>
      <c r="K5889" s="426"/>
      <c r="L5889" s="187">
        <v>170</v>
      </c>
      <c r="M5889" s="187">
        <v>105</v>
      </c>
      <c r="N5889" s="91">
        <f t="shared" si="2302"/>
        <v>785</v>
      </c>
      <c r="O5889" s="411">
        <f t="shared" si="2261"/>
        <v>-785</v>
      </c>
      <c r="P5889" s="132" t="s">
        <v>183</v>
      </c>
      <c r="Q5889" s="232"/>
      <c r="R5889" s="411"/>
      <c r="T5889" s="134" t="s">
        <v>67</v>
      </c>
      <c r="U5889" s="267" t="s">
        <v>12711</v>
      </c>
      <c r="AA5889" s="474"/>
    </row>
    <row r="5890" spans="1:27" x14ac:dyDescent="0.25">
      <c r="A5890" s="405">
        <v>3004626</v>
      </c>
      <c r="B5890" s="406">
        <v>42642</v>
      </c>
      <c r="C5890" s="405" t="s">
        <v>141</v>
      </c>
      <c r="D5890" s="401" t="s">
        <v>12712</v>
      </c>
      <c r="E5890" s="120">
        <v>500</v>
      </c>
      <c r="F5890" s="133" t="s">
        <v>9709</v>
      </c>
      <c r="G5890" s="404" t="s">
        <v>7486</v>
      </c>
      <c r="H5890" s="411">
        <v>595</v>
      </c>
      <c r="I5890" s="399">
        <v>0</v>
      </c>
      <c r="J5890" s="396">
        <f>-((H5890*0.0325)+0.3)</f>
        <v>-19.637500000000003</v>
      </c>
      <c r="K5890" s="396">
        <f>SUM(H5890:J5890)</f>
        <v>575.36249999999995</v>
      </c>
      <c r="L5890" s="187">
        <v>410</v>
      </c>
      <c r="M5890" s="187">
        <v>101.23</v>
      </c>
      <c r="N5890" s="91">
        <f t="shared" si="2302"/>
        <v>306.23</v>
      </c>
      <c r="O5890" s="411">
        <f t="shared" si="2261"/>
        <v>269.13249999999994</v>
      </c>
      <c r="P5890" s="132" t="s">
        <v>3597</v>
      </c>
      <c r="Q5890" s="232"/>
      <c r="R5890" s="411"/>
      <c r="T5890" s="134" t="s">
        <v>576</v>
      </c>
      <c r="U5890" s="267" t="s">
        <v>12713</v>
      </c>
      <c r="W5890" s="153" t="s">
        <v>12714</v>
      </c>
      <c r="AA5890" s="218"/>
    </row>
    <row r="5891" spans="1:27" ht="24" x14ac:dyDescent="0.25">
      <c r="A5891" s="405">
        <v>3004627</v>
      </c>
      <c r="B5891" s="406">
        <v>42642</v>
      </c>
      <c r="C5891" s="405" t="s">
        <v>42</v>
      </c>
      <c r="D5891" s="401" t="s">
        <v>5877</v>
      </c>
      <c r="E5891" s="120">
        <v>300</v>
      </c>
      <c r="F5891" s="133" t="s">
        <v>939</v>
      </c>
      <c r="G5891" s="404" t="s">
        <v>7486</v>
      </c>
      <c r="H5891" s="411">
        <v>276.79000000000002</v>
      </c>
      <c r="I5891" s="89">
        <f t="shared" ref="I5891:I5898" si="2314">-(H5891*0.09)</f>
        <v>-24.911100000000001</v>
      </c>
      <c r="J5891" s="258">
        <f t="shared" ref="J5891" si="2315">-((H5891*0.019)+0.3)</f>
        <v>-5.5590099999999998</v>
      </c>
      <c r="K5891" s="90">
        <f t="shared" ref="K5891" si="2316">SUM(H5891:J5891)</f>
        <v>246.31989000000002</v>
      </c>
      <c r="L5891" s="131">
        <v>445</v>
      </c>
      <c r="M5891" s="187">
        <v>45.9</v>
      </c>
      <c r="N5891" s="91">
        <f t="shared" si="2302"/>
        <v>179.4</v>
      </c>
      <c r="O5891" s="411">
        <f t="shared" si="2261"/>
        <v>66.919890000000009</v>
      </c>
      <c r="P5891" s="132" t="s">
        <v>52</v>
      </c>
      <c r="Q5891" s="232"/>
      <c r="R5891" s="411"/>
      <c r="T5891" s="134" t="s">
        <v>145</v>
      </c>
      <c r="U5891" s="267" t="s">
        <v>12715</v>
      </c>
      <c r="AA5891" s="218"/>
    </row>
    <row r="5892" spans="1:27" ht="24" x14ac:dyDescent="0.25">
      <c r="A5892" s="405">
        <v>3004628</v>
      </c>
      <c r="B5892" s="406">
        <v>42642</v>
      </c>
      <c r="C5892" s="405" t="s">
        <v>42</v>
      </c>
      <c r="D5892" s="401" t="s">
        <v>12716</v>
      </c>
      <c r="E5892" s="120">
        <v>2000</v>
      </c>
      <c r="F5892" s="119" t="s">
        <v>12717</v>
      </c>
      <c r="G5892" s="404" t="s">
        <v>7486</v>
      </c>
      <c r="H5892" s="411">
        <v>385.7</v>
      </c>
      <c r="I5892" s="89">
        <f t="shared" si="2314"/>
        <v>-34.713000000000001</v>
      </c>
      <c r="J5892" s="258">
        <f t="shared" ref="J5892" si="2317">-((H5892*0.019)+0.3)</f>
        <v>-7.6282999999999994</v>
      </c>
      <c r="K5892" s="90">
        <f t="shared" ref="K5892" si="2318">SUM(H5892:J5892)</f>
        <v>343.35869999999994</v>
      </c>
      <c r="L5892" s="187">
        <v>100</v>
      </c>
      <c r="M5892" s="187">
        <f>10.95+10.95</f>
        <v>21.9</v>
      </c>
      <c r="N5892" s="91">
        <f t="shared" si="2302"/>
        <v>221.9</v>
      </c>
      <c r="O5892" s="411">
        <f t="shared" ref="O5892:O5955" si="2319">K5892-N5892</f>
        <v>121.45869999999994</v>
      </c>
      <c r="P5892" s="132" t="s">
        <v>856</v>
      </c>
      <c r="Q5892" s="232"/>
      <c r="R5892" s="411"/>
      <c r="T5892" s="134" t="s">
        <v>145</v>
      </c>
      <c r="U5892" s="267" t="s">
        <v>12718</v>
      </c>
      <c r="AA5892" s="218"/>
    </row>
    <row r="5893" spans="1:27" ht="24" x14ac:dyDescent="0.25">
      <c r="A5893" s="405">
        <v>3004629</v>
      </c>
      <c r="B5893" s="406">
        <v>42642</v>
      </c>
      <c r="C5893" s="405" t="s">
        <v>42</v>
      </c>
      <c r="D5893" s="401" t="s">
        <v>12719</v>
      </c>
      <c r="E5893" s="120">
        <v>100</v>
      </c>
      <c r="F5893" s="133" t="s">
        <v>5296</v>
      </c>
      <c r="G5893" s="404" t="s">
        <v>7486</v>
      </c>
      <c r="H5893" s="411">
        <v>178.65</v>
      </c>
      <c r="I5893" s="89">
        <f t="shared" si="2314"/>
        <v>-16.078499999999998</v>
      </c>
      <c r="J5893" s="258">
        <f t="shared" ref="J5893" si="2320">-((H5893*0.019)+0.3)</f>
        <v>-3.69435</v>
      </c>
      <c r="K5893" s="90">
        <f t="shared" ref="K5893" si="2321">SUM(H5893:J5893)</f>
        <v>158.87715000000003</v>
      </c>
      <c r="L5893" s="187">
        <v>1000</v>
      </c>
      <c r="M5893" s="187">
        <v>18.100000000000001</v>
      </c>
      <c r="N5893" s="91">
        <f t="shared" si="2302"/>
        <v>118.1</v>
      </c>
      <c r="O5893" s="411">
        <f t="shared" si="2319"/>
        <v>40.777150000000034</v>
      </c>
      <c r="P5893" s="132" t="s">
        <v>183</v>
      </c>
      <c r="Q5893" s="232"/>
      <c r="R5893" s="411"/>
      <c r="T5893" s="134" t="s">
        <v>145</v>
      </c>
      <c r="U5893" s="267" t="s">
        <v>12720</v>
      </c>
      <c r="AA5893" s="218"/>
    </row>
    <row r="5894" spans="1:27" ht="24" x14ac:dyDescent="0.25">
      <c r="A5894" s="405">
        <v>3004630</v>
      </c>
      <c r="B5894" s="406">
        <v>42642</v>
      </c>
      <c r="C5894" s="405" t="s">
        <v>42</v>
      </c>
      <c r="D5894" s="401" t="s">
        <v>12721</v>
      </c>
      <c r="E5894" s="120">
        <v>150</v>
      </c>
      <c r="F5894" s="133" t="s">
        <v>161</v>
      </c>
      <c r="G5894" s="404" t="s">
        <v>7486</v>
      </c>
      <c r="H5894" s="411">
        <v>341.55</v>
      </c>
      <c r="I5894" s="89">
        <f t="shared" si="2314"/>
        <v>-30.7395</v>
      </c>
      <c r="J5894" s="258">
        <f t="shared" ref="J5894" si="2322">-((H5894*0.019)+0.3)</f>
        <v>-6.7894499999999995</v>
      </c>
      <c r="K5894" s="90">
        <f t="shared" ref="K5894" si="2323">SUM(H5894:J5894)</f>
        <v>304.02105</v>
      </c>
      <c r="L5894" s="131">
        <v>1322</v>
      </c>
      <c r="M5894" s="187">
        <v>36.76</v>
      </c>
      <c r="N5894" s="91">
        <f t="shared" si="2302"/>
        <v>235.05999999999997</v>
      </c>
      <c r="O5894" s="411">
        <f t="shared" si="2319"/>
        <v>68.961050000000029</v>
      </c>
      <c r="P5894" s="132" t="s">
        <v>52</v>
      </c>
      <c r="Q5894" s="232"/>
      <c r="R5894" s="411"/>
      <c r="T5894" s="134" t="s">
        <v>145</v>
      </c>
      <c r="U5894" s="267" t="s">
        <v>12722</v>
      </c>
      <c r="AA5894" s="218"/>
    </row>
    <row r="5895" spans="1:27" ht="24" x14ac:dyDescent="0.25">
      <c r="A5895" s="405">
        <v>3004631</v>
      </c>
      <c r="B5895" s="406">
        <v>42642</v>
      </c>
      <c r="C5895" s="405" t="s">
        <v>42</v>
      </c>
      <c r="D5895" s="401" t="s">
        <v>12723</v>
      </c>
      <c r="E5895" s="120">
        <v>250</v>
      </c>
      <c r="F5895" s="133" t="s">
        <v>451</v>
      </c>
      <c r="G5895" s="404" t="s">
        <v>7486</v>
      </c>
      <c r="H5895" s="411">
        <v>168.27</v>
      </c>
      <c r="I5895" s="89">
        <f t="shared" si="2314"/>
        <v>-15.144300000000001</v>
      </c>
      <c r="J5895" s="258">
        <f t="shared" ref="J5895" si="2324">-((H5895*0.019)+0.3)</f>
        <v>-3.4971299999999998</v>
      </c>
      <c r="K5895" s="90">
        <f t="shared" ref="K5895" si="2325">SUM(H5895:J5895)</f>
        <v>149.62857</v>
      </c>
      <c r="L5895" s="131">
        <v>300</v>
      </c>
      <c r="M5895" s="187">
        <v>19.11</v>
      </c>
      <c r="N5895" s="91">
        <f t="shared" si="2302"/>
        <v>94.11</v>
      </c>
      <c r="O5895" s="411">
        <f t="shared" si="2319"/>
        <v>55.518569999999997</v>
      </c>
      <c r="P5895" s="132" t="s">
        <v>52</v>
      </c>
      <c r="Q5895" s="232"/>
      <c r="R5895" s="411"/>
      <c r="T5895" s="134" t="s">
        <v>145</v>
      </c>
      <c r="U5895" s="267" t="s">
        <v>12724</v>
      </c>
      <c r="AA5895" s="218"/>
    </row>
    <row r="5896" spans="1:27" ht="24" x14ac:dyDescent="0.25">
      <c r="A5896" s="405">
        <v>3004632</v>
      </c>
      <c r="B5896" s="406">
        <v>42642</v>
      </c>
      <c r="C5896" s="405" t="s">
        <v>42</v>
      </c>
      <c r="D5896" s="401" t="s">
        <v>12725</v>
      </c>
      <c r="E5896" s="120">
        <v>250</v>
      </c>
      <c r="F5896" s="133" t="s">
        <v>2949</v>
      </c>
      <c r="G5896" s="404" t="s">
        <v>7486</v>
      </c>
      <c r="H5896" s="411">
        <v>431.64</v>
      </c>
      <c r="I5896" s="89">
        <f t="shared" si="2314"/>
        <v>-38.8476</v>
      </c>
      <c r="J5896" s="258">
        <f t="shared" ref="J5896" si="2326">-((H5896*0.019)+0.3)</f>
        <v>-8.5011600000000005</v>
      </c>
      <c r="K5896" s="90">
        <f t="shared" ref="K5896" si="2327">SUM(H5896:J5896)</f>
        <v>384.29123999999996</v>
      </c>
      <c r="L5896" s="131">
        <v>1100</v>
      </c>
      <c r="M5896" s="187">
        <v>53.24</v>
      </c>
      <c r="N5896" s="91">
        <f t="shared" si="2302"/>
        <v>328.24</v>
      </c>
      <c r="O5896" s="411">
        <f t="shared" si="2319"/>
        <v>56.05123999999995</v>
      </c>
      <c r="P5896" s="132" t="s">
        <v>52</v>
      </c>
      <c r="Q5896" s="232"/>
      <c r="R5896" s="411"/>
      <c r="T5896" s="134" t="s">
        <v>145</v>
      </c>
      <c r="U5896" s="267" t="s">
        <v>12726</v>
      </c>
      <c r="AA5896" s="218"/>
    </row>
    <row r="5897" spans="1:27" ht="24" x14ac:dyDescent="0.25">
      <c r="A5897" s="405">
        <v>3004633</v>
      </c>
      <c r="B5897" s="406">
        <v>42642</v>
      </c>
      <c r="C5897" s="405" t="s">
        <v>42</v>
      </c>
      <c r="D5897" s="401" t="s">
        <v>12727</v>
      </c>
      <c r="E5897" s="120">
        <v>200</v>
      </c>
      <c r="F5897" s="133" t="s">
        <v>582</v>
      </c>
      <c r="G5897" s="404" t="s">
        <v>7486</v>
      </c>
      <c r="H5897" s="411">
        <v>215.87</v>
      </c>
      <c r="I5897" s="89">
        <f t="shared" si="2314"/>
        <v>-19.4283</v>
      </c>
      <c r="J5897" s="258">
        <f t="shared" ref="J5897" si="2328">-((H5897*0.019)+0.3)</f>
        <v>-4.4015300000000002</v>
      </c>
      <c r="K5897" s="90">
        <f t="shared" ref="K5897" si="2329">SUM(H5897:J5897)</f>
        <v>192.04016999999999</v>
      </c>
      <c r="L5897" s="131">
        <v>527.32000000000005</v>
      </c>
      <c r="M5897" s="187">
        <v>19.760000000000002</v>
      </c>
      <c r="N5897" s="91">
        <f t="shared" si="2302"/>
        <v>125.22400000000002</v>
      </c>
      <c r="O5897" s="411">
        <f t="shared" si="2319"/>
        <v>66.816169999999971</v>
      </c>
      <c r="P5897" s="132" t="s">
        <v>86</v>
      </c>
      <c r="Q5897" s="232"/>
      <c r="R5897" s="411"/>
      <c r="T5897" s="134" t="s">
        <v>145</v>
      </c>
      <c r="U5897" s="267" t="s">
        <v>12728</v>
      </c>
      <c r="AA5897" s="218"/>
    </row>
    <row r="5898" spans="1:27" ht="24" x14ac:dyDescent="0.25">
      <c r="A5898" s="405">
        <v>3004634</v>
      </c>
      <c r="B5898" s="406">
        <v>42642</v>
      </c>
      <c r="C5898" s="405" t="s">
        <v>42</v>
      </c>
      <c r="D5898" s="401" t="s">
        <v>12729</v>
      </c>
      <c r="E5898" s="120">
        <v>100</v>
      </c>
      <c r="F5898" s="133" t="s">
        <v>590</v>
      </c>
      <c r="G5898" s="404" t="s">
        <v>7486</v>
      </c>
      <c r="H5898" s="411">
        <v>128.25</v>
      </c>
      <c r="I5898" s="89">
        <f t="shared" si="2314"/>
        <v>-11.5425</v>
      </c>
      <c r="J5898" s="258">
        <f t="shared" ref="J5898" si="2330">-((H5898*0.019)+0.3)</f>
        <v>-2.7367499999999998</v>
      </c>
      <c r="K5898" s="90">
        <f t="shared" ref="K5898" si="2331">SUM(H5898:J5898)</f>
        <v>113.97075</v>
      </c>
      <c r="L5898" s="131">
        <v>577</v>
      </c>
      <c r="M5898" s="187">
        <v>38.57</v>
      </c>
      <c r="N5898" s="91">
        <f t="shared" si="2302"/>
        <v>96.27000000000001</v>
      </c>
      <c r="O5898" s="411">
        <f t="shared" si="2319"/>
        <v>17.700749999999985</v>
      </c>
      <c r="P5898" s="132" t="s">
        <v>52</v>
      </c>
      <c r="Q5898" s="232"/>
      <c r="R5898" s="411"/>
      <c r="T5898" s="134" t="s">
        <v>145</v>
      </c>
      <c r="U5898" s="267" t="s">
        <v>12730</v>
      </c>
      <c r="AA5898" s="218"/>
    </row>
    <row r="5899" spans="1:27" ht="24" x14ac:dyDescent="0.25">
      <c r="A5899" s="405">
        <v>3004635</v>
      </c>
      <c r="B5899" s="406">
        <v>42642</v>
      </c>
      <c r="C5899" s="405" t="s">
        <v>237</v>
      </c>
      <c r="D5899" s="401" t="s">
        <v>930</v>
      </c>
      <c r="E5899" s="120">
        <v>100</v>
      </c>
      <c r="F5899" s="133" t="s">
        <v>288</v>
      </c>
      <c r="G5899" s="404" t="s">
        <v>7486</v>
      </c>
      <c r="H5899" s="411">
        <v>193.04</v>
      </c>
      <c r="I5899" s="397">
        <f t="shared" ref="I5899" si="2332">-(H5899*0.15)</f>
        <v>-28.955999999999996</v>
      </c>
      <c r="J5899" s="258">
        <v>0</v>
      </c>
      <c r="K5899" s="90">
        <f t="shared" ref="K5899:K5907" si="2333">SUM(H5899:J5899)</f>
        <v>164.084</v>
      </c>
      <c r="L5899" s="131">
        <v>950</v>
      </c>
      <c r="M5899" s="187">
        <v>28.93</v>
      </c>
      <c r="N5899" s="91">
        <f t="shared" si="2302"/>
        <v>123.93</v>
      </c>
      <c r="O5899" s="411">
        <f t="shared" si="2319"/>
        <v>40.153999999999996</v>
      </c>
      <c r="P5899" s="132" t="s">
        <v>52</v>
      </c>
      <c r="Q5899" s="232"/>
      <c r="R5899" s="411"/>
      <c r="T5899" s="134" t="s">
        <v>145</v>
      </c>
      <c r="U5899" s="267" t="s">
        <v>12731</v>
      </c>
      <c r="AA5899" s="218"/>
    </row>
    <row r="5900" spans="1:27" ht="24" x14ac:dyDescent="0.25">
      <c r="A5900" s="405">
        <v>3004636</v>
      </c>
      <c r="B5900" s="406">
        <v>42642</v>
      </c>
      <c r="C5900" s="405" t="s">
        <v>237</v>
      </c>
      <c r="D5900" s="401" t="s">
        <v>12732</v>
      </c>
      <c r="E5900" s="120">
        <v>175</v>
      </c>
      <c r="F5900" s="133" t="s">
        <v>247</v>
      </c>
      <c r="G5900" s="404" t="s">
        <v>7486</v>
      </c>
      <c r="H5900" s="411">
        <v>179.97</v>
      </c>
      <c r="I5900" s="397">
        <f t="shared" ref="I5900" si="2334">-(H5900*0.15)</f>
        <v>-26.9955</v>
      </c>
      <c r="J5900" s="258">
        <v>0</v>
      </c>
      <c r="K5900" s="90">
        <f t="shared" si="2333"/>
        <v>152.97450000000001</v>
      </c>
      <c r="L5900" s="187">
        <v>584</v>
      </c>
      <c r="M5900" s="187">
        <v>37.5</v>
      </c>
      <c r="N5900" s="91">
        <f t="shared" si="2302"/>
        <v>139.69999999999999</v>
      </c>
      <c r="O5900" s="411">
        <f t="shared" si="2319"/>
        <v>13.274500000000018</v>
      </c>
      <c r="P5900" s="132" t="s">
        <v>3597</v>
      </c>
      <c r="Q5900" s="232"/>
      <c r="R5900" s="411"/>
      <c r="T5900" s="134" t="s">
        <v>145</v>
      </c>
      <c r="U5900" s="267" t="s">
        <v>12733</v>
      </c>
      <c r="AA5900" s="218"/>
    </row>
    <row r="5901" spans="1:27" ht="24" x14ac:dyDescent="0.25">
      <c r="A5901" s="405">
        <v>3004637</v>
      </c>
      <c r="B5901" s="406">
        <v>42642</v>
      </c>
      <c r="C5901" s="405" t="s">
        <v>237</v>
      </c>
      <c r="D5901" s="401" t="s">
        <v>12734</v>
      </c>
      <c r="E5901" s="120">
        <v>150</v>
      </c>
      <c r="F5901" s="133" t="s">
        <v>247</v>
      </c>
      <c r="G5901" s="404" t="s">
        <v>7486</v>
      </c>
      <c r="H5901" s="411">
        <v>176.22</v>
      </c>
      <c r="I5901" s="397">
        <f t="shared" ref="I5901" si="2335">-(H5901*0.15)</f>
        <v>-26.433</v>
      </c>
      <c r="J5901" s="258">
        <v>0</v>
      </c>
      <c r="K5901" s="90">
        <f t="shared" si="2333"/>
        <v>149.78700000000001</v>
      </c>
      <c r="L5901" s="187">
        <v>584</v>
      </c>
      <c r="M5901" s="187">
        <v>49.42</v>
      </c>
      <c r="N5901" s="91">
        <f t="shared" si="2302"/>
        <v>137.01999999999998</v>
      </c>
      <c r="O5901" s="411">
        <f t="shared" si="2319"/>
        <v>12.767000000000024</v>
      </c>
      <c r="P5901" s="132" t="s">
        <v>3597</v>
      </c>
      <c r="Q5901" s="232"/>
      <c r="R5901" s="411"/>
      <c r="T5901" s="134" t="s">
        <v>145</v>
      </c>
      <c r="U5901" s="267" t="s">
        <v>12735</v>
      </c>
      <c r="AA5901" s="218"/>
    </row>
    <row r="5902" spans="1:27" ht="48" x14ac:dyDescent="0.25">
      <c r="A5902" s="405">
        <v>3004638</v>
      </c>
      <c r="B5902" s="406">
        <v>42642</v>
      </c>
      <c r="C5902" s="405" t="s">
        <v>237</v>
      </c>
      <c r="D5902" s="401" t="s">
        <v>12736</v>
      </c>
      <c r="E5902" s="120">
        <v>150</v>
      </c>
      <c r="F5902" s="119" t="s">
        <v>12737</v>
      </c>
      <c r="G5902" s="404" t="s">
        <v>7486</v>
      </c>
      <c r="H5902" s="411">
        <v>125.42</v>
      </c>
      <c r="I5902" s="397">
        <f t="shared" ref="I5902" si="2336">-(H5902*0.15)</f>
        <v>-18.812999999999999</v>
      </c>
      <c r="J5902" s="258">
        <v>0</v>
      </c>
      <c r="K5902" s="90">
        <f t="shared" si="2333"/>
        <v>106.607</v>
      </c>
      <c r="L5902" s="187">
        <v>325</v>
      </c>
      <c r="M5902" s="187">
        <v>11.08</v>
      </c>
      <c r="N5902" s="91">
        <f t="shared" si="2302"/>
        <v>59.83</v>
      </c>
      <c r="O5902" s="411">
        <f t="shared" si="2319"/>
        <v>46.777000000000001</v>
      </c>
      <c r="P5902" s="132" t="s">
        <v>856</v>
      </c>
      <c r="Q5902" s="232"/>
      <c r="R5902" s="411"/>
      <c r="T5902" s="134" t="s">
        <v>145</v>
      </c>
      <c r="U5902" s="267" t="s">
        <v>12738</v>
      </c>
      <c r="AA5902" s="218"/>
    </row>
    <row r="5903" spans="1:27" ht="36" x14ac:dyDescent="0.25">
      <c r="A5903" s="405">
        <v>3004639</v>
      </c>
      <c r="B5903" s="406">
        <v>42642</v>
      </c>
      <c r="C5903" s="405" t="s">
        <v>237</v>
      </c>
      <c r="D5903" s="401" t="s">
        <v>12739</v>
      </c>
      <c r="E5903" s="120">
        <v>82</v>
      </c>
      <c r="F5903" s="119" t="s">
        <v>12740</v>
      </c>
      <c r="G5903" s="404" t="s">
        <v>7486</v>
      </c>
      <c r="H5903" s="411">
        <v>104.78</v>
      </c>
      <c r="I5903" s="397">
        <f t="shared" ref="I5903" si="2337">-(H5903*0.15)</f>
        <v>-15.716999999999999</v>
      </c>
      <c r="J5903" s="258">
        <v>0</v>
      </c>
      <c r="K5903" s="90">
        <f t="shared" si="2333"/>
        <v>89.063000000000002</v>
      </c>
      <c r="L5903" s="187">
        <v>626</v>
      </c>
      <c r="N5903" s="91">
        <f t="shared" si="2302"/>
        <v>51.332000000000001</v>
      </c>
      <c r="O5903" s="411">
        <f t="shared" si="2319"/>
        <v>37.731000000000002</v>
      </c>
      <c r="P5903" s="132" t="s">
        <v>856</v>
      </c>
      <c r="Q5903" s="232"/>
      <c r="R5903" s="411"/>
      <c r="T5903" s="134" t="s">
        <v>145</v>
      </c>
      <c r="U5903" s="267" t="s">
        <v>12741</v>
      </c>
      <c r="AA5903" s="218"/>
    </row>
    <row r="5904" spans="1:27" ht="24" x14ac:dyDescent="0.25">
      <c r="A5904" s="405">
        <v>3004640</v>
      </c>
      <c r="B5904" s="406">
        <v>42642</v>
      </c>
      <c r="C5904" s="405" t="s">
        <v>237</v>
      </c>
      <c r="D5904" s="401" t="s">
        <v>12742</v>
      </c>
      <c r="E5904" s="120">
        <v>30</v>
      </c>
      <c r="F5904" s="133" t="s">
        <v>4407</v>
      </c>
      <c r="G5904" s="404" t="s">
        <v>7486</v>
      </c>
      <c r="H5904" s="411">
        <v>112.7</v>
      </c>
      <c r="I5904" s="397">
        <f t="shared" ref="I5904" si="2338">-(H5904*0.15)</f>
        <v>-16.905000000000001</v>
      </c>
      <c r="J5904" s="258">
        <v>0</v>
      </c>
      <c r="K5904" s="90">
        <f t="shared" si="2333"/>
        <v>95.795000000000002</v>
      </c>
      <c r="L5904" s="187">
        <v>2200</v>
      </c>
      <c r="M5904" s="187">
        <v>14.02</v>
      </c>
      <c r="N5904" s="91">
        <f t="shared" si="2302"/>
        <v>80.02</v>
      </c>
      <c r="O5904" s="411">
        <f t="shared" si="2319"/>
        <v>15.775000000000006</v>
      </c>
      <c r="P5904" s="132" t="s">
        <v>601</v>
      </c>
      <c r="Q5904" s="232"/>
      <c r="R5904" s="411"/>
      <c r="T5904" s="134" t="s">
        <v>145</v>
      </c>
      <c r="U5904" s="267" t="s">
        <v>12743</v>
      </c>
      <c r="AA5904" s="218"/>
    </row>
    <row r="5905" spans="1:27" ht="24" x14ac:dyDescent="0.25">
      <c r="A5905" s="405">
        <v>3004641</v>
      </c>
      <c r="B5905" s="406">
        <v>42642</v>
      </c>
      <c r="C5905" s="405" t="s">
        <v>237</v>
      </c>
      <c r="D5905" s="401" t="s">
        <v>12744</v>
      </c>
      <c r="E5905" s="120">
        <v>50</v>
      </c>
      <c r="F5905" s="119" t="s">
        <v>12745</v>
      </c>
      <c r="G5905" s="404" t="s">
        <v>7486</v>
      </c>
      <c r="H5905" s="411">
        <v>146.19</v>
      </c>
      <c r="I5905" s="397">
        <f t="shared" ref="I5905" si="2339">-(H5905*0.15)</f>
        <v>-21.9285</v>
      </c>
      <c r="J5905" s="258">
        <v>0</v>
      </c>
      <c r="K5905" s="90">
        <f t="shared" si="2333"/>
        <v>124.2615</v>
      </c>
      <c r="L5905" s="187">
        <v>1022</v>
      </c>
      <c r="M5905" s="187">
        <v>17.7</v>
      </c>
      <c r="N5905" s="91">
        <f t="shared" si="2302"/>
        <v>68.8</v>
      </c>
      <c r="O5905" s="411">
        <f t="shared" si="2319"/>
        <v>55.461500000000001</v>
      </c>
      <c r="P5905" s="132" t="s">
        <v>601</v>
      </c>
      <c r="Q5905" s="232"/>
      <c r="R5905" s="411"/>
      <c r="T5905" s="134" t="s">
        <v>145</v>
      </c>
      <c r="U5905" s="267" t="s">
        <v>12746</v>
      </c>
      <c r="AA5905" s="218"/>
    </row>
    <row r="5906" spans="1:27" x14ac:dyDescent="0.25">
      <c r="A5906" s="405">
        <v>3004642</v>
      </c>
      <c r="B5906" s="406">
        <v>42642</v>
      </c>
      <c r="C5906" s="405" t="s">
        <v>56</v>
      </c>
      <c r="D5906" s="401" t="s">
        <v>1750</v>
      </c>
      <c r="E5906" s="120">
        <v>500</v>
      </c>
      <c r="F5906" s="133" t="s">
        <v>12383</v>
      </c>
      <c r="G5906" s="404" t="s">
        <v>7486</v>
      </c>
      <c r="H5906" s="411">
        <v>2750</v>
      </c>
      <c r="I5906" s="411">
        <v>0</v>
      </c>
      <c r="J5906" s="411">
        <v>0</v>
      </c>
      <c r="K5906" s="90">
        <f t="shared" si="2333"/>
        <v>2750</v>
      </c>
      <c r="L5906" s="131">
        <v>3635</v>
      </c>
      <c r="N5906" s="91">
        <f t="shared" si="2302"/>
        <v>1817.5</v>
      </c>
      <c r="O5906" s="411">
        <f t="shared" si="2319"/>
        <v>932.5</v>
      </c>
      <c r="P5906" s="132" t="s">
        <v>1793</v>
      </c>
      <c r="Q5906" s="232"/>
      <c r="R5906" s="411">
        <v>54.4</v>
      </c>
      <c r="S5906" s="133" t="s">
        <v>12747</v>
      </c>
      <c r="T5906" s="134" t="s">
        <v>12663</v>
      </c>
      <c r="U5906" s="266" t="s">
        <v>12663</v>
      </c>
      <c r="V5906" s="119" t="s">
        <v>12147</v>
      </c>
      <c r="W5906" s="153" t="s">
        <v>12664</v>
      </c>
      <c r="AA5906" s="218"/>
    </row>
    <row r="5907" spans="1:27" ht="24" x14ac:dyDescent="0.25">
      <c r="A5907" s="405">
        <v>3004643</v>
      </c>
      <c r="B5907" s="406">
        <v>42642</v>
      </c>
      <c r="C5907" s="405" t="s">
        <v>141</v>
      </c>
      <c r="D5907" s="401" t="s">
        <v>11511</v>
      </c>
      <c r="E5907" s="120">
        <v>250</v>
      </c>
      <c r="F5907" s="133" t="s">
        <v>70</v>
      </c>
      <c r="G5907" s="404" t="s">
        <v>45</v>
      </c>
      <c r="H5907" s="411">
        <v>780</v>
      </c>
      <c r="I5907" s="399">
        <v>0</v>
      </c>
      <c r="J5907" s="396">
        <f>-((H5907*0.0325)+0.3)</f>
        <v>-25.650000000000002</v>
      </c>
      <c r="K5907" s="396">
        <f t="shared" si="2333"/>
        <v>754.35</v>
      </c>
      <c r="L5907" s="187">
        <v>1775</v>
      </c>
      <c r="M5907" s="224">
        <f>145.79+90</f>
        <v>235.79</v>
      </c>
      <c r="N5907" s="91">
        <f t="shared" si="2302"/>
        <v>679.54</v>
      </c>
      <c r="O5907" s="411">
        <f t="shared" si="2319"/>
        <v>74.810000000000059</v>
      </c>
      <c r="P5907" s="132" t="s">
        <v>183</v>
      </c>
      <c r="Q5907" s="232"/>
      <c r="R5907" s="411"/>
      <c r="T5907" s="134" t="s">
        <v>12748</v>
      </c>
      <c r="U5907" s="267" t="s">
        <v>12749</v>
      </c>
      <c r="W5907" s="153" t="s">
        <v>12750</v>
      </c>
      <c r="AA5907" s="218"/>
    </row>
    <row r="5908" spans="1:27" ht="24" x14ac:dyDescent="0.25">
      <c r="A5908" s="405">
        <v>3004644</v>
      </c>
      <c r="B5908" s="406">
        <v>42642</v>
      </c>
      <c r="C5908" s="405" t="s">
        <v>42</v>
      </c>
      <c r="D5908" s="401" t="s">
        <v>12751</v>
      </c>
      <c r="E5908" s="120">
        <v>200</v>
      </c>
      <c r="F5908" s="133" t="s">
        <v>161</v>
      </c>
      <c r="G5908" s="404" t="s">
        <v>7486</v>
      </c>
      <c r="H5908" s="411">
        <v>537.02</v>
      </c>
      <c r="I5908" s="89">
        <f>-(H5908*0.09)</f>
        <v>-48.331799999999994</v>
      </c>
      <c r="J5908" s="258">
        <f t="shared" ref="J5908" si="2340">-((H5908*0.019)+0.3)</f>
        <v>-10.50338</v>
      </c>
      <c r="K5908" s="90">
        <f t="shared" ref="K5908" si="2341">SUM(H5908:J5908)</f>
        <v>478.18482</v>
      </c>
      <c r="L5908" s="131">
        <v>1322</v>
      </c>
      <c r="M5908" s="187">
        <v>52.74</v>
      </c>
      <c r="N5908" s="91">
        <f t="shared" si="2302"/>
        <v>317.14000000000004</v>
      </c>
      <c r="O5908" s="411">
        <f t="shared" si="2319"/>
        <v>161.04481999999996</v>
      </c>
      <c r="P5908" s="132" t="s">
        <v>52</v>
      </c>
      <c r="Q5908" s="232"/>
      <c r="R5908" s="411"/>
      <c r="T5908" s="134" t="s">
        <v>145</v>
      </c>
      <c r="U5908" s="267" t="s">
        <v>12752</v>
      </c>
      <c r="AA5908" s="218"/>
    </row>
    <row r="5909" spans="1:27" x14ac:dyDescent="0.25">
      <c r="A5909" s="405">
        <v>3004645</v>
      </c>
      <c r="B5909" s="406">
        <v>42642</v>
      </c>
      <c r="C5909" s="405" t="s">
        <v>141</v>
      </c>
      <c r="D5909" s="401" t="s">
        <v>12298</v>
      </c>
      <c r="E5909" s="120">
        <v>500</v>
      </c>
      <c r="F5909" s="133" t="s">
        <v>12753</v>
      </c>
      <c r="G5909" s="404" t="s">
        <v>7486</v>
      </c>
      <c r="H5909" s="411">
        <v>1417.5</v>
      </c>
      <c r="I5909" s="399">
        <v>0</v>
      </c>
      <c r="J5909" s="396">
        <f>-((H5909*0.0325)+0.3)</f>
        <v>-46.368749999999999</v>
      </c>
      <c r="K5909" s="396">
        <f>SUM(H5909:J5909)</f>
        <v>1371.1312499999999</v>
      </c>
      <c r="L5909" s="187">
        <v>2050</v>
      </c>
      <c r="M5909" s="187">
        <v>125</v>
      </c>
      <c r="N5909" s="91">
        <f t="shared" si="2302"/>
        <v>1150</v>
      </c>
      <c r="O5909" s="411">
        <f t="shared" si="2319"/>
        <v>221.13124999999991</v>
      </c>
      <c r="P5909" s="132" t="s">
        <v>183</v>
      </c>
      <c r="Q5909" s="232"/>
      <c r="R5909" s="411"/>
      <c r="T5909" s="134" t="s">
        <v>717</v>
      </c>
      <c r="U5909" s="267" t="s">
        <v>12754</v>
      </c>
      <c r="W5909" s="153" t="s">
        <v>12302</v>
      </c>
      <c r="AA5909" s="218">
        <v>10</v>
      </c>
    </row>
    <row r="5910" spans="1:27" ht="24" x14ac:dyDescent="0.25">
      <c r="A5910" s="405">
        <v>3004646</v>
      </c>
      <c r="B5910" s="406">
        <v>42642</v>
      </c>
      <c r="C5910" s="405" t="s">
        <v>42</v>
      </c>
      <c r="D5910" s="401" t="s">
        <v>12755</v>
      </c>
      <c r="E5910" s="120">
        <v>50</v>
      </c>
      <c r="F5910" s="133" t="s">
        <v>300</v>
      </c>
      <c r="G5910" s="404" t="s">
        <v>7486</v>
      </c>
      <c r="H5910" s="411">
        <v>213.77</v>
      </c>
      <c r="I5910" s="89">
        <f>-(H5910*0.09)</f>
        <v>-19.2393</v>
      </c>
      <c r="J5910" s="258">
        <f t="shared" ref="J5910" si="2342">-((H5910*0.019)+0.3)</f>
        <v>-4.3616299999999999</v>
      </c>
      <c r="K5910" s="90">
        <f t="shared" ref="K5910" si="2343">SUM(H5910:J5910)</f>
        <v>190.16907000000003</v>
      </c>
      <c r="L5910" s="131">
        <v>2150</v>
      </c>
      <c r="M5910" s="187">
        <v>14.21</v>
      </c>
      <c r="N5910" s="91">
        <f t="shared" si="2302"/>
        <v>121.71000000000001</v>
      </c>
      <c r="O5910" s="411">
        <f t="shared" si="2319"/>
        <v>68.459070000000025</v>
      </c>
      <c r="P5910" s="132" t="s">
        <v>52</v>
      </c>
      <c r="Q5910" s="232"/>
      <c r="R5910" s="411"/>
      <c r="T5910" s="134" t="s">
        <v>145</v>
      </c>
      <c r="U5910" s="267" t="s">
        <v>12756</v>
      </c>
      <c r="AA5910" s="218"/>
    </row>
    <row r="5911" spans="1:27" ht="24" x14ac:dyDescent="0.25">
      <c r="A5911" s="405">
        <v>3004647</v>
      </c>
      <c r="B5911" s="406">
        <v>42642</v>
      </c>
      <c r="C5911" s="405" t="s">
        <v>42</v>
      </c>
      <c r="D5911" s="401" t="s">
        <v>12757</v>
      </c>
      <c r="E5911" s="120">
        <v>125</v>
      </c>
      <c r="F5911" s="133" t="s">
        <v>422</v>
      </c>
      <c r="G5911" s="404" t="s">
        <v>7486</v>
      </c>
      <c r="H5911" s="411">
        <v>211.56</v>
      </c>
      <c r="I5911" s="89">
        <f>-(H5911*0.09)</f>
        <v>-19.040399999999998</v>
      </c>
      <c r="J5911" s="258">
        <f t="shared" ref="J5911" si="2344">-((H5911*0.019)+0.3)</f>
        <v>-4.3196399999999997</v>
      </c>
      <c r="K5911" s="90">
        <f t="shared" ref="K5911" si="2345">SUM(H5911:J5911)</f>
        <v>188.19996</v>
      </c>
      <c r="L5911" s="187">
        <v>900</v>
      </c>
      <c r="M5911" s="187">
        <v>43.39</v>
      </c>
      <c r="N5911" s="91">
        <f t="shared" ref="N5911:N5926" si="2346">((L5911)*(E5911*0.001))+M5911</f>
        <v>155.88999999999999</v>
      </c>
      <c r="O5911" s="411">
        <f t="shared" si="2319"/>
        <v>32.309960000000018</v>
      </c>
      <c r="P5911" s="132" t="s">
        <v>183</v>
      </c>
      <c r="Q5911" s="232"/>
      <c r="R5911" s="411"/>
      <c r="T5911" s="134" t="s">
        <v>145</v>
      </c>
      <c r="U5911" s="267" t="s">
        <v>12758</v>
      </c>
      <c r="AA5911" s="218"/>
    </row>
    <row r="5912" spans="1:27" ht="24" x14ac:dyDescent="0.25">
      <c r="A5912" s="405">
        <v>3004648</v>
      </c>
      <c r="B5912" s="406">
        <v>42642</v>
      </c>
      <c r="C5912" s="405" t="s">
        <v>237</v>
      </c>
      <c r="D5912" s="401" t="s">
        <v>12759</v>
      </c>
      <c r="E5912" s="120">
        <v>125</v>
      </c>
      <c r="F5912" s="133" t="s">
        <v>4066</v>
      </c>
      <c r="G5912" s="404" t="s">
        <v>7486</v>
      </c>
      <c r="H5912" s="411">
        <v>186.06</v>
      </c>
      <c r="I5912" s="397">
        <f t="shared" ref="I5912" si="2347">-(H5912*0.15)</f>
        <v>-27.908999999999999</v>
      </c>
      <c r="J5912" s="258">
        <v>0</v>
      </c>
      <c r="K5912" s="90">
        <f>SUM(H5912:J5912)</f>
        <v>158.15100000000001</v>
      </c>
      <c r="L5912" s="131">
        <v>680</v>
      </c>
      <c r="M5912" s="187">
        <v>31.78</v>
      </c>
      <c r="N5912" s="91">
        <f t="shared" si="2346"/>
        <v>116.78</v>
      </c>
      <c r="O5912" s="411">
        <f t="shared" si="2319"/>
        <v>41.371000000000009</v>
      </c>
      <c r="P5912" s="132" t="s">
        <v>52</v>
      </c>
      <c r="Q5912" s="232"/>
      <c r="R5912" s="411"/>
      <c r="T5912" s="134" t="s">
        <v>145</v>
      </c>
      <c r="U5912" s="267" t="s">
        <v>12760</v>
      </c>
      <c r="AA5912" s="218"/>
    </row>
    <row r="5913" spans="1:27" x14ac:dyDescent="0.25">
      <c r="A5913" s="419">
        <v>3004649</v>
      </c>
      <c r="B5913" s="421">
        <v>42642</v>
      </c>
      <c r="C5913" s="419" t="s">
        <v>63</v>
      </c>
      <c r="D5913" s="417" t="s">
        <v>8100</v>
      </c>
      <c r="E5913" s="120">
        <v>10000</v>
      </c>
      <c r="F5913" s="133" t="s">
        <v>12761</v>
      </c>
      <c r="G5913" s="434" t="s">
        <v>7486</v>
      </c>
      <c r="H5913" s="427">
        <v>4440</v>
      </c>
      <c r="I5913" s="427">
        <v>0</v>
      </c>
      <c r="J5913" s="425">
        <f>-((H5913*0.022)+0.3)</f>
        <v>-97.97999999999999</v>
      </c>
      <c r="K5913" s="425">
        <f>SUM(H5913:J5913)</f>
        <v>4342.0200000000004</v>
      </c>
      <c r="L5913" s="187">
        <v>227.25</v>
      </c>
      <c r="M5913" s="131">
        <v>0</v>
      </c>
      <c r="N5913" s="91">
        <f t="shared" si="2346"/>
        <v>2272.5</v>
      </c>
      <c r="O5913" s="411">
        <f t="shared" si="2319"/>
        <v>2069.5200000000004</v>
      </c>
      <c r="P5913" s="132" t="s">
        <v>46</v>
      </c>
      <c r="Q5913" s="232"/>
      <c r="R5913" s="411"/>
      <c r="T5913" s="439" t="s">
        <v>1346</v>
      </c>
      <c r="U5913" s="446" t="s">
        <v>12762</v>
      </c>
      <c r="W5913" s="153" t="s">
        <v>12763</v>
      </c>
      <c r="AA5913" s="473">
        <v>10</v>
      </c>
    </row>
    <row r="5914" spans="1:27" x14ac:dyDescent="0.25">
      <c r="A5914" s="420"/>
      <c r="B5914" s="422"/>
      <c r="C5914" s="420"/>
      <c r="D5914" s="418"/>
      <c r="E5914" s="120">
        <v>3000</v>
      </c>
      <c r="F5914" s="133" t="s">
        <v>12764</v>
      </c>
      <c r="G5914" s="436"/>
      <c r="H5914" s="428"/>
      <c r="I5914" s="428"/>
      <c r="J5914" s="426"/>
      <c r="K5914" s="426"/>
      <c r="L5914" s="187">
        <v>302.20999999999998</v>
      </c>
      <c r="N5914" s="91">
        <f t="shared" si="2346"/>
        <v>906.62999999999988</v>
      </c>
      <c r="O5914" s="411">
        <f t="shared" si="2319"/>
        <v>-906.62999999999988</v>
      </c>
      <c r="P5914" s="132" t="s">
        <v>46</v>
      </c>
      <c r="Q5914" s="232"/>
      <c r="R5914" s="411"/>
      <c r="T5914" s="441"/>
      <c r="U5914" s="447"/>
      <c r="AA5914" s="474"/>
    </row>
    <row r="5915" spans="1:27" x14ac:dyDescent="0.25">
      <c r="A5915" s="405">
        <v>3004650</v>
      </c>
      <c r="B5915" s="406">
        <v>42642</v>
      </c>
      <c r="C5915" s="405" t="s">
        <v>63</v>
      </c>
      <c r="D5915" s="401" t="s">
        <v>12765</v>
      </c>
      <c r="E5915" s="120">
        <v>50</v>
      </c>
      <c r="F5915" s="133" t="s">
        <v>12766</v>
      </c>
      <c r="G5915" s="404" t="s">
        <v>7486</v>
      </c>
      <c r="H5915" s="411">
        <v>150</v>
      </c>
      <c r="I5915" s="399">
        <v>0</v>
      </c>
      <c r="J5915" s="396">
        <f>-((H5915*0.022)+0.3)</f>
        <v>-3.5999999999999996</v>
      </c>
      <c r="K5915" s="396">
        <f>SUM(H5915:J5915)</f>
        <v>146.4</v>
      </c>
      <c r="L5915" s="187">
        <v>700</v>
      </c>
      <c r="M5915" s="131">
        <v>0</v>
      </c>
      <c r="N5915" s="91">
        <f t="shared" si="2346"/>
        <v>35</v>
      </c>
      <c r="O5915" s="411">
        <f t="shared" si="2319"/>
        <v>111.4</v>
      </c>
      <c r="P5915" s="132" t="s">
        <v>235</v>
      </c>
      <c r="Q5915" s="232"/>
      <c r="R5915" s="411"/>
      <c r="T5915" s="134" t="s">
        <v>12767</v>
      </c>
      <c r="U5915" s="267" t="s">
        <v>12768</v>
      </c>
      <c r="W5915" s="153" t="s">
        <v>12769</v>
      </c>
      <c r="AA5915" s="218"/>
    </row>
    <row r="5916" spans="1:27" ht="24" x14ac:dyDescent="0.25">
      <c r="A5916" s="419">
        <v>3004651</v>
      </c>
      <c r="B5916" s="421">
        <v>42643</v>
      </c>
      <c r="C5916" s="419" t="s">
        <v>63</v>
      </c>
      <c r="D5916" s="417" t="s">
        <v>12770</v>
      </c>
      <c r="E5916" s="120">
        <v>250</v>
      </c>
      <c r="F5916" s="133" t="s">
        <v>247</v>
      </c>
      <c r="G5916" s="434" t="s">
        <v>7486</v>
      </c>
      <c r="H5916" s="427">
        <v>527.78</v>
      </c>
      <c r="I5916" s="427">
        <v>0</v>
      </c>
      <c r="J5916" s="425">
        <f>-((H5916*0.022)+0.3)</f>
        <v>-11.911159999999999</v>
      </c>
      <c r="K5916" s="425">
        <f>SUM(H5916:J5916)</f>
        <v>515.86883999999998</v>
      </c>
      <c r="L5916" s="187">
        <v>584</v>
      </c>
      <c r="M5916" s="187">
        <v>37.950000000000003</v>
      </c>
      <c r="N5916" s="91">
        <f t="shared" si="2346"/>
        <v>183.95</v>
      </c>
      <c r="O5916" s="411">
        <f t="shared" si="2319"/>
        <v>331.91883999999999</v>
      </c>
      <c r="P5916" s="132" t="s">
        <v>3597</v>
      </c>
      <c r="Q5916" s="232"/>
      <c r="R5916" s="411"/>
      <c r="T5916" s="134" t="s">
        <v>145</v>
      </c>
      <c r="U5916" s="267" t="s">
        <v>12771</v>
      </c>
      <c r="W5916" s="153" t="s">
        <v>12772</v>
      </c>
      <c r="AA5916" s="218"/>
    </row>
    <row r="5917" spans="1:27" ht="24" x14ac:dyDescent="0.25">
      <c r="A5917" s="420"/>
      <c r="B5917" s="422"/>
      <c r="C5917" s="420"/>
      <c r="D5917" s="418"/>
      <c r="E5917" s="120">
        <v>200</v>
      </c>
      <c r="F5917" s="133" t="s">
        <v>590</v>
      </c>
      <c r="G5917" s="436"/>
      <c r="H5917" s="428"/>
      <c r="I5917" s="428"/>
      <c r="J5917" s="426"/>
      <c r="K5917" s="426"/>
      <c r="L5917" s="131">
        <v>570</v>
      </c>
      <c r="M5917" s="187">
        <v>33.07</v>
      </c>
      <c r="N5917" s="91">
        <f t="shared" si="2346"/>
        <v>147.07</v>
      </c>
      <c r="O5917" s="411">
        <f t="shared" si="2319"/>
        <v>-147.07</v>
      </c>
      <c r="P5917" s="132" t="s">
        <v>52</v>
      </c>
      <c r="Q5917" s="232"/>
      <c r="R5917" s="411"/>
      <c r="T5917" s="134" t="s">
        <v>145</v>
      </c>
      <c r="U5917" s="267" t="s">
        <v>12773</v>
      </c>
      <c r="V5917" s="133" t="s">
        <v>12774</v>
      </c>
      <c r="AA5917" s="218"/>
    </row>
    <row r="5918" spans="1:27" ht="24" x14ac:dyDescent="0.25">
      <c r="A5918" s="405">
        <v>3004652</v>
      </c>
      <c r="B5918" s="406">
        <v>42643</v>
      </c>
      <c r="C5918" s="405" t="s">
        <v>141</v>
      </c>
      <c r="D5918" s="401" t="s">
        <v>12775</v>
      </c>
      <c r="E5918" s="120">
        <v>500</v>
      </c>
      <c r="F5918" s="133" t="s">
        <v>12776</v>
      </c>
      <c r="G5918" s="404" t="s">
        <v>45</v>
      </c>
      <c r="H5918" s="411">
        <v>235</v>
      </c>
      <c r="I5918" s="399">
        <v>0</v>
      </c>
      <c r="J5918" s="396">
        <f>-((H5918*0.0325)+0.3)</f>
        <v>-7.9375</v>
      </c>
      <c r="K5918" s="396">
        <f>SUM(H5918:J5918)</f>
        <v>227.0625</v>
      </c>
      <c r="L5918" s="187">
        <v>240</v>
      </c>
      <c r="M5918" s="187">
        <v>18.66</v>
      </c>
      <c r="N5918" s="91">
        <f t="shared" si="2346"/>
        <v>138.66</v>
      </c>
      <c r="O5918" s="411">
        <f t="shared" si="2319"/>
        <v>88.402500000000003</v>
      </c>
      <c r="P5918" s="132" t="s">
        <v>183</v>
      </c>
      <c r="Q5918" s="232"/>
      <c r="R5918" s="411"/>
      <c r="T5918" s="134" t="s">
        <v>145</v>
      </c>
      <c r="U5918" s="267" t="s">
        <v>12777</v>
      </c>
      <c r="W5918" s="153" t="s">
        <v>9104</v>
      </c>
      <c r="AA5918" s="218"/>
    </row>
    <row r="5919" spans="1:27" ht="24" x14ac:dyDescent="0.25">
      <c r="A5919" s="405">
        <v>3004653</v>
      </c>
      <c r="B5919" s="406">
        <v>42643</v>
      </c>
      <c r="C5919" s="405" t="s">
        <v>42</v>
      </c>
      <c r="D5919" s="401" t="s">
        <v>12778</v>
      </c>
      <c r="E5919" s="120">
        <v>250</v>
      </c>
      <c r="F5919" s="133" t="s">
        <v>292</v>
      </c>
      <c r="G5919" s="404" t="s">
        <v>7486</v>
      </c>
      <c r="H5919" s="411">
        <v>183.4</v>
      </c>
      <c r="I5919" s="89">
        <f t="shared" ref="I5919:I5925" si="2348">-(H5919*0.09)</f>
        <v>-16.506</v>
      </c>
      <c r="J5919" s="258">
        <f t="shared" ref="J5919" si="2349">-((H5919*0.019)+0.3)</f>
        <v>-3.7845999999999997</v>
      </c>
      <c r="K5919" s="90">
        <f t="shared" ref="K5919" si="2350">SUM(H5919:J5919)</f>
        <v>163.10939999999999</v>
      </c>
      <c r="L5919" s="131">
        <v>240</v>
      </c>
      <c r="M5919" s="187">
        <v>38.1</v>
      </c>
      <c r="N5919" s="91">
        <f t="shared" si="2346"/>
        <v>98.1</v>
      </c>
      <c r="O5919" s="411">
        <f t="shared" si="2319"/>
        <v>65.009399999999999</v>
      </c>
      <c r="P5919" s="132" t="s">
        <v>52</v>
      </c>
      <c r="Q5919" s="232"/>
      <c r="R5919" s="411"/>
      <c r="T5919" s="134" t="s">
        <v>145</v>
      </c>
      <c r="U5919" s="267" t="s">
        <v>12779</v>
      </c>
      <c r="AA5919" s="218"/>
    </row>
    <row r="5920" spans="1:27" ht="24" x14ac:dyDescent="0.25">
      <c r="A5920" s="405">
        <v>3004654</v>
      </c>
      <c r="B5920" s="406">
        <v>42643</v>
      </c>
      <c r="C5920" s="405" t="s">
        <v>42</v>
      </c>
      <c r="D5920" s="401" t="s">
        <v>12780</v>
      </c>
      <c r="E5920" s="120">
        <v>100</v>
      </c>
      <c r="F5920" s="133" t="s">
        <v>431</v>
      </c>
      <c r="G5920" s="404" t="s">
        <v>7486</v>
      </c>
      <c r="H5920" s="411">
        <v>227.48</v>
      </c>
      <c r="I5920" s="89">
        <f t="shared" si="2348"/>
        <v>-20.473199999999999</v>
      </c>
      <c r="J5920" s="258">
        <f t="shared" ref="J5920" si="2351">-((H5920*0.019)+0.3)</f>
        <v>-4.6221199999999998</v>
      </c>
      <c r="K5920" s="90">
        <f t="shared" ref="K5920" si="2352">SUM(H5920:J5920)</f>
        <v>202.38468</v>
      </c>
      <c r="L5920" s="131">
        <v>990</v>
      </c>
      <c r="M5920" s="187">
        <v>50.14</v>
      </c>
      <c r="N5920" s="91">
        <f t="shared" si="2346"/>
        <v>149.13999999999999</v>
      </c>
      <c r="O5920" s="411">
        <f t="shared" si="2319"/>
        <v>53.244680000000017</v>
      </c>
      <c r="P5920" s="132" t="s">
        <v>52</v>
      </c>
      <c r="Q5920" s="232"/>
      <c r="R5920" s="411"/>
      <c r="T5920" s="134" t="s">
        <v>145</v>
      </c>
      <c r="U5920" s="267" t="s">
        <v>12781</v>
      </c>
      <c r="AA5920" s="218"/>
    </row>
    <row r="5921" spans="1:27" ht="24" x14ac:dyDescent="0.25">
      <c r="A5921" s="405">
        <v>3004655</v>
      </c>
      <c r="B5921" s="406">
        <v>42643</v>
      </c>
      <c r="C5921" s="405" t="s">
        <v>42</v>
      </c>
      <c r="D5921" s="401" t="s">
        <v>12782</v>
      </c>
      <c r="E5921" s="120">
        <v>175</v>
      </c>
      <c r="F5921" s="133" t="s">
        <v>877</v>
      </c>
      <c r="G5921" s="404" t="s">
        <v>7486</v>
      </c>
      <c r="H5921" s="411">
        <v>141.25</v>
      </c>
      <c r="I5921" s="89">
        <f t="shared" si="2348"/>
        <v>-12.7125</v>
      </c>
      <c r="J5921" s="258">
        <f t="shared" ref="J5921" si="2353">-((H5921*0.019)+0.3)</f>
        <v>-2.9837499999999997</v>
      </c>
      <c r="K5921" s="90">
        <f t="shared" ref="K5921" si="2354">SUM(H5921:J5921)</f>
        <v>125.55374999999999</v>
      </c>
      <c r="L5921" s="131">
        <v>235</v>
      </c>
      <c r="M5921" s="187">
        <v>29.19</v>
      </c>
      <c r="N5921" s="91">
        <f t="shared" si="2346"/>
        <v>70.315000000000012</v>
      </c>
      <c r="O5921" s="411">
        <f t="shared" si="2319"/>
        <v>55.238749999999982</v>
      </c>
      <c r="P5921" s="132" t="s">
        <v>52</v>
      </c>
      <c r="Q5921" s="232"/>
      <c r="R5921" s="411"/>
      <c r="T5921" s="134" t="s">
        <v>145</v>
      </c>
      <c r="U5921" s="267" t="s">
        <v>12783</v>
      </c>
      <c r="AA5921" s="218"/>
    </row>
    <row r="5922" spans="1:27" ht="24" x14ac:dyDescent="0.25">
      <c r="A5922" s="405">
        <v>3004656</v>
      </c>
      <c r="B5922" s="406">
        <v>42643</v>
      </c>
      <c r="C5922" s="405" t="s">
        <v>42</v>
      </c>
      <c r="D5922" s="401" t="s">
        <v>12784</v>
      </c>
      <c r="E5922" s="120">
        <v>450</v>
      </c>
      <c r="F5922" s="133" t="s">
        <v>829</v>
      </c>
      <c r="G5922" s="404" t="s">
        <v>7486</v>
      </c>
      <c r="H5922" s="411">
        <v>445.26</v>
      </c>
      <c r="I5922" s="89">
        <f t="shared" si="2348"/>
        <v>-40.073399999999999</v>
      </c>
      <c r="J5922" s="258">
        <f t="shared" ref="J5922" si="2355">-((H5922*0.019)+0.3)</f>
        <v>-8.7599400000000003</v>
      </c>
      <c r="K5922" s="90">
        <f t="shared" ref="K5922" si="2356">SUM(H5922:J5922)</f>
        <v>396.42665999999997</v>
      </c>
      <c r="L5922" s="131">
        <v>510</v>
      </c>
      <c r="M5922" s="187">
        <v>50.37</v>
      </c>
      <c r="N5922" s="91">
        <f t="shared" si="2346"/>
        <v>279.87</v>
      </c>
      <c r="O5922" s="411">
        <f t="shared" si="2319"/>
        <v>116.55665999999997</v>
      </c>
      <c r="P5922" s="132" t="s">
        <v>52</v>
      </c>
      <c r="Q5922" s="232"/>
      <c r="R5922" s="411"/>
      <c r="T5922" s="134" t="s">
        <v>145</v>
      </c>
      <c r="U5922" s="267" t="s">
        <v>12785</v>
      </c>
      <c r="AA5922" s="218"/>
    </row>
    <row r="5923" spans="1:27" ht="24" x14ac:dyDescent="0.25">
      <c r="A5923" s="405">
        <v>3004657</v>
      </c>
      <c r="B5923" s="406">
        <v>42643</v>
      </c>
      <c r="C5923" s="405" t="s">
        <v>42</v>
      </c>
      <c r="D5923" s="401" t="s">
        <v>12786</v>
      </c>
      <c r="E5923" s="120">
        <v>150</v>
      </c>
      <c r="F5923" s="133" t="s">
        <v>161</v>
      </c>
      <c r="G5923" s="404" t="s">
        <v>7486</v>
      </c>
      <c r="H5923" s="411">
        <v>341.55</v>
      </c>
      <c r="I5923" s="89">
        <f t="shared" si="2348"/>
        <v>-30.7395</v>
      </c>
      <c r="J5923" s="258">
        <f t="shared" ref="J5923" si="2357">-((H5923*0.019)+0.3)</f>
        <v>-6.7894499999999995</v>
      </c>
      <c r="K5923" s="90">
        <f t="shared" ref="K5923" si="2358">SUM(H5923:J5923)</f>
        <v>304.02105</v>
      </c>
      <c r="L5923" s="131">
        <v>1322</v>
      </c>
      <c r="M5923" s="187">
        <v>56.37</v>
      </c>
      <c r="N5923" s="91">
        <f t="shared" si="2346"/>
        <v>254.67</v>
      </c>
      <c r="O5923" s="411">
        <f t="shared" si="2319"/>
        <v>49.351050000000015</v>
      </c>
      <c r="P5923" s="132" t="s">
        <v>52</v>
      </c>
      <c r="Q5923" s="232"/>
      <c r="R5923" s="411"/>
      <c r="T5923" s="134" t="s">
        <v>145</v>
      </c>
      <c r="U5923" s="267" t="s">
        <v>12787</v>
      </c>
      <c r="AA5923" s="218"/>
    </row>
    <row r="5924" spans="1:27" ht="24" x14ac:dyDescent="0.25">
      <c r="A5924" s="405">
        <v>3004658</v>
      </c>
      <c r="B5924" s="406">
        <v>42643</v>
      </c>
      <c r="C5924" s="405" t="s">
        <v>42</v>
      </c>
      <c r="D5924" s="401" t="s">
        <v>12788</v>
      </c>
      <c r="E5924" s="120">
        <v>150</v>
      </c>
      <c r="F5924" s="133" t="s">
        <v>1547</v>
      </c>
      <c r="G5924" s="404" t="s">
        <v>7486</v>
      </c>
      <c r="H5924" s="411">
        <v>168.74</v>
      </c>
      <c r="I5924" s="89">
        <f t="shared" si="2348"/>
        <v>-15.1866</v>
      </c>
      <c r="J5924" s="258">
        <f t="shared" ref="J5924" si="2359">-((H5924*0.019)+0.3)</f>
        <v>-3.5060599999999997</v>
      </c>
      <c r="K5924" s="90">
        <f t="shared" ref="K5924" si="2360">SUM(H5924:J5924)</f>
        <v>150.04734000000002</v>
      </c>
      <c r="L5924" s="187">
        <v>514</v>
      </c>
      <c r="M5924" s="187">
        <v>28.16</v>
      </c>
      <c r="N5924" s="91">
        <f t="shared" si="2346"/>
        <v>105.25999999999999</v>
      </c>
      <c r="O5924" s="411">
        <f t="shared" si="2319"/>
        <v>44.787340000000029</v>
      </c>
      <c r="P5924" s="132" t="s">
        <v>3597</v>
      </c>
      <c r="Q5924" s="232"/>
      <c r="R5924" s="411">
        <v>12.5</v>
      </c>
      <c r="S5924" s="133" t="s">
        <v>4753</v>
      </c>
      <c r="T5924" s="134" t="s">
        <v>145</v>
      </c>
      <c r="U5924" s="267" t="s">
        <v>12789</v>
      </c>
      <c r="AA5924" s="218"/>
    </row>
    <row r="5925" spans="1:27" ht="24" x14ac:dyDescent="0.25">
      <c r="A5925" s="405">
        <v>3004659</v>
      </c>
      <c r="B5925" s="406">
        <v>42643</v>
      </c>
      <c r="C5925" s="405" t="s">
        <v>42</v>
      </c>
      <c r="D5925" s="401" t="s">
        <v>12790</v>
      </c>
      <c r="E5925" s="120">
        <v>100</v>
      </c>
      <c r="F5925" s="133" t="s">
        <v>247</v>
      </c>
      <c r="G5925" s="404" t="s">
        <v>7486</v>
      </c>
      <c r="H5925" s="411">
        <v>123.94</v>
      </c>
      <c r="I5925" s="89">
        <f t="shared" si="2348"/>
        <v>-11.154599999999999</v>
      </c>
      <c r="J5925" s="258">
        <f t="shared" ref="J5925" si="2361">-((H5925*0.019)+0.3)</f>
        <v>-2.6548599999999998</v>
      </c>
      <c r="K5925" s="90">
        <f t="shared" ref="K5925" si="2362">SUM(H5925:J5925)</f>
        <v>110.13054</v>
      </c>
      <c r="L5925" s="187">
        <v>584</v>
      </c>
      <c r="M5925" s="187">
        <v>32.549999999999997</v>
      </c>
      <c r="N5925" s="91">
        <f t="shared" si="2346"/>
        <v>90.95</v>
      </c>
      <c r="O5925" s="411">
        <f t="shared" si="2319"/>
        <v>19.180539999999993</v>
      </c>
      <c r="P5925" s="132" t="s">
        <v>3597</v>
      </c>
      <c r="Q5925" s="232"/>
      <c r="R5925" s="411"/>
      <c r="T5925" s="134" t="s">
        <v>145</v>
      </c>
      <c r="U5925" s="267" t="s">
        <v>12791</v>
      </c>
      <c r="AA5925" s="218"/>
    </row>
    <row r="5926" spans="1:27" ht="24" x14ac:dyDescent="0.25">
      <c r="A5926" s="405">
        <v>3004660</v>
      </c>
      <c r="B5926" s="406">
        <v>42643</v>
      </c>
      <c r="C5926" s="405" t="s">
        <v>237</v>
      </c>
      <c r="D5926" s="401" t="s">
        <v>12792</v>
      </c>
      <c r="E5926" s="120">
        <v>50</v>
      </c>
      <c r="F5926" s="133" t="s">
        <v>288</v>
      </c>
      <c r="G5926" s="404" t="s">
        <v>45</v>
      </c>
      <c r="H5926" s="411">
        <v>113.43</v>
      </c>
      <c r="I5926" s="397">
        <f t="shared" ref="I5926" si="2363">-(H5926*0.15)</f>
        <v>-17.014500000000002</v>
      </c>
      <c r="J5926" s="258">
        <v>0</v>
      </c>
      <c r="K5926" s="90">
        <f>SUM(H5926:J5926)</f>
        <v>96.415500000000009</v>
      </c>
      <c r="L5926" s="131">
        <v>950</v>
      </c>
      <c r="M5926" s="187">
        <v>23.31</v>
      </c>
      <c r="N5926" s="91">
        <f t="shared" si="2346"/>
        <v>70.81</v>
      </c>
      <c r="O5926" s="411">
        <f t="shared" si="2319"/>
        <v>25.605500000000006</v>
      </c>
      <c r="P5926" s="132" t="s">
        <v>52</v>
      </c>
      <c r="Q5926" s="232"/>
      <c r="R5926" s="411"/>
      <c r="T5926" s="134" t="s">
        <v>145</v>
      </c>
      <c r="U5926" s="267" t="s">
        <v>12793</v>
      </c>
      <c r="AA5926" s="218"/>
    </row>
    <row r="5927" spans="1:27" ht="24" x14ac:dyDescent="0.25">
      <c r="A5927" s="405">
        <v>3004661</v>
      </c>
      <c r="B5927" s="406">
        <v>42643</v>
      </c>
      <c r="C5927" s="405" t="s">
        <v>237</v>
      </c>
      <c r="D5927" s="401" t="s">
        <v>12794</v>
      </c>
      <c r="E5927" s="120">
        <v>100</v>
      </c>
      <c r="F5927" s="133" t="s">
        <v>161</v>
      </c>
      <c r="G5927" s="404" t="s">
        <v>45</v>
      </c>
      <c r="H5927" s="411">
        <v>222.75</v>
      </c>
      <c r="I5927" s="397">
        <f t="shared" ref="I5927" si="2364">-(H5927*0.15)</f>
        <v>-33.412500000000001</v>
      </c>
      <c r="J5927" s="258">
        <v>0</v>
      </c>
      <c r="K5927" s="90">
        <f>SUM(H5927:J5927)</f>
        <v>189.33750000000001</v>
      </c>
      <c r="L5927" s="131">
        <v>1322</v>
      </c>
      <c r="M5927" s="187">
        <v>45.04</v>
      </c>
      <c r="N5927" s="91">
        <f t="shared" ref="N5927:N5978" si="2365">((L5927)*(E5927*0.001))+M5927</f>
        <v>177.24</v>
      </c>
      <c r="O5927" s="411">
        <f t="shared" si="2319"/>
        <v>12.097499999999997</v>
      </c>
      <c r="P5927" s="132" t="s">
        <v>52</v>
      </c>
      <c r="Q5927" s="232"/>
      <c r="R5927" s="411"/>
      <c r="T5927" s="134" t="s">
        <v>145</v>
      </c>
      <c r="U5927" s="267" t="s">
        <v>12795</v>
      </c>
      <c r="AA5927" s="218"/>
    </row>
    <row r="5928" spans="1:27" ht="24" x14ac:dyDescent="0.25">
      <c r="A5928" s="405">
        <v>3004662</v>
      </c>
      <c r="B5928" s="406">
        <v>42643</v>
      </c>
      <c r="C5928" s="405" t="s">
        <v>237</v>
      </c>
      <c r="D5928" s="401" t="s">
        <v>12796</v>
      </c>
      <c r="E5928" s="120">
        <v>100</v>
      </c>
      <c r="F5928" s="133" t="s">
        <v>341</v>
      </c>
      <c r="G5928" s="404" t="s">
        <v>45</v>
      </c>
      <c r="H5928" s="411">
        <v>145</v>
      </c>
      <c r="I5928" s="397">
        <f t="shared" ref="I5928" si="2366">-(H5928*0.15)</f>
        <v>-21.75</v>
      </c>
      <c r="J5928" s="258">
        <v>0</v>
      </c>
      <c r="K5928" s="90">
        <f>SUM(H5928:J5928)</f>
        <v>123.25</v>
      </c>
      <c r="L5928" s="131">
        <v>698</v>
      </c>
      <c r="M5928" s="187">
        <v>36.19</v>
      </c>
      <c r="N5928" s="91">
        <f t="shared" si="2365"/>
        <v>105.99</v>
      </c>
      <c r="O5928" s="411">
        <f t="shared" si="2319"/>
        <v>17.260000000000005</v>
      </c>
      <c r="P5928" s="132" t="s">
        <v>52</v>
      </c>
      <c r="Q5928" s="232"/>
      <c r="R5928" s="411"/>
      <c r="T5928" s="134" t="s">
        <v>145</v>
      </c>
      <c r="U5928" s="267" t="s">
        <v>12797</v>
      </c>
      <c r="AA5928" s="218"/>
    </row>
    <row r="5929" spans="1:27" ht="24" x14ac:dyDescent="0.25">
      <c r="A5929" s="405">
        <v>3004663</v>
      </c>
      <c r="B5929" s="406">
        <v>42643</v>
      </c>
      <c r="C5929" s="405" t="s">
        <v>327</v>
      </c>
      <c r="D5929" s="401" t="s">
        <v>12798</v>
      </c>
      <c r="E5929" s="120">
        <v>500</v>
      </c>
      <c r="F5929" s="119" t="s">
        <v>12799</v>
      </c>
      <c r="G5929" s="404" t="s">
        <v>45</v>
      </c>
      <c r="H5929" s="411">
        <v>393</v>
      </c>
      <c r="I5929" s="399">
        <v>0</v>
      </c>
      <c r="J5929" s="396">
        <f>-((H5929*0.022)+0.3)</f>
        <v>-8.9459999999999997</v>
      </c>
      <c r="K5929" s="396">
        <f>SUM(H5929:J5929)</f>
        <v>384.05399999999997</v>
      </c>
      <c r="L5929" s="187">
        <v>449.79</v>
      </c>
      <c r="M5929" s="187">
        <v>29.47</v>
      </c>
      <c r="N5929" s="91">
        <f t="shared" si="2365"/>
        <v>254.36500000000001</v>
      </c>
      <c r="O5929" s="411">
        <f t="shared" si="2319"/>
        <v>129.68899999999996</v>
      </c>
      <c r="P5929" s="132" t="s">
        <v>926</v>
      </c>
      <c r="Q5929" s="232"/>
      <c r="R5929" s="411"/>
      <c r="T5929" s="134" t="s">
        <v>145</v>
      </c>
      <c r="U5929" s="267" t="s">
        <v>12800</v>
      </c>
      <c r="W5929" s="153" t="s">
        <v>12801</v>
      </c>
      <c r="AA5929" s="218"/>
    </row>
    <row r="5930" spans="1:27" ht="24" x14ac:dyDescent="0.25">
      <c r="A5930" s="405">
        <v>3004664</v>
      </c>
      <c r="B5930" s="406">
        <v>42643</v>
      </c>
      <c r="C5930" s="405" t="s">
        <v>237</v>
      </c>
      <c r="D5930" s="401" t="s">
        <v>12802</v>
      </c>
      <c r="E5930" s="120">
        <v>100</v>
      </c>
      <c r="F5930" s="133" t="s">
        <v>3440</v>
      </c>
      <c r="G5930" s="404" t="s">
        <v>7486</v>
      </c>
      <c r="H5930" s="411">
        <v>168</v>
      </c>
      <c r="I5930" s="397">
        <f t="shared" ref="I5930" si="2367">-(H5930*0.15)</f>
        <v>-25.2</v>
      </c>
      <c r="J5930" s="258">
        <v>0</v>
      </c>
      <c r="K5930" s="90">
        <f>SUM(H5930:J5930)</f>
        <v>142.80000000000001</v>
      </c>
      <c r="L5930" s="187">
        <v>915</v>
      </c>
      <c r="M5930" s="187">
        <v>24.73</v>
      </c>
      <c r="N5930" s="91">
        <f t="shared" si="2365"/>
        <v>116.23</v>
      </c>
      <c r="O5930" s="411">
        <f t="shared" si="2319"/>
        <v>26.570000000000007</v>
      </c>
      <c r="P5930" s="132" t="s">
        <v>601</v>
      </c>
      <c r="Q5930" s="232"/>
      <c r="R5930" s="411"/>
      <c r="T5930" s="134" t="s">
        <v>145</v>
      </c>
      <c r="U5930" s="267" t="s">
        <v>12803</v>
      </c>
      <c r="AA5930" s="218"/>
    </row>
    <row r="5931" spans="1:27" ht="24" x14ac:dyDescent="0.25">
      <c r="A5931" s="405">
        <v>3004665</v>
      </c>
      <c r="B5931" s="406">
        <v>42643</v>
      </c>
      <c r="C5931" s="405" t="s">
        <v>42</v>
      </c>
      <c r="D5931" s="401" t="s">
        <v>12804</v>
      </c>
      <c r="E5931" s="120">
        <v>250</v>
      </c>
      <c r="F5931" s="133" t="s">
        <v>2949</v>
      </c>
      <c r="G5931" s="404" t="s">
        <v>7486</v>
      </c>
      <c r="H5931" s="411">
        <v>431.64</v>
      </c>
      <c r="I5931" s="89">
        <f>-(H5931*0.09)</f>
        <v>-38.8476</v>
      </c>
      <c r="J5931" s="258">
        <f t="shared" ref="J5931" si="2368">-((H5931*0.019)+0.3)</f>
        <v>-8.5011600000000005</v>
      </c>
      <c r="K5931" s="90">
        <f t="shared" ref="K5931" si="2369">SUM(H5931:J5931)</f>
        <v>384.29123999999996</v>
      </c>
      <c r="L5931" s="131">
        <v>1100</v>
      </c>
      <c r="M5931" s="187">
        <v>50.18</v>
      </c>
      <c r="N5931" s="91">
        <f t="shared" si="2365"/>
        <v>325.18</v>
      </c>
      <c r="O5931" s="411">
        <f t="shared" si="2319"/>
        <v>59.111239999999952</v>
      </c>
      <c r="P5931" s="132" t="s">
        <v>52</v>
      </c>
      <c r="Q5931" s="232"/>
      <c r="R5931" s="411"/>
      <c r="T5931" s="134" t="s">
        <v>145</v>
      </c>
      <c r="U5931" s="267" t="s">
        <v>12805</v>
      </c>
      <c r="AA5931" s="218"/>
    </row>
    <row r="5932" spans="1:27" ht="24" x14ac:dyDescent="0.25">
      <c r="A5932" s="405">
        <v>3004666</v>
      </c>
      <c r="B5932" s="406">
        <v>42643</v>
      </c>
      <c r="C5932" s="405" t="s">
        <v>42</v>
      </c>
      <c r="D5932" s="401" t="s">
        <v>12806</v>
      </c>
      <c r="E5932" s="120">
        <v>250</v>
      </c>
      <c r="F5932" s="133" t="s">
        <v>2361</v>
      </c>
      <c r="G5932" s="404" t="s">
        <v>7486</v>
      </c>
      <c r="H5932" s="411">
        <v>320</v>
      </c>
      <c r="I5932" s="89">
        <f>-(H5932*0.09)</f>
        <v>-28.799999999999997</v>
      </c>
      <c r="J5932" s="258">
        <f t="shared" ref="J5932" si="2370">-((H5932*0.019)+0.3)</f>
        <v>-6.38</v>
      </c>
      <c r="K5932" s="90">
        <f t="shared" ref="K5932" si="2371">SUM(H5932:J5932)</f>
        <v>284.82</v>
      </c>
      <c r="L5932" s="131">
        <v>750</v>
      </c>
      <c r="M5932" s="187">
        <f>34.95+22.67</f>
        <v>57.620000000000005</v>
      </c>
      <c r="N5932" s="91">
        <f t="shared" si="2365"/>
        <v>245.12</v>
      </c>
      <c r="O5932" s="411">
        <f t="shared" si="2319"/>
        <v>39.699999999999989</v>
      </c>
      <c r="P5932" s="132" t="s">
        <v>52</v>
      </c>
      <c r="Q5932" s="232"/>
      <c r="R5932" s="411"/>
      <c r="T5932" s="135" t="s">
        <v>145</v>
      </c>
      <c r="U5932" s="306">
        <v>665645047324</v>
      </c>
      <c r="AA5932" s="218"/>
    </row>
    <row r="5933" spans="1:27" ht="24" x14ac:dyDescent="0.25">
      <c r="A5933" s="405">
        <v>3004667</v>
      </c>
      <c r="B5933" s="406">
        <v>42643</v>
      </c>
      <c r="C5933" s="405" t="s">
        <v>237</v>
      </c>
      <c r="D5933" s="401" t="s">
        <v>12807</v>
      </c>
      <c r="E5933" s="120">
        <v>50</v>
      </c>
      <c r="F5933" s="133" t="s">
        <v>288</v>
      </c>
      <c r="G5933" s="404" t="s">
        <v>7486</v>
      </c>
      <c r="H5933" s="411">
        <v>113.43</v>
      </c>
      <c r="I5933" s="397">
        <f t="shared" ref="I5933" si="2372">-(H5933*0.15)</f>
        <v>-17.014500000000002</v>
      </c>
      <c r="J5933" s="258">
        <v>0</v>
      </c>
      <c r="K5933" s="90">
        <f>SUM(H5933:J5933)</f>
        <v>96.415500000000009</v>
      </c>
      <c r="L5933" s="131">
        <v>950</v>
      </c>
      <c r="M5933" s="187">
        <v>25.08</v>
      </c>
      <c r="N5933" s="91">
        <f t="shared" si="2365"/>
        <v>72.58</v>
      </c>
      <c r="O5933" s="411">
        <f t="shared" si="2319"/>
        <v>23.83550000000001</v>
      </c>
      <c r="P5933" s="132" t="s">
        <v>52</v>
      </c>
      <c r="Q5933" s="232"/>
      <c r="R5933" s="411"/>
      <c r="T5933" s="134" t="s">
        <v>145</v>
      </c>
      <c r="U5933" s="267" t="s">
        <v>12808</v>
      </c>
      <c r="AA5933" s="218"/>
    </row>
    <row r="5934" spans="1:27" x14ac:dyDescent="0.25">
      <c r="A5934" s="419">
        <v>3004668</v>
      </c>
      <c r="B5934" s="421">
        <v>42643</v>
      </c>
      <c r="C5934" s="419" t="s">
        <v>56</v>
      </c>
      <c r="D5934" s="417" t="s">
        <v>8815</v>
      </c>
      <c r="E5934" s="120">
        <v>1000</v>
      </c>
      <c r="F5934" s="133" t="s">
        <v>227</v>
      </c>
      <c r="G5934" s="434" t="s">
        <v>7486</v>
      </c>
      <c r="H5934" s="427">
        <v>1450</v>
      </c>
      <c r="I5934" s="516">
        <v>0</v>
      </c>
      <c r="J5934" s="427">
        <v>0</v>
      </c>
      <c r="K5934" s="425">
        <f>SUM(H5934:J5934)</f>
        <v>1450</v>
      </c>
      <c r="L5934" s="131">
        <v>250</v>
      </c>
      <c r="M5934" s="468">
        <v>146.46</v>
      </c>
      <c r="N5934" s="91">
        <f t="shared" si="2365"/>
        <v>396.46000000000004</v>
      </c>
      <c r="O5934" s="411">
        <f t="shared" si="2319"/>
        <v>1053.54</v>
      </c>
      <c r="P5934" s="132" t="s">
        <v>86</v>
      </c>
      <c r="Q5934" s="232"/>
      <c r="R5934" s="411"/>
      <c r="T5934" s="439" t="s">
        <v>7260</v>
      </c>
      <c r="U5934" s="446" t="s">
        <v>12809</v>
      </c>
      <c r="V5934" s="133" t="s">
        <v>12810</v>
      </c>
      <c r="W5934" s="153" t="s">
        <v>10861</v>
      </c>
      <c r="AA5934" s="218"/>
    </row>
    <row r="5935" spans="1:27" x14ac:dyDescent="0.25">
      <c r="A5935" s="420"/>
      <c r="B5935" s="422"/>
      <c r="C5935" s="420"/>
      <c r="D5935" s="418"/>
      <c r="E5935" s="120">
        <v>2000</v>
      </c>
      <c r="F5935" s="133" t="s">
        <v>5542</v>
      </c>
      <c r="G5935" s="436"/>
      <c r="H5935" s="428"/>
      <c r="I5935" s="518"/>
      <c r="J5935" s="428"/>
      <c r="K5935" s="426"/>
      <c r="L5935" s="131">
        <v>175</v>
      </c>
      <c r="M5935" s="469"/>
      <c r="N5935" s="91">
        <f t="shared" si="2365"/>
        <v>350</v>
      </c>
      <c r="O5935" s="411">
        <f t="shared" si="2319"/>
        <v>-350</v>
      </c>
      <c r="P5935" s="132" t="s">
        <v>86</v>
      </c>
      <c r="Q5935" s="232"/>
      <c r="R5935" s="411"/>
      <c r="T5935" s="441"/>
      <c r="U5935" s="447"/>
      <c r="V5935" s="133" t="s">
        <v>2020</v>
      </c>
      <c r="AA5935" s="218"/>
    </row>
    <row r="5936" spans="1:27" ht="24" x14ac:dyDescent="0.25">
      <c r="A5936" s="405">
        <v>3004669</v>
      </c>
      <c r="B5936" s="406">
        <v>42643</v>
      </c>
      <c r="C5936" s="405" t="s">
        <v>141</v>
      </c>
      <c r="D5936" s="401" t="s">
        <v>3404</v>
      </c>
      <c r="E5936" s="120">
        <v>150</v>
      </c>
      <c r="F5936" s="133" t="s">
        <v>12811</v>
      </c>
      <c r="G5936" s="404" t="s">
        <v>7486</v>
      </c>
      <c r="H5936" s="411">
        <v>637.5</v>
      </c>
      <c r="I5936" s="399">
        <v>0</v>
      </c>
      <c r="J5936" s="396">
        <f>-((H5936*0.0325)+0.3)</f>
        <v>-21.018750000000001</v>
      </c>
      <c r="K5936" s="396">
        <f>SUM(H5936:J5936)</f>
        <v>616.48125000000005</v>
      </c>
      <c r="L5936" s="187">
        <v>2500</v>
      </c>
      <c r="M5936" s="187">
        <v>33.33</v>
      </c>
      <c r="N5936" s="91">
        <f t="shared" si="2365"/>
        <v>408.33</v>
      </c>
      <c r="O5936" s="411">
        <f t="shared" si="2319"/>
        <v>208.15125000000006</v>
      </c>
      <c r="P5936" s="132" t="s">
        <v>183</v>
      </c>
      <c r="Q5936" s="232"/>
      <c r="R5936" s="411"/>
      <c r="T5936" s="134" t="s">
        <v>145</v>
      </c>
      <c r="U5936" s="267" t="s">
        <v>12812</v>
      </c>
      <c r="W5936" s="153" t="s">
        <v>3407</v>
      </c>
      <c r="AA5936" s="218"/>
    </row>
    <row r="5937" spans="1:27" ht="24" x14ac:dyDescent="0.25">
      <c r="A5937" s="405">
        <v>3004670</v>
      </c>
      <c r="B5937" s="406">
        <v>42643</v>
      </c>
      <c r="C5937" s="405" t="s">
        <v>42</v>
      </c>
      <c r="D5937" s="401" t="s">
        <v>12813</v>
      </c>
      <c r="E5937" s="120">
        <v>50</v>
      </c>
      <c r="F5937" s="133" t="s">
        <v>860</v>
      </c>
      <c r="G5937" s="404" t="s">
        <v>7486</v>
      </c>
      <c r="H5937" s="411">
        <v>370</v>
      </c>
      <c r="I5937" s="89">
        <f>-(H5937*0.09)</f>
        <v>-33.299999999999997</v>
      </c>
      <c r="J5937" s="258">
        <f t="shared" ref="J5937" si="2373">-((H5937*0.019)+0.3)</f>
        <v>-7.33</v>
      </c>
      <c r="K5937" s="90">
        <f t="shared" ref="K5937" si="2374">SUM(H5937:J5937)</f>
        <v>329.37</v>
      </c>
      <c r="L5937" s="131">
        <v>3300</v>
      </c>
      <c r="M5937" s="187">
        <v>28.05</v>
      </c>
      <c r="N5937" s="91">
        <f t="shared" si="2365"/>
        <v>193.05</v>
      </c>
      <c r="O5937" s="411">
        <f t="shared" si="2319"/>
        <v>136.32</v>
      </c>
      <c r="P5937" s="132" t="s">
        <v>52</v>
      </c>
      <c r="Q5937" s="232"/>
      <c r="R5937" s="411"/>
      <c r="T5937" s="134" t="s">
        <v>145</v>
      </c>
      <c r="U5937" s="267" t="s">
        <v>12814</v>
      </c>
      <c r="AA5937" s="218"/>
    </row>
    <row r="5938" spans="1:27" ht="36" x14ac:dyDescent="0.25">
      <c r="A5938" s="405">
        <v>3004671</v>
      </c>
      <c r="B5938" s="406">
        <v>42646</v>
      </c>
      <c r="C5938" s="405" t="s">
        <v>63</v>
      </c>
      <c r="D5938" s="401" t="s">
        <v>12815</v>
      </c>
      <c r="E5938" s="120">
        <v>2000</v>
      </c>
      <c r="F5938" s="133" t="s">
        <v>3719</v>
      </c>
      <c r="G5938" s="404" t="s">
        <v>7486</v>
      </c>
      <c r="H5938" s="411">
        <v>2600</v>
      </c>
      <c r="I5938" s="399">
        <v>0</v>
      </c>
      <c r="J5938" s="396">
        <f>-((H5938*0.022)+0.3)</f>
        <v>-57.499999999999993</v>
      </c>
      <c r="K5938" s="396">
        <f>SUM(H5938:J5938)</f>
        <v>2542.5</v>
      </c>
      <c r="L5938" s="187">
        <v>1080</v>
      </c>
      <c r="M5938" s="131">
        <v>0</v>
      </c>
      <c r="N5938" s="91">
        <f t="shared" si="2365"/>
        <v>2160</v>
      </c>
      <c r="O5938" s="411">
        <f t="shared" si="2319"/>
        <v>382.5</v>
      </c>
      <c r="P5938" s="132" t="s">
        <v>601</v>
      </c>
      <c r="Q5938" s="232"/>
      <c r="R5938" s="411"/>
      <c r="T5938" s="134" t="s">
        <v>60</v>
      </c>
      <c r="U5938" s="267" t="s">
        <v>12816</v>
      </c>
      <c r="W5938" s="153" t="s">
        <v>12817</v>
      </c>
      <c r="AA5938" s="218">
        <v>10</v>
      </c>
    </row>
    <row r="5939" spans="1:27" x14ac:dyDescent="0.25">
      <c r="A5939" s="419">
        <v>3004672</v>
      </c>
      <c r="B5939" s="421">
        <v>42646</v>
      </c>
      <c r="C5939" s="419" t="s">
        <v>56</v>
      </c>
      <c r="D5939" s="417" t="s">
        <v>57</v>
      </c>
      <c r="E5939" s="120">
        <v>1000</v>
      </c>
      <c r="F5939" s="133" t="s">
        <v>12818</v>
      </c>
      <c r="G5939" s="434" t="s">
        <v>7486</v>
      </c>
      <c r="H5939" s="427">
        <v>4302</v>
      </c>
      <c r="I5939" s="427">
        <v>0</v>
      </c>
      <c r="J5939" s="427">
        <v>0</v>
      </c>
      <c r="K5939" s="425">
        <f>SUM(H5939:J5939)</f>
        <v>4302</v>
      </c>
      <c r="L5939" s="131">
        <v>1569</v>
      </c>
      <c r="M5939" s="187">
        <v>152.02000000000001</v>
      </c>
      <c r="N5939" s="91">
        <f t="shared" si="2365"/>
        <v>1721.02</v>
      </c>
      <c r="O5939" s="411">
        <f t="shared" si="2319"/>
        <v>2580.98</v>
      </c>
      <c r="P5939" s="132" t="s">
        <v>52</v>
      </c>
      <c r="Q5939" s="232"/>
      <c r="R5939" s="411"/>
      <c r="T5939" s="134" t="s">
        <v>875</v>
      </c>
      <c r="U5939" s="266">
        <v>5014120637</v>
      </c>
      <c r="V5939" s="133" t="s">
        <v>12093</v>
      </c>
      <c r="AA5939" s="218"/>
    </row>
    <row r="5940" spans="1:27" x14ac:dyDescent="0.25">
      <c r="A5940" s="432"/>
      <c r="B5940" s="433"/>
      <c r="C5940" s="432"/>
      <c r="D5940" s="454"/>
      <c r="E5940" s="120">
        <v>3000</v>
      </c>
      <c r="F5940" s="133" t="s">
        <v>12819</v>
      </c>
      <c r="G5940" s="435"/>
      <c r="H5940" s="438"/>
      <c r="I5940" s="438"/>
      <c r="J5940" s="438"/>
      <c r="K5940" s="437"/>
      <c r="L5940" s="131">
        <v>300</v>
      </c>
      <c r="M5940" s="187">
        <v>176.94</v>
      </c>
      <c r="N5940" s="91">
        <f t="shared" si="2365"/>
        <v>1076.94</v>
      </c>
      <c r="O5940" s="411">
        <f t="shared" si="2319"/>
        <v>-1076.94</v>
      </c>
      <c r="P5940" s="132" t="s">
        <v>86</v>
      </c>
      <c r="Q5940" s="232"/>
      <c r="R5940" s="411"/>
      <c r="T5940" s="134" t="s">
        <v>7260</v>
      </c>
      <c r="U5940" s="267" t="s">
        <v>12820</v>
      </c>
      <c r="V5940" s="133" t="s">
        <v>12821</v>
      </c>
      <c r="AA5940" s="218"/>
    </row>
    <row r="5941" spans="1:27" ht="24" x14ac:dyDescent="0.25">
      <c r="A5941" s="432"/>
      <c r="B5941" s="433"/>
      <c r="C5941" s="432"/>
      <c r="D5941" s="454"/>
      <c r="E5941" s="120">
        <v>1500</v>
      </c>
      <c r="F5941" s="133" t="s">
        <v>12822</v>
      </c>
      <c r="G5941" s="435"/>
      <c r="H5941" s="438"/>
      <c r="I5941" s="438"/>
      <c r="J5941" s="438"/>
      <c r="K5941" s="437"/>
      <c r="M5941" s="187">
        <v>29.76</v>
      </c>
      <c r="N5941" s="91">
        <f t="shared" si="2365"/>
        <v>29.76</v>
      </c>
      <c r="O5941" s="411">
        <f t="shared" si="2319"/>
        <v>-29.76</v>
      </c>
      <c r="P5941" s="132" t="s">
        <v>52</v>
      </c>
      <c r="Q5941" s="232"/>
      <c r="R5941" s="411"/>
      <c r="T5941" s="134" t="s">
        <v>145</v>
      </c>
      <c r="U5941" s="267" t="s">
        <v>12823</v>
      </c>
      <c r="AA5941" s="218"/>
    </row>
    <row r="5942" spans="1:27" ht="24" x14ac:dyDescent="0.25">
      <c r="A5942" s="432"/>
      <c r="B5942" s="433"/>
      <c r="C5942" s="432"/>
      <c r="D5942" s="454"/>
      <c r="E5942" s="120">
        <v>1000</v>
      </c>
      <c r="F5942" s="133" t="s">
        <v>12824</v>
      </c>
      <c r="G5942" s="435"/>
      <c r="H5942" s="438"/>
      <c r="I5942" s="438"/>
      <c r="J5942" s="438"/>
      <c r="K5942" s="437"/>
      <c r="L5942" s="187">
        <v>160</v>
      </c>
      <c r="N5942" s="91">
        <f t="shared" si="2365"/>
        <v>160</v>
      </c>
      <c r="O5942" s="411">
        <f t="shared" si="2319"/>
        <v>-160</v>
      </c>
      <c r="P5942" s="132" t="s">
        <v>7593</v>
      </c>
      <c r="Q5942" s="232"/>
      <c r="R5942" s="411"/>
      <c r="T5942" s="134" t="s">
        <v>145</v>
      </c>
      <c r="U5942" s="267" t="s">
        <v>12825</v>
      </c>
      <c r="V5942" s="133" t="s">
        <v>12826</v>
      </c>
      <c r="AA5942" s="228"/>
    </row>
    <row r="5943" spans="1:27" ht="24" x14ac:dyDescent="0.25">
      <c r="A5943" s="420"/>
      <c r="B5943" s="422"/>
      <c r="C5943" s="420"/>
      <c r="D5943" s="418"/>
      <c r="E5943" s="120">
        <v>1500</v>
      </c>
      <c r="F5943" s="133" t="s">
        <v>12822</v>
      </c>
      <c r="G5943" s="436"/>
      <c r="H5943" s="428"/>
      <c r="I5943" s="428"/>
      <c r="J5943" s="428"/>
      <c r="K5943" s="426"/>
      <c r="L5943" s="187">
        <v>160</v>
      </c>
      <c r="M5943" s="187">
        <v>17.170000000000002</v>
      </c>
      <c r="N5943" s="91">
        <f t="shared" si="2365"/>
        <v>257.17</v>
      </c>
      <c r="O5943" s="411">
        <f t="shared" si="2319"/>
        <v>-257.17</v>
      </c>
      <c r="P5943" s="132" t="s">
        <v>7593</v>
      </c>
      <c r="Q5943" s="232"/>
      <c r="R5943" s="411"/>
      <c r="T5943" s="134" t="s">
        <v>145</v>
      </c>
      <c r="U5943" s="267" t="s">
        <v>12827</v>
      </c>
      <c r="V5943" s="133" t="s">
        <v>12828</v>
      </c>
      <c r="AA5943" s="228"/>
    </row>
    <row r="5944" spans="1:27" x14ac:dyDescent="0.25">
      <c r="A5944" s="419">
        <v>3004673</v>
      </c>
      <c r="B5944" s="421">
        <v>42646</v>
      </c>
      <c r="C5944" s="419" t="s">
        <v>555</v>
      </c>
      <c r="D5944" s="417" t="s">
        <v>12829</v>
      </c>
      <c r="E5944" s="120">
        <v>10000</v>
      </c>
      <c r="F5944" s="133" t="s">
        <v>12830</v>
      </c>
      <c r="G5944" s="434" t="s">
        <v>7486</v>
      </c>
      <c r="H5944" s="427">
        <v>6862.5</v>
      </c>
      <c r="I5944" s="516">
        <v>0</v>
      </c>
      <c r="J5944" s="427">
        <v>0</v>
      </c>
      <c r="K5944" s="425">
        <f>SUM(H5944:J5944)</f>
        <v>6862.5</v>
      </c>
      <c r="L5944" s="187">
        <v>100</v>
      </c>
      <c r="M5944" s="224">
        <v>145.19</v>
      </c>
      <c r="N5944" s="91">
        <f t="shared" si="2365"/>
        <v>1145.19</v>
      </c>
      <c r="O5944" s="411">
        <f t="shared" si="2319"/>
        <v>5717.3099999999995</v>
      </c>
      <c r="P5944" s="132" t="s">
        <v>183</v>
      </c>
      <c r="Q5944" s="232"/>
      <c r="R5944" s="411"/>
      <c r="T5944" s="134" t="s">
        <v>389</v>
      </c>
      <c r="U5944" s="267" t="s">
        <v>12831</v>
      </c>
      <c r="W5944" s="153" t="s">
        <v>12832</v>
      </c>
      <c r="AA5944" s="473">
        <v>50</v>
      </c>
    </row>
    <row r="5945" spans="1:27" x14ac:dyDescent="0.25">
      <c r="A5945" s="420"/>
      <c r="B5945" s="422"/>
      <c r="C5945" s="420"/>
      <c r="D5945" s="418"/>
      <c r="E5945" s="120">
        <v>30000</v>
      </c>
      <c r="F5945" s="133" t="s">
        <v>12833</v>
      </c>
      <c r="G5945" s="436"/>
      <c r="H5945" s="428"/>
      <c r="I5945" s="518"/>
      <c r="J5945" s="428"/>
      <c r="K5945" s="426"/>
      <c r="L5945" s="187">
        <v>139</v>
      </c>
      <c r="M5945" s="224">
        <v>398.21</v>
      </c>
      <c r="N5945" s="91">
        <f t="shared" si="2365"/>
        <v>4568.21</v>
      </c>
      <c r="O5945" s="411">
        <f t="shared" si="2319"/>
        <v>-4568.21</v>
      </c>
      <c r="P5945" s="132" t="s">
        <v>12834</v>
      </c>
      <c r="Q5945" s="232"/>
      <c r="R5945" s="411"/>
      <c r="T5945" s="134" t="s">
        <v>97</v>
      </c>
      <c r="U5945" s="267" t="s">
        <v>12835</v>
      </c>
      <c r="V5945" s="133" t="s">
        <v>12836</v>
      </c>
      <c r="AA5945" s="474"/>
    </row>
    <row r="5946" spans="1:27" x14ac:dyDescent="0.25">
      <c r="A5946" s="419">
        <v>3004674</v>
      </c>
      <c r="B5946" s="421">
        <v>42646</v>
      </c>
      <c r="C5946" s="419" t="s">
        <v>56</v>
      </c>
      <c r="D5946" s="417" t="s">
        <v>6462</v>
      </c>
      <c r="E5946" s="120">
        <v>6000</v>
      </c>
      <c r="F5946" s="133" t="s">
        <v>12837</v>
      </c>
      <c r="G5946" s="460" t="s">
        <v>7486</v>
      </c>
      <c r="H5946" s="502">
        <v>8140</v>
      </c>
      <c r="I5946" s="427">
        <v>0</v>
      </c>
      <c r="J5946" s="427">
        <v>0</v>
      </c>
      <c r="K5946" s="425">
        <f>SUM(H5946:J5946)</f>
        <v>8140</v>
      </c>
      <c r="L5946" s="187">
        <v>618</v>
      </c>
      <c r="M5946" s="450">
        <v>233.38</v>
      </c>
      <c r="N5946" s="91">
        <f t="shared" si="2365"/>
        <v>3941.38</v>
      </c>
      <c r="O5946" s="411">
        <f t="shared" si="2319"/>
        <v>4198.62</v>
      </c>
      <c r="P5946" s="132" t="s">
        <v>76</v>
      </c>
      <c r="Q5946" s="232"/>
      <c r="R5946" s="411"/>
      <c r="T5946" s="442" t="s">
        <v>875</v>
      </c>
      <c r="V5946" s="133" t="s">
        <v>12838</v>
      </c>
      <c r="AA5946" s="218"/>
    </row>
    <row r="5947" spans="1:27" x14ac:dyDescent="0.25">
      <c r="A5947" s="432"/>
      <c r="B5947" s="433"/>
      <c r="C5947" s="432"/>
      <c r="D5947" s="454"/>
      <c r="E5947" s="120">
        <v>3000</v>
      </c>
      <c r="F5947" s="133" t="s">
        <v>12839</v>
      </c>
      <c r="G5947" s="461"/>
      <c r="H5947" s="503"/>
      <c r="I5947" s="438"/>
      <c r="J5947" s="438"/>
      <c r="K5947" s="437"/>
      <c r="L5947" s="187">
        <v>618</v>
      </c>
      <c r="M5947" s="463"/>
      <c r="N5947" s="91">
        <f t="shared" si="2365"/>
        <v>1854</v>
      </c>
      <c r="O5947" s="411">
        <f t="shared" si="2319"/>
        <v>-1854</v>
      </c>
      <c r="P5947" s="132" t="s">
        <v>76</v>
      </c>
      <c r="Q5947" s="232"/>
      <c r="R5947" s="411"/>
      <c r="T5947" s="449"/>
      <c r="V5947" s="133" t="s">
        <v>2020</v>
      </c>
      <c r="AA5947" s="218"/>
    </row>
    <row r="5948" spans="1:27" x14ac:dyDescent="0.25">
      <c r="A5948" s="432"/>
      <c r="B5948" s="433"/>
      <c r="C5948" s="432"/>
      <c r="D5948" s="454"/>
      <c r="E5948" s="120">
        <v>1000</v>
      </c>
      <c r="F5948" s="133" t="s">
        <v>12840</v>
      </c>
      <c r="G5948" s="461"/>
      <c r="H5948" s="503"/>
      <c r="I5948" s="438"/>
      <c r="J5948" s="438"/>
      <c r="K5948" s="437"/>
      <c r="L5948" s="187">
        <v>173</v>
      </c>
      <c r="M5948" s="463"/>
      <c r="N5948" s="91">
        <f t="shared" si="2365"/>
        <v>173</v>
      </c>
      <c r="O5948" s="411">
        <f t="shared" si="2319"/>
        <v>-173</v>
      </c>
      <c r="P5948" s="132" t="s">
        <v>76</v>
      </c>
      <c r="Q5948" s="232"/>
      <c r="R5948" s="411"/>
      <c r="T5948" s="449"/>
      <c r="AA5948" s="218"/>
    </row>
    <row r="5949" spans="1:27" x14ac:dyDescent="0.25">
      <c r="A5949" s="432"/>
      <c r="B5949" s="433"/>
      <c r="C5949" s="432"/>
      <c r="D5949" s="454"/>
      <c r="E5949" s="120">
        <v>1000</v>
      </c>
      <c r="F5949" s="133" t="s">
        <v>12841</v>
      </c>
      <c r="G5949" s="461"/>
      <c r="H5949" s="503"/>
      <c r="I5949" s="438"/>
      <c r="J5949" s="438"/>
      <c r="K5949" s="437"/>
      <c r="L5949" s="187">
        <v>173</v>
      </c>
      <c r="M5949" s="463"/>
      <c r="N5949" s="91">
        <f t="shared" si="2365"/>
        <v>173</v>
      </c>
      <c r="O5949" s="411">
        <f t="shared" si="2319"/>
        <v>-173</v>
      </c>
      <c r="P5949" s="132" t="s">
        <v>76</v>
      </c>
      <c r="Q5949" s="232"/>
      <c r="R5949" s="411"/>
      <c r="T5949" s="449"/>
      <c r="AA5949" s="218"/>
    </row>
    <row r="5950" spans="1:27" x14ac:dyDescent="0.25">
      <c r="A5950" s="420"/>
      <c r="B5950" s="422"/>
      <c r="C5950" s="420"/>
      <c r="D5950" s="418"/>
      <c r="E5950" s="120">
        <v>1000</v>
      </c>
      <c r="F5950" s="133" t="s">
        <v>12842</v>
      </c>
      <c r="G5950" s="462"/>
      <c r="H5950" s="504"/>
      <c r="I5950" s="428"/>
      <c r="J5950" s="428"/>
      <c r="K5950" s="426"/>
      <c r="L5950" s="187">
        <v>173</v>
      </c>
      <c r="M5950" s="451"/>
      <c r="N5950" s="91">
        <f t="shared" si="2365"/>
        <v>173</v>
      </c>
      <c r="O5950" s="411">
        <f t="shared" si="2319"/>
        <v>-173</v>
      </c>
      <c r="P5950" s="132" t="s">
        <v>76</v>
      </c>
      <c r="Q5950" s="232"/>
      <c r="R5950" s="411"/>
      <c r="T5950" s="443"/>
      <c r="AA5950" s="218"/>
    </row>
    <row r="5951" spans="1:27" ht="24" x14ac:dyDescent="0.25">
      <c r="A5951" s="405">
        <v>3004675</v>
      </c>
      <c r="B5951" s="406">
        <v>42646</v>
      </c>
      <c r="C5951" s="405" t="s">
        <v>42</v>
      </c>
      <c r="D5951" s="401" t="s">
        <v>12843</v>
      </c>
      <c r="E5951" s="120">
        <v>250</v>
      </c>
      <c r="F5951" s="133" t="s">
        <v>5670</v>
      </c>
      <c r="G5951" s="404" t="s">
        <v>7486</v>
      </c>
      <c r="H5951" s="411">
        <v>361.38</v>
      </c>
      <c r="I5951" s="89">
        <f t="shared" ref="I5951:I5968" si="2375">-(H5951*0.09)</f>
        <v>-32.5242</v>
      </c>
      <c r="J5951" s="258">
        <f t="shared" ref="J5951" si="2376">-((H5951*0.019)+0.3)</f>
        <v>-7.1662199999999991</v>
      </c>
      <c r="K5951" s="90">
        <f t="shared" ref="K5951" si="2377">SUM(H5951:J5951)</f>
        <v>321.68957999999998</v>
      </c>
      <c r="L5951" s="187">
        <v>1000</v>
      </c>
      <c r="M5951" s="187">
        <v>39.17</v>
      </c>
      <c r="N5951" s="91">
        <f t="shared" si="2365"/>
        <v>289.17</v>
      </c>
      <c r="O5951" s="411">
        <f t="shared" si="2319"/>
        <v>32.519579999999962</v>
      </c>
      <c r="P5951" s="132" t="s">
        <v>235</v>
      </c>
      <c r="Q5951" s="232"/>
      <c r="R5951" s="411"/>
      <c r="T5951" s="134" t="s">
        <v>145</v>
      </c>
      <c r="U5951" s="267" t="s">
        <v>12844</v>
      </c>
      <c r="AA5951" s="218"/>
    </row>
    <row r="5952" spans="1:27" ht="24" x14ac:dyDescent="0.25">
      <c r="A5952" s="405">
        <v>3004676</v>
      </c>
      <c r="B5952" s="406">
        <v>42646</v>
      </c>
      <c r="C5952" s="405" t="s">
        <v>42</v>
      </c>
      <c r="D5952" s="401" t="s">
        <v>12845</v>
      </c>
      <c r="E5952" s="120">
        <v>250</v>
      </c>
      <c r="F5952" s="133" t="s">
        <v>2949</v>
      </c>
      <c r="G5952" s="404" t="s">
        <v>7486</v>
      </c>
      <c r="H5952" s="411">
        <v>431.64</v>
      </c>
      <c r="I5952" s="89">
        <f t="shared" si="2375"/>
        <v>-38.8476</v>
      </c>
      <c r="J5952" s="258">
        <f t="shared" ref="J5952" si="2378">-((H5952*0.019)+0.3)</f>
        <v>-8.5011600000000005</v>
      </c>
      <c r="K5952" s="90">
        <f t="shared" ref="K5952" si="2379">SUM(H5952:J5952)</f>
        <v>384.29123999999996</v>
      </c>
      <c r="L5952" s="131">
        <v>1100</v>
      </c>
      <c r="M5952" s="187">
        <v>40.86</v>
      </c>
      <c r="N5952" s="91">
        <f t="shared" si="2365"/>
        <v>315.86</v>
      </c>
      <c r="O5952" s="411">
        <f t="shared" si="2319"/>
        <v>68.431239999999946</v>
      </c>
      <c r="P5952" s="132" t="s">
        <v>52</v>
      </c>
      <c r="Q5952" s="232"/>
      <c r="R5952" s="411"/>
      <c r="T5952" s="134" t="s">
        <v>145</v>
      </c>
      <c r="U5952" s="267" t="s">
        <v>12846</v>
      </c>
      <c r="AA5952" s="218"/>
    </row>
    <row r="5953" spans="1:27" ht="24" x14ac:dyDescent="0.25">
      <c r="A5953" s="405">
        <v>3004677</v>
      </c>
      <c r="B5953" s="406">
        <v>42646</v>
      </c>
      <c r="C5953" s="405" t="s">
        <v>42</v>
      </c>
      <c r="D5953" s="401" t="s">
        <v>12847</v>
      </c>
      <c r="E5953" s="120">
        <v>150</v>
      </c>
      <c r="F5953" s="133" t="s">
        <v>247</v>
      </c>
      <c r="G5953" s="404" t="s">
        <v>7486</v>
      </c>
      <c r="H5953" s="411">
        <v>200.77</v>
      </c>
      <c r="I5953" s="89">
        <f t="shared" si="2375"/>
        <v>-18.069300000000002</v>
      </c>
      <c r="J5953" s="258">
        <f t="shared" ref="J5953" si="2380">-((H5953*0.019)+0.3)</f>
        <v>-4.11463</v>
      </c>
      <c r="K5953" s="90">
        <f t="shared" ref="K5953" si="2381">SUM(H5953:J5953)</f>
        <v>178.58607000000001</v>
      </c>
      <c r="L5953" s="187">
        <v>584</v>
      </c>
      <c r="M5953" s="187">
        <v>36.04</v>
      </c>
      <c r="N5953" s="91">
        <f t="shared" si="2365"/>
        <v>123.63999999999999</v>
      </c>
      <c r="O5953" s="411">
        <f t="shared" si="2319"/>
        <v>54.94607000000002</v>
      </c>
      <c r="P5953" s="132" t="s">
        <v>3597</v>
      </c>
      <c r="Q5953" s="232"/>
      <c r="R5953" s="411">
        <v>14.87</v>
      </c>
      <c r="S5953" s="133" t="s">
        <v>10139</v>
      </c>
      <c r="T5953" s="134" t="s">
        <v>145</v>
      </c>
      <c r="U5953" s="267" t="s">
        <v>12848</v>
      </c>
      <c r="AA5953" s="218"/>
    </row>
    <row r="5954" spans="1:27" ht="24" x14ac:dyDescent="0.25">
      <c r="A5954" s="405">
        <v>3004678</v>
      </c>
      <c r="B5954" s="406">
        <v>42646</v>
      </c>
      <c r="C5954" s="405" t="s">
        <v>42</v>
      </c>
      <c r="D5954" s="401" t="s">
        <v>12849</v>
      </c>
      <c r="E5954" s="120">
        <v>125</v>
      </c>
      <c r="F5954" s="133" t="s">
        <v>605</v>
      </c>
      <c r="G5954" s="404" t="s">
        <v>7486</v>
      </c>
      <c r="H5954" s="411">
        <v>186.52</v>
      </c>
      <c r="I5954" s="89">
        <f t="shared" si="2375"/>
        <v>-16.786799999999999</v>
      </c>
      <c r="J5954" s="258">
        <f t="shared" ref="J5954" si="2382">-((H5954*0.019)+0.3)</f>
        <v>-3.84388</v>
      </c>
      <c r="K5954" s="90">
        <f t="shared" ref="K5954" si="2383">SUM(H5954:J5954)</f>
        <v>165.88932</v>
      </c>
      <c r="L5954" s="131">
        <v>595</v>
      </c>
      <c r="N5954" s="91">
        <f t="shared" si="2365"/>
        <v>74.375</v>
      </c>
      <c r="O5954" s="411">
        <f t="shared" si="2319"/>
        <v>91.514319999999998</v>
      </c>
      <c r="P5954" s="132" t="s">
        <v>52</v>
      </c>
      <c r="Q5954" s="232"/>
      <c r="R5954" s="411"/>
      <c r="T5954" s="134" t="s">
        <v>145</v>
      </c>
      <c r="U5954" s="267" t="s">
        <v>12850</v>
      </c>
      <c r="AA5954" s="218"/>
    </row>
    <row r="5955" spans="1:27" ht="24" x14ac:dyDescent="0.25">
      <c r="A5955" s="405">
        <v>3004679</v>
      </c>
      <c r="B5955" s="406">
        <v>42646</v>
      </c>
      <c r="C5955" s="405" t="s">
        <v>42</v>
      </c>
      <c r="D5955" s="401" t="s">
        <v>12851</v>
      </c>
      <c r="E5955" s="120">
        <v>34</v>
      </c>
      <c r="F5955" s="133" t="s">
        <v>605</v>
      </c>
      <c r="G5955" s="404" t="s">
        <v>7486</v>
      </c>
      <c r="H5955" s="411">
        <v>53.48</v>
      </c>
      <c r="I5955" s="89">
        <f t="shared" si="2375"/>
        <v>-4.8131999999999993</v>
      </c>
      <c r="J5955" s="258">
        <f t="shared" ref="J5955" si="2384">-((H5955*0.019)+0.3)</f>
        <v>-1.31612</v>
      </c>
      <c r="K5955" s="90">
        <f t="shared" ref="K5955" si="2385">SUM(H5955:J5955)</f>
        <v>47.350679999999997</v>
      </c>
      <c r="L5955" s="131">
        <v>595</v>
      </c>
      <c r="N5955" s="91">
        <f t="shared" si="2365"/>
        <v>20.23</v>
      </c>
      <c r="O5955" s="411">
        <f t="shared" si="2319"/>
        <v>27.120679999999997</v>
      </c>
      <c r="P5955" s="132" t="s">
        <v>52</v>
      </c>
      <c r="Q5955" s="232"/>
      <c r="R5955" s="411"/>
      <c r="T5955" s="134" t="s">
        <v>145</v>
      </c>
      <c r="U5955" s="267" t="s">
        <v>12852</v>
      </c>
      <c r="AA5955" s="218"/>
    </row>
    <row r="5956" spans="1:27" ht="24" x14ac:dyDescent="0.25">
      <c r="A5956" s="405">
        <v>3004680</v>
      </c>
      <c r="B5956" s="406">
        <v>42646</v>
      </c>
      <c r="C5956" s="405" t="s">
        <v>42</v>
      </c>
      <c r="D5956" s="401" t="s">
        <v>12853</v>
      </c>
      <c r="E5956" s="120">
        <v>500</v>
      </c>
      <c r="F5956" s="133" t="s">
        <v>2352</v>
      </c>
      <c r="G5956" s="404" t="s">
        <v>7486</v>
      </c>
      <c r="H5956" s="411">
        <v>446.5</v>
      </c>
      <c r="I5956" s="89">
        <f t="shared" si="2375"/>
        <v>-40.184999999999995</v>
      </c>
      <c r="J5956" s="258">
        <f t="shared" ref="J5956" si="2386">-((H5956*0.019)+0.3)</f>
        <v>-8.7835000000000001</v>
      </c>
      <c r="K5956" s="90">
        <f t="shared" ref="K5956" si="2387">SUM(H5956:J5956)</f>
        <v>397.53149999999999</v>
      </c>
      <c r="L5956" s="187">
        <v>521</v>
      </c>
      <c r="M5956" s="224">
        <v>59.77</v>
      </c>
      <c r="N5956" s="91">
        <f t="shared" si="2365"/>
        <v>320.27</v>
      </c>
      <c r="O5956" s="411">
        <f t="shared" ref="O5956:O6019" si="2388">K5956-N5956</f>
        <v>77.261500000000012</v>
      </c>
      <c r="P5956" s="132" t="s">
        <v>76</v>
      </c>
      <c r="Q5956" s="232"/>
      <c r="R5956" s="411"/>
      <c r="T5956" s="134" t="s">
        <v>145</v>
      </c>
      <c r="U5956" s="267" t="s">
        <v>12854</v>
      </c>
      <c r="AA5956" s="218"/>
    </row>
    <row r="5957" spans="1:27" ht="24" x14ac:dyDescent="0.25">
      <c r="A5957" s="405">
        <v>3004681</v>
      </c>
      <c r="B5957" s="406">
        <v>42646</v>
      </c>
      <c r="C5957" s="405" t="s">
        <v>42</v>
      </c>
      <c r="D5957" s="401" t="s">
        <v>12855</v>
      </c>
      <c r="E5957" s="120">
        <v>500</v>
      </c>
      <c r="F5957" s="119" t="s">
        <v>12856</v>
      </c>
      <c r="G5957" s="404" t="s">
        <v>7486</v>
      </c>
      <c r="H5957" s="411">
        <v>134.61000000000001</v>
      </c>
      <c r="I5957" s="89">
        <f t="shared" si="2375"/>
        <v>-12.1149</v>
      </c>
      <c r="J5957" s="258">
        <f t="shared" ref="J5957" si="2389">-((H5957*0.019)+0.3)</f>
        <v>-2.8575900000000001</v>
      </c>
      <c r="K5957" s="90">
        <f t="shared" ref="K5957" si="2390">SUM(H5957:J5957)</f>
        <v>119.63751000000001</v>
      </c>
      <c r="L5957" s="187">
        <v>112</v>
      </c>
      <c r="M5957" s="187">
        <v>17.82</v>
      </c>
      <c r="N5957" s="91">
        <f t="shared" si="2365"/>
        <v>73.819999999999993</v>
      </c>
      <c r="O5957" s="411">
        <f t="shared" si="2388"/>
        <v>45.817510000000013</v>
      </c>
      <c r="P5957" s="132" t="s">
        <v>183</v>
      </c>
      <c r="Q5957" s="232"/>
      <c r="R5957" s="411">
        <v>9.9700000000000006</v>
      </c>
      <c r="S5957" s="133" t="s">
        <v>10730</v>
      </c>
      <c r="T5957" s="134" t="s">
        <v>145</v>
      </c>
      <c r="U5957" s="267" t="s">
        <v>12857</v>
      </c>
      <c r="AA5957" s="218"/>
    </row>
    <row r="5958" spans="1:27" ht="24" x14ac:dyDescent="0.25">
      <c r="A5958" s="405">
        <v>3004682</v>
      </c>
      <c r="B5958" s="406">
        <v>42646</v>
      </c>
      <c r="C5958" s="405" t="s">
        <v>42</v>
      </c>
      <c r="D5958" s="401" t="s">
        <v>12858</v>
      </c>
      <c r="E5958" s="120">
        <v>50</v>
      </c>
      <c r="F5958" s="133" t="s">
        <v>431</v>
      </c>
      <c r="G5958" s="404" t="s">
        <v>7486</v>
      </c>
      <c r="H5958" s="411">
        <v>128.80000000000001</v>
      </c>
      <c r="I5958" s="89">
        <f t="shared" si="2375"/>
        <v>-11.592000000000001</v>
      </c>
      <c r="J5958" s="258">
        <f t="shared" ref="J5958" si="2391">-((H5958*0.019)+0.3)</f>
        <v>-2.7471999999999999</v>
      </c>
      <c r="K5958" s="90">
        <f t="shared" ref="K5958" si="2392">SUM(H5958:J5958)</f>
        <v>114.46080000000001</v>
      </c>
      <c r="L5958" s="131">
        <v>990</v>
      </c>
      <c r="N5958" s="91">
        <f t="shared" si="2365"/>
        <v>49.5</v>
      </c>
      <c r="O5958" s="411">
        <f t="shared" si="2388"/>
        <v>64.960800000000006</v>
      </c>
      <c r="P5958" s="132" t="s">
        <v>52</v>
      </c>
      <c r="Q5958" s="232"/>
      <c r="R5958" s="411"/>
      <c r="T5958" s="134" t="s">
        <v>145</v>
      </c>
      <c r="U5958" s="267" t="s">
        <v>12859</v>
      </c>
      <c r="AA5958" s="218"/>
    </row>
    <row r="5959" spans="1:27" ht="24" x14ac:dyDescent="0.25">
      <c r="A5959" s="405">
        <v>3004683</v>
      </c>
      <c r="B5959" s="406">
        <v>42646</v>
      </c>
      <c r="C5959" s="405" t="s">
        <v>42</v>
      </c>
      <c r="D5959" s="401" t="s">
        <v>12860</v>
      </c>
      <c r="E5959" s="120">
        <v>250</v>
      </c>
      <c r="F5959" s="133" t="s">
        <v>323</v>
      </c>
      <c r="G5959" s="404" t="s">
        <v>7486</v>
      </c>
      <c r="H5959" s="411">
        <v>197.99</v>
      </c>
      <c r="I5959" s="89">
        <f t="shared" si="2375"/>
        <v>-17.819099999999999</v>
      </c>
      <c r="J5959" s="258">
        <f t="shared" ref="J5959" si="2393">-((H5959*0.019)+0.3)</f>
        <v>-4.0618100000000004</v>
      </c>
      <c r="K5959" s="90">
        <f t="shared" ref="K5959" si="2394">SUM(H5959:J5959)</f>
        <v>176.10909000000001</v>
      </c>
      <c r="L5959" s="131">
        <v>395</v>
      </c>
      <c r="M5959" s="187">
        <v>35.840000000000003</v>
      </c>
      <c r="N5959" s="91">
        <f t="shared" si="2365"/>
        <v>134.59</v>
      </c>
      <c r="O5959" s="411">
        <f t="shared" si="2388"/>
        <v>41.519090000000006</v>
      </c>
      <c r="P5959" s="132" t="s">
        <v>52</v>
      </c>
      <c r="Q5959" s="232"/>
      <c r="R5959" s="411"/>
      <c r="T5959" s="134" t="s">
        <v>145</v>
      </c>
      <c r="U5959" s="267" t="s">
        <v>12861</v>
      </c>
      <c r="AA5959" s="218"/>
    </row>
    <row r="5960" spans="1:27" ht="24" x14ac:dyDescent="0.25">
      <c r="A5960" s="405">
        <v>3004684</v>
      </c>
      <c r="B5960" s="406">
        <v>42646</v>
      </c>
      <c r="C5960" s="405" t="s">
        <v>42</v>
      </c>
      <c r="D5960" s="401" t="s">
        <v>12862</v>
      </c>
      <c r="E5960" s="120">
        <v>150</v>
      </c>
      <c r="F5960" s="133" t="s">
        <v>161</v>
      </c>
      <c r="G5960" s="404" t="s">
        <v>7486</v>
      </c>
      <c r="H5960" s="411">
        <v>341.55</v>
      </c>
      <c r="I5960" s="89">
        <f t="shared" si="2375"/>
        <v>-30.7395</v>
      </c>
      <c r="J5960" s="258">
        <f t="shared" ref="J5960" si="2395">-((H5960*0.019)+0.3)</f>
        <v>-6.7894499999999995</v>
      </c>
      <c r="K5960" s="90">
        <f t="shared" ref="K5960" si="2396">SUM(H5960:J5960)</f>
        <v>304.02105</v>
      </c>
      <c r="L5960" s="131">
        <v>1322</v>
      </c>
      <c r="M5960" s="187">
        <v>50.74</v>
      </c>
      <c r="N5960" s="91">
        <f t="shared" si="2365"/>
        <v>249.04</v>
      </c>
      <c r="O5960" s="411">
        <f t="shared" si="2388"/>
        <v>54.98105000000001</v>
      </c>
      <c r="P5960" s="132" t="s">
        <v>52</v>
      </c>
      <c r="Q5960" s="232"/>
      <c r="R5960" s="411"/>
      <c r="T5960" s="134" t="s">
        <v>145</v>
      </c>
      <c r="U5960" s="267" t="s">
        <v>12863</v>
      </c>
      <c r="AA5960" s="218"/>
    </row>
    <row r="5961" spans="1:27" ht="24" x14ac:dyDescent="0.25">
      <c r="A5961" s="405">
        <v>3004685</v>
      </c>
      <c r="B5961" s="406">
        <v>42646</v>
      </c>
      <c r="C5961" s="405" t="s">
        <v>42</v>
      </c>
      <c r="D5961" s="401" t="s">
        <v>12864</v>
      </c>
      <c r="E5961" s="120">
        <v>100</v>
      </c>
      <c r="F5961" s="133" t="s">
        <v>593</v>
      </c>
      <c r="G5961" s="404" t="s">
        <v>7486</v>
      </c>
      <c r="H5961" s="411">
        <v>138.9</v>
      </c>
      <c r="I5961" s="89">
        <f t="shared" si="2375"/>
        <v>-12.500999999999999</v>
      </c>
      <c r="J5961" s="258">
        <f t="shared" ref="J5961" si="2397">-((H5961*0.019)+0.3)</f>
        <v>-2.9390999999999998</v>
      </c>
      <c r="K5961" s="90">
        <f t="shared" ref="K5961" si="2398">SUM(H5961:J5961)</f>
        <v>123.4599</v>
      </c>
      <c r="L5961" s="187">
        <v>880</v>
      </c>
      <c r="M5961" s="187">
        <v>16.82</v>
      </c>
      <c r="N5961" s="91">
        <f t="shared" si="2365"/>
        <v>104.82</v>
      </c>
      <c r="O5961" s="411">
        <f t="shared" si="2388"/>
        <v>18.639900000000011</v>
      </c>
      <c r="P5961" s="132" t="s">
        <v>235</v>
      </c>
      <c r="Q5961" s="232"/>
      <c r="R5961" s="411"/>
      <c r="T5961" s="134" t="s">
        <v>145</v>
      </c>
      <c r="U5961" s="267" t="s">
        <v>12865</v>
      </c>
      <c r="AA5961" s="218"/>
    </row>
    <row r="5962" spans="1:27" ht="24" x14ac:dyDescent="0.25">
      <c r="A5962" s="405">
        <v>3004686</v>
      </c>
      <c r="B5962" s="406">
        <v>42646</v>
      </c>
      <c r="C5962" s="405" t="s">
        <v>42</v>
      </c>
      <c r="D5962" s="401" t="s">
        <v>12866</v>
      </c>
      <c r="E5962" s="120">
        <v>75</v>
      </c>
      <c r="F5962" s="133" t="s">
        <v>165</v>
      </c>
      <c r="G5962" s="404" t="s">
        <v>7486</v>
      </c>
      <c r="H5962" s="411">
        <v>89.25</v>
      </c>
      <c r="I5962" s="89">
        <f t="shared" si="2375"/>
        <v>-8.0324999999999989</v>
      </c>
      <c r="J5962" s="258">
        <f t="shared" ref="J5962" si="2399">-((H5962*0.019)+0.3)</f>
        <v>-1.9957499999999999</v>
      </c>
      <c r="K5962" s="90">
        <f t="shared" ref="K5962" si="2400">SUM(H5962:J5962)</f>
        <v>79.22175</v>
      </c>
      <c r="L5962" s="131">
        <v>375</v>
      </c>
      <c r="N5962" s="91">
        <f t="shared" si="2365"/>
        <v>28.125</v>
      </c>
      <c r="O5962" s="411">
        <f t="shared" si="2388"/>
        <v>51.09675</v>
      </c>
      <c r="P5962" s="132" t="s">
        <v>52</v>
      </c>
      <c r="Q5962" s="232"/>
      <c r="R5962" s="411"/>
      <c r="T5962" s="134" t="s">
        <v>145</v>
      </c>
      <c r="U5962" s="267" t="s">
        <v>12867</v>
      </c>
      <c r="AA5962" s="218"/>
    </row>
    <row r="5963" spans="1:27" ht="24" x14ac:dyDescent="0.25">
      <c r="A5963" s="405">
        <v>3004687</v>
      </c>
      <c r="B5963" s="406">
        <v>42646</v>
      </c>
      <c r="C5963" s="405" t="s">
        <v>42</v>
      </c>
      <c r="D5963" s="401" t="s">
        <v>12868</v>
      </c>
      <c r="E5963" s="120">
        <v>200</v>
      </c>
      <c r="F5963" s="133" t="s">
        <v>2267</v>
      </c>
      <c r="G5963" s="404" t="s">
        <v>7486</v>
      </c>
      <c r="H5963" s="411">
        <v>550.44000000000005</v>
      </c>
      <c r="I5963" s="89">
        <f t="shared" si="2375"/>
        <v>-49.5396</v>
      </c>
      <c r="J5963" s="258">
        <f t="shared" ref="J5963" si="2401">-((H5963*0.019)+0.3)</f>
        <v>-10.758360000000001</v>
      </c>
      <c r="K5963" s="90">
        <f t="shared" ref="K5963" si="2402">SUM(H5963:J5963)</f>
        <v>490.14204000000007</v>
      </c>
      <c r="L5963" s="187">
        <v>1325</v>
      </c>
      <c r="M5963" s="187">
        <v>29.76</v>
      </c>
      <c r="N5963" s="91">
        <f t="shared" si="2365"/>
        <v>294.76</v>
      </c>
      <c r="O5963" s="411">
        <f t="shared" si="2388"/>
        <v>195.38204000000007</v>
      </c>
      <c r="P5963" s="132" t="s">
        <v>926</v>
      </c>
      <c r="Q5963" s="232"/>
      <c r="R5963" s="411"/>
      <c r="T5963" s="134" t="s">
        <v>145</v>
      </c>
      <c r="U5963" s="267" t="s">
        <v>12869</v>
      </c>
      <c r="AA5963" s="218"/>
    </row>
    <row r="5964" spans="1:27" ht="24" x14ac:dyDescent="0.25">
      <c r="A5964" s="405">
        <v>3004688</v>
      </c>
      <c r="B5964" s="406">
        <v>42646</v>
      </c>
      <c r="C5964" s="405" t="s">
        <v>42</v>
      </c>
      <c r="D5964" s="401" t="s">
        <v>12870</v>
      </c>
      <c r="E5964" s="120">
        <v>100</v>
      </c>
      <c r="F5964" s="133" t="s">
        <v>161</v>
      </c>
      <c r="G5964" s="404" t="s">
        <v>7486</v>
      </c>
      <c r="H5964" s="411">
        <v>245</v>
      </c>
      <c r="I5964" s="89">
        <f t="shared" si="2375"/>
        <v>-22.05</v>
      </c>
      <c r="J5964" s="258">
        <f t="shared" ref="J5964" si="2403">-((H5964*0.019)+0.3)</f>
        <v>-4.9550000000000001</v>
      </c>
      <c r="K5964" s="90">
        <f t="shared" ref="K5964" si="2404">SUM(H5964:J5964)</f>
        <v>217.99499999999998</v>
      </c>
      <c r="L5964" s="131">
        <v>1322</v>
      </c>
      <c r="N5964" s="91">
        <f t="shared" si="2365"/>
        <v>132.20000000000002</v>
      </c>
      <c r="O5964" s="411">
        <f t="shared" si="2388"/>
        <v>85.794999999999959</v>
      </c>
      <c r="P5964" s="132" t="s">
        <v>52</v>
      </c>
      <c r="Q5964" s="232"/>
      <c r="R5964" s="411"/>
      <c r="T5964" s="134" t="s">
        <v>145</v>
      </c>
      <c r="U5964" s="267" t="s">
        <v>12871</v>
      </c>
      <c r="AA5964" s="218"/>
    </row>
    <row r="5965" spans="1:27" x14ac:dyDescent="0.25">
      <c r="A5965" s="405">
        <v>3004689</v>
      </c>
      <c r="B5965" s="406">
        <v>42646</v>
      </c>
      <c r="C5965" s="405" t="s">
        <v>42</v>
      </c>
      <c r="D5965" s="401" t="s">
        <v>12872</v>
      </c>
      <c r="E5965" s="120">
        <v>225</v>
      </c>
      <c r="F5965" s="133" t="s">
        <v>85</v>
      </c>
      <c r="G5965" s="404" t="s">
        <v>7486</v>
      </c>
      <c r="H5965" s="411">
        <v>576.91999999999996</v>
      </c>
      <c r="I5965" s="89">
        <f t="shared" si="2375"/>
        <v>-51.922799999999995</v>
      </c>
      <c r="J5965" s="258">
        <f t="shared" ref="J5965" si="2405">-((H5965*0.019)+0.3)</f>
        <v>-11.261479999999999</v>
      </c>
      <c r="K5965" s="90">
        <f t="shared" ref="K5965" si="2406">SUM(H5965:J5965)</f>
        <v>513.73572000000001</v>
      </c>
      <c r="L5965" s="131">
        <v>1296</v>
      </c>
      <c r="M5965" s="187">
        <v>181.46</v>
      </c>
      <c r="N5965" s="91">
        <f t="shared" si="2365"/>
        <v>473.06000000000006</v>
      </c>
      <c r="O5965" s="411">
        <f t="shared" si="2388"/>
        <v>40.675719999999956</v>
      </c>
      <c r="P5965" s="132" t="s">
        <v>52</v>
      </c>
      <c r="Q5965" s="232"/>
      <c r="R5965" s="411"/>
      <c r="T5965" s="134" t="s">
        <v>7260</v>
      </c>
      <c r="U5965" s="267" t="s">
        <v>12873</v>
      </c>
      <c r="V5965" s="133" t="s">
        <v>55</v>
      </c>
      <c r="AA5965" s="218"/>
    </row>
    <row r="5966" spans="1:27" ht="24" x14ac:dyDescent="0.25">
      <c r="A5966" s="405">
        <v>3004690</v>
      </c>
      <c r="B5966" s="406">
        <v>42646</v>
      </c>
      <c r="C5966" s="405" t="s">
        <v>42</v>
      </c>
      <c r="D5966" s="401" t="s">
        <v>12874</v>
      </c>
      <c r="E5966" s="120">
        <v>100</v>
      </c>
      <c r="F5966" s="133" t="s">
        <v>288</v>
      </c>
      <c r="G5966" s="404" t="s">
        <v>7486</v>
      </c>
      <c r="H5966" s="411">
        <v>195.25</v>
      </c>
      <c r="I5966" s="89">
        <f t="shared" si="2375"/>
        <v>-17.572499999999998</v>
      </c>
      <c r="J5966" s="258">
        <f t="shared" ref="J5966" si="2407">-((H5966*0.019)+0.3)</f>
        <v>-4.0097500000000004</v>
      </c>
      <c r="K5966" s="90">
        <f t="shared" ref="K5966" si="2408">SUM(H5966:J5966)</f>
        <v>173.66775000000001</v>
      </c>
      <c r="L5966" s="131">
        <v>950</v>
      </c>
      <c r="M5966" s="187">
        <v>42.11</v>
      </c>
      <c r="N5966" s="91">
        <f t="shared" si="2365"/>
        <v>137.11000000000001</v>
      </c>
      <c r="O5966" s="411">
        <f t="shared" si="2388"/>
        <v>36.557749999999999</v>
      </c>
      <c r="P5966" s="132" t="s">
        <v>52</v>
      </c>
      <c r="Q5966" s="232"/>
      <c r="R5966" s="411"/>
      <c r="T5966" s="134" t="s">
        <v>145</v>
      </c>
      <c r="U5966" s="267" t="s">
        <v>12875</v>
      </c>
      <c r="AA5966" s="218"/>
    </row>
    <row r="5967" spans="1:27" x14ac:dyDescent="0.25">
      <c r="A5967" s="405">
        <v>3004691</v>
      </c>
      <c r="B5967" s="406">
        <v>42646</v>
      </c>
      <c r="C5967" s="405" t="s">
        <v>42</v>
      </c>
      <c r="D5967" s="401" t="s">
        <v>12876</v>
      </c>
      <c r="E5967" s="120">
        <v>275</v>
      </c>
      <c r="F5967" s="133" t="s">
        <v>198</v>
      </c>
      <c r="G5967" s="404" t="s">
        <v>7486</v>
      </c>
      <c r="H5967" s="411">
        <v>910</v>
      </c>
      <c r="I5967" s="89">
        <f t="shared" si="2375"/>
        <v>-81.899999999999991</v>
      </c>
      <c r="J5967" s="258">
        <f t="shared" ref="J5967:J5968" si="2409">-((H5967*0.019)+0.3)</f>
        <v>-17.59</v>
      </c>
      <c r="K5967" s="90">
        <f t="shared" ref="K5967:K5968" si="2410">SUM(H5967:J5967)</f>
        <v>810.51</v>
      </c>
      <c r="L5967" s="131">
        <v>1693</v>
      </c>
      <c r="M5967" s="187">
        <v>173.07</v>
      </c>
      <c r="N5967" s="91">
        <f t="shared" si="2365"/>
        <v>638.64499999999998</v>
      </c>
      <c r="O5967" s="411">
        <f t="shared" si="2388"/>
        <v>171.86500000000001</v>
      </c>
      <c r="P5967" s="132" t="s">
        <v>52</v>
      </c>
      <c r="Q5967" s="232"/>
      <c r="R5967" s="411"/>
      <c r="T5967" s="134" t="s">
        <v>12386</v>
      </c>
      <c r="U5967" s="267" t="s">
        <v>12877</v>
      </c>
      <c r="V5967" s="133" t="s">
        <v>55</v>
      </c>
      <c r="AA5967" s="218"/>
    </row>
    <row r="5968" spans="1:27" ht="24" x14ac:dyDescent="0.25">
      <c r="A5968" s="405">
        <v>3004692</v>
      </c>
      <c r="B5968" s="406">
        <v>42646</v>
      </c>
      <c r="C5968" s="405" t="s">
        <v>42</v>
      </c>
      <c r="D5968" s="401" t="s">
        <v>12878</v>
      </c>
      <c r="E5968" s="120">
        <v>50</v>
      </c>
      <c r="F5968" s="133" t="s">
        <v>161</v>
      </c>
      <c r="G5968" s="404" t="s">
        <v>7486</v>
      </c>
      <c r="H5968" s="411">
        <v>142.75</v>
      </c>
      <c r="I5968" s="89">
        <f t="shared" si="2375"/>
        <v>-12.8475</v>
      </c>
      <c r="J5968" s="258">
        <f t="shared" si="2409"/>
        <v>-3.0122499999999999</v>
      </c>
      <c r="K5968" s="90">
        <f t="shared" si="2410"/>
        <v>126.89025000000001</v>
      </c>
      <c r="L5968" s="131">
        <v>1322</v>
      </c>
      <c r="M5968" s="187">
        <v>30.36</v>
      </c>
      <c r="N5968" s="91">
        <f t="shared" si="2365"/>
        <v>96.460000000000008</v>
      </c>
      <c r="O5968" s="411">
        <f t="shared" si="2388"/>
        <v>30.430250000000001</v>
      </c>
      <c r="P5968" s="132" t="s">
        <v>52</v>
      </c>
      <c r="Q5968" s="232"/>
      <c r="R5968" s="411"/>
      <c r="T5968" s="134" t="s">
        <v>145</v>
      </c>
      <c r="U5968" s="267" t="s">
        <v>12879</v>
      </c>
      <c r="AA5968" s="218"/>
    </row>
    <row r="5969" spans="1:27" ht="24" x14ac:dyDescent="0.25">
      <c r="A5969" s="405">
        <v>3004693</v>
      </c>
      <c r="B5969" s="406">
        <v>42646</v>
      </c>
      <c r="C5969" s="405" t="s">
        <v>12880</v>
      </c>
      <c r="D5969" s="401" t="s">
        <v>12881</v>
      </c>
      <c r="E5969" s="120">
        <v>1000</v>
      </c>
      <c r="F5969" s="133" t="s">
        <v>451</v>
      </c>
      <c r="G5969" s="404" t="s">
        <v>7486</v>
      </c>
      <c r="H5969" s="411">
        <v>560</v>
      </c>
      <c r="I5969" s="399">
        <v>0</v>
      </c>
      <c r="J5969" s="396">
        <f>-((H5969*0.022)+0.3)</f>
        <v>-12.62</v>
      </c>
      <c r="K5969" s="396">
        <f t="shared" ref="K5969:K5980" si="2411">SUM(H5969:J5969)</f>
        <v>547.38</v>
      </c>
      <c r="L5969" s="131">
        <v>300</v>
      </c>
      <c r="M5969" s="187">
        <v>57.79</v>
      </c>
      <c r="N5969" s="91">
        <f t="shared" si="2365"/>
        <v>357.79</v>
      </c>
      <c r="O5969" s="411">
        <f t="shared" si="2388"/>
        <v>189.58999999999997</v>
      </c>
      <c r="P5969" s="132" t="s">
        <v>52</v>
      </c>
      <c r="Q5969" s="232"/>
      <c r="R5969" s="411"/>
      <c r="T5969" s="134" t="s">
        <v>145</v>
      </c>
      <c r="U5969" s="267" t="s">
        <v>12882</v>
      </c>
      <c r="W5969" s="153" t="s">
        <v>12883</v>
      </c>
      <c r="AA5969" s="218"/>
    </row>
    <row r="5970" spans="1:27" ht="48" x14ac:dyDescent="0.25">
      <c r="A5970" s="405">
        <v>3004694</v>
      </c>
      <c r="B5970" s="406">
        <v>42646</v>
      </c>
      <c r="C5970" s="405" t="s">
        <v>237</v>
      </c>
      <c r="D5970" s="401" t="s">
        <v>12884</v>
      </c>
      <c r="E5970" s="120">
        <v>10</v>
      </c>
      <c r="F5970" s="119" t="s">
        <v>12885</v>
      </c>
      <c r="G5970" s="404" t="s">
        <v>7486</v>
      </c>
      <c r="H5970" s="411">
        <v>122.61</v>
      </c>
      <c r="I5970" s="397">
        <f t="shared" ref="I5970" si="2412">-(H5970*0.15)</f>
        <v>-18.391500000000001</v>
      </c>
      <c r="J5970" s="258">
        <v>0</v>
      </c>
      <c r="K5970" s="90">
        <f t="shared" si="2411"/>
        <v>104.21850000000001</v>
      </c>
      <c r="L5970" s="187">
        <v>8000</v>
      </c>
      <c r="M5970" s="187">
        <v>10.3</v>
      </c>
      <c r="N5970" s="91">
        <f t="shared" si="2365"/>
        <v>90.3</v>
      </c>
      <c r="O5970" s="411">
        <f t="shared" si="2388"/>
        <v>13.918500000000009</v>
      </c>
      <c r="P5970" s="132" t="s">
        <v>856</v>
      </c>
      <c r="Q5970" s="232"/>
      <c r="R5970" s="411"/>
      <c r="T5970" s="134" t="s">
        <v>145</v>
      </c>
      <c r="U5970" s="267" t="s">
        <v>12886</v>
      </c>
      <c r="AA5970" s="218"/>
    </row>
    <row r="5971" spans="1:27" ht="24" x14ac:dyDescent="0.25">
      <c r="A5971" s="405">
        <v>3004695</v>
      </c>
      <c r="B5971" s="406">
        <v>42646</v>
      </c>
      <c r="C5971" s="405" t="s">
        <v>237</v>
      </c>
      <c r="D5971" s="401" t="s">
        <v>12887</v>
      </c>
      <c r="E5971" s="120">
        <v>350</v>
      </c>
      <c r="F5971" s="133" t="s">
        <v>6748</v>
      </c>
      <c r="G5971" s="404" t="s">
        <v>7486</v>
      </c>
      <c r="H5971" s="411">
        <v>270</v>
      </c>
      <c r="I5971" s="397">
        <f t="shared" ref="I5971" si="2413">-(H5971*0.15)</f>
        <v>-40.5</v>
      </c>
      <c r="J5971" s="258">
        <v>0</v>
      </c>
      <c r="K5971" s="90">
        <f t="shared" si="2411"/>
        <v>229.5</v>
      </c>
      <c r="L5971" s="131">
        <v>375</v>
      </c>
      <c r="M5971" s="187">
        <v>46.3</v>
      </c>
      <c r="N5971" s="91">
        <f t="shared" si="2365"/>
        <v>177.55</v>
      </c>
      <c r="O5971" s="411">
        <f t="shared" si="2388"/>
        <v>51.949999999999989</v>
      </c>
      <c r="P5971" s="132" t="s">
        <v>52</v>
      </c>
      <c r="Q5971" s="232"/>
      <c r="R5971" s="411"/>
      <c r="T5971" s="134" t="s">
        <v>145</v>
      </c>
      <c r="U5971" s="267" t="s">
        <v>12888</v>
      </c>
      <c r="AA5971" s="218"/>
    </row>
    <row r="5972" spans="1:27" ht="24" x14ac:dyDescent="0.25">
      <c r="A5972" s="405">
        <v>3004696</v>
      </c>
      <c r="B5972" s="406">
        <v>42646</v>
      </c>
      <c r="C5972" s="405" t="s">
        <v>237</v>
      </c>
      <c r="D5972" s="401" t="s">
        <v>12889</v>
      </c>
      <c r="E5972" s="120">
        <v>100</v>
      </c>
      <c r="F5972" s="133" t="s">
        <v>1293</v>
      </c>
      <c r="G5972" s="404" t="s">
        <v>7486</v>
      </c>
      <c r="H5972" s="411">
        <v>103.95</v>
      </c>
      <c r="I5972" s="397">
        <f t="shared" ref="I5972:I5973" si="2414">-(H5972*0.15)</f>
        <v>-15.592499999999999</v>
      </c>
      <c r="J5972" s="258">
        <v>0</v>
      </c>
      <c r="K5972" s="90">
        <f t="shared" si="2411"/>
        <v>88.357500000000002</v>
      </c>
      <c r="L5972" s="131">
        <v>504</v>
      </c>
      <c r="M5972" s="187">
        <v>25.56</v>
      </c>
      <c r="N5972" s="91">
        <f t="shared" si="2365"/>
        <v>75.960000000000008</v>
      </c>
      <c r="O5972" s="411">
        <f t="shared" si="2388"/>
        <v>12.397499999999994</v>
      </c>
      <c r="P5972" s="132" t="s">
        <v>52</v>
      </c>
      <c r="Q5972" s="232"/>
      <c r="R5972" s="411"/>
      <c r="T5972" s="134" t="s">
        <v>145</v>
      </c>
      <c r="U5972" s="267" t="s">
        <v>12890</v>
      </c>
      <c r="AA5972" s="218"/>
    </row>
    <row r="5973" spans="1:27" ht="24" x14ac:dyDescent="0.25">
      <c r="A5973" s="405">
        <v>3004697</v>
      </c>
      <c r="B5973" s="406">
        <v>42646</v>
      </c>
      <c r="C5973" s="405" t="s">
        <v>237</v>
      </c>
      <c r="D5973" s="401" t="s">
        <v>12891</v>
      </c>
      <c r="E5973" s="120">
        <v>350</v>
      </c>
      <c r="F5973" s="133" t="s">
        <v>6748</v>
      </c>
      <c r="G5973" s="404" t="s">
        <v>7486</v>
      </c>
      <c r="H5973" s="411">
        <v>270</v>
      </c>
      <c r="I5973" s="397">
        <f t="shared" si="2414"/>
        <v>-40.5</v>
      </c>
      <c r="J5973" s="258">
        <v>0</v>
      </c>
      <c r="K5973" s="90">
        <f t="shared" si="2411"/>
        <v>229.5</v>
      </c>
      <c r="L5973" s="131">
        <v>375</v>
      </c>
      <c r="M5973" s="187">
        <v>51.69</v>
      </c>
      <c r="N5973" s="91">
        <f t="shared" si="2365"/>
        <v>182.94</v>
      </c>
      <c r="O5973" s="411">
        <f t="shared" si="2388"/>
        <v>46.56</v>
      </c>
      <c r="P5973" s="132" t="s">
        <v>52</v>
      </c>
      <c r="Q5973" s="232"/>
      <c r="R5973" s="411"/>
      <c r="T5973" s="134" t="s">
        <v>145</v>
      </c>
      <c r="U5973" s="267" t="s">
        <v>12892</v>
      </c>
      <c r="AA5973" s="218"/>
    </row>
    <row r="5974" spans="1:27" ht="24" x14ac:dyDescent="0.25">
      <c r="A5974" s="405">
        <v>3004698</v>
      </c>
      <c r="B5974" s="406">
        <v>42646</v>
      </c>
      <c r="C5974" s="405" t="s">
        <v>237</v>
      </c>
      <c r="D5974" s="401" t="s">
        <v>12893</v>
      </c>
      <c r="E5974" s="120">
        <v>100</v>
      </c>
      <c r="F5974" s="133" t="s">
        <v>288</v>
      </c>
      <c r="G5974" s="404" t="s">
        <v>7486</v>
      </c>
      <c r="H5974" s="411">
        <v>193.04</v>
      </c>
      <c r="I5974" s="397">
        <f t="shared" ref="I5974" si="2415">-(H5974*0.15)</f>
        <v>-28.955999999999996</v>
      </c>
      <c r="J5974" s="258">
        <v>0</v>
      </c>
      <c r="K5974" s="90">
        <f t="shared" si="2411"/>
        <v>164.084</v>
      </c>
      <c r="L5974" s="131">
        <v>950</v>
      </c>
      <c r="M5974" s="187">
        <v>19.79</v>
      </c>
      <c r="N5974" s="91">
        <f t="shared" si="2365"/>
        <v>114.78999999999999</v>
      </c>
      <c r="O5974" s="411">
        <f t="shared" si="2388"/>
        <v>49.294000000000011</v>
      </c>
      <c r="P5974" s="132" t="s">
        <v>52</v>
      </c>
      <c r="Q5974" s="232"/>
      <c r="R5974" s="411"/>
      <c r="T5974" s="134" t="s">
        <v>145</v>
      </c>
      <c r="U5974" s="267" t="s">
        <v>12894</v>
      </c>
      <c r="AA5974" s="218"/>
    </row>
    <row r="5975" spans="1:27" ht="24" x14ac:dyDescent="0.25">
      <c r="A5975" s="405">
        <v>3004699</v>
      </c>
      <c r="B5975" s="406">
        <v>42646</v>
      </c>
      <c r="C5975" s="405" t="s">
        <v>237</v>
      </c>
      <c r="D5975" s="401" t="s">
        <v>12895</v>
      </c>
      <c r="E5975" s="120">
        <v>275</v>
      </c>
      <c r="F5975" s="133" t="s">
        <v>247</v>
      </c>
      <c r="G5975" s="404" t="s">
        <v>7486</v>
      </c>
      <c r="H5975" s="411">
        <v>320.19</v>
      </c>
      <c r="I5975" s="397">
        <f t="shared" ref="I5975" si="2416">-(H5975*0.15)</f>
        <v>-48.028500000000001</v>
      </c>
      <c r="J5975" s="258">
        <v>0</v>
      </c>
      <c r="K5975" s="90">
        <f t="shared" si="2411"/>
        <v>272.16149999999999</v>
      </c>
      <c r="L5975" s="187">
        <v>584</v>
      </c>
      <c r="M5975" s="187">
        <v>43.13</v>
      </c>
      <c r="N5975" s="91">
        <f t="shared" si="2365"/>
        <v>203.73000000000002</v>
      </c>
      <c r="O5975" s="411">
        <f t="shared" si="2388"/>
        <v>68.431499999999971</v>
      </c>
      <c r="P5975" s="132" t="s">
        <v>3597</v>
      </c>
      <c r="Q5975" s="232"/>
      <c r="R5975" s="411"/>
      <c r="T5975" s="134" t="s">
        <v>145</v>
      </c>
      <c r="U5975" s="267" t="s">
        <v>12896</v>
      </c>
      <c r="AA5975" s="218"/>
    </row>
    <row r="5976" spans="1:27" ht="24" x14ac:dyDescent="0.25">
      <c r="A5976" s="405">
        <v>3004700</v>
      </c>
      <c r="B5976" s="406">
        <v>42646</v>
      </c>
      <c r="C5976" s="405" t="s">
        <v>237</v>
      </c>
      <c r="D5976" s="401" t="s">
        <v>12897</v>
      </c>
      <c r="E5976" s="120">
        <v>200</v>
      </c>
      <c r="F5976" s="133" t="s">
        <v>247</v>
      </c>
      <c r="G5976" s="404" t="s">
        <v>7486</v>
      </c>
      <c r="H5976" s="411">
        <v>224.43</v>
      </c>
      <c r="I5976" s="397">
        <f t="shared" ref="I5976" si="2417">-(H5976*0.15)</f>
        <v>-33.664499999999997</v>
      </c>
      <c r="J5976" s="258">
        <v>0</v>
      </c>
      <c r="K5976" s="90">
        <f t="shared" si="2411"/>
        <v>190.7655</v>
      </c>
      <c r="L5976" s="187">
        <v>584</v>
      </c>
      <c r="M5976" s="187">
        <v>33.47</v>
      </c>
      <c r="N5976" s="91">
        <f t="shared" si="2365"/>
        <v>150.27000000000001</v>
      </c>
      <c r="O5976" s="411">
        <f t="shared" si="2388"/>
        <v>40.495499999999993</v>
      </c>
      <c r="P5976" s="132" t="s">
        <v>3597</v>
      </c>
      <c r="Q5976" s="232"/>
      <c r="R5976" s="411"/>
      <c r="T5976" s="134" t="s">
        <v>145</v>
      </c>
      <c r="U5976" s="267" t="s">
        <v>12898</v>
      </c>
      <c r="AA5976" s="218"/>
    </row>
    <row r="5977" spans="1:27" ht="24" x14ac:dyDescent="0.25">
      <c r="A5977" s="405">
        <v>3004701</v>
      </c>
      <c r="B5977" s="406">
        <v>42646</v>
      </c>
      <c r="C5977" s="405" t="s">
        <v>237</v>
      </c>
      <c r="D5977" s="401" t="s">
        <v>12899</v>
      </c>
      <c r="E5977" s="120">
        <v>150</v>
      </c>
      <c r="F5977" s="133" t="s">
        <v>307</v>
      </c>
      <c r="G5977" s="404" t="s">
        <v>7486</v>
      </c>
      <c r="H5977" s="411">
        <v>218.22</v>
      </c>
      <c r="I5977" s="397">
        <f t="shared" ref="I5977" si="2418">-(H5977*0.15)</f>
        <v>-32.732999999999997</v>
      </c>
      <c r="J5977" s="258">
        <v>0</v>
      </c>
      <c r="K5977" s="90">
        <f t="shared" si="2411"/>
        <v>185.48699999999999</v>
      </c>
      <c r="L5977" s="131">
        <v>640</v>
      </c>
      <c r="M5977" s="187">
        <v>48.88</v>
      </c>
      <c r="N5977" s="91">
        <f t="shared" si="2365"/>
        <v>144.88</v>
      </c>
      <c r="O5977" s="411">
        <f t="shared" si="2388"/>
        <v>40.606999999999999</v>
      </c>
      <c r="P5977" s="132" t="s">
        <v>52</v>
      </c>
      <c r="Q5977" s="232"/>
      <c r="R5977" s="411"/>
      <c r="T5977" s="134" t="s">
        <v>145</v>
      </c>
      <c r="U5977" s="267" t="s">
        <v>12900</v>
      </c>
      <c r="AA5977" s="218"/>
    </row>
    <row r="5978" spans="1:27" ht="24" x14ac:dyDescent="0.25">
      <c r="A5978" s="405">
        <v>3004702</v>
      </c>
      <c r="B5978" s="406">
        <v>42646</v>
      </c>
      <c r="C5978" s="405" t="s">
        <v>237</v>
      </c>
      <c r="D5978" s="401" t="s">
        <v>12901</v>
      </c>
      <c r="E5978" s="120">
        <v>100</v>
      </c>
      <c r="F5978" s="133" t="s">
        <v>12902</v>
      </c>
      <c r="G5978" s="404" t="s">
        <v>7486</v>
      </c>
      <c r="H5978" s="411">
        <v>168.37</v>
      </c>
      <c r="I5978" s="397">
        <f t="shared" ref="I5978" si="2419">-(H5978*0.15)</f>
        <v>-25.255500000000001</v>
      </c>
      <c r="J5978" s="258">
        <v>0</v>
      </c>
      <c r="K5978" s="90">
        <f t="shared" si="2411"/>
        <v>143.11449999999999</v>
      </c>
      <c r="L5978" s="131">
        <v>579</v>
      </c>
      <c r="M5978" s="187">
        <v>16.02</v>
      </c>
      <c r="N5978" s="91">
        <f t="shared" si="2365"/>
        <v>73.92</v>
      </c>
      <c r="O5978" s="411">
        <f t="shared" si="2388"/>
        <v>69.194499999999991</v>
      </c>
      <c r="P5978" s="132" t="s">
        <v>52</v>
      </c>
      <c r="Q5978" s="232"/>
      <c r="R5978" s="411"/>
      <c r="T5978" s="134" t="s">
        <v>145</v>
      </c>
      <c r="U5978" s="267" t="s">
        <v>12903</v>
      </c>
      <c r="AA5978" s="218"/>
    </row>
    <row r="5979" spans="1:27" ht="24" x14ac:dyDescent="0.25">
      <c r="A5979" s="405">
        <v>3004703</v>
      </c>
      <c r="B5979" s="406">
        <v>42646</v>
      </c>
      <c r="C5979" s="405" t="s">
        <v>237</v>
      </c>
      <c r="D5979" s="401" t="s">
        <v>12904</v>
      </c>
      <c r="E5979" s="120">
        <v>1000</v>
      </c>
      <c r="F5979" s="133" t="s">
        <v>4303</v>
      </c>
      <c r="G5979" s="404" t="s">
        <v>9241</v>
      </c>
      <c r="H5979" s="411">
        <v>312.10000000000002</v>
      </c>
      <c r="I5979" s="397">
        <f t="shared" ref="I5979" si="2420">-(H5979*0.15)</f>
        <v>-46.815000000000005</v>
      </c>
      <c r="J5979" s="258">
        <v>0</v>
      </c>
      <c r="K5979" s="90">
        <f t="shared" si="2411"/>
        <v>265.28500000000003</v>
      </c>
      <c r="L5979" s="187">
        <v>280</v>
      </c>
      <c r="M5979" s="187">
        <v>46.75</v>
      </c>
      <c r="N5979" s="91">
        <f t="shared" ref="N5979:N6042" si="2421">((L5979)*(E5979*0.001))+M5979</f>
        <v>326.75</v>
      </c>
      <c r="O5979" s="411">
        <f t="shared" si="2388"/>
        <v>-61.464999999999975</v>
      </c>
      <c r="P5979" s="132" t="s">
        <v>235</v>
      </c>
      <c r="Q5979" s="232"/>
      <c r="R5979" s="411"/>
      <c r="T5979" s="134" t="s">
        <v>145</v>
      </c>
      <c r="U5979" s="267" t="s">
        <v>12905</v>
      </c>
      <c r="AA5979" s="218"/>
    </row>
    <row r="5980" spans="1:27" x14ac:dyDescent="0.25">
      <c r="A5980" s="419">
        <v>3004704</v>
      </c>
      <c r="B5980" s="421">
        <v>42646</v>
      </c>
      <c r="C5980" s="419" t="s">
        <v>237</v>
      </c>
      <c r="D5980" s="417" t="s">
        <v>12906</v>
      </c>
      <c r="E5980" s="120">
        <v>50</v>
      </c>
      <c r="F5980" s="133" t="s">
        <v>2483</v>
      </c>
      <c r="G5980" s="434" t="s">
        <v>7486</v>
      </c>
      <c r="H5980" s="427">
        <v>229.32</v>
      </c>
      <c r="I5980" s="452">
        <f t="shared" ref="I5980" si="2422">-(H5980*0.15)</f>
        <v>-34.397999999999996</v>
      </c>
      <c r="J5980" s="425">
        <v>0</v>
      </c>
      <c r="K5980" s="425">
        <f t="shared" si="2411"/>
        <v>194.922</v>
      </c>
      <c r="L5980" s="187">
        <v>1450</v>
      </c>
      <c r="M5980" s="187">
        <v>19.04</v>
      </c>
      <c r="N5980" s="91">
        <f t="shared" si="2421"/>
        <v>91.539999999999992</v>
      </c>
      <c r="O5980" s="411">
        <f t="shared" si="2388"/>
        <v>103.38200000000001</v>
      </c>
      <c r="P5980" s="132" t="s">
        <v>601</v>
      </c>
      <c r="Q5980" s="232"/>
      <c r="R5980" s="411"/>
      <c r="T5980" s="439" t="s">
        <v>145</v>
      </c>
      <c r="U5980" s="446" t="s">
        <v>12907</v>
      </c>
      <c r="AA5980" s="218"/>
    </row>
    <row r="5981" spans="1:27" x14ac:dyDescent="0.25">
      <c r="A5981" s="420"/>
      <c r="B5981" s="422"/>
      <c r="C5981" s="420"/>
      <c r="D5981" s="418"/>
      <c r="E5981" s="120">
        <v>50</v>
      </c>
      <c r="F5981" s="133" t="s">
        <v>3345</v>
      </c>
      <c r="G5981" s="436"/>
      <c r="H5981" s="428"/>
      <c r="I5981" s="453"/>
      <c r="J5981" s="426"/>
      <c r="K5981" s="426"/>
      <c r="L5981" s="187">
        <v>1460</v>
      </c>
      <c r="N5981" s="91">
        <f t="shared" si="2421"/>
        <v>73</v>
      </c>
      <c r="O5981" s="411">
        <f t="shared" si="2388"/>
        <v>-73</v>
      </c>
      <c r="P5981" s="132" t="s">
        <v>601</v>
      </c>
      <c r="Q5981" s="232"/>
      <c r="R5981" s="411"/>
      <c r="T5981" s="441"/>
      <c r="U5981" s="447"/>
      <c r="AA5981" s="218"/>
    </row>
    <row r="5982" spans="1:27" ht="36" x14ac:dyDescent="0.25">
      <c r="A5982" s="419">
        <v>3004705</v>
      </c>
      <c r="B5982" s="421">
        <v>42646</v>
      </c>
      <c r="C5982" s="419" t="s">
        <v>237</v>
      </c>
      <c r="D5982" s="417" t="s">
        <v>12908</v>
      </c>
      <c r="E5982" s="120">
        <v>2500</v>
      </c>
      <c r="F5982" s="119" t="s">
        <v>12909</v>
      </c>
      <c r="G5982" s="434" t="s">
        <v>7486</v>
      </c>
      <c r="H5982" s="427">
        <v>1391.17</v>
      </c>
      <c r="I5982" s="452">
        <f t="shared" ref="I5982" si="2423">-(H5982*0.15)</f>
        <v>-208.6755</v>
      </c>
      <c r="J5982" s="425">
        <v>0</v>
      </c>
      <c r="K5982" s="425">
        <f>SUM(H5982:J5982)</f>
        <v>1182.4945</v>
      </c>
      <c r="L5982" s="187">
        <v>110</v>
      </c>
      <c r="M5982" s="224">
        <f>8.74+8.74</f>
        <v>17.48</v>
      </c>
      <c r="N5982" s="91">
        <f t="shared" si="2421"/>
        <v>292.48</v>
      </c>
      <c r="O5982" s="411">
        <f t="shared" si="2388"/>
        <v>890.0145</v>
      </c>
      <c r="P5982" s="132" t="s">
        <v>1732</v>
      </c>
      <c r="Q5982" s="232"/>
      <c r="R5982" s="411"/>
      <c r="T5982" s="439" t="s">
        <v>145</v>
      </c>
      <c r="U5982" s="267" t="s">
        <v>12910</v>
      </c>
      <c r="AA5982" s="218"/>
    </row>
    <row r="5983" spans="1:27" ht="36" x14ac:dyDescent="0.25">
      <c r="A5983" s="432"/>
      <c r="B5983" s="433"/>
      <c r="C5983" s="432"/>
      <c r="D5983" s="454"/>
      <c r="E5983" s="120">
        <v>2000</v>
      </c>
      <c r="F5983" s="119" t="s">
        <v>11507</v>
      </c>
      <c r="G5983" s="435"/>
      <c r="H5983" s="438"/>
      <c r="I5983" s="484"/>
      <c r="J5983" s="437"/>
      <c r="K5983" s="437"/>
      <c r="L5983" s="187">
        <v>78</v>
      </c>
      <c r="M5983" s="187">
        <f>8.74+8.74</f>
        <v>17.48</v>
      </c>
      <c r="N5983" s="91">
        <f t="shared" si="2421"/>
        <v>173.48</v>
      </c>
      <c r="O5983" s="411">
        <f t="shared" si="2388"/>
        <v>-173.48</v>
      </c>
      <c r="P5983" s="132" t="s">
        <v>1732</v>
      </c>
      <c r="Q5983" s="232"/>
      <c r="R5983" s="411"/>
      <c r="T5983" s="440"/>
      <c r="U5983" s="267" t="s">
        <v>12911</v>
      </c>
      <c r="AA5983" s="218"/>
    </row>
    <row r="5984" spans="1:27" ht="36" x14ac:dyDescent="0.25">
      <c r="A5984" s="420"/>
      <c r="B5984" s="422"/>
      <c r="C5984" s="420"/>
      <c r="D5984" s="418"/>
      <c r="E5984" s="120">
        <v>2500</v>
      </c>
      <c r="F5984" s="119" t="s">
        <v>12912</v>
      </c>
      <c r="G5984" s="436"/>
      <c r="H5984" s="428"/>
      <c r="I5984" s="453"/>
      <c r="J5984" s="426"/>
      <c r="K5984" s="426"/>
      <c r="L5984" s="187">
        <v>110</v>
      </c>
      <c r="M5984" s="187">
        <f>8.74+9.87</f>
        <v>18.61</v>
      </c>
      <c r="N5984" s="91">
        <f t="shared" si="2421"/>
        <v>293.61</v>
      </c>
      <c r="O5984" s="411">
        <f t="shared" si="2388"/>
        <v>-293.61</v>
      </c>
      <c r="P5984" s="132" t="s">
        <v>1732</v>
      </c>
      <c r="Q5984" s="232"/>
      <c r="R5984" s="411"/>
      <c r="T5984" s="441"/>
      <c r="U5984" s="267" t="s">
        <v>12913</v>
      </c>
      <c r="AA5984" s="218"/>
    </row>
    <row r="5985" spans="1:27" ht="24" x14ac:dyDescent="0.25">
      <c r="A5985" s="405">
        <v>3004706</v>
      </c>
      <c r="B5985" s="406">
        <v>42646</v>
      </c>
      <c r="C5985" s="405" t="s">
        <v>237</v>
      </c>
      <c r="D5985" s="401" t="s">
        <v>12914</v>
      </c>
      <c r="E5985" s="120">
        <v>200</v>
      </c>
      <c r="F5985" s="133" t="s">
        <v>247</v>
      </c>
      <c r="G5985" s="404" t="s">
        <v>7486</v>
      </c>
      <c r="H5985" s="411">
        <v>224.43</v>
      </c>
      <c r="I5985" s="397">
        <f t="shared" ref="I5985" si="2424">-(H5985*0.15)</f>
        <v>-33.664499999999997</v>
      </c>
      <c r="J5985" s="258">
        <v>0</v>
      </c>
      <c r="K5985" s="90">
        <f>SUM(H5985:J5985)</f>
        <v>190.7655</v>
      </c>
      <c r="L5985" s="187">
        <v>584</v>
      </c>
      <c r="M5985" s="187">
        <v>39.020000000000003</v>
      </c>
      <c r="N5985" s="91">
        <f t="shared" si="2421"/>
        <v>155.82000000000002</v>
      </c>
      <c r="O5985" s="411">
        <f t="shared" si="2388"/>
        <v>34.945499999999981</v>
      </c>
      <c r="P5985" s="132" t="s">
        <v>3597</v>
      </c>
      <c r="Q5985" s="232"/>
      <c r="R5985" s="411"/>
      <c r="T5985" s="134" t="s">
        <v>145</v>
      </c>
      <c r="U5985" s="267" t="s">
        <v>12915</v>
      </c>
      <c r="AA5985" s="218"/>
    </row>
    <row r="5986" spans="1:27" ht="24" x14ac:dyDescent="0.25">
      <c r="A5986" s="405">
        <v>3004707</v>
      </c>
      <c r="B5986" s="406">
        <v>42646</v>
      </c>
      <c r="C5986" s="405" t="s">
        <v>237</v>
      </c>
      <c r="D5986" s="401" t="s">
        <v>12916</v>
      </c>
      <c r="E5986" s="120">
        <v>100</v>
      </c>
      <c r="F5986" s="133" t="s">
        <v>161</v>
      </c>
      <c r="G5986" s="404" t="s">
        <v>7486</v>
      </c>
      <c r="H5986" s="411">
        <v>260</v>
      </c>
      <c r="I5986" s="397">
        <f t="shared" ref="I5986" si="2425">-(H5986*0.15)</f>
        <v>-39</v>
      </c>
      <c r="J5986" s="258">
        <v>0</v>
      </c>
      <c r="K5986" s="90">
        <f>SUM(H5986:J5986)</f>
        <v>221</v>
      </c>
      <c r="L5986" s="131">
        <v>1322</v>
      </c>
      <c r="M5986" s="187">
        <v>33.4</v>
      </c>
      <c r="N5986" s="91">
        <f t="shared" si="2421"/>
        <v>165.60000000000002</v>
      </c>
      <c r="O5986" s="411">
        <f t="shared" si="2388"/>
        <v>55.399999999999977</v>
      </c>
      <c r="P5986" s="132" t="s">
        <v>52</v>
      </c>
      <c r="Q5986" s="232"/>
      <c r="R5986" s="411"/>
      <c r="T5986" s="134" t="s">
        <v>145</v>
      </c>
      <c r="U5986" s="267" t="s">
        <v>12917</v>
      </c>
      <c r="AA5986" s="218"/>
    </row>
    <row r="5987" spans="1:27" x14ac:dyDescent="0.25">
      <c r="A5987" s="419">
        <v>3004708</v>
      </c>
      <c r="B5987" s="421">
        <v>42646</v>
      </c>
      <c r="C5987" s="419" t="s">
        <v>237</v>
      </c>
      <c r="D5987" s="417" t="s">
        <v>12918</v>
      </c>
      <c r="E5987" s="120">
        <v>100</v>
      </c>
      <c r="F5987" s="133" t="s">
        <v>10698</v>
      </c>
      <c r="G5987" s="434" t="s">
        <v>7486</v>
      </c>
      <c r="H5987" s="427">
        <v>159</v>
      </c>
      <c r="I5987" s="452">
        <f t="shared" ref="I5987" si="2426">-(H5987*0.15)</f>
        <v>-23.849999999999998</v>
      </c>
      <c r="J5987" s="425">
        <v>0</v>
      </c>
      <c r="K5987" s="425">
        <f>SUM(H5987:J5987)</f>
        <v>135.15</v>
      </c>
      <c r="L5987" s="187">
        <v>468</v>
      </c>
      <c r="M5987" s="187">
        <v>11.16</v>
      </c>
      <c r="N5987" s="91">
        <f t="shared" si="2421"/>
        <v>57.960000000000008</v>
      </c>
      <c r="O5987" s="411">
        <f t="shared" si="2388"/>
        <v>77.19</v>
      </c>
      <c r="P5987" s="132" t="s">
        <v>601</v>
      </c>
      <c r="Q5987" s="232"/>
      <c r="R5987" s="411"/>
      <c r="T5987" s="439" t="s">
        <v>145</v>
      </c>
      <c r="U5987" s="446" t="s">
        <v>12919</v>
      </c>
      <c r="AA5987" s="218"/>
    </row>
    <row r="5988" spans="1:27" x14ac:dyDescent="0.25">
      <c r="A5988" s="420"/>
      <c r="B5988" s="422"/>
      <c r="C5988" s="420"/>
      <c r="D5988" s="418"/>
      <c r="E5988" s="120">
        <v>100</v>
      </c>
      <c r="F5988" s="133" t="s">
        <v>4881</v>
      </c>
      <c r="G5988" s="436"/>
      <c r="H5988" s="428"/>
      <c r="I5988" s="453"/>
      <c r="J5988" s="426"/>
      <c r="K5988" s="426"/>
      <c r="L5988" s="187">
        <v>478</v>
      </c>
      <c r="N5988" s="91">
        <f t="shared" si="2421"/>
        <v>47.800000000000004</v>
      </c>
      <c r="O5988" s="411">
        <f t="shared" si="2388"/>
        <v>-47.800000000000004</v>
      </c>
      <c r="P5988" s="132" t="s">
        <v>601</v>
      </c>
      <c r="Q5988" s="232"/>
      <c r="R5988" s="411"/>
      <c r="T5988" s="441"/>
      <c r="U5988" s="447"/>
      <c r="AA5988" s="218"/>
    </row>
    <row r="5989" spans="1:27" ht="24" x14ac:dyDescent="0.25">
      <c r="A5989" s="405">
        <v>3004709</v>
      </c>
      <c r="B5989" s="406">
        <v>42646</v>
      </c>
      <c r="C5989" s="405" t="s">
        <v>78</v>
      </c>
      <c r="D5989" s="401" t="s">
        <v>12920</v>
      </c>
      <c r="E5989" s="120">
        <v>200</v>
      </c>
      <c r="F5989" s="133" t="s">
        <v>605</v>
      </c>
      <c r="G5989" s="404" t="s">
        <v>45</v>
      </c>
      <c r="H5989" s="411">
        <v>230</v>
      </c>
      <c r="I5989" s="411">
        <v>0</v>
      </c>
      <c r="J5989" s="258">
        <f t="shared" ref="J5989" si="2427">-((H5989*0.019)+0.3)</f>
        <v>-4.67</v>
      </c>
      <c r="K5989" s="90">
        <f>SUM(H5989:J5989)</f>
        <v>225.33</v>
      </c>
      <c r="L5989" s="131">
        <v>595</v>
      </c>
      <c r="M5989" s="187">
        <v>36.58</v>
      </c>
      <c r="N5989" s="91">
        <f t="shared" si="2421"/>
        <v>155.57999999999998</v>
      </c>
      <c r="O5989" s="411">
        <f t="shared" si="2388"/>
        <v>69.750000000000028</v>
      </c>
      <c r="P5989" s="132" t="s">
        <v>52</v>
      </c>
      <c r="Q5989" s="232"/>
      <c r="R5989" s="411"/>
      <c r="T5989" s="134" t="s">
        <v>145</v>
      </c>
      <c r="U5989" s="267" t="s">
        <v>12921</v>
      </c>
      <c r="W5989" s="153" t="s">
        <v>12922</v>
      </c>
      <c r="AA5989" s="218"/>
    </row>
    <row r="5990" spans="1:27" ht="24" x14ac:dyDescent="0.25">
      <c r="A5990" s="405">
        <v>3004710</v>
      </c>
      <c r="B5990" s="406">
        <v>42646</v>
      </c>
      <c r="C5990" s="405" t="s">
        <v>159</v>
      </c>
      <c r="D5990" s="401" t="s">
        <v>12923</v>
      </c>
      <c r="E5990" s="120">
        <v>50</v>
      </c>
      <c r="F5990" s="133" t="s">
        <v>1991</v>
      </c>
      <c r="G5990" s="404" t="s">
        <v>45</v>
      </c>
      <c r="H5990" s="411">
        <v>252.5</v>
      </c>
      <c r="I5990" s="411">
        <v>0</v>
      </c>
      <c r="J5990" s="258">
        <f t="shared" ref="J5990" si="2428">-((H5990*0.019)+0.3)</f>
        <v>-5.0975000000000001</v>
      </c>
      <c r="K5990" s="90">
        <f>SUM(H5990:J5990)</f>
        <v>247.4025</v>
      </c>
      <c r="L5990" s="187">
        <v>3150</v>
      </c>
      <c r="M5990" s="187">
        <v>33.14</v>
      </c>
      <c r="N5990" s="91">
        <f t="shared" si="2421"/>
        <v>190.64</v>
      </c>
      <c r="O5990" s="411">
        <f t="shared" si="2388"/>
        <v>56.762500000000017</v>
      </c>
      <c r="P5990" s="132" t="s">
        <v>183</v>
      </c>
      <c r="Q5990" s="232"/>
      <c r="R5990" s="411"/>
      <c r="T5990" s="134" t="s">
        <v>145</v>
      </c>
      <c r="U5990" s="267" t="s">
        <v>12924</v>
      </c>
      <c r="V5990" s="133" t="s">
        <v>6072</v>
      </c>
      <c r="AA5990" s="218"/>
    </row>
    <row r="5991" spans="1:27" ht="36" x14ac:dyDescent="0.25">
      <c r="A5991" s="405">
        <v>3004711</v>
      </c>
      <c r="B5991" s="406">
        <v>42646</v>
      </c>
      <c r="C5991" s="405" t="s">
        <v>237</v>
      </c>
      <c r="D5991" s="401" t="s">
        <v>12925</v>
      </c>
      <c r="E5991" s="120">
        <v>100</v>
      </c>
      <c r="F5991" s="119" t="s">
        <v>12926</v>
      </c>
      <c r="G5991" s="404" t="s">
        <v>45</v>
      </c>
      <c r="H5991" s="411">
        <v>100</v>
      </c>
      <c r="I5991" s="397">
        <f t="shared" ref="I5991" si="2429">-(H5991*0.15)</f>
        <v>-15</v>
      </c>
      <c r="J5991" s="258">
        <v>0</v>
      </c>
      <c r="K5991" s="90">
        <f>SUM(H5991:J5991)</f>
        <v>85</v>
      </c>
      <c r="L5991" s="187">
        <v>670</v>
      </c>
      <c r="M5991" s="187">
        <v>7.2</v>
      </c>
      <c r="N5991" s="91">
        <f t="shared" si="2421"/>
        <v>74.2</v>
      </c>
      <c r="O5991" s="411">
        <f t="shared" si="2388"/>
        <v>10.799999999999997</v>
      </c>
      <c r="P5991" s="132" t="s">
        <v>856</v>
      </c>
      <c r="Q5991" s="232"/>
      <c r="R5991" s="411"/>
      <c r="T5991" s="134" t="s">
        <v>145</v>
      </c>
      <c r="U5991" s="267" t="s">
        <v>12927</v>
      </c>
      <c r="AA5991" s="218"/>
    </row>
    <row r="5992" spans="1:27" ht="24" x14ac:dyDescent="0.25">
      <c r="A5992" s="405">
        <v>3004712</v>
      </c>
      <c r="B5992" s="406">
        <v>42646</v>
      </c>
      <c r="C5992" s="405" t="s">
        <v>237</v>
      </c>
      <c r="D5992" s="401" t="s">
        <v>12928</v>
      </c>
      <c r="E5992" s="120">
        <v>50</v>
      </c>
      <c r="F5992" s="133" t="s">
        <v>6151</v>
      </c>
      <c r="G5992" s="404" t="s">
        <v>7486</v>
      </c>
      <c r="H5992" s="411">
        <v>108.06</v>
      </c>
      <c r="I5992" s="397">
        <f t="shared" ref="I5992" si="2430">-(H5992*0.15)</f>
        <v>-16.209</v>
      </c>
      <c r="J5992" s="258">
        <v>0</v>
      </c>
      <c r="K5992" s="90">
        <f>SUM(H5992:J5992)</f>
        <v>91.850999999999999</v>
      </c>
      <c r="L5992" s="187">
        <v>1000</v>
      </c>
      <c r="M5992" s="187">
        <v>23.82</v>
      </c>
      <c r="N5992" s="91">
        <f t="shared" si="2421"/>
        <v>73.819999999999993</v>
      </c>
      <c r="O5992" s="411">
        <f t="shared" si="2388"/>
        <v>18.031000000000006</v>
      </c>
      <c r="P5992" s="132" t="s">
        <v>183</v>
      </c>
      <c r="Q5992" s="232"/>
      <c r="R5992" s="411"/>
      <c r="T5992" s="134" t="s">
        <v>145</v>
      </c>
      <c r="U5992" s="267" t="s">
        <v>12929</v>
      </c>
      <c r="AA5992" s="218"/>
    </row>
    <row r="5993" spans="1:27" ht="24" x14ac:dyDescent="0.25">
      <c r="A5993" s="405">
        <v>3004713</v>
      </c>
      <c r="B5993" s="406">
        <v>42646</v>
      </c>
      <c r="C5993" s="405" t="s">
        <v>42</v>
      </c>
      <c r="D5993" s="401" t="s">
        <v>12930</v>
      </c>
      <c r="E5993" s="120">
        <v>50</v>
      </c>
      <c r="F5993" s="133" t="s">
        <v>7253</v>
      </c>
      <c r="G5993" s="404" t="s">
        <v>7486</v>
      </c>
      <c r="H5993" s="411">
        <v>171.4</v>
      </c>
      <c r="I5993" s="89">
        <f>-(H5993*0.09)</f>
        <v>-15.426</v>
      </c>
      <c r="J5993" s="258">
        <f t="shared" ref="J5993" si="2431">-((H5993*0.019)+0.3)</f>
        <v>-3.5566</v>
      </c>
      <c r="K5993" s="90">
        <f t="shared" ref="K5993:K5994" si="2432">SUM(H5993:J5993)</f>
        <v>152.41740000000001</v>
      </c>
      <c r="L5993" s="187">
        <v>1750</v>
      </c>
      <c r="M5993" s="187">
        <v>32.32</v>
      </c>
      <c r="N5993" s="91">
        <f t="shared" si="2421"/>
        <v>119.82</v>
      </c>
      <c r="O5993" s="411">
        <f t="shared" si="2388"/>
        <v>32.597400000000022</v>
      </c>
      <c r="P5993" s="132" t="s">
        <v>235</v>
      </c>
      <c r="Q5993" s="232"/>
      <c r="R5993" s="411"/>
      <c r="T5993" s="134" t="s">
        <v>145</v>
      </c>
      <c r="U5993" s="267" t="s">
        <v>12931</v>
      </c>
      <c r="AA5993" s="218"/>
    </row>
    <row r="5994" spans="1:27" ht="24" x14ac:dyDescent="0.25">
      <c r="A5994" s="405">
        <v>3004714</v>
      </c>
      <c r="B5994" s="406">
        <v>42646</v>
      </c>
      <c r="C5994" s="405" t="s">
        <v>56</v>
      </c>
      <c r="D5994" s="401" t="s">
        <v>1192</v>
      </c>
      <c r="E5994" s="120">
        <v>500</v>
      </c>
      <c r="F5994" s="119" t="s">
        <v>12932</v>
      </c>
      <c r="G5994" s="404" t="s">
        <v>7486</v>
      </c>
      <c r="H5994" s="411">
        <v>680</v>
      </c>
      <c r="I5994" s="411">
        <v>0</v>
      </c>
      <c r="J5994" s="411">
        <v>0</v>
      </c>
      <c r="K5994" s="90">
        <f t="shared" si="2432"/>
        <v>680</v>
      </c>
      <c r="L5994" s="187">
        <v>708</v>
      </c>
      <c r="M5994" s="224">
        <v>34.450000000000003</v>
      </c>
      <c r="N5994" s="91">
        <f t="shared" si="2421"/>
        <v>388.45</v>
      </c>
      <c r="O5994" s="411">
        <f t="shared" si="2388"/>
        <v>291.55</v>
      </c>
      <c r="P5994" s="132" t="s">
        <v>856</v>
      </c>
      <c r="Q5994" s="232"/>
      <c r="R5994" s="411"/>
      <c r="T5994" s="134" t="s">
        <v>145</v>
      </c>
      <c r="U5994" s="267" t="s">
        <v>12933</v>
      </c>
      <c r="V5994" s="133" t="s">
        <v>12934</v>
      </c>
      <c r="W5994" s="153" t="s">
        <v>2090</v>
      </c>
      <c r="AA5994" s="218"/>
    </row>
    <row r="5995" spans="1:27" ht="24" x14ac:dyDescent="0.25">
      <c r="A5995" s="405">
        <v>3004715</v>
      </c>
      <c r="B5995" s="406">
        <v>42647</v>
      </c>
      <c r="C5995" s="405" t="s">
        <v>63</v>
      </c>
      <c r="D5995" s="401" t="s">
        <v>12935</v>
      </c>
      <c r="E5995" s="120">
        <v>100</v>
      </c>
      <c r="F5995" s="133" t="s">
        <v>367</v>
      </c>
      <c r="G5995" s="404" t="s">
        <v>45</v>
      </c>
      <c r="H5995" s="411">
        <v>300</v>
      </c>
      <c r="I5995" s="399">
        <v>0</v>
      </c>
      <c r="J5995" s="396">
        <f>-((H5995*0.022)+0.3)</f>
        <v>-6.8999999999999995</v>
      </c>
      <c r="K5995" s="396">
        <f>SUM(H5995:J5995)</f>
        <v>293.10000000000002</v>
      </c>
      <c r="L5995" s="187">
        <v>2000</v>
      </c>
      <c r="M5995" s="187">
        <v>38.75</v>
      </c>
      <c r="N5995" s="91">
        <f t="shared" si="2421"/>
        <v>238.75</v>
      </c>
      <c r="O5995" s="411">
        <f t="shared" si="2388"/>
        <v>54.350000000000023</v>
      </c>
      <c r="P5995" s="132" t="s">
        <v>235</v>
      </c>
      <c r="Q5995" s="232"/>
      <c r="R5995" s="411"/>
      <c r="T5995" s="134" t="s">
        <v>145</v>
      </c>
      <c r="U5995" s="267" t="s">
        <v>12936</v>
      </c>
      <c r="W5995" s="153" t="s">
        <v>12937</v>
      </c>
      <c r="AA5995" s="218"/>
    </row>
    <row r="5996" spans="1:27" ht="24" x14ac:dyDescent="0.25">
      <c r="A5996" s="405">
        <v>3004716</v>
      </c>
      <c r="B5996" s="406">
        <v>42647</v>
      </c>
      <c r="C5996" s="405" t="s">
        <v>63</v>
      </c>
      <c r="D5996" s="401" t="s">
        <v>12938</v>
      </c>
      <c r="E5996" s="120">
        <v>82</v>
      </c>
      <c r="F5996" s="133" t="s">
        <v>182</v>
      </c>
      <c r="G5996" s="404" t="s">
        <v>7486</v>
      </c>
      <c r="H5996" s="411">
        <v>202</v>
      </c>
      <c r="I5996" s="399">
        <v>0</v>
      </c>
      <c r="J5996" s="396">
        <f>-((H5996*0.022)+0.3)</f>
        <v>-4.7439999999999998</v>
      </c>
      <c r="K5996" s="396">
        <f>SUM(H5996:J5996)</f>
        <v>197.256</v>
      </c>
      <c r="L5996" s="187">
        <v>1229</v>
      </c>
      <c r="M5996" s="187">
        <v>22.51</v>
      </c>
      <c r="N5996" s="91">
        <f t="shared" si="2421"/>
        <v>123.28800000000001</v>
      </c>
      <c r="O5996" s="411">
        <f t="shared" si="2388"/>
        <v>73.967999999999989</v>
      </c>
      <c r="P5996" s="132" t="s">
        <v>183</v>
      </c>
      <c r="Q5996" s="232"/>
      <c r="R5996" s="411"/>
      <c r="T5996" s="134" t="s">
        <v>145</v>
      </c>
      <c r="U5996" s="267" t="s">
        <v>12939</v>
      </c>
      <c r="W5996" s="154" t="s">
        <v>12940</v>
      </c>
      <c r="AA5996" s="218"/>
    </row>
    <row r="5997" spans="1:27" ht="24" x14ac:dyDescent="0.25">
      <c r="A5997" s="405">
        <v>3004717</v>
      </c>
      <c r="B5997" s="406">
        <v>42647</v>
      </c>
      <c r="C5997" s="405" t="s">
        <v>42</v>
      </c>
      <c r="D5997" s="401" t="s">
        <v>12941</v>
      </c>
      <c r="E5997" s="120">
        <v>200</v>
      </c>
      <c r="F5997" s="133" t="s">
        <v>582</v>
      </c>
      <c r="G5997" s="404" t="s">
        <v>7486</v>
      </c>
      <c r="H5997" s="411">
        <v>215.87</v>
      </c>
      <c r="I5997" s="89">
        <f>-(H5997*0.09)</f>
        <v>-19.4283</v>
      </c>
      <c r="J5997" s="258">
        <f t="shared" ref="J5997" si="2433">-((H5997*0.019)+0.3)</f>
        <v>-4.4015300000000002</v>
      </c>
      <c r="K5997" s="90">
        <f t="shared" ref="K5997" si="2434">SUM(H5997:J5997)</f>
        <v>192.04016999999999</v>
      </c>
      <c r="L5997" s="131">
        <v>527.32000000000005</v>
      </c>
      <c r="M5997" s="187">
        <v>35.9</v>
      </c>
      <c r="N5997" s="91">
        <f t="shared" si="2421"/>
        <v>141.364</v>
      </c>
      <c r="O5997" s="411">
        <f t="shared" si="2388"/>
        <v>50.676169999999985</v>
      </c>
      <c r="P5997" s="132" t="s">
        <v>86</v>
      </c>
      <c r="Q5997" s="232"/>
      <c r="R5997" s="411"/>
      <c r="T5997" s="134" t="s">
        <v>145</v>
      </c>
      <c r="U5997" s="267" t="s">
        <v>12942</v>
      </c>
      <c r="AA5997" s="218"/>
    </row>
    <row r="5998" spans="1:27" ht="24" x14ac:dyDescent="0.25">
      <c r="A5998" s="405">
        <v>3004718</v>
      </c>
      <c r="B5998" s="406">
        <v>42647</v>
      </c>
      <c r="C5998" s="405" t="s">
        <v>42</v>
      </c>
      <c r="D5998" s="401" t="s">
        <v>12943</v>
      </c>
      <c r="E5998" s="120">
        <v>250</v>
      </c>
      <c r="F5998" s="133" t="s">
        <v>451</v>
      </c>
      <c r="G5998" s="404" t="s">
        <v>7486</v>
      </c>
      <c r="H5998" s="411">
        <v>168.27</v>
      </c>
      <c r="I5998" s="89">
        <f>-(H5998*0.09)</f>
        <v>-15.144300000000001</v>
      </c>
      <c r="J5998" s="258">
        <f t="shared" ref="J5998" si="2435">-((H5998*0.019)+0.3)</f>
        <v>-3.4971299999999998</v>
      </c>
      <c r="K5998" s="90">
        <f t="shared" ref="K5998" si="2436">SUM(H5998:J5998)</f>
        <v>149.62857</v>
      </c>
      <c r="L5998" s="131">
        <v>300</v>
      </c>
      <c r="M5998" s="187">
        <v>31.38</v>
      </c>
      <c r="N5998" s="91">
        <f t="shared" si="2421"/>
        <v>106.38</v>
      </c>
      <c r="O5998" s="411">
        <f t="shared" si="2388"/>
        <v>43.248570000000001</v>
      </c>
      <c r="P5998" s="132" t="s">
        <v>52</v>
      </c>
      <c r="Q5998" s="232"/>
      <c r="R5998" s="411"/>
      <c r="T5998" s="134" t="s">
        <v>145</v>
      </c>
      <c r="U5998" s="267" t="s">
        <v>12944</v>
      </c>
      <c r="AA5998" s="218"/>
    </row>
    <row r="5999" spans="1:27" ht="24" x14ac:dyDescent="0.25">
      <c r="A5999" s="405">
        <v>3004719</v>
      </c>
      <c r="B5999" s="406">
        <v>42647</v>
      </c>
      <c r="C5999" s="405" t="s">
        <v>42</v>
      </c>
      <c r="D5999" s="401" t="s">
        <v>12945</v>
      </c>
      <c r="E5999" s="120">
        <v>50</v>
      </c>
      <c r="F5999" s="133" t="s">
        <v>288</v>
      </c>
      <c r="G5999" s="404" t="s">
        <v>7486</v>
      </c>
      <c r="H5999" s="411">
        <v>108.9</v>
      </c>
      <c r="I5999" s="89">
        <f>-(H5999*0.09)</f>
        <v>-9.8010000000000002</v>
      </c>
      <c r="J5999" s="258">
        <f t="shared" ref="J5999" si="2437">-((H5999*0.019)+0.3)</f>
        <v>-2.3691</v>
      </c>
      <c r="K5999" s="90">
        <f t="shared" ref="K5999" si="2438">SUM(H5999:J5999)</f>
        <v>96.729900000000001</v>
      </c>
      <c r="L5999" s="131">
        <v>900</v>
      </c>
      <c r="M5999" s="187">
        <v>23.31</v>
      </c>
      <c r="N5999" s="91">
        <f t="shared" si="2421"/>
        <v>68.31</v>
      </c>
      <c r="O5999" s="411">
        <f t="shared" si="2388"/>
        <v>28.419899999999998</v>
      </c>
      <c r="P5999" s="132" t="s">
        <v>52</v>
      </c>
      <c r="Q5999" s="232"/>
      <c r="R5999" s="411"/>
      <c r="T5999" s="134" t="s">
        <v>145</v>
      </c>
      <c r="U5999" s="267" t="s">
        <v>12946</v>
      </c>
      <c r="AA5999" s="218"/>
    </row>
    <row r="6000" spans="1:27" ht="24" x14ac:dyDescent="0.25">
      <c r="A6000" s="405">
        <v>3004720</v>
      </c>
      <c r="B6000" s="406">
        <v>42647</v>
      </c>
      <c r="C6000" s="405" t="s">
        <v>42</v>
      </c>
      <c r="D6000" s="401" t="s">
        <v>12947</v>
      </c>
      <c r="E6000" s="120">
        <v>100</v>
      </c>
      <c r="F6000" s="133" t="s">
        <v>247</v>
      </c>
      <c r="G6000" s="404" t="s">
        <v>7486</v>
      </c>
      <c r="H6000" s="411">
        <v>123.94</v>
      </c>
      <c r="I6000" s="89">
        <f>-(H6000*0.09)</f>
        <v>-11.154599999999999</v>
      </c>
      <c r="J6000" s="258">
        <f t="shared" ref="J6000" si="2439">-((H6000*0.019)+0.3)</f>
        <v>-2.6548599999999998</v>
      </c>
      <c r="K6000" s="90">
        <f t="shared" ref="K6000" si="2440">SUM(H6000:J6000)</f>
        <v>110.13054</v>
      </c>
      <c r="L6000" s="187">
        <v>584</v>
      </c>
      <c r="M6000" s="187">
        <v>17.899999999999999</v>
      </c>
      <c r="N6000" s="91">
        <f t="shared" si="2421"/>
        <v>76.300000000000011</v>
      </c>
      <c r="O6000" s="411">
        <f t="shared" si="2388"/>
        <v>33.830539999999985</v>
      </c>
      <c r="P6000" s="132" t="s">
        <v>3597</v>
      </c>
      <c r="Q6000" s="232"/>
      <c r="R6000" s="411"/>
      <c r="T6000" s="134" t="s">
        <v>145</v>
      </c>
      <c r="U6000" s="267" t="s">
        <v>12948</v>
      </c>
      <c r="AA6000" s="218"/>
    </row>
    <row r="6001" spans="1:27" ht="24" customHeight="1" x14ac:dyDescent="0.25">
      <c r="A6001" s="419">
        <v>3004721</v>
      </c>
      <c r="B6001" s="421">
        <v>42647</v>
      </c>
      <c r="C6001" s="419" t="s">
        <v>42</v>
      </c>
      <c r="D6001" s="417" t="s">
        <v>12949</v>
      </c>
      <c r="E6001" s="120">
        <v>50</v>
      </c>
      <c r="F6001" s="133" t="s">
        <v>7539</v>
      </c>
      <c r="G6001" s="434" t="s">
        <v>7486</v>
      </c>
      <c r="H6001" s="427">
        <v>323.61</v>
      </c>
      <c r="I6001" s="452">
        <f>-(H6001*0.09)</f>
        <v>-29.1249</v>
      </c>
      <c r="J6001" s="425">
        <f t="shared" ref="J6001" si="2441">-((H6001*0.019)+0.3)</f>
        <v>-6.4485900000000003</v>
      </c>
      <c r="K6001" s="425">
        <f t="shared" ref="K6001" si="2442">SUM(H6001:J6001)</f>
        <v>288.03650999999996</v>
      </c>
      <c r="L6001" s="187">
        <v>1800</v>
      </c>
      <c r="M6001" s="187">
        <f>39.1+39.89</f>
        <v>78.990000000000009</v>
      </c>
      <c r="N6001" s="91">
        <f t="shared" si="2421"/>
        <v>168.99</v>
      </c>
      <c r="O6001" s="411">
        <f t="shared" si="2388"/>
        <v>119.04650999999996</v>
      </c>
      <c r="P6001" s="132" t="s">
        <v>183</v>
      </c>
      <c r="Q6001" s="232"/>
      <c r="R6001" s="411"/>
      <c r="T6001" s="439" t="s">
        <v>145</v>
      </c>
      <c r="U6001" s="267" t="s">
        <v>12950</v>
      </c>
      <c r="AA6001" s="218"/>
    </row>
    <row r="6002" spans="1:27" ht="24" x14ac:dyDescent="0.25">
      <c r="A6002" s="420"/>
      <c r="B6002" s="422"/>
      <c r="C6002" s="420"/>
      <c r="D6002" s="418"/>
      <c r="E6002" s="120">
        <v>100</v>
      </c>
      <c r="F6002" s="133" t="s">
        <v>12951</v>
      </c>
      <c r="G6002" s="436"/>
      <c r="H6002" s="428"/>
      <c r="I6002" s="453"/>
      <c r="J6002" s="426"/>
      <c r="K6002" s="426"/>
      <c r="L6002" s="187">
        <v>850</v>
      </c>
      <c r="M6002" s="187">
        <f>16.2+15.14+11.68+37.83+19.65</f>
        <v>100.5</v>
      </c>
      <c r="N6002" s="91">
        <f t="shared" si="2421"/>
        <v>185.5</v>
      </c>
      <c r="O6002" s="411">
        <f t="shared" si="2388"/>
        <v>-185.5</v>
      </c>
      <c r="P6002" s="132" t="s">
        <v>183</v>
      </c>
      <c r="Q6002" s="232"/>
      <c r="R6002" s="411"/>
      <c r="T6002" s="441"/>
      <c r="U6002" s="267" t="s">
        <v>12952</v>
      </c>
      <c r="AA6002" s="218"/>
    </row>
    <row r="6003" spans="1:27" ht="24" x14ac:dyDescent="0.25">
      <c r="A6003" s="405">
        <v>3004722</v>
      </c>
      <c r="B6003" s="406">
        <v>42647</v>
      </c>
      <c r="C6003" s="405" t="s">
        <v>42</v>
      </c>
      <c r="D6003" s="401" t="s">
        <v>12953</v>
      </c>
      <c r="E6003" s="120">
        <v>100</v>
      </c>
      <c r="F6003" s="133" t="s">
        <v>307</v>
      </c>
      <c r="G6003" s="404" t="s">
        <v>7486</v>
      </c>
      <c r="H6003" s="411">
        <v>145.35</v>
      </c>
      <c r="I6003" s="89">
        <f>-(H6003*0.09)</f>
        <v>-13.081499999999998</v>
      </c>
      <c r="J6003" s="258">
        <f t="shared" ref="J6003" si="2443">-((H6003*0.019)+0.3)</f>
        <v>-3.0616499999999998</v>
      </c>
      <c r="K6003" s="90">
        <f t="shared" ref="K6003" si="2444">SUM(H6003:J6003)</f>
        <v>129.20685</v>
      </c>
      <c r="L6003" s="131">
        <v>622.45000000000005</v>
      </c>
      <c r="M6003" s="187">
        <v>44.17</v>
      </c>
      <c r="N6003" s="91">
        <f t="shared" si="2421"/>
        <v>106.41500000000001</v>
      </c>
      <c r="O6003" s="411">
        <f t="shared" si="2388"/>
        <v>22.791849999999997</v>
      </c>
      <c r="P6003" s="132" t="s">
        <v>52</v>
      </c>
      <c r="Q6003" s="232"/>
      <c r="R6003" s="411"/>
      <c r="T6003" s="134" t="s">
        <v>145</v>
      </c>
      <c r="U6003" s="267" t="s">
        <v>12954</v>
      </c>
      <c r="AA6003" s="218"/>
    </row>
    <row r="6004" spans="1:27" x14ac:dyDescent="0.25">
      <c r="A6004" s="405">
        <v>3004723</v>
      </c>
      <c r="B6004" s="406">
        <v>42647</v>
      </c>
      <c r="C6004" s="405" t="s">
        <v>42</v>
      </c>
      <c r="D6004" s="401" t="s">
        <v>12955</v>
      </c>
      <c r="E6004" s="120">
        <v>1000</v>
      </c>
      <c r="F6004" s="133" t="s">
        <v>51</v>
      </c>
      <c r="G6004" s="404" t="s">
        <v>7486</v>
      </c>
      <c r="H6004" s="411">
        <v>1689.48</v>
      </c>
      <c r="I6004" s="89">
        <f>-(H6004*0.09)</f>
        <v>-152.0532</v>
      </c>
      <c r="J6004" s="258">
        <f t="shared" ref="J6004" si="2445">-((H6004*0.019)+0.3)</f>
        <v>-32.400119999999994</v>
      </c>
      <c r="K6004" s="90">
        <f t="shared" ref="K6004" si="2446">SUM(H6004:J6004)</f>
        <v>1505.0266799999999</v>
      </c>
      <c r="L6004" s="131">
        <v>1100</v>
      </c>
      <c r="M6004" s="187">
        <v>152.33000000000001</v>
      </c>
      <c r="N6004" s="91">
        <f t="shared" si="2421"/>
        <v>1252.33</v>
      </c>
      <c r="O6004" s="411">
        <f t="shared" si="2388"/>
        <v>252.69668000000001</v>
      </c>
      <c r="P6004" s="132" t="s">
        <v>52</v>
      </c>
      <c r="Q6004" s="232"/>
      <c r="R6004" s="411"/>
      <c r="T6004" s="134" t="s">
        <v>12386</v>
      </c>
      <c r="U6004" s="267" t="s">
        <v>12956</v>
      </c>
      <c r="V6004" s="133" t="s">
        <v>55</v>
      </c>
      <c r="AA6004" s="218"/>
    </row>
    <row r="6005" spans="1:27" ht="24" x14ac:dyDescent="0.25">
      <c r="A6005" s="405">
        <v>3004724</v>
      </c>
      <c r="B6005" s="406">
        <v>42647</v>
      </c>
      <c r="C6005" s="405" t="s">
        <v>237</v>
      </c>
      <c r="D6005" s="401" t="s">
        <v>12957</v>
      </c>
      <c r="E6005" s="120">
        <v>1000</v>
      </c>
      <c r="F6005" s="133" t="s">
        <v>12958</v>
      </c>
      <c r="G6005" s="404" t="s">
        <v>7486</v>
      </c>
      <c r="H6005" s="411">
        <v>916</v>
      </c>
      <c r="I6005" s="397">
        <f t="shared" ref="I6005" si="2447">-(H6005*0.15)</f>
        <v>-137.4</v>
      </c>
      <c r="J6005" s="258">
        <v>0</v>
      </c>
      <c r="K6005" s="90">
        <f>SUM(H6005:J6005)</f>
        <v>778.6</v>
      </c>
      <c r="L6005" s="131">
        <v>409</v>
      </c>
      <c r="M6005" s="187">
        <f>61.04+61.04</f>
        <v>122.08</v>
      </c>
      <c r="N6005" s="91">
        <f t="shared" si="2421"/>
        <v>531.08000000000004</v>
      </c>
      <c r="O6005" s="411">
        <f t="shared" si="2388"/>
        <v>247.51999999999998</v>
      </c>
      <c r="P6005" s="132" t="s">
        <v>52</v>
      </c>
      <c r="Q6005" s="232"/>
      <c r="R6005" s="411"/>
      <c r="T6005" s="134" t="s">
        <v>145</v>
      </c>
      <c r="U6005" s="266" t="s">
        <v>12959</v>
      </c>
      <c r="AA6005" s="218"/>
    </row>
    <row r="6006" spans="1:27" ht="24" x14ac:dyDescent="0.25">
      <c r="A6006" s="405">
        <v>3004725</v>
      </c>
      <c r="B6006" s="406">
        <v>42647</v>
      </c>
      <c r="C6006" s="405" t="s">
        <v>237</v>
      </c>
      <c r="D6006" s="401" t="s">
        <v>12960</v>
      </c>
      <c r="E6006" s="120">
        <v>300</v>
      </c>
      <c r="F6006" s="133" t="s">
        <v>4803</v>
      </c>
      <c r="G6006" s="404" t="s">
        <v>7486</v>
      </c>
      <c r="H6006" s="411">
        <v>188.61</v>
      </c>
      <c r="I6006" s="397">
        <f t="shared" ref="I6006" si="2448">-(H6006*0.15)</f>
        <v>-28.291500000000003</v>
      </c>
      <c r="J6006" s="258">
        <v>0</v>
      </c>
      <c r="K6006" s="90">
        <f>SUM(H6006:J6006)</f>
        <v>160.3185</v>
      </c>
      <c r="L6006" s="187">
        <v>407</v>
      </c>
      <c r="M6006" s="187">
        <v>17.309999999999999</v>
      </c>
      <c r="N6006" s="91">
        <f t="shared" si="2421"/>
        <v>139.41</v>
      </c>
      <c r="O6006" s="411">
        <f t="shared" si="2388"/>
        <v>20.908500000000004</v>
      </c>
      <c r="P6006" s="132" t="s">
        <v>183</v>
      </c>
      <c r="Q6006" s="232"/>
      <c r="R6006" s="411"/>
      <c r="T6006" s="134" t="s">
        <v>145</v>
      </c>
      <c r="U6006" s="267" t="s">
        <v>12961</v>
      </c>
      <c r="AA6006" s="218"/>
    </row>
    <row r="6007" spans="1:27" ht="24" x14ac:dyDescent="0.25">
      <c r="A6007" s="405">
        <v>3004726</v>
      </c>
      <c r="B6007" s="406">
        <v>42647</v>
      </c>
      <c r="C6007" s="405" t="s">
        <v>237</v>
      </c>
      <c r="D6007" s="401" t="s">
        <v>12962</v>
      </c>
      <c r="E6007" s="120">
        <v>100</v>
      </c>
      <c r="F6007" s="133" t="s">
        <v>288</v>
      </c>
      <c r="G6007" s="404" t="s">
        <v>7486</v>
      </c>
      <c r="H6007" s="411">
        <v>193.04</v>
      </c>
      <c r="I6007" s="397">
        <f t="shared" ref="I6007" si="2449">-(H6007*0.15)</f>
        <v>-28.955999999999996</v>
      </c>
      <c r="J6007" s="258">
        <v>0</v>
      </c>
      <c r="K6007" s="90">
        <f>SUM(H6007:J6007)</f>
        <v>164.084</v>
      </c>
      <c r="L6007" s="131">
        <v>900</v>
      </c>
      <c r="M6007" s="187">
        <v>35.659999999999997</v>
      </c>
      <c r="N6007" s="91">
        <f t="shared" si="2421"/>
        <v>125.66</v>
      </c>
      <c r="O6007" s="411">
        <f t="shared" si="2388"/>
        <v>38.424000000000007</v>
      </c>
      <c r="P6007" s="132" t="s">
        <v>52</v>
      </c>
      <c r="Q6007" s="232"/>
      <c r="R6007" s="411"/>
      <c r="T6007" s="134" t="s">
        <v>145</v>
      </c>
      <c r="U6007" s="267" t="s">
        <v>12963</v>
      </c>
      <c r="AA6007" s="218"/>
    </row>
    <row r="6008" spans="1:27" x14ac:dyDescent="0.25">
      <c r="A6008" s="419">
        <v>3004727</v>
      </c>
      <c r="B6008" s="421">
        <v>42647</v>
      </c>
      <c r="C6008" s="419" t="s">
        <v>237</v>
      </c>
      <c r="D6008" s="417" t="s">
        <v>12964</v>
      </c>
      <c r="E6008" s="120">
        <v>15</v>
      </c>
      <c r="F6008" s="133" t="s">
        <v>4407</v>
      </c>
      <c r="G6008" s="434" t="s">
        <v>7486</v>
      </c>
      <c r="H6008" s="427">
        <v>100</v>
      </c>
      <c r="I6008" s="452">
        <f t="shared" ref="I6008" si="2450">-(H6008*0.15)</f>
        <v>-15</v>
      </c>
      <c r="J6008" s="425">
        <v>0</v>
      </c>
      <c r="K6008" s="425">
        <f>SUM(H6008:J6008)</f>
        <v>85</v>
      </c>
      <c r="L6008" s="187">
        <v>2200</v>
      </c>
      <c r="M6008" s="187">
        <v>13.03</v>
      </c>
      <c r="N6008" s="91">
        <f t="shared" si="2421"/>
        <v>46.03</v>
      </c>
      <c r="O6008" s="411">
        <f t="shared" si="2388"/>
        <v>38.97</v>
      </c>
      <c r="P6008" s="132" t="s">
        <v>601</v>
      </c>
      <c r="Q6008" s="232"/>
      <c r="R6008" s="411"/>
      <c r="T6008" s="439" t="s">
        <v>145</v>
      </c>
      <c r="U6008" s="308" t="s">
        <v>12965</v>
      </c>
      <c r="AA6008" s="218"/>
    </row>
    <row r="6009" spans="1:27" x14ac:dyDescent="0.25">
      <c r="A6009" s="420"/>
      <c r="B6009" s="422"/>
      <c r="C6009" s="420"/>
      <c r="D6009" s="418"/>
      <c r="E6009" s="120">
        <v>15</v>
      </c>
      <c r="F6009" s="133" t="s">
        <v>1507</v>
      </c>
      <c r="G6009" s="436"/>
      <c r="H6009" s="428"/>
      <c r="I6009" s="453"/>
      <c r="J6009" s="426"/>
      <c r="K6009" s="426"/>
      <c r="L6009" s="187">
        <v>2230</v>
      </c>
      <c r="M6009" s="187">
        <v>13.03</v>
      </c>
      <c r="N6009" s="91">
        <f t="shared" si="2421"/>
        <v>46.48</v>
      </c>
      <c r="O6009" s="411">
        <f t="shared" si="2388"/>
        <v>-46.48</v>
      </c>
      <c r="P6009" s="132" t="s">
        <v>601</v>
      </c>
      <c r="Q6009" s="232"/>
      <c r="R6009" s="411"/>
      <c r="T6009" s="441"/>
      <c r="U6009" s="309" t="s">
        <v>12966</v>
      </c>
      <c r="AA6009" s="218"/>
    </row>
    <row r="6010" spans="1:27" x14ac:dyDescent="0.25">
      <c r="A6010" s="419">
        <v>3004728</v>
      </c>
      <c r="B6010" s="421">
        <v>42647</v>
      </c>
      <c r="C6010" s="419" t="s">
        <v>56</v>
      </c>
      <c r="D6010" s="417" t="s">
        <v>12967</v>
      </c>
      <c r="E6010" s="120">
        <v>52</v>
      </c>
      <c r="F6010" s="133" t="s">
        <v>12968</v>
      </c>
      <c r="G6010" s="460" t="s">
        <v>7486</v>
      </c>
      <c r="H6010" s="427">
        <v>20300</v>
      </c>
      <c r="I6010" s="427">
        <v>0</v>
      </c>
      <c r="J6010" s="427">
        <v>0</v>
      </c>
      <c r="K6010" s="425">
        <f>SUM(H6010:J6010)</f>
        <v>20300</v>
      </c>
      <c r="L6010" s="131">
        <v>115000</v>
      </c>
      <c r="M6010" s="131">
        <v>0</v>
      </c>
      <c r="N6010" s="91">
        <f t="shared" si="2421"/>
        <v>5980.0000000000009</v>
      </c>
      <c r="O6010" s="411">
        <f t="shared" si="2388"/>
        <v>14320</v>
      </c>
      <c r="P6010" s="132" t="s">
        <v>1740</v>
      </c>
      <c r="Q6010" s="232"/>
      <c r="R6010" s="411"/>
      <c r="T6010" s="439" t="s">
        <v>12969</v>
      </c>
      <c r="U6010" s="446" t="s">
        <v>12970</v>
      </c>
      <c r="V6010" s="133" t="s">
        <v>12971</v>
      </c>
      <c r="W6010" s="153" t="s">
        <v>1754</v>
      </c>
      <c r="AA6010" s="218"/>
    </row>
    <row r="6011" spans="1:27" x14ac:dyDescent="0.25">
      <c r="A6011" s="420"/>
      <c r="B6011" s="422"/>
      <c r="C6011" s="420"/>
      <c r="D6011" s="418"/>
      <c r="E6011" s="120">
        <v>40</v>
      </c>
      <c r="F6011" s="133" t="s">
        <v>12972</v>
      </c>
      <c r="G6011" s="462"/>
      <c r="H6011" s="428"/>
      <c r="I6011" s="428"/>
      <c r="J6011" s="428"/>
      <c r="K6011" s="426"/>
      <c r="L6011" s="131">
        <v>115000</v>
      </c>
      <c r="M6011" s="131">
        <v>0</v>
      </c>
      <c r="N6011" s="91">
        <f t="shared" si="2421"/>
        <v>4600</v>
      </c>
      <c r="O6011" s="411">
        <f t="shared" si="2388"/>
        <v>-4600</v>
      </c>
      <c r="P6011" s="132" t="s">
        <v>1740</v>
      </c>
      <c r="Q6011" s="232"/>
      <c r="R6011" s="411"/>
      <c r="T6011" s="441"/>
      <c r="U6011" s="447"/>
      <c r="V6011" s="119"/>
      <c r="AA6011" s="218"/>
    </row>
    <row r="6012" spans="1:27" x14ac:dyDescent="0.25">
      <c r="A6012" s="405">
        <v>3004729</v>
      </c>
      <c r="B6012" s="406">
        <v>42647</v>
      </c>
      <c r="C6012" s="405" t="s">
        <v>42</v>
      </c>
      <c r="D6012" s="401" t="s">
        <v>12973</v>
      </c>
      <c r="E6012" s="120">
        <v>57</v>
      </c>
      <c r="F6012" s="133" t="s">
        <v>12974</v>
      </c>
      <c r="G6012" s="404" t="s">
        <v>7486</v>
      </c>
      <c r="H6012" s="411">
        <v>800</v>
      </c>
      <c r="I6012" s="89">
        <f>-(H6012*0.09)</f>
        <v>-72</v>
      </c>
      <c r="J6012" s="258">
        <f t="shared" ref="J6012" si="2451">-((H6012*0.019)+0.3)</f>
        <v>-15.5</v>
      </c>
      <c r="K6012" s="90">
        <f t="shared" ref="K6012" si="2452">SUM(H6012:J6012)</f>
        <v>712.5</v>
      </c>
      <c r="L6012" s="187">
        <v>7500</v>
      </c>
      <c r="M6012" s="187">
        <v>124.85</v>
      </c>
      <c r="N6012" s="91">
        <f t="shared" si="2421"/>
        <v>552.35</v>
      </c>
      <c r="O6012" s="411">
        <f t="shared" si="2388"/>
        <v>160.14999999999998</v>
      </c>
      <c r="P6012" s="132" t="s">
        <v>46</v>
      </c>
      <c r="Q6012" s="232"/>
      <c r="R6012" s="411"/>
      <c r="T6012" s="134" t="s">
        <v>1346</v>
      </c>
      <c r="U6012" s="267" t="s">
        <v>12975</v>
      </c>
      <c r="AA6012" s="218"/>
    </row>
    <row r="6013" spans="1:27" ht="24" x14ac:dyDescent="0.25">
      <c r="A6013" s="405">
        <v>3004730</v>
      </c>
      <c r="B6013" s="406">
        <v>42647</v>
      </c>
      <c r="C6013" s="405" t="s">
        <v>327</v>
      </c>
      <c r="D6013" s="401" t="s">
        <v>8716</v>
      </c>
      <c r="E6013" s="120">
        <v>100</v>
      </c>
      <c r="F6013" s="133" t="s">
        <v>176</v>
      </c>
      <c r="G6013" s="404" t="s">
        <v>45</v>
      </c>
      <c r="H6013" s="411">
        <v>320</v>
      </c>
      <c r="I6013" s="399">
        <v>0</v>
      </c>
      <c r="J6013" s="396">
        <f>-((H6013*0.022)+0.3)</f>
        <v>-7.339999999999999</v>
      </c>
      <c r="K6013" s="396">
        <f>SUM(H6013:J6013)</f>
        <v>312.66000000000003</v>
      </c>
      <c r="L6013" s="131">
        <v>1693</v>
      </c>
      <c r="M6013" s="187">
        <v>33.880000000000003</v>
      </c>
      <c r="N6013" s="91">
        <f t="shared" si="2421"/>
        <v>203.18</v>
      </c>
      <c r="O6013" s="411">
        <f t="shared" si="2388"/>
        <v>109.48000000000002</v>
      </c>
      <c r="P6013" s="132" t="s">
        <v>52</v>
      </c>
      <c r="Q6013" s="232"/>
      <c r="R6013" s="411"/>
      <c r="T6013" s="134" t="s">
        <v>145</v>
      </c>
      <c r="U6013" s="267" t="s">
        <v>12976</v>
      </c>
      <c r="W6013" s="153" t="s">
        <v>8719</v>
      </c>
      <c r="AA6013" s="218"/>
    </row>
    <row r="6014" spans="1:27" ht="24" x14ac:dyDescent="0.25">
      <c r="A6014" s="405">
        <v>3004731</v>
      </c>
      <c r="B6014" s="406">
        <v>42647</v>
      </c>
      <c r="C6014" s="405" t="s">
        <v>42</v>
      </c>
      <c r="D6014" s="401" t="s">
        <v>12977</v>
      </c>
      <c r="E6014" s="120">
        <v>75</v>
      </c>
      <c r="F6014" s="133" t="s">
        <v>288</v>
      </c>
      <c r="G6014" s="404" t="s">
        <v>45</v>
      </c>
      <c r="H6014" s="411">
        <v>153.44999999999999</v>
      </c>
      <c r="I6014" s="89">
        <f>-(H6014*0.09)</f>
        <v>-13.810499999999999</v>
      </c>
      <c r="J6014" s="258">
        <f t="shared" ref="J6014" si="2453">-((H6014*0.019)+0.3)</f>
        <v>-3.2155499999999995</v>
      </c>
      <c r="K6014" s="90">
        <f t="shared" ref="K6014" si="2454">SUM(H6014:J6014)</f>
        <v>136.42394999999999</v>
      </c>
      <c r="L6014" s="131">
        <v>900</v>
      </c>
      <c r="M6014" s="187">
        <v>33.17</v>
      </c>
      <c r="N6014" s="91">
        <f t="shared" si="2421"/>
        <v>100.67</v>
      </c>
      <c r="O6014" s="411">
        <f t="shared" si="2388"/>
        <v>35.753949999999989</v>
      </c>
      <c r="P6014" s="132" t="s">
        <v>52</v>
      </c>
      <c r="Q6014" s="232"/>
      <c r="R6014" s="411"/>
      <c r="T6014" s="134" t="s">
        <v>145</v>
      </c>
      <c r="U6014" s="267" t="s">
        <v>12978</v>
      </c>
      <c r="AA6014" s="218"/>
    </row>
    <row r="6015" spans="1:27" ht="24" x14ac:dyDescent="0.25">
      <c r="A6015" s="405">
        <v>3004732</v>
      </c>
      <c r="B6015" s="406">
        <v>42647</v>
      </c>
      <c r="C6015" s="405" t="s">
        <v>42</v>
      </c>
      <c r="D6015" s="401" t="s">
        <v>12979</v>
      </c>
      <c r="E6015" s="120">
        <v>200</v>
      </c>
      <c r="F6015" s="133" t="s">
        <v>877</v>
      </c>
      <c r="G6015" s="404" t="s">
        <v>45</v>
      </c>
      <c r="H6015" s="411">
        <v>147.12</v>
      </c>
      <c r="I6015" s="89">
        <f>-(H6015*0.09)</f>
        <v>-13.2408</v>
      </c>
      <c r="J6015" s="258">
        <f t="shared" ref="J6015" si="2455">-((H6015*0.019)+0.3)</f>
        <v>-3.0952799999999998</v>
      </c>
      <c r="K6015" s="90">
        <f t="shared" ref="K6015:K6016" si="2456">SUM(H6015:J6015)</f>
        <v>130.78391999999999</v>
      </c>
      <c r="L6015" s="131">
        <v>235</v>
      </c>
      <c r="M6015" s="187">
        <v>25.04</v>
      </c>
      <c r="N6015" s="91">
        <f t="shared" si="2421"/>
        <v>72.039999999999992</v>
      </c>
      <c r="O6015" s="411">
        <f t="shared" si="2388"/>
        <v>58.743920000000003</v>
      </c>
      <c r="P6015" s="132" t="s">
        <v>52</v>
      </c>
      <c r="Q6015" s="232"/>
      <c r="R6015" s="411"/>
      <c r="T6015" s="134" t="s">
        <v>145</v>
      </c>
      <c r="U6015" s="267" t="s">
        <v>12980</v>
      </c>
      <c r="AA6015" s="218"/>
    </row>
    <row r="6016" spans="1:27" ht="36" x14ac:dyDescent="0.25">
      <c r="A6016" s="419">
        <v>3004733</v>
      </c>
      <c r="B6016" s="421">
        <v>42647</v>
      </c>
      <c r="C6016" s="419" t="s">
        <v>56</v>
      </c>
      <c r="D6016" s="429" t="s">
        <v>7323</v>
      </c>
      <c r="E6016" s="120">
        <v>750</v>
      </c>
      <c r="F6016" s="133" t="s">
        <v>12981</v>
      </c>
      <c r="G6016" s="434" t="s">
        <v>7486</v>
      </c>
      <c r="H6016" s="427">
        <v>2637</v>
      </c>
      <c r="I6016" s="427">
        <v>0</v>
      </c>
      <c r="J6016" s="427">
        <v>0</v>
      </c>
      <c r="K6016" s="425">
        <f t="shared" si="2456"/>
        <v>2637</v>
      </c>
      <c r="L6016" s="187">
        <v>450</v>
      </c>
      <c r="M6016" s="187">
        <v>120.66</v>
      </c>
      <c r="N6016" s="91">
        <f t="shared" si="2421"/>
        <v>458.15999999999997</v>
      </c>
      <c r="O6016" s="411">
        <f t="shared" si="2388"/>
        <v>2178.84</v>
      </c>
      <c r="P6016" s="132" t="s">
        <v>183</v>
      </c>
      <c r="Q6016" s="232"/>
      <c r="R6016" s="411"/>
      <c r="T6016" s="134" t="s">
        <v>145</v>
      </c>
      <c r="U6016" s="266" t="s">
        <v>12982</v>
      </c>
      <c r="V6016" s="133" t="s">
        <v>12983</v>
      </c>
      <c r="AA6016" s="218"/>
    </row>
    <row r="6017" spans="1:27" x14ac:dyDescent="0.25">
      <c r="A6017" s="432"/>
      <c r="B6017" s="433"/>
      <c r="C6017" s="432"/>
      <c r="D6017" s="430"/>
      <c r="E6017" s="120">
        <v>500</v>
      </c>
      <c r="F6017" s="133" t="s">
        <v>12984</v>
      </c>
      <c r="G6017" s="435"/>
      <c r="H6017" s="438"/>
      <c r="I6017" s="438"/>
      <c r="J6017" s="438"/>
      <c r="K6017" s="437"/>
      <c r="L6017" s="131">
        <v>200</v>
      </c>
      <c r="M6017" s="468">
        <v>110</v>
      </c>
      <c r="N6017" s="91">
        <f t="shared" si="2421"/>
        <v>210</v>
      </c>
      <c r="O6017" s="411">
        <f t="shared" si="2388"/>
        <v>-210</v>
      </c>
      <c r="P6017" s="132" t="s">
        <v>52</v>
      </c>
      <c r="Q6017" s="232"/>
      <c r="R6017" s="411"/>
      <c r="T6017" s="439" t="s">
        <v>12985</v>
      </c>
      <c r="U6017" s="266"/>
      <c r="V6017" s="133" t="s">
        <v>55</v>
      </c>
      <c r="AA6017" s="218"/>
    </row>
    <row r="6018" spans="1:27" x14ac:dyDescent="0.25">
      <c r="A6018" s="432"/>
      <c r="B6018" s="433"/>
      <c r="C6018" s="432"/>
      <c r="D6018" s="430"/>
      <c r="E6018" s="120">
        <v>750</v>
      </c>
      <c r="F6018" s="133" t="s">
        <v>659</v>
      </c>
      <c r="G6018" s="435"/>
      <c r="H6018" s="438"/>
      <c r="I6018" s="438"/>
      <c r="J6018" s="438"/>
      <c r="K6018" s="437"/>
      <c r="L6018" s="131">
        <v>180</v>
      </c>
      <c r="M6018" s="491"/>
      <c r="N6018" s="91">
        <f t="shared" si="2421"/>
        <v>135</v>
      </c>
      <c r="O6018" s="411">
        <f t="shared" si="2388"/>
        <v>-135</v>
      </c>
      <c r="P6018" s="132" t="s">
        <v>52</v>
      </c>
      <c r="Q6018" s="232"/>
      <c r="R6018" s="411"/>
      <c r="T6018" s="440"/>
      <c r="U6018" s="266"/>
      <c r="V6018" s="133" t="s">
        <v>12093</v>
      </c>
      <c r="AA6018" s="218"/>
    </row>
    <row r="6019" spans="1:27" x14ac:dyDescent="0.25">
      <c r="A6019" s="432"/>
      <c r="B6019" s="433"/>
      <c r="C6019" s="432"/>
      <c r="D6019" s="430"/>
      <c r="E6019" s="120">
        <v>500</v>
      </c>
      <c r="F6019" s="133" t="s">
        <v>9791</v>
      </c>
      <c r="G6019" s="435"/>
      <c r="H6019" s="438"/>
      <c r="I6019" s="438"/>
      <c r="J6019" s="438"/>
      <c r="K6019" s="437"/>
      <c r="L6019" s="131">
        <v>150</v>
      </c>
      <c r="M6019" s="491"/>
      <c r="N6019" s="91">
        <f t="shared" si="2421"/>
        <v>75</v>
      </c>
      <c r="O6019" s="411">
        <f t="shared" si="2388"/>
        <v>-75</v>
      </c>
      <c r="P6019" s="132" t="s">
        <v>52</v>
      </c>
      <c r="Q6019" s="232"/>
      <c r="R6019" s="411"/>
      <c r="T6019" s="440"/>
      <c r="U6019" s="266"/>
      <c r="AA6019" s="218"/>
    </row>
    <row r="6020" spans="1:27" x14ac:dyDescent="0.25">
      <c r="A6020" s="432"/>
      <c r="B6020" s="433"/>
      <c r="C6020" s="432"/>
      <c r="D6020" s="430"/>
      <c r="E6020" s="120">
        <v>500</v>
      </c>
      <c r="F6020" s="133" t="s">
        <v>12986</v>
      </c>
      <c r="G6020" s="435"/>
      <c r="H6020" s="438"/>
      <c r="I6020" s="438"/>
      <c r="J6020" s="438"/>
      <c r="K6020" s="437"/>
      <c r="L6020" s="131">
        <v>220</v>
      </c>
      <c r="M6020" s="491"/>
      <c r="N6020" s="91">
        <f t="shared" si="2421"/>
        <v>110</v>
      </c>
      <c r="O6020" s="411">
        <f t="shared" ref="O6020:O6083" si="2457">K6020-N6020</f>
        <v>-110</v>
      </c>
      <c r="P6020" s="132" t="s">
        <v>52</v>
      </c>
      <c r="Q6020" s="232"/>
      <c r="R6020" s="411"/>
      <c r="T6020" s="440"/>
      <c r="U6020" s="266"/>
      <c r="AA6020" s="218"/>
    </row>
    <row r="6021" spans="1:27" x14ac:dyDescent="0.25">
      <c r="A6021" s="432"/>
      <c r="B6021" s="433"/>
      <c r="C6021" s="432"/>
      <c r="D6021" s="430"/>
      <c r="E6021" s="120">
        <v>500</v>
      </c>
      <c r="F6021" s="133" t="s">
        <v>2029</v>
      </c>
      <c r="G6021" s="435"/>
      <c r="H6021" s="438"/>
      <c r="I6021" s="438"/>
      <c r="J6021" s="438"/>
      <c r="K6021" s="437"/>
      <c r="L6021" s="131">
        <v>570</v>
      </c>
      <c r="M6021" s="469"/>
      <c r="N6021" s="91">
        <f t="shared" si="2421"/>
        <v>285</v>
      </c>
      <c r="O6021" s="411">
        <f t="shared" si="2457"/>
        <v>-285</v>
      </c>
      <c r="P6021" s="132" t="s">
        <v>52</v>
      </c>
      <c r="Q6021" s="232"/>
      <c r="R6021" s="411"/>
      <c r="T6021" s="441"/>
      <c r="U6021" s="266"/>
      <c r="AA6021" s="218"/>
    </row>
    <row r="6022" spans="1:27" ht="24" x14ac:dyDescent="0.25">
      <c r="A6022" s="432"/>
      <c r="B6022" s="433"/>
      <c r="C6022" s="432"/>
      <c r="D6022" s="430"/>
      <c r="E6022" s="120">
        <v>500</v>
      </c>
      <c r="F6022" s="133" t="s">
        <v>1054</v>
      </c>
      <c r="G6022" s="435"/>
      <c r="H6022" s="438"/>
      <c r="I6022" s="438"/>
      <c r="J6022" s="438"/>
      <c r="K6022" s="437"/>
      <c r="L6022" s="187">
        <v>621</v>
      </c>
      <c r="M6022" s="224">
        <v>86.92</v>
      </c>
      <c r="N6022" s="91">
        <f t="shared" si="2421"/>
        <v>397.42</v>
      </c>
      <c r="O6022" s="411">
        <f t="shared" si="2457"/>
        <v>-397.42</v>
      </c>
      <c r="P6022" s="132" t="s">
        <v>46</v>
      </c>
      <c r="Q6022" s="232"/>
      <c r="R6022" s="411"/>
      <c r="T6022" s="134" t="s">
        <v>324</v>
      </c>
      <c r="U6022" s="267" t="s">
        <v>12987</v>
      </c>
      <c r="V6022" s="133" t="s">
        <v>12988</v>
      </c>
      <c r="AA6022" s="218"/>
    </row>
    <row r="6023" spans="1:27" x14ac:dyDescent="0.25">
      <c r="A6023" s="432"/>
      <c r="B6023" s="433"/>
      <c r="C6023" s="432"/>
      <c r="D6023" s="430"/>
      <c r="E6023" s="120">
        <v>250</v>
      </c>
      <c r="F6023" s="133" t="s">
        <v>341</v>
      </c>
      <c r="G6023" s="435"/>
      <c r="H6023" s="438"/>
      <c r="I6023" s="438"/>
      <c r="J6023" s="438"/>
      <c r="K6023" s="437"/>
      <c r="L6023" s="131">
        <v>695</v>
      </c>
      <c r="M6023" s="450"/>
      <c r="N6023" s="91">
        <f t="shared" si="2421"/>
        <v>173.75</v>
      </c>
      <c r="O6023" s="411">
        <f t="shared" si="2457"/>
        <v>-173.75</v>
      </c>
      <c r="P6023" s="132" t="s">
        <v>52</v>
      </c>
      <c r="Q6023" s="232"/>
      <c r="R6023" s="411"/>
      <c r="T6023" s="439" t="s">
        <v>12985</v>
      </c>
      <c r="U6023" s="266"/>
      <c r="AA6023" s="218"/>
    </row>
    <row r="6024" spans="1:27" x14ac:dyDescent="0.25">
      <c r="A6024" s="420"/>
      <c r="B6024" s="422"/>
      <c r="C6024" s="420"/>
      <c r="D6024" s="431"/>
      <c r="E6024" s="120">
        <v>250</v>
      </c>
      <c r="F6024" s="133" t="s">
        <v>431</v>
      </c>
      <c r="G6024" s="436"/>
      <c r="H6024" s="428"/>
      <c r="I6024" s="428"/>
      <c r="J6024" s="428"/>
      <c r="K6024" s="426"/>
      <c r="L6024" s="131">
        <v>990</v>
      </c>
      <c r="M6024" s="451"/>
      <c r="N6024" s="91">
        <f t="shared" si="2421"/>
        <v>247.5</v>
      </c>
      <c r="O6024" s="411">
        <f t="shared" si="2457"/>
        <v>-247.5</v>
      </c>
      <c r="P6024" s="132" t="s">
        <v>52</v>
      </c>
      <c r="Q6024" s="232"/>
      <c r="R6024" s="411"/>
      <c r="T6024" s="441"/>
      <c r="U6024" s="266"/>
      <c r="AA6024" s="218"/>
    </row>
    <row r="6025" spans="1:27" ht="24" x14ac:dyDescent="0.25">
      <c r="A6025" s="405">
        <v>3004734</v>
      </c>
      <c r="B6025" s="406">
        <v>42647</v>
      </c>
      <c r="C6025" s="405" t="s">
        <v>42</v>
      </c>
      <c r="D6025" s="401" t="s">
        <v>12989</v>
      </c>
      <c r="E6025" s="120">
        <v>200</v>
      </c>
      <c r="F6025" s="133" t="s">
        <v>222</v>
      </c>
      <c r="G6025" s="404" t="s">
        <v>7486</v>
      </c>
      <c r="H6025" s="411">
        <v>342</v>
      </c>
      <c r="I6025" s="89">
        <f>-(H6025*0.09)</f>
        <v>-30.779999999999998</v>
      </c>
      <c r="J6025" s="258">
        <f t="shared" ref="J6025" si="2458">-((H6025*0.019)+0.3)</f>
        <v>-6.798</v>
      </c>
      <c r="K6025" s="90">
        <f t="shared" ref="K6025" si="2459">SUM(H6025:J6025)</f>
        <v>304.42200000000003</v>
      </c>
      <c r="L6025" s="131">
        <v>806</v>
      </c>
      <c r="M6025" s="187">
        <v>63.38</v>
      </c>
      <c r="N6025" s="91">
        <f t="shared" si="2421"/>
        <v>224.58</v>
      </c>
      <c r="O6025" s="411">
        <f t="shared" si="2457"/>
        <v>79.842000000000013</v>
      </c>
      <c r="P6025" s="132" t="s">
        <v>86</v>
      </c>
      <c r="Q6025" s="232"/>
      <c r="R6025" s="411"/>
      <c r="T6025" s="134" t="s">
        <v>145</v>
      </c>
      <c r="U6025" s="267" t="s">
        <v>12990</v>
      </c>
      <c r="AA6025" s="218"/>
    </row>
    <row r="6026" spans="1:27" ht="24" x14ac:dyDescent="0.25">
      <c r="A6026" s="405">
        <v>3004735</v>
      </c>
      <c r="B6026" s="406">
        <v>42647</v>
      </c>
      <c r="C6026" s="405" t="s">
        <v>42</v>
      </c>
      <c r="D6026" s="401" t="s">
        <v>12991</v>
      </c>
      <c r="E6026" s="120">
        <v>150</v>
      </c>
      <c r="F6026" s="133" t="s">
        <v>247</v>
      </c>
      <c r="G6026" s="404" t="s">
        <v>7486</v>
      </c>
      <c r="H6026" s="411">
        <v>185.9</v>
      </c>
      <c r="I6026" s="89">
        <f>-(H6026*0.09)</f>
        <v>-16.731000000000002</v>
      </c>
      <c r="J6026" s="258">
        <f t="shared" ref="J6026" si="2460">-((H6026*0.019)+0.3)</f>
        <v>-3.8321000000000001</v>
      </c>
      <c r="K6026" s="90">
        <f t="shared" ref="K6026" si="2461">SUM(H6026:J6026)</f>
        <v>165.33690000000001</v>
      </c>
      <c r="L6026" s="187">
        <v>672</v>
      </c>
      <c r="M6026" s="187">
        <v>54.16</v>
      </c>
      <c r="N6026" s="91">
        <f t="shared" si="2421"/>
        <v>154.95999999999998</v>
      </c>
      <c r="O6026" s="411">
        <f t="shared" si="2457"/>
        <v>10.376900000000035</v>
      </c>
      <c r="P6026" s="132" t="s">
        <v>313</v>
      </c>
      <c r="Q6026" s="232"/>
      <c r="R6026" s="411"/>
      <c r="T6026" s="134" t="s">
        <v>145</v>
      </c>
      <c r="U6026" s="267" t="s">
        <v>12992</v>
      </c>
      <c r="AA6026" s="218"/>
    </row>
    <row r="6027" spans="1:27" ht="24" x14ac:dyDescent="0.25">
      <c r="A6027" s="405">
        <v>3004736</v>
      </c>
      <c r="B6027" s="406">
        <v>42647</v>
      </c>
      <c r="C6027" s="405" t="s">
        <v>63</v>
      </c>
      <c r="D6027" s="401" t="s">
        <v>12993</v>
      </c>
      <c r="E6027" s="120">
        <v>100</v>
      </c>
      <c r="F6027" s="133" t="s">
        <v>860</v>
      </c>
      <c r="G6027" s="404" t="s">
        <v>7486</v>
      </c>
      <c r="H6027" s="411">
        <v>700</v>
      </c>
      <c r="I6027" s="399">
        <v>0</v>
      </c>
      <c r="J6027" s="396">
        <f>-((H6027*0.022)+0.3)</f>
        <v>-15.7</v>
      </c>
      <c r="K6027" s="396">
        <f>SUM(H6027:J6027)</f>
        <v>684.3</v>
      </c>
      <c r="L6027" s="131">
        <v>3300</v>
      </c>
      <c r="M6027" s="187">
        <v>54.64</v>
      </c>
      <c r="N6027" s="91">
        <f t="shared" si="2421"/>
        <v>384.64</v>
      </c>
      <c r="O6027" s="411">
        <f t="shared" si="2457"/>
        <v>299.65999999999997</v>
      </c>
      <c r="P6027" s="132" t="s">
        <v>52</v>
      </c>
      <c r="Q6027" s="232"/>
      <c r="R6027" s="411"/>
      <c r="T6027" s="134" t="s">
        <v>145</v>
      </c>
      <c r="U6027" s="267" t="s">
        <v>12994</v>
      </c>
      <c r="W6027" s="153" t="s">
        <v>12995</v>
      </c>
      <c r="AA6027" s="218"/>
    </row>
    <row r="6028" spans="1:27" ht="24" x14ac:dyDescent="0.25">
      <c r="A6028" s="405">
        <v>3004737</v>
      </c>
      <c r="B6028" s="406">
        <v>42647</v>
      </c>
      <c r="C6028" s="405" t="s">
        <v>237</v>
      </c>
      <c r="D6028" s="401" t="s">
        <v>12996</v>
      </c>
      <c r="E6028" s="120">
        <v>150</v>
      </c>
      <c r="F6028" s="133" t="s">
        <v>247</v>
      </c>
      <c r="G6028" s="404" t="s">
        <v>7486</v>
      </c>
      <c r="H6028" s="411">
        <v>174.47</v>
      </c>
      <c r="I6028" s="397">
        <f t="shared" ref="I6028" si="2462">-(H6028*0.15)</f>
        <v>-26.170500000000001</v>
      </c>
      <c r="J6028" s="258">
        <v>0</v>
      </c>
      <c r="K6028" s="90">
        <f>SUM(H6028:J6028)</f>
        <v>148.29949999999999</v>
      </c>
      <c r="L6028" s="187">
        <v>672</v>
      </c>
      <c r="M6028" s="187">
        <v>43.71</v>
      </c>
      <c r="N6028" s="91">
        <f t="shared" si="2421"/>
        <v>144.51</v>
      </c>
      <c r="O6028" s="411">
        <f t="shared" si="2457"/>
        <v>3.7895000000000039</v>
      </c>
      <c r="P6028" s="132" t="s">
        <v>313</v>
      </c>
      <c r="Q6028" s="232"/>
      <c r="R6028" s="411"/>
      <c r="T6028" s="134" t="s">
        <v>145</v>
      </c>
      <c r="U6028" s="267" t="s">
        <v>12997</v>
      </c>
      <c r="AA6028" s="218"/>
    </row>
    <row r="6029" spans="1:27" x14ac:dyDescent="0.25">
      <c r="A6029" s="405">
        <v>3004738</v>
      </c>
      <c r="B6029" s="406">
        <v>42648</v>
      </c>
      <c r="C6029" s="405" t="s">
        <v>56</v>
      </c>
      <c r="D6029" s="401" t="s">
        <v>6462</v>
      </c>
      <c r="E6029" s="120">
        <v>1500</v>
      </c>
      <c r="F6029" s="119" t="s">
        <v>12998</v>
      </c>
      <c r="G6029" s="404" t="s">
        <v>45</v>
      </c>
      <c r="H6029" s="411">
        <v>14850</v>
      </c>
      <c r="I6029" s="411">
        <v>0</v>
      </c>
      <c r="J6029" s="411">
        <v>0</v>
      </c>
      <c r="K6029" s="90">
        <f>SUM(H6029:J6029)</f>
        <v>14850</v>
      </c>
      <c r="L6029" s="187">
        <v>6800</v>
      </c>
      <c r="M6029" s="131">
        <v>0</v>
      </c>
      <c r="N6029" s="91">
        <f t="shared" si="2421"/>
        <v>10200</v>
      </c>
      <c r="O6029" s="411">
        <f t="shared" si="2457"/>
        <v>4650</v>
      </c>
      <c r="P6029" s="132" t="s">
        <v>638</v>
      </c>
      <c r="Q6029" s="232"/>
      <c r="R6029" s="411"/>
      <c r="T6029" s="134" t="s">
        <v>8639</v>
      </c>
      <c r="U6029" s="267" t="s">
        <v>12999</v>
      </c>
      <c r="V6029" s="133" t="s">
        <v>12093</v>
      </c>
      <c r="AA6029" s="218"/>
    </row>
    <row r="6030" spans="1:27" ht="24" x14ac:dyDescent="0.25">
      <c r="A6030" s="405">
        <v>3004739</v>
      </c>
      <c r="B6030" s="406">
        <v>42648</v>
      </c>
      <c r="C6030" s="405" t="s">
        <v>42</v>
      </c>
      <c r="D6030" s="401" t="s">
        <v>13000</v>
      </c>
      <c r="E6030" s="120">
        <v>80</v>
      </c>
      <c r="F6030" s="133" t="s">
        <v>178</v>
      </c>
      <c r="G6030" s="404" t="s">
        <v>7486</v>
      </c>
      <c r="H6030" s="411">
        <v>209.6</v>
      </c>
      <c r="I6030" s="89">
        <f>-(H6030*0.09)</f>
        <v>-18.863999999999997</v>
      </c>
      <c r="J6030" s="258">
        <f t="shared" ref="J6030" si="2463">-((H6030*0.019)+0.3)</f>
        <v>-4.2824</v>
      </c>
      <c r="K6030" s="90">
        <f t="shared" ref="K6030" si="2464">SUM(H6030:J6030)</f>
        <v>186.45359999999999</v>
      </c>
      <c r="L6030" s="131">
        <v>1170</v>
      </c>
      <c r="M6030" s="187">
        <v>49.13</v>
      </c>
      <c r="N6030" s="91">
        <f t="shared" si="2421"/>
        <v>142.73000000000002</v>
      </c>
      <c r="O6030" s="411">
        <f t="shared" si="2457"/>
        <v>43.723599999999976</v>
      </c>
      <c r="P6030" s="132" t="s">
        <v>52</v>
      </c>
      <c r="Q6030" s="232"/>
      <c r="R6030" s="411"/>
      <c r="T6030" s="134" t="s">
        <v>145</v>
      </c>
      <c r="U6030" s="267" t="s">
        <v>13001</v>
      </c>
      <c r="AA6030" s="218"/>
    </row>
    <row r="6031" spans="1:27" ht="24" x14ac:dyDescent="0.25">
      <c r="A6031" s="405">
        <v>3004740</v>
      </c>
      <c r="B6031" s="406">
        <v>42648</v>
      </c>
      <c r="C6031" s="405" t="s">
        <v>42</v>
      </c>
      <c r="D6031" s="401" t="s">
        <v>13002</v>
      </c>
      <c r="E6031" s="120">
        <v>200</v>
      </c>
      <c r="F6031" s="133" t="s">
        <v>161</v>
      </c>
      <c r="G6031" s="404" t="s">
        <v>7486</v>
      </c>
      <c r="H6031" s="411">
        <v>537.02</v>
      </c>
      <c r="I6031" s="89">
        <f>-(H6031*0.09)</f>
        <v>-48.331799999999994</v>
      </c>
      <c r="J6031" s="258">
        <f t="shared" ref="J6031" si="2465">-((H6031*0.019)+0.3)</f>
        <v>-10.50338</v>
      </c>
      <c r="K6031" s="90">
        <f t="shared" ref="K6031" si="2466">SUM(H6031:J6031)</f>
        <v>478.18482</v>
      </c>
      <c r="L6031" s="131">
        <v>1322</v>
      </c>
      <c r="M6031" s="187">
        <v>53.54</v>
      </c>
      <c r="N6031" s="91">
        <f t="shared" si="2421"/>
        <v>317.94000000000005</v>
      </c>
      <c r="O6031" s="411">
        <f t="shared" si="2457"/>
        <v>160.24481999999995</v>
      </c>
      <c r="P6031" s="132" t="s">
        <v>52</v>
      </c>
      <c r="Q6031" s="232"/>
      <c r="R6031" s="411"/>
      <c r="T6031" s="134" t="s">
        <v>145</v>
      </c>
      <c r="U6031" s="267" t="s">
        <v>13003</v>
      </c>
      <c r="AA6031" s="218"/>
    </row>
    <row r="6032" spans="1:27" x14ac:dyDescent="0.25">
      <c r="A6032" s="405">
        <v>3004741</v>
      </c>
      <c r="B6032" s="406">
        <v>42648</v>
      </c>
      <c r="C6032" s="405" t="s">
        <v>42</v>
      </c>
      <c r="D6032" s="401" t="s">
        <v>13004</v>
      </c>
      <c r="E6032" s="120">
        <v>350</v>
      </c>
      <c r="F6032" s="133" t="s">
        <v>528</v>
      </c>
      <c r="G6032" s="404" t="s">
        <v>7486</v>
      </c>
      <c r="H6032" s="411">
        <v>740</v>
      </c>
      <c r="I6032" s="89">
        <f>-(H6032*0.09)</f>
        <v>-66.599999999999994</v>
      </c>
      <c r="J6032" s="258">
        <f t="shared" ref="J6032" si="2467">-((H6032*0.019)+0.3)</f>
        <v>-14.360000000000001</v>
      </c>
      <c r="K6032" s="90">
        <f t="shared" ref="K6032" si="2468">SUM(H6032:J6032)</f>
        <v>659.04</v>
      </c>
      <c r="L6032" s="131">
        <v>1021</v>
      </c>
      <c r="M6032" s="187">
        <v>123.8</v>
      </c>
      <c r="N6032" s="91">
        <f t="shared" si="2421"/>
        <v>481.15000000000003</v>
      </c>
      <c r="O6032" s="411">
        <f t="shared" si="2457"/>
        <v>177.88999999999993</v>
      </c>
      <c r="P6032" s="132" t="s">
        <v>52</v>
      </c>
      <c r="Q6032" s="232"/>
      <c r="R6032" s="411"/>
      <c r="T6032" s="134" t="s">
        <v>13005</v>
      </c>
      <c r="U6032" s="267" t="s">
        <v>13006</v>
      </c>
      <c r="V6032" s="133" t="s">
        <v>55</v>
      </c>
      <c r="AA6032" s="218"/>
    </row>
    <row r="6033" spans="1:27" ht="24" x14ac:dyDescent="0.25">
      <c r="A6033" s="405">
        <v>3004742</v>
      </c>
      <c r="B6033" s="406">
        <v>42648</v>
      </c>
      <c r="C6033" s="405" t="s">
        <v>42</v>
      </c>
      <c r="D6033" s="401" t="s">
        <v>13007</v>
      </c>
      <c r="E6033" s="120">
        <v>250</v>
      </c>
      <c r="F6033" s="133" t="s">
        <v>323</v>
      </c>
      <c r="G6033" s="404" t="s">
        <v>7486</v>
      </c>
      <c r="H6033" s="411">
        <v>197.99</v>
      </c>
      <c r="I6033" s="89">
        <f>-(H6033*0.09)</f>
        <v>-17.819099999999999</v>
      </c>
      <c r="J6033" s="258">
        <f t="shared" ref="J6033" si="2469">-((H6033*0.019)+0.3)</f>
        <v>-4.0618100000000004</v>
      </c>
      <c r="K6033" s="90">
        <f t="shared" ref="K6033" si="2470">SUM(H6033:J6033)</f>
        <v>176.10909000000001</v>
      </c>
      <c r="L6033" s="131">
        <v>395</v>
      </c>
      <c r="M6033" s="187">
        <v>21.24</v>
      </c>
      <c r="N6033" s="91">
        <f t="shared" si="2421"/>
        <v>119.99</v>
      </c>
      <c r="O6033" s="411">
        <f t="shared" si="2457"/>
        <v>56.119090000000014</v>
      </c>
      <c r="P6033" s="132" t="s">
        <v>52</v>
      </c>
      <c r="Q6033" s="232"/>
      <c r="R6033" s="411"/>
      <c r="T6033" s="134" t="s">
        <v>145</v>
      </c>
      <c r="U6033" s="267" t="s">
        <v>13008</v>
      </c>
      <c r="AA6033" s="218"/>
    </row>
    <row r="6034" spans="1:27" ht="24" x14ac:dyDescent="0.25">
      <c r="A6034" s="405">
        <v>3004743</v>
      </c>
      <c r="B6034" s="406">
        <v>42648</v>
      </c>
      <c r="C6034" s="405" t="s">
        <v>42</v>
      </c>
      <c r="D6034" s="401" t="s">
        <v>13009</v>
      </c>
      <c r="E6034" s="120">
        <v>250</v>
      </c>
      <c r="F6034" s="133" t="s">
        <v>438</v>
      </c>
      <c r="G6034" s="404" t="s">
        <v>7486</v>
      </c>
      <c r="H6034" s="411">
        <v>195.91</v>
      </c>
      <c r="I6034" s="89">
        <f>-(H6034*0.09)</f>
        <v>-17.631899999999998</v>
      </c>
      <c r="J6034" s="258">
        <f t="shared" ref="J6034" si="2471">-((H6034*0.019)+0.3)</f>
        <v>-4.0222899999999999</v>
      </c>
      <c r="K6034" s="90">
        <f t="shared" ref="K6034" si="2472">SUM(H6034:J6034)</f>
        <v>174.25581</v>
      </c>
      <c r="L6034" s="187">
        <v>249</v>
      </c>
      <c r="M6034" s="187">
        <v>23.8</v>
      </c>
      <c r="N6034" s="91">
        <f t="shared" si="2421"/>
        <v>86.05</v>
      </c>
      <c r="O6034" s="411">
        <f t="shared" si="2457"/>
        <v>88.20581</v>
      </c>
      <c r="P6034" s="132" t="s">
        <v>313</v>
      </c>
      <c r="Q6034" s="232"/>
      <c r="R6034" s="411"/>
      <c r="T6034" s="134" t="s">
        <v>145</v>
      </c>
      <c r="U6034" s="267" t="s">
        <v>13010</v>
      </c>
      <c r="AA6034" s="218"/>
    </row>
    <row r="6035" spans="1:27" ht="24" x14ac:dyDescent="0.25">
      <c r="A6035" s="405">
        <v>3004744</v>
      </c>
      <c r="B6035" s="406">
        <v>42648</v>
      </c>
      <c r="C6035" s="405" t="s">
        <v>237</v>
      </c>
      <c r="D6035" s="401" t="s">
        <v>13011</v>
      </c>
      <c r="E6035" s="120">
        <v>500</v>
      </c>
      <c r="F6035" s="133" t="s">
        <v>451</v>
      </c>
      <c r="G6035" s="404" t="s">
        <v>7486</v>
      </c>
      <c r="H6035" s="411">
        <v>296.95999999999998</v>
      </c>
      <c r="I6035" s="397">
        <f t="shared" ref="I6035" si="2473">-(H6035*0.15)</f>
        <v>-44.543999999999997</v>
      </c>
      <c r="J6035" s="258">
        <v>0</v>
      </c>
      <c r="K6035" s="90">
        <f>SUM(H6035:J6035)</f>
        <v>252.416</v>
      </c>
      <c r="L6035" s="131">
        <v>300</v>
      </c>
      <c r="M6035" s="187">
        <v>27.47</v>
      </c>
      <c r="N6035" s="91">
        <f t="shared" si="2421"/>
        <v>177.47</v>
      </c>
      <c r="O6035" s="411">
        <f t="shared" si="2457"/>
        <v>74.945999999999998</v>
      </c>
      <c r="P6035" s="132" t="s">
        <v>52</v>
      </c>
      <c r="Q6035" s="232"/>
      <c r="R6035" s="411"/>
      <c r="T6035" s="134" t="s">
        <v>145</v>
      </c>
      <c r="U6035" s="267" t="s">
        <v>13012</v>
      </c>
      <c r="AA6035" s="218"/>
    </row>
    <row r="6036" spans="1:27" ht="24" x14ac:dyDescent="0.25">
      <c r="A6036" s="405">
        <v>3004745</v>
      </c>
      <c r="B6036" s="406">
        <v>42648</v>
      </c>
      <c r="C6036" s="405" t="s">
        <v>237</v>
      </c>
      <c r="D6036" s="401" t="s">
        <v>13013</v>
      </c>
      <c r="E6036" s="120">
        <v>200</v>
      </c>
      <c r="F6036" s="133" t="s">
        <v>247</v>
      </c>
      <c r="G6036" s="404" t="s">
        <v>7486</v>
      </c>
      <c r="H6036" s="411">
        <v>224.43</v>
      </c>
      <c r="I6036" s="397">
        <f t="shared" ref="I6036" si="2474">-(H6036*0.15)</f>
        <v>-33.664499999999997</v>
      </c>
      <c r="J6036" s="258">
        <v>0</v>
      </c>
      <c r="K6036" s="90">
        <f>SUM(H6036:J6036)</f>
        <v>190.7655</v>
      </c>
      <c r="L6036" s="187">
        <v>672</v>
      </c>
      <c r="M6036" s="187">
        <v>42.69</v>
      </c>
      <c r="N6036" s="91">
        <f t="shared" si="2421"/>
        <v>177.09</v>
      </c>
      <c r="O6036" s="411">
        <f t="shared" si="2457"/>
        <v>13.6755</v>
      </c>
      <c r="P6036" s="132" t="s">
        <v>313</v>
      </c>
      <c r="Q6036" s="232"/>
      <c r="R6036" s="411"/>
      <c r="T6036" s="134" t="s">
        <v>145</v>
      </c>
      <c r="U6036" s="267" t="s">
        <v>13014</v>
      </c>
      <c r="AA6036" s="218"/>
    </row>
    <row r="6037" spans="1:27" ht="24" x14ac:dyDescent="0.25">
      <c r="A6037" s="405">
        <v>3004746</v>
      </c>
      <c r="B6037" s="406">
        <v>42648</v>
      </c>
      <c r="C6037" s="405" t="s">
        <v>237</v>
      </c>
      <c r="D6037" s="401" t="s">
        <v>13015</v>
      </c>
      <c r="E6037" s="120">
        <v>100</v>
      </c>
      <c r="F6037" s="133" t="s">
        <v>1293</v>
      </c>
      <c r="G6037" s="404" t="s">
        <v>7486</v>
      </c>
      <c r="H6037" s="411">
        <v>102.92</v>
      </c>
      <c r="I6037" s="397">
        <f t="shared" ref="I6037" si="2475">-(H6037*0.15)</f>
        <v>-15.437999999999999</v>
      </c>
      <c r="J6037" s="258">
        <v>0</v>
      </c>
      <c r="K6037" s="90">
        <f>SUM(H6037:J6037)</f>
        <v>87.481999999999999</v>
      </c>
      <c r="L6037" s="131">
        <v>400</v>
      </c>
      <c r="M6037" s="187">
        <v>27.41</v>
      </c>
      <c r="N6037" s="91">
        <f t="shared" si="2421"/>
        <v>67.41</v>
      </c>
      <c r="O6037" s="411">
        <f t="shared" si="2457"/>
        <v>20.072000000000003</v>
      </c>
      <c r="P6037" s="132" t="s">
        <v>52</v>
      </c>
      <c r="Q6037" s="232"/>
      <c r="R6037" s="411"/>
      <c r="T6037" s="134" t="s">
        <v>145</v>
      </c>
      <c r="U6037" s="267" t="s">
        <v>13016</v>
      </c>
      <c r="AA6037" s="218"/>
    </row>
    <row r="6038" spans="1:27" ht="24" x14ac:dyDescent="0.25">
      <c r="A6038" s="405">
        <v>3004747</v>
      </c>
      <c r="B6038" s="406">
        <v>42648</v>
      </c>
      <c r="C6038" s="405" t="s">
        <v>237</v>
      </c>
      <c r="D6038" s="401" t="s">
        <v>13017</v>
      </c>
      <c r="E6038" s="120">
        <v>175</v>
      </c>
      <c r="F6038" s="133" t="s">
        <v>3719</v>
      </c>
      <c r="G6038" s="404" t="s">
        <v>7486</v>
      </c>
      <c r="H6038" s="411">
        <v>361.62</v>
      </c>
      <c r="I6038" s="397">
        <f t="shared" ref="I6038" si="2476">-(H6038*0.15)</f>
        <v>-54.243000000000002</v>
      </c>
      <c r="J6038" s="258">
        <v>0</v>
      </c>
      <c r="K6038" s="90">
        <f>SUM(H6038:J6038)</f>
        <v>307.37700000000001</v>
      </c>
      <c r="L6038" s="187">
        <v>1160</v>
      </c>
      <c r="M6038" s="187">
        <v>40.9</v>
      </c>
      <c r="N6038" s="91">
        <f t="shared" si="2421"/>
        <v>243.90000000000003</v>
      </c>
      <c r="O6038" s="411">
        <f t="shared" si="2457"/>
        <v>63.476999999999975</v>
      </c>
      <c r="P6038" s="132" t="s">
        <v>601</v>
      </c>
      <c r="Q6038" s="232"/>
      <c r="R6038" s="411"/>
      <c r="T6038" s="134" t="s">
        <v>145</v>
      </c>
      <c r="U6038" s="267" t="s">
        <v>13018</v>
      </c>
      <c r="AA6038" s="218"/>
    </row>
    <row r="6039" spans="1:27" ht="24" x14ac:dyDescent="0.25">
      <c r="A6039" s="405">
        <v>3004748</v>
      </c>
      <c r="B6039" s="406">
        <v>42648</v>
      </c>
      <c r="C6039" s="405" t="s">
        <v>42</v>
      </c>
      <c r="D6039" s="401" t="s">
        <v>13019</v>
      </c>
      <c r="E6039" s="120">
        <v>100</v>
      </c>
      <c r="F6039" s="133" t="s">
        <v>829</v>
      </c>
      <c r="G6039" s="404" t="s">
        <v>7486</v>
      </c>
      <c r="H6039" s="411">
        <v>118.56</v>
      </c>
      <c r="I6039" s="89">
        <f>-(H6039*0.09)</f>
        <v>-10.670399999999999</v>
      </c>
      <c r="J6039" s="258">
        <f t="shared" ref="J6039" si="2477">-((H6039*0.019)+0.3)</f>
        <v>-2.5526399999999998</v>
      </c>
      <c r="K6039" s="90">
        <f t="shared" ref="K6039" si="2478">SUM(H6039:J6039)</f>
        <v>105.33696</v>
      </c>
      <c r="L6039" s="131">
        <v>510</v>
      </c>
      <c r="M6039" s="187">
        <v>35.200000000000003</v>
      </c>
      <c r="N6039" s="91">
        <f t="shared" si="2421"/>
        <v>86.2</v>
      </c>
      <c r="O6039" s="411">
        <f t="shared" si="2457"/>
        <v>19.136960000000002</v>
      </c>
      <c r="P6039" s="132" t="s">
        <v>52</v>
      </c>
      <c r="Q6039" s="232"/>
      <c r="R6039" s="411"/>
      <c r="T6039" s="134" t="s">
        <v>145</v>
      </c>
      <c r="U6039" s="267" t="s">
        <v>13020</v>
      </c>
      <c r="AA6039" s="218"/>
    </row>
    <row r="6040" spans="1:27" ht="24" x14ac:dyDescent="0.25">
      <c r="A6040" s="405">
        <v>3004749</v>
      </c>
      <c r="B6040" s="406">
        <v>42648</v>
      </c>
      <c r="C6040" s="405" t="s">
        <v>237</v>
      </c>
      <c r="D6040" s="401" t="s">
        <v>13021</v>
      </c>
      <c r="E6040" s="120">
        <v>50</v>
      </c>
      <c r="F6040" s="133" t="s">
        <v>288</v>
      </c>
      <c r="G6040" s="404" t="s">
        <v>7486</v>
      </c>
      <c r="H6040" s="411">
        <v>113.43</v>
      </c>
      <c r="I6040" s="397">
        <f t="shared" ref="I6040" si="2479">-(H6040*0.15)</f>
        <v>-17.014500000000002</v>
      </c>
      <c r="J6040" s="258">
        <v>0</v>
      </c>
      <c r="K6040" s="90">
        <f>SUM(H6040:J6040)</f>
        <v>96.415500000000009</v>
      </c>
      <c r="L6040" s="131">
        <v>900</v>
      </c>
      <c r="M6040" s="187">
        <v>23.31</v>
      </c>
      <c r="N6040" s="91">
        <f t="shared" si="2421"/>
        <v>68.31</v>
      </c>
      <c r="O6040" s="411">
        <f t="shared" si="2457"/>
        <v>28.105500000000006</v>
      </c>
      <c r="P6040" s="132" t="s">
        <v>52</v>
      </c>
      <c r="Q6040" s="232"/>
      <c r="R6040" s="411"/>
      <c r="T6040" s="134" t="s">
        <v>145</v>
      </c>
      <c r="U6040" s="267" t="s">
        <v>13022</v>
      </c>
      <c r="AA6040" s="218"/>
    </row>
    <row r="6041" spans="1:27" ht="24" x14ac:dyDescent="0.25">
      <c r="A6041" s="405">
        <v>3004750</v>
      </c>
      <c r="B6041" s="406">
        <v>42648</v>
      </c>
      <c r="C6041" s="405" t="s">
        <v>237</v>
      </c>
      <c r="D6041" s="401" t="s">
        <v>13023</v>
      </c>
      <c r="E6041" s="120">
        <v>100</v>
      </c>
      <c r="F6041" s="133" t="s">
        <v>341</v>
      </c>
      <c r="G6041" s="404" t="s">
        <v>7486</v>
      </c>
      <c r="H6041" s="411">
        <v>142.09</v>
      </c>
      <c r="I6041" s="397">
        <f t="shared" ref="I6041" si="2480">-(H6041*0.15)</f>
        <v>-21.313500000000001</v>
      </c>
      <c r="J6041" s="258">
        <v>0</v>
      </c>
      <c r="K6041" s="90">
        <f>SUM(H6041:J6041)</f>
        <v>120.7765</v>
      </c>
      <c r="L6041" s="131">
        <v>695</v>
      </c>
      <c r="M6041" s="187">
        <v>27.32</v>
      </c>
      <c r="N6041" s="91">
        <f t="shared" si="2421"/>
        <v>96.82</v>
      </c>
      <c r="O6041" s="411">
        <f t="shared" si="2457"/>
        <v>23.956500000000005</v>
      </c>
      <c r="P6041" s="132" t="s">
        <v>52</v>
      </c>
      <c r="Q6041" s="232"/>
      <c r="R6041" s="411"/>
      <c r="T6041" s="134" t="s">
        <v>145</v>
      </c>
      <c r="U6041" s="267" t="s">
        <v>13024</v>
      </c>
      <c r="AA6041" s="218"/>
    </row>
    <row r="6042" spans="1:27" ht="24" x14ac:dyDescent="0.25">
      <c r="A6042" s="405">
        <v>3004751</v>
      </c>
      <c r="B6042" s="406">
        <v>42648</v>
      </c>
      <c r="C6042" s="405" t="s">
        <v>42</v>
      </c>
      <c r="D6042" s="401" t="s">
        <v>13025</v>
      </c>
      <c r="E6042" s="120">
        <v>125</v>
      </c>
      <c r="F6042" s="133" t="s">
        <v>51</v>
      </c>
      <c r="G6042" s="404" t="s">
        <v>7486</v>
      </c>
      <c r="H6042" s="411">
        <v>302.83</v>
      </c>
      <c r="I6042" s="89">
        <f>-(H6042*0.09)</f>
        <v>-27.254699999999996</v>
      </c>
      <c r="J6042" s="258">
        <f t="shared" ref="J6042" si="2481">-((H6042*0.019)+0.3)</f>
        <v>-6.0537699999999992</v>
      </c>
      <c r="K6042" s="90">
        <f t="shared" ref="K6042" si="2482">SUM(H6042:J6042)</f>
        <v>269.52152999999998</v>
      </c>
      <c r="L6042" s="131">
        <v>1150</v>
      </c>
      <c r="M6042" s="187">
        <v>48.48</v>
      </c>
      <c r="N6042" s="91">
        <f t="shared" si="2421"/>
        <v>192.23</v>
      </c>
      <c r="O6042" s="411">
        <f t="shared" si="2457"/>
        <v>77.291529999999995</v>
      </c>
      <c r="P6042" s="132" t="s">
        <v>52</v>
      </c>
      <c r="Q6042" s="232"/>
      <c r="R6042" s="411"/>
      <c r="T6042" s="134" t="s">
        <v>145</v>
      </c>
      <c r="U6042" s="267" t="s">
        <v>13026</v>
      </c>
      <c r="AA6042" s="218"/>
    </row>
    <row r="6043" spans="1:27" ht="24" x14ac:dyDescent="0.25">
      <c r="A6043" s="405">
        <v>3004752</v>
      </c>
      <c r="B6043" s="406">
        <v>42648</v>
      </c>
      <c r="C6043" s="405" t="s">
        <v>237</v>
      </c>
      <c r="D6043" s="401" t="s">
        <v>13027</v>
      </c>
      <c r="E6043" s="120">
        <v>100</v>
      </c>
      <c r="F6043" s="133" t="s">
        <v>288</v>
      </c>
      <c r="G6043" s="404" t="s">
        <v>7486</v>
      </c>
      <c r="H6043" s="411">
        <v>193.04</v>
      </c>
      <c r="I6043" s="397">
        <f t="shared" ref="I6043" si="2483">-(H6043*0.15)</f>
        <v>-28.955999999999996</v>
      </c>
      <c r="J6043" s="258">
        <v>0</v>
      </c>
      <c r="K6043" s="90">
        <f>SUM(H6043:J6043)</f>
        <v>164.084</v>
      </c>
      <c r="L6043" s="131">
        <v>900</v>
      </c>
      <c r="M6043" s="187">
        <v>42.01</v>
      </c>
      <c r="N6043" s="91">
        <f t="shared" ref="N6043:N6049" si="2484">((L6043)*(E6043*0.001))+M6043</f>
        <v>132.01</v>
      </c>
      <c r="O6043" s="411">
        <f t="shared" si="2457"/>
        <v>32.074000000000012</v>
      </c>
      <c r="P6043" s="132" t="s">
        <v>52</v>
      </c>
      <c r="Q6043" s="232"/>
      <c r="R6043" s="411"/>
      <c r="T6043" s="134" t="s">
        <v>145</v>
      </c>
      <c r="U6043" s="267" t="s">
        <v>13028</v>
      </c>
      <c r="AA6043" s="218"/>
    </row>
    <row r="6044" spans="1:27" ht="24" x14ac:dyDescent="0.25">
      <c r="A6044" s="405">
        <v>3004753</v>
      </c>
      <c r="B6044" s="406">
        <v>42648</v>
      </c>
      <c r="C6044" s="405" t="s">
        <v>42</v>
      </c>
      <c r="D6044" s="401" t="s">
        <v>13029</v>
      </c>
      <c r="E6044" s="120">
        <v>50</v>
      </c>
      <c r="F6044" s="133" t="s">
        <v>288</v>
      </c>
      <c r="G6044" s="404" t="s">
        <v>7486</v>
      </c>
      <c r="H6044" s="411">
        <v>108.9</v>
      </c>
      <c r="I6044" s="89">
        <f>-(H6044*0.09)</f>
        <v>-9.8010000000000002</v>
      </c>
      <c r="J6044" s="258">
        <f t="shared" ref="J6044" si="2485">-((H6044*0.019)+0.3)</f>
        <v>-2.3691</v>
      </c>
      <c r="K6044" s="90">
        <f t="shared" ref="K6044" si="2486">SUM(H6044:J6044)</f>
        <v>96.729900000000001</v>
      </c>
      <c r="L6044" s="131">
        <v>900</v>
      </c>
      <c r="M6044" s="187">
        <v>14.58</v>
      </c>
      <c r="N6044" s="91">
        <f t="shared" si="2484"/>
        <v>59.58</v>
      </c>
      <c r="O6044" s="411">
        <f t="shared" si="2457"/>
        <v>37.149900000000002</v>
      </c>
      <c r="P6044" s="132" t="s">
        <v>52</v>
      </c>
      <c r="Q6044" s="232"/>
      <c r="R6044" s="411"/>
      <c r="T6044" s="134" t="s">
        <v>145</v>
      </c>
      <c r="U6044" s="267" t="s">
        <v>13030</v>
      </c>
      <c r="AA6044" s="218"/>
    </row>
    <row r="6045" spans="1:27" ht="24" x14ac:dyDescent="0.25">
      <c r="A6045" s="405">
        <v>3004754</v>
      </c>
      <c r="B6045" s="406">
        <v>42648</v>
      </c>
      <c r="C6045" s="405" t="s">
        <v>42</v>
      </c>
      <c r="D6045" s="401" t="s">
        <v>13031</v>
      </c>
      <c r="E6045" s="120">
        <v>25</v>
      </c>
      <c r="F6045" s="133" t="s">
        <v>277</v>
      </c>
      <c r="G6045" s="404" t="s">
        <v>7486</v>
      </c>
      <c r="H6045" s="411">
        <v>205.29</v>
      </c>
      <c r="I6045" s="89">
        <f>-(H6045*0.09)</f>
        <v>-18.476099999999999</v>
      </c>
      <c r="J6045" s="258">
        <f t="shared" ref="J6045:J6047" si="2487">-((H6045*0.019)+0.3)</f>
        <v>-4.2005099999999995</v>
      </c>
      <c r="K6045" s="90">
        <f t="shared" ref="K6045" si="2488">SUM(H6045:J6045)</f>
        <v>182.61338999999998</v>
      </c>
      <c r="L6045" s="187">
        <v>3460</v>
      </c>
      <c r="M6045" s="187">
        <v>32.15</v>
      </c>
      <c r="N6045" s="91">
        <f t="shared" si="2484"/>
        <v>118.65</v>
      </c>
      <c r="O6045" s="411">
        <f t="shared" si="2457"/>
        <v>63.963389999999976</v>
      </c>
      <c r="P6045" s="132" t="s">
        <v>183</v>
      </c>
      <c r="Q6045" s="232"/>
      <c r="R6045" s="411"/>
      <c r="T6045" s="134" t="s">
        <v>145</v>
      </c>
      <c r="U6045" s="267" t="s">
        <v>13032</v>
      </c>
      <c r="V6045" s="133" t="s">
        <v>6072</v>
      </c>
      <c r="AA6045" s="218"/>
    </row>
    <row r="6046" spans="1:27" ht="24" x14ac:dyDescent="0.25">
      <c r="A6046" s="405">
        <v>3004755</v>
      </c>
      <c r="B6046" s="406">
        <v>42648</v>
      </c>
      <c r="C6046" s="405" t="s">
        <v>327</v>
      </c>
      <c r="D6046" s="401" t="s">
        <v>13033</v>
      </c>
      <c r="E6046" s="120">
        <v>150</v>
      </c>
      <c r="F6046" s="133" t="s">
        <v>307</v>
      </c>
      <c r="G6046" s="404" t="s">
        <v>7486</v>
      </c>
      <c r="H6046" s="411">
        <v>215</v>
      </c>
      <c r="I6046" s="399">
        <v>0</v>
      </c>
      <c r="J6046" s="396">
        <f>-((H6046*0.022)+0.3)</f>
        <v>-5.0299999999999994</v>
      </c>
      <c r="K6046" s="396">
        <f>SUM(H6046:J6046)</f>
        <v>209.97</v>
      </c>
      <c r="L6046" s="131">
        <v>622.45000000000005</v>
      </c>
      <c r="M6046" s="187">
        <v>24.58</v>
      </c>
      <c r="N6046" s="91">
        <f t="shared" si="2484"/>
        <v>117.94750000000001</v>
      </c>
      <c r="O6046" s="411">
        <f t="shared" si="2457"/>
        <v>92.022499999999994</v>
      </c>
      <c r="P6046" s="132" t="s">
        <v>52</v>
      </c>
      <c r="Q6046" s="232"/>
      <c r="R6046" s="411"/>
      <c r="T6046" s="134" t="s">
        <v>145</v>
      </c>
      <c r="U6046" s="267" t="s">
        <v>13034</v>
      </c>
      <c r="W6046" s="153" t="s">
        <v>13035</v>
      </c>
      <c r="AA6046" s="218"/>
    </row>
    <row r="6047" spans="1:27" ht="24" x14ac:dyDescent="0.25">
      <c r="A6047" s="405">
        <v>3004756</v>
      </c>
      <c r="B6047" s="406">
        <v>42648</v>
      </c>
      <c r="C6047" s="405" t="s">
        <v>78</v>
      </c>
      <c r="D6047" s="401" t="s">
        <v>13036</v>
      </c>
      <c r="E6047" s="120">
        <v>75</v>
      </c>
      <c r="F6047" s="133" t="s">
        <v>165</v>
      </c>
      <c r="G6047" s="404" t="s">
        <v>7486</v>
      </c>
      <c r="H6047" s="411">
        <v>77.25</v>
      </c>
      <c r="I6047" s="411">
        <v>0</v>
      </c>
      <c r="J6047" s="258">
        <f t="shared" si="2487"/>
        <v>-1.7677499999999999</v>
      </c>
      <c r="K6047" s="396">
        <f>SUM(H6047:J6047)</f>
        <v>75.482249999999993</v>
      </c>
      <c r="L6047" s="131">
        <v>375</v>
      </c>
      <c r="M6047" s="187">
        <v>17.07</v>
      </c>
      <c r="N6047" s="91">
        <f t="shared" si="2484"/>
        <v>45.195</v>
      </c>
      <c r="O6047" s="411">
        <f t="shared" si="2457"/>
        <v>30.287249999999993</v>
      </c>
      <c r="P6047" s="132" t="s">
        <v>52</v>
      </c>
      <c r="Q6047" s="232"/>
      <c r="R6047" s="411"/>
      <c r="T6047" s="134" t="s">
        <v>145</v>
      </c>
      <c r="U6047" s="267" t="s">
        <v>13037</v>
      </c>
      <c r="W6047" s="153" t="s">
        <v>13038</v>
      </c>
      <c r="AA6047" s="218"/>
    </row>
    <row r="6048" spans="1:27" ht="24" x14ac:dyDescent="0.25">
      <c r="A6048" s="405">
        <v>3004757</v>
      </c>
      <c r="B6048" s="406">
        <v>42648</v>
      </c>
      <c r="C6048" s="405" t="s">
        <v>42</v>
      </c>
      <c r="D6048" s="401" t="s">
        <v>5546</v>
      </c>
      <c r="E6048" s="120">
        <v>500</v>
      </c>
      <c r="F6048" s="133" t="s">
        <v>234</v>
      </c>
      <c r="G6048" s="404" t="s">
        <v>7486</v>
      </c>
      <c r="H6048" s="411">
        <v>320.2</v>
      </c>
      <c r="I6048" s="89">
        <f>-(H6048*0.09)</f>
        <v>-28.817999999999998</v>
      </c>
      <c r="J6048" s="258">
        <f t="shared" ref="J6048" si="2489">-((H6048*0.019)+0.3)</f>
        <v>-6.383799999999999</v>
      </c>
      <c r="K6048" s="90">
        <f t="shared" ref="K6048" si="2490">SUM(H6048:J6048)</f>
        <v>284.9982</v>
      </c>
      <c r="L6048" s="187">
        <v>315</v>
      </c>
      <c r="M6048" s="187">
        <v>35.950000000000003</v>
      </c>
      <c r="N6048" s="91">
        <f t="shared" si="2484"/>
        <v>193.45</v>
      </c>
      <c r="O6048" s="411">
        <f t="shared" si="2457"/>
        <v>91.548200000000008</v>
      </c>
      <c r="P6048" s="132" t="s">
        <v>235</v>
      </c>
      <c r="Q6048" s="232"/>
      <c r="R6048" s="411"/>
      <c r="T6048" s="134" t="s">
        <v>145</v>
      </c>
      <c r="U6048" s="267" t="s">
        <v>13039</v>
      </c>
      <c r="AA6048" s="218"/>
    </row>
    <row r="6049" spans="1:27" ht="24" x14ac:dyDescent="0.25">
      <c r="A6049" s="405">
        <v>3004758</v>
      </c>
      <c r="B6049" s="406">
        <v>42648</v>
      </c>
      <c r="C6049" s="405" t="s">
        <v>42</v>
      </c>
      <c r="D6049" s="401" t="s">
        <v>13040</v>
      </c>
      <c r="E6049" s="120">
        <v>250</v>
      </c>
      <c r="F6049" s="133" t="s">
        <v>939</v>
      </c>
      <c r="G6049" s="404" t="s">
        <v>7486</v>
      </c>
      <c r="H6049" s="411">
        <v>265.26</v>
      </c>
      <c r="I6049" s="89">
        <f>-(H6049*0.09)</f>
        <v>-23.873399999999997</v>
      </c>
      <c r="J6049" s="258">
        <f t="shared" ref="J6049" si="2491">-((H6049*0.019)+0.3)</f>
        <v>-5.3399399999999995</v>
      </c>
      <c r="K6049" s="90">
        <f t="shared" ref="K6049" si="2492">SUM(H6049:J6049)</f>
        <v>236.04665999999997</v>
      </c>
      <c r="L6049" s="187">
        <v>551</v>
      </c>
      <c r="M6049" s="187">
        <v>17.41</v>
      </c>
      <c r="N6049" s="91">
        <f t="shared" si="2484"/>
        <v>155.16</v>
      </c>
      <c r="O6049" s="411">
        <f t="shared" si="2457"/>
        <v>80.886659999999978</v>
      </c>
      <c r="P6049" s="132" t="s">
        <v>183</v>
      </c>
      <c r="Q6049" s="232"/>
      <c r="R6049" s="411"/>
      <c r="T6049" s="134" t="s">
        <v>145</v>
      </c>
      <c r="U6049" s="267" t="s">
        <v>13041</v>
      </c>
      <c r="AA6049" s="218"/>
    </row>
    <row r="6050" spans="1:27" ht="24" x14ac:dyDescent="0.25">
      <c r="A6050" s="405">
        <v>3004759</v>
      </c>
      <c r="B6050" s="406">
        <v>42648</v>
      </c>
      <c r="C6050" s="405" t="s">
        <v>42</v>
      </c>
      <c r="D6050" s="401" t="s">
        <v>13042</v>
      </c>
      <c r="E6050" s="120">
        <v>250</v>
      </c>
      <c r="F6050" s="133" t="s">
        <v>13043</v>
      </c>
      <c r="G6050" s="404" t="s">
        <v>7486</v>
      </c>
      <c r="H6050" s="411">
        <v>319.27999999999997</v>
      </c>
      <c r="I6050" s="89">
        <f>-(H6050*0.09)</f>
        <v>-28.735199999999995</v>
      </c>
      <c r="J6050" s="258">
        <f t="shared" ref="J6050" si="2493">-((H6050*0.019)+0.3)</f>
        <v>-6.3663199999999991</v>
      </c>
      <c r="K6050" s="90">
        <f t="shared" ref="K6050" si="2494">SUM(H6050:J6050)</f>
        <v>284.17847999999998</v>
      </c>
      <c r="L6050" s="187">
        <v>628</v>
      </c>
      <c r="M6050" s="187">
        <v>15.01</v>
      </c>
      <c r="N6050" s="91">
        <f>((L6050)*(E6050*0.001))+M6050</f>
        <v>172.01</v>
      </c>
      <c r="O6050" s="411">
        <f t="shared" si="2457"/>
        <v>112.16847999999999</v>
      </c>
      <c r="P6050" s="132" t="s">
        <v>856</v>
      </c>
      <c r="Q6050" s="232"/>
      <c r="R6050" s="411"/>
      <c r="T6050" s="134" t="s">
        <v>145</v>
      </c>
      <c r="U6050" s="267" t="s">
        <v>13044</v>
      </c>
      <c r="AA6050" s="218"/>
    </row>
    <row r="6051" spans="1:27" ht="24" x14ac:dyDescent="0.25">
      <c r="A6051" s="405">
        <v>3004760</v>
      </c>
      <c r="B6051" s="406">
        <v>42648</v>
      </c>
      <c r="C6051" s="405" t="s">
        <v>63</v>
      </c>
      <c r="D6051" s="401" t="s">
        <v>13045</v>
      </c>
      <c r="E6051" s="120">
        <v>200</v>
      </c>
      <c r="F6051" s="133" t="s">
        <v>161</v>
      </c>
      <c r="G6051" s="404" t="s">
        <v>7486</v>
      </c>
      <c r="H6051" s="411">
        <v>518</v>
      </c>
      <c r="I6051" s="399">
        <v>0</v>
      </c>
      <c r="J6051" s="396">
        <f>-((H6051*0.022)+0.3)</f>
        <v>-11.696</v>
      </c>
      <c r="K6051" s="396">
        <f>SUM(H6051:J6051)</f>
        <v>506.30399999999997</v>
      </c>
      <c r="L6051" s="131">
        <v>1322</v>
      </c>
      <c r="M6051" s="187">
        <v>67.05</v>
      </c>
      <c r="N6051" s="91">
        <f t="shared" ref="N6051:N6066" si="2495">((L6051)*(E6051*0.001))+M6051</f>
        <v>331.45000000000005</v>
      </c>
      <c r="O6051" s="411">
        <f t="shared" si="2457"/>
        <v>174.85399999999993</v>
      </c>
      <c r="P6051" s="132" t="s">
        <v>52</v>
      </c>
      <c r="Q6051" s="232"/>
      <c r="R6051" s="411"/>
      <c r="T6051" s="134" t="s">
        <v>145</v>
      </c>
      <c r="U6051" s="267" t="s">
        <v>13046</v>
      </c>
      <c r="AA6051" s="218"/>
    </row>
    <row r="6052" spans="1:27" x14ac:dyDescent="0.25">
      <c r="A6052" s="419">
        <v>3004761</v>
      </c>
      <c r="B6052" s="421">
        <v>42648</v>
      </c>
      <c r="C6052" s="419" t="s">
        <v>56</v>
      </c>
      <c r="D6052" s="429" t="s">
        <v>1192</v>
      </c>
      <c r="E6052" s="120">
        <v>1000</v>
      </c>
      <c r="F6052" s="133" t="s">
        <v>288</v>
      </c>
      <c r="G6052" s="434" t="s">
        <v>7486</v>
      </c>
      <c r="H6052" s="427">
        <v>3175</v>
      </c>
      <c r="I6052" s="427">
        <v>0</v>
      </c>
      <c r="J6052" s="427">
        <v>0</v>
      </c>
      <c r="K6052" s="425">
        <f>SUM(H6052:J6052)</f>
        <v>3175</v>
      </c>
      <c r="L6052" s="187">
        <v>980</v>
      </c>
      <c r="M6052" s="131">
        <v>0</v>
      </c>
      <c r="N6052" s="91">
        <f t="shared" si="2495"/>
        <v>980</v>
      </c>
      <c r="O6052" s="411">
        <f t="shared" si="2457"/>
        <v>2195</v>
      </c>
      <c r="P6052" s="132" t="s">
        <v>66</v>
      </c>
      <c r="Q6052" s="232"/>
      <c r="R6052" s="411"/>
      <c r="T6052" s="439" t="s">
        <v>314</v>
      </c>
      <c r="U6052" s="446" t="s">
        <v>13047</v>
      </c>
      <c r="V6052" s="133" t="s">
        <v>12934</v>
      </c>
      <c r="W6052" s="153" t="s">
        <v>2090</v>
      </c>
      <c r="AA6052" s="218"/>
    </row>
    <row r="6053" spans="1:27" x14ac:dyDescent="0.25">
      <c r="A6053" s="420"/>
      <c r="B6053" s="422"/>
      <c r="C6053" s="420"/>
      <c r="D6053" s="431"/>
      <c r="E6053" s="120">
        <v>250</v>
      </c>
      <c r="F6053" s="133" t="s">
        <v>860</v>
      </c>
      <c r="G6053" s="436"/>
      <c r="H6053" s="428"/>
      <c r="I6053" s="428"/>
      <c r="J6053" s="428"/>
      <c r="K6053" s="426"/>
      <c r="L6053" s="187">
        <v>3300</v>
      </c>
      <c r="M6053" s="131">
        <v>0</v>
      </c>
      <c r="N6053" s="91">
        <f t="shared" si="2495"/>
        <v>825</v>
      </c>
      <c r="O6053" s="411">
        <f t="shared" si="2457"/>
        <v>-825</v>
      </c>
      <c r="P6053" s="132" t="s">
        <v>66</v>
      </c>
      <c r="Q6053" s="232"/>
      <c r="R6053" s="411"/>
      <c r="T6053" s="441"/>
      <c r="U6053" s="447"/>
      <c r="W6053" s="153"/>
      <c r="AA6053" s="228"/>
    </row>
    <row r="6054" spans="1:27" x14ac:dyDescent="0.25">
      <c r="A6054" s="419">
        <v>3004762</v>
      </c>
      <c r="B6054" s="421">
        <v>42648</v>
      </c>
      <c r="C6054" s="419" t="s">
        <v>141</v>
      </c>
      <c r="D6054" s="417" t="s">
        <v>426</v>
      </c>
      <c r="E6054" s="120">
        <v>400</v>
      </c>
      <c r="F6054" s="133" t="s">
        <v>13048</v>
      </c>
      <c r="G6054" s="434" t="s">
        <v>7486</v>
      </c>
      <c r="H6054" s="427">
        <v>3330</v>
      </c>
      <c r="I6054" s="427">
        <v>0</v>
      </c>
      <c r="J6054" s="425">
        <f>-((H6054*0.0325)+0.3)</f>
        <v>-108.52500000000001</v>
      </c>
      <c r="K6054" s="425">
        <f>SUM(H6054:J6054)</f>
        <v>3221.4749999999999</v>
      </c>
      <c r="L6054" s="187">
        <v>2300</v>
      </c>
      <c r="M6054" s="187">
        <v>175.17</v>
      </c>
      <c r="N6054" s="91">
        <f t="shared" si="2495"/>
        <v>1095.17</v>
      </c>
      <c r="O6054" s="411">
        <f t="shared" si="2457"/>
        <v>2126.3049999999998</v>
      </c>
      <c r="P6054" s="132" t="s">
        <v>638</v>
      </c>
      <c r="Q6054" s="232"/>
      <c r="R6054" s="411"/>
      <c r="T6054" s="439" t="s">
        <v>717</v>
      </c>
      <c r="U6054" s="444">
        <v>23922403</v>
      </c>
      <c r="W6054" s="153" t="s">
        <v>429</v>
      </c>
      <c r="AA6054" s="473">
        <v>50</v>
      </c>
    </row>
    <row r="6055" spans="1:27" x14ac:dyDescent="0.25">
      <c r="A6055" s="420"/>
      <c r="B6055" s="422"/>
      <c r="C6055" s="420"/>
      <c r="D6055" s="418"/>
      <c r="E6055" s="120">
        <v>300</v>
      </c>
      <c r="F6055" s="133" t="s">
        <v>13049</v>
      </c>
      <c r="G6055" s="436"/>
      <c r="H6055" s="428"/>
      <c r="I6055" s="428"/>
      <c r="J6055" s="426"/>
      <c r="K6055" s="426"/>
      <c r="L6055" s="187">
        <v>5100</v>
      </c>
      <c r="M6055" s="187"/>
      <c r="N6055" s="91">
        <f t="shared" si="2495"/>
        <v>1530</v>
      </c>
      <c r="O6055" s="411">
        <f t="shared" si="2457"/>
        <v>-1530</v>
      </c>
      <c r="P6055" s="132" t="s">
        <v>638</v>
      </c>
      <c r="Q6055" s="232"/>
      <c r="R6055" s="411"/>
      <c r="T6055" s="441"/>
      <c r="U6055" s="445"/>
      <c r="AA6055" s="474"/>
    </row>
    <row r="6056" spans="1:27" x14ac:dyDescent="0.25">
      <c r="A6056" s="405">
        <v>3004763</v>
      </c>
      <c r="B6056" s="406">
        <v>42648</v>
      </c>
      <c r="C6056" s="405" t="s">
        <v>141</v>
      </c>
      <c r="D6056" s="401" t="s">
        <v>13050</v>
      </c>
      <c r="E6056" s="120">
        <v>60000</v>
      </c>
      <c r="F6056" s="133" t="s">
        <v>13051</v>
      </c>
      <c r="G6056" s="404" t="s">
        <v>45</v>
      </c>
      <c r="H6056" s="411">
        <v>8100</v>
      </c>
      <c r="I6056" s="399">
        <v>0</v>
      </c>
      <c r="J6056" s="396">
        <f>-((H6056*0.0325)+0.3)</f>
        <v>-263.55</v>
      </c>
      <c r="K6056" s="396">
        <f>SUM(H6056:J6056)</f>
        <v>7836.45</v>
      </c>
      <c r="L6056" s="187">
        <v>89</v>
      </c>
      <c r="M6056" s="224">
        <v>222.42</v>
      </c>
      <c r="N6056" s="91">
        <f t="shared" si="2495"/>
        <v>5562.42</v>
      </c>
      <c r="O6056" s="411">
        <f t="shared" si="2457"/>
        <v>2274.0299999999997</v>
      </c>
      <c r="P6056" s="132" t="s">
        <v>13052</v>
      </c>
      <c r="Q6056" s="232"/>
      <c r="R6056" s="411"/>
      <c r="T6056" s="134" t="s">
        <v>2652</v>
      </c>
      <c r="U6056" s="267" t="s">
        <v>13053</v>
      </c>
      <c r="W6056" s="153" t="s">
        <v>13054</v>
      </c>
      <c r="AA6056" s="218">
        <v>100</v>
      </c>
    </row>
    <row r="6057" spans="1:27" x14ac:dyDescent="0.25">
      <c r="A6057" s="405">
        <v>3004764</v>
      </c>
      <c r="B6057" s="406">
        <v>42648</v>
      </c>
      <c r="C6057" s="405" t="s">
        <v>63</v>
      </c>
      <c r="D6057" s="401" t="s">
        <v>13055</v>
      </c>
      <c r="E6057" s="120">
        <v>400</v>
      </c>
      <c r="F6057" s="133" t="s">
        <v>51</v>
      </c>
      <c r="G6057" s="404" t="s">
        <v>45</v>
      </c>
      <c r="H6057" s="411">
        <v>770</v>
      </c>
      <c r="I6057" s="399">
        <v>0</v>
      </c>
      <c r="J6057" s="396">
        <f>-((H6057*0.022)+0.3)</f>
        <v>-17.239999999999998</v>
      </c>
      <c r="K6057" s="396">
        <f>SUM(H6057:J6057)</f>
        <v>752.76</v>
      </c>
      <c r="L6057" s="131">
        <v>1100</v>
      </c>
      <c r="M6057" s="187">
        <v>172.66</v>
      </c>
      <c r="N6057" s="91">
        <f t="shared" si="2495"/>
        <v>612.66</v>
      </c>
      <c r="O6057" s="411">
        <f t="shared" si="2457"/>
        <v>140.10000000000002</v>
      </c>
      <c r="P6057" s="132" t="s">
        <v>52</v>
      </c>
      <c r="Q6057" s="232"/>
      <c r="R6057" s="411"/>
      <c r="T6057" s="134" t="s">
        <v>11100</v>
      </c>
      <c r="U6057" s="267" t="s">
        <v>13056</v>
      </c>
      <c r="V6057" s="133" t="s">
        <v>55</v>
      </c>
      <c r="W6057" s="154" t="s">
        <v>12940</v>
      </c>
      <c r="AA6057" s="218"/>
    </row>
    <row r="6058" spans="1:27" ht="24" x14ac:dyDescent="0.25">
      <c r="A6058" s="405">
        <v>3004765</v>
      </c>
      <c r="B6058" s="406">
        <v>42649</v>
      </c>
      <c r="C6058" s="405" t="s">
        <v>42</v>
      </c>
      <c r="D6058" s="401" t="s">
        <v>13057</v>
      </c>
      <c r="E6058" s="120">
        <v>100</v>
      </c>
      <c r="F6058" s="133" t="s">
        <v>1270</v>
      </c>
      <c r="G6058" s="404" t="s">
        <v>45</v>
      </c>
      <c r="H6058" s="411">
        <v>300</v>
      </c>
      <c r="I6058" s="89">
        <f t="shared" ref="I6058:I6063" si="2496">-(H6058*0.09)</f>
        <v>-27</v>
      </c>
      <c r="J6058" s="258">
        <f t="shared" ref="J6058" si="2497">-((H6058*0.019)+0.3)</f>
        <v>-6</v>
      </c>
      <c r="K6058" s="90">
        <f t="shared" ref="K6058" si="2498">SUM(H6058:J6058)</f>
        <v>267</v>
      </c>
      <c r="L6058" s="131">
        <v>1241.08</v>
      </c>
      <c r="M6058" s="187">
        <v>33.380000000000003</v>
      </c>
      <c r="N6058" s="91">
        <f t="shared" si="2495"/>
        <v>157.488</v>
      </c>
      <c r="O6058" s="411">
        <f t="shared" si="2457"/>
        <v>109.512</v>
      </c>
      <c r="P6058" s="132" t="s">
        <v>52</v>
      </c>
      <c r="Q6058" s="232"/>
      <c r="R6058" s="411"/>
      <c r="T6058" s="134" t="s">
        <v>145</v>
      </c>
      <c r="U6058" s="267" t="s">
        <v>13058</v>
      </c>
      <c r="AA6058" s="218"/>
    </row>
    <row r="6059" spans="1:27" ht="24" x14ac:dyDescent="0.25">
      <c r="A6059" s="405">
        <v>3004766</v>
      </c>
      <c r="B6059" s="406">
        <v>42649</v>
      </c>
      <c r="C6059" s="405" t="s">
        <v>42</v>
      </c>
      <c r="D6059" s="401" t="s">
        <v>13059</v>
      </c>
      <c r="E6059" s="120">
        <v>250</v>
      </c>
      <c r="F6059" s="133" t="s">
        <v>2949</v>
      </c>
      <c r="G6059" s="404" t="s">
        <v>45</v>
      </c>
      <c r="H6059" s="411">
        <v>431.64</v>
      </c>
      <c r="I6059" s="89">
        <f t="shared" si="2496"/>
        <v>-38.8476</v>
      </c>
      <c r="J6059" s="258">
        <f t="shared" ref="J6059" si="2499">-((H6059*0.019)+0.3)</f>
        <v>-8.5011600000000005</v>
      </c>
      <c r="K6059" s="90">
        <f t="shared" ref="K6059" si="2500">SUM(H6059:J6059)</f>
        <v>384.29123999999996</v>
      </c>
      <c r="L6059" s="131">
        <v>1100</v>
      </c>
      <c r="M6059" s="187">
        <v>49.99</v>
      </c>
      <c r="N6059" s="91">
        <f t="shared" si="2495"/>
        <v>324.99</v>
      </c>
      <c r="O6059" s="411">
        <f t="shared" si="2457"/>
        <v>59.30123999999995</v>
      </c>
      <c r="P6059" s="132" t="s">
        <v>52</v>
      </c>
      <c r="Q6059" s="232"/>
      <c r="R6059" s="411"/>
      <c r="T6059" s="134" t="s">
        <v>145</v>
      </c>
      <c r="U6059" s="267" t="s">
        <v>13060</v>
      </c>
      <c r="AA6059" s="218"/>
    </row>
    <row r="6060" spans="1:27" ht="24" x14ac:dyDescent="0.25">
      <c r="A6060" s="405">
        <v>3004767</v>
      </c>
      <c r="B6060" s="406">
        <v>42649</v>
      </c>
      <c r="C6060" s="405" t="s">
        <v>42</v>
      </c>
      <c r="D6060" s="401" t="s">
        <v>11541</v>
      </c>
      <c r="E6060" s="120">
        <v>250</v>
      </c>
      <c r="F6060" s="133" t="s">
        <v>12109</v>
      </c>
      <c r="G6060" s="404" t="s">
        <v>45</v>
      </c>
      <c r="H6060" s="411">
        <v>304</v>
      </c>
      <c r="I6060" s="89">
        <f t="shared" si="2496"/>
        <v>-27.36</v>
      </c>
      <c r="J6060" s="258">
        <f t="shared" ref="J6060" si="2501">-((H6060*0.019)+0.3)</f>
        <v>-6.0759999999999996</v>
      </c>
      <c r="K6060" s="90">
        <f t="shared" ref="K6060" si="2502">SUM(H6060:J6060)</f>
        <v>270.56399999999996</v>
      </c>
      <c r="L6060" s="187">
        <v>709.43</v>
      </c>
      <c r="M6060" s="187">
        <v>32.46</v>
      </c>
      <c r="N6060" s="91">
        <f t="shared" si="2495"/>
        <v>209.8175</v>
      </c>
      <c r="O6060" s="411">
        <f t="shared" si="2457"/>
        <v>60.746499999999969</v>
      </c>
      <c r="P6060" s="132" t="s">
        <v>621</v>
      </c>
      <c r="Q6060" s="232"/>
      <c r="R6060" s="411"/>
      <c r="T6060" s="134" t="s">
        <v>145</v>
      </c>
      <c r="U6060" s="267" t="s">
        <v>13061</v>
      </c>
      <c r="AA6060" s="218"/>
    </row>
    <row r="6061" spans="1:27" x14ac:dyDescent="0.25">
      <c r="A6061" s="405">
        <v>3004768</v>
      </c>
      <c r="B6061" s="406">
        <v>42649</v>
      </c>
      <c r="C6061" s="405" t="s">
        <v>42</v>
      </c>
      <c r="D6061" s="401" t="s">
        <v>5261</v>
      </c>
      <c r="E6061" s="120">
        <v>500</v>
      </c>
      <c r="F6061" s="133" t="s">
        <v>247</v>
      </c>
      <c r="G6061" s="404" t="s">
        <v>45</v>
      </c>
      <c r="H6061" s="411">
        <v>553.37</v>
      </c>
      <c r="I6061" s="89">
        <f t="shared" si="2496"/>
        <v>-49.8033</v>
      </c>
      <c r="J6061" s="258">
        <f t="shared" ref="J6061" si="2503">-((H6061*0.019)+0.3)</f>
        <v>-10.814030000000001</v>
      </c>
      <c r="K6061" s="90">
        <f t="shared" ref="K6061" si="2504">SUM(H6061:J6061)</f>
        <v>492.75267000000002</v>
      </c>
      <c r="L6061" s="187">
        <v>584</v>
      </c>
      <c r="M6061" s="187">
        <v>173.11</v>
      </c>
      <c r="N6061" s="91">
        <f t="shared" si="2495"/>
        <v>465.11</v>
      </c>
      <c r="O6061" s="411">
        <f t="shared" si="2457"/>
        <v>27.64267000000001</v>
      </c>
      <c r="P6061" s="132" t="s">
        <v>3597</v>
      </c>
      <c r="Q6061" s="232"/>
      <c r="R6061" s="411"/>
      <c r="T6061" s="134" t="s">
        <v>389</v>
      </c>
      <c r="U6061" s="267" t="s">
        <v>13062</v>
      </c>
      <c r="AA6061" s="218"/>
    </row>
    <row r="6062" spans="1:27" ht="24" x14ac:dyDescent="0.25">
      <c r="A6062" s="405">
        <v>3004769</v>
      </c>
      <c r="B6062" s="406">
        <v>42649</v>
      </c>
      <c r="C6062" s="405" t="s">
        <v>42</v>
      </c>
      <c r="D6062" s="401" t="s">
        <v>13063</v>
      </c>
      <c r="E6062" s="120">
        <v>250</v>
      </c>
      <c r="F6062" s="133" t="s">
        <v>1550</v>
      </c>
      <c r="G6062" s="404" t="s">
        <v>45</v>
      </c>
      <c r="H6062" s="411">
        <v>334.62</v>
      </c>
      <c r="I6062" s="89">
        <f t="shared" si="2496"/>
        <v>-30.1158</v>
      </c>
      <c r="J6062" s="258">
        <f t="shared" ref="J6062" si="2505">-((H6062*0.019)+0.3)</f>
        <v>-6.6577799999999998</v>
      </c>
      <c r="K6062" s="90">
        <f t="shared" ref="K6062" si="2506">SUM(H6062:J6062)</f>
        <v>297.84642000000002</v>
      </c>
      <c r="M6062" s="187">
        <v>56.37</v>
      </c>
      <c r="N6062" s="91">
        <f t="shared" si="2495"/>
        <v>56.37</v>
      </c>
      <c r="O6062" s="411">
        <f t="shared" si="2457"/>
        <v>241.47642000000002</v>
      </c>
      <c r="P6062" s="132" t="s">
        <v>52</v>
      </c>
      <c r="Q6062" s="232"/>
      <c r="R6062" s="411"/>
      <c r="T6062" s="134" t="s">
        <v>145</v>
      </c>
      <c r="U6062" s="267" t="s">
        <v>13064</v>
      </c>
      <c r="AA6062" s="218"/>
    </row>
    <row r="6063" spans="1:27" ht="24" x14ac:dyDescent="0.25">
      <c r="A6063" s="405">
        <v>3004770</v>
      </c>
      <c r="B6063" s="406">
        <v>42649</v>
      </c>
      <c r="C6063" s="405" t="s">
        <v>42</v>
      </c>
      <c r="D6063" s="401" t="s">
        <v>13065</v>
      </c>
      <c r="E6063" s="120">
        <v>100</v>
      </c>
      <c r="F6063" s="133" t="s">
        <v>431</v>
      </c>
      <c r="G6063" s="404" t="s">
        <v>45</v>
      </c>
      <c r="H6063" s="411">
        <v>227.48</v>
      </c>
      <c r="I6063" s="89">
        <f t="shared" si="2496"/>
        <v>-20.473199999999999</v>
      </c>
      <c r="J6063" s="258">
        <f t="shared" ref="J6063" si="2507">-((H6063*0.019)+0.3)</f>
        <v>-4.6221199999999998</v>
      </c>
      <c r="K6063" s="90">
        <f t="shared" ref="K6063" si="2508">SUM(H6063:J6063)</f>
        <v>202.38468</v>
      </c>
      <c r="L6063" s="131">
        <v>990</v>
      </c>
      <c r="M6063" s="187">
        <v>31.54</v>
      </c>
      <c r="N6063" s="91">
        <f t="shared" si="2495"/>
        <v>130.54</v>
      </c>
      <c r="O6063" s="411">
        <f t="shared" si="2457"/>
        <v>71.844680000000011</v>
      </c>
      <c r="P6063" s="132" t="s">
        <v>52</v>
      </c>
      <c r="Q6063" s="232"/>
      <c r="R6063" s="411"/>
      <c r="T6063" s="134" t="s">
        <v>145</v>
      </c>
      <c r="U6063" s="267" t="s">
        <v>13066</v>
      </c>
      <c r="AA6063" s="218"/>
    </row>
    <row r="6064" spans="1:27" ht="24" x14ac:dyDescent="0.25">
      <c r="A6064" s="405">
        <v>3004771</v>
      </c>
      <c r="B6064" s="406">
        <v>42649</v>
      </c>
      <c r="C6064" s="405" t="s">
        <v>237</v>
      </c>
      <c r="D6064" s="401" t="s">
        <v>10591</v>
      </c>
      <c r="E6064" s="120">
        <v>150</v>
      </c>
      <c r="F6064" s="133" t="s">
        <v>247</v>
      </c>
      <c r="G6064" s="404" t="s">
        <v>45</v>
      </c>
      <c r="H6064" s="411">
        <v>174.47</v>
      </c>
      <c r="I6064" s="397">
        <f t="shared" ref="I6064" si="2509">-(H6064*0.15)</f>
        <v>-26.170500000000001</v>
      </c>
      <c r="J6064" s="258">
        <v>0</v>
      </c>
      <c r="K6064" s="90">
        <f>SUM(H6064:J6064)</f>
        <v>148.29949999999999</v>
      </c>
      <c r="L6064" s="187">
        <v>672</v>
      </c>
      <c r="M6064" s="187">
        <v>35.61</v>
      </c>
      <c r="N6064" s="91">
        <f t="shared" si="2495"/>
        <v>136.41</v>
      </c>
      <c r="O6064" s="411">
        <f t="shared" si="2457"/>
        <v>11.889499999999998</v>
      </c>
      <c r="P6064" s="132" t="s">
        <v>313</v>
      </c>
      <c r="Q6064" s="232"/>
      <c r="R6064" s="411"/>
      <c r="T6064" s="134" t="s">
        <v>145</v>
      </c>
      <c r="U6064" s="267" t="s">
        <v>13067</v>
      </c>
      <c r="AA6064" s="218"/>
    </row>
    <row r="6065" spans="1:27" x14ac:dyDescent="0.25">
      <c r="A6065" s="419">
        <v>3004772</v>
      </c>
      <c r="B6065" s="421">
        <v>42649</v>
      </c>
      <c r="C6065" s="419" t="s">
        <v>237</v>
      </c>
      <c r="D6065" s="417" t="s">
        <v>13068</v>
      </c>
      <c r="E6065" s="120">
        <v>50</v>
      </c>
      <c r="F6065" s="133" t="s">
        <v>2483</v>
      </c>
      <c r="G6065" s="434" t="s">
        <v>45</v>
      </c>
      <c r="H6065" s="427">
        <v>229.32</v>
      </c>
      <c r="I6065" s="452">
        <f t="shared" ref="I6065" si="2510">-(H6065*0.15)</f>
        <v>-34.397999999999996</v>
      </c>
      <c r="J6065" s="498">
        <v>0</v>
      </c>
      <c r="K6065" s="425">
        <f>SUM(H6065:J6065)</f>
        <v>194.922</v>
      </c>
      <c r="L6065" s="187">
        <v>1419</v>
      </c>
      <c r="M6065" s="187">
        <v>29.98</v>
      </c>
      <c r="N6065" s="91">
        <f t="shared" si="2495"/>
        <v>100.93</v>
      </c>
      <c r="O6065" s="411">
        <f t="shared" si="2457"/>
        <v>93.99199999999999</v>
      </c>
      <c r="P6065" s="132" t="s">
        <v>601</v>
      </c>
      <c r="Q6065" s="232"/>
      <c r="R6065" s="411"/>
      <c r="T6065" s="439" t="s">
        <v>145</v>
      </c>
      <c r="U6065" s="446" t="s">
        <v>13069</v>
      </c>
      <c r="AA6065" s="218"/>
    </row>
    <row r="6066" spans="1:27" x14ac:dyDescent="0.25">
      <c r="A6066" s="420"/>
      <c r="B6066" s="422"/>
      <c r="C6066" s="420"/>
      <c r="D6066" s="418"/>
      <c r="E6066" s="120">
        <v>50</v>
      </c>
      <c r="F6066" s="133" t="s">
        <v>3345</v>
      </c>
      <c r="G6066" s="436"/>
      <c r="H6066" s="428"/>
      <c r="I6066" s="453"/>
      <c r="J6066" s="499"/>
      <c r="K6066" s="426"/>
      <c r="L6066" s="187">
        <v>1448</v>
      </c>
      <c r="N6066" s="91">
        <f t="shared" si="2495"/>
        <v>72.400000000000006</v>
      </c>
      <c r="O6066" s="411">
        <f t="shared" si="2457"/>
        <v>-72.400000000000006</v>
      </c>
      <c r="P6066" s="132" t="s">
        <v>601</v>
      </c>
      <c r="Q6066" s="232"/>
      <c r="R6066" s="411"/>
      <c r="T6066" s="441"/>
      <c r="U6066" s="447"/>
      <c r="AA6066" s="218"/>
    </row>
    <row r="6067" spans="1:27" x14ac:dyDescent="0.25">
      <c r="A6067" s="419">
        <v>3004773</v>
      </c>
      <c r="B6067" s="421">
        <v>42649</v>
      </c>
      <c r="C6067" s="419" t="s">
        <v>237</v>
      </c>
      <c r="D6067" s="417" t="s">
        <v>13070</v>
      </c>
      <c r="E6067" s="120">
        <v>100</v>
      </c>
      <c r="F6067" s="133" t="s">
        <v>10698</v>
      </c>
      <c r="G6067" s="434" t="s">
        <v>45</v>
      </c>
      <c r="H6067" s="427">
        <v>159</v>
      </c>
      <c r="I6067" s="452">
        <f t="shared" ref="I6067" si="2511">-(H6067*0.15)</f>
        <v>-23.849999999999998</v>
      </c>
      <c r="J6067" s="498">
        <v>0</v>
      </c>
      <c r="K6067" s="425">
        <f>SUM(H6067:J6067)</f>
        <v>135.15</v>
      </c>
      <c r="L6067" s="187">
        <v>461</v>
      </c>
      <c r="M6067" s="187">
        <v>15.45</v>
      </c>
      <c r="N6067" s="91">
        <f t="shared" ref="N6067:N6132" si="2512">((L6067)*(E6067*0.001))+M6067</f>
        <v>61.55</v>
      </c>
      <c r="O6067" s="411">
        <f t="shared" si="2457"/>
        <v>73.600000000000009</v>
      </c>
      <c r="P6067" s="132" t="s">
        <v>601</v>
      </c>
      <c r="Q6067" s="232"/>
      <c r="R6067" s="411"/>
      <c r="T6067" s="439" t="s">
        <v>145</v>
      </c>
      <c r="U6067" s="446" t="s">
        <v>13071</v>
      </c>
      <c r="AA6067" s="218"/>
    </row>
    <row r="6068" spans="1:27" x14ac:dyDescent="0.25">
      <c r="A6068" s="420"/>
      <c r="B6068" s="422"/>
      <c r="C6068" s="420"/>
      <c r="D6068" s="418"/>
      <c r="E6068" s="120">
        <v>100</v>
      </c>
      <c r="F6068" s="133" t="s">
        <v>4881</v>
      </c>
      <c r="G6068" s="436"/>
      <c r="H6068" s="428"/>
      <c r="I6068" s="453"/>
      <c r="J6068" s="499"/>
      <c r="K6068" s="426"/>
      <c r="L6068" s="187">
        <v>471</v>
      </c>
      <c r="N6068" s="91">
        <f t="shared" si="2512"/>
        <v>47.1</v>
      </c>
      <c r="O6068" s="411">
        <f t="shared" si="2457"/>
        <v>-47.1</v>
      </c>
      <c r="P6068" s="132" t="s">
        <v>601</v>
      </c>
      <c r="Q6068" s="232"/>
      <c r="R6068" s="411"/>
      <c r="T6068" s="441"/>
      <c r="U6068" s="447"/>
      <c r="AA6068" s="218"/>
    </row>
    <row r="6069" spans="1:27" ht="24" x14ac:dyDescent="0.25">
      <c r="A6069" s="405">
        <v>3004774</v>
      </c>
      <c r="B6069" s="406">
        <v>42649</v>
      </c>
      <c r="C6069" s="405" t="s">
        <v>237</v>
      </c>
      <c r="D6069" s="401" t="s">
        <v>13072</v>
      </c>
      <c r="E6069" s="120">
        <v>100</v>
      </c>
      <c r="F6069" s="133" t="s">
        <v>341</v>
      </c>
      <c r="G6069" s="404" t="s">
        <v>45</v>
      </c>
      <c r="H6069" s="411">
        <v>140</v>
      </c>
      <c r="I6069" s="397">
        <f t="shared" ref="I6069" si="2513">-(H6069*0.15)</f>
        <v>-21</v>
      </c>
      <c r="J6069" s="258">
        <v>0</v>
      </c>
      <c r="K6069" s="90">
        <f>SUM(H6069:J6069)</f>
        <v>119</v>
      </c>
      <c r="L6069" s="131">
        <v>695</v>
      </c>
      <c r="M6069" s="187">
        <v>26.78</v>
      </c>
      <c r="N6069" s="91">
        <f t="shared" si="2512"/>
        <v>96.28</v>
      </c>
      <c r="O6069" s="411">
        <f t="shared" si="2457"/>
        <v>22.72</v>
      </c>
      <c r="P6069" s="132" t="s">
        <v>52</v>
      </c>
      <c r="Q6069" s="232"/>
      <c r="R6069" s="411"/>
      <c r="T6069" s="134" t="s">
        <v>145</v>
      </c>
      <c r="U6069" s="267" t="s">
        <v>13073</v>
      </c>
      <c r="AA6069" s="218"/>
    </row>
    <row r="6070" spans="1:27" ht="24" x14ac:dyDescent="0.25">
      <c r="A6070" s="405">
        <v>3004775</v>
      </c>
      <c r="B6070" s="406">
        <v>42649</v>
      </c>
      <c r="C6070" s="405" t="s">
        <v>141</v>
      </c>
      <c r="D6070" s="401" t="s">
        <v>13074</v>
      </c>
      <c r="E6070" s="120">
        <v>875</v>
      </c>
      <c r="F6070" s="133" t="s">
        <v>1547</v>
      </c>
      <c r="G6070" s="404" t="s">
        <v>45</v>
      </c>
      <c r="H6070" s="411">
        <v>880</v>
      </c>
      <c r="I6070" s="399">
        <v>0</v>
      </c>
      <c r="J6070" s="396">
        <f>-((H6070*0.0325)+0.3)</f>
        <v>-28.900000000000002</v>
      </c>
      <c r="K6070" s="396">
        <f>SUM(H6070:J6070)</f>
        <v>851.1</v>
      </c>
      <c r="L6070" s="187">
        <v>448</v>
      </c>
      <c r="M6070" s="187">
        <v>93.55</v>
      </c>
      <c r="N6070" s="91">
        <f t="shared" si="2512"/>
        <v>485.55</v>
      </c>
      <c r="O6070" s="411">
        <f t="shared" si="2457"/>
        <v>365.55</v>
      </c>
      <c r="P6070" s="132" t="s">
        <v>3597</v>
      </c>
      <c r="Q6070" s="232"/>
      <c r="R6070" s="411"/>
      <c r="T6070" s="134" t="s">
        <v>145</v>
      </c>
      <c r="U6070" s="267" t="s">
        <v>13075</v>
      </c>
      <c r="W6070" s="153" t="s">
        <v>13076</v>
      </c>
      <c r="AA6070" s="218"/>
    </row>
    <row r="6071" spans="1:27" ht="24" x14ac:dyDescent="0.25">
      <c r="A6071" s="405">
        <v>3004776</v>
      </c>
      <c r="B6071" s="406">
        <v>42649</v>
      </c>
      <c r="C6071" s="405" t="s">
        <v>237</v>
      </c>
      <c r="D6071" s="401" t="s">
        <v>13077</v>
      </c>
      <c r="E6071" s="120">
        <v>100</v>
      </c>
      <c r="F6071" s="133" t="s">
        <v>288</v>
      </c>
      <c r="G6071" s="404" t="s">
        <v>45</v>
      </c>
      <c r="H6071" s="411">
        <v>193.04</v>
      </c>
      <c r="I6071" s="397">
        <f t="shared" ref="I6071:I6072" si="2514">-(H6071*0.15)</f>
        <v>-28.955999999999996</v>
      </c>
      <c r="J6071" s="258">
        <v>0</v>
      </c>
      <c r="K6071" s="90">
        <f>SUM(H6071:J6071)</f>
        <v>164.084</v>
      </c>
      <c r="L6071" s="131">
        <v>900</v>
      </c>
      <c r="M6071" s="187">
        <v>23.9</v>
      </c>
      <c r="N6071" s="91">
        <f t="shared" si="2512"/>
        <v>113.9</v>
      </c>
      <c r="O6071" s="411">
        <f t="shared" si="2457"/>
        <v>50.183999999999997</v>
      </c>
      <c r="P6071" s="132" t="s">
        <v>52</v>
      </c>
      <c r="Q6071" s="232"/>
      <c r="R6071" s="411"/>
      <c r="T6071" s="134" t="s">
        <v>145</v>
      </c>
      <c r="U6071" s="267" t="s">
        <v>13078</v>
      </c>
      <c r="AA6071" s="218"/>
    </row>
    <row r="6072" spans="1:27" x14ac:dyDescent="0.25">
      <c r="A6072" s="419">
        <v>3004777</v>
      </c>
      <c r="B6072" s="421">
        <v>42649</v>
      </c>
      <c r="C6072" s="419" t="s">
        <v>237</v>
      </c>
      <c r="D6072" s="417" t="s">
        <v>13079</v>
      </c>
      <c r="E6072" s="120">
        <v>25</v>
      </c>
      <c r="F6072" s="133" t="s">
        <v>2483</v>
      </c>
      <c r="G6072" s="434" t="s">
        <v>7486</v>
      </c>
      <c r="H6072" s="427">
        <v>120.78</v>
      </c>
      <c r="I6072" s="452">
        <f t="shared" si="2514"/>
        <v>-18.117000000000001</v>
      </c>
      <c r="J6072" s="425">
        <v>0</v>
      </c>
      <c r="K6072" s="425">
        <f>SUM(H6072:J6072)</f>
        <v>102.663</v>
      </c>
      <c r="L6072" s="187">
        <v>1450</v>
      </c>
      <c r="M6072" s="187">
        <v>13.87</v>
      </c>
      <c r="N6072" s="91">
        <f t="shared" si="2512"/>
        <v>50.12</v>
      </c>
      <c r="O6072" s="411">
        <f t="shared" si="2457"/>
        <v>52.542999999999999</v>
      </c>
      <c r="P6072" s="132" t="s">
        <v>601</v>
      </c>
      <c r="Q6072" s="232"/>
      <c r="R6072" s="411"/>
      <c r="T6072" s="439" t="s">
        <v>145</v>
      </c>
      <c r="U6072" s="446" t="s">
        <v>13080</v>
      </c>
      <c r="AA6072" s="218"/>
    </row>
    <row r="6073" spans="1:27" x14ac:dyDescent="0.25">
      <c r="A6073" s="420"/>
      <c r="B6073" s="422"/>
      <c r="C6073" s="420"/>
      <c r="D6073" s="418"/>
      <c r="E6073" s="120">
        <v>25</v>
      </c>
      <c r="F6073" s="133" t="s">
        <v>3345</v>
      </c>
      <c r="G6073" s="436"/>
      <c r="H6073" s="428"/>
      <c r="I6073" s="453"/>
      <c r="J6073" s="426"/>
      <c r="K6073" s="426"/>
      <c r="L6073" s="187">
        <v>1470</v>
      </c>
      <c r="N6073" s="91">
        <f t="shared" si="2512"/>
        <v>36.75</v>
      </c>
      <c r="O6073" s="411">
        <f t="shared" si="2457"/>
        <v>-36.75</v>
      </c>
      <c r="P6073" s="132" t="s">
        <v>601</v>
      </c>
      <c r="Q6073" s="232"/>
      <c r="R6073" s="411"/>
      <c r="T6073" s="441"/>
      <c r="U6073" s="447"/>
      <c r="AA6073" s="218"/>
    </row>
    <row r="6074" spans="1:27" ht="24" x14ac:dyDescent="0.25">
      <c r="A6074" s="405">
        <v>3004778</v>
      </c>
      <c r="B6074" s="406">
        <v>42649</v>
      </c>
      <c r="C6074" s="405" t="s">
        <v>42</v>
      </c>
      <c r="D6074" s="401" t="s">
        <v>13081</v>
      </c>
      <c r="E6074" s="120">
        <v>100</v>
      </c>
      <c r="F6074" s="133" t="s">
        <v>288</v>
      </c>
      <c r="G6074" s="404" t="s">
        <v>45</v>
      </c>
      <c r="H6074" s="411">
        <v>195.25</v>
      </c>
      <c r="I6074" s="89">
        <f>-(H6074*0.09)</f>
        <v>-17.572499999999998</v>
      </c>
      <c r="J6074" s="258">
        <f t="shared" ref="J6074" si="2515">-((H6074*0.019)+0.3)</f>
        <v>-4.0097500000000004</v>
      </c>
      <c r="K6074" s="90">
        <f t="shared" ref="K6074" si="2516">SUM(H6074:J6074)</f>
        <v>173.66775000000001</v>
      </c>
      <c r="L6074" s="131">
        <v>900</v>
      </c>
      <c r="M6074" s="187">
        <v>38.22</v>
      </c>
      <c r="N6074" s="91">
        <f t="shared" si="2512"/>
        <v>128.22</v>
      </c>
      <c r="O6074" s="411">
        <f t="shared" si="2457"/>
        <v>45.447750000000013</v>
      </c>
      <c r="P6074" s="132" t="s">
        <v>52</v>
      </c>
      <c r="Q6074" s="232"/>
      <c r="R6074" s="411"/>
      <c r="T6074" s="134" t="s">
        <v>145</v>
      </c>
      <c r="U6074" s="267" t="s">
        <v>13082</v>
      </c>
      <c r="AA6074" s="218"/>
    </row>
    <row r="6075" spans="1:27" ht="24" x14ac:dyDescent="0.25">
      <c r="A6075" s="405">
        <v>3004779</v>
      </c>
      <c r="B6075" s="406">
        <v>42649</v>
      </c>
      <c r="C6075" s="405" t="s">
        <v>237</v>
      </c>
      <c r="D6075" s="401" t="s">
        <v>13083</v>
      </c>
      <c r="E6075" s="120">
        <v>200</v>
      </c>
      <c r="F6075" s="133" t="s">
        <v>247</v>
      </c>
      <c r="G6075" s="404" t="s">
        <v>45</v>
      </c>
      <c r="H6075" s="411">
        <v>224.43</v>
      </c>
      <c r="I6075" s="397">
        <f t="shared" ref="I6075" si="2517">-(H6075*0.15)</f>
        <v>-33.664499999999997</v>
      </c>
      <c r="J6075" s="258">
        <v>0</v>
      </c>
      <c r="K6075" s="90">
        <f>SUM(H6075:J6075)</f>
        <v>190.7655</v>
      </c>
      <c r="L6075" s="187">
        <v>584</v>
      </c>
      <c r="M6075" s="187">
        <v>34.92</v>
      </c>
      <c r="N6075" s="91">
        <f t="shared" si="2512"/>
        <v>151.72000000000003</v>
      </c>
      <c r="O6075" s="411">
        <f t="shared" si="2457"/>
        <v>39.045499999999976</v>
      </c>
      <c r="P6075" s="132" t="s">
        <v>3597</v>
      </c>
      <c r="Q6075" s="232"/>
      <c r="R6075" s="411"/>
      <c r="T6075" s="134" t="s">
        <v>145</v>
      </c>
      <c r="U6075" s="267" t="s">
        <v>13084</v>
      </c>
      <c r="AA6075" s="218"/>
    </row>
    <row r="6076" spans="1:27" ht="24" x14ac:dyDescent="0.25">
      <c r="A6076" s="405">
        <v>3004780</v>
      </c>
      <c r="B6076" s="406">
        <v>42649</v>
      </c>
      <c r="C6076" s="405" t="s">
        <v>63</v>
      </c>
      <c r="D6076" s="401" t="s">
        <v>13085</v>
      </c>
      <c r="E6076" s="120">
        <v>37</v>
      </c>
      <c r="F6076" s="133" t="s">
        <v>489</v>
      </c>
      <c r="G6076" s="404" t="s">
        <v>45</v>
      </c>
      <c r="H6076" s="411">
        <v>116</v>
      </c>
      <c r="I6076" s="399">
        <v>0</v>
      </c>
      <c r="J6076" s="396">
        <f>-((H6076*0.022)+0.3)</f>
        <v>-2.8519999999999999</v>
      </c>
      <c r="K6076" s="396">
        <f>SUM(H6076:J6076)</f>
        <v>113.148</v>
      </c>
      <c r="L6076" s="187">
        <v>743</v>
      </c>
      <c r="M6076" s="187">
        <v>19.559999999999999</v>
      </c>
      <c r="N6076" s="91">
        <f t="shared" si="2512"/>
        <v>47.051000000000002</v>
      </c>
      <c r="O6076" s="411">
        <f t="shared" si="2457"/>
        <v>66.096999999999994</v>
      </c>
      <c r="P6076" s="132" t="s">
        <v>183</v>
      </c>
      <c r="Q6076" s="232"/>
      <c r="R6076" s="411"/>
      <c r="T6076" s="134" t="s">
        <v>145</v>
      </c>
      <c r="U6076" s="267">
        <v>3</v>
      </c>
      <c r="W6076" s="153" t="s">
        <v>13086</v>
      </c>
      <c r="AA6076" s="218"/>
    </row>
    <row r="6077" spans="1:27" x14ac:dyDescent="0.25">
      <c r="A6077" s="419">
        <v>3004781</v>
      </c>
      <c r="B6077" s="421">
        <v>42649</v>
      </c>
      <c r="C6077" s="419" t="s">
        <v>56</v>
      </c>
      <c r="D6077" s="417" t="s">
        <v>57</v>
      </c>
      <c r="E6077" s="120">
        <v>7500</v>
      </c>
      <c r="F6077" s="133" t="s">
        <v>13087</v>
      </c>
      <c r="G6077" s="434" t="s">
        <v>7486</v>
      </c>
      <c r="H6077" s="427">
        <v>9350</v>
      </c>
      <c r="I6077" s="427">
        <v>0</v>
      </c>
      <c r="J6077" s="427">
        <v>0</v>
      </c>
      <c r="K6077" s="425">
        <f>SUM(H6077:J6077)</f>
        <v>9350</v>
      </c>
      <c r="L6077" s="131">
        <v>73.5</v>
      </c>
      <c r="M6077" s="468">
        <v>158.59</v>
      </c>
      <c r="N6077" s="91">
        <f t="shared" si="2512"/>
        <v>709.84</v>
      </c>
      <c r="O6077" s="411">
        <f t="shared" si="2457"/>
        <v>8640.16</v>
      </c>
      <c r="P6077" s="132" t="s">
        <v>5735</v>
      </c>
      <c r="Q6077" s="232"/>
      <c r="R6077" s="411"/>
      <c r="T6077" s="439" t="s">
        <v>7260</v>
      </c>
      <c r="U6077" s="446" t="s">
        <v>13088</v>
      </c>
      <c r="V6077" s="133" t="s">
        <v>55</v>
      </c>
      <c r="AA6077" s="218"/>
    </row>
    <row r="6078" spans="1:27" x14ac:dyDescent="0.25">
      <c r="A6078" s="432"/>
      <c r="B6078" s="433"/>
      <c r="C6078" s="432"/>
      <c r="D6078" s="454"/>
      <c r="E6078" s="120">
        <v>7500</v>
      </c>
      <c r="F6078" s="133" t="s">
        <v>13089</v>
      </c>
      <c r="G6078" s="435"/>
      <c r="H6078" s="438"/>
      <c r="I6078" s="438"/>
      <c r="J6078" s="438"/>
      <c r="K6078" s="437"/>
      <c r="L6078" s="131">
        <v>73.5</v>
      </c>
      <c r="M6078" s="469"/>
      <c r="N6078" s="91">
        <f t="shared" si="2512"/>
        <v>551.25</v>
      </c>
      <c r="O6078" s="411">
        <f t="shared" si="2457"/>
        <v>-551.25</v>
      </c>
      <c r="P6078" s="132" t="s">
        <v>5735</v>
      </c>
      <c r="Q6078" s="232"/>
      <c r="R6078" s="411"/>
      <c r="T6078" s="440"/>
      <c r="U6078" s="448"/>
      <c r="V6078" s="133" t="s">
        <v>10703</v>
      </c>
      <c r="AA6078" s="218"/>
    </row>
    <row r="6079" spans="1:27" x14ac:dyDescent="0.25">
      <c r="A6079" s="432"/>
      <c r="B6079" s="433"/>
      <c r="C6079" s="432"/>
      <c r="D6079" s="454"/>
      <c r="E6079" s="120">
        <v>5000</v>
      </c>
      <c r="F6079" s="133" t="s">
        <v>13090</v>
      </c>
      <c r="G6079" s="435"/>
      <c r="H6079" s="438"/>
      <c r="I6079" s="438"/>
      <c r="J6079" s="438"/>
      <c r="K6079" s="437"/>
      <c r="L6079" s="131">
        <v>49</v>
      </c>
      <c r="M6079" s="131">
        <v>-150</v>
      </c>
      <c r="N6079" s="91">
        <f t="shared" si="2512"/>
        <v>95</v>
      </c>
      <c r="O6079" s="411">
        <f t="shared" si="2457"/>
        <v>-95</v>
      </c>
      <c r="P6079" s="132" t="s">
        <v>5735</v>
      </c>
      <c r="Q6079" s="232"/>
      <c r="R6079" s="411"/>
      <c r="T6079" s="440"/>
      <c r="U6079" s="448"/>
      <c r="AA6079" s="218"/>
    </row>
    <row r="6080" spans="1:27" x14ac:dyDescent="0.25">
      <c r="A6080" s="432"/>
      <c r="B6080" s="433"/>
      <c r="C6080" s="432"/>
      <c r="D6080" s="454"/>
      <c r="E6080" s="120">
        <v>7500</v>
      </c>
      <c r="F6080" s="133" t="s">
        <v>13091</v>
      </c>
      <c r="G6080" s="435"/>
      <c r="H6080" s="438"/>
      <c r="I6080" s="438"/>
      <c r="J6080" s="438"/>
      <c r="K6080" s="437"/>
      <c r="L6080" s="131">
        <v>73.5</v>
      </c>
      <c r="M6080" s="450"/>
      <c r="N6080" s="91">
        <f t="shared" si="2512"/>
        <v>551.25</v>
      </c>
      <c r="O6080" s="411">
        <f t="shared" si="2457"/>
        <v>-551.25</v>
      </c>
      <c r="P6080" s="132" t="s">
        <v>5735</v>
      </c>
      <c r="Q6080" s="232"/>
      <c r="R6080" s="411"/>
      <c r="T6080" s="440"/>
      <c r="U6080" s="448"/>
      <c r="AA6080" s="218"/>
    </row>
    <row r="6081" spans="1:27" x14ac:dyDescent="0.25">
      <c r="A6081" s="432"/>
      <c r="B6081" s="433"/>
      <c r="C6081" s="432"/>
      <c r="D6081" s="454"/>
      <c r="E6081" s="120">
        <v>2500</v>
      </c>
      <c r="F6081" s="133" t="s">
        <v>13092</v>
      </c>
      <c r="G6081" s="435"/>
      <c r="H6081" s="438"/>
      <c r="I6081" s="438"/>
      <c r="J6081" s="438"/>
      <c r="K6081" s="437"/>
      <c r="L6081" s="131">
        <v>73.5</v>
      </c>
      <c r="M6081" s="463"/>
      <c r="N6081" s="91">
        <f t="shared" si="2512"/>
        <v>183.75</v>
      </c>
      <c r="O6081" s="411">
        <f t="shared" si="2457"/>
        <v>-183.75</v>
      </c>
      <c r="P6081" s="132" t="s">
        <v>5735</v>
      </c>
      <c r="Q6081" s="232"/>
      <c r="R6081" s="411"/>
      <c r="T6081" s="440"/>
      <c r="U6081" s="448"/>
      <c r="AA6081" s="218"/>
    </row>
    <row r="6082" spans="1:27" x14ac:dyDescent="0.25">
      <c r="A6082" s="432"/>
      <c r="B6082" s="433"/>
      <c r="C6082" s="432"/>
      <c r="D6082" s="454"/>
      <c r="E6082" s="120">
        <v>7500</v>
      </c>
      <c r="F6082" s="133" t="s">
        <v>13093</v>
      </c>
      <c r="G6082" s="435"/>
      <c r="H6082" s="438"/>
      <c r="I6082" s="438"/>
      <c r="J6082" s="438"/>
      <c r="K6082" s="437"/>
      <c r="L6082" s="131">
        <v>49</v>
      </c>
      <c r="M6082" s="451"/>
      <c r="N6082" s="91">
        <f t="shared" si="2512"/>
        <v>367.5</v>
      </c>
      <c r="O6082" s="411">
        <f t="shared" si="2457"/>
        <v>-367.5</v>
      </c>
      <c r="P6082" s="132" t="s">
        <v>5735</v>
      </c>
      <c r="Q6082" s="232"/>
      <c r="R6082" s="411"/>
      <c r="T6082" s="441"/>
      <c r="U6082" s="447"/>
      <c r="AA6082" s="218"/>
    </row>
    <row r="6083" spans="1:27" x14ac:dyDescent="0.25">
      <c r="A6083" s="420"/>
      <c r="B6083" s="422"/>
      <c r="C6083" s="420"/>
      <c r="D6083" s="418"/>
      <c r="E6083" s="120">
        <v>25000</v>
      </c>
      <c r="F6083" s="133" t="s">
        <v>13094</v>
      </c>
      <c r="G6083" s="436"/>
      <c r="H6083" s="428"/>
      <c r="I6083" s="428"/>
      <c r="J6083" s="428"/>
      <c r="K6083" s="426"/>
      <c r="L6083" s="131">
        <v>180</v>
      </c>
      <c r="M6083" s="187">
        <v>300.85000000000002</v>
      </c>
      <c r="N6083" s="91">
        <f t="shared" si="2512"/>
        <v>4800.8500000000004</v>
      </c>
      <c r="O6083" s="411">
        <f t="shared" si="2457"/>
        <v>-4800.8500000000004</v>
      </c>
      <c r="P6083" s="132" t="s">
        <v>52</v>
      </c>
      <c r="Q6083" s="232"/>
      <c r="R6083" s="411"/>
      <c r="T6083" s="134" t="s">
        <v>875</v>
      </c>
      <c r="U6083" s="267" t="s">
        <v>13095</v>
      </c>
      <c r="V6083" s="133" t="s">
        <v>13096</v>
      </c>
      <c r="AA6083" s="218"/>
    </row>
    <row r="6084" spans="1:27" ht="24" x14ac:dyDescent="0.25">
      <c r="A6084" s="405">
        <v>3004782</v>
      </c>
      <c r="B6084" s="406">
        <v>42649</v>
      </c>
      <c r="C6084" s="405" t="s">
        <v>327</v>
      </c>
      <c r="D6084" s="401" t="s">
        <v>13097</v>
      </c>
      <c r="E6084" s="120">
        <v>100</v>
      </c>
      <c r="F6084" s="133" t="s">
        <v>1270</v>
      </c>
      <c r="G6084" s="404" t="s">
        <v>7486</v>
      </c>
      <c r="H6084" s="411">
        <v>290</v>
      </c>
      <c r="I6084" s="399">
        <v>0</v>
      </c>
      <c r="J6084" s="396">
        <f>-((H6084*0.022)+0.3)</f>
        <v>-6.68</v>
      </c>
      <c r="K6084" s="396">
        <f>SUM(H6084:J6084)</f>
        <v>283.32</v>
      </c>
      <c r="L6084" s="131">
        <v>1241.08</v>
      </c>
      <c r="M6084" s="187">
        <f>18.79+50</f>
        <v>68.789999999999992</v>
      </c>
      <c r="N6084" s="91">
        <f t="shared" si="2512"/>
        <v>192.898</v>
      </c>
      <c r="O6084" s="411">
        <f t="shared" ref="O6084:O6147" si="2518">K6084-N6084</f>
        <v>90.421999999999997</v>
      </c>
      <c r="P6084" s="132" t="s">
        <v>52</v>
      </c>
      <c r="Q6084" s="232"/>
      <c r="R6084" s="411"/>
      <c r="T6084" s="134" t="s">
        <v>145</v>
      </c>
      <c r="U6084" s="267" t="s">
        <v>13098</v>
      </c>
      <c r="W6084" s="153" t="s">
        <v>4107</v>
      </c>
      <c r="AA6084" s="218"/>
    </row>
    <row r="6085" spans="1:27" ht="24" x14ac:dyDescent="0.25">
      <c r="A6085" s="419">
        <v>3004783</v>
      </c>
      <c r="B6085" s="421">
        <v>42649</v>
      </c>
      <c r="C6085" s="419" t="s">
        <v>56</v>
      </c>
      <c r="D6085" s="417" t="s">
        <v>11489</v>
      </c>
      <c r="E6085" s="120">
        <v>1500</v>
      </c>
      <c r="F6085" s="133" t="s">
        <v>6191</v>
      </c>
      <c r="G6085" s="434" t="s">
        <v>7486</v>
      </c>
      <c r="H6085" s="427">
        <v>1785</v>
      </c>
      <c r="I6085" s="427">
        <v>0</v>
      </c>
      <c r="J6085" s="427">
        <v>0</v>
      </c>
      <c r="K6085" s="425">
        <f>SUM(H6085:J6085)</f>
        <v>1785</v>
      </c>
      <c r="L6085" s="187">
        <v>130.84</v>
      </c>
      <c r="M6085" s="131">
        <v>25</v>
      </c>
      <c r="N6085" s="91">
        <f t="shared" si="2512"/>
        <v>221.26</v>
      </c>
      <c r="O6085" s="411">
        <f t="shared" si="2518"/>
        <v>1563.74</v>
      </c>
      <c r="P6085" s="132" t="s">
        <v>2168</v>
      </c>
      <c r="Q6085" s="232"/>
      <c r="R6085" s="411"/>
      <c r="T6085" s="439" t="s">
        <v>324</v>
      </c>
      <c r="U6085" s="267" t="s">
        <v>13099</v>
      </c>
      <c r="V6085" s="133" t="s">
        <v>11077</v>
      </c>
      <c r="W6085" s="153" t="s">
        <v>2170</v>
      </c>
      <c r="AA6085" s="218"/>
    </row>
    <row r="6086" spans="1:27" ht="24" x14ac:dyDescent="0.25">
      <c r="A6086" s="432"/>
      <c r="B6086" s="433"/>
      <c r="C6086" s="432"/>
      <c r="D6086" s="454"/>
      <c r="E6086" s="120">
        <v>1000</v>
      </c>
      <c r="F6086" s="133" t="s">
        <v>4440</v>
      </c>
      <c r="G6086" s="435"/>
      <c r="H6086" s="438"/>
      <c r="I6086" s="438"/>
      <c r="J6086" s="438"/>
      <c r="K6086" s="437"/>
      <c r="L6086" s="187">
        <v>130.84</v>
      </c>
      <c r="N6086" s="91">
        <f t="shared" si="2512"/>
        <v>130.84</v>
      </c>
      <c r="O6086" s="411">
        <f t="shared" si="2518"/>
        <v>-130.84</v>
      </c>
      <c r="P6086" s="132" t="s">
        <v>2168</v>
      </c>
      <c r="Q6086" s="232"/>
      <c r="R6086" s="411"/>
      <c r="T6086" s="441"/>
      <c r="U6086" s="267" t="s">
        <v>13100</v>
      </c>
      <c r="AA6086" s="218"/>
    </row>
    <row r="6087" spans="1:27" ht="24" x14ac:dyDescent="0.25">
      <c r="A6087" s="420"/>
      <c r="B6087" s="422"/>
      <c r="C6087" s="420"/>
      <c r="D6087" s="418"/>
      <c r="E6087" s="120">
        <v>1500</v>
      </c>
      <c r="F6087" s="133" t="s">
        <v>11492</v>
      </c>
      <c r="G6087" s="436"/>
      <c r="H6087" s="428"/>
      <c r="I6087" s="428"/>
      <c r="J6087" s="428"/>
      <c r="K6087" s="426"/>
      <c r="L6087" s="187">
        <v>170</v>
      </c>
      <c r="N6087" s="91">
        <f t="shared" si="2512"/>
        <v>255</v>
      </c>
      <c r="O6087" s="411">
        <f t="shared" si="2518"/>
        <v>-255</v>
      </c>
      <c r="P6087" s="132" t="s">
        <v>2846</v>
      </c>
      <c r="Q6087" s="232"/>
      <c r="R6087" s="411"/>
      <c r="T6087" s="134" t="s">
        <v>145</v>
      </c>
      <c r="U6087" s="267" t="s">
        <v>13101</v>
      </c>
      <c r="AA6087" s="218"/>
    </row>
    <row r="6088" spans="1:27" x14ac:dyDescent="0.25">
      <c r="A6088" s="405">
        <v>3004784</v>
      </c>
      <c r="B6088" s="406">
        <v>42649</v>
      </c>
      <c r="C6088" s="405" t="s">
        <v>327</v>
      </c>
      <c r="D6088" s="401" t="s">
        <v>13102</v>
      </c>
      <c r="E6088" s="120">
        <v>500</v>
      </c>
      <c r="F6088" s="133" t="s">
        <v>5196</v>
      </c>
      <c r="G6088" s="404" t="s">
        <v>45</v>
      </c>
      <c r="H6088" s="411">
        <v>815</v>
      </c>
      <c r="I6088" s="399">
        <v>0</v>
      </c>
      <c r="J6088" s="396">
        <f>-((H6088*0.022)+0.3)</f>
        <v>-18.23</v>
      </c>
      <c r="K6088" s="396">
        <f>SUM(H6088:J6088)</f>
        <v>796.77</v>
      </c>
      <c r="L6088" s="187">
        <v>1200</v>
      </c>
      <c r="M6088" s="131">
        <v>0</v>
      </c>
      <c r="N6088" s="91">
        <f t="shared" si="2512"/>
        <v>600</v>
      </c>
      <c r="O6088" s="411">
        <f t="shared" si="2518"/>
        <v>196.76999999999998</v>
      </c>
      <c r="P6088" s="132" t="s">
        <v>13052</v>
      </c>
      <c r="Q6088" s="232"/>
      <c r="R6088" s="411"/>
      <c r="T6088" s="134" t="s">
        <v>2652</v>
      </c>
      <c r="U6088" s="267" t="s">
        <v>13103</v>
      </c>
      <c r="W6088" s="153" t="s">
        <v>13104</v>
      </c>
      <c r="AA6088" s="218"/>
    </row>
    <row r="6089" spans="1:27" ht="24" x14ac:dyDescent="0.25">
      <c r="A6089" s="405">
        <v>3004785</v>
      </c>
      <c r="B6089" s="406">
        <v>42649</v>
      </c>
      <c r="C6089" s="405" t="s">
        <v>56</v>
      </c>
      <c r="D6089" s="401" t="s">
        <v>3382</v>
      </c>
      <c r="E6089" s="120">
        <v>1000</v>
      </c>
      <c r="F6089" s="133" t="s">
        <v>12422</v>
      </c>
      <c r="G6089" s="242" t="s">
        <v>7486</v>
      </c>
      <c r="H6089" s="411">
        <v>490</v>
      </c>
      <c r="I6089" s="411">
        <v>0</v>
      </c>
      <c r="J6089" s="411">
        <v>0</v>
      </c>
      <c r="K6089" s="396">
        <f>SUM(H6089:J6089)</f>
        <v>490</v>
      </c>
      <c r="L6089" s="187">
        <v>310</v>
      </c>
      <c r="M6089" s="187">
        <v>34.909999999999997</v>
      </c>
      <c r="N6089" s="91">
        <f t="shared" si="2512"/>
        <v>344.90999999999997</v>
      </c>
      <c r="O6089" s="411">
        <f t="shared" si="2518"/>
        <v>145.09000000000003</v>
      </c>
      <c r="P6089" s="132" t="s">
        <v>183</v>
      </c>
      <c r="Q6089" s="232"/>
      <c r="R6089" s="411"/>
      <c r="T6089" s="134" t="s">
        <v>145</v>
      </c>
      <c r="U6089" s="267" t="s">
        <v>13105</v>
      </c>
      <c r="V6089" s="133" t="s">
        <v>13106</v>
      </c>
      <c r="AA6089" s="218"/>
    </row>
    <row r="6090" spans="1:27" ht="24" x14ac:dyDescent="0.25">
      <c r="A6090" s="405">
        <v>3004786</v>
      </c>
      <c r="B6090" s="406">
        <v>42649</v>
      </c>
      <c r="C6090" s="405" t="s">
        <v>42</v>
      </c>
      <c r="D6090" s="401" t="s">
        <v>13107</v>
      </c>
      <c r="E6090" s="120">
        <v>500</v>
      </c>
      <c r="F6090" s="133" t="s">
        <v>7586</v>
      </c>
      <c r="G6090" s="404" t="s">
        <v>45</v>
      </c>
      <c r="H6090" s="411">
        <v>383.47</v>
      </c>
      <c r="I6090" s="89">
        <f>-(H6090*0.09)</f>
        <v>-34.512300000000003</v>
      </c>
      <c r="J6090" s="258">
        <f t="shared" ref="J6090" si="2519">-((H6090*0.019)+0.3)</f>
        <v>-7.5859300000000003</v>
      </c>
      <c r="K6090" s="90">
        <f t="shared" ref="K6090" si="2520">SUM(H6090:J6090)</f>
        <v>341.37177000000003</v>
      </c>
      <c r="L6090" s="131">
        <v>350</v>
      </c>
      <c r="M6090" s="187">
        <v>41.94</v>
      </c>
      <c r="N6090" s="91">
        <f t="shared" si="2512"/>
        <v>216.94</v>
      </c>
      <c r="O6090" s="411">
        <f t="shared" si="2518"/>
        <v>124.43177000000003</v>
      </c>
      <c r="P6090" s="132" t="s">
        <v>86</v>
      </c>
      <c r="Q6090" s="232"/>
      <c r="R6090" s="411"/>
      <c r="T6090" s="134" t="s">
        <v>145</v>
      </c>
      <c r="U6090" s="267" t="s">
        <v>13108</v>
      </c>
      <c r="AA6090" s="218"/>
    </row>
    <row r="6091" spans="1:27" ht="24" x14ac:dyDescent="0.25">
      <c r="A6091" s="405">
        <v>3004787</v>
      </c>
      <c r="B6091" s="406">
        <v>42650</v>
      </c>
      <c r="C6091" s="405" t="s">
        <v>327</v>
      </c>
      <c r="D6091" s="401" t="s">
        <v>12770</v>
      </c>
      <c r="E6091" s="120">
        <v>200</v>
      </c>
      <c r="F6091" s="133" t="s">
        <v>307</v>
      </c>
      <c r="G6091" s="404" t="s">
        <v>7486</v>
      </c>
      <c r="H6091" s="411">
        <v>230</v>
      </c>
      <c r="I6091" s="399">
        <v>0</v>
      </c>
      <c r="J6091" s="396">
        <f>-((H6091*0.022)+0.3)</f>
        <v>-5.3599999999999994</v>
      </c>
      <c r="K6091" s="396">
        <f>SUM(H6091:J6091)</f>
        <v>224.64</v>
      </c>
      <c r="L6091" s="131">
        <v>622.45000000000005</v>
      </c>
      <c r="M6091" s="187">
        <v>34.950000000000003</v>
      </c>
      <c r="N6091" s="91">
        <f t="shared" si="2512"/>
        <v>159.44</v>
      </c>
      <c r="O6091" s="411">
        <f t="shared" si="2518"/>
        <v>65.199999999999989</v>
      </c>
      <c r="P6091" s="132" t="s">
        <v>52</v>
      </c>
      <c r="Q6091" s="232"/>
      <c r="R6091" s="411"/>
      <c r="T6091" s="134" t="s">
        <v>145</v>
      </c>
      <c r="U6091" s="267" t="s">
        <v>13109</v>
      </c>
      <c r="W6091" s="153" t="s">
        <v>12772</v>
      </c>
      <c r="AA6091" s="218"/>
    </row>
    <row r="6092" spans="1:27" x14ac:dyDescent="0.25">
      <c r="A6092" s="419">
        <v>3004788</v>
      </c>
      <c r="B6092" s="421">
        <v>42650</v>
      </c>
      <c r="C6092" s="419" t="s">
        <v>56</v>
      </c>
      <c r="D6092" s="417" t="s">
        <v>6840</v>
      </c>
      <c r="E6092" s="120">
        <v>1000</v>
      </c>
      <c r="F6092" s="133" t="s">
        <v>3396</v>
      </c>
      <c r="G6092" s="434" t="s">
        <v>7486</v>
      </c>
      <c r="H6092" s="427">
        <v>835</v>
      </c>
      <c r="I6092" s="427">
        <v>0</v>
      </c>
      <c r="J6092" s="427">
        <v>0</v>
      </c>
      <c r="K6092" s="425">
        <f>SUM(H6092:J6092)</f>
        <v>835</v>
      </c>
      <c r="L6092" s="187">
        <v>330</v>
      </c>
      <c r="N6092" s="91">
        <f t="shared" si="2512"/>
        <v>330</v>
      </c>
      <c r="O6092" s="411">
        <f t="shared" si="2518"/>
        <v>505</v>
      </c>
      <c r="P6092" s="132" t="s">
        <v>66</v>
      </c>
      <c r="Q6092" s="232"/>
      <c r="R6092" s="411"/>
      <c r="T6092" s="439" t="s">
        <v>389</v>
      </c>
      <c r="U6092" s="446" t="s">
        <v>13110</v>
      </c>
      <c r="V6092" s="133" t="s">
        <v>12093</v>
      </c>
      <c r="W6092" s="153" t="s">
        <v>13111</v>
      </c>
      <c r="AA6092" s="218"/>
    </row>
    <row r="6093" spans="1:27" x14ac:dyDescent="0.25">
      <c r="A6093" s="432"/>
      <c r="B6093" s="433"/>
      <c r="C6093" s="432"/>
      <c r="D6093" s="454"/>
      <c r="E6093" s="120">
        <v>1000</v>
      </c>
      <c r="F6093" s="133" t="s">
        <v>13112</v>
      </c>
      <c r="G6093" s="435"/>
      <c r="H6093" s="438"/>
      <c r="I6093" s="438"/>
      <c r="J6093" s="438"/>
      <c r="K6093" s="437"/>
      <c r="L6093" s="187">
        <v>250</v>
      </c>
      <c r="M6093" s="131">
        <v>0</v>
      </c>
      <c r="N6093" s="91">
        <f t="shared" si="2512"/>
        <v>250</v>
      </c>
      <c r="O6093" s="411">
        <f t="shared" si="2518"/>
        <v>-250</v>
      </c>
      <c r="P6093" s="132" t="s">
        <v>66</v>
      </c>
      <c r="Q6093" s="232"/>
      <c r="R6093" s="411"/>
      <c r="T6093" s="441"/>
      <c r="U6093" s="447"/>
      <c r="AA6093" s="218"/>
    </row>
    <row r="6094" spans="1:27" ht="24" x14ac:dyDescent="0.25">
      <c r="A6094" s="420"/>
      <c r="B6094" s="422"/>
      <c r="C6094" s="420"/>
      <c r="D6094" s="418"/>
      <c r="E6094" s="120">
        <v>50</v>
      </c>
      <c r="F6094" s="133" t="s">
        <v>13113</v>
      </c>
      <c r="G6094" s="436"/>
      <c r="H6094" s="428"/>
      <c r="I6094" s="428"/>
      <c r="J6094" s="428"/>
      <c r="K6094" s="426"/>
      <c r="M6094" s="187">
        <v>17.7</v>
      </c>
      <c r="N6094" s="91">
        <f t="shared" si="2512"/>
        <v>17.7</v>
      </c>
      <c r="O6094" s="411">
        <f t="shared" si="2518"/>
        <v>-17.7</v>
      </c>
      <c r="P6094" s="132" t="s">
        <v>52</v>
      </c>
      <c r="Q6094" s="232"/>
      <c r="R6094" s="411"/>
      <c r="T6094" s="134" t="s">
        <v>145</v>
      </c>
      <c r="U6094" s="267" t="s">
        <v>13114</v>
      </c>
      <c r="V6094" s="133" t="s">
        <v>13115</v>
      </c>
      <c r="AA6094" s="218"/>
    </row>
    <row r="6095" spans="1:27" ht="24" x14ac:dyDescent="0.25">
      <c r="A6095" s="405">
        <v>3004789</v>
      </c>
      <c r="B6095" s="406">
        <v>42650</v>
      </c>
      <c r="C6095" s="405" t="s">
        <v>42</v>
      </c>
      <c r="D6095" s="401" t="s">
        <v>13116</v>
      </c>
      <c r="E6095" s="120">
        <v>500</v>
      </c>
      <c r="F6095" s="133" t="s">
        <v>119</v>
      </c>
      <c r="G6095" s="404" t="s">
        <v>7486</v>
      </c>
      <c r="H6095" s="411">
        <v>360</v>
      </c>
      <c r="I6095" s="89">
        <f t="shared" ref="I6095:I6104" si="2521">-(H6095*0.09)</f>
        <v>-32.4</v>
      </c>
      <c r="J6095" s="258">
        <f t="shared" ref="J6095" si="2522">-((H6095*0.019)+0.3)</f>
        <v>-7.14</v>
      </c>
      <c r="K6095" s="90">
        <f t="shared" ref="K6095" si="2523">SUM(H6095:J6095)</f>
        <v>320.46000000000004</v>
      </c>
      <c r="L6095" s="187">
        <v>390</v>
      </c>
      <c r="M6095" s="224">
        <v>51.48</v>
      </c>
      <c r="N6095" s="91">
        <f t="shared" si="2512"/>
        <v>246.48</v>
      </c>
      <c r="O6095" s="411">
        <f t="shared" si="2518"/>
        <v>73.980000000000047</v>
      </c>
      <c r="P6095" s="132" t="s">
        <v>313</v>
      </c>
      <c r="Q6095" s="232"/>
      <c r="R6095" s="411"/>
      <c r="T6095" s="134" t="s">
        <v>145</v>
      </c>
      <c r="U6095" s="267" t="s">
        <v>13117</v>
      </c>
      <c r="AA6095" s="218"/>
    </row>
    <row r="6096" spans="1:27" ht="24" x14ac:dyDescent="0.25">
      <c r="A6096" s="405">
        <v>3004790</v>
      </c>
      <c r="B6096" s="406">
        <v>42650</v>
      </c>
      <c r="C6096" s="405" t="s">
        <v>42</v>
      </c>
      <c r="D6096" s="401" t="s">
        <v>13118</v>
      </c>
      <c r="E6096" s="120">
        <v>100</v>
      </c>
      <c r="F6096" s="133" t="s">
        <v>247</v>
      </c>
      <c r="G6096" s="404" t="s">
        <v>7486</v>
      </c>
      <c r="H6096" s="411">
        <v>130.46</v>
      </c>
      <c r="I6096" s="89">
        <f t="shared" si="2521"/>
        <v>-11.741400000000001</v>
      </c>
      <c r="J6096" s="258">
        <f t="shared" ref="J6096" si="2524">-((H6096*0.019)+0.3)</f>
        <v>-2.77874</v>
      </c>
      <c r="K6096" s="90">
        <f t="shared" ref="K6096" si="2525">SUM(H6096:J6096)</f>
        <v>115.93986000000001</v>
      </c>
      <c r="L6096" s="187">
        <v>672</v>
      </c>
      <c r="M6096" s="187">
        <v>21.43</v>
      </c>
      <c r="N6096" s="91">
        <f t="shared" si="2512"/>
        <v>88.63</v>
      </c>
      <c r="O6096" s="411">
        <f t="shared" si="2518"/>
        <v>27.309860000000015</v>
      </c>
      <c r="P6096" s="132" t="s">
        <v>313</v>
      </c>
      <c r="Q6096" s="232"/>
      <c r="R6096" s="411"/>
      <c r="T6096" s="134" t="s">
        <v>145</v>
      </c>
      <c r="U6096" s="267" t="s">
        <v>13119</v>
      </c>
      <c r="AA6096" s="218"/>
    </row>
    <row r="6097" spans="1:27" ht="24" x14ac:dyDescent="0.25">
      <c r="A6097" s="405">
        <v>3004791</v>
      </c>
      <c r="B6097" s="406">
        <v>42650</v>
      </c>
      <c r="C6097" s="405" t="s">
        <v>42</v>
      </c>
      <c r="D6097" s="401" t="s">
        <v>8678</v>
      </c>
      <c r="E6097" s="120">
        <v>125</v>
      </c>
      <c r="F6097" s="133" t="s">
        <v>227</v>
      </c>
      <c r="G6097" s="404" t="s">
        <v>7486</v>
      </c>
      <c r="H6097" s="411">
        <v>111.31</v>
      </c>
      <c r="I6097" s="89">
        <f t="shared" si="2521"/>
        <v>-10.017899999999999</v>
      </c>
      <c r="J6097" s="258">
        <f t="shared" ref="J6097" si="2526">-((H6097*0.019)+0.3)</f>
        <v>-2.4148899999999998</v>
      </c>
      <c r="K6097" s="90">
        <f t="shared" ref="K6097" si="2527">SUM(H6097:J6097)</f>
        <v>98.877210000000005</v>
      </c>
      <c r="L6097" s="131">
        <v>350</v>
      </c>
      <c r="M6097" s="187">
        <v>18.02</v>
      </c>
      <c r="N6097" s="91">
        <f t="shared" si="2512"/>
        <v>61.769999999999996</v>
      </c>
      <c r="O6097" s="411">
        <f t="shared" si="2518"/>
        <v>37.107210000000009</v>
      </c>
      <c r="P6097" s="132" t="s">
        <v>52</v>
      </c>
      <c r="Q6097" s="232"/>
      <c r="R6097" s="411"/>
      <c r="T6097" s="134" t="s">
        <v>145</v>
      </c>
      <c r="U6097" s="267" t="s">
        <v>13120</v>
      </c>
      <c r="AA6097" s="218"/>
    </row>
    <row r="6098" spans="1:27" ht="24" x14ac:dyDescent="0.25">
      <c r="A6098" s="405">
        <v>3004792</v>
      </c>
      <c r="B6098" s="406">
        <v>42650</v>
      </c>
      <c r="C6098" s="405" t="s">
        <v>42</v>
      </c>
      <c r="D6098" s="401" t="s">
        <v>513</v>
      </c>
      <c r="E6098" s="120">
        <v>100</v>
      </c>
      <c r="F6098" s="133" t="s">
        <v>528</v>
      </c>
      <c r="G6098" s="404" t="s">
        <v>7486</v>
      </c>
      <c r="H6098" s="411">
        <v>240</v>
      </c>
      <c r="I6098" s="89">
        <f t="shared" si="2521"/>
        <v>-21.599999999999998</v>
      </c>
      <c r="J6098" s="258">
        <f t="shared" ref="J6098" si="2528">-((H6098*0.019)+0.3)</f>
        <v>-4.8599999999999994</v>
      </c>
      <c r="K6098" s="90">
        <f t="shared" ref="K6098" si="2529">SUM(H6098:J6098)</f>
        <v>213.54000000000002</v>
      </c>
      <c r="L6098" s="131">
        <v>1021</v>
      </c>
      <c r="M6098" s="187">
        <v>37.700000000000003</v>
      </c>
      <c r="N6098" s="91">
        <f t="shared" si="2512"/>
        <v>139.80000000000001</v>
      </c>
      <c r="O6098" s="411">
        <f t="shared" si="2518"/>
        <v>73.740000000000009</v>
      </c>
      <c r="P6098" s="132" t="s">
        <v>52</v>
      </c>
      <c r="Q6098" s="232"/>
      <c r="R6098" s="411"/>
      <c r="T6098" s="134" t="s">
        <v>145</v>
      </c>
      <c r="U6098" s="267" t="s">
        <v>13121</v>
      </c>
      <c r="AA6098" s="218"/>
    </row>
    <row r="6099" spans="1:27" ht="24" x14ac:dyDescent="0.25">
      <c r="A6099" s="405">
        <v>3004793</v>
      </c>
      <c r="B6099" s="406">
        <v>42650</v>
      </c>
      <c r="C6099" s="405" t="s">
        <v>42</v>
      </c>
      <c r="D6099" s="401" t="s">
        <v>13122</v>
      </c>
      <c r="E6099" s="120">
        <v>100</v>
      </c>
      <c r="F6099" s="133" t="s">
        <v>1547</v>
      </c>
      <c r="G6099" s="404" t="s">
        <v>7486</v>
      </c>
      <c r="H6099" s="411">
        <v>104.16</v>
      </c>
      <c r="I6099" s="89">
        <f t="shared" si="2521"/>
        <v>-9.3743999999999996</v>
      </c>
      <c r="J6099" s="258">
        <f t="shared" ref="J6099" si="2530">-((H6099*0.019)+0.3)</f>
        <v>-2.2790399999999997</v>
      </c>
      <c r="K6099" s="90">
        <f t="shared" ref="K6099" si="2531">SUM(H6099:J6099)</f>
        <v>92.506560000000007</v>
      </c>
      <c r="L6099" s="187">
        <v>600</v>
      </c>
      <c r="M6099" s="187">
        <v>23</v>
      </c>
      <c r="N6099" s="91">
        <f t="shared" si="2512"/>
        <v>83</v>
      </c>
      <c r="O6099" s="411">
        <f t="shared" si="2518"/>
        <v>9.5065600000000074</v>
      </c>
      <c r="P6099" s="132" t="s">
        <v>313</v>
      </c>
      <c r="Q6099" s="232"/>
      <c r="R6099" s="411"/>
      <c r="T6099" s="134" t="s">
        <v>145</v>
      </c>
      <c r="U6099" s="267" t="s">
        <v>13123</v>
      </c>
      <c r="AA6099" s="218"/>
    </row>
    <row r="6100" spans="1:27" ht="24" x14ac:dyDescent="0.25">
      <c r="A6100" s="405">
        <v>3004794</v>
      </c>
      <c r="B6100" s="406">
        <v>42650</v>
      </c>
      <c r="C6100" s="405" t="s">
        <v>42</v>
      </c>
      <c r="D6100" s="401" t="s">
        <v>316</v>
      </c>
      <c r="E6100" s="120">
        <v>1000</v>
      </c>
      <c r="F6100" s="133" t="s">
        <v>451</v>
      </c>
      <c r="G6100" s="404" t="s">
        <v>7486</v>
      </c>
      <c r="H6100" s="411">
        <v>585</v>
      </c>
      <c r="I6100" s="89">
        <f t="shared" si="2521"/>
        <v>-52.65</v>
      </c>
      <c r="J6100" s="258">
        <f t="shared" ref="J6100" si="2532">-((H6100*0.019)+0.3)</f>
        <v>-11.415000000000001</v>
      </c>
      <c r="K6100" s="90">
        <f t="shared" ref="K6100" si="2533">SUM(H6100:J6100)</f>
        <v>520.93500000000006</v>
      </c>
      <c r="L6100" s="131">
        <v>300</v>
      </c>
      <c r="M6100" s="187">
        <v>73.040000000000006</v>
      </c>
      <c r="N6100" s="91">
        <f t="shared" si="2512"/>
        <v>373.04</v>
      </c>
      <c r="O6100" s="411">
        <f t="shared" si="2518"/>
        <v>147.89500000000004</v>
      </c>
      <c r="P6100" s="132" t="s">
        <v>52</v>
      </c>
      <c r="Q6100" s="232"/>
      <c r="R6100" s="411"/>
      <c r="T6100" s="134" t="s">
        <v>145</v>
      </c>
      <c r="U6100" s="267" t="s">
        <v>13124</v>
      </c>
      <c r="AA6100" s="218"/>
    </row>
    <row r="6101" spans="1:27" ht="24" x14ac:dyDescent="0.25">
      <c r="A6101" s="405">
        <v>3004795</v>
      </c>
      <c r="B6101" s="406">
        <v>42650</v>
      </c>
      <c r="C6101" s="405" t="s">
        <v>42</v>
      </c>
      <c r="D6101" s="401" t="s">
        <v>13125</v>
      </c>
      <c r="E6101" s="120">
        <v>250</v>
      </c>
      <c r="F6101" s="133" t="s">
        <v>1137</v>
      </c>
      <c r="G6101" s="404" t="s">
        <v>7486</v>
      </c>
      <c r="H6101" s="411">
        <v>133</v>
      </c>
      <c r="I6101" s="89">
        <f t="shared" si="2521"/>
        <v>-11.969999999999999</v>
      </c>
      <c r="J6101" s="258">
        <f t="shared" ref="J6101" si="2534">-((H6101*0.019)+0.3)</f>
        <v>-2.827</v>
      </c>
      <c r="K6101" s="90">
        <f t="shared" ref="K6101" si="2535">SUM(H6101:J6101)</f>
        <v>118.203</v>
      </c>
      <c r="L6101" s="131">
        <v>220</v>
      </c>
      <c r="M6101" s="187">
        <v>16.600000000000001</v>
      </c>
      <c r="N6101" s="91">
        <f t="shared" si="2512"/>
        <v>71.599999999999994</v>
      </c>
      <c r="O6101" s="411">
        <f t="shared" si="2518"/>
        <v>46.603000000000009</v>
      </c>
      <c r="P6101" s="132" t="s">
        <v>52</v>
      </c>
      <c r="Q6101" s="232"/>
      <c r="R6101" s="411"/>
      <c r="T6101" s="134" t="s">
        <v>145</v>
      </c>
      <c r="U6101" s="267" t="s">
        <v>13126</v>
      </c>
      <c r="AA6101" s="218"/>
    </row>
    <row r="6102" spans="1:27" ht="24" x14ac:dyDescent="0.25">
      <c r="A6102" s="405">
        <v>3004796</v>
      </c>
      <c r="B6102" s="406">
        <v>42650</v>
      </c>
      <c r="C6102" s="405" t="s">
        <v>42</v>
      </c>
      <c r="D6102" s="401" t="s">
        <v>13127</v>
      </c>
      <c r="E6102" s="120">
        <v>80</v>
      </c>
      <c r="F6102" s="133" t="s">
        <v>165</v>
      </c>
      <c r="G6102" s="404" t="s">
        <v>7486</v>
      </c>
      <c r="H6102" s="411">
        <v>94.4</v>
      </c>
      <c r="I6102" s="89">
        <f t="shared" si="2521"/>
        <v>-8.4960000000000004</v>
      </c>
      <c r="J6102" s="258">
        <f t="shared" ref="J6102" si="2536">-((H6102*0.019)+0.3)</f>
        <v>-2.0935999999999999</v>
      </c>
      <c r="K6102" s="90">
        <f t="shared" ref="K6102" si="2537">SUM(H6102:J6102)</f>
        <v>83.810400000000016</v>
      </c>
      <c r="L6102" s="131">
        <v>375</v>
      </c>
      <c r="M6102" s="187">
        <v>27.91</v>
      </c>
      <c r="N6102" s="91">
        <f t="shared" si="2512"/>
        <v>57.91</v>
      </c>
      <c r="O6102" s="411">
        <f t="shared" si="2518"/>
        <v>25.900400000000019</v>
      </c>
      <c r="P6102" s="132" t="s">
        <v>52</v>
      </c>
      <c r="Q6102" s="232"/>
      <c r="R6102" s="411"/>
      <c r="T6102" s="134" t="s">
        <v>145</v>
      </c>
      <c r="U6102" s="267" t="s">
        <v>13128</v>
      </c>
      <c r="AA6102" s="218"/>
    </row>
    <row r="6103" spans="1:27" ht="24" x14ac:dyDescent="0.25">
      <c r="A6103" s="405">
        <v>3004797</v>
      </c>
      <c r="B6103" s="406">
        <v>42650</v>
      </c>
      <c r="C6103" s="405" t="s">
        <v>42</v>
      </c>
      <c r="D6103" s="401" t="s">
        <v>13129</v>
      </c>
      <c r="E6103" s="120">
        <v>100</v>
      </c>
      <c r="F6103" s="133" t="s">
        <v>161</v>
      </c>
      <c r="G6103" s="404" t="s">
        <v>7486</v>
      </c>
      <c r="H6103" s="411">
        <v>245</v>
      </c>
      <c r="I6103" s="89">
        <f t="shared" si="2521"/>
        <v>-22.05</v>
      </c>
      <c r="J6103" s="258">
        <f t="shared" ref="J6103" si="2538">-((H6103*0.019)+0.3)</f>
        <v>-4.9550000000000001</v>
      </c>
      <c r="K6103" s="90">
        <f t="shared" ref="K6103" si="2539">SUM(H6103:J6103)</f>
        <v>217.99499999999998</v>
      </c>
      <c r="L6103" s="131">
        <v>1322</v>
      </c>
      <c r="M6103" s="187">
        <v>24.32</v>
      </c>
      <c r="N6103" s="91">
        <f t="shared" si="2512"/>
        <v>156.52000000000001</v>
      </c>
      <c r="O6103" s="411">
        <f t="shared" si="2518"/>
        <v>61.474999999999966</v>
      </c>
      <c r="P6103" s="132" t="s">
        <v>52</v>
      </c>
      <c r="Q6103" s="232"/>
      <c r="R6103" s="411"/>
      <c r="T6103" s="134" t="s">
        <v>145</v>
      </c>
      <c r="U6103" s="267" t="s">
        <v>13130</v>
      </c>
      <c r="AA6103" s="218"/>
    </row>
    <row r="6104" spans="1:27" ht="24" x14ac:dyDescent="0.25">
      <c r="A6104" s="405">
        <v>3004798</v>
      </c>
      <c r="B6104" s="406">
        <v>42650</v>
      </c>
      <c r="C6104" s="405" t="s">
        <v>42</v>
      </c>
      <c r="D6104" s="401" t="s">
        <v>13131</v>
      </c>
      <c r="E6104" s="120">
        <v>250</v>
      </c>
      <c r="F6104" s="133" t="s">
        <v>323</v>
      </c>
      <c r="G6104" s="404" t="s">
        <v>7486</v>
      </c>
      <c r="H6104" s="411">
        <v>197.99</v>
      </c>
      <c r="I6104" s="89">
        <f t="shared" si="2521"/>
        <v>-17.819099999999999</v>
      </c>
      <c r="J6104" s="258">
        <f t="shared" ref="J6104" si="2540">-((H6104*0.019)+0.3)</f>
        <v>-4.0618100000000004</v>
      </c>
      <c r="K6104" s="90">
        <f t="shared" ref="K6104" si="2541">SUM(H6104:J6104)</f>
        <v>176.10909000000001</v>
      </c>
      <c r="L6104" s="131">
        <v>395</v>
      </c>
      <c r="M6104" s="187">
        <v>37.46</v>
      </c>
      <c r="N6104" s="91">
        <f t="shared" si="2512"/>
        <v>136.21</v>
      </c>
      <c r="O6104" s="411">
        <f t="shared" si="2518"/>
        <v>39.899090000000001</v>
      </c>
      <c r="P6104" s="132" t="s">
        <v>52</v>
      </c>
      <c r="Q6104" s="232"/>
      <c r="R6104" s="411"/>
      <c r="T6104" s="134" t="s">
        <v>145</v>
      </c>
      <c r="U6104" s="267" t="s">
        <v>13132</v>
      </c>
      <c r="AA6104" s="218"/>
    </row>
    <row r="6105" spans="1:27" ht="24" x14ac:dyDescent="0.25">
      <c r="A6105" s="419">
        <v>3004799</v>
      </c>
      <c r="B6105" s="421">
        <v>42650</v>
      </c>
      <c r="C6105" s="419" t="s">
        <v>237</v>
      </c>
      <c r="D6105" s="417" t="s">
        <v>13133</v>
      </c>
      <c r="E6105" s="120">
        <v>500</v>
      </c>
      <c r="F6105" s="119" t="s">
        <v>13134</v>
      </c>
      <c r="G6105" s="434" t="s">
        <v>7486</v>
      </c>
      <c r="H6105" s="427">
        <v>205.17</v>
      </c>
      <c r="I6105" s="452">
        <f t="shared" ref="I6105" si="2542">-(H6105*0.15)</f>
        <v>-30.775499999999997</v>
      </c>
      <c r="J6105" s="425">
        <v>0</v>
      </c>
      <c r="K6105" s="425">
        <f>SUM(H6105:J6105)</f>
        <v>174.39449999999999</v>
      </c>
      <c r="L6105" s="187">
        <v>80</v>
      </c>
      <c r="M6105" s="187">
        <v>11.68</v>
      </c>
      <c r="N6105" s="91">
        <f t="shared" si="2512"/>
        <v>51.68</v>
      </c>
      <c r="O6105" s="411">
        <f t="shared" si="2518"/>
        <v>122.71449999999999</v>
      </c>
      <c r="P6105" s="132" t="s">
        <v>2846</v>
      </c>
      <c r="Q6105" s="232"/>
      <c r="R6105" s="411"/>
      <c r="T6105" s="470" t="s">
        <v>145</v>
      </c>
      <c r="U6105" s="446" t="s">
        <v>13135</v>
      </c>
      <c r="AA6105" s="218"/>
    </row>
    <row r="6106" spans="1:27" ht="24" x14ac:dyDescent="0.25">
      <c r="A6106" s="420"/>
      <c r="B6106" s="422"/>
      <c r="C6106" s="420"/>
      <c r="D6106" s="418"/>
      <c r="E6106" s="120">
        <v>500</v>
      </c>
      <c r="F6106" s="119" t="s">
        <v>13136</v>
      </c>
      <c r="G6106" s="436"/>
      <c r="H6106" s="428"/>
      <c r="I6106" s="453"/>
      <c r="J6106" s="426"/>
      <c r="K6106" s="426"/>
      <c r="L6106" s="187">
        <v>80</v>
      </c>
      <c r="N6106" s="91">
        <f t="shared" si="2512"/>
        <v>40</v>
      </c>
      <c r="O6106" s="411">
        <f t="shared" si="2518"/>
        <v>-40</v>
      </c>
      <c r="P6106" s="132" t="s">
        <v>2846</v>
      </c>
      <c r="Q6106" s="232"/>
      <c r="R6106" s="411"/>
      <c r="T6106" s="472"/>
      <c r="U6106" s="447"/>
      <c r="AA6106" s="218"/>
    </row>
    <row r="6107" spans="1:27" x14ac:dyDescent="0.25">
      <c r="A6107" s="405">
        <v>3004800</v>
      </c>
      <c r="B6107" s="406">
        <v>42650</v>
      </c>
      <c r="C6107" s="405" t="s">
        <v>42</v>
      </c>
      <c r="D6107" s="401" t="s">
        <v>13137</v>
      </c>
      <c r="E6107" s="120">
        <v>350</v>
      </c>
      <c r="F6107" s="133" t="s">
        <v>528</v>
      </c>
      <c r="G6107" s="404" t="s">
        <v>7486</v>
      </c>
      <c r="H6107" s="411">
        <v>727.07</v>
      </c>
      <c r="I6107" s="89">
        <f>-(H6107*0.09)</f>
        <v>-65.436300000000003</v>
      </c>
      <c r="J6107" s="258">
        <f t="shared" ref="J6107" si="2543">-((H6107*0.019)+0.3)</f>
        <v>-14.114330000000001</v>
      </c>
      <c r="K6107" s="90">
        <f t="shared" ref="K6107" si="2544">SUM(H6107:J6107)</f>
        <v>647.51937000000009</v>
      </c>
      <c r="L6107" s="131">
        <v>1021</v>
      </c>
      <c r="M6107" s="187">
        <v>145.07</v>
      </c>
      <c r="N6107" s="91">
        <f t="shared" si="2512"/>
        <v>502.42</v>
      </c>
      <c r="O6107" s="411">
        <f t="shared" si="2518"/>
        <v>145.09937000000008</v>
      </c>
      <c r="P6107" s="132" t="s">
        <v>52</v>
      </c>
      <c r="Q6107" s="232"/>
      <c r="R6107" s="411"/>
      <c r="T6107" s="134" t="s">
        <v>13138</v>
      </c>
      <c r="U6107" s="267" t="s">
        <v>13139</v>
      </c>
      <c r="V6107" s="133" t="s">
        <v>55</v>
      </c>
      <c r="AA6107" s="218"/>
    </row>
    <row r="6108" spans="1:27" ht="24" x14ac:dyDescent="0.25">
      <c r="A6108" s="405">
        <v>3004801</v>
      </c>
      <c r="B6108" s="406">
        <v>42650</v>
      </c>
      <c r="C6108" s="405" t="s">
        <v>42</v>
      </c>
      <c r="D6108" s="401" t="s">
        <v>13140</v>
      </c>
      <c r="E6108" s="120">
        <v>250</v>
      </c>
      <c r="F6108" s="133" t="s">
        <v>983</v>
      </c>
      <c r="G6108" s="404" t="s">
        <v>7486</v>
      </c>
      <c r="H6108" s="411">
        <v>168.27</v>
      </c>
      <c r="I6108" s="89">
        <f>-(H6108*0.09)</f>
        <v>-15.144300000000001</v>
      </c>
      <c r="J6108" s="258">
        <f t="shared" ref="J6108" si="2545">-((H6108*0.019)+0.3)</f>
        <v>-3.4971299999999998</v>
      </c>
      <c r="K6108" s="90">
        <f t="shared" ref="K6108" si="2546">SUM(H6108:J6108)</f>
        <v>149.62857</v>
      </c>
      <c r="L6108" s="131">
        <v>300</v>
      </c>
      <c r="M6108" s="187">
        <v>28.74</v>
      </c>
      <c r="N6108" s="91">
        <f t="shared" si="2512"/>
        <v>103.74</v>
      </c>
      <c r="O6108" s="411">
        <f t="shared" si="2518"/>
        <v>45.888570000000001</v>
      </c>
      <c r="P6108" s="132" t="s">
        <v>52</v>
      </c>
      <c r="Q6108" s="232"/>
      <c r="R6108" s="411"/>
      <c r="T6108" s="134" t="s">
        <v>145</v>
      </c>
      <c r="U6108" s="267" t="s">
        <v>13141</v>
      </c>
      <c r="AA6108" s="218"/>
    </row>
    <row r="6109" spans="1:27" ht="24" x14ac:dyDescent="0.25">
      <c r="A6109" s="405">
        <v>3004802</v>
      </c>
      <c r="B6109" s="406">
        <v>42650</v>
      </c>
      <c r="C6109" s="405" t="s">
        <v>42</v>
      </c>
      <c r="D6109" s="401" t="s">
        <v>13142</v>
      </c>
      <c r="E6109" s="120">
        <v>250</v>
      </c>
      <c r="F6109" s="133" t="s">
        <v>10712</v>
      </c>
      <c r="G6109" s="404" t="s">
        <v>7486</v>
      </c>
      <c r="H6109" s="411">
        <v>198</v>
      </c>
      <c r="I6109" s="89">
        <f>-(H6109*0.09)</f>
        <v>-17.82</v>
      </c>
      <c r="J6109" s="258">
        <f t="shared" ref="J6109" si="2547">-((H6109*0.019)+0.3)</f>
        <v>-4.0620000000000003</v>
      </c>
      <c r="K6109" s="90">
        <f t="shared" ref="K6109" si="2548">SUM(H6109:J6109)</f>
        <v>176.11799999999999</v>
      </c>
      <c r="L6109" s="131">
        <v>320</v>
      </c>
      <c r="M6109" s="187">
        <v>17.600000000000001</v>
      </c>
      <c r="N6109" s="91">
        <f t="shared" si="2512"/>
        <v>97.6</v>
      </c>
      <c r="O6109" s="411">
        <f t="shared" si="2518"/>
        <v>78.518000000000001</v>
      </c>
      <c r="P6109" s="132" t="s">
        <v>86</v>
      </c>
      <c r="Q6109" s="232"/>
      <c r="R6109" s="411"/>
      <c r="T6109" s="134" t="s">
        <v>145</v>
      </c>
      <c r="U6109" s="267" t="s">
        <v>13143</v>
      </c>
      <c r="AA6109" s="218"/>
    </row>
    <row r="6110" spans="1:27" ht="24" x14ac:dyDescent="0.25">
      <c r="A6110" s="405">
        <v>3004803</v>
      </c>
      <c r="B6110" s="406">
        <v>42650</v>
      </c>
      <c r="C6110" s="405" t="s">
        <v>237</v>
      </c>
      <c r="D6110" s="401" t="s">
        <v>13144</v>
      </c>
      <c r="E6110" s="120">
        <v>350</v>
      </c>
      <c r="F6110" s="133" t="s">
        <v>165</v>
      </c>
      <c r="G6110" s="404" t="s">
        <v>7486</v>
      </c>
      <c r="H6110" s="411">
        <v>270.73</v>
      </c>
      <c r="I6110" s="397">
        <f t="shared" ref="I6110" si="2549">-(H6110*0.15)</f>
        <v>-40.609500000000004</v>
      </c>
      <c r="J6110" s="258">
        <v>0</v>
      </c>
      <c r="K6110" s="90">
        <f t="shared" ref="K6110:K6115" si="2550">SUM(H6110:J6110)</f>
        <v>230.12050000000002</v>
      </c>
      <c r="L6110" s="131">
        <v>375</v>
      </c>
      <c r="M6110" s="187">
        <v>49.63</v>
      </c>
      <c r="N6110" s="91">
        <f t="shared" si="2512"/>
        <v>180.88</v>
      </c>
      <c r="O6110" s="411">
        <f t="shared" si="2518"/>
        <v>49.240500000000026</v>
      </c>
      <c r="P6110" s="132" t="s">
        <v>52</v>
      </c>
      <c r="Q6110" s="232"/>
      <c r="R6110" s="411"/>
      <c r="T6110" s="134" t="s">
        <v>145</v>
      </c>
      <c r="U6110" s="267" t="s">
        <v>13145</v>
      </c>
      <c r="AA6110" s="218"/>
    </row>
    <row r="6111" spans="1:27" ht="24" x14ac:dyDescent="0.25">
      <c r="A6111" s="405">
        <v>3004804</v>
      </c>
      <c r="B6111" s="406">
        <v>42650</v>
      </c>
      <c r="C6111" s="405" t="s">
        <v>237</v>
      </c>
      <c r="D6111" s="401" t="s">
        <v>13146</v>
      </c>
      <c r="E6111" s="120">
        <v>100</v>
      </c>
      <c r="F6111" s="133" t="s">
        <v>247</v>
      </c>
      <c r="G6111" s="404" t="s">
        <v>7486</v>
      </c>
      <c r="H6111" s="411">
        <v>124.97</v>
      </c>
      <c r="I6111" s="397">
        <f t="shared" ref="I6111" si="2551">-(H6111*0.15)</f>
        <v>-18.7455</v>
      </c>
      <c r="J6111" s="258">
        <v>0</v>
      </c>
      <c r="K6111" s="90">
        <f t="shared" si="2550"/>
        <v>106.22450000000001</v>
      </c>
      <c r="L6111" s="187">
        <v>672</v>
      </c>
      <c r="M6111" s="187">
        <v>23.8</v>
      </c>
      <c r="N6111" s="91">
        <f t="shared" si="2512"/>
        <v>91</v>
      </c>
      <c r="O6111" s="411">
        <f t="shared" si="2518"/>
        <v>15.224500000000006</v>
      </c>
      <c r="P6111" s="132" t="s">
        <v>313</v>
      </c>
      <c r="Q6111" s="232"/>
      <c r="R6111" s="411"/>
      <c r="T6111" s="134" t="s">
        <v>145</v>
      </c>
      <c r="U6111" s="267" t="s">
        <v>13147</v>
      </c>
      <c r="AA6111" s="218"/>
    </row>
    <row r="6112" spans="1:27" ht="36" x14ac:dyDescent="0.25">
      <c r="A6112" s="405">
        <v>3004805</v>
      </c>
      <c r="B6112" s="406">
        <v>42650</v>
      </c>
      <c r="C6112" s="405" t="s">
        <v>237</v>
      </c>
      <c r="D6112" s="401" t="s">
        <v>13148</v>
      </c>
      <c r="E6112" s="120">
        <v>1000</v>
      </c>
      <c r="F6112" s="119" t="s">
        <v>13149</v>
      </c>
      <c r="G6112" s="404" t="s">
        <v>7486</v>
      </c>
      <c r="H6112" s="411">
        <v>117.85</v>
      </c>
      <c r="I6112" s="397">
        <f t="shared" ref="I6112" si="2552">-(H6112*0.15)</f>
        <v>-17.677499999999998</v>
      </c>
      <c r="J6112" s="258">
        <v>0</v>
      </c>
      <c r="K6112" s="90">
        <f t="shared" si="2550"/>
        <v>100.1725</v>
      </c>
      <c r="L6112" s="187">
        <v>78</v>
      </c>
      <c r="M6112" s="187">
        <v>17.27</v>
      </c>
      <c r="N6112" s="91">
        <f t="shared" si="2512"/>
        <v>95.27</v>
      </c>
      <c r="O6112" s="411">
        <f t="shared" si="2518"/>
        <v>4.9025000000000034</v>
      </c>
      <c r="P6112" s="132" t="s">
        <v>1732</v>
      </c>
      <c r="Q6112" s="232"/>
      <c r="R6112" s="411"/>
      <c r="T6112" s="134" t="s">
        <v>145</v>
      </c>
      <c r="U6112" s="267" t="s">
        <v>13150</v>
      </c>
      <c r="AA6112" s="218"/>
    </row>
    <row r="6113" spans="1:27" ht="24" x14ac:dyDescent="0.25">
      <c r="A6113" s="405">
        <v>3004806</v>
      </c>
      <c r="B6113" s="406">
        <v>42650</v>
      </c>
      <c r="C6113" s="405" t="s">
        <v>141</v>
      </c>
      <c r="D6113" s="401" t="s">
        <v>13151</v>
      </c>
      <c r="E6113" s="120">
        <v>2000</v>
      </c>
      <c r="F6113" s="119" t="s">
        <v>13152</v>
      </c>
      <c r="G6113" s="404" t="s">
        <v>7486</v>
      </c>
      <c r="H6113" s="411">
        <v>1732</v>
      </c>
      <c r="I6113" s="399">
        <v>0</v>
      </c>
      <c r="J6113" s="396">
        <f>-((H6113*0.0325)+0.3)</f>
        <v>-56.589999999999996</v>
      </c>
      <c r="K6113" s="396">
        <f t="shared" si="2550"/>
        <v>1675.41</v>
      </c>
      <c r="L6113" s="187">
        <v>390</v>
      </c>
      <c r="M6113" s="187">
        <f>23.91+34.41</f>
        <v>58.319999999999993</v>
      </c>
      <c r="N6113" s="91">
        <f t="shared" si="2512"/>
        <v>838.31999999999994</v>
      </c>
      <c r="O6113" s="411">
        <f t="shared" si="2518"/>
        <v>837.09000000000015</v>
      </c>
      <c r="P6113" s="132" t="s">
        <v>1732</v>
      </c>
      <c r="Q6113" s="232"/>
      <c r="R6113" s="411"/>
      <c r="T6113" s="134" t="s">
        <v>145</v>
      </c>
      <c r="U6113" s="267" t="s">
        <v>13153</v>
      </c>
      <c r="W6113" s="153" t="s">
        <v>13154</v>
      </c>
      <c r="AA6113" s="218">
        <v>10</v>
      </c>
    </row>
    <row r="6114" spans="1:27" x14ac:dyDescent="0.25">
      <c r="A6114" s="405">
        <v>3004807</v>
      </c>
      <c r="B6114" s="406">
        <v>42650</v>
      </c>
      <c r="C6114" s="405" t="s">
        <v>327</v>
      </c>
      <c r="D6114" s="401" t="s">
        <v>13155</v>
      </c>
      <c r="E6114" s="120">
        <v>400</v>
      </c>
      <c r="F6114" s="133" t="s">
        <v>13156</v>
      </c>
      <c r="G6114" s="404" t="s">
        <v>7486</v>
      </c>
      <c r="H6114" s="411">
        <v>2320</v>
      </c>
      <c r="I6114" s="399">
        <v>0</v>
      </c>
      <c r="J6114" s="396">
        <f>-((H6114*0.022)+0.3)</f>
        <v>-51.339999999999996</v>
      </c>
      <c r="K6114" s="396">
        <f t="shared" si="2550"/>
        <v>2268.66</v>
      </c>
      <c r="L6114" s="187">
        <v>2260</v>
      </c>
      <c r="M6114" s="187">
        <v>0</v>
      </c>
      <c r="N6114" s="91">
        <f t="shared" si="2512"/>
        <v>904</v>
      </c>
      <c r="O6114" s="411">
        <f t="shared" si="2518"/>
        <v>1364.6599999999999</v>
      </c>
      <c r="P6114" s="132" t="s">
        <v>13052</v>
      </c>
      <c r="Q6114" s="232"/>
      <c r="R6114" s="411"/>
      <c r="T6114" s="134" t="s">
        <v>2652</v>
      </c>
      <c r="U6114" s="267" t="s">
        <v>13157</v>
      </c>
      <c r="W6114" s="153" t="s">
        <v>13158</v>
      </c>
      <c r="AA6114" s="218">
        <v>10</v>
      </c>
    </row>
    <row r="6115" spans="1:27" x14ac:dyDescent="0.25">
      <c r="A6115" s="419">
        <v>3004808</v>
      </c>
      <c r="B6115" s="421">
        <v>42650</v>
      </c>
      <c r="C6115" s="419" t="s">
        <v>141</v>
      </c>
      <c r="D6115" s="417" t="s">
        <v>426</v>
      </c>
      <c r="E6115" s="120">
        <v>300</v>
      </c>
      <c r="F6115" s="133" t="s">
        <v>13159</v>
      </c>
      <c r="G6115" s="434" t="s">
        <v>7486</v>
      </c>
      <c r="H6115" s="427">
        <v>4058</v>
      </c>
      <c r="I6115" s="427">
        <v>0</v>
      </c>
      <c r="J6115" s="425">
        <f>-((H6115*0.0325)+0.3)</f>
        <v>-132.185</v>
      </c>
      <c r="K6115" s="425">
        <f t="shared" si="2550"/>
        <v>3925.8150000000001</v>
      </c>
      <c r="L6115" s="187">
        <v>6500</v>
      </c>
      <c r="M6115" s="224">
        <v>120.5</v>
      </c>
      <c r="N6115" s="91">
        <f t="shared" si="2512"/>
        <v>2070.5</v>
      </c>
      <c r="O6115" s="411">
        <f t="shared" si="2518"/>
        <v>1855.3150000000001</v>
      </c>
      <c r="P6115" s="132" t="s">
        <v>183</v>
      </c>
      <c r="Q6115" s="232"/>
      <c r="R6115" s="411"/>
      <c r="T6115" s="439" t="s">
        <v>755</v>
      </c>
      <c r="U6115" s="266"/>
      <c r="W6115" s="153" t="s">
        <v>429</v>
      </c>
      <c r="AA6115" s="218"/>
    </row>
    <row r="6116" spans="1:27" x14ac:dyDescent="0.25">
      <c r="A6116" s="420"/>
      <c r="B6116" s="422"/>
      <c r="C6116" s="420"/>
      <c r="D6116" s="418"/>
      <c r="E6116" s="120">
        <v>400</v>
      </c>
      <c r="F6116" s="133" t="s">
        <v>13160</v>
      </c>
      <c r="G6116" s="436"/>
      <c r="H6116" s="428"/>
      <c r="I6116" s="428"/>
      <c r="J6116" s="426"/>
      <c r="K6116" s="426"/>
      <c r="L6116" s="187">
        <v>3300</v>
      </c>
      <c r="M6116" s="187">
        <v>80</v>
      </c>
      <c r="N6116" s="91">
        <f t="shared" si="2512"/>
        <v>1400</v>
      </c>
      <c r="O6116" s="411">
        <f t="shared" si="2518"/>
        <v>-1400</v>
      </c>
      <c r="P6116" s="132" t="s">
        <v>183</v>
      </c>
      <c r="Q6116" s="232"/>
      <c r="R6116" s="411"/>
      <c r="T6116" s="441"/>
      <c r="U6116" s="266" t="s">
        <v>13161</v>
      </c>
      <c r="AA6116" s="218"/>
    </row>
    <row r="6117" spans="1:27" x14ac:dyDescent="0.25">
      <c r="A6117" s="405">
        <v>3004809</v>
      </c>
      <c r="B6117" s="406">
        <v>42650</v>
      </c>
      <c r="C6117" s="405" t="s">
        <v>63</v>
      </c>
      <c r="D6117" s="401" t="s">
        <v>13162</v>
      </c>
      <c r="E6117" s="120">
        <v>275</v>
      </c>
      <c r="F6117" s="133" t="s">
        <v>13163</v>
      </c>
      <c r="G6117" s="404" t="s">
        <v>7486</v>
      </c>
      <c r="H6117" s="411">
        <v>574.45000000000005</v>
      </c>
      <c r="I6117" s="399">
        <v>0</v>
      </c>
      <c r="J6117" s="396">
        <f>-((H6117*0.022)+0.3)</f>
        <v>-12.937900000000001</v>
      </c>
      <c r="K6117" s="396">
        <f>SUM(H6117:J6117)</f>
        <v>561.51210000000003</v>
      </c>
      <c r="L6117" s="131">
        <v>400</v>
      </c>
      <c r="M6117" s="187">
        <v>101.54</v>
      </c>
      <c r="N6117" s="91">
        <f t="shared" si="2512"/>
        <v>211.54000000000002</v>
      </c>
      <c r="O6117" s="411">
        <f t="shared" si="2518"/>
        <v>349.97210000000001</v>
      </c>
      <c r="P6117" s="132" t="s">
        <v>52</v>
      </c>
      <c r="Q6117" s="232"/>
      <c r="R6117" s="411">
        <v>42.55</v>
      </c>
      <c r="S6117" s="133" t="s">
        <v>11438</v>
      </c>
      <c r="T6117" s="134" t="s">
        <v>7260</v>
      </c>
      <c r="U6117" s="267" t="s">
        <v>13164</v>
      </c>
      <c r="V6117" s="133" t="s">
        <v>55</v>
      </c>
      <c r="W6117" s="153" t="s">
        <v>13165</v>
      </c>
      <c r="AA6117" s="218"/>
    </row>
    <row r="6118" spans="1:27" x14ac:dyDescent="0.25">
      <c r="A6118" s="405">
        <v>3004810</v>
      </c>
      <c r="B6118" s="406">
        <v>42650</v>
      </c>
      <c r="C6118" s="405" t="s">
        <v>63</v>
      </c>
      <c r="D6118" s="401" t="s">
        <v>13166</v>
      </c>
      <c r="E6118" s="120">
        <v>500</v>
      </c>
      <c r="F6118" s="133" t="s">
        <v>1409</v>
      </c>
      <c r="G6118" s="404" t="s">
        <v>7486</v>
      </c>
      <c r="H6118" s="411">
        <v>1628.75</v>
      </c>
      <c r="I6118" s="399">
        <v>0</v>
      </c>
      <c r="J6118" s="396">
        <f>-((H6118*0.022)+0.3)</f>
        <v>-36.132499999999993</v>
      </c>
      <c r="K6118" s="396">
        <f>SUM(H6118:J6118)</f>
        <v>1592.6175000000001</v>
      </c>
      <c r="L6118" s="187">
        <v>1785</v>
      </c>
      <c r="M6118" s="131">
        <v>284.70999999999998</v>
      </c>
      <c r="N6118" s="91">
        <f t="shared" si="2512"/>
        <v>1177.21</v>
      </c>
      <c r="O6118" s="411">
        <f t="shared" si="2518"/>
        <v>415.40750000000003</v>
      </c>
      <c r="P6118" s="132" t="s">
        <v>856</v>
      </c>
      <c r="Q6118" s="232"/>
      <c r="R6118" s="411"/>
      <c r="T6118" s="134" t="s">
        <v>9117</v>
      </c>
      <c r="U6118" s="267" t="s">
        <v>13167</v>
      </c>
      <c r="V6118" s="133" t="s">
        <v>55</v>
      </c>
      <c r="W6118" s="153" t="s">
        <v>13168</v>
      </c>
      <c r="AA6118" s="218"/>
    </row>
    <row r="6119" spans="1:27" x14ac:dyDescent="0.25">
      <c r="A6119" s="405">
        <v>3004811</v>
      </c>
      <c r="B6119" s="406">
        <v>42650</v>
      </c>
      <c r="C6119" s="405" t="s">
        <v>63</v>
      </c>
      <c r="D6119" s="401" t="s">
        <v>13169</v>
      </c>
      <c r="E6119" s="120">
        <v>150</v>
      </c>
      <c r="F6119" s="133" t="s">
        <v>13170</v>
      </c>
      <c r="G6119" s="404" t="s">
        <v>7486</v>
      </c>
      <c r="H6119" s="411">
        <v>375</v>
      </c>
      <c r="I6119" s="399">
        <v>0</v>
      </c>
      <c r="J6119" s="396">
        <f>-((H6119*0.022)+0.3)</f>
        <v>-8.5500000000000007</v>
      </c>
      <c r="K6119" s="396">
        <f>SUM(H6119:J6119)</f>
        <v>366.45</v>
      </c>
      <c r="L6119" s="187">
        <v>1190</v>
      </c>
      <c r="M6119" s="187">
        <v>12.36</v>
      </c>
      <c r="N6119" s="91">
        <f t="shared" si="2512"/>
        <v>190.86</v>
      </c>
      <c r="O6119" s="411">
        <f t="shared" si="2518"/>
        <v>175.58999999999997</v>
      </c>
      <c r="P6119" s="132" t="s">
        <v>13171</v>
      </c>
      <c r="Q6119" s="232"/>
      <c r="R6119" s="411"/>
      <c r="T6119" s="134" t="s">
        <v>324</v>
      </c>
      <c r="U6119" s="267" t="s">
        <v>13172</v>
      </c>
      <c r="W6119" s="153" t="s">
        <v>13173</v>
      </c>
      <c r="AA6119" s="218"/>
    </row>
    <row r="6120" spans="1:27" x14ac:dyDescent="0.25">
      <c r="A6120" s="405">
        <v>3004812</v>
      </c>
      <c r="B6120" s="406">
        <v>42650</v>
      </c>
      <c r="C6120" s="405" t="s">
        <v>63</v>
      </c>
      <c r="D6120" s="401" t="s">
        <v>13174</v>
      </c>
      <c r="E6120" s="120">
        <v>150</v>
      </c>
      <c r="F6120" s="133" t="s">
        <v>874</v>
      </c>
      <c r="G6120" s="404" t="s">
        <v>7486</v>
      </c>
      <c r="H6120" s="411">
        <v>483</v>
      </c>
      <c r="I6120" s="399">
        <v>0</v>
      </c>
      <c r="J6120" s="396">
        <f>-((H6120*0.022)+0.3)</f>
        <v>-10.926</v>
      </c>
      <c r="K6120" s="396">
        <f>SUM(H6120:J6120)</f>
        <v>472.07400000000001</v>
      </c>
      <c r="L6120" s="131">
        <v>1795</v>
      </c>
      <c r="M6120" s="187">
        <v>154.30000000000001</v>
      </c>
      <c r="N6120" s="91">
        <f t="shared" si="2512"/>
        <v>423.55</v>
      </c>
      <c r="O6120" s="411">
        <f t="shared" si="2518"/>
        <v>48.524000000000001</v>
      </c>
      <c r="P6120" s="132" t="s">
        <v>52</v>
      </c>
      <c r="Q6120" s="232"/>
      <c r="R6120" s="411"/>
      <c r="T6120" s="134" t="s">
        <v>11100</v>
      </c>
      <c r="U6120" s="267" t="s">
        <v>13175</v>
      </c>
      <c r="V6120" s="133" t="s">
        <v>55</v>
      </c>
      <c r="W6120" s="153" t="s">
        <v>13176</v>
      </c>
      <c r="AA6120" s="218"/>
    </row>
    <row r="6121" spans="1:27" ht="24" x14ac:dyDescent="0.25">
      <c r="A6121" s="405">
        <v>3004813</v>
      </c>
      <c r="B6121" s="406">
        <v>42653</v>
      </c>
      <c r="C6121" s="405" t="s">
        <v>42</v>
      </c>
      <c r="D6121" s="401" t="s">
        <v>13177</v>
      </c>
      <c r="E6121" s="120">
        <v>450</v>
      </c>
      <c r="F6121" s="133" t="s">
        <v>1547</v>
      </c>
      <c r="G6121" s="404" t="s">
        <v>7486</v>
      </c>
      <c r="H6121" s="411">
        <v>412.5</v>
      </c>
      <c r="I6121" s="89">
        <f>-(H6121*0.09)</f>
        <v>-37.125</v>
      </c>
      <c r="J6121" s="258">
        <f t="shared" ref="J6121:J6123" si="2553">-((H6121*0.019)+0.3)</f>
        <v>-8.1374999999999993</v>
      </c>
      <c r="K6121" s="90">
        <f t="shared" ref="K6121" si="2554">SUM(H6121:J6121)</f>
        <v>367.23750000000001</v>
      </c>
      <c r="L6121" s="131">
        <v>448</v>
      </c>
      <c r="M6121" s="187">
        <v>61.47</v>
      </c>
      <c r="N6121" s="91">
        <f t="shared" si="2512"/>
        <v>263.07</v>
      </c>
      <c r="O6121" s="411">
        <f t="shared" si="2518"/>
        <v>104.16750000000002</v>
      </c>
      <c r="P6121" s="132" t="s">
        <v>3597</v>
      </c>
      <c r="Q6121" s="232"/>
      <c r="R6121" s="411"/>
      <c r="T6121" s="134" t="s">
        <v>145</v>
      </c>
      <c r="U6121" s="267" t="s">
        <v>13178</v>
      </c>
      <c r="AA6121" s="218"/>
    </row>
    <row r="6122" spans="1:27" ht="36" x14ac:dyDescent="0.25">
      <c r="A6122" s="405">
        <v>3004814</v>
      </c>
      <c r="B6122" s="406">
        <v>42653</v>
      </c>
      <c r="C6122" s="405" t="s">
        <v>141</v>
      </c>
      <c r="D6122" s="401" t="s">
        <v>2212</v>
      </c>
      <c r="E6122" s="120">
        <v>500</v>
      </c>
      <c r="F6122" s="133" t="s">
        <v>288</v>
      </c>
      <c r="G6122" s="404" t="s">
        <v>7486</v>
      </c>
      <c r="H6122" s="411">
        <v>850</v>
      </c>
      <c r="I6122" s="399">
        <v>0</v>
      </c>
      <c r="J6122" s="396">
        <f>-((H6122*0.0325)+0.3)</f>
        <v>-27.925000000000001</v>
      </c>
      <c r="K6122" s="396">
        <f>SUM(H6122:J6122)</f>
        <v>822.07500000000005</v>
      </c>
      <c r="L6122" s="131">
        <v>900</v>
      </c>
      <c r="M6122" s="187">
        <v>114</v>
      </c>
      <c r="N6122" s="91">
        <f t="shared" si="2512"/>
        <v>564</v>
      </c>
      <c r="O6122" s="411">
        <f t="shared" si="2518"/>
        <v>258.07500000000005</v>
      </c>
      <c r="P6122" s="132" t="s">
        <v>52</v>
      </c>
      <c r="Q6122" s="232"/>
      <c r="R6122" s="411"/>
      <c r="T6122" s="134" t="s">
        <v>13179</v>
      </c>
      <c r="U6122" s="267" t="s">
        <v>13180</v>
      </c>
      <c r="V6122" s="133" t="s">
        <v>55</v>
      </c>
      <c r="W6122" s="153" t="s">
        <v>2214</v>
      </c>
      <c r="AA6122" s="218"/>
    </row>
    <row r="6123" spans="1:27" ht="24" x14ac:dyDescent="0.25">
      <c r="A6123" s="405">
        <v>3004815</v>
      </c>
      <c r="B6123" s="406">
        <v>42653</v>
      </c>
      <c r="C6123" s="405" t="s">
        <v>78</v>
      </c>
      <c r="D6123" s="401" t="s">
        <v>13181</v>
      </c>
      <c r="E6123" s="120">
        <v>250</v>
      </c>
      <c r="F6123" s="133" t="s">
        <v>2949</v>
      </c>
      <c r="G6123" s="404" t="s">
        <v>7486</v>
      </c>
      <c r="H6123" s="411">
        <v>500</v>
      </c>
      <c r="I6123" s="411">
        <v>0</v>
      </c>
      <c r="J6123" s="258">
        <f t="shared" si="2553"/>
        <v>-9.8000000000000007</v>
      </c>
      <c r="K6123" s="396">
        <f>SUM(H6123:J6123)</f>
        <v>490.2</v>
      </c>
      <c r="L6123" s="131">
        <v>1100</v>
      </c>
      <c r="M6123" s="187">
        <v>44.05</v>
      </c>
      <c r="N6123" s="91">
        <f t="shared" si="2512"/>
        <v>319.05</v>
      </c>
      <c r="O6123" s="411">
        <f t="shared" si="2518"/>
        <v>171.14999999999998</v>
      </c>
      <c r="P6123" s="132" t="s">
        <v>52</v>
      </c>
      <c r="Q6123" s="232"/>
      <c r="R6123" s="411"/>
      <c r="T6123" s="134" t="s">
        <v>145</v>
      </c>
      <c r="U6123" s="267" t="s">
        <v>13182</v>
      </c>
      <c r="W6123" s="153" t="s">
        <v>13183</v>
      </c>
      <c r="AA6123" s="218"/>
    </row>
    <row r="6124" spans="1:27" ht="24" x14ac:dyDescent="0.25">
      <c r="A6124" s="405">
        <v>3004816</v>
      </c>
      <c r="B6124" s="406">
        <v>42653</v>
      </c>
      <c r="C6124" s="405" t="s">
        <v>42</v>
      </c>
      <c r="D6124" s="401" t="s">
        <v>13184</v>
      </c>
      <c r="E6124" s="120">
        <v>125</v>
      </c>
      <c r="F6124" s="133" t="s">
        <v>605</v>
      </c>
      <c r="G6124" s="404" t="s">
        <v>7486</v>
      </c>
      <c r="H6124" s="411">
        <v>186.52</v>
      </c>
      <c r="I6124" s="89">
        <f>-(H6124*0.09)</f>
        <v>-16.786799999999999</v>
      </c>
      <c r="J6124" s="258">
        <f t="shared" ref="J6124" si="2555">-((H6124*0.019)+0.3)</f>
        <v>-3.84388</v>
      </c>
      <c r="K6124" s="90">
        <f t="shared" ref="K6124:K6125" si="2556">SUM(H6124:J6124)</f>
        <v>165.88932</v>
      </c>
      <c r="L6124" s="187">
        <v>810</v>
      </c>
      <c r="M6124" s="187">
        <v>28.66</v>
      </c>
      <c r="N6124" s="91">
        <f t="shared" si="2512"/>
        <v>129.91</v>
      </c>
      <c r="O6124" s="411">
        <f t="shared" si="2518"/>
        <v>35.979320000000001</v>
      </c>
      <c r="P6124" s="132" t="s">
        <v>183</v>
      </c>
      <c r="Q6124" s="232"/>
      <c r="R6124" s="411"/>
      <c r="T6124" s="134" t="s">
        <v>145</v>
      </c>
      <c r="U6124" s="267" t="s">
        <v>13185</v>
      </c>
      <c r="AA6124" s="218"/>
    </row>
    <row r="6125" spans="1:27" ht="24" x14ac:dyDescent="0.25">
      <c r="A6125" s="405">
        <v>3004817</v>
      </c>
      <c r="B6125" s="406">
        <v>42653</v>
      </c>
      <c r="C6125" s="405" t="s">
        <v>555</v>
      </c>
      <c r="D6125" s="401" t="s">
        <v>13186</v>
      </c>
      <c r="E6125" s="120">
        <v>394</v>
      </c>
      <c r="F6125" s="119" t="s">
        <v>13187</v>
      </c>
      <c r="G6125" s="404" t="s">
        <v>7486</v>
      </c>
      <c r="H6125" s="411">
        <v>826</v>
      </c>
      <c r="I6125" s="411">
        <v>0</v>
      </c>
      <c r="J6125" s="411">
        <v>0</v>
      </c>
      <c r="K6125" s="90">
        <f t="shared" si="2556"/>
        <v>826</v>
      </c>
      <c r="L6125" s="187">
        <v>840</v>
      </c>
      <c r="M6125" s="187">
        <v>77.36</v>
      </c>
      <c r="N6125" s="91">
        <f t="shared" si="2512"/>
        <v>408.32000000000005</v>
      </c>
      <c r="O6125" s="411">
        <f t="shared" si="2518"/>
        <v>417.67999999999995</v>
      </c>
      <c r="P6125" s="132" t="s">
        <v>183</v>
      </c>
      <c r="Q6125" s="232"/>
      <c r="R6125" s="411"/>
      <c r="T6125" s="134" t="s">
        <v>145</v>
      </c>
      <c r="U6125" s="267" t="s">
        <v>13188</v>
      </c>
      <c r="W6125" s="153" t="s">
        <v>6066</v>
      </c>
      <c r="AA6125" s="218"/>
    </row>
    <row r="6126" spans="1:27" ht="24" x14ac:dyDescent="0.25">
      <c r="A6126" s="405">
        <v>3004818</v>
      </c>
      <c r="B6126" s="406">
        <v>42653</v>
      </c>
      <c r="C6126" s="405" t="s">
        <v>42</v>
      </c>
      <c r="D6126" s="401" t="s">
        <v>13189</v>
      </c>
      <c r="E6126" s="120">
        <v>200</v>
      </c>
      <c r="F6126" s="133" t="s">
        <v>582</v>
      </c>
      <c r="G6126" s="404" t="s">
        <v>7486</v>
      </c>
      <c r="H6126" s="411">
        <v>215.87</v>
      </c>
      <c r="I6126" s="89">
        <f t="shared" ref="I6126:I6145" si="2557">-(H6126*0.09)</f>
        <v>-19.4283</v>
      </c>
      <c r="J6126" s="258">
        <f t="shared" ref="J6126" si="2558">-((H6126*0.019)+0.3)</f>
        <v>-4.4015300000000002</v>
      </c>
      <c r="K6126" s="90">
        <f t="shared" ref="K6126" si="2559">SUM(H6126:J6126)</f>
        <v>192.04016999999999</v>
      </c>
      <c r="L6126" s="187">
        <v>720</v>
      </c>
      <c r="M6126" s="187">
        <v>36.53</v>
      </c>
      <c r="N6126" s="91">
        <f t="shared" si="2512"/>
        <v>180.53</v>
      </c>
      <c r="O6126" s="411">
        <f t="shared" si="2518"/>
        <v>11.510169999999988</v>
      </c>
      <c r="P6126" s="132" t="s">
        <v>235</v>
      </c>
      <c r="Q6126" s="232"/>
      <c r="R6126" s="411"/>
      <c r="T6126" s="134" t="s">
        <v>145</v>
      </c>
      <c r="U6126" s="267" t="s">
        <v>13190</v>
      </c>
      <c r="AA6126" s="218"/>
    </row>
    <row r="6127" spans="1:27" ht="24" x14ac:dyDescent="0.25">
      <c r="A6127" s="405">
        <v>3004819</v>
      </c>
      <c r="B6127" s="406">
        <v>42653</v>
      </c>
      <c r="C6127" s="405" t="s">
        <v>42</v>
      </c>
      <c r="D6127" s="401" t="s">
        <v>13191</v>
      </c>
      <c r="E6127" s="120">
        <v>51</v>
      </c>
      <c r="F6127" s="133" t="s">
        <v>114</v>
      </c>
      <c r="G6127" s="404" t="s">
        <v>7486</v>
      </c>
      <c r="H6127" s="411">
        <v>223.96</v>
      </c>
      <c r="I6127" s="89">
        <f t="shared" si="2557"/>
        <v>-20.156400000000001</v>
      </c>
      <c r="J6127" s="258">
        <f t="shared" ref="J6127" si="2560">-((H6127*0.019)+0.3)</f>
        <v>-4.5552399999999995</v>
      </c>
      <c r="K6127" s="90">
        <f t="shared" ref="K6127" si="2561">SUM(H6127:J6127)</f>
        <v>199.24836000000002</v>
      </c>
      <c r="L6127" s="187">
        <v>2065</v>
      </c>
      <c r="M6127" s="187">
        <v>70.39</v>
      </c>
      <c r="N6127" s="91">
        <f t="shared" si="2512"/>
        <v>175.70500000000001</v>
      </c>
      <c r="O6127" s="411">
        <f t="shared" si="2518"/>
        <v>23.543360000000007</v>
      </c>
      <c r="P6127" s="132" t="s">
        <v>183</v>
      </c>
      <c r="Q6127" s="232"/>
      <c r="R6127" s="411"/>
      <c r="T6127" s="134" t="s">
        <v>145</v>
      </c>
      <c r="U6127" s="267" t="s">
        <v>13192</v>
      </c>
      <c r="AA6127" s="218"/>
    </row>
    <row r="6128" spans="1:27" ht="24" x14ac:dyDescent="0.25">
      <c r="A6128" s="405">
        <v>3004820</v>
      </c>
      <c r="B6128" s="406">
        <v>42653</v>
      </c>
      <c r="C6128" s="405" t="s">
        <v>42</v>
      </c>
      <c r="D6128" s="401" t="s">
        <v>13193</v>
      </c>
      <c r="E6128" s="120">
        <v>100</v>
      </c>
      <c r="F6128" s="133" t="s">
        <v>161</v>
      </c>
      <c r="G6128" s="404" t="s">
        <v>7486</v>
      </c>
      <c r="H6128" s="411">
        <v>245</v>
      </c>
      <c r="I6128" s="89">
        <f t="shared" si="2557"/>
        <v>-22.05</v>
      </c>
      <c r="J6128" s="258">
        <f t="shared" ref="J6128" si="2562">-((H6128*0.019)+0.3)</f>
        <v>-4.9550000000000001</v>
      </c>
      <c r="K6128" s="90">
        <f t="shared" ref="K6128" si="2563">SUM(H6128:J6128)</f>
        <v>217.99499999999998</v>
      </c>
      <c r="L6128" s="131">
        <v>1322</v>
      </c>
      <c r="M6128" s="187">
        <v>33.08</v>
      </c>
      <c r="N6128" s="91">
        <f t="shared" si="2512"/>
        <v>165.28000000000003</v>
      </c>
      <c r="O6128" s="411">
        <f t="shared" si="2518"/>
        <v>52.714999999999947</v>
      </c>
      <c r="P6128" s="132" t="s">
        <v>52</v>
      </c>
      <c r="Q6128" s="232"/>
      <c r="R6128" s="411"/>
      <c r="T6128" s="134" t="s">
        <v>145</v>
      </c>
      <c r="U6128" s="267" t="s">
        <v>13194</v>
      </c>
      <c r="AA6128" s="218"/>
    </row>
    <row r="6129" spans="1:27" ht="24" x14ac:dyDescent="0.25">
      <c r="A6129" s="405">
        <v>3004821</v>
      </c>
      <c r="B6129" s="406">
        <v>42653</v>
      </c>
      <c r="C6129" s="405" t="s">
        <v>42</v>
      </c>
      <c r="D6129" s="401" t="s">
        <v>13195</v>
      </c>
      <c r="E6129" s="120">
        <v>125</v>
      </c>
      <c r="F6129" s="133" t="s">
        <v>288</v>
      </c>
      <c r="G6129" s="404" t="s">
        <v>7486</v>
      </c>
      <c r="H6129" s="411">
        <v>266.31</v>
      </c>
      <c r="I6129" s="89">
        <f t="shared" si="2557"/>
        <v>-23.9679</v>
      </c>
      <c r="J6129" s="258">
        <f t="shared" ref="J6129" si="2564">-((H6129*0.019)+0.3)</f>
        <v>-5.35989</v>
      </c>
      <c r="K6129" s="90">
        <f t="shared" ref="K6129" si="2565">SUM(H6129:J6129)</f>
        <v>236.98221000000001</v>
      </c>
      <c r="L6129" s="131">
        <v>900</v>
      </c>
      <c r="M6129" s="187">
        <v>33.01</v>
      </c>
      <c r="N6129" s="91">
        <f t="shared" si="2512"/>
        <v>145.51</v>
      </c>
      <c r="O6129" s="411">
        <f t="shared" si="2518"/>
        <v>91.472210000000018</v>
      </c>
      <c r="P6129" s="132" t="s">
        <v>52</v>
      </c>
      <c r="Q6129" s="232"/>
      <c r="R6129" s="411"/>
      <c r="T6129" s="134" t="s">
        <v>145</v>
      </c>
      <c r="U6129" s="267" t="s">
        <v>13196</v>
      </c>
      <c r="AA6129" s="218"/>
    </row>
    <row r="6130" spans="1:27" ht="24" x14ac:dyDescent="0.25">
      <c r="A6130" s="405">
        <v>3004822</v>
      </c>
      <c r="B6130" s="406">
        <v>42653</v>
      </c>
      <c r="C6130" s="405" t="s">
        <v>42</v>
      </c>
      <c r="D6130" s="401" t="s">
        <v>13197</v>
      </c>
      <c r="E6130" s="120">
        <v>500</v>
      </c>
      <c r="F6130" s="133" t="s">
        <v>13198</v>
      </c>
      <c r="G6130" s="404" t="s">
        <v>7486</v>
      </c>
      <c r="H6130" s="411">
        <v>128.25</v>
      </c>
      <c r="I6130" s="89">
        <f t="shared" si="2557"/>
        <v>-11.5425</v>
      </c>
      <c r="J6130" s="258">
        <f t="shared" ref="J6130" si="2566">-((H6130*0.019)+0.3)</f>
        <v>-2.7367499999999998</v>
      </c>
      <c r="K6130" s="90">
        <f t="shared" ref="K6130" si="2567">SUM(H6130:J6130)</f>
        <v>113.97075</v>
      </c>
      <c r="M6130" s="187">
        <v>18.38</v>
      </c>
      <c r="N6130" s="91">
        <f t="shared" si="2512"/>
        <v>18.38</v>
      </c>
      <c r="O6130" s="411">
        <f t="shared" si="2518"/>
        <v>95.59075</v>
      </c>
      <c r="P6130" s="132" t="s">
        <v>52</v>
      </c>
      <c r="Q6130" s="232"/>
      <c r="R6130" s="411"/>
      <c r="T6130" s="134" t="s">
        <v>145</v>
      </c>
      <c r="U6130" s="267" t="s">
        <v>13199</v>
      </c>
      <c r="AA6130" s="218"/>
    </row>
    <row r="6131" spans="1:27" ht="24" x14ac:dyDescent="0.25">
      <c r="A6131" s="405">
        <v>3004823</v>
      </c>
      <c r="B6131" s="406">
        <v>42653</v>
      </c>
      <c r="C6131" s="405" t="s">
        <v>42</v>
      </c>
      <c r="D6131" s="401" t="s">
        <v>13200</v>
      </c>
      <c r="E6131" s="120">
        <v>275</v>
      </c>
      <c r="F6131" s="133" t="s">
        <v>829</v>
      </c>
      <c r="G6131" s="404" t="s">
        <v>7486</v>
      </c>
      <c r="H6131" s="411">
        <v>257.17</v>
      </c>
      <c r="I6131" s="89">
        <f t="shared" si="2557"/>
        <v>-23.145299999999999</v>
      </c>
      <c r="J6131" s="258">
        <f t="shared" ref="J6131" si="2568">-((H6131*0.019)+0.3)</f>
        <v>-5.1862300000000001</v>
      </c>
      <c r="K6131" s="90">
        <f t="shared" ref="K6131" si="2569">SUM(H6131:J6131)</f>
        <v>228.83847000000003</v>
      </c>
      <c r="L6131" s="131">
        <v>510</v>
      </c>
      <c r="M6131" s="187">
        <v>36.42</v>
      </c>
      <c r="N6131" s="91">
        <f t="shared" si="2512"/>
        <v>176.67000000000002</v>
      </c>
      <c r="O6131" s="411">
        <f t="shared" si="2518"/>
        <v>52.168470000000013</v>
      </c>
      <c r="P6131" s="132" t="s">
        <v>52</v>
      </c>
      <c r="Q6131" s="232"/>
      <c r="R6131" s="411"/>
      <c r="T6131" s="134" t="s">
        <v>145</v>
      </c>
      <c r="U6131" s="267" t="s">
        <v>13201</v>
      </c>
      <c r="AA6131" s="218"/>
    </row>
    <row r="6132" spans="1:27" x14ac:dyDescent="0.25">
      <c r="A6132" s="405">
        <v>3004824</v>
      </c>
      <c r="B6132" s="406">
        <v>42653</v>
      </c>
      <c r="C6132" s="405" t="s">
        <v>42</v>
      </c>
      <c r="D6132" s="401" t="s">
        <v>13202</v>
      </c>
      <c r="E6132" s="120">
        <v>500</v>
      </c>
      <c r="F6132" s="133" t="s">
        <v>13203</v>
      </c>
      <c r="G6132" s="404" t="s">
        <v>7486</v>
      </c>
      <c r="H6132" s="411">
        <v>799.42</v>
      </c>
      <c r="I6132" s="89">
        <f t="shared" si="2557"/>
        <v>-71.947799999999987</v>
      </c>
      <c r="J6132" s="258">
        <f t="shared" ref="J6132" si="2570">-((H6132*0.019)+0.3)</f>
        <v>-15.48898</v>
      </c>
      <c r="K6132" s="90">
        <f t="shared" ref="K6132" si="2571">SUM(H6132:J6132)</f>
        <v>711.98321999999996</v>
      </c>
      <c r="L6132" s="187">
        <v>1200</v>
      </c>
      <c r="M6132" s="187">
        <v>0</v>
      </c>
      <c r="N6132" s="91">
        <f t="shared" si="2512"/>
        <v>600</v>
      </c>
      <c r="O6132" s="411">
        <f t="shared" si="2518"/>
        <v>111.98321999999996</v>
      </c>
      <c r="P6132" s="132" t="s">
        <v>13052</v>
      </c>
      <c r="Q6132" s="232"/>
      <c r="R6132" s="411"/>
      <c r="T6132" s="134" t="s">
        <v>389</v>
      </c>
      <c r="U6132" s="267" t="s">
        <v>13204</v>
      </c>
      <c r="AA6132" s="218"/>
    </row>
    <row r="6133" spans="1:27" ht="24" x14ac:dyDescent="0.25">
      <c r="A6133" s="405">
        <v>3004825</v>
      </c>
      <c r="B6133" s="406">
        <v>42653</v>
      </c>
      <c r="C6133" s="405" t="s">
        <v>42</v>
      </c>
      <c r="D6133" s="401" t="s">
        <v>13205</v>
      </c>
      <c r="E6133" s="120">
        <v>216</v>
      </c>
      <c r="F6133" s="133" t="s">
        <v>2610</v>
      </c>
      <c r="G6133" s="404" t="s">
        <v>7486</v>
      </c>
      <c r="H6133" s="411">
        <v>212.8</v>
      </c>
      <c r="I6133" s="89">
        <f t="shared" si="2557"/>
        <v>-19.152000000000001</v>
      </c>
      <c r="J6133" s="258">
        <f t="shared" ref="J6133" si="2572">-((H6133*0.019)+0.3)</f>
        <v>-4.3431999999999995</v>
      </c>
      <c r="K6133" s="90">
        <f t="shared" ref="K6133" si="2573">SUM(H6133:J6133)</f>
        <v>189.30480000000003</v>
      </c>
      <c r="L6133" s="187">
        <v>491</v>
      </c>
      <c r="M6133" s="187">
        <v>33.950000000000003</v>
      </c>
      <c r="N6133" s="91">
        <f t="shared" ref="N6133:N6180" si="2574">((L6133)*(E6133*0.001))+M6133</f>
        <v>140.006</v>
      </c>
      <c r="O6133" s="411">
        <f t="shared" si="2518"/>
        <v>49.298800000000028</v>
      </c>
      <c r="P6133" s="132" t="s">
        <v>183</v>
      </c>
      <c r="Q6133" s="232"/>
      <c r="R6133" s="411"/>
      <c r="T6133" s="134" t="s">
        <v>145</v>
      </c>
      <c r="U6133" s="267" t="s">
        <v>13206</v>
      </c>
      <c r="AA6133" s="218"/>
    </row>
    <row r="6134" spans="1:27" ht="24" x14ac:dyDescent="0.25">
      <c r="A6134" s="405">
        <v>3004826</v>
      </c>
      <c r="B6134" s="406">
        <v>42653</v>
      </c>
      <c r="C6134" s="405" t="s">
        <v>42</v>
      </c>
      <c r="D6134" s="401" t="s">
        <v>13207</v>
      </c>
      <c r="E6134" s="120">
        <v>100</v>
      </c>
      <c r="F6134" s="133" t="s">
        <v>1293</v>
      </c>
      <c r="G6134" s="404" t="s">
        <v>7486</v>
      </c>
      <c r="H6134" s="411">
        <v>123.5</v>
      </c>
      <c r="I6134" s="89">
        <f t="shared" si="2557"/>
        <v>-11.115</v>
      </c>
      <c r="J6134" s="258">
        <f t="shared" ref="J6134" si="2575">-((H6134*0.019)+0.3)</f>
        <v>-2.6464999999999996</v>
      </c>
      <c r="K6134" s="90">
        <f t="shared" ref="K6134" si="2576">SUM(H6134:J6134)</f>
        <v>109.7385</v>
      </c>
      <c r="L6134" s="131">
        <v>400</v>
      </c>
      <c r="M6134" s="187">
        <v>16.95</v>
      </c>
      <c r="N6134" s="91">
        <f t="shared" si="2574"/>
        <v>56.95</v>
      </c>
      <c r="O6134" s="411">
        <f t="shared" si="2518"/>
        <v>52.788499999999999</v>
      </c>
      <c r="P6134" s="132" t="s">
        <v>52</v>
      </c>
      <c r="Q6134" s="232"/>
      <c r="R6134" s="411"/>
      <c r="T6134" s="134" t="s">
        <v>145</v>
      </c>
      <c r="U6134" s="267" t="s">
        <v>13208</v>
      </c>
      <c r="AA6134" s="218"/>
    </row>
    <row r="6135" spans="1:27" ht="24" x14ac:dyDescent="0.25">
      <c r="A6135" s="405">
        <v>3004827</v>
      </c>
      <c r="B6135" s="406">
        <v>42653</v>
      </c>
      <c r="C6135" s="405" t="s">
        <v>42</v>
      </c>
      <c r="D6135" s="401" t="s">
        <v>13209</v>
      </c>
      <c r="E6135" s="120">
        <v>100</v>
      </c>
      <c r="F6135" s="133" t="s">
        <v>431</v>
      </c>
      <c r="G6135" s="404" t="s">
        <v>7486</v>
      </c>
      <c r="H6135" s="411">
        <v>227.48</v>
      </c>
      <c r="I6135" s="89">
        <f t="shared" si="2557"/>
        <v>-20.473199999999999</v>
      </c>
      <c r="J6135" s="258">
        <f t="shared" ref="J6135" si="2577">-((H6135*0.019)+0.3)</f>
        <v>-4.6221199999999998</v>
      </c>
      <c r="K6135" s="90">
        <f t="shared" ref="K6135" si="2578">SUM(H6135:J6135)</f>
        <v>202.38468</v>
      </c>
      <c r="L6135" s="131">
        <v>990</v>
      </c>
      <c r="M6135" s="187">
        <v>28.91</v>
      </c>
      <c r="N6135" s="91">
        <f t="shared" si="2574"/>
        <v>127.91</v>
      </c>
      <c r="O6135" s="411">
        <f t="shared" si="2518"/>
        <v>74.474680000000006</v>
      </c>
      <c r="P6135" s="132" t="s">
        <v>52</v>
      </c>
      <c r="Q6135" s="232"/>
      <c r="R6135" s="411"/>
      <c r="T6135" s="134" t="s">
        <v>145</v>
      </c>
      <c r="U6135" s="267" t="s">
        <v>13210</v>
      </c>
      <c r="AA6135" s="218"/>
    </row>
    <row r="6136" spans="1:27" ht="24" x14ac:dyDescent="0.25">
      <c r="A6136" s="405">
        <v>3004828</v>
      </c>
      <c r="B6136" s="406">
        <v>42653</v>
      </c>
      <c r="C6136" s="405" t="s">
        <v>42</v>
      </c>
      <c r="D6136" s="401" t="s">
        <v>13211</v>
      </c>
      <c r="E6136" s="120">
        <v>200</v>
      </c>
      <c r="F6136" s="133" t="s">
        <v>247</v>
      </c>
      <c r="G6136" s="404" t="s">
        <v>7486</v>
      </c>
      <c r="H6136" s="411">
        <v>222</v>
      </c>
      <c r="I6136" s="89">
        <f t="shared" si="2557"/>
        <v>-19.98</v>
      </c>
      <c r="J6136" s="258">
        <f t="shared" ref="J6136" si="2579">-((H6136*0.019)+0.3)</f>
        <v>-4.5179999999999998</v>
      </c>
      <c r="K6136" s="90">
        <f t="shared" ref="K6136" si="2580">SUM(H6136:J6136)</f>
        <v>197.50200000000001</v>
      </c>
      <c r="L6136" s="187">
        <v>672</v>
      </c>
      <c r="M6136" s="187">
        <f>31.12+5</f>
        <v>36.120000000000005</v>
      </c>
      <c r="N6136" s="91">
        <f t="shared" si="2574"/>
        <v>170.52</v>
      </c>
      <c r="O6136" s="411">
        <f t="shared" si="2518"/>
        <v>26.981999999999999</v>
      </c>
      <c r="P6136" s="132" t="s">
        <v>313</v>
      </c>
      <c r="Q6136" s="232"/>
      <c r="R6136" s="411"/>
      <c r="T6136" s="134" t="s">
        <v>145</v>
      </c>
      <c r="U6136" s="267" t="s">
        <v>13212</v>
      </c>
      <c r="AA6136" s="218"/>
    </row>
    <row r="6137" spans="1:27" ht="24" x14ac:dyDescent="0.25">
      <c r="A6137" s="405">
        <v>3004829</v>
      </c>
      <c r="B6137" s="406">
        <v>42653</v>
      </c>
      <c r="C6137" s="405" t="s">
        <v>42</v>
      </c>
      <c r="D6137" s="401" t="s">
        <v>13213</v>
      </c>
      <c r="E6137" s="120">
        <v>1000</v>
      </c>
      <c r="F6137" s="133" t="s">
        <v>609</v>
      </c>
      <c r="G6137" s="404" t="s">
        <v>7486</v>
      </c>
      <c r="H6137" s="411">
        <v>536.99</v>
      </c>
      <c r="I6137" s="89">
        <f t="shared" si="2557"/>
        <v>-48.329099999999997</v>
      </c>
      <c r="J6137" s="258">
        <f t="shared" ref="J6137" si="2581">-((H6137*0.019)+0.3)</f>
        <v>-10.50281</v>
      </c>
      <c r="K6137" s="90">
        <f t="shared" ref="K6137" si="2582">SUM(H6137:J6137)</f>
        <v>478.15809000000002</v>
      </c>
      <c r="L6137" s="131">
        <v>150</v>
      </c>
      <c r="M6137" s="357">
        <v>50.14</v>
      </c>
      <c r="N6137" s="91">
        <f t="shared" si="2574"/>
        <v>200.14</v>
      </c>
      <c r="O6137" s="411">
        <f t="shared" si="2518"/>
        <v>278.01809000000003</v>
      </c>
      <c r="P6137" s="132" t="s">
        <v>52</v>
      </c>
      <c r="Q6137" s="232"/>
      <c r="R6137" s="411"/>
      <c r="T6137" s="134" t="s">
        <v>145</v>
      </c>
      <c r="U6137" s="267" t="s">
        <v>13214</v>
      </c>
      <c r="AA6137" s="218"/>
    </row>
    <row r="6138" spans="1:27" ht="24" x14ac:dyDescent="0.25">
      <c r="A6138" s="405">
        <v>3004830</v>
      </c>
      <c r="B6138" s="406">
        <v>42653</v>
      </c>
      <c r="C6138" s="405" t="s">
        <v>42</v>
      </c>
      <c r="D6138" s="401" t="s">
        <v>13215</v>
      </c>
      <c r="E6138" s="120">
        <v>150</v>
      </c>
      <c r="F6138" s="133" t="s">
        <v>247</v>
      </c>
      <c r="G6138" s="404" t="s">
        <v>7486</v>
      </c>
      <c r="H6138" s="411">
        <v>185.9</v>
      </c>
      <c r="I6138" s="89">
        <f t="shared" si="2557"/>
        <v>-16.731000000000002</v>
      </c>
      <c r="J6138" s="258">
        <f t="shared" ref="J6138" si="2583">-((H6138*0.019)+0.3)</f>
        <v>-3.8321000000000001</v>
      </c>
      <c r="K6138" s="90">
        <f t="shared" ref="K6138" si="2584">SUM(H6138:J6138)</f>
        <v>165.33690000000001</v>
      </c>
      <c r="L6138" s="187">
        <v>672</v>
      </c>
      <c r="M6138" s="187">
        <v>24.56</v>
      </c>
      <c r="N6138" s="91">
        <f t="shared" si="2574"/>
        <v>125.36</v>
      </c>
      <c r="O6138" s="411">
        <f t="shared" si="2518"/>
        <v>39.976900000000015</v>
      </c>
      <c r="P6138" s="132" t="s">
        <v>313</v>
      </c>
      <c r="Q6138" s="232"/>
      <c r="R6138" s="411"/>
      <c r="T6138" s="134" t="s">
        <v>145</v>
      </c>
      <c r="U6138" s="267" t="s">
        <v>13216</v>
      </c>
      <c r="AA6138" s="218"/>
    </row>
    <row r="6139" spans="1:27" ht="24" x14ac:dyDescent="0.25">
      <c r="A6139" s="405">
        <v>3004831</v>
      </c>
      <c r="B6139" s="406">
        <v>42653</v>
      </c>
      <c r="C6139" s="405" t="s">
        <v>42</v>
      </c>
      <c r="D6139" s="401" t="s">
        <v>13217</v>
      </c>
      <c r="E6139" s="120">
        <v>100</v>
      </c>
      <c r="F6139" s="133" t="s">
        <v>70</v>
      </c>
      <c r="G6139" s="404" t="s">
        <v>7486</v>
      </c>
      <c r="H6139" s="411">
        <v>288.44</v>
      </c>
      <c r="I6139" s="89">
        <f t="shared" si="2557"/>
        <v>-25.959599999999998</v>
      </c>
      <c r="J6139" s="258">
        <f t="shared" ref="J6139" si="2585">-((H6139*0.019)+0.3)</f>
        <v>-5.7803599999999999</v>
      </c>
      <c r="K6139" s="90">
        <f t="shared" ref="K6139" si="2586">SUM(H6139:J6139)</f>
        <v>256.70004</v>
      </c>
      <c r="L6139" s="131">
        <v>1200</v>
      </c>
      <c r="M6139" s="187">
        <v>43.87</v>
      </c>
      <c r="N6139" s="91">
        <f t="shared" si="2574"/>
        <v>163.87</v>
      </c>
      <c r="O6139" s="411">
        <f t="shared" si="2518"/>
        <v>92.830039999999997</v>
      </c>
      <c r="P6139" s="132" t="s">
        <v>86</v>
      </c>
      <c r="Q6139" s="232"/>
      <c r="R6139" s="411"/>
      <c r="T6139" s="134" t="s">
        <v>145</v>
      </c>
      <c r="U6139" s="267" t="s">
        <v>13218</v>
      </c>
      <c r="AA6139" s="218"/>
    </row>
    <row r="6140" spans="1:27" x14ac:dyDescent="0.25">
      <c r="A6140" s="405">
        <v>3004832</v>
      </c>
      <c r="B6140" s="406">
        <v>42653</v>
      </c>
      <c r="C6140" s="405" t="s">
        <v>42</v>
      </c>
      <c r="D6140" s="401" t="s">
        <v>13219</v>
      </c>
      <c r="E6140" s="120">
        <v>250</v>
      </c>
      <c r="F6140" s="133" t="s">
        <v>85</v>
      </c>
      <c r="G6140" s="404" t="s">
        <v>7486</v>
      </c>
      <c r="H6140" s="411">
        <v>693.38</v>
      </c>
      <c r="I6140" s="89">
        <f t="shared" si="2557"/>
        <v>-62.404199999999996</v>
      </c>
      <c r="J6140" s="258">
        <f t="shared" ref="J6140" si="2587">-((H6140*0.019)+0.3)</f>
        <v>-13.474220000000001</v>
      </c>
      <c r="K6140" s="90">
        <f t="shared" ref="K6140" si="2588">SUM(H6140:J6140)</f>
        <v>617.5015800000001</v>
      </c>
      <c r="L6140" s="131">
        <v>1296</v>
      </c>
      <c r="M6140" s="187">
        <v>145.53</v>
      </c>
      <c r="N6140" s="91">
        <f t="shared" si="2574"/>
        <v>469.53</v>
      </c>
      <c r="O6140" s="411">
        <f t="shared" si="2518"/>
        <v>147.97158000000013</v>
      </c>
      <c r="P6140" s="132" t="s">
        <v>52</v>
      </c>
      <c r="Q6140" s="232"/>
      <c r="R6140" s="411">
        <v>51.36</v>
      </c>
      <c r="S6140" s="133" t="s">
        <v>13220</v>
      </c>
      <c r="T6140" s="134" t="s">
        <v>13138</v>
      </c>
      <c r="U6140" s="267" t="s">
        <v>13221</v>
      </c>
      <c r="V6140" s="133" t="s">
        <v>55</v>
      </c>
      <c r="AA6140" s="218"/>
    </row>
    <row r="6141" spans="1:27" ht="24" x14ac:dyDescent="0.25">
      <c r="A6141" s="405">
        <v>3004833</v>
      </c>
      <c r="B6141" s="406">
        <v>42653</v>
      </c>
      <c r="C6141" s="405" t="s">
        <v>42</v>
      </c>
      <c r="D6141" s="401" t="s">
        <v>13222</v>
      </c>
      <c r="E6141" s="120">
        <v>100</v>
      </c>
      <c r="F6141" s="133" t="s">
        <v>288</v>
      </c>
      <c r="G6141" s="404" t="s">
        <v>7486</v>
      </c>
      <c r="H6141" s="411">
        <v>195.25</v>
      </c>
      <c r="I6141" s="89">
        <f t="shared" si="2557"/>
        <v>-17.572499999999998</v>
      </c>
      <c r="J6141" s="258">
        <f t="shared" ref="J6141" si="2589">-((H6141*0.019)+0.3)</f>
        <v>-4.0097500000000004</v>
      </c>
      <c r="K6141" s="90">
        <f t="shared" ref="K6141" si="2590">SUM(H6141:J6141)</f>
        <v>173.66775000000001</v>
      </c>
      <c r="L6141" s="131">
        <v>900</v>
      </c>
      <c r="M6141" s="187">
        <v>19.440000000000001</v>
      </c>
      <c r="N6141" s="91">
        <f t="shared" si="2574"/>
        <v>109.44</v>
      </c>
      <c r="O6141" s="411">
        <f t="shared" si="2518"/>
        <v>64.227750000000015</v>
      </c>
      <c r="P6141" s="132" t="s">
        <v>52</v>
      </c>
      <c r="Q6141" s="232"/>
      <c r="R6141" s="411"/>
      <c r="T6141" s="134" t="s">
        <v>145</v>
      </c>
      <c r="U6141" s="267" t="s">
        <v>13223</v>
      </c>
      <c r="AA6141" s="218"/>
    </row>
    <row r="6142" spans="1:27" ht="24" x14ac:dyDescent="0.25">
      <c r="A6142" s="405">
        <v>3004834</v>
      </c>
      <c r="B6142" s="406">
        <v>42653</v>
      </c>
      <c r="C6142" s="405" t="s">
        <v>42</v>
      </c>
      <c r="D6142" s="401" t="s">
        <v>206</v>
      </c>
      <c r="E6142" s="120">
        <v>100</v>
      </c>
      <c r="F6142" s="133" t="s">
        <v>593</v>
      </c>
      <c r="G6142" s="404" t="s">
        <v>7486</v>
      </c>
      <c r="H6142" s="411">
        <v>138.9</v>
      </c>
      <c r="I6142" s="89">
        <f t="shared" si="2557"/>
        <v>-12.500999999999999</v>
      </c>
      <c r="J6142" s="258">
        <f t="shared" ref="J6142" si="2591">-((H6142*0.019)+0.3)</f>
        <v>-2.9390999999999998</v>
      </c>
      <c r="K6142" s="90">
        <f t="shared" ref="K6142" si="2592">SUM(H6142:J6142)</f>
        <v>123.4599</v>
      </c>
      <c r="L6142" s="131">
        <v>610.51</v>
      </c>
      <c r="M6142" s="187">
        <v>25.99</v>
      </c>
      <c r="N6142" s="91">
        <f t="shared" si="2574"/>
        <v>87.040999999999997</v>
      </c>
      <c r="O6142" s="411">
        <f t="shared" si="2518"/>
        <v>36.418900000000008</v>
      </c>
      <c r="P6142" s="132" t="s">
        <v>86</v>
      </c>
      <c r="Q6142" s="232"/>
      <c r="R6142" s="411"/>
      <c r="T6142" s="134" t="s">
        <v>145</v>
      </c>
      <c r="U6142" s="267" t="s">
        <v>13224</v>
      </c>
      <c r="AA6142" s="218"/>
    </row>
    <row r="6143" spans="1:27" ht="24" x14ac:dyDescent="0.25">
      <c r="A6143" s="405">
        <v>3004835</v>
      </c>
      <c r="B6143" s="406">
        <v>42653</v>
      </c>
      <c r="C6143" s="405" t="s">
        <v>42</v>
      </c>
      <c r="D6143" s="401" t="s">
        <v>11798</v>
      </c>
      <c r="E6143" s="120">
        <v>1000</v>
      </c>
      <c r="F6143" s="133" t="s">
        <v>13225</v>
      </c>
      <c r="G6143" s="404" t="s">
        <v>7486</v>
      </c>
      <c r="H6143" s="411">
        <v>146.78</v>
      </c>
      <c r="I6143" s="89">
        <f t="shared" si="2557"/>
        <v>-13.2102</v>
      </c>
      <c r="J6143" s="258">
        <f t="shared" ref="J6143" si="2593">-((H6143*0.019)+0.3)</f>
        <v>-3.0888199999999997</v>
      </c>
      <c r="K6143" s="90">
        <f t="shared" ref="K6143" si="2594">SUM(H6143:J6143)</f>
        <v>130.48097999999999</v>
      </c>
      <c r="L6143" s="187">
        <v>77</v>
      </c>
      <c r="M6143" s="187">
        <v>17.04</v>
      </c>
      <c r="N6143" s="91">
        <f t="shared" si="2574"/>
        <v>94.039999999999992</v>
      </c>
      <c r="O6143" s="411">
        <f t="shared" si="2518"/>
        <v>36.440979999999996</v>
      </c>
      <c r="P6143" s="132" t="s">
        <v>313</v>
      </c>
      <c r="Q6143" s="232"/>
      <c r="R6143" s="411"/>
      <c r="T6143" s="134" t="s">
        <v>145</v>
      </c>
      <c r="U6143" s="267" t="s">
        <v>13226</v>
      </c>
      <c r="AA6143" s="218"/>
    </row>
    <row r="6144" spans="1:27" ht="24" x14ac:dyDescent="0.25">
      <c r="A6144" s="405">
        <v>3004836</v>
      </c>
      <c r="B6144" s="406">
        <v>42653</v>
      </c>
      <c r="C6144" s="405" t="s">
        <v>42</v>
      </c>
      <c r="D6144" s="401" t="s">
        <v>13227</v>
      </c>
      <c r="E6144" s="120">
        <v>300</v>
      </c>
      <c r="F6144" s="133" t="s">
        <v>165</v>
      </c>
      <c r="G6144" s="404" t="s">
        <v>7486</v>
      </c>
      <c r="H6144" s="411">
        <v>308.08999999999997</v>
      </c>
      <c r="I6144" s="89">
        <f t="shared" si="2557"/>
        <v>-27.728099999999998</v>
      </c>
      <c r="J6144" s="258">
        <f t="shared" ref="J6144" si="2595">-((H6144*0.019)+0.3)</f>
        <v>-6.1537099999999993</v>
      </c>
      <c r="K6144" s="90">
        <f t="shared" ref="K6144" si="2596">SUM(H6144:J6144)</f>
        <v>274.20819</v>
      </c>
      <c r="L6144" s="131">
        <v>375</v>
      </c>
      <c r="M6144" s="187">
        <v>34.69</v>
      </c>
      <c r="N6144" s="91">
        <f t="shared" si="2574"/>
        <v>147.19</v>
      </c>
      <c r="O6144" s="411">
        <f t="shared" si="2518"/>
        <v>127.01819</v>
      </c>
      <c r="P6144" s="132" t="s">
        <v>52</v>
      </c>
      <c r="Q6144" s="232"/>
      <c r="R6144" s="411">
        <v>22.82</v>
      </c>
      <c r="S6144" s="133" t="s">
        <v>13220</v>
      </c>
      <c r="T6144" s="134" t="s">
        <v>145</v>
      </c>
      <c r="U6144" s="267" t="s">
        <v>13228</v>
      </c>
      <c r="AA6144" s="218"/>
    </row>
    <row r="6145" spans="1:27" x14ac:dyDescent="0.25">
      <c r="A6145" s="419">
        <v>3004837</v>
      </c>
      <c r="B6145" s="421">
        <v>42653</v>
      </c>
      <c r="C6145" s="419" t="s">
        <v>42</v>
      </c>
      <c r="D6145" s="417" t="s">
        <v>316</v>
      </c>
      <c r="E6145" s="120">
        <v>2000</v>
      </c>
      <c r="F6145" s="133" t="s">
        <v>838</v>
      </c>
      <c r="G6145" s="434" t="s">
        <v>7486</v>
      </c>
      <c r="H6145" s="427">
        <v>1425</v>
      </c>
      <c r="I6145" s="500">
        <f t="shared" si="2557"/>
        <v>-128.25</v>
      </c>
      <c r="J6145" s="425">
        <f t="shared" ref="J6145" si="2597">-((H6145*0.019)+0.3)</f>
        <v>-27.375</v>
      </c>
      <c r="K6145" s="425">
        <f t="shared" ref="K6145" si="2598">SUM(H6145:J6145)</f>
        <v>1269.375</v>
      </c>
      <c r="L6145" s="187">
        <v>250</v>
      </c>
      <c r="M6145" s="131">
        <v>0</v>
      </c>
      <c r="N6145" s="91">
        <f t="shared" si="2574"/>
        <v>500</v>
      </c>
      <c r="O6145" s="411">
        <f t="shared" si="2518"/>
        <v>769.375</v>
      </c>
      <c r="P6145" s="132" t="s">
        <v>66</v>
      </c>
      <c r="Q6145" s="232"/>
      <c r="R6145" s="411"/>
      <c r="T6145" s="439" t="s">
        <v>314</v>
      </c>
      <c r="U6145" s="446" t="s">
        <v>13229</v>
      </c>
      <c r="AA6145" s="218"/>
    </row>
    <row r="6146" spans="1:27" x14ac:dyDescent="0.25">
      <c r="A6146" s="420"/>
      <c r="B6146" s="422"/>
      <c r="C6146" s="420"/>
      <c r="D6146" s="418"/>
      <c r="E6146" s="120">
        <v>1000</v>
      </c>
      <c r="F6146" s="133" t="s">
        <v>451</v>
      </c>
      <c r="G6146" s="436"/>
      <c r="H6146" s="428"/>
      <c r="I6146" s="501"/>
      <c r="J6146" s="426"/>
      <c r="K6146" s="426"/>
      <c r="L6146" s="187">
        <v>330</v>
      </c>
      <c r="M6146" s="131">
        <v>0</v>
      </c>
      <c r="N6146" s="91">
        <f t="shared" si="2574"/>
        <v>330</v>
      </c>
      <c r="O6146" s="411">
        <f t="shared" si="2518"/>
        <v>-330</v>
      </c>
      <c r="P6146" s="132" t="s">
        <v>66</v>
      </c>
      <c r="Q6146" s="232"/>
      <c r="R6146" s="411"/>
      <c r="T6146" s="441"/>
      <c r="U6146" s="447"/>
      <c r="AA6146" s="218"/>
    </row>
    <row r="6147" spans="1:27" ht="24" x14ac:dyDescent="0.25">
      <c r="A6147" s="405">
        <v>3004838</v>
      </c>
      <c r="B6147" s="406">
        <v>42653</v>
      </c>
      <c r="C6147" s="405" t="s">
        <v>42</v>
      </c>
      <c r="D6147" s="401" t="s">
        <v>5994</v>
      </c>
      <c r="E6147" s="120">
        <v>250</v>
      </c>
      <c r="F6147" s="133" t="s">
        <v>1042</v>
      </c>
      <c r="G6147" s="404" t="s">
        <v>7486</v>
      </c>
      <c r="H6147" s="411">
        <v>95</v>
      </c>
      <c r="I6147" s="89">
        <f>-(H6147*0.09)</f>
        <v>-8.5499999999999989</v>
      </c>
      <c r="J6147" s="258">
        <f t="shared" ref="J6147" si="2599">-((H6147*0.019)+0.3)</f>
        <v>-2.105</v>
      </c>
      <c r="K6147" s="90">
        <f t="shared" ref="K6147" si="2600">SUM(H6147:J6147)</f>
        <v>84.344999999999999</v>
      </c>
      <c r="L6147" s="131">
        <v>150</v>
      </c>
      <c r="M6147" s="187">
        <v>30.15</v>
      </c>
      <c r="N6147" s="91">
        <f t="shared" si="2574"/>
        <v>67.650000000000006</v>
      </c>
      <c r="O6147" s="411">
        <f t="shared" si="2518"/>
        <v>16.694999999999993</v>
      </c>
      <c r="P6147" s="132" t="s">
        <v>52</v>
      </c>
      <c r="Q6147" s="232"/>
      <c r="R6147" s="411"/>
      <c r="T6147" s="134" t="s">
        <v>145</v>
      </c>
      <c r="U6147" s="267" t="s">
        <v>13230</v>
      </c>
      <c r="AA6147" s="218"/>
    </row>
    <row r="6148" spans="1:27" ht="24" x14ac:dyDescent="0.25">
      <c r="A6148" s="405">
        <v>3004839</v>
      </c>
      <c r="B6148" s="406">
        <v>42653</v>
      </c>
      <c r="C6148" s="405" t="s">
        <v>237</v>
      </c>
      <c r="D6148" s="401" t="s">
        <v>10001</v>
      </c>
      <c r="E6148" s="120">
        <v>1000</v>
      </c>
      <c r="F6148" s="133" t="s">
        <v>13231</v>
      </c>
      <c r="G6148" s="404" t="s">
        <v>7486</v>
      </c>
      <c r="H6148" s="411">
        <v>328.95</v>
      </c>
      <c r="I6148" s="397">
        <f t="shared" ref="I6148" si="2601">-(H6148*0.15)</f>
        <v>-49.342499999999994</v>
      </c>
      <c r="J6148" s="258">
        <v>0</v>
      </c>
      <c r="K6148" s="90">
        <f t="shared" ref="K6148:K6161" si="2602">SUM(H6148:J6148)</f>
        <v>279.60750000000002</v>
      </c>
      <c r="L6148" s="131">
        <v>266.70999999999998</v>
      </c>
      <c r="N6148" s="91">
        <f t="shared" si="2574"/>
        <v>266.70999999999998</v>
      </c>
      <c r="O6148" s="411">
        <f t="shared" ref="O6148:O6211" si="2603">K6148-N6148</f>
        <v>12.897500000000036</v>
      </c>
      <c r="P6148" s="132" t="s">
        <v>13232</v>
      </c>
      <c r="Q6148" s="232"/>
      <c r="R6148" s="411"/>
      <c r="T6148" s="134" t="s">
        <v>324</v>
      </c>
      <c r="U6148" s="266" t="s">
        <v>13233</v>
      </c>
      <c r="AA6148" s="218"/>
    </row>
    <row r="6149" spans="1:27" ht="36" x14ac:dyDescent="0.25">
      <c r="A6149" s="405">
        <v>3004840</v>
      </c>
      <c r="B6149" s="406">
        <v>42653</v>
      </c>
      <c r="C6149" s="405" t="s">
        <v>237</v>
      </c>
      <c r="D6149" s="401" t="s">
        <v>13234</v>
      </c>
      <c r="E6149" s="120">
        <v>500</v>
      </c>
      <c r="F6149" s="119" t="s">
        <v>13235</v>
      </c>
      <c r="G6149" s="404" t="s">
        <v>7486</v>
      </c>
      <c r="H6149" s="411">
        <v>197.35</v>
      </c>
      <c r="I6149" s="397">
        <f t="shared" ref="I6149" si="2604">-(H6149*0.15)</f>
        <v>-29.602499999999999</v>
      </c>
      <c r="J6149" s="258">
        <v>0</v>
      </c>
      <c r="K6149" s="90">
        <f t="shared" si="2602"/>
        <v>167.7475</v>
      </c>
      <c r="L6149" s="187">
        <v>120</v>
      </c>
      <c r="M6149" s="187">
        <v>22.24</v>
      </c>
      <c r="N6149" s="91">
        <f t="shared" si="2574"/>
        <v>82.24</v>
      </c>
      <c r="O6149" s="411">
        <f t="shared" si="2603"/>
        <v>85.507500000000007</v>
      </c>
      <c r="P6149" s="132" t="s">
        <v>313</v>
      </c>
      <c r="Q6149" s="232"/>
      <c r="R6149" s="411"/>
      <c r="T6149" s="134" t="s">
        <v>13236</v>
      </c>
      <c r="U6149" s="267" t="s">
        <v>13237</v>
      </c>
      <c r="AA6149" s="218"/>
    </row>
    <row r="6150" spans="1:27" ht="24" x14ac:dyDescent="0.25">
      <c r="A6150" s="405">
        <v>3004841</v>
      </c>
      <c r="B6150" s="406">
        <v>42653</v>
      </c>
      <c r="C6150" s="405" t="s">
        <v>237</v>
      </c>
      <c r="D6150" s="401" t="s">
        <v>13238</v>
      </c>
      <c r="E6150" s="120">
        <v>100</v>
      </c>
      <c r="F6150" s="133" t="s">
        <v>288</v>
      </c>
      <c r="G6150" s="404" t="s">
        <v>7486</v>
      </c>
      <c r="H6150" s="411">
        <v>193.04</v>
      </c>
      <c r="I6150" s="397">
        <f t="shared" ref="I6150" si="2605">-(H6150*0.15)</f>
        <v>-28.955999999999996</v>
      </c>
      <c r="J6150" s="258">
        <v>0</v>
      </c>
      <c r="K6150" s="90">
        <f t="shared" si="2602"/>
        <v>164.084</v>
      </c>
      <c r="L6150" s="131">
        <v>900</v>
      </c>
      <c r="M6150" s="187">
        <v>20.079999999999998</v>
      </c>
      <c r="N6150" s="91">
        <f t="shared" si="2574"/>
        <v>110.08</v>
      </c>
      <c r="O6150" s="411">
        <f t="shared" si="2603"/>
        <v>54.004000000000005</v>
      </c>
      <c r="P6150" s="132" t="s">
        <v>52</v>
      </c>
      <c r="Q6150" s="232"/>
      <c r="R6150" s="411"/>
      <c r="T6150" s="134" t="s">
        <v>145</v>
      </c>
      <c r="U6150" s="267" t="s">
        <v>13239</v>
      </c>
      <c r="AA6150" s="218"/>
    </row>
    <row r="6151" spans="1:27" ht="24" x14ac:dyDescent="0.25">
      <c r="A6151" s="405">
        <v>3004842</v>
      </c>
      <c r="B6151" s="406">
        <v>42653</v>
      </c>
      <c r="C6151" s="405" t="s">
        <v>237</v>
      </c>
      <c r="D6151" s="401" t="s">
        <v>13240</v>
      </c>
      <c r="E6151" s="120">
        <v>100</v>
      </c>
      <c r="F6151" s="133" t="s">
        <v>288</v>
      </c>
      <c r="G6151" s="404" t="s">
        <v>7486</v>
      </c>
      <c r="H6151" s="411">
        <v>193.04</v>
      </c>
      <c r="I6151" s="397">
        <f t="shared" ref="I6151:I6152" si="2606">-(H6151*0.15)</f>
        <v>-28.955999999999996</v>
      </c>
      <c r="J6151" s="258">
        <v>0</v>
      </c>
      <c r="K6151" s="90">
        <f t="shared" si="2602"/>
        <v>164.084</v>
      </c>
      <c r="L6151" s="131">
        <v>900</v>
      </c>
      <c r="M6151" s="187">
        <v>20.079999999999998</v>
      </c>
      <c r="N6151" s="91">
        <f t="shared" si="2574"/>
        <v>110.08</v>
      </c>
      <c r="O6151" s="411">
        <f t="shared" si="2603"/>
        <v>54.004000000000005</v>
      </c>
      <c r="P6151" s="132" t="s">
        <v>52</v>
      </c>
      <c r="Q6151" s="232"/>
      <c r="R6151" s="411"/>
      <c r="T6151" s="134" t="s">
        <v>145</v>
      </c>
      <c r="U6151" s="267" t="s">
        <v>13241</v>
      </c>
      <c r="AA6151" s="218"/>
    </row>
    <row r="6152" spans="1:27" ht="24" x14ac:dyDescent="0.25">
      <c r="A6152" s="405">
        <v>3004843</v>
      </c>
      <c r="B6152" s="406">
        <v>42653</v>
      </c>
      <c r="C6152" s="405" t="s">
        <v>237</v>
      </c>
      <c r="D6152" s="401" t="s">
        <v>13242</v>
      </c>
      <c r="E6152" s="120">
        <v>1000</v>
      </c>
      <c r="F6152" s="133" t="s">
        <v>1702</v>
      </c>
      <c r="G6152" s="404" t="s">
        <v>7486</v>
      </c>
      <c r="H6152" s="411">
        <v>328.95</v>
      </c>
      <c r="I6152" s="397">
        <f t="shared" si="2606"/>
        <v>-49.342499999999994</v>
      </c>
      <c r="J6152" s="258">
        <v>0</v>
      </c>
      <c r="K6152" s="90">
        <f t="shared" si="2602"/>
        <v>279.60750000000002</v>
      </c>
      <c r="L6152" s="131">
        <v>282.88</v>
      </c>
      <c r="N6152" s="91">
        <f t="shared" si="2574"/>
        <v>282.88</v>
      </c>
      <c r="O6152" s="411">
        <f t="shared" si="2603"/>
        <v>-3.2724999999999795</v>
      </c>
      <c r="P6152" s="132" t="s">
        <v>13232</v>
      </c>
      <c r="Q6152" s="232"/>
      <c r="R6152" s="411"/>
      <c r="T6152" s="134" t="s">
        <v>324</v>
      </c>
      <c r="U6152" s="266" t="s">
        <v>13243</v>
      </c>
      <c r="AA6152" s="218"/>
    </row>
    <row r="6153" spans="1:27" ht="24" x14ac:dyDescent="0.25">
      <c r="A6153" s="405">
        <v>3004844</v>
      </c>
      <c r="B6153" s="406">
        <v>42653</v>
      </c>
      <c r="C6153" s="405" t="s">
        <v>237</v>
      </c>
      <c r="D6153" s="401" t="s">
        <v>13244</v>
      </c>
      <c r="E6153" s="120">
        <v>150</v>
      </c>
      <c r="F6153" s="133" t="s">
        <v>247</v>
      </c>
      <c r="G6153" s="404" t="s">
        <v>7486</v>
      </c>
      <c r="H6153" s="411">
        <v>174.47</v>
      </c>
      <c r="I6153" s="397">
        <f t="shared" ref="I6153" si="2607">-(H6153*0.15)</f>
        <v>-26.170500000000001</v>
      </c>
      <c r="J6153" s="258">
        <v>0</v>
      </c>
      <c r="K6153" s="90">
        <f t="shared" si="2602"/>
        <v>148.29949999999999</v>
      </c>
      <c r="L6153" s="187">
        <v>672</v>
      </c>
      <c r="M6153" s="187">
        <v>29.16</v>
      </c>
      <c r="N6153" s="91">
        <f t="shared" si="2574"/>
        <v>129.96</v>
      </c>
      <c r="O6153" s="411">
        <f t="shared" si="2603"/>
        <v>18.339499999999987</v>
      </c>
      <c r="P6153" s="132" t="s">
        <v>313</v>
      </c>
      <c r="Q6153" s="232"/>
      <c r="R6153" s="411"/>
      <c r="T6153" s="134" t="s">
        <v>145</v>
      </c>
      <c r="U6153" s="267" t="s">
        <v>13245</v>
      </c>
      <c r="AA6153" s="218"/>
    </row>
    <row r="6154" spans="1:27" ht="24" x14ac:dyDescent="0.25">
      <c r="A6154" s="405">
        <v>3004845</v>
      </c>
      <c r="B6154" s="406">
        <v>42653</v>
      </c>
      <c r="C6154" s="405" t="s">
        <v>237</v>
      </c>
      <c r="D6154" s="401" t="s">
        <v>13246</v>
      </c>
      <c r="E6154" s="120">
        <v>150</v>
      </c>
      <c r="F6154" s="133" t="s">
        <v>247</v>
      </c>
      <c r="G6154" s="404" t="s">
        <v>7486</v>
      </c>
      <c r="H6154" s="411">
        <v>174.47</v>
      </c>
      <c r="I6154" s="397">
        <f t="shared" ref="I6154" si="2608">-(H6154*0.15)</f>
        <v>-26.170500000000001</v>
      </c>
      <c r="J6154" s="258">
        <v>0</v>
      </c>
      <c r="K6154" s="90">
        <f t="shared" si="2602"/>
        <v>148.29949999999999</v>
      </c>
      <c r="L6154" s="187">
        <v>672</v>
      </c>
      <c r="M6154" s="187">
        <v>49.83</v>
      </c>
      <c r="N6154" s="91">
        <f t="shared" si="2574"/>
        <v>150.63</v>
      </c>
      <c r="O6154" s="411">
        <f t="shared" si="2603"/>
        <v>-2.3305000000000007</v>
      </c>
      <c r="P6154" s="132" t="s">
        <v>313</v>
      </c>
      <c r="Q6154" s="232"/>
      <c r="R6154" s="411"/>
      <c r="T6154" s="134" t="s">
        <v>145</v>
      </c>
      <c r="U6154" s="267" t="s">
        <v>13247</v>
      </c>
      <c r="AA6154" s="218"/>
    </row>
    <row r="6155" spans="1:27" ht="24" x14ac:dyDescent="0.25">
      <c r="A6155" s="405">
        <v>3004846</v>
      </c>
      <c r="B6155" s="406">
        <v>42653</v>
      </c>
      <c r="C6155" s="405" t="s">
        <v>237</v>
      </c>
      <c r="D6155" s="401" t="s">
        <v>13248</v>
      </c>
      <c r="E6155" s="120">
        <v>100</v>
      </c>
      <c r="F6155" s="133" t="s">
        <v>161</v>
      </c>
      <c r="G6155" s="404" t="s">
        <v>7486</v>
      </c>
      <c r="H6155" s="411">
        <v>224.9</v>
      </c>
      <c r="I6155" s="397">
        <f t="shared" ref="I6155:I6156" si="2609">-(H6155*0.15)</f>
        <v>-33.734999999999999</v>
      </c>
      <c r="J6155" s="258">
        <v>0</v>
      </c>
      <c r="K6155" s="90">
        <f t="shared" si="2602"/>
        <v>191.16500000000002</v>
      </c>
      <c r="L6155" s="131">
        <v>1322</v>
      </c>
      <c r="M6155" s="187">
        <v>26.87</v>
      </c>
      <c r="N6155" s="91">
        <f t="shared" si="2574"/>
        <v>159.07000000000002</v>
      </c>
      <c r="O6155" s="411">
        <f t="shared" si="2603"/>
        <v>32.094999999999999</v>
      </c>
      <c r="P6155" s="132" t="s">
        <v>52</v>
      </c>
      <c r="Q6155" s="232"/>
      <c r="R6155" s="411"/>
      <c r="T6155" s="134" t="s">
        <v>145</v>
      </c>
      <c r="U6155" s="267" t="s">
        <v>13249</v>
      </c>
      <c r="AA6155" s="218"/>
    </row>
    <row r="6156" spans="1:27" ht="24" x14ac:dyDescent="0.25">
      <c r="A6156" s="405">
        <v>3004847</v>
      </c>
      <c r="B6156" s="406">
        <v>42653</v>
      </c>
      <c r="C6156" s="405" t="s">
        <v>237</v>
      </c>
      <c r="D6156" s="401" t="s">
        <v>13250</v>
      </c>
      <c r="E6156" s="120">
        <v>150</v>
      </c>
      <c r="F6156" s="133" t="s">
        <v>247</v>
      </c>
      <c r="G6156" s="404" t="s">
        <v>7486</v>
      </c>
      <c r="H6156" s="411">
        <v>174.47</v>
      </c>
      <c r="I6156" s="397">
        <f t="shared" si="2609"/>
        <v>-26.170500000000001</v>
      </c>
      <c r="J6156" s="258">
        <v>0</v>
      </c>
      <c r="K6156" s="90">
        <f t="shared" si="2602"/>
        <v>148.29949999999999</v>
      </c>
      <c r="L6156" s="187">
        <v>672</v>
      </c>
      <c r="M6156" s="187">
        <v>20.14</v>
      </c>
      <c r="N6156" s="91">
        <f t="shared" si="2574"/>
        <v>120.94</v>
      </c>
      <c r="O6156" s="411">
        <f t="shared" si="2603"/>
        <v>27.359499999999997</v>
      </c>
      <c r="P6156" s="132" t="s">
        <v>313</v>
      </c>
      <c r="Q6156" s="232"/>
      <c r="R6156" s="411"/>
      <c r="T6156" s="134" t="s">
        <v>145</v>
      </c>
      <c r="U6156" s="267" t="s">
        <v>13251</v>
      </c>
      <c r="AA6156" s="218"/>
    </row>
    <row r="6157" spans="1:27" ht="24" x14ac:dyDescent="0.25">
      <c r="A6157" s="405">
        <v>3004848</v>
      </c>
      <c r="B6157" s="406">
        <v>42653</v>
      </c>
      <c r="C6157" s="405" t="s">
        <v>237</v>
      </c>
      <c r="D6157" s="401" t="s">
        <v>13252</v>
      </c>
      <c r="E6157" s="120">
        <v>100</v>
      </c>
      <c r="F6157" s="133" t="s">
        <v>307</v>
      </c>
      <c r="G6157" s="404" t="s">
        <v>7486</v>
      </c>
      <c r="H6157" s="411">
        <v>136.83000000000001</v>
      </c>
      <c r="I6157" s="397">
        <f t="shared" ref="I6157" si="2610">-(H6157*0.15)</f>
        <v>-20.5245</v>
      </c>
      <c r="J6157" s="258">
        <v>0</v>
      </c>
      <c r="K6157" s="90">
        <f t="shared" si="2602"/>
        <v>116.30550000000001</v>
      </c>
      <c r="L6157" s="131">
        <v>622.45000000000005</v>
      </c>
      <c r="M6157" s="187">
        <v>38.619999999999997</v>
      </c>
      <c r="N6157" s="91">
        <f t="shared" si="2574"/>
        <v>100.86500000000001</v>
      </c>
      <c r="O6157" s="411">
        <f t="shared" si="2603"/>
        <v>15.4405</v>
      </c>
      <c r="P6157" s="132" t="s">
        <v>52</v>
      </c>
      <c r="Q6157" s="232"/>
      <c r="R6157" s="411"/>
      <c r="T6157" s="134" t="s">
        <v>145</v>
      </c>
      <c r="U6157" s="267" t="s">
        <v>13253</v>
      </c>
      <c r="AA6157" s="218"/>
    </row>
    <row r="6158" spans="1:27" ht="24" x14ac:dyDescent="0.25">
      <c r="A6158" s="405">
        <v>3004849</v>
      </c>
      <c r="B6158" s="406">
        <v>42653</v>
      </c>
      <c r="C6158" s="405" t="s">
        <v>237</v>
      </c>
      <c r="D6158" s="401" t="s">
        <v>13254</v>
      </c>
      <c r="E6158" s="120">
        <v>250</v>
      </c>
      <c r="F6158" s="133" t="s">
        <v>173</v>
      </c>
      <c r="G6158" s="404" t="s">
        <v>7486</v>
      </c>
      <c r="H6158" s="411">
        <v>204.82</v>
      </c>
      <c r="I6158" s="397">
        <f t="shared" ref="I6158" si="2611">-(H6158*0.15)</f>
        <v>-30.722999999999999</v>
      </c>
      <c r="J6158" s="258">
        <v>0</v>
      </c>
      <c r="K6158" s="90">
        <f t="shared" si="2602"/>
        <v>174.09699999999998</v>
      </c>
      <c r="L6158" s="131">
        <v>409</v>
      </c>
      <c r="M6158" s="187">
        <v>28.12</v>
      </c>
      <c r="N6158" s="91">
        <f t="shared" si="2574"/>
        <v>130.37</v>
      </c>
      <c r="O6158" s="411">
        <f t="shared" si="2603"/>
        <v>43.726999999999975</v>
      </c>
      <c r="P6158" s="132" t="s">
        <v>52</v>
      </c>
      <c r="Q6158" s="232"/>
      <c r="R6158" s="411"/>
      <c r="T6158" s="134" t="s">
        <v>145</v>
      </c>
      <c r="U6158" s="267" t="s">
        <v>13255</v>
      </c>
      <c r="AA6158" s="218"/>
    </row>
    <row r="6159" spans="1:27" ht="36" x14ac:dyDescent="0.25">
      <c r="A6159" s="405">
        <v>3004850</v>
      </c>
      <c r="B6159" s="406">
        <v>42653</v>
      </c>
      <c r="C6159" s="405" t="s">
        <v>237</v>
      </c>
      <c r="D6159" s="401" t="s">
        <v>13256</v>
      </c>
      <c r="E6159" s="120">
        <v>150</v>
      </c>
      <c r="F6159" s="119" t="s">
        <v>13257</v>
      </c>
      <c r="G6159" s="404" t="s">
        <v>7486</v>
      </c>
      <c r="H6159" s="411">
        <v>369.04</v>
      </c>
      <c r="I6159" s="397">
        <f t="shared" ref="I6159" si="2612">-(H6159*0.15)</f>
        <v>-55.356000000000002</v>
      </c>
      <c r="J6159" s="258">
        <v>0</v>
      </c>
      <c r="K6159" s="90">
        <f t="shared" si="2602"/>
        <v>313.68400000000003</v>
      </c>
      <c r="L6159" s="187">
        <v>1000</v>
      </c>
      <c r="M6159" s="187">
        <v>38.729999999999997</v>
      </c>
      <c r="N6159" s="91">
        <f t="shared" si="2574"/>
        <v>188.73</v>
      </c>
      <c r="O6159" s="411">
        <f t="shared" si="2603"/>
        <v>124.95400000000004</v>
      </c>
      <c r="P6159" s="132" t="s">
        <v>183</v>
      </c>
      <c r="Q6159" s="232"/>
      <c r="R6159" s="411"/>
      <c r="T6159" s="134" t="s">
        <v>145</v>
      </c>
      <c r="U6159" s="267" t="s">
        <v>13258</v>
      </c>
      <c r="AA6159" s="218"/>
    </row>
    <row r="6160" spans="1:27" ht="24" x14ac:dyDescent="0.25">
      <c r="A6160" s="405">
        <v>3004851</v>
      </c>
      <c r="B6160" s="406">
        <v>42653</v>
      </c>
      <c r="C6160" s="405" t="s">
        <v>237</v>
      </c>
      <c r="D6160" s="401" t="s">
        <v>13259</v>
      </c>
      <c r="E6160" s="120">
        <v>300</v>
      </c>
      <c r="F6160" s="133" t="s">
        <v>13260</v>
      </c>
      <c r="G6160" s="404" t="s">
        <v>7486</v>
      </c>
      <c r="H6160" s="411">
        <v>390.22</v>
      </c>
      <c r="I6160" s="397">
        <f t="shared" ref="I6160" si="2613">-(H6160*0.15)</f>
        <v>-58.533000000000001</v>
      </c>
      <c r="J6160" s="258">
        <v>0</v>
      </c>
      <c r="K6160" s="90">
        <f t="shared" si="2602"/>
        <v>331.68700000000001</v>
      </c>
      <c r="L6160" s="131">
        <v>622.45000000000005</v>
      </c>
      <c r="M6160" s="187">
        <f>20.52+20.5</f>
        <v>41.019999999999996</v>
      </c>
      <c r="N6160" s="91">
        <f t="shared" si="2574"/>
        <v>227.755</v>
      </c>
      <c r="O6160" s="411">
        <f t="shared" si="2603"/>
        <v>103.93200000000002</v>
      </c>
      <c r="P6160" s="132" t="s">
        <v>52</v>
      </c>
      <c r="Q6160" s="232"/>
      <c r="R6160" s="411"/>
      <c r="T6160" s="134" t="s">
        <v>145</v>
      </c>
      <c r="U6160" s="266" t="s">
        <v>13261</v>
      </c>
      <c r="AA6160" s="218"/>
    </row>
    <row r="6161" spans="1:27" ht="24" x14ac:dyDescent="0.25">
      <c r="A6161" s="405">
        <v>3004852</v>
      </c>
      <c r="B6161" s="406">
        <v>42653</v>
      </c>
      <c r="C6161" s="405" t="s">
        <v>237</v>
      </c>
      <c r="D6161" s="401" t="s">
        <v>13262</v>
      </c>
      <c r="E6161" s="120">
        <v>500</v>
      </c>
      <c r="F6161" s="133" t="s">
        <v>6908</v>
      </c>
      <c r="G6161" s="404" t="s">
        <v>7486</v>
      </c>
      <c r="H6161" s="411">
        <v>117.44</v>
      </c>
      <c r="I6161" s="397">
        <f t="shared" ref="I6161" si="2614">-(H6161*0.15)</f>
        <v>-17.616</v>
      </c>
      <c r="J6161" s="258">
        <v>0</v>
      </c>
      <c r="K6161" s="90">
        <f t="shared" si="2602"/>
        <v>99.823999999999998</v>
      </c>
      <c r="M6161" s="187">
        <v>23.37</v>
      </c>
      <c r="N6161" s="91">
        <f t="shared" si="2574"/>
        <v>23.37</v>
      </c>
      <c r="O6161" s="411">
        <f t="shared" si="2603"/>
        <v>76.453999999999994</v>
      </c>
      <c r="P6161" s="132" t="s">
        <v>52</v>
      </c>
      <c r="Q6161" s="232"/>
      <c r="R6161" s="411"/>
      <c r="T6161" s="134" t="s">
        <v>145</v>
      </c>
      <c r="U6161" s="267" t="s">
        <v>13263</v>
      </c>
      <c r="AA6161" s="218"/>
    </row>
    <row r="6162" spans="1:27" ht="24" x14ac:dyDescent="0.25">
      <c r="A6162" s="405">
        <v>3004853</v>
      </c>
      <c r="B6162" s="406">
        <v>42653</v>
      </c>
      <c r="C6162" s="405" t="s">
        <v>42</v>
      </c>
      <c r="D6162" s="401" t="s">
        <v>13264</v>
      </c>
      <c r="E6162" s="120">
        <v>50</v>
      </c>
      <c r="F6162" s="133" t="s">
        <v>288</v>
      </c>
      <c r="G6162" s="404" t="s">
        <v>7486</v>
      </c>
      <c r="H6162" s="411">
        <v>108.9</v>
      </c>
      <c r="I6162" s="89">
        <f>-(H6162*0.09)</f>
        <v>-9.8010000000000002</v>
      </c>
      <c r="J6162" s="258">
        <f t="shared" ref="J6162" si="2615">-((H6162*0.019)+0.3)</f>
        <v>-2.3691</v>
      </c>
      <c r="K6162" s="90">
        <f t="shared" ref="K6162" si="2616">SUM(H6162:J6162)</f>
        <v>96.729900000000001</v>
      </c>
      <c r="L6162" s="131">
        <v>900</v>
      </c>
      <c r="M6162" s="187">
        <v>21.98</v>
      </c>
      <c r="N6162" s="91">
        <f t="shared" si="2574"/>
        <v>66.98</v>
      </c>
      <c r="O6162" s="411">
        <f t="shared" si="2603"/>
        <v>29.749899999999997</v>
      </c>
      <c r="P6162" s="132" t="s">
        <v>52</v>
      </c>
      <c r="Q6162" s="232"/>
      <c r="R6162" s="411"/>
      <c r="T6162" s="134" t="s">
        <v>145</v>
      </c>
      <c r="U6162" s="267" t="s">
        <v>13265</v>
      </c>
      <c r="AA6162" s="218"/>
    </row>
    <row r="6163" spans="1:27" ht="24" x14ac:dyDescent="0.25">
      <c r="A6163" s="405">
        <v>3004854</v>
      </c>
      <c r="B6163" s="406">
        <v>42653</v>
      </c>
      <c r="C6163" s="405" t="s">
        <v>42</v>
      </c>
      <c r="D6163" s="401" t="s">
        <v>13266</v>
      </c>
      <c r="E6163" s="120">
        <v>250</v>
      </c>
      <c r="F6163" s="133" t="s">
        <v>824</v>
      </c>
      <c r="G6163" s="404" t="s">
        <v>7486</v>
      </c>
      <c r="H6163" s="411">
        <v>97.95</v>
      </c>
      <c r="I6163" s="89">
        <f>-(H6163*0.09)</f>
        <v>-8.8155000000000001</v>
      </c>
      <c r="J6163" s="258">
        <f t="shared" ref="J6163" si="2617">-((H6163*0.019)+0.3)</f>
        <v>-2.1610499999999999</v>
      </c>
      <c r="K6163" s="90">
        <f t="shared" ref="K6163" si="2618">SUM(H6163:J6163)</f>
        <v>86.97345</v>
      </c>
      <c r="M6163" s="187">
        <v>31.38</v>
      </c>
      <c r="N6163" s="91">
        <f t="shared" si="2574"/>
        <v>31.38</v>
      </c>
      <c r="O6163" s="411">
        <f t="shared" si="2603"/>
        <v>55.593450000000004</v>
      </c>
      <c r="P6163" s="132" t="s">
        <v>52</v>
      </c>
      <c r="Q6163" s="232"/>
      <c r="R6163" s="411"/>
      <c r="T6163" s="134" t="s">
        <v>145</v>
      </c>
      <c r="U6163" s="267" t="s">
        <v>13267</v>
      </c>
      <c r="AA6163" s="218"/>
    </row>
    <row r="6164" spans="1:27" ht="36" x14ac:dyDescent="0.25">
      <c r="A6164" s="405">
        <v>3004855</v>
      </c>
      <c r="B6164" s="406">
        <v>42654</v>
      </c>
      <c r="C6164" s="405" t="s">
        <v>327</v>
      </c>
      <c r="D6164" s="401" t="s">
        <v>11099</v>
      </c>
      <c r="E6164" s="120">
        <v>1000</v>
      </c>
      <c r="F6164" s="119" t="s">
        <v>13268</v>
      </c>
      <c r="G6164" s="404" t="s">
        <v>7486</v>
      </c>
      <c r="H6164" s="411">
        <v>1528.29</v>
      </c>
      <c r="I6164" s="399">
        <v>0</v>
      </c>
      <c r="J6164" s="396">
        <f>-((H6164*0.022)+0.3)</f>
        <v>-33.922379999999997</v>
      </c>
      <c r="K6164" s="396">
        <f>SUM(H6164:J6164)</f>
        <v>1494.36762</v>
      </c>
      <c r="L6164" s="187">
        <v>1050</v>
      </c>
      <c r="M6164" s="187">
        <v>0</v>
      </c>
      <c r="N6164" s="91">
        <f t="shared" si="2574"/>
        <v>1050</v>
      </c>
      <c r="O6164" s="411">
        <f t="shared" si="2603"/>
        <v>444.36761999999999</v>
      </c>
      <c r="P6164" s="132" t="s">
        <v>59</v>
      </c>
      <c r="Q6164" s="232"/>
      <c r="R6164" s="411"/>
      <c r="T6164" s="134" t="s">
        <v>60</v>
      </c>
      <c r="U6164" s="267" t="s">
        <v>13269</v>
      </c>
      <c r="W6164" s="153" t="s">
        <v>11102</v>
      </c>
      <c r="AA6164" s="218">
        <v>10</v>
      </c>
    </row>
    <row r="6165" spans="1:27" ht="24" x14ac:dyDescent="0.25">
      <c r="A6165" s="405">
        <v>3004856</v>
      </c>
      <c r="B6165" s="406">
        <v>42654</v>
      </c>
      <c r="C6165" s="405" t="s">
        <v>63</v>
      </c>
      <c r="D6165" s="401" t="s">
        <v>13270</v>
      </c>
      <c r="E6165" s="120">
        <v>50</v>
      </c>
      <c r="F6165" s="133" t="s">
        <v>5146</v>
      </c>
      <c r="G6165" s="404" t="s">
        <v>7486</v>
      </c>
      <c r="H6165" s="411">
        <v>116.99</v>
      </c>
      <c r="I6165" s="399">
        <v>0</v>
      </c>
      <c r="J6165" s="396">
        <f>-((H6165*0.022)+0.3)</f>
        <v>-2.8737799999999996</v>
      </c>
      <c r="K6165" s="396">
        <f>SUM(H6165:J6165)</f>
        <v>114.11622</v>
      </c>
      <c r="L6165" s="187">
        <v>800</v>
      </c>
      <c r="M6165" s="224">
        <v>20.66</v>
      </c>
      <c r="N6165" s="91">
        <f t="shared" si="2574"/>
        <v>60.66</v>
      </c>
      <c r="O6165" s="411">
        <f t="shared" si="2603"/>
        <v>53.456220000000002</v>
      </c>
      <c r="P6165" s="132" t="s">
        <v>183</v>
      </c>
      <c r="Q6165" s="232"/>
      <c r="R6165" s="411"/>
      <c r="T6165" s="134" t="s">
        <v>145</v>
      </c>
      <c r="U6165" s="267" t="s">
        <v>13271</v>
      </c>
      <c r="AA6165" s="218"/>
    </row>
    <row r="6166" spans="1:27" ht="24" x14ac:dyDescent="0.25">
      <c r="A6166" s="419">
        <v>3004857</v>
      </c>
      <c r="B6166" s="421">
        <v>42654</v>
      </c>
      <c r="C6166" s="419" t="s">
        <v>56</v>
      </c>
      <c r="D6166" s="417" t="s">
        <v>5966</v>
      </c>
      <c r="E6166" s="120">
        <v>2000</v>
      </c>
      <c r="F6166" s="133" t="s">
        <v>13272</v>
      </c>
      <c r="G6166" s="434" t="s">
        <v>7486</v>
      </c>
      <c r="H6166" s="427">
        <v>540</v>
      </c>
      <c r="I6166" s="427">
        <v>0</v>
      </c>
      <c r="J6166" s="427">
        <v>0</v>
      </c>
      <c r="K6166" s="425">
        <f>SUM(H6166:J6166)</f>
        <v>540</v>
      </c>
      <c r="L6166" s="187">
        <v>100</v>
      </c>
      <c r="M6166" s="187">
        <v>73.64</v>
      </c>
      <c r="N6166" s="91">
        <f t="shared" si="2574"/>
        <v>273.64</v>
      </c>
      <c r="O6166" s="411">
        <f t="shared" si="2603"/>
        <v>266.36</v>
      </c>
      <c r="P6166" s="132" t="s">
        <v>183</v>
      </c>
      <c r="Q6166" s="232"/>
      <c r="R6166" s="411"/>
      <c r="T6166" s="470" t="s">
        <v>145</v>
      </c>
      <c r="U6166" s="266" t="s">
        <v>13273</v>
      </c>
      <c r="V6166" s="133" t="s">
        <v>11077</v>
      </c>
      <c r="W6166" s="153" t="s">
        <v>10861</v>
      </c>
      <c r="AA6166" s="218"/>
    </row>
    <row r="6167" spans="1:27" ht="24" x14ac:dyDescent="0.25">
      <c r="A6167" s="420"/>
      <c r="B6167" s="422"/>
      <c r="C6167" s="420"/>
      <c r="D6167" s="418"/>
      <c r="E6167" s="120">
        <v>2000</v>
      </c>
      <c r="F6167" s="133" t="s">
        <v>13274</v>
      </c>
      <c r="G6167" s="436"/>
      <c r="H6167" s="428"/>
      <c r="I6167" s="428"/>
      <c r="J6167" s="428"/>
      <c r="K6167" s="426"/>
      <c r="L6167" s="187">
        <v>100</v>
      </c>
      <c r="M6167" s="187"/>
      <c r="N6167" s="91">
        <f t="shared" si="2574"/>
        <v>200</v>
      </c>
      <c r="O6167" s="411">
        <f t="shared" si="2603"/>
        <v>-200</v>
      </c>
      <c r="P6167" s="132" t="s">
        <v>183</v>
      </c>
      <c r="Q6167" s="232"/>
      <c r="R6167" s="411"/>
      <c r="T6167" s="472"/>
      <c r="U6167" s="266" t="s">
        <v>13275</v>
      </c>
      <c r="AA6167" s="218"/>
    </row>
    <row r="6168" spans="1:27" ht="24" x14ac:dyDescent="0.25">
      <c r="A6168" s="405">
        <v>3004858</v>
      </c>
      <c r="B6168" s="406">
        <v>42654</v>
      </c>
      <c r="C6168" s="405" t="s">
        <v>42</v>
      </c>
      <c r="D6168" s="401" t="s">
        <v>13276</v>
      </c>
      <c r="E6168" s="120">
        <v>500</v>
      </c>
      <c r="F6168" s="133" t="s">
        <v>1137</v>
      </c>
      <c r="G6168" s="404" t="s">
        <v>7486</v>
      </c>
      <c r="H6168" s="411">
        <v>230</v>
      </c>
      <c r="I6168" s="89">
        <f t="shared" ref="I6168:I6176" si="2619">-(H6168*0.09)</f>
        <v>-20.7</v>
      </c>
      <c r="J6168" s="258">
        <f t="shared" ref="J6168" si="2620">-((H6168*0.019)+0.3)</f>
        <v>-4.67</v>
      </c>
      <c r="K6168" s="90">
        <f t="shared" ref="K6168" si="2621">SUM(H6168:J6168)</f>
        <v>204.63000000000002</v>
      </c>
      <c r="L6168" s="131">
        <v>220</v>
      </c>
      <c r="M6168" s="187">
        <v>16.43</v>
      </c>
      <c r="N6168" s="91">
        <f t="shared" si="2574"/>
        <v>126.43</v>
      </c>
      <c r="O6168" s="411">
        <f t="shared" si="2603"/>
        <v>78.200000000000017</v>
      </c>
      <c r="P6168" s="132" t="s">
        <v>52</v>
      </c>
      <c r="Q6168" s="232"/>
      <c r="R6168" s="411"/>
      <c r="T6168" s="134" t="s">
        <v>145</v>
      </c>
      <c r="U6168" s="267" t="s">
        <v>13277</v>
      </c>
      <c r="AA6168" s="218"/>
    </row>
    <row r="6169" spans="1:27" ht="24" x14ac:dyDescent="0.25">
      <c r="A6169" s="405">
        <v>3004859</v>
      </c>
      <c r="B6169" s="406">
        <v>42654</v>
      </c>
      <c r="C6169" s="405" t="s">
        <v>42</v>
      </c>
      <c r="D6169" s="401" t="s">
        <v>13278</v>
      </c>
      <c r="E6169" s="120">
        <v>250</v>
      </c>
      <c r="F6169" s="133" t="s">
        <v>3719</v>
      </c>
      <c r="G6169" s="404" t="s">
        <v>7486</v>
      </c>
      <c r="H6169" s="411">
        <v>460</v>
      </c>
      <c r="I6169" s="89">
        <f t="shared" si="2619"/>
        <v>-41.4</v>
      </c>
      <c r="J6169" s="258">
        <f t="shared" ref="J6169" si="2622">-((H6169*0.019)+0.3)</f>
        <v>-9.0400000000000009</v>
      </c>
      <c r="K6169" s="90">
        <f t="shared" ref="K6169" si="2623">SUM(H6169:J6169)</f>
        <v>409.56</v>
      </c>
      <c r="L6169" s="131">
        <v>1173</v>
      </c>
      <c r="M6169" s="131">
        <v>0</v>
      </c>
      <c r="N6169" s="91">
        <f t="shared" si="2574"/>
        <v>293.25</v>
      </c>
      <c r="O6169" s="411">
        <f t="shared" si="2603"/>
        <v>116.31</v>
      </c>
      <c r="P6169" s="132" t="s">
        <v>926</v>
      </c>
      <c r="Q6169" s="232"/>
      <c r="R6169" s="411"/>
      <c r="T6169" s="134" t="s">
        <v>324</v>
      </c>
      <c r="U6169" s="267" t="s">
        <v>13279</v>
      </c>
      <c r="AA6169" s="218"/>
    </row>
    <row r="6170" spans="1:27" ht="24" x14ac:dyDescent="0.25">
      <c r="A6170" s="405">
        <v>3004860</v>
      </c>
      <c r="B6170" s="406">
        <v>42654</v>
      </c>
      <c r="C6170" s="405" t="s">
        <v>42</v>
      </c>
      <c r="D6170" s="401" t="s">
        <v>13280</v>
      </c>
      <c r="E6170" s="120">
        <v>100</v>
      </c>
      <c r="F6170" s="133" t="s">
        <v>2483</v>
      </c>
      <c r="G6170" s="404" t="s">
        <v>7486</v>
      </c>
      <c r="H6170" s="411">
        <v>227.7</v>
      </c>
      <c r="I6170" s="89">
        <f t="shared" si="2619"/>
        <v>-20.492999999999999</v>
      </c>
      <c r="J6170" s="258">
        <f t="shared" ref="J6170" si="2624">-((H6170*0.019)+0.3)</f>
        <v>-4.6262999999999996</v>
      </c>
      <c r="K6170" s="90">
        <f t="shared" ref="K6170" si="2625">SUM(H6170:J6170)</f>
        <v>202.58070000000001</v>
      </c>
      <c r="M6170" s="187">
        <v>25.97</v>
      </c>
      <c r="N6170" s="91">
        <f t="shared" si="2574"/>
        <v>25.97</v>
      </c>
      <c r="O6170" s="411">
        <f t="shared" si="2603"/>
        <v>176.61070000000001</v>
      </c>
      <c r="P6170" s="132" t="s">
        <v>52</v>
      </c>
      <c r="Q6170" s="232"/>
      <c r="R6170" s="411"/>
      <c r="T6170" s="134" t="s">
        <v>145</v>
      </c>
      <c r="U6170" s="267" t="s">
        <v>13281</v>
      </c>
      <c r="AA6170" s="218"/>
    </row>
    <row r="6171" spans="1:27" ht="24" x14ac:dyDescent="0.25">
      <c r="A6171" s="405">
        <v>3004861</v>
      </c>
      <c r="B6171" s="406">
        <v>42654</v>
      </c>
      <c r="C6171" s="405" t="s">
        <v>42</v>
      </c>
      <c r="D6171" s="401" t="s">
        <v>13282</v>
      </c>
      <c r="E6171" s="120">
        <v>350</v>
      </c>
      <c r="F6171" s="133" t="s">
        <v>165</v>
      </c>
      <c r="G6171" s="404" t="s">
        <v>7486</v>
      </c>
      <c r="H6171" s="411">
        <v>314.86</v>
      </c>
      <c r="I6171" s="89">
        <f t="shared" si="2619"/>
        <v>-28.337399999999999</v>
      </c>
      <c r="J6171" s="258">
        <f t="shared" ref="J6171" si="2626">-((H6171*0.019)+0.3)</f>
        <v>-6.2823399999999996</v>
      </c>
      <c r="K6171" s="90">
        <f t="shared" ref="K6171" si="2627">SUM(H6171:J6171)</f>
        <v>280.24026000000003</v>
      </c>
      <c r="L6171" s="131">
        <v>375</v>
      </c>
      <c r="M6171" s="187">
        <v>4.32</v>
      </c>
      <c r="N6171" s="91">
        <f t="shared" si="2574"/>
        <v>135.57</v>
      </c>
      <c r="O6171" s="411">
        <f t="shared" si="2603"/>
        <v>144.67026000000004</v>
      </c>
      <c r="P6171" s="132" t="s">
        <v>52</v>
      </c>
      <c r="Q6171" s="232"/>
      <c r="R6171" s="411"/>
      <c r="T6171" s="134" t="s">
        <v>145</v>
      </c>
      <c r="U6171" s="267" t="s">
        <v>13283</v>
      </c>
      <c r="AA6171" s="218"/>
    </row>
    <row r="6172" spans="1:27" ht="24" x14ac:dyDescent="0.25">
      <c r="A6172" s="405">
        <v>3004862</v>
      </c>
      <c r="B6172" s="406">
        <v>42654</v>
      </c>
      <c r="C6172" s="405" t="s">
        <v>42</v>
      </c>
      <c r="D6172" s="401" t="s">
        <v>13284</v>
      </c>
      <c r="E6172" s="120">
        <v>50</v>
      </c>
      <c r="F6172" s="133" t="s">
        <v>13285</v>
      </c>
      <c r="G6172" s="404" t="s">
        <v>7486</v>
      </c>
      <c r="H6172" s="411">
        <v>120.54</v>
      </c>
      <c r="I6172" s="89">
        <f t="shared" si="2619"/>
        <v>-10.848599999999999</v>
      </c>
      <c r="J6172" s="258">
        <f t="shared" ref="J6172" si="2628">-((H6172*0.019)+0.3)</f>
        <v>-2.5902599999999998</v>
      </c>
      <c r="K6172" s="90">
        <f t="shared" ref="K6172" si="2629">SUM(H6172:J6172)</f>
        <v>107.10114</v>
      </c>
      <c r="L6172" s="187">
        <v>1180</v>
      </c>
      <c r="M6172" s="187">
        <v>11.62</v>
      </c>
      <c r="N6172" s="91">
        <f t="shared" si="2574"/>
        <v>70.62</v>
      </c>
      <c r="O6172" s="411">
        <f t="shared" si="2603"/>
        <v>36.481139999999996</v>
      </c>
      <c r="P6172" s="132" t="s">
        <v>601</v>
      </c>
      <c r="Q6172" s="232"/>
      <c r="R6172" s="411"/>
      <c r="T6172" s="134" t="s">
        <v>145</v>
      </c>
      <c r="U6172" s="267" t="s">
        <v>13286</v>
      </c>
      <c r="AA6172" s="218"/>
    </row>
    <row r="6173" spans="1:27" ht="24" x14ac:dyDescent="0.25">
      <c r="A6173" s="405">
        <v>3004863</v>
      </c>
      <c r="B6173" s="406">
        <v>42654</v>
      </c>
      <c r="C6173" s="405" t="s">
        <v>42</v>
      </c>
      <c r="D6173" s="401" t="s">
        <v>13287</v>
      </c>
      <c r="E6173" s="120">
        <v>325</v>
      </c>
      <c r="F6173" s="133" t="s">
        <v>605</v>
      </c>
      <c r="G6173" s="404" t="s">
        <v>7486</v>
      </c>
      <c r="H6173" s="411">
        <v>460.71</v>
      </c>
      <c r="I6173" s="89">
        <f t="shared" si="2619"/>
        <v>-41.463899999999995</v>
      </c>
      <c r="J6173" s="258">
        <f t="shared" ref="J6173" si="2630">-((H6173*0.019)+0.3)</f>
        <v>-9.05349</v>
      </c>
      <c r="K6173" s="90">
        <f t="shared" ref="K6173" si="2631">SUM(H6173:J6173)</f>
        <v>410.19260999999995</v>
      </c>
      <c r="L6173" s="131">
        <v>595</v>
      </c>
      <c r="M6173" s="187">
        <v>54.9</v>
      </c>
      <c r="N6173" s="91">
        <f t="shared" si="2574"/>
        <v>248.27500000000001</v>
      </c>
      <c r="O6173" s="411">
        <f t="shared" si="2603"/>
        <v>161.91760999999994</v>
      </c>
      <c r="P6173" s="132" t="s">
        <v>52</v>
      </c>
      <c r="Q6173" s="232"/>
      <c r="R6173" s="411"/>
      <c r="T6173" s="134" t="s">
        <v>145</v>
      </c>
      <c r="U6173" s="267" t="s">
        <v>13288</v>
      </c>
      <c r="AA6173" s="218"/>
    </row>
    <row r="6174" spans="1:27" ht="24" x14ac:dyDescent="0.25">
      <c r="A6174" s="405">
        <v>3004864</v>
      </c>
      <c r="B6174" s="406">
        <v>42654</v>
      </c>
      <c r="C6174" s="405" t="s">
        <v>42</v>
      </c>
      <c r="D6174" s="401" t="s">
        <v>13289</v>
      </c>
      <c r="E6174" s="120">
        <v>330</v>
      </c>
      <c r="F6174" s="133" t="s">
        <v>165</v>
      </c>
      <c r="G6174" s="404" t="s">
        <v>7486</v>
      </c>
      <c r="H6174" s="411">
        <v>351.9</v>
      </c>
      <c r="I6174" s="89">
        <f t="shared" si="2619"/>
        <v>-31.670999999999996</v>
      </c>
      <c r="J6174" s="258">
        <f t="shared" ref="J6174" si="2632">-((H6174*0.019)+0.3)</f>
        <v>-6.9860999999999995</v>
      </c>
      <c r="K6174" s="90">
        <f t="shared" ref="K6174" si="2633">SUM(H6174:J6174)</f>
        <v>313.24289999999996</v>
      </c>
      <c r="L6174" s="131">
        <v>375</v>
      </c>
      <c r="M6174" s="187">
        <v>53.93</v>
      </c>
      <c r="N6174" s="91">
        <f t="shared" si="2574"/>
        <v>177.68</v>
      </c>
      <c r="O6174" s="411">
        <f t="shared" si="2603"/>
        <v>135.56289999999996</v>
      </c>
      <c r="P6174" s="132" t="s">
        <v>52</v>
      </c>
      <c r="Q6174" s="232"/>
      <c r="R6174" s="411"/>
      <c r="T6174" s="134" t="s">
        <v>145</v>
      </c>
      <c r="U6174" s="267" t="s">
        <v>13290</v>
      </c>
      <c r="AA6174" s="218"/>
    </row>
    <row r="6175" spans="1:27" ht="24" x14ac:dyDescent="0.25">
      <c r="A6175" s="405">
        <v>3004865</v>
      </c>
      <c r="B6175" s="406">
        <v>42654</v>
      </c>
      <c r="C6175" s="405" t="s">
        <v>42</v>
      </c>
      <c r="D6175" s="401" t="s">
        <v>13291</v>
      </c>
      <c r="E6175" s="120">
        <v>250</v>
      </c>
      <c r="F6175" s="133" t="s">
        <v>341</v>
      </c>
      <c r="G6175" s="404" t="s">
        <v>7486</v>
      </c>
      <c r="H6175" s="411">
        <v>460.85</v>
      </c>
      <c r="I6175" s="89">
        <f t="shared" si="2619"/>
        <v>-41.476500000000001</v>
      </c>
      <c r="J6175" s="258">
        <f t="shared" ref="J6175" si="2634">-((H6175*0.019)+0.3)</f>
        <v>-9.0561500000000006</v>
      </c>
      <c r="K6175" s="90">
        <f t="shared" ref="K6175" si="2635">SUM(H6175:J6175)</f>
        <v>410.31735000000003</v>
      </c>
      <c r="L6175" s="131">
        <v>695</v>
      </c>
      <c r="M6175" s="187">
        <v>40.9</v>
      </c>
      <c r="N6175" s="91">
        <f t="shared" si="2574"/>
        <v>214.65</v>
      </c>
      <c r="O6175" s="411">
        <f t="shared" si="2603"/>
        <v>195.66735000000003</v>
      </c>
      <c r="P6175" s="132" t="s">
        <v>52</v>
      </c>
      <c r="Q6175" s="232"/>
      <c r="R6175" s="411"/>
      <c r="T6175" s="134" t="s">
        <v>145</v>
      </c>
      <c r="U6175" s="267" t="s">
        <v>13292</v>
      </c>
      <c r="AA6175" s="218"/>
    </row>
    <row r="6176" spans="1:27" ht="24" x14ac:dyDescent="0.25">
      <c r="A6176" s="405">
        <v>3004866</v>
      </c>
      <c r="B6176" s="406">
        <v>42654</v>
      </c>
      <c r="C6176" s="405" t="s">
        <v>42</v>
      </c>
      <c r="D6176" s="401" t="s">
        <v>13293</v>
      </c>
      <c r="E6176" s="120">
        <v>100</v>
      </c>
      <c r="F6176" s="133" t="s">
        <v>1547</v>
      </c>
      <c r="G6176" s="404" t="s">
        <v>7486</v>
      </c>
      <c r="H6176" s="411">
        <v>104.16</v>
      </c>
      <c r="I6176" s="89">
        <f t="shared" si="2619"/>
        <v>-9.3743999999999996</v>
      </c>
      <c r="J6176" s="258">
        <f t="shared" ref="J6176" si="2636">-((H6176*0.019)+0.3)</f>
        <v>-2.2790399999999997</v>
      </c>
      <c r="K6176" s="90">
        <f t="shared" ref="K6176" si="2637">SUM(H6176:J6176)</f>
        <v>92.506560000000007</v>
      </c>
      <c r="L6176" s="187">
        <v>660</v>
      </c>
      <c r="M6176" s="187">
        <v>31.09</v>
      </c>
      <c r="N6176" s="91">
        <f t="shared" si="2574"/>
        <v>97.09</v>
      </c>
      <c r="O6176" s="411">
        <f t="shared" si="2603"/>
        <v>-4.583439999999996</v>
      </c>
      <c r="P6176" s="132" t="s">
        <v>313</v>
      </c>
      <c r="Q6176" s="232"/>
      <c r="R6176" s="411"/>
      <c r="T6176" s="134" t="s">
        <v>145</v>
      </c>
      <c r="U6176" s="267" t="s">
        <v>13294</v>
      </c>
      <c r="AA6176" s="218"/>
    </row>
    <row r="6177" spans="1:27" x14ac:dyDescent="0.25">
      <c r="A6177" s="405">
        <v>3004867</v>
      </c>
      <c r="B6177" s="406">
        <v>42654</v>
      </c>
      <c r="C6177" s="405" t="s">
        <v>237</v>
      </c>
      <c r="D6177" s="401" t="s">
        <v>13295</v>
      </c>
      <c r="E6177" s="120">
        <v>400</v>
      </c>
      <c r="F6177" s="133" t="s">
        <v>288</v>
      </c>
      <c r="G6177" s="404" t="s">
        <v>7486</v>
      </c>
      <c r="H6177" s="411">
        <v>841.44</v>
      </c>
      <c r="I6177" s="397">
        <f t="shared" ref="I6177" si="2638">-(H6177*0.15)</f>
        <v>-126.21600000000001</v>
      </c>
      <c r="J6177" s="258">
        <v>0</v>
      </c>
      <c r="K6177" s="90">
        <f>SUM(H6177:J6177)</f>
        <v>715.22400000000005</v>
      </c>
      <c r="M6177" s="187">
        <v>115.35</v>
      </c>
      <c r="N6177" s="91">
        <f t="shared" si="2574"/>
        <v>115.35</v>
      </c>
      <c r="O6177" s="411">
        <f t="shared" si="2603"/>
        <v>599.87400000000002</v>
      </c>
      <c r="P6177" s="132" t="s">
        <v>52</v>
      </c>
      <c r="Q6177" s="232"/>
      <c r="R6177" s="411"/>
      <c r="T6177" s="134" t="s">
        <v>11100</v>
      </c>
      <c r="U6177" s="267" t="s">
        <v>13296</v>
      </c>
      <c r="V6177" s="133" t="s">
        <v>55</v>
      </c>
      <c r="AA6177" s="218"/>
    </row>
    <row r="6178" spans="1:27" x14ac:dyDescent="0.25">
      <c r="A6178" s="419">
        <v>3004868</v>
      </c>
      <c r="B6178" s="421">
        <v>42654</v>
      </c>
      <c r="C6178" s="419" t="s">
        <v>237</v>
      </c>
      <c r="D6178" s="417" t="s">
        <v>13297</v>
      </c>
      <c r="E6178" s="120">
        <v>200</v>
      </c>
      <c r="F6178" s="133" t="s">
        <v>10698</v>
      </c>
      <c r="G6178" s="434" t="s">
        <v>7486</v>
      </c>
      <c r="H6178" s="427">
        <v>313.60000000000002</v>
      </c>
      <c r="I6178" s="452">
        <f t="shared" ref="I6178" si="2639">-(H6178*0.15)</f>
        <v>-47.04</v>
      </c>
      <c r="J6178" s="425">
        <v>0</v>
      </c>
      <c r="K6178" s="425">
        <f>SUM(H6178:J6178)</f>
        <v>266.56</v>
      </c>
      <c r="L6178" s="187">
        <v>450</v>
      </c>
      <c r="M6178" s="187">
        <v>25.23</v>
      </c>
      <c r="N6178" s="91">
        <f t="shared" si="2574"/>
        <v>115.23</v>
      </c>
      <c r="O6178" s="411">
        <f t="shared" si="2603"/>
        <v>151.32999999999998</v>
      </c>
      <c r="P6178" s="132" t="s">
        <v>601</v>
      </c>
      <c r="Q6178" s="232"/>
      <c r="R6178" s="411"/>
      <c r="T6178" s="439" t="s">
        <v>145</v>
      </c>
      <c r="U6178" s="308" t="s">
        <v>13298</v>
      </c>
      <c r="AA6178" s="218"/>
    </row>
    <row r="6179" spans="1:27" x14ac:dyDescent="0.25">
      <c r="A6179" s="420"/>
      <c r="B6179" s="422"/>
      <c r="C6179" s="420"/>
      <c r="D6179" s="418"/>
      <c r="E6179" s="120">
        <v>200</v>
      </c>
      <c r="F6179" s="133" t="s">
        <v>4881</v>
      </c>
      <c r="G6179" s="436"/>
      <c r="H6179" s="428"/>
      <c r="I6179" s="453"/>
      <c r="J6179" s="426"/>
      <c r="K6179" s="426"/>
      <c r="L6179" s="187">
        <v>460</v>
      </c>
      <c r="M6179" s="187">
        <v>25.23</v>
      </c>
      <c r="N6179" s="91">
        <f t="shared" si="2574"/>
        <v>117.23</v>
      </c>
      <c r="O6179" s="411">
        <f t="shared" si="2603"/>
        <v>-117.23</v>
      </c>
      <c r="P6179" s="132" t="s">
        <v>601</v>
      </c>
      <c r="Q6179" s="232"/>
      <c r="R6179" s="411"/>
      <c r="T6179" s="441"/>
      <c r="U6179" s="309">
        <v>639794969810</v>
      </c>
      <c r="AA6179" s="218"/>
    </row>
    <row r="6180" spans="1:27" x14ac:dyDescent="0.25">
      <c r="A6180" s="419">
        <v>3004869</v>
      </c>
      <c r="B6180" s="421">
        <v>42654</v>
      </c>
      <c r="C6180" s="419" t="s">
        <v>237</v>
      </c>
      <c r="D6180" s="417" t="s">
        <v>13299</v>
      </c>
      <c r="E6180" s="120">
        <v>100</v>
      </c>
      <c r="F6180" s="133" t="s">
        <v>10698</v>
      </c>
      <c r="G6180" s="434" t="s">
        <v>7486</v>
      </c>
      <c r="H6180" s="427">
        <v>159</v>
      </c>
      <c r="I6180" s="452">
        <f t="shared" ref="I6180" si="2640">-(H6180*0.15)</f>
        <v>-23.849999999999998</v>
      </c>
      <c r="J6180" s="425">
        <v>0</v>
      </c>
      <c r="K6180" s="425">
        <f>SUM(H6180:J6180)</f>
        <v>135.15</v>
      </c>
      <c r="L6180" s="187">
        <v>450</v>
      </c>
      <c r="M6180" s="187">
        <v>23.28</v>
      </c>
      <c r="N6180" s="91">
        <f t="shared" si="2574"/>
        <v>68.28</v>
      </c>
      <c r="O6180" s="411">
        <f t="shared" si="2603"/>
        <v>66.87</v>
      </c>
      <c r="P6180" s="132" t="s">
        <v>601</v>
      </c>
      <c r="Q6180" s="232"/>
      <c r="R6180" s="411"/>
      <c r="T6180" s="439" t="s">
        <v>145</v>
      </c>
      <c r="U6180" s="446" t="s">
        <v>13300</v>
      </c>
      <c r="AA6180" s="218"/>
    </row>
    <row r="6181" spans="1:27" x14ac:dyDescent="0.25">
      <c r="A6181" s="420"/>
      <c r="B6181" s="422"/>
      <c r="C6181" s="420"/>
      <c r="D6181" s="418"/>
      <c r="E6181" s="120">
        <v>100</v>
      </c>
      <c r="F6181" s="133" t="s">
        <v>4881</v>
      </c>
      <c r="G6181" s="436"/>
      <c r="H6181" s="428"/>
      <c r="I6181" s="453"/>
      <c r="J6181" s="426"/>
      <c r="K6181" s="426"/>
      <c r="L6181" s="187">
        <v>460</v>
      </c>
      <c r="N6181" s="91">
        <f t="shared" ref="N6181:N6207" si="2641">((L6181)*(E6181*0.001))+M6181</f>
        <v>46</v>
      </c>
      <c r="O6181" s="411">
        <f t="shared" si="2603"/>
        <v>-46</v>
      </c>
      <c r="P6181" s="132" t="s">
        <v>601</v>
      </c>
      <c r="Q6181" s="232"/>
      <c r="R6181" s="411"/>
      <c r="T6181" s="441"/>
      <c r="U6181" s="447"/>
      <c r="AA6181" s="218"/>
    </row>
    <row r="6182" spans="1:27" ht="24" x14ac:dyDescent="0.25">
      <c r="A6182" s="405">
        <v>3004870</v>
      </c>
      <c r="B6182" s="406">
        <v>42654</v>
      </c>
      <c r="C6182" s="405" t="s">
        <v>237</v>
      </c>
      <c r="D6182" s="401" t="s">
        <v>13301</v>
      </c>
      <c r="E6182" s="120">
        <v>150</v>
      </c>
      <c r="F6182" s="133" t="s">
        <v>307</v>
      </c>
      <c r="G6182" s="404" t="s">
        <v>7486</v>
      </c>
      <c r="H6182" s="411">
        <v>187.36</v>
      </c>
      <c r="I6182" s="397">
        <f t="shared" ref="I6182" si="2642">-(H6182*0.15)</f>
        <v>-28.104000000000003</v>
      </c>
      <c r="J6182" s="258">
        <v>0</v>
      </c>
      <c r="K6182" s="90">
        <f t="shared" ref="K6182:K6188" si="2643">SUM(H6182:J6182)</f>
        <v>159.256</v>
      </c>
      <c r="L6182" s="131">
        <v>622.45000000000005</v>
      </c>
      <c r="M6182" s="187">
        <v>33.11</v>
      </c>
      <c r="N6182" s="91">
        <f t="shared" si="2641"/>
        <v>126.47750000000001</v>
      </c>
      <c r="O6182" s="411">
        <f t="shared" si="2603"/>
        <v>32.778499999999994</v>
      </c>
      <c r="P6182" s="132" t="s">
        <v>52</v>
      </c>
      <c r="Q6182" s="232"/>
      <c r="R6182" s="411"/>
      <c r="T6182" s="134" t="s">
        <v>145</v>
      </c>
      <c r="U6182" s="267" t="s">
        <v>13302</v>
      </c>
      <c r="AA6182" s="218"/>
    </row>
    <row r="6183" spans="1:27" x14ac:dyDescent="0.25">
      <c r="A6183" s="405">
        <v>3004871</v>
      </c>
      <c r="B6183" s="406">
        <v>42654</v>
      </c>
      <c r="C6183" s="405" t="s">
        <v>63</v>
      </c>
      <c r="D6183" s="401" t="s">
        <v>13303</v>
      </c>
      <c r="E6183" s="120">
        <v>250</v>
      </c>
      <c r="F6183" s="133" t="s">
        <v>13304</v>
      </c>
      <c r="G6183" s="404" t="s">
        <v>7486</v>
      </c>
      <c r="H6183" s="411">
        <v>4202.5</v>
      </c>
      <c r="I6183" s="399">
        <v>0</v>
      </c>
      <c r="J6183" s="396">
        <f>-((H6183*0.022)+0.3)</f>
        <v>-92.754999999999995</v>
      </c>
      <c r="K6183" s="396">
        <f t="shared" si="2643"/>
        <v>4109.7449999999999</v>
      </c>
      <c r="L6183" s="187">
        <v>11300</v>
      </c>
      <c r="M6183" s="131">
        <v>0</v>
      </c>
      <c r="N6183" s="91">
        <f t="shared" si="2641"/>
        <v>2825</v>
      </c>
      <c r="O6183" s="411">
        <f t="shared" si="2603"/>
        <v>1284.7449999999999</v>
      </c>
      <c r="P6183" s="132" t="s">
        <v>66</v>
      </c>
      <c r="Q6183" s="232"/>
      <c r="R6183" s="411"/>
      <c r="T6183" s="134" t="s">
        <v>1027</v>
      </c>
      <c r="U6183" s="267" t="s">
        <v>13305</v>
      </c>
      <c r="W6183" s="153" t="s">
        <v>13306</v>
      </c>
      <c r="AA6183" s="218">
        <v>10</v>
      </c>
    </row>
    <row r="6184" spans="1:27" x14ac:dyDescent="0.25">
      <c r="A6184" s="405">
        <v>3004872</v>
      </c>
      <c r="B6184" s="406">
        <v>42654</v>
      </c>
      <c r="C6184" s="405" t="s">
        <v>141</v>
      </c>
      <c r="D6184" s="401" t="s">
        <v>13307</v>
      </c>
      <c r="E6184" s="120">
        <v>1</v>
      </c>
      <c r="F6184" s="133" t="s">
        <v>10525</v>
      </c>
      <c r="G6184" s="404" t="s">
        <v>7486</v>
      </c>
      <c r="H6184" s="411">
        <v>363</v>
      </c>
      <c r="I6184" s="399">
        <v>0</v>
      </c>
      <c r="J6184" s="396">
        <f>-((H6184*0.0325)+0.3)</f>
        <v>-12.097500000000002</v>
      </c>
      <c r="K6184" s="396">
        <f t="shared" si="2643"/>
        <v>350.90249999999997</v>
      </c>
      <c r="N6184" s="91">
        <f t="shared" si="2641"/>
        <v>0</v>
      </c>
      <c r="O6184" s="411">
        <f t="shared" si="2603"/>
        <v>350.90249999999997</v>
      </c>
      <c r="P6184" s="132" t="s">
        <v>11734</v>
      </c>
      <c r="Q6184" s="232"/>
      <c r="R6184" s="411"/>
      <c r="T6184" s="134"/>
      <c r="U6184" s="266"/>
      <c r="AA6184" s="218"/>
    </row>
    <row r="6185" spans="1:27" x14ac:dyDescent="0.25">
      <c r="A6185" s="405">
        <v>3004873</v>
      </c>
      <c r="B6185" s="406">
        <v>42654</v>
      </c>
      <c r="C6185" s="405" t="s">
        <v>63</v>
      </c>
      <c r="D6185" s="401" t="s">
        <v>13308</v>
      </c>
      <c r="E6185" s="120">
        <v>500</v>
      </c>
      <c r="F6185" s="133" t="s">
        <v>1293</v>
      </c>
      <c r="G6185" s="404" t="s">
        <v>45</v>
      </c>
      <c r="H6185" s="411">
        <v>498</v>
      </c>
      <c r="I6185" s="399">
        <v>0</v>
      </c>
      <c r="J6185" s="396">
        <f>-((H6185*0.022)+0.3)</f>
        <v>-11.256</v>
      </c>
      <c r="K6185" s="396">
        <f t="shared" si="2643"/>
        <v>486.74400000000003</v>
      </c>
      <c r="L6185" s="187">
        <v>608</v>
      </c>
      <c r="M6185" s="264">
        <v>160.15</v>
      </c>
      <c r="N6185" s="91">
        <f t="shared" si="2641"/>
        <v>464.15</v>
      </c>
      <c r="O6185" s="411">
        <f t="shared" si="2603"/>
        <v>22.594000000000051</v>
      </c>
      <c r="P6185" s="132" t="s">
        <v>183</v>
      </c>
      <c r="Q6185" s="232"/>
      <c r="R6185" s="411"/>
      <c r="T6185" s="172" t="s">
        <v>1346</v>
      </c>
      <c r="U6185" s="304" t="s">
        <v>13309</v>
      </c>
      <c r="W6185" s="153" t="s">
        <v>13310</v>
      </c>
      <c r="AA6185" s="218"/>
    </row>
    <row r="6186" spans="1:27" ht="24" x14ac:dyDescent="0.25">
      <c r="A6186" s="405">
        <v>3004874</v>
      </c>
      <c r="B6186" s="406">
        <v>42654</v>
      </c>
      <c r="C6186" s="405" t="s">
        <v>63</v>
      </c>
      <c r="D6186" s="401" t="s">
        <v>13311</v>
      </c>
      <c r="E6186" s="120">
        <v>70</v>
      </c>
      <c r="F6186" s="133" t="s">
        <v>10422</v>
      </c>
      <c r="G6186" s="404" t="s">
        <v>45</v>
      </c>
      <c r="H6186" s="411">
        <v>310</v>
      </c>
      <c r="I6186" s="399">
        <v>0</v>
      </c>
      <c r="J6186" s="396">
        <f>-((H6186*0.022)+0.3)</f>
        <v>-7.1199999999999992</v>
      </c>
      <c r="K6186" s="396">
        <f t="shared" si="2643"/>
        <v>302.88</v>
      </c>
      <c r="L6186" s="131">
        <v>2585</v>
      </c>
      <c r="M6186" s="187">
        <v>54.44</v>
      </c>
      <c r="N6186" s="91">
        <f t="shared" si="2641"/>
        <v>235.39000000000001</v>
      </c>
      <c r="O6186" s="411">
        <f t="shared" si="2603"/>
        <v>67.489999999999981</v>
      </c>
      <c r="P6186" s="132" t="s">
        <v>52</v>
      </c>
      <c r="Q6186" s="232"/>
      <c r="R6186" s="411"/>
      <c r="T6186" s="134" t="s">
        <v>145</v>
      </c>
      <c r="U6186" s="267" t="s">
        <v>13312</v>
      </c>
      <c r="W6186" s="153" t="s">
        <v>13313</v>
      </c>
      <c r="AA6186" s="218"/>
    </row>
    <row r="6187" spans="1:27" ht="36" x14ac:dyDescent="0.25">
      <c r="A6187" s="405">
        <v>3004875</v>
      </c>
      <c r="B6187" s="406">
        <v>42654</v>
      </c>
      <c r="C6187" s="405" t="s">
        <v>63</v>
      </c>
      <c r="D6187" s="401" t="s">
        <v>13314</v>
      </c>
      <c r="E6187" s="120">
        <v>2000</v>
      </c>
      <c r="F6187" s="119" t="s">
        <v>13315</v>
      </c>
      <c r="G6187" s="404" t="s">
        <v>45</v>
      </c>
      <c r="H6187" s="411">
        <v>16585</v>
      </c>
      <c r="I6187" s="399">
        <v>0</v>
      </c>
      <c r="J6187" s="396">
        <f>-((H6187*0.022)+0.3)</f>
        <v>-365.17</v>
      </c>
      <c r="K6187" s="396">
        <f t="shared" si="2643"/>
        <v>16219.83</v>
      </c>
      <c r="L6187" s="187">
        <v>5550</v>
      </c>
      <c r="M6187" s="187">
        <v>1849.82</v>
      </c>
      <c r="N6187" s="91">
        <f t="shared" si="2641"/>
        <v>12949.82</v>
      </c>
      <c r="O6187" s="411">
        <f t="shared" si="2603"/>
        <v>3270.01</v>
      </c>
      <c r="P6187" s="132" t="s">
        <v>183</v>
      </c>
      <c r="Q6187" s="232"/>
      <c r="R6187" s="411"/>
      <c r="T6187" s="134" t="s">
        <v>60</v>
      </c>
      <c r="U6187" s="267" t="s">
        <v>13316</v>
      </c>
      <c r="W6187" s="153" t="s">
        <v>13317</v>
      </c>
      <c r="AA6187" s="218">
        <v>100</v>
      </c>
    </row>
    <row r="6188" spans="1:27" x14ac:dyDescent="0.25">
      <c r="A6188" s="419">
        <v>3004876</v>
      </c>
      <c r="B6188" s="421">
        <v>42654</v>
      </c>
      <c r="C6188" s="419" t="s">
        <v>63</v>
      </c>
      <c r="D6188" s="417" t="s">
        <v>13318</v>
      </c>
      <c r="E6188" s="120">
        <v>250</v>
      </c>
      <c r="F6188" s="133" t="s">
        <v>13319</v>
      </c>
      <c r="G6188" s="434" t="s">
        <v>45</v>
      </c>
      <c r="H6188" s="427">
        <v>2858.44</v>
      </c>
      <c r="I6188" s="427">
        <v>0</v>
      </c>
      <c r="J6188" s="425">
        <f>-((H6188*0.022)+0.3)</f>
        <v>-63.185679999999998</v>
      </c>
      <c r="K6188" s="425">
        <f t="shared" si="2643"/>
        <v>2795.25432</v>
      </c>
      <c r="L6188" s="187">
        <v>1830</v>
      </c>
      <c r="M6188" s="177">
        <v>0</v>
      </c>
      <c r="N6188" s="91">
        <f t="shared" si="2641"/>
        <v>457.5</v>
      </c>
      <c r="O6188" s="411">
        <f t="shared" si="2603"/>
        <v>2337.75432</v>
      </c>
      <c r="P6188" s="132" t="s">
        <v>59</v>
      </c>
      <c r="Q6188" s="232"/>
      <c r="R6188" s="411"/>
      <c r="T6188" s="439" t="s">
        <v>364</v>
      </c>
      <c r="U6188" s="446" t="s">
        <v>13320</v>
      </c>
      <c r="W6188" s="153" t="s">
        <v>13321</v>
      </c>
      <c r="AA6188" s="473">
        <v>10</v>
      </c>
    </row>
    <row r="6189" spans="1:27" x14ac:dyDescent="0.25">
      <c r="A6189" s="432"/>
      <c r="B6189" s="433"/>
      <c r="C6189" s="432"/>
      <c r="D6189" s="454"/>
      <c r="E6189" s="120">
        <v>250</v>
      </c>
      <c r="F6189" s="133" t="s">
        <v>13322</v>
      </c>
      <c r="G6189" s="435"/>
      <c r="H6189" s="438"/>
      <c r="I6189" s="438"/>
      <c r="J6189" s="437"/>
      <c r="K6189" s="437"/>
      <c r="L6189" s="187">
        <v>1170</v>
      </c>
      <c r="M6189" s="177"/>
      <c r="N6189" s="91">
        <f t="shared" si="2641"/>
        <v>292.5</v>
      </c>
      <c r="O6189" s="411">
        <f t="shared" si="2603"/>
        <v>-292.5</v>
      </c>
      <c r="P6189" s="132" t="s">
        <v>59</v>
      </c>
      <c r="Q6189" s="232"/>
      <c r="R6189" s="411"/>
      <c r="T6189" s="441"/>
      <c r="U6189" s="447"/>
      <c r="AA6189" s="478"/>
    </row>
    <row r="6190" spans="1:27" x14ac:dyDescent="0.25">
      <c r="A6190" s="432"/>
      <c r="B6190" s="433"/>
      <c r="C6190" s="432"/>
      <c r="D6190" s="454"/>
      <c r="E6190" s="120">
        <v>180</v>
      </c>
      <c r="F6190" s="133" t="s">
        <v>13323</v>
      </c>
      <c r="G6190" s="435"/>
      <c r="H6190" s="438"/>
      <c r="I6190" s="438"/>
      <c r="J6190" s="437"/>
      <c r="K6190" s="437"/>
      <c r="L6190" s="187">
        <v>2200</v>
      </c>
      <c r="M6190" s="224">
        <v>105</v>
      </c>
      <c r="N6190" s="91">
        <f t="shared" si="2641"/>
        <v>501</v>
      </c>
      <c r="O6190" s="411">
        <f t="shared" si="2603"/>
        <v>-501</v>
      </c>
      <c r="P6190" s="132" t="s">
        <v>183</v>
      </c>
      <c r="Q6190" s="232"/>
      <c r="R6190" s="411"/>
      <c r="T6190" s="439" t="s">
        <v>3598</v>
      </c>
      <c r="U6190" s="446" t="s">
        <v>13324</v>
      </c>
      <c r="V6190" s="133" t="s">
        <v>13325</v>
      </c>
      <c r="AA6190" s="478"/>
    </row>
    <row r="6191" spans="1:27" x14ac:dyDescent="0.25">
      <c r="A6191" s="432"/>
      <c r="B6191" s="433"/>
      <c r="C6191" s="432"/>
      <c r="D6191" s="454"/>
      <c r="E6191" s="120">
        <v>180</v>
      </c>
      <c r="F6191" s="133" t="s">
        <v>13326</v>
      </c>
      <c r="G6191" s="435"/>
      <c r="H6191" s="438"/>
      <c r="I6191" s="438"/>
      <c r="J6191" s="437"/>
      <c r="K6191" s="437"/>
      <c r="L6191" s="187">
        <v>3150</v>
      </c>
      <c r="M6191" s="224">
        <v>120</v>
      </c>
      <c r="N6191" s="91">
        <f t="shared" si="2641"/>
        <v>687</v>
      </c>
      <c r="O6191" s="411">
        <f t="shared" si="2603"/>
        <v>-687</v>
      </c>
      <c r="P6191" s="132" t="s">
        <v>183</v>
      </c>
      <c r="Q6191" s="232"/>
      <c r="R6191" s="411"/>
      <c r="T6191" s="440"/>
      <c r="U6191" s="448"/>
      <c r="V6191" s="133" t="s">
        <v>13327</v>
      </c>
      <c r="AA6191" s="478"/>
    </row>
    <row r="6192" spans="1:27" x14ac:dyDescent="0.25">
      <c r="A6192" s="420"/>
      <c r="B6192" s="422"/>
      <c r="C6192" s="420"/>
      <c r="D6192" s="418"/>
      <c r="E6192" s="120">
        <v>180</v>
      </c>
      <c r="F6192" s="133" t="s">
        <v>13328</v>
      </c>
      <c r="G6192" s="436"/>
      <c r="H6192" s="428"/>
      <c r="I6192" s="428"/>
      <c r="J6192" s="426"/>
      <c r="K6192" s="426"/>
      <c r="L6192" s="187">
        <v>1730</v>
      </c>
      <c r="M6192" s="224"/>
      <c r="N6192" s="91">
        <f t="shared" si="2641"/>
        <v>311.39999999999998</v>
      </c>
      <c r="O6192" s="411">
        <f t="shared" si="2603"/>
        <v>-311.39999999999998</v>
      </c>
      <c r="P6192" s="132" t="s">
        <v>183</v>
      </c>
      <c r="Q6192" s="232"/>
      <c r="R6192" s="411"/>
      <c r="T6192" s="441"/>
      <c r="U6192" s="447"/>
      <c r="V6192" s="133" t="s">
        <v>13325</v>
      </c>
      <c r="AA6192" s="474"/>
    </row>
    <row r="6193" spans="1:27" ht="24" x14ac:dyDescent="0.25">
      <c r="A6193" s="405">
        <v>3004877</v>
      </c>
      <c r="B6193" s="406">
        <v>42655</v>
      </c>
      <c r="C6193" s="405" t="s">
        <v>63</v>
      </c>
      <c r="D6193" s="401" t="s">
        <v>13329</v>
      </c>
      <c r="E6193" s="120">
        <v>155</v>
      </c>
      <c r="F6193" s="133" t="s">
        <v>300</v>
      </c>
      <c r="G6193" s="404" t="s">
        <v>7486</v>
      </c>
      <c r="H6193" s="411">
        <v>649</v>
      </c>
      <c r="I6193" s="399">
        <v>0</v>
      </c>
      <c r="J6193" s="396">
        <f>-((H6193*0.022)+0.3)</f>
        <v>-14.577999999999999</v>
      </c>
      <c r="K6193" s="396">
        <f>SUM(H6193:J6193)</f>
        <v>634.42200000000003</v>
      </c>
      <c r="L6193" s="131">
        <v>2150</v>
      </c>
      <c r="M6193" s="187">
        <v>68.23</v>
      </c>
      <c r="N6193" s="91">
        <f t="shared" si="2641"/>
        <v>401.48</v>
      </c>
      <c r="O6193" s="411">
        <f t="shared" si="2603"/>
        <v>232.94200000000001</v>
      </c>
      <c r="P6193" s="132" t="s">
        <v>52</v>
      </c>
      <c r="Q6193" s="232"/>
      <c r="R6193" s="411"/>
      <c r="T6193" s="134" t="s">
        <v>145</v>
      </c>
      <c r="U6193" s="267" t="s">
        <v>13330</v>
      </c>
      <c r="W6193" s="153" t="s">
        <v>13331</v>
      </c>
      <c r="AA6193" s="218"/>
    </row>
    <row r="6194" spans="1:27" x14ac:dyDescent="0.25">
      <c r="A6194" s="419">
        <v>3004878</v>
      </c>
      <c r="B6194" s="421">
        <v>42655</v>
      </c>
      <c r="C6194" s="419" t="s">
        <v>555</v>
      </c>
      <c r="D6194" s="417" t="s">
        <v>13332</v>
      </c>
      <c r="E6194" s="120">
        <v>3000</v>
      </c>
      <c r="F6194" s="133" t="s">
        <v>13333</v>
      </c>
      <c r="G6194" s="434" t="s">
        <v>7486</v>
      </c>
      <c r="H6194" s="427">
        <v>10071.200000000001</v>
      </c>
      <c r="I6194" s="427">
        <v>0</v>
      </c>
      <c r="J6194" s="427">
        <v>0</v>
      </c>
      <c r="K6194" s="425">
        <f t="shared" ref="K6194" si="2644">SUM(H6194:J6194)</f>
        <v>10071.200000000001</v>
      </c>
      <c r="L6194" s="187">
        <v>149.99</v>
      </c>
      <c r="M6194" s="485">
        <v>292.72000000000003</v>
      </c>
      <c r="N6194" s="91">
        <f t="shared" si="2641"/>
        <v>742.69</v>
      </c>
      <c r="O6194" s="411">
        <f t="shared" si="2603"/>
        <v>9328.51</v>
      </c>
      <c r="P6194" s="132" t="s">
        <v>638</v>
      </c>
      <c r="Q6194" s="232"/>
      <c r="R6194" s="411"/>
      <c r="T6194" s="439" t="s">
        <v>3081</v>
      </c>
      <c r="U6194" s="446" t="s">
        <v>13334</v>
      </c>
      <c r="V6194" s="133" t="s">
        <v>55</v>
      </c>
      <c r="W6194" s="153" t="s">
        <v>11071</v>
      </c>
      <c r="AA6194" s="218"/>
    </row>
    <row r="6195" spans="1:27" x14ac:dyDescent="0.25">
      <c r="A6195" s="432"/>
      <c r="B6195" s="433"/>
      <c r="C6195" s="432"/>
      <c r="D6195" s="454"/>
      <c r="E6195" s="120">
        <v>5000</v>
      </c>
      <c r="F6195" s="133" t="s">
        <v>13335</v>
      </c>
      <c r="G6195" s="435"/>
      <c r="H6195" s="438"/>
      <c r="I6195" s="438"/>
      <c r="J6195" s="438"/>
      <c r="K6195" s="437"/>
      <c r="L6195" s="187">
        <v>500</v>
      </c>
      <c r="M6195" s="487"/>
      <c r="N6195" s="91">
        <f t="shared" si="2641"/>
        <v>2500</v>
      </c>
      <c r="O6195" s="411">
        <f t="shared" si="2603"/>
        <v>-2500</v>
      </c>
      <c r="P6195" s="132" t="s">
        <v>638</v>
      </c>
      <c r="Q6195" s="232"/>
      <c r="R6195" s="411"/>
      <c r="T6195" s="440"/>
      <c r="U6195" s="447"/>
      <c r="AA6195" s="218"/>
    </row>
    <row r="6196" spans="1:27" x14ac:dyDescent="0.25">
      <c r="A6196" s="432"/>
      <c r="B6196" s="433"/>
      <c r="C6196" s="432"/>
      <c r="D6196" s="454"/>
      <c r="E6196" s="120">
        <v>4000</v>
      </c>
      <c r="F6196" s="133" t="s">
        <v>13336</v>
      </c>
      <c r="G6196" s="435"/>
      <c r="H6196" s="438"/>
      <c r="I6196" s="438"/>
      <c r="J6196" s="438"/>
      <c r="K6196" s="437"/>
      <c r="L6196" s="187">
        <v>289</v>
      </c>
      <c r="M6196" s="187">
        <v>102.64</v>
      </c>
      <c r="N6196" s="91">
        <f t="shared" si="2641"/>
        <v>1258.6400000000001</v>
      </c>
      <c r="O6196" s="411">
        <f t="shared" si="2603"/>
        <v>-1258.6400000000001</v>
      </c>
      <c r="P6196" s="132" t="s">
        <v>2168</v>
      </c>
      <c r="Q6196" s="232"/>
      <c r="R6196" s="411"/>
      <c r="T6196" s="408" t="s">
        <v>364</v>
      </c>
      <c r="U6196" s="267" t="s">
        <v>13337</v>
      </c>
      <c r="V6196" s="133" t="s">
        <v>13338</v>
      </c>
      <c r="AA6196" s="218"/>
    </row>
    <row r="6197" spans="1:27" ht="23.25" customHeight="1" x14ac:dyDescent="0.25">
      <c r="A6197" s="432"/>
      <c r="B6197" s="433"/>
      <c r="C6197" s="432"/>
      <c r="D6197" s="454"/>
      <c r="E6197" s="120">
        <v>2000</v>
      </c>
      <c r="F6197" s="133" t="s">
        <v>13339</v>
      </c>
      <c r="G6197" s="435"/>
      <c r="H6197" s="438"/>
      <c r="I6197" s="438"/>
      <c r="J6197" s="438"/>
      <c r="K6197" s="437"/>
      <c r="L6197" s="187">
        <v>129</v>
      </c>
      <c r="M6197" s="187"/>
      <c r="N6197" s="91">
        <f t="shared" si="2641"/>
        <v>258</v>
      </c>
      <c r="O6197" s="411">
        <f t="shared" si="2603"/>
        <v>-258</v>
      </c>
      <c r="P6197" s="132" t="s">
        <v>638</v>
      </c>
      <c r="Q6197" s="232"/>
      <c r="R6197" s="411"/>
      <c r="T6197" s="409" t="s">
        <v>3081</v>
      </c>
      <c r="U6197" s="267" t="s">
        <v>13334</v>
      </c>
      <c r="AA6197" s="218"/>
    </row>
    <row r="6198" spans="1:27" ht="26.25" customHeight="1" x14ac:dyDescent="0.25">
      <c r="A6198" s="432"/>
      <c r="B6198" s="433"/>
      <c r="C6198" s="432"/>
      <c r="D6198" s="454"/>
      <c r="E6198" s="120">
        <v>500</v>
      </c>
      <c r="F6198" s="133" t="s">
        <v>13340</v>
      </c>
      <c r="G6198" s="435"/>
      <c r="H6198" s="438"/>
      <c r="I6198" s="438"/>
      <c r="J6198" s="438"/>
      <c r="K6198" s="437"/>
      <c r="L6198" s="187">
        <v>650</v>
      </c>
      <c r="M6198" s="187">
        <v>102.59</v>
      </c>
      <c r="N6198" s="91">
        <f t="shared" si="2641"/>
        <v>427.59000000000003</v>
      </c>
      <c r="O6198" s="411">
        <f t="shared" si="2603"/>
        <v>-427.59000000000003</v>
      </c>
      <c r="P6198" s="132" t="s">
        <v>2895</v>
      </c>
      <c r="Q6198" s="232"/>
      <c r="R6198" s="411"/>
      <c r="T6198" s="134" t="s">
        <v>13341</v>
      </c>
      <c r="U6198" s="267" t="s">
        <v>13342</v>
      </c>
      <c r="V6198" s="133" t="s">
        <v>13343</v>
      </c>
      <c r="AA6198" s="218"/>
    </row>
    <row r="6199" spans="1:27" ht="25.5" customHeight="1" x14ac:dyDescent="0.25">
      <c r="A6199" s="420"/>
      <c r="B6199" s="422"/>
      <c r="C6199" s="420"/>
      <c r="D6199" s="418"/>
      <c r="E6199" s="120">
        <v>2000</v>
      </c>
      <c r="F6199" s="133" t="s">
        <v>13344</v>
      </c>
      <c r="G6199" s="436"/>
      <c r="H6199" s="428"/>
      <c r="I6199" s="428"/>
      <c r="J6199" s="428"/>
      <c r="K6199" s="426"/>
      <c r="L6199" s="187">
        <v>620</v>
      </c>
      <c r="M6199" s="187"/>
      <c r="N6199" s="91">
        <f t="shared" si="2641"/>
        <v>1240</v>
      </c>
      <c r="O6199" s="411">
        <f t="shared" si="2603"/>
        <v>-1240</v>
      </c>
      <c r="P6199" s="132" t="s">
        <v>638</v>
      </c>
      <c r="Q6199" s="232"/>
      <c r="R6199" s="411"/>
      <c r="T6199" s="134" t="s">
        <v>3081</v>
      </c>
      <c r="U6199" s="267" t="s">
        <v>13334</v>
      </c>
      <c r="AA6199" s="218"/>
    </row>
    <row r="6200" spans="1:27" ht="24" x14ac:dyDescent="0.25">
      <c r="A6200" s="405">
        <v>3004879</v>
      </c>
      <c r="B6200" s="406">
        <v>42655</v>
      </c>
      <c r="C6200" s="405" t="s">
        <v>555</v>
      </c>
      <c r="D6200" s="401" t="s">
        <v>13345</v>
      </c>
      <c r="E6200" s="120">
        <v>328</v>
      </c>
      <c r="F6200" s="133" t="s">
        <v>13346</v>
      </c>
      <c r="G6200" s="404" t="s">
        <v>7486</v>
      </c>
      <c r="H6200" s="411">
        <v>950</v>
      </c>
      <c r="I6200" s="411">
        <v>0</v>
      </c>
      <c r="J6200" s="411">
        <v>0</v>
      </c>
      <c r="K6200" s="396">
        <f>SUM(H6200:J6200)</f>
        <v>950</v>
      </c>
      <c r="L6200" s="131">
        <v>1619.18</v>
      </c>
      <c r="M6200" s="131">
        <v>25</v>
      </c>
      <c r="N6200" s="91">
        <f t="shared" si="2641"/>
        <v>556.09104000000002</v>
      </c>
      <c r="O6200" s="411">
        <f t="shared" si="2603"/>
        <v>393.90895999999998</v>
      </c>
      <c r="P6200" s="132" t="s">
        <v>46</v>
      </c>
      <c r="Q6200" s="232"/>
      <c r="R6200" s="411"/>
      <c r="T6200" s="134" t="s">
        <v>8218</v>
      </c>
      <c r="U6200" s="266" t="s">
        <v>8218</v>
      </c>
      <c r="V6200" s="133" t="s">
        <v>13347</v>
      </c>
      <c r="W6200" s="153" t="s">
        <v>12011</v>
      </c>
      <c r="AA6200" s="218"/>
    </row>
    <row r="6201" spans="1:27" ht="24" x14ac:dyDescent="0.25">
      <c r="A6201" s="405">
        <v>3004880</v>
      </c>
      <c r="B6201" s="406">
        <v>42655</v>
      </c>
      <c r="C6201" s="405" t="s">
        <v>42</v>
      </c>
      <c r="D6201" s="401" t="s">
        <v>13348</v>
      </c>
      <c r="E6201" s="120">
        <v>100</v>
      </c>
      <c r="F6201" s="133" t="s">
        <v>431</v>
      </c>
      <c r="G6201" s="404" t="s">
        <v>7486</v>
      </c>
      <c r="H6201" s="411">
        <v>227.48</v>
      </c>
      <c r="I6201" s="89">
        <f t="shared" ref="I6201:I6212" si="2645">-(H6201*0.09)</f>
        <v>-20.473199999999999</v>
      </c>
      <c r="J6201" s="258">
        <f t="shared" ref="J6201" si="2646">-((H6201*0.019)+0.3)</f>
        <v>-4.6221199999999998</v>
      </c>
      <c r="K6201" s="90">
        <f t="shared" ref="K6201" si="2647">SUM(H6201:J6201)</f>
        <v>202.38468</v>
      </c>
      <c r="L6201" s="131">
        <v>990</v>
      </c>
      <c r="M6201" s="187">
        <v>37.89</v>
      </c>
      <c r="N6201" s="91">
        <f t="shared" si="2641"/>
        <v>136.88999999999999</v>
      </c>
      <c r="O6201" s="411">
        <f t="shared" si="2603"/>
        <v>65.494680000000017</v>
      </c>
      <c r="P6201" s="132" t="s">
        <v>52</v>
      </c>
      <c r="Q6201" s="232"/>
      <c r="R6201" s="411"/>
      <c r="T6201" s="134" t="s">
        <v>145</v>
      </c>
      <c r="U6201" s="267" t="s">
        <v>13349</v>
      </c>
      <c r="AA6201" s="218"/>
    </row>
    <row r="6202" spans="1:27" ht="24" x14ac:dyDescent="0.25">
      <c r="A6202" s="405">
        <v>3004881</v>
      </c>
      <c r="B6202" s="406">
        <v>42655</v>
      </c>
      <c r="C6202" s="405" t="s">
        <v>42</v>
      </c>
      <c r="D6202" s="401" t="s">
        <v>13350</v>
      </c>
      <c r="E6202" s="120">
        <v>250</v>
      </c>
      <c r="F6202" s="133" t="s">
        <v>7999</v>
      </c>
      <c r="G6202" s="404" t="s">
        <v>7486</v>
      </c>
      <c r="H6202" s="411">
        <v>179.86</v>
      </c>
      <c r="I6202" s="89">
        <f t="shared" si="2645"/>
        <v>-16.1874</v>
      </c>
      <c r="J6202" s="258">
        <f t="shared" ref="J6202" si="2648">-((H6202*0.019)+0.3)</f>
        <v>-3.7173400000000001</v>
      </c>
      <c r="K6202" s="90">
        <f t="shared" ref="K6202" si="2649">SUM(H6202:J6202)</f>
        <v>159.95526000000001</v>
      </c>
      <c r="L6202" s="187">
        <v>290</v>
      </c>
      <c r="M6202" s="187">
        <v>19.57</v>
      </c>
      <c r="N6202" s="91">
        <f t="shared" si="2641"/>
        <v>92.07</v>
      </c>
      <c r="O6202" s="411">
        <f t="shared" si="2603"/>
        <v>67.885260000000017</v>
      </c>
      <c r="P6202" s="132" t="s">
        <v>183</v>
      </c>
      <c r="Q6202" s="232"/>
      <c r="R6202" s="411"/>
      <c r="T6202" s="134" t="s">
        <v>145</v>
      </c>
      <c r="U6202" s="267" t="s">
        <v>13351</v>
      </c>
      <c r="AA6202" s="218"/>
    </row>
    <row r="6203" spans="1:27" ht="24" x14ac:dyDescent="0.25">
      <c r="A6203" s="405">
        <v>3004882</v>
      </c>
      <c r="B6203" s="406">
        <v>42655</v>
      </c>
      <c r="C6203" s="405" t="s">
        <v>42</v>
      </c>
      <c r="D6203" s="401" t="s">
        <v>13289</v>
      </c>
      <c r="E6203" s="120">
        <v>313</v>
      </c>
      <c r="F6203" s="133" t="s">
        <v>165</v>
      </c>
      <c r="G6203" s="404" t="s">
        <v>7486</v>
      </c>
      <c r="H6203" s="411">
        <v>334.39</v>
      </c>
      <c r="I6203" s="89">
        <f t="shared" si="2645"/>
        <v>-30.095099999999999</v>
      </c>
      <c r="J6203" s="258">
        <f t="shared" ref="J6203" si="2650">-((H6203*0.019)+0.3)</f>
        <v>-6.6534099999999992</v>
      </c>
      <c r="K6203" s="90">
        <f t="shared" ref="K6203" si="2651">SUM(H6203:J6203)</f>
        <v>297.64148999999998</v>
      </c>
      <c r="L6203" s="131">
        <v>375</v>
      </c>
      <c r="M6203" s="187">
        <v>50.69</v>
      </c>
      <c r="N6203" s="91">
        <f t="shared" si="2641"/>
        <v>168.065</v>
      </c>
      <c r="O6203" s="411">
        <f t="shared" si="2603"/>
        <v>129.57648999999998</v>
      </c>
      <c r="P6203" s="132" t="s">
        <v>52</v>
      </c>
      <c r="Q6203" s="232"/>
      <c r="R6203" s="411"/>
      <c r="T6203" s="134" t="s">
        <v>145</v>
      </c>
      <c r="U6203" s="267" t="s">
        <v>13352</v>
      </c>
      <c r="AA6203" s="218"/>
    </row>
    <row r="6204" spans="1:27" ht="24" x14ac:dyDescent="0.25">
      <c r="A6204" s="405">
        <v>3004883</v>
      </c>
      <c r="B6204" s="406">
        <v>42655</v>
      </c>
      <c r="C6204" s="405" t="s">
        <v>42</v>
      </c>
      <c r="D6204" s="401" t="s">
        <v>13353</v>
      </c>
      <c r="E6204" s="120">
        <v>150</v>
      </c>
      <c r="F6204" s="133" t="s">
        <v>1547</v>
      </c>
      <c r="G6204" s="404" t="s">
        <v>7486</v>
      </c>
      <c r="H6204" s="411">
        <v>156.24</v>
      </c>
      <c r="I6204" s="89">
        <f t="shared" si="2645"/>
        <v>-14.0616</v>
      </c>
      <c r="J6204" s="258">
        <f t="shared" ref="J6204" si="2652">-((H6204*0.019)+0.3)</f>
        <v>-3.2685599999999999</v>
      </c>
      <c r="K6204" s="90">
        <f t="shared" ref="K6204" si="2653">SUM(H6204:J6204)</f>
        <v>138.90984</v>
      </c>
      <c r="L6204" s="187">
        <v>660</v>
      </c>
      <c r="M6204" s="187">
        <f>13.81+5</f>
        <v>18.810000000000002</v>
      </c>
      <c r="N6204" s="91">
        <f t="shared" si="2641"/>
        <v>117.81</v>
      </c>
      <c r="O6204" s="411">
        <f t="shared" si="2603"/>
        <v>21.09984</v>
      </c>
      <c r="P6204" s="132" t="s">
        <v>313</v>
      </c>
      <c r="Q6204" s="232"/>
      <c r="R6204" s="411"/>
      <c r="T6204" s="134" t="s">
        <v>145</v>
      </c>
      <c r="U6204" s="267" t="s">
        <v>13354</v>
      </c>
      <c r="AA6204" s="218"/>
    </row>
    <row r="6205" spans="1:27" ht="24" x14ac:dyDescent="0.25">
      <c r="A6205" s="405">
        <v>3004884</v>
      </c>
      <c r="B6205" s="406">
        <v>42655</v>
      </c>
      <c r="C6205" s="405" t="s">
        <v>42</v>
      </c>
      <c r="D6205" s="401" t="s">
        <v>13355</v>
      </c>
      <c r="E6205" s="120">
        <v>250</v>
      </c>
      <c r="F6205" s="133" t="s">
        <v>451</v>
      </c>
      <c r="G6205" s="404" t="s">
        <v>7486</v>
      </c>
      <c r="H6205" s="411">
        <v>168.27</v>
      </c>
      <c r="I6205" s="89">
        <f t="shared" si="2645"/>
        <v>-15.144300000000001</v>
      </c>
      <c r="J6205" s="258">
        <f t="shared" ref="J6205" si="2654">-((H6205*0.019)+0.3)</f>
        <v>-3.4971299999999998</v>
      </c>
      <c r="K6205" s="90">
        <f t="shared" ref="K6205" si="2655">SUM(H6205:J6205)</f>
        <v>149.62857</v>
      </c>
      <c r="L6205" s="131">
        <v>300</v>
      </c>
      <c r="M6205" s="187">
        <v>32.74</v>
      </c>
      <c r="N6205" s="91">
        <f t="shared" si="2641"/>
        <v>107.74000000000001</v>
      </c>
      <c r="O6205" s="411">
        <f t="shared" si="2603"/>
        <v>41.888569999999987</v>
      </c>
      <c r="P6205" s="132" t="s">
        <v>52</v>
      </c>
      <c r="Q6205" s="232"/>
      <c r="R6205" s="411"/>
      <c r="T6205" s="134" t="s">
        <v>145</v>
      </c>
      <c r="U6205" s="267" t="s">
        <v>13356</v>
      </c>
      <c r="AA6205" s="218"/>
    </row>
    <row r="6206" spans="1:27" ht="24" x14ac:dyDescent="0.25">
      <c r="A6206" s="405">
        <v>3004885</v>
      </c>
      <c r="B6206" s="406">
        <v>42655</v>
      </c>
      <c r="C6206" s="405" t="s">
        <v>42</v>
      </c>
      <c r="D6206" s="401" t="s">
        <v>13357</v>
      </c>
      <c r="E6206" s="120">
        <v>300</v>
      </c>
      <c r="F6206" s="133" t="s">
        <v>165</v>
      </c>
      <c r="G6206" s="404" t="s">
        <v>7486</v>
      </c>
      <c r="H6206" s="411">
        <v>285.27</v>
      </c>
      <c r="I6206" s="89">
        <f t="shared" si="2645"/>
        <v>-25.674299999999999</v>
      </c>
      <c r="J6206" s="258">
        <f t="shared" ref="J6206" si="2656">-((H6206*0.019)+0.3)</f>
        <v>-5.7201299999999993</v>
      </c>
      <c r="K6206" s="90">
        <f t="shared" ref="K6206" si="2657">SUM(H6206:J6206)</f>
        <v>253.87556999999995</v>
      </c>
      <c r="L6206" s="131">
        <v>375</v>
      </c>
      <c r="M6206" s="187">
        <v>32.35</v>
      </c>
      <c r="N6206" s="91">
        <f t="shared" si="2641"/>
        <v>144.85</v>
      </c>
      <c r="O6206" s="411">
        <f t="shared" si="2603"/>
        <v>109.02556999999996</v>
      </c>
      <c r="P6206" s="132" t="s">
        <v>52</v>
      </c>
      <c r="Q6206" s="232"/>
      <c r="R6206" s="411"/>
      <c r="T6206" s="134" t="s">
        <v>145</v>
      </c>
      <c r="U6206" s="267" t="s">
        <v>13358</v>
      </c>
      <c r="AA6206" s="218"/>
    </row>
    <row r="6207" spans="1:27" ht="24" x14ac:dyDescent="0.25">
      <c r="A6207" s="405">
        <v>3004886</v>
      </c>
      <c r="B6207" s="406">
        <v>42655</v>
      </c>
      <c r="C6207" s="405" t="s">
        <v>42</v>
      </c>
      <c r="D6207" s="401" t="s">
        <v>13359</v>
      </c>
      <c r="E6207" s="120">
        <v>100</v>
      </c>
      <c r="F6207" s="133" t="s">
        <v>161</v>
      </c>
      <c r="G6207" s="404" t="s">
        <v>7486</v>
      </c>
      <c r="H6207" s="411">
        <v>264.60000000000002</v>
      </c>
      <c r="I6207" s="89">
        <f t="shared" si="2645"/>
        <v>-23.814</v>
      </c>
      <c r="J6207" s="258">
        <f t="shared" ref="J6207" si="2658">-((H6207*0.019)+0.3)</f>
        <v>-5.3273999999999999</v>
      </c>
      <c r="K6207" s="90">
        <f t="shared" ref="K6207" si="2659">SUM(H6207:J6207)</f>
        <v>235.45860000000002</v>
      </c>
      <c r="L6207" s="131">
        <v>1322</v>
      </c>
      <c r="M6207" s="187">
        <v>20.79</v>
      </c>
      <c r="N6207" s="91">
        <f t="shared" si="2641"/>
        <v>152.99</v>
      </c>
      <c r="O6207" s="411">
        <f t="shared" si="2603"/>
        <v>82.468600000000009</v>
      </c>
      <c r="P6207" s="132" t="s">
        <v>52</v>
      </c>
      <c r="Q6207" s="232"/>
      <c r="R6207" s="411">
        <v>16.600000000000001</v>
      </c>
      <c r="S6207" s="133" t="s">
        <v>606</v>
      </c>
      <c r="T6207" s="134" t="s">
        <v>145</v>
      </c>
      <c r="U6207" s="267" t="s">
        <v>13360</v>
      </c>
      <c r="AA6207" s="218"/>
    </row>
    <row r="6208" spans="1:27" ht="24" x14ac:dyDescent="0.25">
      <c r="A6208" s="405">
        <v>3004887</v>
      </c>
      <c r="B6208" s="406">
        <v>42655</v>
      </c>
      <c r="C6208" s="405" t="s">
        <v>42</v>
      </c>
      <c r="D6208" s="401" t="s">
        <v>13361</v>
      </c>
      <c r="E6208" s="120">
        <v>100</v>
      </c>
      <c r="F6208" s="133" t="s">
        <v>1507</v>
      </c>
      <c r="G6208" s="404" t="s">
        <v>7486</v>
      </c>
      <c r="H6208" s="411">
        <v>314.82</v>
      </c>
      <c r="I6208" s="89">
        <f t="shared" si="2645"/>
        <v>-28.3338</v>
      </c>
      <c r="J6208" s="258">
        <f t="shared" ref="J6208" si="2660">-((H6208*0.019)+0.3)</f>
        <v>-6.2815799999999999</v>
      </c>
      <c r="K6208" s="90">
        <f t="shared" ref="K6208" si="2661">SUM(H6208:J6208)</f>
        <v>280.20461999999998</v>
      </c>
      <c r="L6208" s="187">
        <v>2200</v>
      </c>
      <c r="M6208" s="187">
        <v>48.34</v>
      </c>
      <c r="N6208" s="91">
        <f>((L6208)*(E6208*0.001))+M6208</f>
        <v>268.34000000000003</v>
      </c>
      <c r="O6208" s="411">
        <f t="shared" si="2603"/>
        <v>11.864619999999945</v>
      </c>
      <c r="P6208" s="132" t="s">
        <v>601</v>
      </c>
      <c r="Q6208" s="232"/>
      <c r="R6208" s="411"/>
      <c r="T6208" s="134" t="s">
        <v>145</v>
      </c>
      <c r="U6208" s="267" t="s">
        <v>13362</v>
      </c>
      <c r="AA6208" s="218"/>
    </row>
    <row r="6209" spans="1:27" ht="24" x14ac:dyDescent="0.25">
      <c r="A6209" s="405">
        <v>3004888</v>
      </c>
      <c r="B6209" s="406">
        <v>42655</v>
      </c>
      <c r="C6209" s="405" t="s">
        <v>42</v>
      </c>
      <c r="D6209" s="401" t="s">
        <v>13177</v>
      </c>
      <c r="E6209" s="120">
        <v>225</v>
      </c>
      <c r="F6209" s="133" t="s">
        <v>222</v>
      </c>
      <c r="G6209" s="404" t="s">
        <v>7486</v>
      </c>
      <c r="H6209" s="411">
        <v>376.5</v>
      </c>
      <c r="I6209" s="89">
        <f t="shared" si="2645"/>
        <v>-33.884999999999998</v>
      </c>
      <c r="J6209" s="258">
        <f t="shared" ref="J6209" si="2662">-((H6209*0.019)+0.3)</f>
        <v>-7.4535</v>
      </c>
      <c r="K6209" s="90">
        <f t="shared" ref="K6209" si="2663">SUM(H6209:J6209)</f>
        <v>335.16149999999999</v>
      </c>
      <c r="L6209" s="131">
        <v>806</v>
      </c>
      <c r="M6209" s="187">
        <v>51.72</v>
      </c>
      <c r="N6209" s="91">
        <f t="shared" ref="N6209:N6272" si="2664">((L6209)*(E6209*0.001))+M6209</f>
        <v>233.07</v>
      </c>
      <c r="O6209" s="411">
        <f t="shared" si="2603"/>
        <v>102.0915</v>
      </c>
      <c r="P6209" s="132" t="s">
        <v>52</v>
      </c>
      <c r="Q6209" s="232"/>
      <c r="R6209" s="411"/>
      <c r="T6209" s="134" t="s">
        <v>145</v>
      </c>
      <c r="U6209" s="267" t="s">
        <v>13363</v>
      </c>
      <c r="AA6209" s="218"/>
    </row>
    <row r="6210" spans="1:27" ht="24" x14ac:dyDescent="0.25">
      <c r="A6210" s="405">
        <v>3004889</v>
      </c>
      <c r="B6210" s="406">
        <v>42655</v>
      </c>
      <c r="C6210" s="405" t="s">
        <v>42</v>
      </c>
      <c r="D6210" s="401" t="s">
        <v>13364</v>
      </c>
      <c r="E6210" s="120">
        <v>100</v>
      </c>
      <c r="F6210" s="133" t="s">
        <v>307</v>
      </c>
      <c r="G6210" s="404" t="s">
        <v>7486</v>
      </c>
      <c r="H6210" s="411">
        <v>156.97999999999999</v>
      </c>
      <c r="I6210" s="89">
        <f t="shared" si="2645"/>
        <v>-14.128199999999998</v>
      </c>
      <c r="J6210" s="258">
        <f t="shared" ref="J6210" si="2665">-((H6210*0.019)+0.3)</f>
        <v>-3.2826199999999996</v>
      </c>
      <c r="K6210" s="90">
        <f t="shared" ref="K6210" si="2666">SUM(H6210:J6210)</f>
        <v>139.56917999999999</v>
      </c>
      <c r="L6210" s="131">
        <v>622.45000000000005</v>
      </c>
      <c r="M6210" s="187">
        <v>19.82</v>
      </c>
      <c r="N6210" s="91">
        <f t="shared" si="2664"/>
        <v>82.064999999999998</v>
      </c>
      <c r="O6210" s="411">
        <f t="shared" si="2603"/>
        <v>57.504179999999991</v>
      </c>
      <c r="P6210" s="132" t="s">
        <v>52</v>
      </c>
      <c r="Q6210" s="232"/>
      <c r="R6210" s="411">
        <v>11.63</v>
      </c>
      <c r="S6210" s="133" t="s">
        <v>1169</v>
      </c>
      <c r="T6210" s="134" t="s">
        <v>145</v>
      </c>
      <c r="U6210" s="267" t="s">
        <v>13365</v>
      </c>
      <c r="AA6210" s="218"/>
    </row>
    <row r="6211" spans="1:27" x14ac:dyDescent="0.25">
      <c r="A6211" s="405">
        <v>3004890</v>
      </c>
      <c r="B6211" s="406">
        <v>42655</v>
      </c>
      <c r="C6211" s="405" t="s">
        <v>42</v>
      </c>
      <c r="D6211" s="401" t="s">
        <v>13366</v>
      </c>
      <c r="E6211" s="120">
        <v>200</v>
      </c>
      <c r="F6211" s="133" t="s">
        <v>51</v>
      </c>
      <c r="G6211" s="404" t="s">
        <v>7486</v>
      </c>
      <c r="H6211" s="411">
        <v>432</v>
      </c>
      <c r="I6211" s="89">
        <f t="shared" si="2645"/>
        <v>-38.879999999999995</v>
      </c>
      <c r="J6211" s="258">
        <f t="shared" ref="J6211" si="2667">-((H6211*0.019)+0.3)</f>
        <v>-8.5080000000000009</v>
      </c>
      <c r="K6211" s="90">
        <f t="shared" ref="K6211" si="2668">SUM(H6211:J6211)</f>
        <v>384.61200000000002</v>
      </c>
      <c r="L6211" s="187">
        <v>1200</v>
      </c>
      <c r="M6211" s="187">
        <v>108.03</v>
      </c>
      <c r="N6211" s="91">
        <f t="shared" si="2664"/>
        <v>348.03</v>
      </c>
      <c r="O6211" s="411">
        <f t="shared" si="2603"/>
        <v>36.58200000000005</v>
      </c>
      <c r="P6211" s="132" t="s">
        <v>183</v>
      </c>
      <c r="Q6211" s="232"/>
      <c r="R6211" s="411"/>
      <c r="T6211" s="134" t="s">
        <v>10709</v>
      </c>
      <c r="U6211" s="267" t="s">
        <v>13367</v>
      </c>
      <c r="AA6211" s="218"/>
    </row>
    <row r="6212" spans="1:27" x14ac:dyDescent="0.25">
      <c r="A6212" s="405">
        <v>3004891</v>
      </c>
      <c r="B6212" s="406">
        <v>42655</v>
      </c>
      <c r="C6212" s="405" t="s">
        <v>42</v>
      </c>
      <c r="D6212" s="401" t="s">
        <v>13368</v>
      </c>
      <c r="E6212" s="120">
        <v>500</v>
      </c>
      <c r="F6212" s="133" t="s">
        <v>247</v>
      </c>
      <c r="G6212" s="404" t="s">
        <v>7486</v>
      </c>
      <c r="H6212" s="411">
        <v>553.37</v>
      </c>
      <c r="I6212" s="89">
        <f t="shared" si="2645"/>
        <v>-49.8033</v>
      </c>
      <c r="J6212" s="258">
        <f t="shared" ref="J6212" si="2669">-((H6212*0.019)+0.3)</f>
        <v>-10.814030000000001</v>
      </c>
      <c r="K6212" s="90">
        <f t="shared" ref="K6212" si="2670">SUM(H6212:J6212)</f>
        <v>492.75267000000002</v>
      </c>
      <c r="L6212" s="187">
        <v>584</v>
      </c>
      <c r="M6212" s="187">
        <v>106.36</v>
      </c>
      <c r="N6212" s="91">
        <f t="shared" si="2664"/>
        <v>398.36</v>
      </c>
      <c r="O6212" s="411">
        <f t="shared" ref="O6212:O6275" si="2671">K6212-N6212</f>
        <v>94.39267000000001</v>
      </c>
      <c r="P6212" s="132" t="s">
        <v>3597</v>
      </c>
      <c r="Q6212" s="232"/>
      <c r="R6212" s="411"/>
      <c r="T6212" s="134" t="s">
        <v>3598</v>
      </c>
      <c r="U6212" s="267" t="s">
        <v>13369</v>
      </c>
      <c r="AA6212" s="218"/>
    </row>
    <row r="6213" spans="1:27" ht="24" x14ac:dyDescent="0.25">
      <c r="A6213" s="405">
        <v>3004892</v>
      </c>
      <c r="B6213" s="406">
        <v>42655</v>
      </c>
      <c r="C6213" s="405" t="s">
        <v>237</v>
      </c>
      <c r="D6213" s="401" t="s">
        <v>13370</v>
      </c>
      <c r="E6213" s="120">
        <v>100</v>
      </c>
      <c r="F6213" s="133" t="s">
        <v>341</v>
      </c>
      <c r="G6213" s="404" t="s">
        <v>7486</v>
      </c>
      <c r="H6213" s="411">
        <v>140</v>
      </c>
      <c r="I6213" s="397">
        <f t="shared" ref="I6213" si="2672">-(H6213*0.15)</f>
        <v>-21</v>
      </c>
      <c r="J6213" s="258">
        <v>0</v>
      </c>
      <c r="K6213" s="90">
        <f>SUM(H6213:J6213)</f>
        <v>119</v>
      </c>
      <c r="L6213" s="131">
        <v>695</v>
      </c>
      <c r="M6213" s="187">
        <v>13.27</v>
      </c>
      <c r="N6213" s="91">
        <f t="shared" si="2664"/>
        <v>82.77</v>
      </c>
      <c r="O6213" s="411">
        <f t="shared" si="2671"/>
        <v>36.230000000000004</v>
      </c>
      <c r="P6213" s="132" t="s">
        <v>52</v>
      </c>
      <c r="Q6213" s="232"/>
      <c r="R6213" s="411"/>
      <c r="T6213" s="134" t="s">
        <v>145</v>
      </c>
      <c r="U6213" s="267" t="s">
        <v>13371</v>
      </c>
      <c r="AA6213" s="218"/>
    </row>
    <row r="6214" spans="1:27" ht="24" x14ac:dyDescent="0.25">
      <c r="A6214" s="405">
        <v>3004893</v>
      </c>
      <c r="B6214" s="406">
        <v>42655</v>
      </c>
      <c r="C6214" s="405" t="s">
        <v>237</v>
      </c>
      <c r="D6214" s="401" t="s">
        <v>13372</v>
      </c>
      <c r="E6214" s="120">
        <v>50</v>
      </c>
      <c r="F6214" s="133" t="s">
        <v>288</v>
      </c>
      <c r="G6214" s="404" t="s">
        <v>7486</v>
      </c>
      <c r="H6214" s="411">
        <v>113.43</v>
      </c>
      <c r="I6214" s="397">
        <f t="shared" ref="I6214" si="2673">-(H6214*0.15)</f>
        <v>-17.014500000000002</v>
      </c>
      <c r="J6214" s="258">
        <v>0</v>
      </c>
      <c r="K6214" s="90">
        <f>SUM(H6214:J6214)</f>
        <v>96.415500000000009</v>
      </c>
      <c r="L6214" s="131">
        <v>900</v>
      </c>
      <c r="M6214" s="187">
        <v>21.2</v>
      </c>
      <c r="N6214" s="91">
        <f t="shared" si="2664"/>
        <v>66.2</v>
      </c>
      <c r="O6214" s="411">
        <f t="shared" si="2671"/>
        <v>30.215500000000006</v>
      </c>
      <c r="P6214" s="132" t="s">
        <v>52</v>
      </c>
      <c r="Q6214" s="232"/>
      <c r="R6214" s="411"/>
      <c r="T6214" s="134" t="s">
        <v>145</v>
      </c>
      <c r="U6214" s="267" t="s">
        <v>13373</v>
      </c>
      <c r="AA6214" s="218"/>
    </row>
    <row r="6215" spans="1:27" ht="24" x14ac:dyDescent="0.25">
      <c r="A6215" s="405">
        <v>3004894</v>
      </c>
      <c r="B6215" s="406">
        <v>42655</v>
      </c>
      <c r="C6215" s="405" t="s">
        <v>237</v>
      </c>
      <c r="D6215" s="401" t="s">
        <v>13374</v>
      </c>
      <c r="E6215" s="120">
        <v>75</v>
      </c>
      <c r="F6215" s="133" t="s">
        <v>431</v>
      </c>
      <c r="G6215" s="404" t="s">
        <v>7486</v>
      </c>
      <c r="H6215" s="411">
        <v>192.58</v>
      </c>
      <c r="I6215" s="397">
        <f t="shared" ref="I6215" si="2674">-(H6215*0.15)</f>
        <v>-28.887</v>
      </c>
      <c r="J6215" s="258">
        <v>0</v>
      </c>
      <c r="K6215" s="90">
        <f>SUM(H6215:J6215)</f>
        <v>163.69300000000001</v>
      </c>
      <c r="L6215" s="131">
        <v>990</v>
      </c>
      <c r="M6215" s="187">
        <v>36.6</v>
      </c>
      <c r="N6215" s="91">
        <f t="shared" si="2664"/>
        <v>110.85</v>
      </c>
      <c r="O6215" s="411">
        <f t="shared" si="2671"/>
        <v>52.843000000000018</v>
      </c>
      <c r="P6215" s="132" t="s">
        <v>52</v>
      </c>
      <c r="Q6215" s="232"/>
      <c r="R6215" s="411"/>
      <c r="T6215" s="134" t="s">
        <v>145</v>
      </c>
      <c r="U6215" s="267" t="s">
        <v>13375</v>
      </c>
      <c r="AA6215" s="218"/>
    </row>
    <row r="6216" spans="1:27" ht="24" x14ac:dyDescent="0.25">
      <c r="A6216" s="405">
        <v>3004895</v>
      </c>
      <c r="B6216" s="406">
        <v>42655</v>
      </c>
      <c r="C6216" s="405" t="s">
        <v>237</v>
      </c>
      <c r="D6216" s="401" t="s">
        <v>13376</v>
      </c>
      <c r="E6216" s="120">
        <v>65</v>
      </c>
      <c r="F6216" s="133" t="s">
        <v>3307</v>
      </c>
      <c r="G6216" s="404" t="s">
        <v>7486</v>
      </c>
      <c r="H6216" s="411">
        <v>127.4</v>
      </c>
      <c r="I6216" s="397">
        <f t="shared" ref="I6216" si="2675">-(H6216*0.15)</f>
        <v>-19.11</v>
      </c>
      <c r="J6216" s="258">
        <v>0</v>
      </c>
      <c r="K6216" s="90">
        <f>SUM(H6216:J6216)</f>
        <v>108.29</v>
      </c>
      <c r="L6216" s="187">
        <v>1170</v>
      </c>
      <c r="M6216" s="187">
        <v>14.43</v>
      </c>
      <c r="N6216" s="91">
        <f t="shared" si="2664"/>
        <v>90.47999999999999</v>
      </c>
      <c r="O6216" s="411">
        <f t="shared" si="2671"/>
        <v>17.810000000000016</v>
      </c>
      <c r="P6216" s="132" t="s">
        <v>601</v>
      </c>
      <c r="Q6216" s="232"/>
      <c r="R6216" s="411"/>
      <c r="T6216" s="134" t="s">
        <v>145</v>
      </c>
      <c r="U6216" s="267" t="s">
        <v>13377</v>
      </c>
      <c r="AA6216" s="218"/>
    </row>
    <row r="6217" spans="1:27" x14ac:dyDescent="0.25">
      <c r="A6217" s="419">
        <v>3004896</v>
      </c>
      <c r="B6217" s="421">
        <v>42655</v>
      </c>
      <c r="C6217" s="419" t="s">
        <v>56</v>
      </c>
      <c r="D6217" s="417" t="s">
        <v>87</v>
      </c>
      <c r="E6217" s="364">
        <v>1000</v>
      </c>
      <c r="F6217" s="164" t="s">
        <v>198</v>
      </c>
      <c r="G6217" s="460" t="s">
        <v>7486</v>
      </c>
      <c r="H6217" s="427">
        <v>42877.55</v>
      </c>
      <c r="I6217" s="427">
        <v>0</v>
      </c>
      <c r="J6217" s="427">
        <v>0</v>
      </c>
      <c r="K6217" s="425">
        <f>SUM(H6217:J6217)</f>
        <v>42877.55</v>
      </c>
      <c r="L6217" s="131">
        <v>1693</v>
      </c>
      <c r="M6217" s="468">
        <v>659</v>
      </c>
      <c r="N6217" s="91">
        <f t="shared" si="2664"/>
        <v>2352</v>
      </c>
      <c r="O6217" s="411">
        <f t="shared" si="2671"/>
        <v>40525.550000000003</v>
      </c>
      <c r="P6217" s="132" t="s">
        <v>52</v>
      </c>
      <c r="Q6217" s="232"/>
      <c r="R6217" s="411"/>
      <c r="T6217" s="470" t="s">
        <v>97</v>
      </c>
      <c r="U6217" s="446" t="s">
        <v>13378</v>
      </c>
      <c r="V6217" s="133" t="s">
        <v>55</v>
      </c>
      <c r="AA6217" s="218"/>
    </row>
    <row r="6218" spans="1:27" x14ac:dyDescent="0.25">
      <c r="A6218" s="432"/>
      <c r="B6218" s="433"/>
      <c r="C6218" s="432"/>
      <c r="D6218" s="454"/>
      <c r="E6218" s="364">
        <v>3000</v>
      </c>
      <c r="F6218" s="164" t="s">
        <v>13379</v>
      </c>
      <c r="G6218" s="461"/>
      <c r="H6218" s="438"/>
      <c r="I6218" s="438"/>
      <c r="J6218" s="438"/>
      <c r="K6218" s="437"/>
      <c r="L6218" s="131">
        <v>616</v>
      </c>
      <c r="M6218" s="463"/>
      <c r="N6218" s="91">
        <f t="shared" si="2664"/>
        <v>1848</v>
      </c>
      <c r="O6218" s="411">
        <f t="shared" si="2671"/>
        <v>-1848</v>
      </c>
      <c r="P6218" s="132" t="s">
        <v>52</v>
      </c>
      <c r="Q6218" s="232"/>
      <c r="R6218" s="411"/>
      <c r="T6218" s="471"/>
      <c r="U6218" s="448"/>
      <c r="V6218" s="133" t="s">
        <v>13380</v>
      </c>
      <c r="AA6218" s="218"/>
    </row>
    <row r="6219" spans="1:27" x14ac:dyDescent="0.25">
      <c r="A6219" s="432"/>
      <c r="B6219" s="433"/>
      <c r="C6219" s="432"/>
      <c r="D6219" s="454"/>
      <c r="E6219" s="364">
        <v>74</v>
      </c>
      <c r="F6219" s="164" t="s">
        <v>13381</v>
      </c>
      <c r="G6219" s="461"/>
      <c r="H6219" s="438"/>
      <c r="I6219" s="438"/>
      <c r="J6219" s="438"/>
      <c r="K6219" s="437"/>
      <c r="L6219" s="131">
        <v>3300</v>
      </c>
      <c r="M6219" s="463"/>
      <c r="N6219" s="91">
        <f t="shared" si="2664"/>
        <v>244.2</v>
      </c>
      <c r="O6219" s="411">
        <f t="shared" si="2671"/>
        <v>-244.2</v>
      </c>
      <c r="P6219" s="132" t="s">
        <v>52</v>
      </c>
      <c r="Q6219" s="232"/>
      <c r="R6219" s="411"/>
      <c r="T6219" s="471"/>
      <c r="U6219" s="448"/>
      <c r="AA6219" s="218"/>
    </row>
    <row r="6220" spans="1:27" ht="24" x14ac:dyDescent="0.25">
      <c r="A6220" s="432"/>
      <c r="B6220" s="433"/>
      <c r="C6220" s="432"/>
      <c r="D6220" s="454"/>
      <c r="E6220" s="364">
        <v>889</v>
      </c>
      <c r="F6220" s="248" t="s">
        <v>13382</v>
      </c>
      <c r="G6220" s="461"/>
      <c r="H6220" s="438"/>
      <c r="I6220" s="438"/>
      <c r="J6220" s="438"/>
      <c r="K6220" s="437"/>
      <c r="L6220" s="131">
        <v>1322</v>
      </c>
      <c r="M6220" s="463"/>
      <c r="N6220" s="91">
        <f t="shared" si="2664"/>
        <v>1175.258</v>
      </c>
      <c r="O6220" s="411">
        <f t="shared" si="2671"/>
        <v>-1175.258</v>
      </c>
      <c r="P6220" s="132" t="s">
        <v>52</v>
      </c>
      <c r="Q6220" s="232"/>
      <c r="R6220" s="411"/>
      <c r="T6220" s="471"/>
      <c r="U6220" s="448"/>
      <c r="AA6220" s="218"/>
    </row>
    <row r="6221" spans="1:27" ht="24" x14ac:dyDescent="0.25">
      <c r="A6221" s="432"/>
      <c r="B6221" s="433"/>
      <c r="C6221" s="432"/>
      <c r="D6221" s="454"/>
      <c r="E6221" s="364">
        <v>702</v>
      </c>
      <c r="F6221" s="248" t="s">
        <v>13383</v>
      </c>
      <c r="G6221" s="461"/>
      <c r="H6221" s="438"/>
      <c r="I6221" s="438"/>
      <c r="J6221" s="438"/>
      <c r="K6221" s="437"/>
      <c r="L6221" s="131">
        <v>990</v>
      </c>
      <c r="M6221" s="463"/>
      <c r="N6221" s="91">
        <f t="shared" si="2664"/>
        <v>694.98</v>
      </c>
      <c r="O6221" s="411">
        <f t="shared" si="2671"/>
        <v>-694.98</v>
      </c>
      <c r="P6221" s="132" t="s">
        <v>52</v>
      </c>
      <c r="Q6221" s="232"/>
      <c r="R6221" s="411"/>
      <c r="T6221" s="471"/>
      <c r="U6221" s="448"/>
      <c r="AA6221" s="218"/>
    </row>
    <row r="6222" spans="1:27" ht="24" x14ac:dyDescent="0.25">
      <c r="A6222" s="432"/>
      <c r="B6222" s="433"/>
      <c r="C6222" s="432"/>
      <c r="D6222" s="454"/>
      <c r="E6222" s="364">
        <v>225</v>
      </c>
      <c r="F6222" s="248" t="s">
        <v>13384</v>
      </c>
      <c r="G6222" s="461"/>
      <c r="H6222" s="438"/>
      <c r="I6222" s="438"/>
      <c r="J6222" s="438"/>
      <c r="K6222" s="437"/>
      <c r="L6222" s="131">
        <v>695</v>
      </c>
      <c r="M6222" s="463"/>
      <c r="N6222" s="91">
        <f t="shared" si="2664"/>
        <v>156.375</v>
      </c>
      <c r="O6222" s="411">
        <f t="shared" si="2671"/>
        <v>-156.375</v>
      </c>
      <c r="P6222" s="132" t="s">
        <v>52</v>
      </c>
      <c r="Q6222" s="232"/>
      <c r="R6222" s="411"/>
      <c r="T6222" s="471"/>
      <c r="U6222" s="448"/>
      <c r="AA6222" s="218"/>
    </row>
    <row r="6223" spans="1:27" ht="24" x14ac:dyDescent="0.25">
      <c r="A6223" s="432"/>
      <c r="B6223" s="433"/>
      <c r="C6223" s="432"/>
      <c r="D6223" s="454"/>
      <c r="E6223" s="364">
        <v>367</v>
      </c>
      <c r="F6223" s="248" t="s">
        <v>13385</v>
      </c>
      <c r="G6223" s="461"/>
      <c r="H6223" s="438"/>
      <c r="I6223" s="438"/>
      <c r="J6223" s="438"/>
      <c r="K6223" s="437"/>
      <c r="L6223" s="131">
        <v>900</v>
      </c>
      <c r="M6223" s="463"/>
      <c r="N6223" s="91">
        <f t="shared" si="2664"/>
        <v>330.3</v>
      </c>
      <c r="O6223" s="411">
        <f t="shared" si="2671"/>
        <v>-330.3</v>
      </c>
      <c r="P6223" s="132" t="s">
        <v>52</v>
      </c>
      <c r="Q6223" s="232"/>
      <c r="R6223" s="411"/>
      <c r="T6223" s="471"/>
      <c r="U6223" s="448"/>
      <c r="AA6223" s="218"/>
    </row>
    <row r="6224" spans="1:27" x14ac:dyDescent="0.25">
      <c r="A6224" s="432"/>
      <c r="B6224" s="433"/>
      <c r="C6224" s="432"/>
      <c r="D6224" s="454"/>
      <c r="E6224" s="364">
        <v>250</v>
      </c>
      <c r="F6224" s="164" t="s">
        <v>13386</v>
      </c>
      <c r="G6224" s="461"/>
      <c r="H6224" s="438"/>
      <c r="I6224" s="438"/>
      <c r="J6224" s="438"/>
      <c r="K6224" s="437"/>
      <c r="L6224" s="131">
        <v>622.45000000000005</v>
      </c>
      <c r="M6224" s="463"/>
      <c r="N6224" s="91">
        <f t="shared" si="2664"/>
        <v>155.61250000000001</v>
      </c>
      <c r="O6224" s="411">
        <f t="shared" si="2671"/>
        <v>-155.61250000000001</v>
      </c>
      <c r="P6224" s="132" t="s">
        <v>52</v>
      </c>
      <c r="Q6224" s="232"/>
      <c r="R6224" s="411"/>
      <c r="T6224" s="471"/>
      <c r="U6224" s="448"/>
      <c r="AA6224" s="218"/>
    </row>
    <row r="6225" spans="1:27" x14ac:dyDescent="0.25">
      <c r="A6225" s="432"/>
      <c r="B6225" s="433"/>
      <c r="C6225" s="432"/>
      <c r="D6225" s="454"/>
      <c r="E6225" s="364">
        <v>2000</v>
      </c>
      <c r="F6225" s="164" t="s">
        <v>838</v>
      </c>
      <c r="G6225" s="461"/>
      <c r="H6225" s="438"/>
      <c r="I6225" s="438"/>
      <c r="J6225" s="438"/>
      <c r="K6225" s="437"/>
      <c r="L6225" s="131">
        <v>220</v>
      </c>
      <c r="M6225" s="463"/>
      <c r="N6225" s="91">
        <f t="shared" si="2664"/>
        <v>440</v>
      </c>
      <c r="O6225" s="411">
        <f t="shared" si="2671"/>
        <v>-440</v>
      </c>
      <c r="P6225" s="132" t="s">
        <v>52</v>
      </c>
      <c r="Q6225" s="232"/>
      <c r="R6225" s="411"/>
      <c r="T6225" s="471"/>
      <c r="U6225" s="448"/>
      <c r="AA6225" s="218"/>
    </row>
    <row r="6226" spans="1:27" x14ac:dyDescent="0.25">
      <c r="A6226" s="432"/>
      <c r="B6226" s="433"/>
      <c r="C6226" s="432"/>
      <c r="D6226" s="454"/>
      <c r="E6226" s="364">
        <v>2000</v>
      </c>
      <c r="F6226" s="164" t="s">
        <v>13387</v>
      </c>
      <c r="G6226" s="461"/>
      <c r="H6226" s="438"/>
      <c r="I6226" s="438"/>
      <c r="J6226" s="438"/>
      <c r="K6226" s="437"/>
      <c r="L6226" s="131">
        <v>395</v>
      </c>
      <c r="M6226" s="463"/>
      <c r="N6226" s="91">
        <f t="shared" si="2664"/>
        <v>790</v>
      </c>
      <c r="O6226" s="411">
        <f t="shared" si="2671"/>
        <v>-790</v>
      </c>
      <c r="P6226" s="132" t="s">
        <v>52</v>
      </c>
      <c r="Q6226" s="232"/>
      <c r="R6226" s="411"/>
      <c r="T6226" s="471"/>
      <c r="U6226" s="448"/>
      <c r="AA6226" s="218"/>
    </row>
    <row r="6227" spans="1:27" x14ac:dyDescent="0.25">
      <c r="A6227" s="432"/>
      <c r="B6227" s="433"/>
      <c r="C6227" s="432"/>
      <c r="D6227" s="454"/>
      <c r="E6227" s="364">
        <v>2000</v>
      </c>
      <c r="F6227" s="164" t="s">
        <v>1914</v>
      </c>
      <c r="G6227" s="461"/>
      <c r="H6227" s="438"/>
      <c r="I6227" s="438"/>
      <c r="J6227" s="438"/>
      <c r="K6227" s="437"/>
      <c r="L6227" s="131">
        <v>210</v>
      </c>
      <c r="M6227" s="463"/>
      <c r="N6227" s="91">
        <f t="shared" si="2664"/>
        <v>420</v>
      </c>
      <c r="O6227" s="411">
        <f t="shared" si="2671"/>
        <v>-420</v>
      </c>
      <c r="P6227" s="132" t="s">
        <v>52</v>
      </c>
      <c r="Q6227" s="232"/>
      <c r="R6227" s="411"/>
      <c r="T6227" s="471"/>
      <c r="U6227" s="448"/>
      <c r="AA6227" s="218"/>
    </row>
    <row r="6228" spans="1:27" x14ac:dyDescent="0.25">
      <c r="A6228" s="432"/>
      <c r="B6228" s="433"/>
      <c r="C6228" s="432"/>
      <c r="D6228" s="454"/>
      <c r="E6228" s="364">
        <v>1230</v>
      </c>
      <c r="F6228" s="164" t="s">
        <v>13388</v>
      </c>
      <c r="G6228" s="461"/>
      <c r="H6228" s="438"/>
      <c r="I6228" s="438"/>
      <c r="J6228" s="438"/>
      <c r="K6228" s="437"/>
      <c r="L6228" s="131">
        <v>205</v>
      </c>
      <c r="M6228" s="451"/>
      <c r="N6228" s="91">
        <f t="shared" si="2664"/>
        <v>252.15</v>
      </c>
      <c r="O6228" s="411">
        <f t="shared" si="2671"/>
        <v>-252.15</v>
      </c>
      <c r="P6228" s="132" t="s">
        <v>52</v>
      </c>
      <c r="Q6228" s="232"/>
      <c r="R6228" s="411"/>
      <c r="T6228" s="472"/>
      <c r="U6228" s="447"/>
      <c r="AA6228" s="218"/>
    </row>
    <row r="6229" spans="1:27" x14ac:dyDescent="0.25">
      <c r="A6229" s="432"/>
      <c r="B6229" s="433"/>
      <c r="C6229" s="432"/>
      <c r="D6229" s="454"/>
      <c r="E6229" s="364">
        <v>3000</v>
      </c>
      <c r="F6229" s="164" t="s">
        <v>13389</v>
      </c>
      <c r="G6229" s="461"/>
      <c r="H6229" s="438"/>
      <c r="I6229" s="438"/>
      <c r="J6229" s="438"/>
      <c r="K6229" s="437"/>
      <c r="L6229" s="187">
        <v>300</v>
      </c>
      <c r="M6229" s="131">
        <v>0</v>
      </c>
      <c r="N6229" s="91">
        <f t="shared" si="2664"/>
        <v>900</v>
      </c>
      <c r="O6229" s="411">
        <f t="shared" si="2671"/>
        <v>-900</v>
      </c>
      <c r="P6229" s="132" t="s">
        <v>66</v>
      </c>
      <c r="Q6229" s="232"/>
      <c r="R6229" s="411"/>
      <c r="T6229" s="134" t="s">
        <v>389</v>
      </c>
      <c r="U6229" s="267" t="s">
        <v>13390</v>
      </c>
      <c r="V6229" s="133" t="s">
        <v>13391</v>
      </c>
      <c r="AA6229" s="218"/>
    </row>
    <row r="6230" spans="1:27" x14ac:dyDescent="0.25">
      <c r="A6230" s="432"/>
      <c r="B6230" s="433"/>
      <c r="C6230" s="432"/>
      <c r="D6230" s="454"/>
      <c r="E6230" s="120">
        <v>3000</v>
      </c>
      <c r="F6230" s="133" t="s">
        <v>13392</v>
      </c>
      <c r="G6230" s="461"/>
      <c r="H6230" s="438"/>
      <c r="I6230" s="438"/>
      <c r="J6230" s="438"/>
      <c r="K6230" s="437"/>
      <c r="L6230" s="131">
        <v>409</v>
      </c>
      <c r="M6230" s="468">
        <v>630</v>
      </c>
      <c r="N6230" s="91">
        <f t="shared" si="2664"/>
        <v>1857</v>
      </c>
      <c r="O6230" s="411">
        <f t="shared" si="2671"/>
        <v>-1857</v>
      </c>
      <c r="P6230" s="132" t="s">
        <v>52</v>
      </c>
      <c r="Q6230" s="232"/>
      <c r="R6230" s="411"/>
      <c r="T6230" s="492" t="s">
        <v>97</v>
      </c>
      <c r="U6230" s="495"/>
      <c r="V6230" s="133" t="s">
        <v>13393</v>
      </c>
      <c r="AA6230" s="218"/>
    </row>
    <row r="6231" spans="1:27" x14ac:dyDescent="0.25">
      <c r="A6231" s="432"/>
      <c r="B6231" s="433"/>
      <c r="C6231" s="432"/>
      <c r="D6231" s="454"/>
      <c r="E6231" s="120">
        <v>2000</v>
      </c>
      <c r="F6231" s="133" t="s">
        <v>13394</v>
      </c>
      <c r="G6231" s="461"/>
      <c r="H6231" s="438"/>
      <c r="I6231" s="438"/>
      <c r="J6231" s="438"/>
      <c r="K6231" s="437"/>
      <c r="L6231" s="131">
        <v>400</v>
      </c>
      <c r="M6231" s="491"/>
      <c r="N6231" s="91">
        <f t="shared" si="2664"/>
        <v>800</v>
      </c>
      <c r="O6231" s="411">
        <f t="shared" si="2671"/>
        <v>-800</v>
      </c>
      <c r="P6231" s="132" t="s">
        <v>52</v>
      </c>
      <c r="Q6231" s="232"/>
      <c r="R6231" s="411"/>
      <c r="T6231" s="493"/>
      <c r="U6231" s="496"/>
      <c r="V6231" s="133" t="s">
        <v>13393</v>
      </c>
      <c r="AA6231" s="218"/>
    </row>
    <row r="6232" spans="1:27" x14ac:dyDescent="0.25">
      <c r="A6232" s="432"/>
      <c r="B6232" s="433"/>
      <c r="C6232" s="432"/>
      <c r="D6232" s="454"/>
      <c r="E6232" s="120">
        <v>1000</v>
      </c>
      <c r="F6232" s="133" t="s">
        <v>1622</v>
      </c>
      <c r="G6232" s="461"/>
      <c r="H6232" s="438"/>
      <c r="I6232" s="438"/>
      <c r="J6232" s="438"/>
      <c r="K6232" s="437"/>
      <c r="M6232" s="491"/>
      <c r="N6232" s="91">
        <f t="shared" si="2664"/>
        <v>0</v>
      </c>
      <c r="O6232" s="411">
        <f t="shared" si="2671"/>
        <v>0</v>
      </c>
      <c r="P6232" s="132" t="s">
        <v>52</v>
      </c>
      <c r="Q6232" s="232"/>
      <c r="R6232" s="411"/>
      <c r="T6232" s="493"/>
      <c r="U6232" s="496"/>
      <c r="V6232" s="133" t="s">
        <v>13393</v>
      </c>
      <c r="AA6232" s="218"/>
    </row>
    <row r="6233" spans="1:27" x14ac:dyDescent="0.25">
      <c r="A6233" s="432"/>
      <c r="B6233" s="433"/>
      <c r="C6233" s="432"/>
      <c r="D6233" s="454"/>
      <c r="E6233" s="120">
        <v>15750</v>
      </c>
      <c r="F6233" s="133" t="s">
        <v>13395</v>
      </c>
      <c r="G6233" s="461"/>
      <c r="H6233" s="438"/>
      <c r="I6233" s="438"/>
      <c r="J6233" s="438"/>
      <c r="K6233" s="437"/>
      <c r="M6233" s="491"/>
      <c r="N6233" s="91">
        <f t="shared" si="2664"/>
        <v>0</v>
      </c>
      <c r="O6233" s="411">
        <f t="shared" si="2671"/>
        <v>0</v>
      </c>
      <c r="P6233" s="132" t="s">
        <v>52</v>
      </c>
      <c r="Q6233" s="232"/>
      <c r="R6233" s="411"/>
      <c r="T6233" s="493"/>
      <c r="U6233" s="496"/>
      <c r="V6233" s="133" t="s">
        <v>13393</v>
      </c>
      <c r="AA6233" s="218"/>
    </row>
    <row r="6234" spans="1:27" x14ac:dyDescent="0.25">
      <c r="A6234" s="432"/>
      <c r="B6234" s="433"/>
      <c r="C6234" s="432"/>
      <c r="D6234" s="454"/>
      <c r="E6234" s="120">
        <v>43500</v>
      </c>
      <c r="F6234" s="133" t="s">
        <v>13396</v>
      </c>
      <c r="G6234" s="461"/>
      <c r="H6234" s="438"/>
      <c r="I6234" s="438"/>
      <c r="J6234" s="438"/>
      <c r="K6234" s="437"/>
      <c r="M6234" s="491"/>
      <c r="N6234" s="91">
        <f t="shared" si="2664"/>
        <v>0</v>
      </c>
      <c r="O6234" s="411">
        <f t="shared" si="2671"/>
        <v>0</v>
      </c>
      <c r="P6234" s="132" t="s">
        <v>52</v>
      </c>
      <c r="Q6234" s="232"/>
      <c r="R6234" s="411"/>
      <c r="T6234" s="493"/>
      <c r="U6234" s="496"/>
      <c r="V6234" s="133" t="s">
        <v>13393</v>
      </c>
      <c r="AA6234" s="218"/>
    </row>
    <row r="6235" spans="1:27" ht="24" x14ac:dyDescent="0.25">
      <c r="A6235" s="432"/>
      <c r="B6235" s="433"/>
      <c r="C6235" s="432"/>
      <c r="D6235" s="454"/>
      <c r="E6235" s="120">
        <v>4810</v>
      </c>
      <c r="F6235" s="119" t="s">
        <v>13397</v>
      </c>
      <c r="G6235" s="461"/>
      <c r="H6235" s="438"/>
      <c r="I6235" s="438"/>
      <c r="J6235" s="438"/>
      <c r="K6235" s="437"/>
      <c r="M6235" s="469"/>
      <c r="N6235" s="91">
        <f t="shared" si="2664"/>
        <v>0</v>
      </c>
      <c r="O6235" s="411">
        <f t="shared" si="2671"/>
        <v>0</v>
      </c>
      <c r="P6235" s="132" t="s">
        <v>52</v>
      </c>
      <c r="Q6235" s="232"/>
      <c r="R6235" s="411"/>
      <c r="T6235" s="494"/>
      <c r="U6235" s="497"/>
      <c r="V6235" s="133" t="s">
        <v>13393</v>
      </c>
      <c r="AA6235" s="218"/>
    </row>
    <row r="6236" spans="1:27" x14ac:dyDescent="0.25">
      <c r="A6236" s="432"/>
      <c r="B6236" s="433"/>
      <c r="C6236" s="432"/>
      <c r="D6236" s="454"/>
      <c r="E6236" s="364">
        <v>2000</v>
      </c>
      <c r="F6236" s="164" t="s">
        <v>13398</v>
      </c>
      <c r="G6236" s="461"/>
      <c r="H6236" s="438"/>
      <c r="I6236" s="438"/>
      <c r="J6236" s="438"/>
      <c r="K6236" s="437"/>
      <c r="L6236" s="187">
        <v>560</v>
      </c>
      <c r="M6236" s="131">
        <v>0</v>
      </c>
      <c r="N6236" s="91">
        <f t="shared" si="2664"/>
        <v>1120</v>
      </c>
      <c r="O6236" s="411">
        <f t="shared" si="2671"/>
        <v>-1120</v>
      </c>
      <c r="P6236" s="132" t="s">
        <v>66</v>
      </c>
      <c r="Q6236" s="232"/>
      <c r="R6236" s="411"/>
      <c r="T6236" s="134" t="s">
        <v>389</v>
      </c>
      <c r="U6236" s="267" t="s">
        <v>13390</v>
      </c>
      <c r="V6236" s="133" t="s">
        <v>13391</v>
      </c>
      <c r="AA6236" s="218"/>
    </row>
    <row r="6237" spans="1:27" x14ac:dyDescent="0.25">
      <c r="A6237" s="432"/>
      <c r="B6237" s="433"/>
      <c r="C6237" s="432"/>
      <c r="D6237" s="454"/>
      <c r="E6237" s="364">
        <v>2000</v>
      </c>
      <c r="F6237" s="164" t="s">
        <v>422</v>
      </c>
      <c r="G6237" s="461"/>
      <c r="H6237" s="438"/>
      <c r="I6237" s="438"/>
      <c r="J6237" s="438"/>
      <c r="K6237" s="437"/>
      <c r="M6237" s="468">
        <v>498</v>
      </c>
      <c r="N6237" s="91">
        <f t="shared" si="2664"/>
        <v>498</v>
      </c>
      <c r="O6237" s="411">
        <f t="shared" si="2671"/>
        <v>-498</v>
      </c>
      <c r="P6237" s="132" t="s">
        <v>52</v>
      </c>
      <c r="Q6237" s="232"/>
      <c r="R6237" s="411"/>
      <c r="T6237" s="492" t="s">
        <v>97</v>
      </c>
      <c r="U6237" s="495"/>
      <c r="V6237" s="133" t="s">
        <v>13399</v>
      </c>
      <c r="AA6237" s="218"/>
    </row>
    <row r="6238" spans="1:27" x14ac:dyDescent="0.25">
      <c r="A6238" s="432"/>
      <c r="B6238" s="433"/>
      <c r="C6238" s="432"/>
      <c r="D6238" s="454"/>
      <c r="E6238" s="364">
        <v>1000</v>
      </c>
      <c r="F6238" s="164" t="s">
        <v>51</v>
      </c>
      <c r="G6238" s="461"/>
      <c r="H6238" s="438"/>
      <c r="I6238" s="438"/>
      <c r="J6238" s="438"/>
      <c r="K6238" s="437"/>
      <c r="M6238" s="491"/>
      <c r="N6238" s="91">
        <f t="shared" si="2664"/>
        <v>0</v>
      </c>
      <c r="O6238" s="411">
        <f t="shared" si="2671"/>
        <v>0</v>
      </c>
      <c r="P6238" s="132" t="s">
        <v>52</v>
      </c>
      <c r="Q6238" s="232"/>
      <c r="R6238" s="411"/>
      <c r="T6238" s="493"/>
      <c r="U6238" s="496"/>
      <c r="V6238" s="133" t="s">
        <v>13399</v>
      </c>
      <c r="AA6238" s="218"/>
    </row>
    <row r="6239" spans="1:27" x14ac:dyDescent="0.25">
      <c r="A6239" s="432"/>
      <c r="B6239" s="433"/>
      <c r="C6239" s="432"/>
      <c r="D6239" s="454"/>
      <c r="E6239" s="364">
        <v>2500</v>
      </c>
      <c r="F6239" s="164" t="s">
        <v>528</v>
      </c>
      <c r="G6239" s="461"/>
      <c r="H6239" s="438"/>
      <c r="I6239" s="438"/>
      <c r="J6239" s="438"/>
      <c r="K6239" s="437"/>
      <c r="M6239" s="491"/>
      <c r="N6239" s="91">
        <f t="shared" si="2664"/>
        <v>0</v>
      </c>
      <c r="O6239" s="411">
        <f t="shared" si="2671"/>
        <v>0</v>
      </c>
      <c r="P6239" s="132" t="s">
        <v>52</v>
      </c>
      <c r="Q6239" s="232"/>
      <c r="R6239" s="411"/>
      <c r="T6239" s="493"/>
      <c r="U6239" s="496"/>
      <c r="V6239" s="133" t="s">
        <v>13399</v>
      </c>
      <c r="AA6239" s="218"/>
    </row>
    <row r="6240" spans="1:27" x14ac:dyDescent="0.25">
      <c r="A6240" s="432"/>
      <c r="B6240" s="433"/>
      <c r="C6240" s="432"/>
      <c r="D6240" s="454"/>
      <c r="E6240" s="364">
        <v>2500</v>
      </c>
      <c r="F6240" s="164" t="s">
        <v>1547</v>
      </c>
      <c r="G6240" s="461"/>
      <c r="H6240" s="438"/>
      <c r="I6240" s="438"/>
      <c r="J6240" s="438"/>
      <c r="K6240" s="437"/>
      <c r="M6240" s="491"/>
      <c r="N6240" s="91">
        <f t="shared" si="2664"/>
        <v>0</v>
      </c>
      <c r="O6240" s="411">
        <f t="shared" si="2671"/>
        <v>0</v>
      </c>
      <c r="P6240" s="132" t="s">
        <v>52</v>
      </c>
      <c r="Q6240" s="232"/>
      <c r="R6240" s="411"/>
      <c r="T6240" s="493"/>
      <c r="U6240" s="496"/>
      <c r="V6240" s="133" t="s">
        <v>13399</v>
      </c>
      <c r="AA6240" s="218"/>
    </row>
    <row r="6241" spans="1:27" x14ac:dyDescent="0.25">
      <c r="A6241" s="432"/>
      <c r="B6241" s="433"/>
      <c r="C6241" s="432"/>
      <c r="D6241" s="454"/>
      <c r="E6241" s="364">
        <v>2000</v>
      </c>
      <c r="F6241" s="164" t="s">
        <v>13400</v>
      </c>
      <c r="G6241" s="461"/>
      <c r="H6241" s="438"/>
      <c r="I6241" s="438"/>
      <c r="J6241" s="438"/>
      <c r="K6241" s="437"/>
      <c r="M6241" s="491"/>
      <c r="N6241" s="91">
        <f t="shared" si="2664"/>
        <v>0</v>
      </c>
      <c r="O6241" s="411">
        <f t="shared" si="2671"/>
        <v>0</v>
      </c>
      <c r="P6241" s="132" t="s">
        <v>52</v>
      </c>
      <c r="Q6241" s="232"/>
      <c r="R6241" s="411"/>
      <c r="T6241" s="493"/>
      <c r="U6241" s="496"/>
      <c r="V6241" s="133" t="s">
        <v>13399</v>
      </c>
      <c r="AA6241" s="218"/>
    </row>
    <row r="6242" spans="1:27" x14ac:dyDescent="0.25">
      <c r="A6242" s="432"/>
      <c r="B6242" s="433"/>
      <c r="C6242" s="432"/>
      <c r="D6242" s="454"/>
      <c r="E6242" s="120">
        <v>2500</v>
      </c>
      <c r="F6242" s="133" t="s">
        <v>178</v>
      </c>
      <c r="G6242" s="461"/>
      <c r="H6242" s="438"/>
      <c r="I6242" s="438"/>
      <c r="J6242" s="438"/>
      <c r="K6242" s="437"/>
      <c r="M6242" s="491"/>
      <c r="N6242" s="91">
        <f t="shared" si="2664"/>
        <v>0</v>
      </c>
      <c r="O6242" s="411">
        <f t="shared" si="2671"/>
        <v>0</v>
      </c>
      <c r="P6242" s="132" t="s">
        <v>52</v>
      </c>
      <c r="Q6242" s="232"/>
      <c r="R6242" s="411"/>
      <c r="T6242" s="493"/>
      <c r="U6242" s="496"/>
      <c r="V6242" s="133" t="s">
        <v>13401</v>
      </c>
      <c r="AA6242" s="218"/>
    </row>
    <row r="6243" spans="1:27" x14ac:dyDescent="0.25">
      <c r="A6243" s="432"/>
      <c r="B6243" s="433"/>
      <c r="C6243" s="432"/>
      <c r="D6243" s="454"/>
      <c r="E6243" s="364">
        <v>500</v>
      </c>
      <c r="F6243" s="164" t="s">
        <v>580</v>
      </c>
      <c r="G6243" s="461"/>
      <c r="H6243" s="438"/>
      <c r="I6243" s="438"/>
      <c r="J6243" s="438"/>
      <c r="K6243" s="437"/>
      <c r="M6243" s="491"/>
      <c r="N6243" s="91">
        <f t="shared" si="2664"/>
        <v>0</v>
      </c>
      <c r="O6243" s="411">
        <f t="shared" si="2671"/>
        <v>0</v>
      </c>
      <c r="P6243" s="132" t="s">
        <v>52</v>
      </c>
      <c r="Q6243" s="232"/>
      <c r="R6243" s="411"/>
      <c r="T6243" s="493"/>
      <c r="U6243" s="496"/>
      <c r="V6243" s="133" t="s">
        <v>13399</v>
      </c>
      <c r="AA6243" s="218"/>
    </row>
    <row r="6244" spans="1:27" x14ac:dyDescent="0.25">
      <c r="A6244" s="432"/>
      <c r="B6244" s="433"/>
      <c r="C6244" s="432"/>
      <c r="D6244" s="454"/>
      <c r="E6244" s="364">
        <v>500</v>
      </c>
      <c r="F6244" s="164" t="s">
        <v>292</v>
      </c>
      <c r="G6244" s="461"/>
      <c r="H6244" s="438"/>
      <c r="I6244" s="438"/>
      <c r="J6244" s="438"/>
      <c r="K6244" s="437"/>
      <c r="M6244" s="491"/>
      <c r="N6244" s="91">
        <f t="shared" si="2664"/>
        <v>0</v>
      </c>
      <c r="O6244" s="411">
        <f t="shared" si="2671"/>
        <v>0</v>
      </c>
      <c r="P6244" s="132" t="s">
        <v>52</v>
      </c>
      <c r="Q6244" s="232"/>
      <c r="R6244" s="411"/>
      <c r="T6244" s="493"/>
      <c r="U6244" s="496"/>
      <c r="V6244" s="133" t="s">
        <v>13399</v>
      </c>
      <c r="AA6244" s="218"/>
    </row>
    <row r="6245" spans="1:27" x14ac:dyDescent="0.25">
      <c r="A6245" s="432"/>
      <c r="B6245" s="433"/>
      <c r="C6245" s="432"/>
      <c r="D6245" s="454"/>
      <c r="E6245" s="364">
        <v>2000</v>
      </c>
      <c r="F6245" s="164" t="s">
        <v>6914</v>
      </c>
      <c r="G6245" s="461"/>
      <c r="H6245" s="438"/>
      <c r="I6245" s="438"/>
      <c r="J6245" s="438"/>
      <c r="K6245" s="437"/>
      <c r="M6245" s="491"/>
      <c r="N6245" s="91">
        <f t="shared" si="2664"/>
        <v>0</v>
      </c>
      <c r="O6245" s="411">
        <f t="shared" si="2671"/>
        <v>0</v>
      </c>
      <c r="P6245" s="132" t="s">
        <v>52</v>
      </c>
      <c r="Q6245" s="232"/>
      <c r="R6245" s="411"/>
      <c r="T6245" s="493"/>
      <c r="U6245" s="496"/>
      <c r="V6245" s="133" t="s">
        <v>13399</v>
      </c>
      <c r="AA6245" s="218"/>
    </row>
    <row r="6246" spans="1:27" x14ac:dyDescent="0.25">
      <c r="A6246" s="432"/>
      <c r="B6246" s="433"/>
      <c r="C6246" s="432"/>
      <c r="D6246" s="454"/>
      <c r="E6246" s="364">
        <v>2652</v>
      </c>
      <c r="F6246" s="164" t="s">
        <v>13402</v>
      </c>
      <c r="G6246" s="461"/>
      <c r="H6246" s="438"/>
      <c r="I6246" s="438"/>
      <c r="J6246" s="438"/>
      <c r="K6246" s="437"/>
      <c r="M6246" s="491"/>
      <c r="N6246" s="91">
        <f t="shared" si="2664"/>
        <v>0</v>
      </c>
      <c r="O6246" s="411">
        <f t="shared" si="2671"/>
        <v>0</v>
      </c>
      <c r="P6246" s="132" t="s">
        <v>52</v>
      </c>
      <c r="Q6246" s="232"/>
      <c r="R6246" s="411"/>
      <c r="T6246" s="493"/>
      <c r="U6246" s="496"/>
      <c r="V6246" s="133" t="s">
        <v>13399</v>
      </c>
      <c r="AA6246" s="218"/>
    </row>
    <row r="6247" spans="1:27" x14ac:dyDescent="0.25">
      <c r="A6247" s="432"/>
      <c r="B6247" s="433"/>
      <c r="C6247" s="432"/>
      <c r="D6247" s="454"/>
      <c r="E6247" s="364">
        <v>1000</v>
      </c>
      <c r="F6247" s="164" t="s">
        <v>4102</v>
      </c>
      <c r="G6247" s="461"/>
      <c r="H6247" s="438"/>
      <c r="I6247" s="438"/>
      <c r="J6247" s="438"/>
      <c r="K6247" s="437"/>
      <c r="M6247" s="469"/>
      <c r="N6247" s="91">
        <f t="shared" si="2664"/>
        <v>0</v>
      </c>
      <c r="O6247" s="411">
        <f t="shared" si="2671"/>
        <v>0</v>
      </c>
      <c r="P6247" s="132" t="s">
        <v>52</v>
      </c>
      <c r="Q6247" s="232"/>
      <c r="R6247" s="411"/>
      <c r="T6247" s="494"/>
      <c r="U6247" s="497"/>
      <c r="V6247" s="133" t="s">
        <v>13399</v>
      </c>
      <c r="AA6247" s="218"/>
    </row>
    <row r="6248" spans="1:27" x14ac:dyDescent="0.25">
      <c r="A6248" s="432"/>
      <c r="B6248" s="433"/>
      <c r="C6248" s="432"/>
      <c r="D6248" s="454"/>
      <c r="E6248" s="364">
        <v>1000</v>
      </c>
      <c r="F6248" s="164" t="s">
        <v>3952</v>
      </c>
      <c r="G6248" s="461"/>
      <c r="H6248" s="438"/>
      <c r="I6248" s="438"/>
      <c r="J6248" s="438"/>
      <c r="K6248" s="437"/>
      <c r="L6248" s="187">
        <v>700</v>
      </c>
      <c r="M6248" s="131">
        <v>0</v>
      </c>
      <c r="N6248" s="91">
        <f t="shared" si="2664"/>
        <v>700</v>
      </c>
      <c r="O6248" s="411">
        <f t="shared" si="2671"/>
        <v>-700</v>
      </c>
      <c r="P6248" s="132" t="s">
        <v>66</v>
      </c>
      <c r="Q6248" s="232"/>
      <c r="R6248" s="411"/>
      <c r="T6248" s="439" t="s">
        <v>389</v>
      </c>
      <c r="U6248" s="446" t="s">
        <v>13390</v>
      </c>
      <c r="V6248" s="133" t="s">
        <v>13391</v>
      </c>
      <c r="AA6248" s="218"/>
    </row>
    <row r="6249" spans="1:27" x14ac:dyDescent="0.25">
      <c r="A6249" s="432"/>
      <c r="B6249" s="433"/>
      <c r="C6249" s="432"/>
      <c r="D6249" s="454"/>
      <c r="E6249" s="364">
        <v>500</v>
      </c>
      <c r="F6249" s="164" t="s">
        <v>288</v>
      </c>
      <c r="G6249" s="461"/>
      <c r="H6249" s="438"/>
      <c r="I6249" s="438"/>
      <c r="J6249" s="438"/>
      <c r="K6249" s="437"/>
      <c r="L6249" s="187">
        <v>900</v>
      </c>
      <c r="M6249" s="131">
        <v>0</v>
      </c>
      <c r="N6249" s="91">
        <f t="shared" si="2664"/>
        <v>450</v>
      </c>
      <c r="O6249" s="411">
        <f t="shared" si="2671"/>
        <v>-450</v>
      </c>
      <c r="P6249" s="132" t="s">
        <v>66</v>
      </c>
      <c r="Q6249" s="232"/>
      <c r="R6249" s="411"/>
      <c r="T6249" s="440"/>
      <c r="U6249" s="448"/>
      <c r="V6249" s="133" t="s">
        <v>13391</v>
      </c>
      <c r="AA6249" s="218"/>
    </row>
    <row r="6250" spans="1:27" x14ac:dyDescent="0.25">
      <c r="A6250" s="420"/>
      <c r="B6250" s="422"/>
      <c r="C6250" s="420"/>
      <c r="D6250" s="418"/>
      <c r="E6250" s="364">
        <v>750</v>
      </c>
      <c r="F6250" s="164" t="s">
        <v>13403</v>
      </c>
      <c r="G6250" s="462"/>
      <c r="H6250" s="428"/>
      <c r="I6250" s="428"/>
      <c r="J6250" s="428"/>
      <c r="K6250" s="426"/>
      <c r="L6250" s="187">
        <v>700</v>
      </c>
      <c r="M6250" s="131">
        <v>0</v>
      </c>
      <c r="N6250" s="91">
        <f t="shared" si="2664"/>
        <v>525</v>
      </c>
      <c r="O6250" s="411">
        <f t="shared" si="2671"/>
        <v>-525</v>
      </c>
      <c r="P6250" s="132" t="s">
        <v>66</v>
      </c>
      <c r="Q6250" s="232"/>
      <c r="R6250" s="411"/>
      <c r="T6250" s="441"/>
      <c r="U6250" s="447"/>
      <c r="V6250" s="133" t="s">
        <v>13391</v>
      </c>
      <c r="AA6250" s="218"/>
    </row>
    <row r="6251" spans="1:27" ht="24" customHeight="1" x14ac:dyDescent="0.25">
      <c r="A6251" s="419">
        <v>3004897</v>
      </c>
      <c r="B6251" s="421">
        <v>42655</v>
      </c>
      <c r="C6251" s="419" t="s">
        <v>56</v>
      </c>
      <c r="D6251" s="417" t="s">
        <v>13404</v>
      </c>
      <c r="E6251" s="120">
        <v>300</v>
      </c>
      <c r="F6251" s="133" t="s">
        <v>288</v>
      </c>
      <c r="G6251" s="434" t="s">
        <v>45</v>
      </c>
      <c r="H6251" s="427">
        <v>1110.58</v>
      </c>
      <c r="I6251" s="427">
        <v>0</v>
      </c>
      <c r="J6251" s="427">
        <v>0</v>
      </c>
      <c r="K6251" s="425">
        <f>SUM(H6251:J6251)</f>
        <v>1110.58</v>
      </c>
      <c r="L6251" s="131">
        <v>900</v>
      </c>
      <c r="M6251" s="187">
        <v>41.76</v>
      </c>
      <c r="N6251" s="91">
        <f t="shared" si="2664"/>
        <v>311.76</v>
      </c>
      <c r="O6251" s="411">
        <f t="shared" si="2671"/>
        <v>798.81999999999994</v>
      </c>
      <c r="P6251" s="132" t="s">
        <v>52</v>
      </c>
      <c r="Q6251" s="232"/>
      <c r="R6251" s="411">
        <v>90.58</v>
      </c>
      <c r="S6251" s="133" t="s">
        <v>4608</v>
      </c>
      <c r="T6251" s="439" t="s">
        <v>145</v>
      </c>
      <c r="U6251" s="267" t="s">
        <v>13405</v>
      </c>
      <c r="W6251" s="153" t="s">
        <v>13406</v>
      </c>
      <c r="AA6251" s="218"/>
    </row>
    <row r="6252" spans="1:27" x14ac:dyDescent="0.25">
      <c r="A6252" s="420"/>
      <c r="B6252" s="422"/>
      <c r="C6252" s="420"/>
      <c r="D6252" s="418"/>
      <c r="E6252" s="120">
        <v>100</v>
      </c>
      <c r="F6252" s="133" t="s">
        <v>300</v>
      </c>
      <c r="G6252" s="436"/>
      <c r="H6252" s="428"/>
      <c r="I6252" s="428"/>
      <c r="J6252" s="428"/>
      <c r="K6252" s="426"/>
      <c r="L6252" s="131">
        <v>2150</v>
      </c>
      <c r="M6252" s="187">
        <v>27.17</v>
      </c>
      <c r="N6252" s="91">
        <f t="shared" si="2664"/>
        <v>242.17000000000002</v>
      </c>
      <c r="O6252" s="411">
        <f t="shared" si="2671"/>
        <v>-242.17000000000002</v>
      </c>
      <c r="P6252" s="132" t="s">
        <v>52</v>
      </c>
      <c r="Q6252" s="232"/>
      <c r="R6252" s="411"/>
      <c r="T6252" s="441"/>
      <c r="U6252" s="267" t="s">
        <v>13407</v>
      </c>
      <c r="V6252" s="133" t="s">
        <v>13408</v>
      </c>
      <c r="AA6252" s="218"/>
    </row>
    <row r="6253" spans="1:27" ht="24" x14ac:dyDescent="0.25">
      <c r="A6253" s="405">
        <v>3004898</v>
      </c>
      <c r="B6253" s="406">
        <v>42655</v>
      </c>
      <c r="C6253" s="405" t="s">
        <v>42</v>
      </c>
      <c r="D6253" s="401" t="s">
        <v>13409</v>
      </c>
      <c r="E6253" s="120">
        <v>100</v>
      </c>
      <c r="F6253" s="133" t="s">
        <v>307</v>
      </c>
      <c r="G6253" s="404" t="s">
        <v>7486</v>
      </c>
      <c r="H6253" s="411">
        <v>153</v>
      </c>
      <c r="I6253" s="89">
        <f>-(H6253*0.09)</f>
        <v>-13.77</v>
      </c>
      <c r="J6253" s="258">
        <f t="shared" ref="J6253" si="2676">-((H6253*0.019)+0.3)</f>
        <v>-3.2069999999999999</v>
      </c>
      <c r="K6253" s="90">
        <f t="shared" ref="K6253" si="2677">SUM(H6253:J6253)</f>
        <v>136.023</v>
      </c>
      <c r="L6253" s="131">
        <v>620</v>
      </c>
      <c r="M6253" s="187">
        <v>25.75</v>
      </c>
      <c r="N6253" s="91">
        <f t="shared" si="2664"/>
        <v>87.75</v>
      </c>
      <c r="O6253" s="411">
        <f t="shared" si="2671"/>
        <v>48.272999999999996</v>
      </c>
      <c r="P6253" s="132" t="s">
        <v>52</v>
      </c>
      <c r="Q6253" s="232"/>
      <c r="R6253" s="411"/>
      <c r="T6253" s="134" t="s">
        <v>145</v>
      </c>
      <c r="U6253" s="267" t="s">
        <v>13410</v>
      </c>
      <c r="AA6253" s="218"/>
    </row>
    <row r="6254" spans="1:27" ht="24" x14ac:dyDescent="0.25">
      <c r="A6254" s="405">
        <v>3004899</v>
      </c>
      <c r="B6254" s="406">
        <v>42655</v>
      </c>
      <c r="C6254" s="405" t="s">
        <v>42</v>
      </c>
      <c r="D6254" s="401" t="s">
        <v>13411</v>
      </c>
      <c r="E6254" s="120">
        <v>100</v>
      </c>
      <c r="F6254" s="133" t="s">
        <v>1707</v>
      </c>
      <c r="G6254" s="404" t="s">
        <v>7486</v>
      </c>
      <c r="H6254" s="411">
        <v>119.44</v>
      </c>
      <c r="I6254" s="89">
        <f>-(H6254*0.09)</f>
        <v>-10.749599999999999</v>
      </c>
      <c r="J6254" s="258">
        <f t="shared" ref="J6254" si="2678">-((H6254*0.019)+0.3)</f>
        <v>-2.5693599999999996</v>
      </c>
      <c r="K6254" s="90">
        <f t="shared" ref="K6254" si="2679">SUM(H6254:J6254)</f>
        <v>106.12103999999999</v>
      </c>
      <c r="L6254" s="131">
        <v>400</v>
      </c>
      <c r="M6254" s="187">
        <v>34.61</v>
      </c>
      <c r="N6254" s="91">
        <f t="shared" si="2664"/>
        <v>74.61</v>
      </c>
      <c r="O6254" s="411">
        <f t="shared" si="2671"/>
        <v>31.511039999999994</v>
      </c>
      <c r="P6254" s="132" t="s">
        <v>52</v>
      </c>
      <c r="Q6254" s="232"/>
      <c r="R6254" s="411"/>
      <c r="T6254" s="134" t="s">
        <v>145</v>
      </c>
      <c r="U6254" s="267" t="s">
        <v>13412</v>
      </c>
      <c r="AA6254" s="218"/>
    </row>
    <row r="6255" spans="1:27" ht="24" x14ac:dyDescent="0.25">
      <c r="A6255" s="405">
        <v>3004900</v>
      </c>
      <c r="B6255" s="406">
        <v>42655</v>
      </c>
      <c r="C6255" s="405" t="s">
        <v>42</v>
      </c>
      <c r="D6255" s="401" t="s">
        <v>13413</v>
      </c>
      <c r="E6255" s="120">
        <v>175</v>
      </c>
      <c r="F6255" s="133" t="s">
        <v>829</v>
      </c>
      <c r="G6255" s="404" t="s">
        <v>7486</v>
      </c>
      <c r="H6255" s="411">
        <v>182.27</v>
      </c>
      <c r="I6255" s="89">
        <f>-(H6255*0.09)</f>
        <v>-16.404299999999999</v>
      </c>
      <c r="J6255" s="258">
        <f t="shared" ref="J6255" si="2680">-((H6255*0.019)+0.3)</f>
        <v>-3.7631299999999999</v>
      </c>
      <c r="K6255" s="90">
        <f t="shared" ref="K6255" si="2681">SUM(H6255:J6255)</f>
        <v>162.10257000000001</v>
      </c>
      <c r="L6255" s="131">
        <v>510</v>
      </c>
      <c r="M6255" s="187">
        <v>31.83</v>
      </c>
      <c r="N6255" s="91">
        <f t="shared" si="2664"/>
        <v>121.08000000000001</v>
      </c>
      <c r="O6255" s="411">
        <f t="shared" si="2671"/>
        <v>41.022570000000002</v>
      </c>
      <c r="P6255" s="132" t="s">
        <v>52</v>
      </c>
      <c r="Q6255" s="232"/>
      <c r="R6255" s="411"/>
      <c r="T6255" s="134" t="s">
        <v>145</v>
      </c>
      <c r="U6255" s="267" t="s">
        <v>13414</v>
      </c>
      <c r="AA6255" s="218"/>
    </row>
    <row r="6256" spans="1:27" ht="24" x14ac:dyDescent="0.25">
      <c r="A6256" s="405">
        <v>3004901</v>
      </c>
      <c r="B6256" s="406">
        <v>42656</v>
      </c>
      <c r="C6256" s="405" t="s">
        <v>141</v>
      </c>
      <c r="D6256" s="401" t="s">
        <v>13415</v>
      </c>
      <c r="E6256" s="120">
        <v>350</v>
      </c>
      <c r="F6256" s="133" t="s">
        <v>119</v>
      </c>
      <c r="G6256" s="404" t="s">
        <v>7486</v>
      </c>
      <c r="H6256" s="411">
        <v>227.5</v>
      </c>
      <c r="I6256" s="399">
        <v>0</v>
      </c>
      <c r="J6256" s="396">
        <f>-((H6256*0.0325)+0.3)</f>
        <v>-7.6937499999999996</v>
      </c>
      <c r="K6256" s="396">
        <f>SUM(H6256:J6256)</f>
        <v>219.80625000000001</v>
      </c>
      <c r="L6256" s="187">
        <v>390</v>
      </c>
      <c r="M6256" s="187">
        <v>42.13</v>
      </c>
      <c r="N6256" s="91">
        <f t="shared" si="2664"/>
        <v>178.63</v>
      </c>
      <c r="O6256" s="411">
        <f t="shared" si="2671"/>
        <v>41.17625000000001</v>
      </c>
      <c r="P6256" s="132" t="s">
        <v>313</v>
      </c>
      <c r="Q6256" s="232"/>
      <c r="R6256" s="411"/>
      <c r="T6256" s="134" t="s">
        <v>145</v>
      </c>
      <c r="U6256" s="267" t="s">
        <v>13416</v>
      </c>
      <c r="W6256" s="153" t="s">
        <v>13417</v>
      </c>
      <c r="AA6256" s="218"/>
    </row>
    <row r="6257" spans="1:27" x14ac:dyDescent="0.25">
      <c r="A6257" s="419">
        <v>3004902</v>
      </c>
      <c r="B6257" s="421">
        <v>42656</v>
      </c>
      <c r="C6257" s="419" t="s">
        <v>56</v>
      </c>
      <c r="D6257" s="417" t="s">
        <v>8209</v>
      </c>
      <c r="E6257" s="120">
        <v>9700</v>
      </c>
      <c r="F6257" s="133" t="s">
        <v>13418</v>
      </c>
      <c r="G6257" s="434" t="s">
        <v>7486</v>
      </c>
      <c r="H6257" s="427">
        <v>12176</v>
      </c>
      <c r="I6257" s="427">
        <v>0</v>
      </c>
      <c r="J6257" s="427">
        <v>0</v>
      </c>
      <c r="K6257" s="425">
        <f>SUM(H6257:J6257)</f>
        <v>12176</v>
      </c>
      <c r="M6257" s="468">
        <v>400</v>
      </c>
      <c r="N6257" s="91">
        <f t="shared" si="2664"/>
        <v>400</v>
      </c>
      <c r="O6257" s="411">
        <f t="shared" si="2671"/>
        <v>11776</v>
      </c>
      <c r="P6257" s="132" t="s">
        <v>52</v>
      </c>
      <c r="Q6257" s="232"/>
      <c r="R6257" s="411"/>
      <c r="T6257" s="439" t="s">
        <v>97</v>
      </c>
      <c r="U6257" s="446" t="s">
        <v>13419</v>
      </c>
      <c r="V6257" s="133" t="s">
        <v>55</v>
      </c>
      <c r="AA6257" s="218"/>
    </row>
    <row r="6258" spans="1:27" x14ac:dyDescent="0.25">
      <c r="A6258" s="432"/>
      <c r="B6258" s="433"/>
      <c r="C6258" s="432"/>
      <c r="D6258" s="454"/>
      <c r="E6258" s="120">
        <v>17500</v>
      </c>
      <c r="F6258" s="133" t="s">
        <v>13420</v>
      </c>
      <c r="G6258" s="435"/>
      <c r="H6258" s="438"/>
      <c r="I6258" s="438"/>
      <c r="J6258" s="438"/>
      <c r="K6258" s="437"/>
      <c r="M6258" s="491"/>
      <c r="N6258" s="91">
        <f t="shared" si="2664"/>
        <v>0</v>
      </c>
      <c r="O6258" s="411">
        <f t="shared" si="2671"/>
        <v>0</v>
      </c>
      <c r="P6258" s="132" t="s">
        <v>52</v>
      </c>
      <c r="Q6258" s="232"/>
      <c r="R6258" s="411"/>
      <c r="T6258" s="440"/>
      <c r="U6258" s="448"/>
      <c r="V6258" s="133" t="s">
        <v>13421</v>
      </c>
      <c r="AA6258" s="218"/>
    </row>
    <row r="6259" spans="1:27" x14ac:dyDescent="0.25">
      <c r="A6259" s="432"/>
      <c r="B6259" s="433"/>
      <c r="C6259" s="432"/>
      <c r="D6259" s="454"/>
      <c r="E6259" s="120">
        <v>20000</v>
      </c>
      <c r="F6259" s="133" t="s">
        <v>13422</v>
      </c>
      <c r="G6259" s="435"/>
      <c r="H6259" s="438"/>
      <c r="I6259" s="438"/>
      <c r="J6259" s="438"/>
      <c r="K6259" s="437"/>
      <c r="M6259" s="491"/>
      <c r="N6259" s="91">
        <f t="shared" si="2664"/>
        <v>0</v>
      </c>
      <c r="O6259" s="411">
        <f t="shared" si="2671"/>
        <v>0</v>
      </c>
      <c r="P6259" s="132" t="s">
        <v>52</v>
      </c>
      <c r="Q6259" s="232"/>
      <c r="R6259" s="411"/>
      <c r="T6259" s="440"/>
      <c r="U6259" s="448"/>
      <c r="AA6259" s="218"/>
    </row>
    <row r="6260" spans="1:27" x14ac:dyDescent="0.25">
      <c r="A6260" s="432"/>
      <c r="B6260" s="433"/>
      <c r="C6260" s="432"/>
      <c r="D6260" s="454"/>
      <c r="E6260" s="120">
        <v>40000</v>
      </c>
      <c r="F6260" s="133" t="s">
        <v>13423</v>
      </c>
      <c r="G6260" s="435"/>
      <c r="H6260" s="438"/>
      <c r="I6260" s="438"/>
      <c r="J6260" s="438"/>
      <c r="K6260" s="437"/>
      <c r="M6260" s="491"/>
      <c r="N6260" s="91">
        <f t="shared" si="2664"/>
        <v>0</v>
      </c>
      <c r="O6260" s="411">
        <f t="shared" si="2671"/>
        <v>0</v>
      </c>
      <c r="P6260" s="132" t="s">
        <v>52</v>
      </c>
      <c r="Q6260" s="232"/>
      <c r="R6260" s="411"/>
      <c r="T6260" s="440"/>
      <c r="U6260" s="448"/>
      <c r="AA6260" s="218"/>
    </row>
    <row r="6261" spans="1:27" x14ac:dyDescent="0.25">
      <c r="A6261" s="432"/>
      <c r="B6261" s="433"/>
      <c r="C6261" s="432"/>
      <c r="D6261" s="454"/>
      <c r="E6261" s="120">
        <v>25000</v>
      </c>
      <c r="F6261" s="133" t="s">
        <v>13424</v>
      </c>
      <c r="G6261" s="435"/>
      <c r="H6261" s="438"/>
      <c r="I6261" s="438"/>
      <c r="J6261" s="438"/>
      <c r="K6261" s="437"/>
      <c r="M6261" s="491"/>
      <c r="N6261" s="91">
        <f t="shared" si="2664"/>
        <v>0</v>
      </c>
      <c r="O6261" s="411">
        <f t="shared" si="2671"/>
        <v>0</v>
      </c>
      <c r="P6261" s="132" t="s">
        <v>52</v>
      </c>
      <c r="Q6261" s="232"/>
      <c r="R6261" s="411"/>
      <c r="T6261" s="440"/>
      <c r="U6261" s="448"/>
      <c r="AA6261" s="218"/>
    </row>
    <row r="6262" spans="1:27" x14ac:dyDescent="0.25">
      <c r="A6262" s="432"/>
      <c r="B6262" s="433"/>
      <c r="C6262" s="432"/>
      <c r="D6262" s="454"/>
      <c r="E6262" s="120">
        <v>25000</v>
      </c>
      <c r="F6262" s="133" t="s">
        <v>13425</v>
      </c>
      <c r="G6262" s="435"/>
      <c r="H6262" s="438"/>
      <c r="I6262" s="438"/>
      <c r="J6262" s="438"/>
      <c r="K6262" s="437"/>
      <c r="M6262" s="491"/>
      <c r="N6262" s="91">
        <f t="shared" si="2664"/>
        <v>0</v>
      </c>
      <c r="O6262" s="411">
        <f t="shared" si="2671"/>
        <v>0</v>
      </c>
      <c r="P6262" s="132" t="s">
        <v>52</v>
      </c>
      <c r="Q6262" s="232"/>
      <c r="R6262" s="411"/>
      <c r="T6262" s="440"/>
      <c r="U6262" s="448"/>
      <c r="AA6262" s="218"/>
    </row>
    <row r="6263" spans="1:27" x14ac:dyDescent="0.25">
      <c r="A6263" s="432"/>
      <c r="B6263" s="433"/>
      <c r="C6263" s="432"/>
      <c r="D6263" s="454"/>
      <c r="E6263" s="120">
        <v>25000</v>
      </c>
      <c r="F6263" s="133" t="s">
        <v>13426</v>
      </c>
      <c r="G6263" s="435"/>
      <c r="H6263" s="438"/>
      <c r="I6263" s="438"/>
      <c r="J6263" s="438"/>
      <c r="K6263" s="437"/>
      <c r="M6263" s="491"/>
      <c r="N6263" s="91">
        <f t="shared" si="2664"/>
        <v>0</v>
      </c>
      <c r="O6263" s="411">
        <f t="shared" si="2671"/>
        <v>0</v>
      </c>
      <c r="P6263" s="132" t="s">
        <v>52</v>
      </c>
      <c r="Q6263" s="232"/>
      <c r="R6263" s="411"/>
      <c r="T6263" s="440"/>
      <c r="U6263" s="448"/>
      <c r="AA6263" s="218"/>
    </row>
    <row r="6264" spans="1:27" x14ac:dyDescent="0.25">
      <c r="A6264" s="420"/>
      <c r="B6264" s="422"/>
      <c r="C6264" s="420"/>
      <c r="D6264" s="418"/>
      <c r="E6264" s="120">
        <v>25000</v>
      </c>
      <c r="F6264" s="133" t="s">
        <v>13427</v>
      </c>
      <c r="G6264" s="436"/>
      <c r="H6264" s="428"/>
      <c r="I6264" s="428"/>
      <c r="J6264" s="428"/>
      <c r="K6264" s="426"/>
      <c r="L6264" s="131">
        <v>64</v>
      </c>
      <c r="M6264" s="469"/>
      <c r="N6264" s="91">
        <f t="shared" si="2664"/>
        <v>1600</v>
      </c>
      <c r="O6264" s="411">
        <f t="shared" si="2671"/>
        <v>-1600</v>
      </c>
      <c r="P6264" s="132" t="s">
        <v>52</v>
      </c>
      <c r="Q6264" s="232"/>
      <c r="R6264" s="411"/>
      <c r="T6264" s="441"/>
      <c r="U6264" s="447"/>
      <c r="AA6264" s="218"/>
    </row>
    <row r="6265" spans="1:27" ht="60" x14ac:dyDescent="0.25">
      <c r="A6265" s="405">
        <v>3004903</v>
      </c>
      <c r="B6265" s="406">
        <v>42656</v>
      </c>
      <c r="C6265" s="405" t="s">
        <v>56</v>
      </c>
      <c r="D6265" s="401" t="s">
        <v>13428</v>
      </c>
      <c r="E6265" s="120">
        <v>2000</v>
      </c>
      <c r="F6265" s="133" t="s">
        <v>13429</v>
      </c>
      <c r="G6265" s="404" t="s">
        <v>7486</v>
      </c>
      <c r="H6265" s="411">
        <v>1120</v>
      </c>
      <c r="I6265" s="411">
        <v>0</v>
      </c>
      <c r="J6265" s="411">
        <v>0</v>
      </c>
      <c r="K6265" s="396">
        <f>SUM(H6265:J6265)</f>
        <v>1120</v>
      </c>
      <c r="L6265" s="187">
        <v>280</v>
      </c>
      <c r="M6265" s="224">
        <f>14.98+14.98+25.48+14.98</f>
        <v>70.42</v>
      </c>
      <c r="N6265" s="91">
        <f t="shared" si="2664"/>
        <v>630.41999999999996</v>
      </c>
      <c r="O6265" s="411">
        <f t="shared" si="2671"/>
        <v>489.58000000000004</v>
      </c>
      <c r="P6265" s="132" t="s">
        <v>235</v>
      </c>
      <c r="Q6265" s="232"/>
      <c r="R6265" s="411"/>
      <c r="T6265" s="134" t="s">
        <v>145</v>
      </c>
      <c r="U6265" s="266" t="s">
        <v>13430</v>
      </c>
      <c r="V6265" s="133" t="s">
        <v>12093</v>
      </c>
      <c r="AA6265" s="218"/>
    </row>
    <row r="6266" spans="1:27" ht="24" x14ac:dyDescent="0.25">
      <c r="A6266" s="419">
        <v>3004904</v>
      </c>
      <c r="B6266" s="421">
        <v>42656</v>
      </c>
      <c r="C6266" s="419" t="s">
        <v>56</v>
      </c>
      <c r="D6266" s="417" t="s">
        <v>13431</v>
      </c>
      <c r="E6266" s="120">
        <v>500</v>
      </c>
      <c r="F6266" s="133" t="s">
        <v>13432</v>
      </c>
      <c r="G6266" s="434" t="s">
        <v>7486</v>
      </c>
      <c r="H6266" s="427">
        <v>2145</v>
      </c>
      <c r="I6266" s="427">
        <v>0</v>
      </c>
      <c r="J6266" s="427">
        <v>0</v>
      </c>
      <c r="K6266" s="425">
        <f>SUM(H6266:J6266)</f>
        <v>2145</v>
      </c>
      <c r="L6266" s="187">
        <v>795</v>
      </c>
      <c r="N6266" s="91">
        <f t="shared" si="2664"/>
        <v>397.5</v>
      </c>
      <c r="O6266" s="411">
        <f t="shared" si="2671"/>
        <v>1747.5</v>
      </c>
      <c r="P6266" s="132" t="s">
        <v>330</v>
      </c>
      <c r="Q6266" s="232"/>
      <c r="R6266" s="411"/>
      <c r="T6266" s="407" t="s">
        <v>13433</v>
      </c>
      <c r="U6266" s="266" t="s">
        <v>13434</v>
      </c>
      <c r="V6266" s="133" t="s">
        <v>12934</v>
      </c>
      <c r="W6266" s="153" t="s">
        <v>298</v>
      </c>
      <c r="AA6266" s="218"/>
    </row>
    <row r="6267" spans="1:27" x14ac:dyDescent="0.25">
      <c r="A6267" s="432"/>
      <c r="B6267" s="433"/>
      <c r="C6267" s="432"/>
      <c r="D6267" s="454"/>
      <c r="E6267" s="120">
        <v>500</v>
      </c>
      <c r="F6267" s="133" t="s">
        <v>13435</v>
      </c>
      <c r="G6267" s="435"/>
      <c r="H6267" s="438"/>
      <c r="I6267" s="438"/>
      <c r="J6267" s="438"/>
      <c r="K6267" s="437"/>
      <c r="L6267" s="187">
        <v>485</v>
      </c>
      <c r="M6267" s="187">
        <v>136.01</v>
      </c>
      <c r="N6267" s="91">
        <f t="shared" si="2664"/>
        <v>378.51</v>
      </c>
      <c r="O6267" s="411">
        <f t="shared" si="2671"/>
        <v>-378.51</v>
      </c>
      <c r="P6267" s="132" t="s">
        <v>330</v>
      </c>
      <c r="Q6267" s="232"/>
      <c r="R6267" s="411"/>
      <c r="T6267" s="440" t="s">
        <v>324</v>
      </c>
      <c r="U6267" s="481" t="s">
        <v>13436</v>
      </c>
      <c r="AA6267" s="218"/>
    </row>
    <row r="6268" spans="1:27" x14ac:dyDescent="0.25">
      <c r="A6268" s="420"/>
      <c r="B6268" s="422"/>
      <c r="C6268" s="420"/>
      <c r="D6268" s="418"/>
      <c r="E6268" s="120">
        <v>100</v>
      </c>
      <c r="F6268" s="133" t="s">
        <v>13437</v>
      </c>
      <c r="G6268" s="436"/>
      <c r="H6268" s="428"/>
      <c r="I6268" s="428"/>
      <c r="J6268" s="428"/>
      <c r="K6268" s="426"/>
      <c r="L6268" s="187">
        <v>7008</v>
      </c>
      <c r="M6268" s="187">
        <v>30</v>
      </c>
      <c r="N6268" s="91">
        <f t="shared" si="2664"/>
        <v>730.80000000000007</v>
      </c>
      <c r="O6268" s="411">
        <f t="shared" si="2671"/>
        <v>-730.80000000000007</v>
      </c>
      <c r="P6268" s="132" t="s">
        <v>330</v>
      </c>
      <c r="Q6268" s="232"/>
      <c r="R6268" s="411"/>
      <c r="T6268" s="441"/>
      <c r="U6268" s="490"/>
      <c r="V6268" s="133" t="s">
        <v>13438</v>
      </c>
      <c r="AA6268" s="218"/>
    </row>
    <row r="6269" spans="1:27" ht="24" x14ac:dyDescent="0.25">
      <c r="A6269" s="405">
        <v>3004905</v>
      </c>
      <c r="B6269" s="406">
        <v>42656</v>
      </c>
      <c r="C6269" s="405" t="s">
        <v>42</v>
      </c>
      <c r="D6269" s="401" t="s">
        <v>13439</v>
      </c>
      <c r="E6269" s="120">
        <v>1000</v>
      </c>
      <c r="F6269" s="133" t="s">
        <v>13440</v>
      </c>
      <c r="G6269" s="404" t="s">
        <v>7486</v>
      </c>
      <c r="H6269" s="411">
        <v>285.11</v>
      </c>
      <c r="I6269" s="89">
        <f>-(H6269*0.09)</f>
        <v>-25.6599</v>
      </c>
      <c r="J6269" s="258">
        <f t="shared" ref="J6269" si="2682">-((H6269*0.019)+0.3)</f>
        <v>-5.7170899999999998</v>
      </c>
      <c r="K6269" s="90">
        <f t="shared" ref="K6269" si="2683">SUM(H6269:J6269)</f>
        <v>253.73301000000001</v>
      </c>
      <c r="L6269" s="187">
        <v>190.99</v>
      </c>
      <c r="M6269" s="187">
        <v>16.829999999999998</v>
      </c>
      <c r="N6269" s="91">
        <f t="shared" si="2664"/>
        <v>207.82</v>
      </c>
      <c r="O6269" s="411">
        <f t="shared" si="2671"/>
        <v>45.913010000000014</v>
      </c>
      <c r="P6269" s="132" t="s">
        <v>46</v>
      </c>
      <c r="Q6269" s="232"/>
      <c r="R6269" s="411"/>
      <c r="T6269" s="134" t="s">
        <v>324</v>
      </c>
      <c r="U6269" s="266" t="s">
        <v>13441</v>
      </c>
      <c r="AA6269" s="218"/>
    </row>
    <row r="6270" spans="1:27" ht="24" x14ac:dyDescent="0.25">
      <c r="A6270" s="405">
        <v>3004906</v>
      </c>
      <c r="B6270" s="406">
        <v>42656</v>
      </c>
      <c r="C6270" s="405" t="s">
        <v>42</v>
      </c>
      <c r="D6270" s="401" t="s">
        <v>13442</v>
      </c>
      <c r="E6270" s="120">
        <v>100</v>
      </c>
      <c r="F6270" s="133" t="s">
        <v>431</v>
      </c>
      <c r="G6270" s="404" t="s">
        <v>7486</v>
      </c>
      <c r="H6270" s="411">
        <v>227.48</v>
      </c>
      <c r="I6270" s="89">
        <f>-(H6270*0.09)</f>
        <v>-20.473199999999999</v>
      </c>
      <c r="J6270" s="258">
        <f t="shared" ref="J6270" si="2684">-((H6270*0.019)+0.3)</f>
        <v>-4.6221199999999998</v>
      </c>
      <c r="K6270" s="90">
        <f t="shared" ref="K6270" si="2685">SUM(H6270:J6270)</f>
        <v>202.38468</v>
      </c>
      <c r="L6270" s="131">
        <v>990</v>
      </c>
      <c r="M6270" s="187">
        <v>33.69</v>
      </c>
      <c r="N6270" s="91">
        <f t="shared" si="2664"/>
        <v>132.69</v>
      </c>
      <c r="O6270" s="411">
        <f t="shared" si="2671"/>
        <v>69.694680000000005</v>
      </c>
      <c r="P6270" s="132" t="s">
        <v>52</v>
      </c>
      <c r="Q6270" s="232"/>
      <c r="R6270" s="411"/>
      <c r="T6270" s="134" t="s">
        <v>145</v>
      </c>
      <c r="U6270" s="267" t="s">
        <v>13443</v>
      </c>
      <c r="AA6270" s="218"/>
    </row>
    <row r="6271" spans="1:27" ht="24" x14ac:dyDescent="0.25">
      <c r="A6271" s="405">
        <v>3004907</v>
      </c>
      <c r="B6271" s="406">
        <v>42656</v>
      </c>
      <c r="C6271" s="405" t="s">
        <v>42</v>
      </c>
      <c r="D6271" s="401" t="s">
        <v>13444</v>
      </c>
      <c r="E6271" s="120">
        <v>250</v>
      </c>
      <c r="F6271" s="133" t="s">
        <v>451</v>
      </c>
      <c r="G6271" s="404" t="s">
        <v>7486</v>
      </c>
      <c r="H6271" s="411">
        <v>168.27</v>
      </c>
      <c r="I6271" s="89">
        <f>-(H6271*0.09)</f>
        <v>-15.144300000000001</v>
      </c>
      <c r="J6271" s="258">
        <f t="shared" ref="J6271" si="2686">-((H6271*0.019)+0.3)</f>
        <v>-3.4971299999999998</v>
      </c>
      <c r="K6271" s="90">
        <f t="shared" ref="K6271" si="2687">SUM(H6271:J6271)</f>
        <v>149.62857</v>
      </c>
      <c r="L6271" s="131">
        <v>300</v>
      </c>
      <c r="M6271" s="187">
        <v>20.22</v>
      </c>
      <c r="N6271" s="91">
        <f t="shared" si="2664"/>
        <v>95.22</v>
      </c>
      <c r="O6271" s="411">
        <f t="shared" si="2671"/>
        <v>54.408569999999997</v>
      </c>
      <c r="P6271" s="132" t="s">
        <v>52</v>
      </c>
      <c r="Q6271" s="232"/>
      <c r="R6271" s="411"/>
      <c r="T6271" s="134" t="s">
        <v>145</v>
      </c>
      <c r="U6271" s="267" t="s">
        <v>13445</v>
      </c>
      <c r="AA6271" s="218"/>
    </row>
    <row r="6272" spans="1:27" ht="24" x14ac:dyDescent="0.25">
      <c r="A6272" s="405">
        <v>3004908</v>
      </c>
      <c r="B6272" s="406">
        <v>42656</v>
      </c>
      <c r="C6272" s="405" t="s">
        <v>42</v>
      </c>
      <c r="D6272" s="401" t="s">
        <v>13057</v>
      </c>
      <c r="E6272" s="120">
        <v>250</v>
      </c>
      <c r="F6272" s="133" t="s">
        <v>173</v>
      </c>
      <c r="G6272" s="404" t="s">
        <v>7486</v>
      </c>
      <c r="H6272" s="411">
        <v>225</v>
      </c>
      <c r="I6272" s="89">
        <f>-(H6272*0.09)</f>
        <v>-20.25</v>
      </c>
      <c r="J6272" s="258">
        <f t="shared" ref="J6272" si="2688">-((H6272*0.019)+0.3)</f>
        <v>-4.5749999999999993</v>
      </c>
      <c r="K6272" s="90">
        <f t="shared" ref="K6272" si="2689">SUM(H6272:J6272)</f>
        <v>200.17500000000001</v>
      </c>
      <c r="L6272" s="131">
        <v>409</v>
      </c>
      <c r="M6272" s="187">
        <v>33.42</v>
      </c>
      <c r="N6272" s="91">
        <f t="shared" si="2664"/>
        <v>135.67000000000002</v>
      </c>
      <c r="O6272" s="411">
        <f t="shared" si="2671"/>
        <v>64.504999999999995</v>
      </c>
      <c r="P6272" s="132" t="s">
        <v>52</v>
      </c>
      <c r="Q6272" s="232"/>
      <c r="R6272" s="411"/>
      <c r="T6272" s="134" t="s">
        <v>145</v>
      </c>
      <c r="U6272" s="267" t="s">
        <v>13446</v>
      </c>
      <c r="AA6272" s="218"/>
    </row>
    <row r="6273" spans="1:27" ht="24" customHeight="1" x14ac:dyDescent="0.25">
      <c r="A6273" s="405">
        <v>3004909</v>
      </c>
      <c r="B6273" s="406">
        <v>42656</v>
      </c>
      <c r="C6273" s="405" t="s">
        <v>237</v>
      </c>
      <c r="D6273" s="401" t="s">
        <v>13447</v>
      </c>
      <c r="E6273" s="120">
        <v>300</v>
      </c>
      <c r="F6273" s="133" t="s">
        <v>198</v>
      </c>
      <c r="G6273" s="404" t="s">
        <v>7486</v>
      </c>
      <c r="H6273" s="411">
        <v>760.38</v>
      </c>
      <c r="I6273" s="397">
        <f t="shared" ref="I6273" si="2690">-(H6273*0.15)</f>
        <v>-114.057</v>
      </c>
      <c r="J6273" s="258">
        <v>0</v>
      </c>
      <c r="K6273" s="90">
        <f t="shared" ref="K6273:K6278" si="2691">SUM(H6273:J6273)</f>
        <v>646.32299999999998</v>
      </c>
      <c r="L6273" s="131">
        <v>1693</v>
      </c>
      <c r="M6273" s="187">
        <v>145.53</v>
      </c>
      <c r="N6273" s="91">
        <f t="shared" ref="N6273:N6336" si="2692">((L6273)*(E6273*0.001))+M6273</f>
        <v>653.42999999999995</v>
      </c>
      <c r="O6273" s="411">
        <f t="shared" si="2671"/>
        <v>-7.1069999999999709</v>
      </c>
      <c r="P6273" s="132" t="s">
        <v>52</v>
      </c>
      <c r="Q6273" s="232"/>
      <c r="R6273" s="411"/>
      <c r="T6273" s="407" t="s">
        <v>1467</v>
      </c>
      <c r="U6273" s="267" t="s">
        <v>13448</v>
      </c>
      <c r="V6273" s="133" t="s">
        <v>55</v>
      </c>
      <c r="AA6273" s="218"/>
    </row>
    <row r="6274" spans="1:27" ht="24" x14ac:dyDescent="0.25">
      <c r="A6274" s="405">
        <v>3004910</v>
      </c>
      <c r="B6274" s="406">
        <v>42656</v>
      </c>
      <c r="C6274" s="405" t="s">
        <v>237</v>
      </c>
      <c r="D6274" s="401" t="s">
        <v>13449</v>
      </c>
      <c r="E6274" s="120">
        <v>1000</v>
      </c>
      <c r="F6274" s="133" t="s">
        <v>2478</v>
      </c>
      <c r="G6274" s="404" t="s">
        <v>7486</v>
      </c>
      <c r="H6274" s="411">
        <v>367.42</v>
      </c>
      <c r="I6274" s="397">
        <f t="shared" ref="I6274" si="2693">-(H6274*0.15)</f>
        <v>-55.113</v>
      </c>
      <c r="J6274" s="258">
        <v>0</v>
      </c>
      <c r="K6274" s="90">
        <f t="shared" si="2691"/>
        <v>312.30700000000002</v>
      </c>
      <c r="L6274" s="131">
        <v>220</v>
      </c>
      <c r="M6274" s="187">
        <f>29.56+28.53</f>
        <v>58.09</v>
      </c>
      <c r="N6274" s="91">
        <f t="shared" si="2692"/>
        <v>278.09000000000003</v>
      </c>
      <c r="O6274" s="411">
        <f t="shared" si="2671"/>
        <v>34.216999999999985</v>
      </c>
      <c r="P6274" s="132" t="s">
        <v>52</v>
      </c>
      <c r="Q6274" s="232"/>
      <c r="R6274" s="411"/>
      <c r="T6274" s="407" t="s">
        <v>145</v>
      </c>
      <c r="U6274" s="267" t="s">
        <v>13450</v>
      </c>
      <c r="AA6274" s="218"/>
    </row>
    <row r="6275" spans="1:27" ht="24" x14ac:dyDescent="0.25">
      <c r="A6275" s="405">
        <v>3004911</v>
      </c>
      <c r="B6275" s="406">
        <v>42656</v>
      </c>
      <c r="C6275" s="405" t="s">
        <v>237</v>
      </c>
      <c r="D6275" s="401" t="s">
        <v>13451</v>
      </c>
      <c r="E6275" s="120">
        <v>50</v>
      </c>
      <c r="F6275" s="133" t="s">
        <v>288</v>
      </c>
      <c r="G6275" s="404" t="s">
        <v>7486</v>
      </c>
      <c r="H6275" s="411">
        <v>113.43</v>
      </c>
      <c r="I6275" s="397">
        <f t="shared" ref="I6275" si="2694">-(H6275*0.15)</f>
        <v>-17.014500000000002</v>
      </c>
      <c r="J6275" s="258">
        <v>0</v>
      </c>
      <c r="K6275" s="90">
        <f t="shared" si="2691"/>
        <v>96.415500000000009</v>
      </c>
      <c r="L6275" s="131">
        <v>900</v>
      </c>
      <c r="M6275" s="187">
        <v>16.649999999999999</v>
      </c>
      <c r="N6275" s="91">
        <f t="shared" si="2692"/>
        <v>61.65</v>
      </c>
      <c r="O6275" s="411">
        <f t="shared" si="2671"/>
        <v>34.76550000000001</v>
      </c>
      <c r="P6275" s="132" t="s">
        <v>52</v>
      </c>
      <c r="Q6275" s="232"/>
      <c r="R6275" s="411"/>
      <c r="T6275" s="134" t="s">
        <v>145</v>
      </c>
      <c r="U6275" s="267" t="s">
        <v>13452</v>
      </c>
      <c r="AA6275" s="218"/>
    </row>
    <row r="6276" spans="1:27" ht="24" x14ac:dyDescent="0.25">
      <c r="A6276" s="405">
        <v>3004912</v>
      </c>
      <c r="B6276" s="406">
        <v>42656</v>
      </c>
      <c r="C6276" s="405" t="s">
        <v>237</v>
      </c>
      <c r="D6276" s="401" t="s">
        <v>13453</v>
      </c>
      <c r="E6276" s="120">
        <v>150</v>
      </c>
      <c r="F6276" s="133" t="s">
        <v>247</v>
      </c>
      <c r="G6276" s="404" t="s">
        <v>7486</v>
      </c>
      <c r="H6276" s="411">
        <v>170</v>
      </c>
      <c r="I6276" s="397">
        <f t="shared" ref="I6276" si="2695">-(H6276*0.15)</f>
        <v>-25.5</v>
      </c>
      <c r="J6276" s="258">
        <v>0</v>
      </c>
      <c r="K6276" s="90">
        <f t="shared" si="2691"/>
        <v>144.5</v>
      </c>
      <c r="L6276" s="187">
        <v>672</v>
      </c>
      <c r="M6276" s="187">
        <v>30.64</v>
      </c>
      <c r="N6276" s="91">
        <f t="shared" si="2692"/>
        <v>131.44</v>
      </c>
      <c r="O6276" s="411">
        <f t="shared" ref="O6276:O6339" si="2696">K6276-N6276</f>
        <v>13.060000000000002</v>
      </c>
      <c r="P6276" s="132" t="s">
        <v>313</v>
      </c>
      <c r="Q6276" s="232"/>
      <c r="R6276" s="411"/>
      <c r="T6276" s="134" t="s">
        <v>145</v>
      </c>
      <c r="U6276" s="267" t="s">
        <v>13454</v>
      </c>
      <c r="AA6276" s="218"/>
    </row>
    <row r="6277" spans="1:27" ht="24" x14ac:dyDescent="0.25">
      <c r="A6277" s="405">
        <v>3004913</v>
      </c>
      <c r="B6277" s="406">
        <v>42656</v>
      </c>
      <c r="C6277" s="405" t="s">
        <v>555</v>
      </c>
      <c r="D6277" s="352" t="s">
        <v>13455</v>
      </c>
      <c r="E6277" s="120">
        <v>853</v>
      </c>
      <c r="F6277" s="119" t="s">
        <v>13456</v>
      </c>
      <c r="G6277" s="404" t="s">
        <v>7486</v>
      </c>
      <c r="H6277" s="411">
        <v>1872</v>
      </c>
      <c r="I6277" s="411">
        <v>0</v>
      </c>
      <c r="J6277" s="411">
        <v>0</v>
      </c>
      <c r="K6277" s="90">
        <f t="shared" si="2691"/>
        <v>1872</v>
      </c>
      <c r="L6277" s="187">
        <v>1650</v>
      </c>
      <c r="M6277" s="187">
        <v>0</v>
      </c>
      <c r="N6277" s="91">
        <f t="shared" si="2692"/>
        <v>1407.45</v>
      </c>
      <c r="O6277" s="411">
        <f t="shared" si="2696"/>
        <v>464.54999999999995</v>
      </c>
      <c r="P6277" s="132" t="s">
        <v>183</v>
      </c>
      <c r="Q6277" s="232"/>
      <c r="R6277" s="411"/>
      <c r="T6277" s="134" t="s">
        <v>8218</v>
      </c>
      <c r="U6277" s="266" t="s">
        <v>8218</v>
      </c>
      <c r="AA6277" s="218"/>
    </row>
    <row r="6278" spans="1:27" x14ac:dyDescent="0.25">
      <c r="A6278" s="419">
        <v>3004914</v>
      </c>
      <c r="B6278" s="421">
        <v>42656</v>
      </c>
      <c r="C6278" s="419" t="s">
        <v>555</v>
      </c>
      <c r="D6278" s="417" t="s">
        <v>79</v>
      </c>
      <c r="E6278" s="120">
        <v>5000</v>
      </c>
      <c r="F6278" s="133" t="s">
        <v>80</v>
      </c>
      <c r="G6278" s="434" t="s">
        <v>7486</v>
      </c>
      <c r="H6278" s="427">
        <v>6400</v>
      </c>
      <c r="I6278" s="427">
        <v>0</v>
      </c>
      <c r="J6278" s="427">
        <v>0</v>
      </c>
      <c r="K6278" s="425">
        <f t="shared" si="2691"/>
        <v>6400</v>
      </c>
      <c r="L6278" s="187">
        <v>141.80000000000001</v>
      </c>
      <c r="M6278" s="468">
        <v>150.02000000000001</v>
      </c>
      <c r="N6278" s="91">
        <f t="shared" si="2692"/>
        <v>859.02</v>
      </c>
      <c r="O6278" s="411">
        <f t="shared" si="2696"/>
        <v>5540.98</v>
      </c>
      <c r="P6278" s="132" t="s">
        <v>13457</v>
      </c>
      <c r="Q6278" s="232"/>
      <c r="R6278" s="411"/>
      <c r="T6278" s="439" t="s">
        <v>11311</v>
      </c>
      <c r="U6278" s="446" t="s">
        <v>13458</v>
      </c>
      <c r="V6278" s="133" t="s">
        <v>55</v>
      </c>
      <c r="W6278" s="153" t="s">
        <v>81</v>
      </c>
      <c r="AA6278" s="473">
        <v>50</v>
      </c>
    </row>
    <row r="6279" spans="1:27" x14ac:dyDescent="0.25">
      <c r="A6279" s="432"/>
      <c r="B6279" s="433"/>
      <c r="C6279" s="432"/>
      <c r="D6279" s="454"/>
      <c r="E6279" s="120">
        <v>5000</v>
      </c>
      <c r="F6279" s="133" t="s">
        <v>82</v>
      </c>
      <c r="G6279" s="435"/>
      <c r="H6279" s="438"/>
      <c r="I6279" s="438"/>
      <c r="J6279" s="438"/>
      <c r="K6279" s="437"/>
      <c r="L6279" s="187">
        <v>113.52</v>
      </c>
      <c r="M6279" s="491"/>
      <c r="N6279" s="91">
        <f t="shared" si="2692"/>
        <v>567.6</v>
      </c>
      <c r="O6279" s="411">
        <f t="shared" si="2696"/>
        <v>-567.6</v>
      </c>
      <c r="P6279" s="132" t="s">
        <v>13457</v>
      </c>
      <c r="Q6279" s="232"/>
      <c r="R6279" s="411"/>
      <c r="T6279" s="440"/>
      <c r="U6279" s="448"/>
      <c r="AA6279" s="478"/>
    </row>
    <row r="6280" spans="1:27" x14ac:dyDescent="0.25">
      <c r="A6280" s="432"/>
      <c r="B6280" s="433"/>
      <c r="C6280" s="432"/>
      <c r="D6280" s="454"/>
      <c r="E6280" s="120">
        <v>500</v>
      </c>
      <c r="F6280" s="133" t="s">
        <v>4303</v>
      </c>
      <c r="G6280" s="435"/>
      <c r="H6280" s="438"/>
      <c r="I6280" s="438"/>
      <c r="J6280" s="438"/>
      <c r="K6280" s="437"/>
      <c r="L6280" s="187">
        <v>310</v>
      </c>
      <c r="M6280" s="491"/>
      <c r="N6280" s="91">
        <f t="shared" si="2692"/>
        <v>155</v>
      </c>
      <c r="O6280" s="411">
        <f t="shared" si="2696"/>
        <v>-155</v>
      </c>
      <c r="P6280" s="132" t="s">
        <v>13457</v>
      </c>
      <c r="Q6280" s="232"/>
      <c r="R6280" s="411"/>
      <c r="T6280" s="440"/>
      <c r="U6280" s="448"/>
      <c r="AA6280" s="478"/>
    </row>
    <row r="6281" spans="1:27" x14ac:dyDescent="0.25">
      <c r="A6281" s="432"/>
      <c r="B6281" s="433"/>
      <c r="C6281" s="432"/>
      <c r="D6281" s="454"/>
      <c r="E6281" s="120">
        <v>500</v>
      </c>
      <c r="F6281" s="133" t="s">
        <v>4306</v>
      </c>
      <c r="G6281" s="435"/>
      <c r="H6281" s="438"/>
      <c r="I6281" s="438"/>
      <c r="J6281" s="438"/>
      <c r="K6281" s="437"/>
      <c r="L6281" s="187">
        <v>310</v>
      </c>
      <c r="M6281" s="469"/>
      <c r="N6281" s="91">
        <f t="shared" si="2692"/>
        <v>155</v>
      </c>
      <c r="O6281" s="411">
        <f t="shared" si="2696"/>
        <v>-155</v>
      </c>
      <c r="P6281" s="132" t="s">
        <v>13457</v>
      </c>
      <c r="Q6281" s="232"/>
      <c r="R6281" s="411"/>
      <c r="T6281" s="441"/>
      <c r="U6281" s="447"/>
      <c r="AA6281" s="478"/>
    </row>
    <row r="6282" spans="1:27" x14ac:dyDescent="0.25">
      <c r="A6282" s="432"/>
      <c r="B6282" s="433"/>
      <c r="C6282" s="432"/>
      <c r="D6282" s="454"/>
      <c r="E6282" s="120">
        <v>3000</v>
      </c>
      <c r="F6282" s="133" t="s">
        <v>173</v>
      </c>
      <c r="G6282" s="435"/>
      <c r="H6282" s="438"/>
      <c r="I6282" s="438"/>
      <c r="J6282" s="438"/>
      <c r="K6282" s="437"/>
      <c r="L6282" s="187">
        <v>409</v>
      </c>
      <c r="M6282" s="131">
        <v>0</v>
      </c>
      <c r="N6282" s="91">
        <f t="shared" si="2692"/>
        <v>1227</v>
      </c>
      <c r="O6282" s="411">
        <f t="shared" si="2696"/>
        <v>-1227</v>
      </c>
      <c r="P6282" s="132" t="s">
        <v>46</v>
      </c>
      <c r="Q6282" s="232"/>
      <c r="R6282" s="411"/>
      <c r="T6282" s="439" t="s">
        <v>2652</v>
      </c>
      <c r="U6282" s="446" t="s">
        <v>13459</v>
      </c>
      <c r="V6282" s="133" t="s">
        <v>13460</v>
      </c>
      <c r="AA6282" s="478"/>
    </row>
    <row r="6283" spans="1:27" x14ac:dyDescent="0.25">
      <c r="A6283" s="432"/>
      <c r="B6283" s="433"/>
      <c r="C6283" s="432"/>
      <c r="D6283" s="454"/>
      <c r="E6283" s="120">
        <v>500</v>
      </c>
      <c r="F6283" s="133" t="s">
        <v>3952</v>
      </c>
      <c r="G6283" s="435"/>
      <c r="H6283" s="438"/>
      <c r="I6283" s="438"/>
      <c r="J6283" s="438"/>
      <c r="K6283" s="437"/>
      <c r="L6283" s="187">
        <v>781.34</v>
      </c>
      <c r="M6283" s="131">
        <v>0</v>
      </c>
      <c r="N6283" s="91">
        <f t="shared" si="2692"/>
        <v>390.67</v>
      </c>
      <c r="O6283" s="411">
        <f t="shared" si="2696"/>
        <v>-390.67</v>
      </c>
      <c r="P6283" s="132" t="s">
        <v>46</v>
      </c>
      <c r="Q6283" s="232"/>
      <c r="R6283" s="411"/>
      <c r="T6283" s="440"/>
      <c r="U6283" s="448"/>
      <c r="V6283" s="133" t="s">
        <v>13460</v>
      </c>
      <c r="AA6283" s="478"/>
    </row>
    <row r="6284" spans="1:27" x14ac:dyDescent="0.25">
      <c r="A6284" s="420"/>
      <c r="B6284" s="422"/>
      <c r="C6284" s="420"/>
      <c r="D6284" s="418"/>
      <c r="E6284" s="120">
        <v>1000</v>
      </c>
      <c r="F6284" s="133" t="s">
        <v>307</v>
      </c>
      <c r="G6284" s="436"/>
      <c r="H6284" s="428"/>
      <c r="I6284" s="428"/>
      <c r="J6284" s="428"/>
      <c r="K6284" s="426"/>
      <c r="L6284" s="187">
        <v>628.01</v>
      </c>
      <c r="M6284" s="131">
        <v>0</v>
      </c>
      <c r="N6284" s="91">
        <f t="shared" si="2692"/>
        <v>628.01</v>
      </c>
      <c r="O6284" s="411">
        <f t="shared" si="2696"/>
        <v>-628.01</v>
      </c>
      <c r="P6284" s="132" t="s">
        <v>46</v>
      </c>
      <c r="Q6284" s="232"/>
      <c r="R6284" s="411"/>
      <c r="T6284" s="441"/>
      <c r="U6284" s="447"/>
      <c r="V6284" s="133" t="s">
        <v>13460</v>
      </c>
      <c r="AA6284" s="478"/>
    </row>
    <row r="6285" spans="1:27" ht="24" x14ac:dyDescent="0.25">
      <c r="A6285" s="405">
        <v>3004915</v>
      </c>
      <c r="B6285" s="406">
        <v>42656</v>
      </c>
      <c r="C6285" s="405" t="s">
        <v>63</v>
      </c>
      <c r="D6285" s="401" t="s">
        <v>13461</v>
      </c>
      <c r="E6285" s="120">
        <v>225</v>
      </c>
      <c r="F6285" s="133" t="s">
        <v>2361</v>
      </c>
      <c r="G6285" s="404" t="s">
        <v>45</v>
      </c>
      <c r="H6285" s="411">
        <v>255</v>
      </c>
      <c r="I6285" s="399">
        <v>0</v>
      </c>
      <c r="J6285" s="396">
        <f>-((H6285*0.022)+0.3)</f>
        <v>-5.9099999999999993</v>
      </c>
      <c r="K6285" s="396">
        <f>SUM(H6285:J6285)</f>
        <v>249.09</v>
      </c>
      <c r="L6285" s="131">
        <v>750</v>
      </c>
      <c r="M6285" s="187">
        <v>34.92</v>
      </c>
      <c r="N6285" s="91">
        <f t="shared" si="2692"/>
        <v>203.67000000000002</v>
      </c>
      <c r="O6285" s="411">
        <f t="shared" si="2696"/>
        <v>45.419999999999987</v>
      </c>
      <c r="P6285" s="132" t="s">
        <v>52</v>
      </c>
      <c r="Q6285" s="232"/>
      <c r="R6285" s="411"/>
      <c r="T6285" s="134" t="s">
        <v>145</v>
      </c>
      <c r="U6285" s="267" t="s">
        <v>13462</v>
      </c>
      <c r="W6285" s="153" t="s">
        <v>13463</v>
      </c>
      <c r="AA6285" s="353"/>
    </row>
    <row r="6286" spans="1:27" ht="24" x14ac:dyDescent="0.25">
      <c r="A6286" s="405">
        <v>3004916</v>
      </c>
      <c r="B6286" s="406">
        <v>42656</v>
      </c>
      <c r="C6286" s="405" t="s">
        <v>63</v>
      </c>
      <c r="D6286" s="401" t="s">
        <v>5860</v>
      </c>
      <c r="E6286" s="120">
        <v>1000</v>
      </c>
      <c r="F6286" s="133" t="s">
        <v>5506</v>
      </c>
      <c r="G6286" s="404" t="s">
        <v>45</v>
      </c>
      <c r="H6286" s="411">
        <v>280</v>
      </c>
      <c r="I6286" s="399">
        <v>0</v>
      </c>
      <c r="J6286" s="396">
        <f>-((H6286*0.022)+0.3)</f>
        <v>-6.4599999999999991</v>
      </c>
      <c r="K6286" s="396">
        <f>SUM(H6286:J6286)</f>
        <v>273.54000000000002</v>
      </c>
      <c r="L6286" s="187">
        <v>170</v>
      </c>
      <c r="M6286" s="187">
        <v>24.22</v>
      </c>
      <c r="N6286" s="91">
        <f t="shared" si="2692"/>
        <v>194.22</v>
      </c>
      <c r="O6286" s="411">
        <f t="shared" si="2696"/>
        <v>79.320000000000022</v>
      </c>
      <c r="P6286" s="132" t="s">
        <v>183</v>
      </c>
      <c r="Q6286" s="232"/>
      <c r="R6286" s="411"/>
      <c r="T6286" s="134" t="s">
        <v>324</v>
      </c>
      <c r="U6286" s="267" t="s">
        <v>13464</v>
      </c>
      <c r="W6286" s="153" t="s">
        <v>5864</v>
      </c>
      <c r="AA6286" s="218"/>
    </row>
    <row r="6287" spans="1:27" ht="24" x14ac:dyDescent="0.25">
      <c r="A6287" s="405">
        <v>3004917</v>
      </c>
      <c r="B6287" s="406">
        <v>42656</v>
      </c>
      <c r="C6287" s="405" t="s">
        <v>63</v>
      </c>
      <c r="D6287" s="401" t="s">
        <v>13465</v>
      </c>
      <c r="E6287" s="120">
        <v>175</v>
      </c>
      <c r="F6287" s="133" t="s">
        <v>247</v>
      </c>
      <c r="G6287" s="404" t="s">
        <v>45</v>
      </c>
      <c r="H6287" s="411">
        <v>210</v>
      </c>
      <c r="I6287" s="399">
        <v>0</v>
      </c>
      <c r="J6287" s="396">
        <f>-((H6287*0.022)+0.3)</f>
        <v>-4.92</v>
      </c>
      <c r="K6287" s="396">
        <f>SUM(H6287:J6287)</f>
        <v>205.08</v>
      </c>
      <c r="L6287" s="187">
        <v>584</v>
      </c>
      <c r="M6287" s="187">
        <v>48</v>
      </c>
      <c r="N6287" s="91">
        <f t="shared" si="2692"/>
        <v>150.19999999999999</v>
      </c>
      <c r="O6287" s="411">
        <f t="shared" si="2696"/>
        <v>54.880000000000024</v>
      </c>
      <c r="P6287" s="132" t="s">
        <v>3597</v>
      </c>
      <c r="Q6287" s="232"/>
      <c r="R6287" s="411"/>
      <c r="T6287" s="134" t="s">
        <v>145</v>
      </c>
      <c r="U6287" s="267" t="s">
        <v>13466</v>
      </c>
      <c r="W6287" s="153" t="s">
        <v>13467</v>
      </c>
      <c r="AA6287" s="218"/>
    </row>
    <row r="6288" spans="1:27" ht="24" x14ac:dyDescent="0.25">
      <c r="A6288" s="405">
        <v>3004918</v>
      </c>
      <c r="B6288" s="406">
        <v>42656</v>
      </c>
      <c r="C6288" s="405" t="s">
        <v>78</v>
      </c>
      <c r="D6288" s="401" t="s">
        <v>13468</v>
      </c>
      <c r="E6288" s="120">
        <v>100</v>
      </c>
      <c r="F6288" s="133" t="s">
        <v>161</v>
      </c>
      <c r="G6288" s="404" t="s">
        <v>45</v>
      </c>
      <c r="H6288" s="411">
        <v>245</v>
      </c>
      <c r="I6288" s="411">
        <v>0</v>
      </c>
      <c r="J6288" s="258">
        <f t="shared" ref="J6288:J6289" si="2697">-((H6288*0.019)+0.3)</f>
        <v>-4.9550000000000001</v>
      </c>
      <c r="K6288" s="396">
        <f>SUM(H6288:J6288)</f>
        <v>240.04499999999999</v>
      </c>
      <c r="L6288" s="131">
        <v>1322</v>
      </c>
      <c r="M6288" s="187">
        <v>26.69</v>
      </c>
      <c r="N6288" s="91">
        <f t="shared" si="2692"/>
        <v>158.89000000000001</v>
      </c>
      <c r="O6288" s="411">
        <f t="shared" si="2696"/>
        <v>81.154999999999973</v>
      </c>
      <c r="P6288" s="132" t="s">
        <v>52</v>
      </c>
      <c r="Q6288" s="232"/>
      <c r="R6288" s="411"/>
      <c r="T6288" s="134" t="s">
        <v>145</v>
      </c>
      <c r="U6288" s="267" t="s">
        <v>13469</v>
      </c>
      <c r="W6288" s="153" t="s">
        <v>13470</v>
      </c>
      <c r="AA6288" s="218"/>
    </row>
    <row r="6289" spans="1:27" ht="24" x14ac:dyDescent="0.25">
      <c r="A6289" s="405">
        <v>3004919</v>
      </c>
      <c r="B6289" s="406">
        <v>42656</v>
      </c>
      <c r="C6289" s="405" t="s">
        <v>42</v>
      </c>
      <c r="D6289" s="401" t="s">
        <v>13471</v>
      </c>
      <c r="E6289" s="120">
        <v>100</v>
      </c>
      <c r="F6289" s="133" t="s">
        <v>829</v>
      </c>
      <c r="G6289" s="404" t="s">
        <v>45</v>
      </c>
      <c r="H6289" s="411">
        <v>112.63</v>
      </c>
      <c r="I6289" s="89">
        <f>-(H6289*0.09)</f>
        <v>-10.136699999999999</v>
      </c>
      <c r="J6289" s="258">
        <f t="shared" si="2697"/>
        <v>-2.4399699999999998</v>
      </c>
      <c r="K6289" s="90">
        <f t="shared" ref="K6289" si="2698">SUM(H6289:J6289)</f>
        <v>100.05332999999999</v>
      </c>
      <c r="L6289" s="131">
        <v>510</v>
      </c>
      <c r="M6289" s="187">
        <v>19.29</v>
      </c>
      <c r="N6289" s="91">
        <f t="shared" si="2692"/>
        <v>70.289999999999992</v>
      </c>
      <c r="O6289" s="411">
        <f t="shared" si="2696"/>
        <v>29.763329999999996</v>
      </c>
      <c r="P6289" s="132" t="s">
        <v>52</v>
      </c>
      <c r="Q6289" s="232"/>
      <c r="R6289" s="411"/>
      <c r="T6289" s="134" t="s">
        <v>145</v>
      </c>
      <c r="U6289" s="267" t="s">
        <v>13472</v>
      </c>
      <c r="AA6289" s="218"/>
    </row>
    <row r="6290" spans="1:27" x14ac:dyDescent="0.25">
      <c r="A6290" s="405">
        <v>3004920</v>
      </c>
      <c r="B6290" s="406">
        <v>42656</v>
      </c>
      <c r="C6290" s="405" t="s">
        <v>42</v>
      </c>
      <c r="D6290" s="401" t="s">
        <v>13473</v>
      </c>
      <c r="E6290" s="120">
        <v>375</v>
      </c>
      <c r="F6290" s="133" t="s">
        <v>85</v>
      </c>
      <c r="G6290" s="404" t="s">
        <v>45</v>
      </c>
      <c r="H6290" s="411">
        <v>876.1</v>
      </c>
      <c r="I6290" s="89">
        <f>-(H6290*0.09)</f>
        <v>-78.849000000000004</v>
      </c>
      <c r="J6290" s="258">
        <f t="shared" ref="J6290" si="2699">-((H6290*0.019)+0.3)</f>
        <v>-16.945900000000002</v>
      </c>
      <c r="K6290" s="90">
        <f t="shared" ref="K6290" si="2700">SUM(H6290:J6290)</f>
        <v>780.30509999999992</v>
      </c>
      <c r="M6290" s="187">
        <v>212.79</v>
      </c>
      <c r="N6290" s="91">
        <f t="shared" si="2692"/>
        <v>212.79</v>
      </c>
      <c r="O6290" s="411">
        <f t="shared" si="2696"/>
        <v>567.51509999999996</v>
      </c>
      <c r="P6290" s="132" t="s">
        <v>52</v>
      </c>
      <c r="Q6290" s="232"/>
      <c r="R6290" s="411"/>
      <c r="T6290" s="134" t="s">
        <v>11100</v>
      </c>
      <c r="U6290" s="267" t="s">
        <v>13474</v>
      </c>
      <c r="V6290" s="133" t="s">
        <v>55</v>
      </c>
      <c r="AA6290" s="218"/>
    </row>
    <row r="6291" spans="1:27" x14ac:dyDescent="0.25">
      <c r="A6291" s="405">
        <v>3004921</v>
      </c>
      <c r="B6291" s="406">
        <v>42656</v>
      </c>
      <c r="C6291" s="405" t="s">
        <v>42</v>
      </c>
      <c r="D6291" s="401" t="s">
        <v>13475</v>
      </c>
      <c r="E6291" s="120">
        <v>250</v>
      </c>
      <c r="F6291" s="133" t="s">
        <v>70</v>
      </c>
      <c r="G6291" s="404" t="s">
        <v>45</v>
      </c>
      <c r="H6291" s="411">
        <v>741</v>
      </c>
      <c r="I6291" s="89">
        <f>-(H6291*0.09)</f>
        <v>-66.69</v>
      </c>
      <c r="J6291" s="258">
        <f t="shared" ref="J6291" si="2701">-((H6291*0.019)+0.3)</f>
        <v>-14.379</v>
      </c>
      <c r="K6291" s="90">
        <f t="shared" ref="K6291" si="2702">SUM(H6291:J6291)</f>
        <v>659.93099999999993</v>
      </c>
      <c r="L6291" s="131">
        <v>1200</v>
      </c>
      <c r="M6291" s="187">
        <v>176.52</v>
      </c>
      <c r="N6291" s="91">
        <f t="shared" si="2692"/>
        <v>476.52</v>
      </c>
      <c r="O6291" s="411">
        <f t="shared" si="2696"/>
        <v>183.41099999999994</v>
      </c>
      <c r="P6291" s="132" t="s">
        <v>86</v>
      </c>
      <c r="Q6291" s="232"/>
      <c r="R6291" s="411"/>
      <c r="T6291" s="134" t="s">
        <v>97</v>
      </c>
      <c r="U6291" s="267" t="s">
        <v>13476</v>
      </c>
      <c r="V6291" s="133" t="s">
        <v>55</v>
      </c>
      <c r="AA6291" s="218"/>
    </row>
    <row r="6292" spans="1:27" x14ac:dyDescent="0.25">
      <c r="A6292" s="419">
        <v>3004922</v>
      </c>
      <c r="B6292" s="421">
        <v>42656</v>
      </c>
      <c r="C6292" s="419" t="s">
        <v>237</v>
      </c>
      <c r="D6292" s="417" t="s">
        <v>13477</v>
      </c>
      <c r="E6292" s="120">
        <v>100</v>
      </c>
      <c r="F6292" s="133" t="s">
        <v>10698</v>
      </c>
      <c r="G6292" s="434" t="s">
        <v>45</v>
      </c>
      <c r="H6292" s="427">
        <v>159</v>
      </c>
      <c r="I6292" s="452">
        <f t="shared" ref="I6292" si="2703">-(H6292*0.15)</f>
        <v>-23.849999999999998</v>
      </c>
      <c r="J6292" s="425">
        <v>0</v>
      </c>
      <c r="K6292" s="425">
        <f>SUM(H6292:J6292)</f>
        <v>135.15</v>
      </c>
      <c r="L6292" s="187">
        <v>461</v>
      </c>
      <c r="M6292" s="187">
        <v>13.27</v>
      </c>
      <c r="N6292" s="91">
        <f t="shared" si="2692"/>
        <v>59.370000000000005</v>
      </c>
      <c r="O6292" s="411">
        <f t="shared" si="2696"/>
        <v>75.78</v>
      </c>
      <c r="P6292" s="132" t="s">
        <v>601</v>
      </c>
      <c r="Q6292" s="232"/>
      <c r="R6292" s="411"/>
      <c r="T6292" s="439" t="s">
        <v>145</v>
      </c>
      <c r="U6292" s="446" t="s">
        <v>13478</v>
      </c>
      <c r="AA6292" s="218"/>
    </row>
    <row r="6293" spans="1:27" x14ac:dyDescent="0.25">
      <c r="A6293" s="420"/>
      <c r="B6293" s="422"/>
      <c r="C6293" s="420"/>
      <c r="D6293" s="418"/>
      <c r="E6293" s="120">
        <v>100</v>
      </c>
      <c r="F6293" s="133" t="s">
        <v>4881</v>
      </c>
      <c r="G6293" s="436"/>
      <c r="H6293" s="428"/>
      <c r="I6293" s="453"/>
      <c r="J6293" s="426"/>
      <c r="K6293" s="426"/>
      <c r="L6293" s="187">
        <v>471</v>
      </c>
      <c r="N6293" s="91">
        <f t="shared" si="2692"/>
        <v>47.1</v>
      </c>
      <c r="O6293" s="411">
        <f t="shared" si="2696"/>
        <v>-47.1</v>
      </c>
      <c r="P6293" s="132" t="s">
        <v>601</v>
      </c>
      <c r="Q6293" s="232"/>
      <c r="R6293" s="411"/>
      <c r="T6293" s="441"/>
      <c r="U6293" s="447"/>
      <c r="AA6293" s="218"/>
    </row>
    <row r="6294" spans="1:27" ht="24" x14ac:dyDescent="0.25">
      <c r="A6294" s="405">
        <v>3004923</v>
      </c>
      <c r="B6294" s="406">
        <v>42656</v>
      </c>
      <c r="C6294" s="405" t="s">
        <v>63</v>
      </c>
      <c r="D6294" s="401" t="s">
        <v>13479</v>
      </c>
      <c r="E6294" s="120">
        <v>155</v>
      </c>
      <c r="F6294" s="133" t="s">
        <v>247</v>
      </c>
      <c r="G6294" s="404" t="s">
        <v>45</v>
      </c>
      <c r="H6294" s="411">
        <v>190</v>
      </c>
      <c r="I6294" s="399">
        <v>0</v>
      </c>
      <c r="J6294" s="396">
        <f>-((H6294*0.022)+0.3)</f>
        <v>-4.4799999999999995</v>
      </c>
      <c r="K6294" s="396">
        <f>SUM(H6294:J6294)</f>
        <v>185.52</v>
      </c>
      <c r="L6294" s="131">
        <v>424</v>
      </c>
      <c r="M6294" s="187">
        <v>45.7</v>
      </c>
      <c r="N6294" s="91">
        <f t="shared" si="2692"/>
        <v>111.42</v>
      </c>
      <c r="O6294" s="411">
        <f t="shared" si="2696"/>
        <v>74.100000000000009</v>
      </c>
      <c r="P6294" s="132" t="s">
        <v>52</v>
      </c>
      <c r="Q6294" s="232"/>
      <c r="R6294" s="411"/>
      <c r="T6294" s="134" t="s">
        <v>145</v>
      </c>
      <c r="U6294" s="267" t="s">
        <v>13480</v>
      </c>
      <c r="W6294" s="153" t="s">
        <v>13481</v>
      </c>
      <c r="AA6294" s="218"/>
    </row>
    <row r="6295" spans="1:27" ht="24" x14ac:dyDescent="0.25">
      <c r="A6295" s="405">
        <v>3004924</v>
      </c>
      <c r="B6295" s="406">
        <v>42656</v>
      </c>
      <c r="C6295" s="405" t="s">
        <v>327</v>
      </c>
      <c r="D6295" s="401" t="s">
        <v>13482</v>
      </c>
      <c r="E6295" s="120">
        <v>500</v>
      </c>
      <c r="F6295" s="133" t="s">
        <v>13483</v>
      </c>
      <c r="G6295" s="404" t="s">
        <v>45</v>
      </c>
      <c r="H6295" s="411">
        <v>6875</v>
      </c>
      <c r="I6295" s="399">
        <v>0</v>
      </c>
      <c r="J6295" s="396">
        <f>-((H6295*0.022)+0.3)</f>
        <v>-151.55000000000001</v>
      </c>
      <c r="K6295" s="396">
        <f>SUM(H6295:J6295)</f>
        <v>6723.45</v>
      </c>
      <c r="L6295" s="187">
        <v>10600</v>
      </c>
      <c r="M6295" s="187">
        <v>149.33000000000001</v>
      </c>
      <c r="N6295" s="91">
        <f t="shared" si="2692"/>
        <v>5449.33</v>
      </c>
      <c r="O6295" s="411">
        <f t="shared" si="2696"/>
        <v>1274.1199999999999</v>
      </c>
      <c r="P6295" s="132" t="s">
        <v>183</v>
      </c>
      <c r="Q6295" s="232"/>
      <c r="R6295" s="411"/>
      <c r="T6295" s="134" t="s">
        <v>12439</v>
      </c>
      <c r="U6295" s="267" t="s">
        <v>13484</v>
      </c>
      <c r="W6295" s="153" t="s">
        <v>13485</v>
      </c>
      <c r="AA6295" s="218">
        <v>50</v>
      </c>
    </row>
    <row r="6296" spans="1:27" ht="24" x14ac:dyDescent="0.25">
      <c r="A6296" s="405">
        <v>3004925</v>
      </c>
      <c r="B6296" s="406">
        <v>42657</v>
      </c>
      <c r="C6296" s="405" t="s">
        <v>42</v>
      </c>
      <c r="D6296" s="401" t="s">
        <v>13486</v>
      </c>
      <c r="E6296" s="120">
        <v>200</v>
      </c>
      <c r="F6296" s="133" t="s">
        <v>222</v>
      </c>
      <c r="G6296" s="404" t="s">
        <v>45</v>
      </c>
      <c r="H6296" s="411">
        <v>330</v>
      </c>
      <c r="I6296" s="89">
        <f>-(H6296*0.09)</f>
        <v>-29.7</v>
      </c>
      <c r="J6296" s="258">
        <f t="shared" ref="J6296" si="2704">-((H6296*0.019)+0.3)</f>
        <v>-6.5699999999999994</v>
      </c>
      <c r="K6296" s="90">
        <f t="shared" ref="K6296" si="2705">SUM(H6296:J6296)</f>
        <v>293.73</v>
      </c>
      <c r="L6296" s="131">
        <v>806</v>
      </c>
      <c r="M6296" s="187">
        <v>63.94</v>
      </c>
      <c r="N6296" s="91">
        <f t="shared" si="2692"/>
        <v>225.14000000000001</v>
      </c>
      <c r="O6296" s="411">
        <f t="shared" si="2696"/>
        <v>68.59</v>
      </c>
      <c r="P6296" s="132" t="s">
        <v>52</v>
      </c>
      <c r="Q6296" s="232"/>
      <c r="R6296" s="411"/>
      <c r="T6296" s="134" t="s">
        <v>145</v>
      </c>
      <c r="U6296" s="267" t="s">
        <v>13487</v>
      </c>
      <c r="AA6296" s="218"/>
    </row>
    <row r="6297" spans="1:27" ht="24" x14ac:dyDescent="0.25">
      <c r="A6297" s="405">
        <v>3004926</v>
      </c>
      <c r="B6297" s="406">
        <v>42657</v>
      </c>
      <c r="C6297" s="405" t="s">
        <v>327</v>
      </c>
      <c r="D6297" s="401" t="s">
        <v>13488</v>
      </c>
      <c r="E6297" s="120">
        <v>375</v>
      </c>
      <c r="F6297" s="133" t="s">
        <v>605</v>
      </c>
      <c r="G6297" s="404" t="s">
        <v>45</v>
      </c>
      <c r="H6297" s="411">
        <v>468.71</v>
      </c>
      <c r="I6297" s="399">
        <v>0</v>
      </c>
      <c r="J6297" s="396">
        <f>-((H6297*0.022)+0.3)</f>
        <v>-10.61162</v>
      </c>
      <c r="K6297" s="396">
        <f>SUM(H6297:J6297)</f>
        <v>458.09837999999996</v>
      </c>
      <c r="L6297" s="131">
        <v>480</v>
      </c>
      <c r="M6297" s="187">
        <v>51.56</v>
      </c>
      <c r="N6297" s="91">
        <f t="shared" si="2692"/>
        <v>231.56</v>
      </c>
      <c r="O6297" s="411">
        <f t="shared" si="2696"/>
        <v>226.53837999999996</v>
      </c>
      <c r="P6297" s="132" t="s">
        <v>52</v>
      </c>
      <c r="Q6297" s="232"/>
      <c r="R6297" s="411"/>
      <c r="T6297" s="134" t="s">
        <v>145</v>
      </c>
      <c r="U6297" s="267" t="s">
        <v>13489</v>
      </c>
      <c r="W6297" s="153" t="s">
        <v>13490</v>
      </c>
      <c r="AA6297" s="218"/>
    </row>
    <row r="6298" spans="1:27" x14ac:dyDescent="0.25">
      <c r="A6298" s="405">
        <v>3004927</v>
      </c>
      <c r="B6298" s="406">
        <v>42657</v>
      </c>
      <c r="C6298" s="405" t="s">
        <v>63</v>
      </c>
      <c r="D6298" s="401" t="s">
        <v>13491</v>
      </c>
      <c r="E6298" s="120">
        <v>200</v>
      </c>
      <c r="F6298" s="133" t="s">
        <v>4380</v>
      </c>
      <c r="G6298" s="404" t="s">
        <v>45</v>
      </c>
      <c r="H6298" s="411">
        <v>950</v>
      </c>
      <c r="I6298" s="399">
        <v>0</v>
      </c>
      <c r="J6298" s="396">
        <f>-((H6298*0.022)+0.3)</f>
        <v>-21.2</v>
      </c>
      <c r="K6298" s="396">
        <f>SUM(H6298:J6298)</f>
        <v>928.8</v>
      </c>
      <c r="L6298" s="131">
        <v>2567</v>
      </c>
      <c r="M6298" s="187">
        <v>154.77000000000001</v>
      </c>
      <c r="N6298" s="91">
        <f t="shared" si="2692"/>
        <v>668.17</v>
      </c>
      <c r="O6298" s="411">
        <f t="shared" si="2696"/>
        <v>260.63</v>
      </c>
      <c r="P6298" s="132" t="s">
        <v>52</v>
      </c>
      <c r="Q6298" s="232"/>
      <c r="R6298" s="411"/>
      <c r="T6298" s="134" t="s">
        <v>1467</v>
      </c>
      <c r="U6298" s="267" t="s">
        <v>13492</v>
      </c>
      <c r="V6298" s="133" t="s">
        <v>55</v>
      </c>
      <c r="W6298" s="153" t="s">
        <v>13493</v>
      </c>
      <c r="AA6298" s="218"/>
    </row>
    <row r="6299" spans="1:27" ht="24" x14ac:dyDescent="0.25">
      <c r="A6299" s="405">
        <v>3004928</v>
      </c>
      <c r="B6299" s="406">
        <v>42657</v>
      </c>
      <c r="C6299" s="405" t="s">
        <v>42</v>
      </c>
      <c r="D6299" s="401" t="s">
        <v>12438</v>
      </c>
      <c r="E6299" s="120">
        <v>1000</v>
      </c>
      <c r="F6299" s="133" t="s">
        <v>451</v>
      </c>
      <c r="G6299" s="404" t="s">
        <v>45</v>
      </c>
      <c r="H6299" s="411">
        <v>585</v>
      </c>
      <c r="I6299" s="89">
        <f>-(H6299*0.09)</f>
        <v>-52.65</v>
      </c>
      <c r="J6299" s="258">
        <f t="shared" ref="J6299" si="2706">-((H6299*0.019)+0.3)</f>
        <v>-11.415000000000001</v>
      </c>
      <c r="K6299" s="90">
        <f t="shared" ref="K6299" si="2707">SUM(H6299:J6299)</f>
        <v>520.93500000000006</v>
      </c>
      <c r="L6299" s="131">
        <v>300</v>
      </c>
      <c r="M6299" s="187">
        <v>73.47</v>
      </c>
      <c r="N6299" s="91">
        <f t="shared" si="2692"/>
        <v>373.47</v>
      </c>
      <c r="O6299" s="411">
        <f t="shared" si="2696"/>
        <v>147.46500000000003</v>
      </c>
      <c r="P6299" s="132" t="s">
        <v>52</v>
      </c>
      <c r="Q6299" s="232"/>
      <c r="R6299" s="411"/>
      <c r="T6299" s="134" t="s">
        <v>145</v>
      </c>
      <c r="U6299" s="267" t="s">
        <v>13494</v>
      </c>
      <c r="AA6299" s="218"/>
    </row>
    <row r="6300" spans="1:27" ht="24" x14ac:dyDescent="0.25">
      <c r="A6300" s="405">
        <v>3004929</v>
      </c>
      <c r="B6300" s="406">
        <v>42657</v>
      </c>
      <c r="C6300" s="405" t="s">
        <v>42</v>
      </c>
      <c r="D6300" s="401" t="s">
        <v>13495</v>
      </c>
      <c r="E6300" s="120">
        <v>250</v>
      </c>
      <c r="F6300" s="133" t="s">
        <v>13496</v>
      </c>
      <c r="G6300" s="404" t="s">
        <v>45</v>
      </c>
      <c r="H6300" s="411">
        <v>399.71</v>
      </c>
      <c r="I6300" s="89">
        <f>-(H6300*0.09)</f>
        <v>-35.973899999999993</v>
      </c>
      <c r="J6300" s="258">
        <f t="shared" ref="J6300" si="2708">-((H6300*0.019)+0.3)</f>
        <v>-7.8944899999999993</v>
      </c>
      <c r="K6300" s="90">
        <f t="shared" ref="K6300" si="2709">SUM(H6300:J6300)</f>
        <v>355.84160999999995</v>
      </c>
      <c r="L6300" s="187">
        <v>1373</v>
      </c>
      <c r="M6300" s="224">
        <v>59</v>
      </c>
      <c r="N6300" s="91">
        <f t="shared" si="2692"/>
        <v>402.25</v>
      </c>
      <c r="O6300" s="411">
        <f t="shared" si="2696"/>
        <v>-46.408390000000054</v>
      </c>
      <c r="P6300" s="132" t="s">
        <v>183</v>
      </c>
      <c r="Q6300" s="232"/>
      <c r="R6300" s="411"/>
      <c r="T6300" s="134" t="s">
        <v>145</v>
      </c>
      <c r="U6300" s="267" t="s">
        <v>13497</v>
      </c>
      <c r="AA6300" s="218"/>
    </row>
    <row r="6301" spans="1:27" ht="24" x14ac:dyDescent="0.25">
      <c r="A6301" s="405">
        <v>3004930</v>
      </c>
      <c r="B6301" s="406">
        <v>42657</v>
      </c>
      <c r="C6301" s="405" t="s">
        <v>42</v>
      </c>
      <c r="D6301" s="401" t="s">
        <v>13498</v>
      </c>
      <c r="E6301" s="120">
        <v>100</v>
      </c>
      <c r="F6301" s="133" t="s">
        <v>431</v>
      </c>
      <c r="G6301" s="404" t="s">
        <v>45</v>
      </c>
      <c r="H6301" s="411">
        <v>227.48</v>
      </c>
      <c r="I6301" s="89">
        <f>-(H6301*0.09)</f>
        <v>-20.473199999999999</v>
      </c>
      <c r="J6301" s="258">
        <f t="shared" ref="J6301" si="2710">-((H6301*0.019)+0.3)</f>
        <v>-4.6221199999999998</v>
      </c>
      <c r="K6301" s="90">
        <f t="shared" ref="K6301" si="2711">SUM(H6301:J6301)</f>
        <v>202.38468</v>
      </c>
      <c r="L6301" s="131">
        <v>990</v>
      </c>
      <c r="M6301" s="187">
        <v>45.22</v>
      </c>
      <c r="N6301" s="91">
        <f t="shared" si="2692"/>
        <v>144.22</v>
      </c>
      <c r="O6301" s="411">
        <f t="shared" si="2696"/>
        <v>58.164680000000004</v>
      </c>
      <c r="P6301" s="132" t="s">
        <v>52</v>
      </c>
      <c r="Q6301" s="232"/>
      <c r="R6301" s="411"/>
      <c r="T6301" s="134" t="s">
        <v>145</v>
      </c>
      <c r="U6301" s="267" t="s">
        <v>13499</v>
      </c>
      <c r="AA6301" s="218"/>
    </row>
    <row r="6302" spans="1:27" ht="24" x14ac:dyDescent="0.25">
      <c r="A6302" s="405">
        <v>3004931</v>
      </c>
      <c r="B6302" s="406">
        <v>42657</v>
      </c>
      <c r="C6302" s="405" t="s">
        <v>42</v>
      </c>
      <c r="D6302" s="401" t="s">
        <v>1557</v>
      </c>
      <c r="E6302" s="120">
        <v>100</v>
      </c>
      <c r="F6302" s="133" t="s">
        <v>939</v>
      </c>
      <c r="G6302" s="404" t="s">
        <v>45</v>
      </c>
      <c r="H6302" s="411">
        <v>122.14</v>
      </c>
      <c r="I6302" s="89">
        <f>-(H6302*0.09)</f>
        <v>-10.992599999999999</v>
      </c>
      <c r="J6302" s="258">
        <f t="shared" ref="J6302" si="2712">-((H6302*0.019)+0.3)</f>
        <v>-2.62066</v>
      </c>
      <c r="K6302" s="90">
        <f t="shared" ref="K6302" si="2713">SUM(H6302:J6302)</f>
        <v>108.52674</v>
      </c>
      <c r="L6302" s="131">
        <v>445</v>
      </c>
      <c r="M6302" s="187">
        <v>23.32</v>
      </c>
      <c r="N6302" s="91">
        <f t="shared" si="2692"/>
        <v>67.819999999999993</v>
      </c>
      <c r="O6302" s="411">
        <f t="shared" si="2696"/>
        <v>40.706740000000011</v>
      </c>
      <c r="P6302" s="132" t="s">
        <v>52</v>
      </c>
      <c r="Q6302" s="232"/>
      <c r="R6302" s="411"/>
      <c r="T6302" s="134" t="s">
        <v>145</v>
      </c>
      <c r="U6302" s="267" t="s">
        <v>13500</v>
      </c>
      <c r="AA6302" s="218"/>
    </row>
    <row r="6303" spans="1:27" ht="24" x14ac:dyDescent="0.25">
      <c r="A6303" s="405">
        <v>3004932</v>
      </c>
      <c r="B6303" s="406">
        <v>42657</v>
      </c>
      <c r="C6303" s="405" t="s">
        <v>42</v>
      </c>
      <c r="D6303" s="401" t="s">
        <v>13501</v>
      </c>
      <c r="E6303" s="120">
        <v>200</v>
      </c>
      <c r="F6303" s="133" t="s">
        <v>877</v>
      </c>
      <c r="G6303" s="404" t="s">
        <v>45</v>
      </c>
      <c r="H6303" s="411">
        <v>147.12</v>
      </c>
      <c r="I6303" s="89">
        <f>-(H6303*0.09)</f>
        <v>-13.2408</v>
      </c>
      <c r="J6303" s="258">
        <f t="shared" ref="J6303" si="2714">-((H6303*0.019)+0.3)</f>
        <v>-3.0952799999999998</v>
      </c>
      <c r="K6303" s="90">
        <f t="shared" ref="K6303" si="2715">SUM(H6303:J6303)</f>
        <v>130.78391999999999</v>
      </c>
      <c r="L6303" s="131">
        <v>235</v>
      </c>
      <c r="M6303" s="187">
        <v>23.59</v>
      </c>
      <c r="N6303" s="91">
        <f t="shared" si="2692"/>
        <v>70.59</v>
      </c>
      <c r="O6303" s="411">
        <f t="shared" si="2696"/>
        <v>60.193919999999991</v>
      </c>
      <c r="P6303" s="132" t="s">
        <v>52</v>
      </c>
      <c r="Q6303" s="232"/>
      <c r="R6303" s="411"/>
      <c r="T6303" s="134" t="s">
        <v>145</v>
      </c>
      <c r="U6303" s="267" t="s">
        <v>13502</v>
      </c>
      <c r="AA6303" s="218"/>
    </row>
    <row r="6304" spans="1:27" ht="24" x14ac:dyDescent="0.25">
      <c r="A6304" s="405">
        <v>3004933</v>
      </c>
      <c r="B6304" s="406">
        <v>42657</v>
      </c>
      <c r="C6304" s="405" t="s">
        <v>237</v>
      </c>
      <c r="D6304" s="401" t="s">
        <v>13503</v>
      </c>
      <c r="E6304" s="120">
        <v>500</v>
      </c>
      <c r="F6304" s="119" t="s">
        <v>972</v>
      </c>
      <c r="G6304" s="404" t="s">
        <v>7486</v>
      </c>
      <c r="H6304" s="411">
        <v>162.44</v>
      </c>
      <c r="I6304" s="397">
        <f t="shared" ref="I6304" si="2716">-(H6304*0.15)</f>
        <v>-24.366</v>
      </c>
      <c r="J6304" s="258">
        <v>0</v>
      </c>
      <c r="K6304" s="90">
        <f>SUM(H6304:J6304)</f>
        <v>138.07400000000001</v>
      </c>
      <c r="L6304" s="131">
        <v>205</v>
      </c>
      <c r="M6304" s="187">
        <v>18.850000000000001</v>
      </c>
      <c r="N6304" s="91">
        <f t="shared" si="2692"/>
        <v>121.35</v>
      </c>
      <c r="O6304" s="411">
        <f t="shared" si="2696"/>
        <v>16.724000000000018</v>
      </c>
      <c r="P6304" s="132" t="s">
        <v>52</v>
      </c>
      <c r="Q6304" s="232"/>
      <c r="R6304" s="411"/>
      <c r="T6304" s="134" t="s">
        <v>145</v>
      </c>
      <c r="U6304" s="267" t="s">
        <v>13504</v>
      </c>
      <c r="AA6304" s="218"/>
    </row>
    <row r="6305" spans="1:27" ht="24" x14ac:dyDescent="0.25">
      <c r="A6305" s="405">
        <v>3004934</v>
      </c>
      <c r="B6305" s="406">
        <v>42657</v>
      </c>
      <c r="C6305" s="405" t="s">
        <v>63</v>
      </c>
      <c r="D6305" s="401" t="s">
        <v>13505</v>
      </c>
      <c r="E6305" s="120">
        <v>175</v>
      </c>
      <c r="F6305" s="133" t="s">
        <v>528</v>
      </c>
      <c r="G6305" s="404" t="s">
        <v>7486</v>
      </c>
      <c r="H6305" s="411">
        <v>419.58</v>
      </c>
      <c r="I6305" s="399">
        <v>0</v>
      </c>
      <c r="J6305" s="396">
        <f>-((H6305*0.022)+0.3)</f>
        <v>-9.530759999999999</v>
      </c>
      <c r="K6305" s="396">
        <f>SUM(H6305:J6305)</f>
        <v>410.04924</v>
      </c>
      <c r="L6305" s="131">
        <v>1021</v>
      </c>
      <c r="M6305" s="187">
        <v>49.74</v>
      </c>
      <c r="N6305" s="91">
        <f t="shared" si="2692"/>
        <v>228.41500000000002</v>
      </c>
      <c r="O6305" s="411">
        <f t="shared" si="2696"/>
        <v>181.63423999999998</v>
      </c>
      <c r="P6305" s="132" t="s">
        <v>52</v>
      </c>
      <c r="Q6305" s="232"/>
      <c r="R6305" s="411">
        <v>31.08</v>
      </c>
      <c r="S6305" s="133" t="s">
        <v>3435</v>
      </c>
      <c r="T6305" s="134" t="s">
        <v>145</v>
      </c>
      <c r="U6305" s="267" t="s">
        <v>13506</v>
      </c>
      <c r="W6305" s="153" t="s">
        <v>13507</v>
      </c>
      <c r="AA6305" s="218"/>
    </row>
    <row r="6306" spans="1:27" x14ac:dyDescent="0.25">
      <c r="A6306" s="419">
        <v>3004935</v>
      </c>
      <c r="B6306" s="421">
        <v>42657</v>
      </c>
      <c r="C6306" s="419" t="s">
        <v>63</v>
      </c>
      <c r="D6306" s="417" t="s">
        <v>13508</v>
      </c>
      <c r="E6306" s="120">
        <v>200</v>
      </c>
      <c r="F6306" s="133" t="s">
        <v>198</v>
      </c>
      <c r="G6306" s="434" t="s">
        <v>7486</v>
      </c>
      <c r="H6306" s="427">
        <v>723</v>
      </c>
      <c r="I6306" s="427">
        <v>0</v>
      </c>
      <c r="J6306" s="425">
        <f>-((H6306*0.022)+0.3)</f>
        <v>-16.206</v>
      </c>
      <c r="K6306" s="425">
        <f>SUM(H6306:J6306)</f>
        <v>706.79399999999998</v>
      </c>
      <c r="L6306" s="131">
        <v>1693</v>
      </c>
      <c r="M6306" s="468">
        <v>154.78</v>
      </c>
      <c r="N6306" s="91">
        <f t="shared" si="2692"/>
        <v>493.38</v>
      </c>
      <c r="O6306" s="411">
        <f t="shared" si="2696"/>
        <v>213.41399999999999</v>
      </c>
      <c r="P6306" s="132" t="s">
        <v>52</v>
      </c>
      <c r="Q6306" s="232"/>
      <c r="R6306" s="411"/>
      <c r="T6306" s="470" t="s">
        <v>1467</v>
      </c>
      <c r="U6306" s="446" t="s">
        <v>13509</v>
      </c>
      <c r="V6306" s="133" t="s">
        <v>55</v>
      </c>
      <c r="W6306" s="153" t="s">
        <v>13510</v>
      </c>
      <c r="AA6306" s="218"/>
    </row>
    <row r="6307" spans="1:27" x14ac:dyDescent="0.25">
      <c r="A6307" s="420"/>
      <c r="B6307" s="422"/>
      <c r="C6307" s="420"/>
      <c r="D6307" s="418"/>
      <c r="E6307" s="120">
        <v>60</v>
      </c>
      <c r="F6307" s="133" t="s">
        <v>605</v>
      </c>
      <c r="G6307" s="436"/>
      <c r="H6307" s="428"/>
      <c r="I6307" s="428"/>
      <c r="J6307" s="426"/>
      <c r="K6307" s="426"/>
      <c r="L6307" s="131">
        <v>595</v>
      </c>
      <c r="M6307" s="469"/>
      <c r="N6307" s="91">
        <f t="shared" si="2692"/>
        <v>35.699999999999996</v>
      </c>
      <c r="O6307" s="411">
        <f t="shared" si="2696"/>
        <v>-35.699999999999996</v>
      </c>
      <c r="P6307" s="132" t="s">
        <v>52</v>
      </c>
      <c r="Q6307" s="232"/>
      <c r="R6307" s="411"/>
      <c r="T6307" s="472"/>
      <c r="U6307" s="447"/>
      <c r="AA6307" s="218"/>
    </row>
    <row r="6308" spans="1:27" ht="24" x14ac:dyDescent="0.25">
      <c r="A6308" s="405">
        <v>3004936</v>
      </c>
      <c r="B6308" s="406">
        <v>42657</v>
      </c>
      <c r="C6308" s="405" t="s">
        <v>237</v>
      </c>
      <c r="D6308" s="401" t="s">
        <v>13511</v>
      </c>
      <c r="E6308" s="120">
        <v>200</v>
      </c>
      <c r="F6308" s="133" t="s">
        <v>247</v>
      </c>
      <c r="G6308" s="404" t="s">
        <v>7486</v>
      </c>
      <c r="H6308" s="411">
        <v>205</v>
      </c>
      <c r="I6308" s="397">
        <f t="shared" ref="I6308" si="2717">-(H6308*0.15)</f>
        <v>-30.75</v>
      </c>
      <c r="J6308" s="258">
        <v>0</v>
      </c>
      <c r="K6308" s="90">
        <f>SUM(H6308:J6308)</f>
        <v>174.25</v>
      </c>
      <c r="M6308" s="187">
        <v>20.16</v>
      </c>
      <c r="N6308" s="91">
        <f t="shared" si="2692"/>
        <v>20.16</v>
      </c>
      <c r="O6308" s="411">
        <f t="shared" si="2696"/>
        <v>154.09</v>
      </c>
      <c r="P6308" s="132" t="s">
        <v>52</v>
      </c>
      <c r="Q6308" s="232"/>
      <c r="R6308" s="411"/>
      <c r="T6308" s="134" t="s">
        <v>145</v>
      </c>
      <c r="U6308" s="267" t="s">
        <v>13512</v>
      </c>
      <c r="AA6308" s="218"/>
    </row>
    <row r="6309" spans="1:27" ht="24" x14ac:dyDescent="0.25">
      <c r="A6309" s="405">
        <v>3004937</v>
      </c>
      <c r="B6309" s="406">
        <v>42657</v>
      </c>
      <c r="C6309" s="405" t="s">
        <v>237</v>
      </c>
      <c r="D6309" s="401" t="s">
        <v>13513</v>
      </c>
      <c r="E6309" s="120">
        <v>1000</v>
      </c>
      <c r="F6309" s="133" t="s">
        <v>13514</v>
      </c>
      <c r="G6309" s="404" t="s">
        <v>7486</v>
      </c>
      <c r="H6309" s="411">
        <v>201.39</v>
      </c>
      <c r="I6309" s="397">
        <f t="shared" ref="I6309" si="2718">-(H6309*0.15)</f>
        <v>-30.208499999999997</v>
      </c>
      <c r="J6309" s="258">
        <v>0</v>
      </c>
      <c r="K6309" s="90">
        <f>SUM(H6309:J6309)</f>
        <v>171.1815</v>
      </c>
      <c r="L6309" s="187">
        <v>120</v>
      </c>
      <c r="M6309" s="187">
        <v>35.04</v>
      </c>
      <c r="N6309" s="91">
        <f t="shared" si="2692"/>
        <v>155.04</v>
      </c>
      <c r="O6309" s="411">
        <f t="shared" si="2696"/>
        <v>16.141500000000008</v>
      </c>
      <c r="P6309" s="132" t="s">
        <v>235</v>
      </c>
      <c r="Q6309" s="232"/>
      <c r="R6309" s="411"/>
      <c r="T6309" s="134" t="s">
        <v>145</v>
      </c>
      <c r="U6309" s="267" t="s">
        <v>13515</v>
      </c>
      <c r="AA6309" s="218"/>
    </row>
    <row r="6310" spans="1:27" x14ac:dyDescent="0.25">
      <c r="A6310" s="405">
        <v>3004938</v>
      </c>
      <c r="B6310" s="406">
        <v>42657</v>
      </c>
      <c r="C6310" s="405" t="s">
        <v>237</v>
      </c>
      <c r="D6310" s="401" t="s">
        <v>13516</v>
      </c>
      <c r="E6310" s="120">
        <v>700</v>
      </c>
      <c r="F6310" s="133" t="s">
        <v>829</v>
      </c>
      <c r="G6310" s="404" t="s">
        <v>7486</v>
      </c>
      <c r="H6310" s="411">
        <v>320</v>
      </c>
      <c r="I6310" s="397">
        <f t="shared" ref="I6310" si="2719">-(H6310*0.15)</f>
        <v>-48</v>
      </c>
      <c r="J6310" s="258">
        <v>0</v>
      </c>
      <c r="K6310" s="90">
        <f>SUM(H6310:J6310)</f>
        <v>272</v>
      </c>
      <c r="N6310" s="91">
        <f t="shared" si="2692"/>
        <v>0</v>
      </c>
      <c r="O6310" s="411">
        <f t="shared" si="2696"/>
        <v>272</v>
      </c>
      <c r="P6310" s="132" t="s">
        <v>13517</v>
      </c>
      <c r="Q6310" s="232"/>
      <c r="R6310" s="411"/>
      <c r="T6310" s="134" t="s">
        <v>204</v>
      </c>
      <c r="U6310" s="266">
        <v>3666131486</v>
      </c>
      <c r="AA6310" s="218"/>
    </row>
    <row r="6311" spans="1:27" ht="24" x14ac:dyDescent="0.25">
      <c r="A6311" s="405">
        <v>3004939</v>
      </c>
      <c r="B6311" s="406">
        <v>42657</v>
      </c>
      <c r="C6311" s="405" t="s">
        <v>237</v>
      </c>
      <c r="D6311" s="401" t="s">
        <v>13518</v>
      </c>
      <c r="E6311" s="120">
        <v>50</v>
      </c>
      <c r="F6311" s="133" t="s">
        <v>161</v>
      </c>
      <c r="G6311" s="404" t="s">
        <v>7486</v>
      </c>
      <c r="H6311" s="411">
        <v>143.88</v>
      </c>
      <c r="I6311" s="397">
        <f t="shared" ref="I6311" si="2720">-(H6311*0.15)</f>
        <v>-21.581999999999997</v>
      </c>
      <c r="J6311" s="258">
        <v>0</v>
      </c>
      <c r="K6311" s="90">
        <f>SUM(H6311:J6311)</f>
        <v>122.298</v>
      </c>
      <c r="L6311" s="131">
        <v>1322</v>
      </c>
      <c r="M6311" s="187">
        <v>9.33</v>
      </c>
      <c r="N6311" s="91">
        <f t="shared" si="2692"/>
        <v>75.430000000000007</v>
      </c>
      <c r="O6311" s="411">
        <f t="shared" si="2696"/>
        <v>46.867999999999995</v>
      </c>
      <c r="P6311" s="132" t="s">
        <v>52</v>
      </c>
      <c r="Q6311" s="232"/>
      <c r="R6311" s="411"/>
      <c r="T6311" s="134" t="s">
        <v>145</v>
      </c>
      <c r="U6311" s="267" t="s">
        <v>13519</v>
      </c>
      <c r="AA6311" s="218"/>
    </row>
    <row r="6312" spans="1:27" ht="36" x14ac:dyDescent="0.25">
      <c r="A6312" s="405">
        <v>3004940</v>
      </c>
      <c r="B6312" s="406">
        <v>42657</v>
      </c>
      <c r="C6312" s="405" t="s">
        <v>237</v>
      </c>
      <c r="D6312" s="401" t="s">
        <v>13520</v>
      </c>
      <c r="E6312" s="120">
        <v>750</v>
      </c>
      <c r="F6312" s="119" t="s">
        <v>13521</v>
      </c>
      <c r="G6312" s="404" t="s">
        <v>7486</v>
      </c>
      <c r="H6312" s="411">
        <v>2124.63</v>
      </c>
      <c r="I6312" s="397">
        <f t="shared" ref="I6312" si="2721">-(H6312*0.15)</f>
        <v>-318.69450000000001</v>
      </c>
      <c r="J6312" s="258">
        <v>0</v>
      </c>
      <c r="K6312" s="90">
        <f>SUM(H6312:J6312)</f>
        <v>1805.9355</v>
      </c>
      <c r="L6312" s="187">
        <v>1633</v>
      </c>
      <c r="M6312" s="224">
        <v>102.97</v>
      </c>
      <c r="N6312" s="91">
        <f t="shared" si="2692"/>
        <v>1327.72</v>
      </c>
      <c r="O6312" s="411">
        <f t="shared" si="2696"/>
        <v>478.21550000000002</v>
      </c>
      <c r="P6312" s="132" t="s">
        <v>12252</v>
      </c>
      <c r="Q6312" s="232"/>
      <c r="R6312" s="411"/>
      <c r="T6312" s="134" t="s">
        <v>244</v>
      </c>
      <c r="U6312" s="267" t="s">
        <v>13522</v>
      </c>
      <c r="V6312" s="133" t="s">
        <v>55</v>
      </c>
      <c r="AA6312" s="218"/>
    </row>
    <row r="6313" spans="1:27" ht="24" x14ac:dyDescent="0.25">
      <c r="A6313" s="405">
        <v>3004941</v>
      </c>
      <c r="B6313" s="406">
        <v>42657</v>
      </c>
      <c r="C6313" s="405" t="s">
        <v>42</v>
      </c>
      <c r="D6313" s="401" t="s">
        <v>13523</v>
      </c>
      <c r="E6313" s="120">
        <v>250</v>
      </c>
      <c r="F6313" s="133" t="s">
        <v>1137</v>
      </c>
      <c r="G6313" s="404" t="s">
        <v>7486</v>
      </c>
      <c r="H6313" s="411">
        <v>133</v>
      </c>
      <c r="I6313" s="89">
        <f>-(H6313*0.09)</f>
        <v>-11.969999999999999</v>
      </c>
      <c r="J6313" s="258">
        <f t="shared" ref="J6313" si="2722">-((H6313*0.019)+0.3)</f>
        <v>-2.827</v>
      </c>
      <c r="K6313" s="90">
        <f t="shared" ref="K6313" si="2723">SUM(H6313:J6313)</f>
        <v>118.203</v>
      </c>
      <c r="L6313" s="131">
        <v>220</v>
      </c>
      <c r="M6313" s="187">
        <v>27.8</v>
      </c>
      <c r="N6313" s="91">
        <f t="shared" si="2692"/>
        <v>82.8</v>
      </c>
      <c r="O6313" s="411">
        <f t="shared" si="2696"/>
        <v>35.403000000000006</v>
      </c>
      <c r="P6313" s="132" t="s">
        <v>52</v>
      </c>
      <c r="Q6313" s="232"/>
      <c r="R6313" s="411"/>
      <c r="T6313" s="134" t="s">
        <v>145</v>
      </c>
      <c r="U6313" s="267" t="s">
        <v>13524</v>
      </c>
      <c r="AA6313" s="218"/>
    </row>
    <row r="6314" spans="1:27" ht="24" x14ac:dyDescent="0.25">
      <c r="A6314" s="405">
        <v>3004942</v>
      </c>
      <c r="B6314" s="406">
        <v>42657</v>
      </c>
      <c r="C6314" s="405" t="s">
        <v>63</v>
      </c>
      <c r="D6314" s="401" t="s">
        <v>13525</v>
      </c>
      <c r="E6314" s="120">
        <v>1115</v>
      </c>
      <c r="F6314" s="133" t="s">
        <v>13526</v>
      </c>
      <c r="G6314" s="404" t="s">
        <v>45</v>
      </c>
      <c r="H6314" s="411">
        <v>1067</v>
      </c>
      <c r="I6314" s="399">
        <v>0</v>
      </c>
      <c r="J6314" s="396">
        <f>-((H6314*0.022)+0.3)</f>
        <v>-23.774000000000001</v>
      </c>
      <c r="K6314" s="396">
        <f>SUM(H6314:J6314)</f>
        <v>1043.2260000000001</v>
      </c>
      <c r="L6314" s="131">
        <v>560</v>
      </c>
      <c r="M6314" s="187">
        <v>79.42</v>
      </c>
      <c r="N6314" s="91">
        <f t="shared" si="2692"/>
        <v>703.81999999999994</v>
      </c>
      <c r="O6314" s="411">
        <f t="shared" si="2696"/>
        <v>339.40600000000018</v>
      </c>
      <c r="P6314" s="132" t="s">
        <v>52</v>
      </c>
      <c r="Q6314" s="232"/>
      <c r="R6314" s="411"/>
      <c r="T6314" s="134" t="s">
        <v>947</v>
      </c>
      <c r="U6314" s="267" t="s">
        <v>13527</v>
      </c>
      <c r="V6314" s="133" t="s">
        <v>55</v>
      </c>
      <c r="W6314" s="153" t="s">
        <v>13528</v>
      </c>
      <c r="AA6314" s="218">
        <v>10</v>
      </c>
    </row>
    <row r="6315" spans="1:27" ht="24" x14ac:dyDescent="0.25">
      <c r="A6315" s="405">
        <v>3004943</v>
      </c>
      <c r="B6315" s="406">
        <v>42657</v>
      </c>
      <c r="C6315" s="405" t="s">
        <v>42</v>
      </c>
      <c r="D6315" s="401" t="s">
        <v>13529</v>
      </c>
      <c r="E6315" s="120">
        <v>160</v>
      </c>
      <c r="F6315" s="133" t="s">
        <v>247</v>
      </c>
      <c r="G6315" s="404" t="s">
        <v>45</v>
      </c>
      <c r="H6315" s="411">
        <v>188</v>
      </c>
      <c r="I6315" s="89">
        <f>-(H6315*0.09)</f>
        <v>-16.919999999999998</v>
      </c>
      <c r="J6315" s="258">
        <f t="shared" ref="J6315" si="2724">-((H6315*0.019)+0.3)</f>
        <v>-3.8719999999999999</v>
      </c>
      <c r="K6315" s="90">
        <f t="shared" ref="K6315" si="2725">SUM(H6315:J6315)</f>
        <v>167.20800000000003</v>
      </c>
      <c r="M6315" s="187">
        <v>41.29</v>
      </c>
      <c r="N6315" s="91">
        <f t="shared" si="2692"/>
        <v>41.29</v>
      </c>
      <c r="O6315" s="411">
        <f t="shared" si="2696"/>
        <v>125.91800000000003</v>
      </c>
      <c r="P6315" s="132" t="s">
        <v>52</v>
      </c>
      <c r="Q6315" s="232"/>
      <c r="R6315" s="411"/>
      <c r="T6315" s="134" t="s">
        <v>145</v>
      </c>
      <c r="U6315" s="267" t="s">
        <v>13530</v>
      </c>
      <c r="AA6315" s="218"/>
    </row>
    <row r="6316" spans="1:27" ht="24" x14ac:dyDescent="0.25">
      <c r="A6316" s="405">
        <v>3004944</v>
      </c>
      <c r="B6316" s="406">
        <v>42657</v>
      </c>
      <c r="C6316" s="405" t="s">
        <v>42</v>
      </c>
      <c r="D6316" s="401" t="s">
        <v>13531</v>
      </c>
      <c r="E6316" s="120">
        <v>250</v>
      </c>
      <c r="F6316" s="133" t="s">
        <v>2796</v>
      </c>
      <c r="G6316" s="404" t="s">
        <v>45</v>
      </c>
      <c r="H6316" s="411">
        <v>165.06</v>
      </c>
      <c r="I6316" s="89">
        <f>-(H6316*0.09)</f>
        <v>-14.855399999999999</v>
      </c>
      <c r="J6316" s="258">
        <f t="shared" ref="J6316" si="2726">-((H6316*0.019)+0.3)</f>
        <v>-3.43614</v>
      </c>
      <c r="K6316" s="90">
        <f t="shared" ref="K6316" si="2727">SUM(H6316:J6316)</f>
        <v>146.76846</v>
      </c>
      <c r="L6316" s="187">
        <v>280</v>
      </c>
      <c r="M6316" s="187">
        <v>19.62</v>
      </c>
      <c r="N6316" s="91">
        <f t="shared" si="2692"/>
        <v>89.62</v>
      </c>
      <c r="O6316" s="411">
        <f t="shared" si="2696"/>
        <v>57.14846</v>
      </c>
      <c r="P6316" s="132" t="s">
        <v>235</v>
      </c>
      <c r="Q6316" s="232"/>
      <c r="R6316" s="411"/>
      <c r="T6316" s="134" t="s">
        <v>145</v>
      </c>
      <c r="U6316" s="267" t="s">
        <v>13532</v>
      </c>
      <c r="AA6316" s="218"/>
    </row>
    <row r="6317" spans="1:27" ht="24" x14ac:dyDescent="0.25">
      <c r="A6317" s="405">
        <v>3004945</v>
      </c>
      <c r="B6317" s="406">
        <v>42657</v>
      </c>
      <c r="C6317" s="405" t="s">
        <v>42</v>
      </c>
      <c r="D6317" s="401" t="s">
        <v>13533</v>
      </c>
      <c r="E6317" s="120">
        <v>50</v>
      </c>
      <c r="F6317" s="133" t="s">
        <v>431</v>
      </c>
      <c r="G6317" s="404" t="s">
        <v>45</v>
      </c>
      <c r="H6317" s="411">
        <v>128.80000000000001</v>
      </c>
      <c r="I6317" s="89">
        <f>-(H6317*0.09)</f>
        <v>-11.592000000000001</v>
      </c>
      <c r="J6317" s="258">
        <f t="shared" ref="J6317" si="2728">-((H6317*0.019)+0.3)</f>
        <v>-2.7471999999999999</v>
      </c>
      <c r="K6317" s="90">
        <f t="shared" ref="K6317" si="2729">SUM(H6317:J6317)</f>
        <v>114.46080000000001</v>
      </c>
      <c r="L6317" s="131">
        <v>990</v>
      </c>
      <c r="M6317" s="187">
        <v>28.52</v>
      </c>
      <c r="N6317" s="91">
        <f t="shared" si="2692"/>
        <v>78.02</v>
      </c>
      <c r="O6317" s="411">
        <f t="shared" si="2696"/>
        <v>36.44080000000001</v>
      </c>
      <c r="P6317" s="132" t="s">
        <v>52</v>
      </c>
      <c r="Q6317" s="232"/>
      <c r="R6317" s="411"/>
      <c r="T6317" s="134" t="s">
        <v>145</v>
      </c>
      <c r="U6317" s="267" t="s">
        <v>13534</v>
      </c>
      <c r="AA6317" s="218"/>
    </row>
    <row r="6318" spans="1:27" ht="24" x14ac:dyDescent="0.25">
      <c r="A6318" s="405">
        <v>3004946</v>
      </c>
      <c r="B6318" s="406">
        <v>42657</v>
      </c>
      <c r="C6318" s="405" t="s">
        <v>42</v>
      </c>
      <c r="D6318" s="401" t="s">
        <v>13535</v>
      </c>
      <c r="E6318" s="120">
        <v>140</v>
      </c>
      <c r="F6318" s="133" t="s">
        <v>165</v>
      </c>
      <c r="G6318" s="404" t="s">
        <v>45</v>
      </c>
      <c r="H6318" s="411">
        <v>145</v>
      </c>
      <c r="I6318" s="89">
        <f>-(H6318*0.09)</f>
        <v>-13.049999999999999</v>
      </c>
      <c r="J6318" s="258">
        <f t="shared" ref="J6318:J6319" si="2730">-((H6318*0.019)+0.3)</f>
        <v>-3.0549999999999997</v>
      </c>
      <c r="K6318" s="90">
        <f t="shared" ref="K6318:K6319" si="2731">SUM(H6318:J6318)</f>
        <v>128.89499999999998</v>
      </c>
      <c r="L6318" s="131">
        <v>375</v>
      </c>
      <c r="M6318" s="187">
        <v>29.22</v>
      </c>
      <c r="N6318" s="91">
        <f t="shared" si="2692"/>
        <v>81.72</v>
      </c>
      <c r="O6318" s="411">
        <f t="shared" si="2696"/>
        <v>47.174999999999983</v>
      </c>
      <c r="P6318" s="132" t="s">
        <v>52</v>
      </c>
      <c r="Q6318" s="232"/>
      <c r="R6318" s="411"/>
      <c r="T6318" s="134" t="s">
        <v>145</v>
      </c>
      <c r="U6318" s="267" t="s">
        <v>13536</v>
      </c>
      <c r="AA6318" s="218"/>
    </row>
    <row r="6319" spans="1:27" x14ac:dyDescent="0.25">
      <c r="A6319" s="405">
        <v>3004947</v>
      </c>
      <c r="B6319" s="406">
        <v>42657</v>
      </c>
      <c r="C6319" s="405" t="s">
        <v>78</v>
      </c>
      <c r="D6319" s="401" t="s">
        <v>13537</v>
      </c>
      <c r="E6319" s="120">
        <v>1000</v>
      </c>
      <c r="F6319" s="133" t="s">
        <v>207</v>
      </c>
      <c r="G6319" s="404" t="s">
        <v>45</v>
      </c>
      <c r="H6319" s="411">
        <v>970</v>
      </c>
      <c r="I6319" s="411">
        <v>0</v>
      </c>
      <c r="J6319" s="258">
        <f t="shared" si="2730"/>
        <v>-18.73</v>
      </c>
      <c r="K6319" s="90">
        <f t="shared" si="2731"/>
        <v>951.27</v>
      </c>
      <c r="L6319" s="131">
        <v>570</v>
      </c>
      <c r="M6319" s="187">
        <v>127.98</v>
      </c>
      <c r="N6319" s="91">
        <f t="shared" si="2692"/>
        <v>697.98</v>
      </c>
      <c r="O6319" s="411">
        <f t="shared" si="2696"/>
        <v>253.28999999999996</v>
      </c>
      <c r="P6319" s="132" t="s">
        <v>52</v>
      </c>
      <c r="Q6319" s="232"/>
      <c r="R6319" s="411"/>
      <c r="T6319" s="134" t="s">
        <v>463</v>
      </c>
      <c r="U6319" s="267" t="s">
        <v>13538</v>
      </c>
      <c r="W6319" s="153" t="s">
        <v>271</v>
      </c>
      <c r="AA6319" s="218"/>
    </row>
    <row r="6320" spans="1:27" ht="24" x14ac:dyDescent="0.25">
      <c r="A6320" s="405">
        <v>3004948</v>
      </c>
      <c r="B6320" s="406">
        <v>42660</v>
      </c>
      <c r="C6320" s="405" t="s">
        <v>42</v>
      </c>
      <c r="D6320" s="401" t="s">
        <v>13539</v>
      </c>
      <c r="E6320" s="120">
        <v>100</v>
      </c>
      <c r="F6320" s="133" t="s">
        <v>829</v>
      </c>
      <c r="G6320" s="404" t="s">
        <v>45</v>
      </c>
      <c r="H6320" s="411">
        <v>126.86</v>
      </c>
      <c r="I6320" s="89">
        <f>-(H6320*0.09)</f>
        <v>-11.417399999999999</v>
      </c>
      <c r="J6320" s="258">
        <f t="shared" ref="J6320" si="2732">-((H6320*0.019)+0.3)</f>
        <v>-2.71034</v>
      </c>
      <c r="K6320" s="90">
        <f t="shared" ref="K6320" si="2733">SUM(H6320:J6320)</f>
        <v>112.73226</v>
      </c>
      <c r="L6320" s="131">
        <v>510</v>
      </c>
      <c r="M6320" s="187">
        <v>32.270000000000003</v>
      </c>
      <c r="N6320" s="91">
        <f t="shared" si="2692"/>
        <v>83.27000000000001</v>
      </c>
      <c r="O6320" s="411">
        <f t="shared" si="2696"/>
        <v>29.462259999999986</v>
      </c>
      <c r="P6320" s="132" t="s">
        <v>52</v>
      </c>
      <c r="Q6320" s="232"/>
      <c r="R6320" s="411"/>
      <c r="T6320" s="134" t="s">
        <v>145</v>
      </c>
      <c r="U6320" s="356" t="s">
        <v>13540</v>
      </c>
      <c r="V6320" s="157"/>
      <c r="AA6320" s="218"/>
    </row>
    <row r="6321" spans="1:27" x14ac:dyDescent="0.25">
      <c r="A6321" s="419">
        <v>3004949</v>
      </c>
      <c r="B6321" s="421">
        <v>42660</v>
      </c>
      <c r="C6321" s="419" t="s">
        <v>63</v>
      </c>
      <c r="D6321" s="417" t="s">
        <v>13541</v>
      </c>
      <c r="E6321" s="120">
        <v>825</v>
      </c>
      <c r="F6321" s="133" t="s">
        <v>13542</v>
      </c>
      <c r="G6321" s="434" t="s">
        <v>45</v>
      </c>
      <c r="H6321" s="427">
        <v>1001</v>
      </c>
      <c r="I6321" s="427">
        <v>0</v>
      </c>
      <c r="J6321" s="425">
        <f>-((H6321*0.022)+0.3)</f>
        <v>-22.321999999999999</v>
      </c>
      <c r="K6321" s="425">
        <f>SUM(H6321:J6321)</f>
        <v>978.678</v>
      </c>
      <c r="L6321" s="187">
        <v>527</v>
      </c>
      <c r="M6321" s="187">
        <v>207.08</v>
      </c>
      <c r="N6321" s="91">
        <f t="shared" si="2692"/>
        <v>641.85500000000002</v>
      </c>
      <c r="O6321" s="411">
        <f t="shared" si="2696"/>
        <v>336.82299999999998</v>
      </c>
      <c r="P6321" s="132" t="s">
        <v>183</v>
      </c>
      <c r="Q6321" s="232"/>
      <c r="R6321" s="411"/>
      <c r="T6321" s="439" t="s">
        <v>473</v>
      </c>
      <c r="U6321" s="446" t="s">
        <v>13543</v>
      </c>
      <c r="W6321" s="153" t="s">
        <v>4479</v>
      </c>
      <c r="AA6321" s="473">
        <v>10</v>
      </c>
    </row>
    <row r="6322" spans="1:27" x14ac:dyDescent="0.25">
      <c r="A6322" s="420"/>
      <c r="B6322" s="422"/>
      <c r="C6322" s="420"/>
      <c r="D6322" s="418"/>
      <c r="E6322" s="120">
        <v>630</v>
      </c>
      <c r="F6322" s="229" t="s">
        <v>13544</v>
      </c>
      <c r="G6322" s="436"/>
      <c r="H6322" s="428"/>
      <c r="I6322" s="428"/>
      <c r="J6322" s="426"/>
      <c r="K6322" s="426"/>
      <c r="L6322" s="187">
        <v>390</v>
      </c>
      <c r="M6322" s="187"/>
      <c r="N6322" s="91">
        <f t="shared" si="2692"/>
        <v>245.7</v>
      </c>
      <c r="O6322" s="411">
        <f t="shared" si="2696"/>
        <v>-245.7</v>
      </c>
      <c r="P6322" s="132" t="s">
        <v>183</v>
      </c>
      <c r="Q6322" s="232"/>
      <c r="R6322" s="411"/>
      <c r="T6322" s="441"/>
      <c r="U6322" s="447"/>
      <c r="AA6322" s="474"/>
    </row>
    <row r="6323" spans="1:27" ht="24" x14ac:dyDescent="0.25">
      <c r="A6323" s="405">
        <v>3004950</v>
      </c>
      <c r="B6323" s="406">
        <v>42660</v>
      </c>
      <c r="C6323" s="405" t="s">
        <v>42</v>
      </c>
      <c r="D6323" s="401" t="s">
        <v>13545</v>
      </c>
      <c r="E6323" s="120">
        <v>125</v>
      </c>
      <c r="F6323" s="133" t="s">
        <v>247</v>
      </c>
      <c r="G6323" s="404" t="s">
        <v>7486</v>
      </c>
      <c r="H6323" s="411">
        <v>152.38</v>
      </c>
      <c r="I6323" s="89">
        <f t="shared" ref="I6323:I6330" si="2734">-(H6323*0.09)</f>
        <v>-13.7142</v>
      </c>
      <c r="J6323" s="258">
        <f t="shared" ref="J6323" si="2735">-((H6323*0.019)+0.3)</f>
        <v>-3.1952199999999995</v>
      </c>
      <c r="K6323" s="90">
        <f t="shared" ref="K6323" si="2736">SUM(H6323:J6323)</f>
        <v>135.47057999999998</v>
      </c>
      <c r="L6323" s="131">
        <v>424</v>
      </c>
      <c r="M6323" s="187">
        <v>24.16</v>
      </c>
      <c r="N6323" s="91">
        <f t="shared" si="2692"/>
        <v>77.16</v>
      </c>
      <c r="O6323" s="411">
        <f t="shared" si="2696"/>
        <v>58.310579999999987</v>
      </c>
      <c r="P6323" s="132" t="s">
        <v>52</v>
      </c>
      <c r="Q6323" s="232"/>
      <c r="R6323" s="411"/>
      <c r="T6323" s="134" t="s">
        <v>145</v>
      </c>
      <c r="U6323" s="267" t="s">
        <v>13546</v>
      </c>
      <c r="AA6323" s="218"/>
    </row>
    <row r="6324" spans="1:27" ht="24" x14ac:dyDescent="0.25">
      <c r="A6324" s="405">
        <v>3004951</v>
      </c>
      <c r="B6324" s="406">
        <v>42660</v>
      </c>
      <c r="C6324" s="405" t="s">
        <v>42</v>
      </c>
      <c r="D6324" s="401" t="s">
        <v>13547</v>
      </c>
      <c r="E6324" s="120">
        <v>100</v>
      </c>
      <c r="F6324" s="133" t="s">
        <v>829</v>
      </c>
      <c r="G6324" s="404" t="s">
        <v>7486</v>
      </c>
      <c r="H6324" s="411">
        <v>112.63</v>
      </c>
      <c r="I6324" s="89">
        <f t="shared" si="2734"/>
        <v>-10.136699999999999</v>
      </c>
      <c r="J6324" s="258">
        <f t="shared" ref="J6324" si="2737">-((H6324*0.019)+0.3)</f>
        <v>-2.4399699999999998</v>
      </c>
      <c r="K6324" s="90">
        <f t="shared" ref="K6324" si="2738">SUM(H6324:J6324)</f>
        <v>100.05332999999999</v>
      </c>
      <c r="L6324" s="131">
        <v>510</v>
      </c>
      <c r="M6324" s="187">
        <v>35.6</v>
      </c>
      <c r="N6324" s="91">
        <f t="shared" si="2692"/>
        <v>86.6</v>
      </c>
      <c r="O6324" s="411">
        <f t="shared" si="2696"/>
        <v>13.453329999999994</v>
      </c>
      <c r="P6324" s="132" t="s">
        <v>52</v>
      </c>
      <c r="Q6324" s="232"/>
      <c r="R6324" s="411"/>
      <c r="T6324" s="134" t="s">
        <v>145</v>
      </c>
      <c r="U6324" s="267" t="s">
        <v>13548</v>
      </c>
      <c r="AA6324" s="218"/>
    </row>
    <row r="6325" spans="1:27" x14ac:dyDescent="0.25">
      <c r="A6325" s="405">
        <v>3004952</v>
      </c>
      <c r="B6325" s="406">
        <v>42660</v>
      </c>
      <c r="C6325" s="405" t="s">
        <v>42</v>
      </c>
      <c r="D6325" s="401" t="s">
        <v>13549</v>
      </c>
      <c r="E6325" s="120">
        <v>1000</v>
      </c>
      <c r="F6325" s="133" t="s">
        <v>165</v>
      </c>
      <c r="G6325" s="404" t="s">
        <v>7486</v>
      </c>
      <c r="H6325" s="411">
        <v>700</v>
      </c>
      <c r="I6325" s="89">
        <f t="shared" si="2734"/>
        <v>-63</v>
      </c>
      <c r="J6325" s="258">
        <f t="shared" ref="J6325" si="2739">-((H6325*0.019)+0.3)</f>
        <v>-13.6</v>
      </c>
      <c r="K6325" s="90">
        <f t="shared" ref="K6325" si="2740">SUM(H6325:J6325)</f>
        <v>623.4</v>
      </c>
      <c r="L6325" s="131">
        <v>300</v>
      </c>
      <c r="M6325" s="187">
        <v>176.73</v>
      </c>
      <c r="N6325" s="91">
        <f t="shared" si="2692"/>
        <v>476.73</v>
      </c>
      <c r="O6325" s="411">
        <f t="shared" si="2696"/>
        <v>146.66999999999996</v>
      </c>
      <c r="P6325" s="132" t="s">
        <v>86</v>
      </c>
      <c r="Q6325" s="232"/>
      <c r="R6325" s="411"/>
      <c r="T6325" s="134" t="s">
        <v>97</v>
      </c>
      <c r="U6325" s="267" t="s">
        <v>13550</v>
      </c>
      <c r="V6325" s="133" t="s">
        <v>55</v>
      </c>
      <c r="AA6325" s="218"/>
    </row>
    <row r="6326" spans="1:27" ht="24" x14ac:dyDescent="0.25">
      <c r="A6326" s="405">
        <v>3004953</v>
      </c>
      <c r="B6326" s="406">
        <v>42660</v>
      </c>
      <c r="C6326" s="405" t="s">
        <v>42</v>
      </c>
      <c r="D6326" s="401" t="s">
        <v>13551</v>
      </c>
      <c r="E6326" s="120">
        <v>150</v>
      </c>
      <c r="F6326" s="133" t="s">
        <v>829</v>
      </c>
      <c r="G6326" s="404" t="s">
        <v>7486</v>
      </c>
      <c r="H6326" s="411">
        <v>156.13</v>
      </c>
      <c r="I6326" s="89">
        <f t="shared" si="2734"/>
        <v>-14.051699999999999</v>
      </c>
      <c r="J6326" s="258">
        <f t="shared" ref="J6326" si="2741">-((H6326*0.019)+0.3)</f>
        <v>-3.2664699999999995</v>
      </c>
      <c r="K6326" s="90">
        <f t="shared" ref="K6326" si="2742">SUM(H6326:J6326)</f>
        <v>138.81182999999999</v>
      </c>
      <c r="L6326" s="131">
        <v>510</v>
      </c>
      <c r="M6326" s="187">
        <v>26.72</v>
      </c>
      <c r="N6326" s="91">
        <f t="shared" si="2692"/>
        <v>103.22</v>
      </c>
      <c r="O6326" s="411">
        <f t="shared" si="2696"/>
        <v>35.591829999999987</v>
      </c>
      <c r="P6326" s="132" t="s">
        <v>52</v>
      </c>
      <c r="Q6326" s="232"/>
      <c r="R6326" s="411"/>
      <c r="T6326" s="134" t="s">
        <v>145</v>
      </c>
      <c r="U6326" s="267" t="s">
        <v>13552</v>
      </c>
      <c r="AA6326" s="218"/>
    </row>
    <row r="6327" spans="1:27" x14ac:dyDescent="0.25">
      <c r="A6327" s="405">
        <v>3004954</v>
      </c>
      <c r="B6327" s="406">
        <v>42660</v>
      </c>
      <c r="C6327" s="405" t="s">
        <v>42</v>
      </c>
      <c r="D6327" s="401" t="s">
        <v>13553</v>
      </c>
      <c r="E6327" s="120">
        <v>800</v>
      </c>
      <c r="F6327" s="133" t="s">
        <v>247</v>
      </c>
      <c r="G6327" s="404" t="s">
        <v>7486</v>
      </c>
      <c r="H6327" s="411">
        <v>818.61</v>
      </c>
      <c r="I6327" s="89">
        <f t="shared" si="2734"/>
        <v>-73.674899999999994</v>
      </c>
      <c r="J6327" s="258">
        <f t="shared" ref="J6327" si="2743">-((H6327*0.019)+0.3)</f>
        <v>-15.853590000000001</v>
      </c>
      <c r="K6327" s="90">
        <f t="shared" ref="K6327" si="2744">SUM(H6327:J6327)</f>
        <v>729.08150999999998</v>
      </c>
      <c r="L6327" s="131">
        <v>424</v>
      </c>
      <c r="M6327" s="187">
        <v>114.51</v>
      </c>
      <c r="N6327" s="91">
        <f t="shared" si="2692"/>
        <v>453.71000000000004</v>
      </c>
      <c r="O6327" s="411">
        <f t="shared" si="2696"/>
        <v>275.37150999999994</v>
      </c>
      <c r="P6327" s="132" t="s">
        <v>52</v>
      </c>
      <c r="Q6327" s="232"/>
      <c r="R6327" s="411"/>
      <c r="T6327" s="134" t="s">
        <v>7260</v>
      </c>
      <c r="U6327" s="267" t="s">
        <v>13554</v>
      </c>
      <c r="V6327" s="133" t="s">
        <v>55</v>
      </c>
      <c r="AA6327" s="218"/>
    </row>
    <row r="6328" spans="1:27" ht="24" x14ac:dyDescent="0.25">
      <c r="A6328" s="405">
        <v>3004955</v>
      </c>
      <c r="B6328" s="406">
        <v>42660</v>
      </c>
      <c r="C6328" s="405" t="s">
        <v>42</v>
      </c>
      <c r="D6328" s="401" t="s">
        <v>13555</v>
      </c>
      <c r="E6328" s="120">
        <v>44</v>
      </c>
      <c r="F6328" s="133" t="s">
        <v>8107</v>
      </c>
      <c r="G6328" s="404" t="s">
        <v>7486</v>
      </c>
      <c r="H6328" s="411">
        <v>85.15</v>
      </c>
      <c r="I6328" s="89">
        <f t="shared" si="2734"/>
        <v>-7.6635</v>
      </c>
      <c r="J6328" s="258">
        <f t="shared" ref="J6328" si="2745">-((H6328*0.019)+0.3)</f>
        <v>-1.9178500000000001</v>
      </c>
      <c r="K6328" s="90">
        <f t="shared" ref="K6328" si="2746">SUM(H6328:J6328)</f>
        <v>75.568650000000005</v>
      </c>
      <c r="L6328" s="187">
        <v>1092</v>
      </c>
      <c r="M6328" s="187">
        <v>34.17</v>
      </c>
      <c r="N6328" s="91">
        <f t="shared" si="2692"/>
        <v>82.217999999999989</v>
      </c>
      <c r="O6328" s="411">
        <f t="shared" si="2696"/>
        <v>-6.6493499999999841</v>
      </c>
      <c r="P6328" s="132" t="s">
        <v>183</v>
      </c>
      <c r="Q6328" s="232"/>
      <c r="R6328" s="411"/>
      <c r="T6328" s="134" t="s">
        <v>145</v>
      </c>
      <c r="U6328" s="267" t="s">
        <v>13556</v>
      </c>
      <c r="AA6328" s="218"/>
    </row>
    <row r="6329" spans="1:27" ht="24" x14ac:dyDescent="0.25">
      <c r="A6329" s="405">
        <v>3004956</v>
      </c>
      <c r="B6329" s="406">
        <v>42660</v>
      </c>
      <c r="C6329" s="405" t="s">
        <v>42</v>
      </c>
      <c r="D6329" s="401" t="s">
        <v>13557</v>
      </c>
      <c r="E6329" s="120">
        <v>475</v>
      </c>
      <c r="F6329" s="133" t="s">
        <v>165</v>
      </c>
      <c r="G6329" s="404" t="s">
        <v>7486</v>
      </c>
      <c r="H6329" s="411">
        <v>454.77</v>
      </c>
      <c r="I6329" s="89">
        <f t="shared" si="2734"/>
        <v>-40.929299999999998</v>
      </c>
      <c r="J6329" s="258">
        <f t="shared" ref="J6329" si="2747">-((H6329*0.019)+0.3)</f>
        <v>-8.9406300000000005</v>
      </c>
      <c r="K6329" s="90">
        <f t="shared" ref="K6329" si="2748">SUM(H6329:J6329)</f>
        <v>404.90006999999997</v>
      </c>
      <c r="L6329" s="131">
        <v>300</v>
      </c>
      <c r="M6329" s="187">
        <v>38.71</v>
      </c>
      <c r="N6329" s="91">
        <f t="shared" si="2692"/>
        <v>181.21</v>
      </c>
      <c r="O6329" s="411">
        <f t="shared" si="2696"/>
        <v>223.69006999999996</v>
      </c>
      <c r="P6329" s="132" t="s">
        <v>86</v>
      </c>
      <c r="Q6329" s="232"/>
      <c r="R6329" s="411"/>
      <c r="T6329" s="134" t="s">
        <v>145</v>
      </c>
      <c r="U6329" s="267" t="s">
        <v>13558</v>
      </c>
      <c r="AA6329" s="218"/>
    </row>
    <row r="6330" spans="1:27" ht="24" customHeight="1" x14ac:dyDescent="0.25">
      <c r="A6330" s="419">
        <v>3004957</v>
      </c>
      <c r="B6330" s="421">
        <v>42660</v>
      </c>
      <c r="C6330" s="419" t="s">
        <v>42</v>
      </c>
      <c r="D6330" s="417" t="s">
        <v>13559</v>
      </c>
      <c r="E6330" s="120">
        <v>70</v>
      </c>
      <c r="F6330" s="133" t="s">
        <v>300</v>
      </c>
      <c r="G6330" s="434" t="s">
        <v>7486</v>
      </c>
      <c r="H6330" s="427">
        <v>483.77</v>
      </c>
      <c r="I6330" s="452">
        <f t="shared" si="2734"/>
        <v>-43.539299999999997</v>
      </c>
      <c r="J6330" s="425">
        <f t="shared" ref="J6330" si="2749">-((H6330*0.019)+0.3)</f>
        <v>-9.4916300000000007</v>
      </c>
      <c r="K6330" s="425">
        <f t="shared" ref="K6330" si="2750">SUM(H6330:J6330)</f>
        <v>430.73906999999997</v>
      </c>
      <c r="L6330" s="131">
        <v>2150</v>
      </c>
      <c r="N6330" s="91">
        <f t="shared" si="2692"/>
        <v>150.50000000000003</v>
      </c>
      <c r="O6330" s="411">
        <f t="shared" si="2696"/>
        <v>280.23906999999997</v>
      </c>
      <c r="P6330" s="132" t="s">
        <v>52</v>
      </c>
      <c r="Q6330" s="232"/>
      <c r="R6330" s="411"/>
      <c r="T6330" s="470" t="s">
        <v>145</v>
      </c>
      <c r="U6330" s="267" t="s">
        <v>13560</v>
      </c>
      <c r="AA6330" s="218"/>
    </row>
    <row r="6331" spans="1:27" x14ac:dyDescent="0.25">
      <c r="A6331" s="420"/>
      <c r="B6331" s="422"/>
      <c r="C6331" s="420"/>
      <c r="D6331" s="418"/>
      <c r="E6331" s="120">
        <v>75</v>
      </c>
      <c r="F6331" s="133" t="s">
        <v>288</v>
      </c>
      <c r="G6331" s="436"/>
      <c r="H6331" s="428"/>
      <c r="I6331" s="453"/>
      <c r="J6331" s="426"/>
      <c r="K6331" s="426"/>
      <c r="L6331" s="131">
        <v>900</v>
      </c>
      <c r="M6331" s="187">
        <v>38.17</v>
      </c>
      <c r="N6331" s="91">
        <f t="shared" si="2692"/>
        <v>105.67</v>
      </c>
      <c r="O6331" s="411">
        <f t="shared" si="2696"/>
        <v>-105.67</v>
      </c>
      <c r="P6331" s="132" t="s">
        <v>52</v>
      </c>
      <c r="Q6331" s="232"/>
      <c r="R6331" s="411"/>
      <c r="T6331" s="472"/>
      <c r="U6331" s="267" t="s">
        <v>13561</v>
      </c>
      <c r="AA6331" s="218"/>
    </row>
    <row r="6332" spans="1:27" ht="24" x14ac:dyDescent="0.25">
      <c r="A6332" s="405">
        <v>3004958</v>
      </c>
      <c r="B6332" s="406">
        <v>42660</v>
      </c>
      <c r="C6332" s="405" t="s">
        <v>42</v>
      </c>
      <c r="D6332" s="401" t="s">
        <v>13562</v>
      </c>
      <c r="E6332" s="120">
        <v>275</v>
      </c>
      <c r="F6332" s="133" t="s">
        <v>247</v>
      </c>
      <c r="G6332" s="404" t="s">
        <v>7486</v>
      </c>
      <c r="H6332" s="411">
        <v>314.5</v>
      </c>
      <c r="I6332" s="89">
        <f t="shared" ref="I6332:I6339" si="2751">-(H6332*0.09)</f>
        <v>-28.305</v>
      </c>
      <c r="J6332" s="258">
        <f t="shared" ref="J6332" si="2752">-((H6332*0.019)+0.3)</f>
        <v>-6.2755000000000001</v>
      </c>
      <c r="K6332" s="90">
        <f t="shared" ref="K6332" si="2753">SUM(H6332:J6332)</f>
        <v>279.91949999999997</v>
      </c>
      <c r="L6332" s="131">
        <v>424</v>
      </c>
      <c r="M6332" s="187">
        <v>54.75</v>
      </c>
      <c r="N6332" s="91">
        <f t="shared" si="2692"/>
        <v>171.35000000000002</v>
      </c>
      <c r="O6332" s="411">
        <f t="shared" si="2696"/>
        <v>108.56949999999995</v>
      </c>
      <c r="P6332" s="132" t="s">
        <v>52</v>
      </c>
      <c r="Q6332" s="232"/>
      <c r="R6332" s="411"/>
      <c r="T6332" s="134" t="s">
        <v>145</v>
      </c>
      <c r="U6332" s="267" t="s">
        <v>13563</v>
      </c>
      <c r="AA6332" s="218"/>
    </row>
    <row r="6333" spans="1:27" ht="24" x14ac:dyDescent="0.25">
      <c r="A6333" s="405">
        <v>3004959</v>
      </c>
      <c r="B6333" s="406">
        <v>42660</v>
      </c>
      <c r="C6333" s="405" t="s">
        <v>42</v>
      </c>
      <c r="D6333" s="401" t="s">
        <v>13564</v>
      </c>
      <c r="E6333" s="120">
        <v>40</v>
      </c>
      <c r="F6333" s="133" t="s">
        <v>300</v>
      </c>
      <c r="G6333" s="404" t="s">
        <v>7486</v>
      </c>
      <c r="H6333" s="411">
        <v>188.1</v>
      </c>
      <c r="I6333" s="89">
        <f t="shared" si="2751"/>
        <v>-16.928999999999998</v>
      </c>
      <c r="J6333" s="258">
        <f t="shared" ref="J6333" si="2754">-((H6333*0.019)+0.3)</f>
        <v>-3.8738999999999995</v>
      </c>
      <c r="K6333" s="90">
        <f t="shared" ref="K6333" si="2755">SUM(H6333:J6333)</f>
        <v>167.2971</v>
      </c>
      <c r="L6333" s="131">
        <v>2150</v>
      </c>
      <c r="M6333" s="187">
        <v>14.45</v>
      </c>
      <c r="N6333" s="91">
        <f t="shared" si="2692"/>
        <v>100.45</v>
      </c>
      <c r="O6333" s="411">
        <f t="shared" si="2696"/>
        <v>66.847099999999998</v>
      </c>
      <c r="P6333" s="132" t="s">
        <v>52</v>
      </c>
      <c r="Q6333" s="232"/>
      <c r="R6333" s="411"/>
      <c r="T6333" s="134" t="s">
        <v>145</v>
      </c>
      <c r="U6333" s="267" t="s">
        <v>13565</v>
      </c>
      <c r="AA6333" s="218"/>
    </row>
    <row r="6334" spans="1:27" ht="24" x14ac:dyDescent="0.25">
      <c r="A6334" s="405">
        <v>3004960</v>
      </c>
      <c r="B6334" s="406">
        <v>42660</v>
      </c>
      <c r="C6334" s="405" t="s">
        <v>42</v>
      </c>
      <c r="D6334" s="401" t="s">
        <v>13566</v>
      </c>
      <c r="E6334" s="120">
        <v>100</v>
      </c>
      <c r="F6334" s="133" t="s">
        <v>161</v>
      </c>
      <c r="G6334" s="404" t="s">
        <v>7486</v>
      </c>
      <c r="H6334" s="411">
        <v>245</v>
      </c>
      <c r="I6334" s="89">
        <f t="shared" si="2751"/>
        <v>-22.05</v>
      </c>
      <c r="J6334" s="258">
        <f t="shared" ref="J6334" si="2756">-((H6334*0.019)+0.3)</f>
        <v>-4.9550000000000001</v>
      </c>
      <c r="K6334" s="90">
        <f t="shared" ref="K6334" si="2757">SUM(H6334:J6334)</f>
        <v>217.99499999999998</v>
      </c>
      <c r="L6334" s="131">
        <v>1322</v>
      </c>
      <c r="M6334" s="187">
        <v>26.67</v>
      </c>
      <c r="N6334" s="91">
        <f t="shared" si="2692"/>
        <v>158.87</v>
      </c>
      <c r="O6334" s="411">
        <f t="shared" si="2696"/>
        <v>59.124999999999972</v>
      </c>
      <c r="P6334" s="132" t="s">
        <v>52</v>
      </c>
      <c r="Q6334" s="232"/>
      <c r="R6334" s="411"/>
      <c r="T6334" s="134" t="s">
        <v>145</v>
      </c>
      <c r="U6334" s="267" t="s">
        <v>13567</v>
      </c>
      <c r="AA6334" s="218"/>
    </row>
    <row r="6335" spans="1:27" ht="24" x14ac:dyDescent="0.25">
      <c r="A6335" s="405">
        <v>3004961</v>
      </c>
      <c r="B6335" s="406">
        <v>42660</v>
      </c>
      <c r="C6335" s="405" t="s">
        <v>42</v>
      </c>
      <c r="D6335" s="401" t="s">
        <v>13568</v>
      </c>
      <c r="E6335" s="120">
        <v>25</v>
      </c>
      <c r="F6335" s="133" t="s">
        <v>2517</v>
      </c>
      <c r="G6335" s="404" t="s">
        <v>7486</v>
      </c>
      <c r="H6335" s="411">
        <v>117.02</v>
      </c>
      <c r="I6335" s="89">
        <f t="shared" si="2751"/>
        <v>-10.531799999999999</v>
      </c>
      <c r="J6335" s="258">
        <f t="shared" ref="J6335" si="2758">-((H6335*0.019)+0.3)</f>
        <v>-2.5233799999999995</v>
      </c>
      <c r="K6335" s="90">
        <f t="shared" ref="K6335" si="2759">SUM(H6335:J6335)</f>
        <v>103.96481999999999</v>
      </c>
      <c r="L6335" s="131">
        <v>2230</v>
      </c>
      <c r="M6335" s="187">
        <v>12.48</v>
      </c>
      <c r="N6335" s="91">
        <f t="shared" si="2692"/>
        <v>68.23</v>
      </c>
      <c r="O6335" s="411">
        <f t="shared" si="2696"/>
        <v>35.734819999999985</v>
      </c>
      <c r="P6335" s="132" t="s">
        <v>52</v>
      </c>
      <c r="Q6335" s="232"/>
      <c r="R6335" s="411"/>
      <c r="T6335" s="134" t="s">
        <v>145</v>
      </c>
      <c r="U6335" s="267" t="s">
        <v>13569</v>
      </c>
      <c r="AA6335" s="218"/>
    </row>
    <row r="6336" spans="1:27" ht="24" x14ac:dyDescent="0.25">
      <c r="A6336" s="405">
        <v>3004962</v>
      </c>
      <c r="B6336" s="406">
        <v>42660</v>
      </c>
      <c r="C6336" s="405" t="s">
        <v>42</v>
      </c>
      <c r="D6336" s="401" t="s">
        <v>13570</v>
      </c>
      <c r="E6336" s="120">
        <v>200</v>
      </c>
      <c r="F6336" s="133" t="s">
        <v>2361</v>
      </c>
      <c r="G6336" s="404" t="s">
        <v>7486</v>
      </c>
      <c r="H6336" s="411">
        <v>307.8</v>
      </c>
      <c r="I6336" s="89">
        <f t="shared" si="2751"/>
        <v>-27.702000000000002</v>
      </c>
      <c r="J6336" s="258">
        <f t="shared" ref="J6336" si="2760">-((H6336*0.019)+0.3)</f>
        <v>-6.1482000000000001</v>
      </c>
      <c r="K6336" s="90">
        <f t="shared" ref="K6336" si="2761">SUM(H6336:J6336)</f>
        <v>273.94980000000004</v>
      </c>
      <c r="L6336" s="131">
        <v>750</v>
      </c>
      <c r="M6336" s="187">
        <v>16.62</v>
      </c>
      <c r="N6336" s="91">
        <f t="shared" si="2692"/>
        <v>166.62</v>
      </c>
      <c r="O6336" s="411">
        <f t="shared" si="2696"/>
        <v>107.32980000000003</v>
      </c>
      <c r="P6336" s="132" t="s">
        <v>52</v>
      </c>
      <c r="Q6336" s="232"/>
      <c r="R6336" s="411"/>
      <c r="T6336" s="134" t="s">
        <v>145</v>
      </c>
      <c r="U6336" s="267" t="s">
        <v>13571</v>
      </c>
      <c r="AA6336" s="218"/>
    </row>
    <row r="6337" spans="1:27" ht="24" x14ac:dyDescent="0.25">
      <c r="A6337" s="405">
        <v>3004963</v>
      </c>
      <c r="B6337" s="406">
        <v>42660</v>
      </c>
      <c r="C6337" s="405" t="s">
        <v>42</v>
      </c>
      <c r="D6337" s="401" t="s">
        <v>13572</v>
      </c>
      <c r="E6337" s="120">
        <v>100</v>
      </c>
      <c r="F6337" s="133" t="s">
        <v>165</v>
      </c>
      <c r="G6337" s="404" t="s">
        <v>7486</v>
      </c>
      <c r="H6337" s="411">
        <v>119.49</v>
      </c>
      <c r="I6337" s="89">
        <f t="shared" si="2751"/>
        <v>-10.754099999999999</v>
      </c>
      <c r="J6337" s="258">
        <f t="shared" ref="J6337" si="2762">-((H6337*0.019)+0.3)</f>
        <v>-2.5703099999999997</v>
      </c>
      <c r="K6337" s="90">
        <f t="shared" ref="K6337" si="2763">SUM(H6337:J6337)</f>
        <v>106.16558999999999</v>
      </c>
      <c r="L6337" s="131">
        <v>300</v>
      </c>
      <c r="M6337" s="187">
        <v>20.56</v>
      </c>
      <c r="N6337" s="91">
        <f t="shared" ref="N6337:N6350" si="2764">((L6337)*(E6337*0.001))+M6337</f>
        <v>50.56</v>
      </c>
      <c r="O6337" s="411">
        <f t="shared" si="2696"/>
        <v>55.605589999999992</v>
      </c>
      <c r="P6337" s="132" t="s">
        <v>86</v>
      </c>
      <c r="Q6337" s="232"/>
      <c r="R6337" s="411"/>
      <c r="T6337" s="134" t="s">
        <v>145</v>
      </c>
      <c r="U6337" s="267" t="s">
        <v>13573</v>
      </c>
      <c r="AA6337" s="218"/>
    </row>
    <row r="6338" spans="1:27" ht="24" x14ac:dyDescent="0.25">
      <c r="A6338" s="405">
        <v>3004964</v>
      </c>
      <c r="B6338" s="406">
        <v>42660</v>
      </c>
      <c r="C6338" s="405" t="s">
        <v>42</v>
      </c>
      <c r="D6338" s="401" t="s">
        <v>13574</v>
      </c>
      <c r="E6338" s="120">
        <v>200</v>
      </c>
      <c r="F6338" s="133" t="s">
        <v>582</v>
      </c>
      <c r="G6338" s="404" t="s">
        <v>7486</v>
      </c>
      <c r="H6338" s="411">
        <v>233.14</v>
      </c>
      <c r="I6338" s="89">
        <f t="shared" si="2751"/>
        <v>-20.982599999999998</v>
      </c>
      <c r="J6338" s="258">
        <f t="shared" ref="J6338" si="2765">-((H6338*0.019)+0.3)</f>
        <v>-4.7296599999999991</v>
      </c>
      <c r="K6338" s="90">
        <f t="shared" ref="K6338" si="2766">SUM(H6338:J6338)</f>
        <v>207.42774</v>
      </c>
      <c r="M6338" s="187">
        <v>14.67</v>
      </c>
      <c r="N6338" s="91">
        <f t="shared" si="2764"/>
        <v>14.67</v>
      </c>
      <c r="O6338" s="411">
        <f t="shared" si="2696"/>
        <v>192.75774000000001</v>
      </c>
      <c r="P6338" s="132" t="s">
        <v>86</v>
      </c>
      <c r="Q6338" s="232"/>
      <c r="R6338" s="411">
        <v>17.27</v>
      </c>
      <c r="S6338" s="133" t="s">
        <v>52</v>
      </c>
      <c r="T6338" s="134" t="s">
        <v>145</v>
      </c>
      <c r="U6338" s="267" t="s">
        <v>13575</v>
      </c>
      <c r="AA6338" s="218"/>
    </row>
    <row r="6339" spans="1:27" ht="24" x14ac:dyDescent="0.25">
      <c r="A6339" s="405">
        <v>3004965</v>
      </c>
      <c r="B6339" s="406">
        <v>42660</v>
      </c>
      <c r="C6339" s="405" t="s">
        <v>42</v>
      </c>
      <c r="D6339" s="401" t="s">
        <v>13576</v>
      </c>
      <c r="E6339" s="120">
        <v>50</v>
      </c>
      <c r="F6339" s="133" t="s">
        <v>300</v>
      </c>
      <c r="G6339" s="404" t="s">
        <v>7486</v>
      </c>
      <c r="H6339" s="411">
        <v>213.77</v>
      </c>
      <c r="I6339" s="89">
        <f t="shared" si="2751"/>
        <v>-19.2393</v>
      </c>
      <c r="J6339" s="258">
        <f t="shared" ref="J6339" si="2767">-((H6339*0.019)+0.3)</f>
        <v>-4.3616299999999999</v>
      </c>
      <c r="K6339" s="90">
        <f t="shared" ref="K6339" si="2768">SUM(H6339:J6339)</f>
        <v>190.16907000000003</v>
      </c>
      <c r="L6339" s="131">
        <v>2150</v>
      </c>
      <c r="M6339" s="187">
        <v>26.11</v>
      </c>
      <c r="N6339" s="91">
        <f t="shared" si="2764"/>
        <v>133.61000000000001</v>
      </c>
      <c r="O6339" s="411">
        <f t="shared" si="2696"/>
        <v>56.55907000000002</v>
      </c>
      <c r="P6339" s="132" t="s">
        <v>52</v>
      </c>
      <c r="Q6339" s="232"/>
      <c r="R6339" s="411"/>
      <c r="T6339" s="134" t="s">
        <v>145</v>
      </c>
      <c r="U6339" s="267" t="s">
        <v>13577</v>
      </c>
      <c r="AA6339" s="218"/>
    </row>
    <row r="6340" spans="1:27" x14ac:dyDescent="0.25">
      <c r="A6340" s="405">
        <v>3004966</v>
      </c>
      <c r="B6340" s="406">
        <v>42660</v>
      </c>
      <c r="C6340" s="405" t="s">
        <v>237</v>
      </c>
      <c r="D6340" s="401" t="s">
        <v>13578</v>
      </c>
      <c r="E6340" s="120">
        <v>200</v>
      </c>
      <c r="F6340" s="133" t="s">
        <v>51</v>
      </c>
      <c r="G6340" s="404" t="s">
        <v>7486</v>
      </c>
      <c r="H6340" s="411">
        <v>346.5</v>
      </c>
      <c r="I6340" s="397">
        <f t="shared" ref="I6340" si="2769">-(H6340*0.15)</f>
        <v>-51.975000000000001</v>
      </c>
      <c r="J6340" s="258">
        <v>0</v>
      </c>
      <c r="K6340" s="90">
        <f t="shared" ref="K6340:K6347" si="2770">SUM(H6340:J6340)</f>
        <v>294.52499999999998</v>
      </c>
      <c r="L6340" s="131">
        <v>1015</v>
      </c>
      <c r="M6340" s="187">
        <v>181.97</v>
      </c>
      <c r="N6340" s="91">
        <f t="shared" si="2764"/>
        <v>384.97</v>
      </c>
      <c r="O6340" s="411">
        <f t="shared" ref="O6340:O6403" si="2771">K6340-N6340</f>
        <v>-90.44500000000005</v>
      </c>
      <c r="P6340" s="132" t="s">
        <v>52</v>
      </c>
      <c r="Q6340" s="232"/>
      <c r="R6340" s="411"/>
      <c r="T6340" s="134" t="s">
        <v>244</v>
      </c>
      <c r="U6340" s="267" t="s">
        <v>13579</v>
      </c>
      <c r="V6340" s="133" t="s">
        <v>55</v>
      </c>
      <c r="AA6340" s="218"/>
    </row>
    <row r="6341" spans="1:27" ht="48" x14ac:dyDescent="0.25">
      <c r="A6341" s="405">
        <v>3004967</v>
      </c>
      <c r="B6341" s="406">
        <v>42660</v>
      </c>
      <c r="C6341" s="405" t="s">
        <v>237</v>
      </c>
      <c r="D6341" s="401" t="s">
        <v>13580</v>
      </c>
      <c r="E6341" s="120">
        <v>500</v>
      </c>
      <c r="F6341" s="119" t="s">
        <v>13581</v>
      </c>
      <c r="G6341" s="404" t="s">
        <v>7486</v>
      </c>
      <c r="H6341" s="411">
        <v>242.74</v>
      </c>
      <c r="I6341" s="397">
        <f t="shared" ref="I6341:I6342" si="2772">-(H6341*0.15)</f>
        <v>-36.411000000000001</v>
      </c>
      <c r="J6341" s="258">
        <v>0</v>
      </c>
      <c r="K6341" s="90">
        <f t="shared" si="2770"/>
        <v>206.32900000000001</v>
      </c>
      <c r="L6341" s="187">
        <v>245</v>
      </c>
      <c r="M6341" s="187">
        <v>12.14</v>
      </c>
      <c r="N6341" s="91">
        <f t="shared" si="2764"/>
        <v>134.63999999999999</v>
      </c>
      <c r="O6341" s="411">
        <f t="shared" si="2771"/>
        <v>71.689000000000021</v>
      </c>
      <c r="P6341" s="132" t="s">
        <v>643</v>
      </c>
      <c r="Q6341" s="232"/>
      <c r="R6341" s="411"/>
      <c r="T6341" s="134" t="s">
        <v>145</v>
      </c>
      <c r="U6341" s="267" t="s">
        <v>13582</v>
      </c>
      <c r="AA6341" s="218"/>
    </row>
    <row r="6342" spans="1:27" ht="24" x14ac:dyDescent="0.25">
      <c r="A6342" s="405">
        <v>3004968</v>
      </c>
      <c r="B6342" s="406">
        <v>42660</v>
      </c>
      <c r="C6342" s="405" t="s">
        <v>237</v>
      </c>
      <c r="D6342" s="401" t="s">
        <v>13583</v>
      </c>
      <c r="E6342" s="120">
        <v>200</v>
      </c>
      <c r="F6342" s="133" t="s">
        <v>178</v>
      </c>
      <c r="G6342" s="404" t="s">
        <v>7486</v>
      </c>
      <c r="H6342" s="411">
        <v>322.94</v>
      </c>
      <c r="I6342" s="397">
        <f t="shared" si="2772"/>
        <v>-48.440999999999995</v>
      </c>
      <c r="J6342" s="258">
        <v>0</v>
      </c>
      <c r="K6342" s="90">
        <f t="shared" si="2770"/>
        <v>274.49900000000002</v>
      </c>
      <c r="L6342" s="131">
        <v>1170</v>
      </c>
      <c r="M6342" s="187">
        <v>58.67</v>
      </c>
      <c r="N6342" s="91">
        <f t="shared" si="2764"/>
        <v>292.67</v>
      </c>
      <c r="O6342" s="411">
        <f t="shared" si="2771"/>
        <v>-18.170999999999992</v>
      </c>
      <c r="P6342" s="132" t="s">
        <v>52</v>
      </c>
      <c r="Q6342" s="232"/>
      <c r="R6342" s="411"/>
      <c r="T6342" s="134" t="s">
        <v>145</v>
      </c>
      <c r="U6342" s="267" t="s">
        <v>13584</v>
      </c>
      <c r="AA6342" s="218"/>
    </row>
    <row r="6343" spans="1:27" ht="24" x14ac:dyDescent="0.25">
      <c r="A6343" s="405">
        <v>3004969</v>
      </c>
      <c r="B6343" s="406">
        <v>42660</v>
      </c>
      <c r="C6343" s="405" t="s">
        <v>237</v>
      </c>
      <c r="D6343" s="401" t="s">
        <v>13585</v>
      </c>
      <c r="E6343" s="120">
        <v>50</v>
      </c>
      <c r="F6343" s="133" t="s">
        <v>288</v>
      </c>
      <c r="G6343" s="404" t="s">
        <v>7486</v>
      </c>
      <c r="H6343" s="411">
        <v>114.6</v>
      </c>
      <c r="I6343" s="397">
        <f t="shared" ref="I6343" si="2773">-(H6343*0.15)</f>
        <v>-17.189999999999998</v>
      </c>
      <c r="J6343" s="258">
        <v>0</v>
      </c>
      <c r="K6343" s="90">
        <f t="shared" si="2770"/>
        <v>97.41</v>
      </c>
      <c r="L6343" s="131">
        <v>900</v>
      </c>
      <c r="M6343" s="187">
        <v>27.46</v>
      </c>
      <c r="N6343" s="91">
        <f t="shared" si="2764"/>
        <v>72.460000000000008</v>
      </c>
      <c r="O6343" s="411">
        <f t="shared" si="2771"/>
        <v>24.949999999999989</v>
      </c>
      <c r="P6343" s="132" t="s">
        <v>52</v>
      </c>
      <c r="Q6343" s="232"/>
      <c r="R6343" s="411"/>
      <c r="T6343" s="134" t="s">
        <v>145</v>
      </c>
      <c r="U6343" s="267" t="s">
        <v>13586</v>
      </c>
      <c r="AA6343" s="218"/>
    </row>
    <row r="6344" spans="1:27" ht="24" x14ac:dyDescent="0.25">
      <c r="A6344" s="405">
        <v>3004970</v>
      </c>
      <c r="B6344" s="406">
        <v>42660</v>
      </c>
      <c r="C6344" s="405" t="s">
        <v>237</v>
      </c>
      <c r="D6344" s="401" t="s">
        <v>13587</v>
      </c>
      <c r="E6344" s="120">
        <v>75</v>
      </c>
      <c r="F6344" s="133" t="s">
        <v>341</v>
      </c>
      <c r="G6344" s="404" t="s">
        <v>7486</v>
      </c>
      <c r="H6344" s="411">
        <v>126.71</v>
      </c>
      <c r="I6344" s="397">
        <f t="shared" ref="I6344" si="2774">-(H6344*0.15)</f>
        <v>-19.006499999999999</v>
      </c>
      <c r="J6344" s="258">
        <v>0</v>
      </c>
      <c r="K6344" s="90">
        <f t="shared" si="2770"/>
        <v>107.70349999999999</v>
      </c>
      <c r="L6344" s="131">
        <v>695</v>
      </c>
      <c r="M6344" s="187">
        <v>24.37</v>
      </c>
      <c r="N6344" s="91">
        <f t="shared" si="2764"/>
        <v>76.495000000000005</v>
      </c>
      <c r="O6344" s="411">
        <f t="shared" si="2771"/>
        <v>31.208499999999987</v>
      </c>
      <c r="P6344" s="132" t="s">
        <v>52</v>
      </c>
      <c r="Q6344" s="232"/>
      <c r="R6344" s="411"/>
      <c r="T6344" s="134" t="s">
        <v>145</v>
      </c>
      <c r="U6344" s="267" t="s">
        <v>13588</v>
      </c>
      <c r="AA6344" s="218"/>
    </row>
    <row r="6345" spans="1:27" ht="24" x14ac:dyDescent="0.25">
      <c r="A6345" s="405">
        <v>3004971</v>
      </c>
      <c r="B6345" s="406">
        <v>42660</v>
      </c>
      <c r="C6345" s="405" t="s">
        <v>237</v>
      </c>
      <c r="D6345" s="401" t="s">
        <v>13589</v>
      </c>
      <c r="E6345" s="120">
        <v>225</v>
      </c>
      <c r="F6345" s="133" t="s">
        <v>247</v>
      </c>
      <c r="G6345" s="404" t="s">
        <v>7486</v>
      </c>
      <c r="H6345" s="411">
        <v>200</v>
      </c>
      <c r="I6345" s="397">
        <f t="shared" ref="I6345" si="2775">-(H6345*0.15)</f>
        <v>-30</v>
      </c>
      <c r="J6345" s="258">
        <v>0</v>
      </c>
      <c r="K6345" s="90">
        <f t="shared" si="2770"/>
        <v>170</v>
      </c>
      <c r="L6345" s="131">
        <v>424</v>
      </c>
      <c r="M6345" s="187">
        <v>34.42</v>
      </c>
      <c r="N6345" s="91">
        <f t="shared" si="2764"/>
        <v>129.82</v>
      </c>
      <c r="O6345" s="411">
        <f t="shared" si="2771"/>
        <v>40.180000000000007</v>
      </c>
      <c r="P6345" s="132" t="s">
        <v>52</v>
      </c>
      <c r="Q6345" s="232"/>
      <c r="R6345" s="411"/>
      <c r="T6345" s="134" t="s">
        <v>145</v>
      </c>
      <c r="U6345" s="267" t="s">
        <v>13590</v>
      </c>
      <c r="AA6345" s="218"/>
    </row>
    <row r="6346" spans="1:27" ht="24" x14ac:dyDescent="0.25">
      <c r="A6346" s="405">
        <v>3004972</v>
      </c>
      <c r="B6346" s="406">
        <v>42660</v>
      </c>
      <c r="C6346" s="405" t="s">
        <v>237</v>
      </c>
      <c r="D6346" s="401" t="s">
        <v>13591</v>
      </c>
      <c r="E6346" s="120">
        <v>100</v>
      </c>
      <c r="F6346" s="133" t="s">
        <v>247</v>
      </c>
      <c r="G6346" s="404" t="s">
        <v>7486</v>
      </c>
      <c r="H6346" s="411">
        <v>110</v>
      </c>
      <c r="I6346" s="397">
        <f t="shared" ref="I6346" si="2776">-(H6346*0.15)</f>
        <v>-16.5</v>
      </c>
      <c r="J6346" s="258">
        <v>0</v>
      </c>
      <c r="K6346" s="90">
        <f t="shared" si="2770"/>
        <v>93.5</v>
      </c>
      <c r="L6346" s="131">
        <v>424</v>
      </c>
      <c r="M6346" s="187">
        <v>38.619999999999997</v>
      </c>
      <c r="N6346" s="91">
        <f t="shared" si="2764"/>
        <v>81.02000000000001</v>
      </c>
      <c r="O6346" s="411">
        <f t="shared" si="2771"/>
        <v>12.47999999999999</v>
      </c>
      <c r="P6346" s="132" t="s">
        <v>52</v>
      </c>
      <c r="Q6346" s="232"/>
      <c r="R6346" s="411"/>
      <c r="T6346" s="134" t="s">
        <v>145</v>
      </c>
      <c r="U6346" s="267" t="s">
        <v>13592</v>
      </c>
      <c r="AA6346" s="218"/>
    </row>
    <row r="6347" spans="1:27" x14ac:dyDescent="0.25">
      <c r="A6347" s="419">
        <v>3004973</v>
      </c>
      <c r="B6347" s="421">
        <v>42660</v>
      </c>
      <c r="C6347" s="419" t="s">
        <v>237</v>
      </c>
      <c r="D6347" s="417" t="s">
        <v>8292</v>
      </c>
      <c r="E6347" s="120">
        <v>25</v>
      </c>
      <c r="F6347" s="133" t="s">
        <v>2483</v>
      </c>
      <c r="G6347" s="434" t="s">
        <v>7486</v>
      </c>
      <c r="H6347" s="427">
        <v>120.78</v>
      </c>
      <c r="I6347" s="452">
        <f t="shared" ref="I6347" si="2777">-(H6347*0.15)</f>
        <v>-18.117000000000001</v>
      </c>
      <c r="J6347" s="425">
        <v>0</v>
      </c>
      <c r="K6347" s="425">
        <f t="shared" si="2770"/>
        <v>102.663</v>
      </c>
      <c r="L6347" s="187">
        <v>1450</v>
      </c>
      <c r="M6347" s="187">
        <v>10.08</v>
      </c>
      <c r="N6347" s="91">
        <f t="shared" si="2764"/>
        <v>46.33</v>
      </c>
      <c r="O6347" s="411">
        <f t="shared" si="2771"/>
        <v>56.332999999999998</v>
      </c>
      <c r="P6347" s="132" t="s">
        <v>601</v>
      </c>
      <c r="Q6347" s="232"/>
      <c r="R6347" s="411"/>
      <c r="T6347" s="439" t="s">
        <v>145</v>
      </c>
      <c r="U6347" s="446" t="s">
        <v>13593</v>
      </c>
      <c r="AA6347" s="218"/>
    </row>
    <row r="6348" spans="1:27" x14ac:dyDescent="0.25">
      <c r="A6348" s="420"/>
      <c r="B6348" s="422"/>
      <c r="C6348" s="420"/>
      <c r="D6348" s="418"/>
      <c r="E6348" s="120">
        <v>25</v>
      </c>
      <c r="F6348" s="133" t="s">
        <v>3345</v>
      </c>
      <c r="G6348" s="436"/>
      <c r="H6348" s="428"/>
      <c r="I6348" s="453"/>
      <c r="J6348" s="426"/>
      <c r="K6348" s="426"/>
      <c r="L6348" s="187">
        <v>1450</v>
      </c>
      <c r="N6348" s="91">
        <f t="shared" si="2764"/>
        <v>36.25</v>
      </c>
      <c r="O6348" s="411">
        <f t="shared" si="2771"/>
        <v>-36.25</v>
      </c>
      <c r="P6348" s="132" t="s">
        <v>601</v>
      </c>
      <c r="Q6348" s="232"/>
      <c r="R6348" s="411"/>
      <c r="T6348" s="441"/>
      <c r="U6348" s="447"/>
      <c r="AA6348" s="218"/>
    </row>
    <row r="6349" spans="1:27" ht="24" x14ac:dyDescent="0.25">
      <c r="A6349" s="405">
        <v>3004974</v>
      </c>
      <c r="B6349" s="406">
        <v>42660</v>
      </c>
      <c r="C6349" s="405" t="s">
        <v>237</v>
      </c>
      <c r="D6349" s="401" t="s">
        <v>13594</v>
      </c>
      <c r="E6349" s="120">
        <v>175</v>
      </c>
      <c r="F6349" s="133" t="s">
        <v>247</v>
      </c>
      <c r="G6349" s="404" t="s">
        <v>7486</v>
      </c>
      <c r="H6349" s="411">
        <v>180</v>
      </c>
      <c r="I6349" s="397">
        <f t="shared" ref="I6349" si="2778">-(H6349*0.15)</f>
        <v>-27</v>
      </c>
      <c r="J6349" s="258">
        <v>0</v>
      </c>
      <c r="K6349" s="90">
        <f>SUM(H6349:J6349)</f>
        <v>153</v>
      </c>
      <c r="L6349" s="131">
        <v>480</v>
      </c>
      <c r="M6349" s="187">
        <v>14.08</v>
      </c>
      <c r="N6349" s="91">
        <f t="shared" si="2764"/>
        <v>98.080000000000013</v>
      </c>
      <c r="O6349" s="411">
        <f t="shared" si="2771"/>
        <v>54.919999999999987</v>
      </c>
      <c r="P6349" s="132" t="s">
        <v>52</v>
      </c>
      <c r="Q6349" s="232"/>
      <c r="R6349" s="411"/>
      <c r="T6349" s="134" t="s">
        <v>145</v>
      </c>
      <c r="U6349" s="267" t="s">
        <v>13595</v>
      </c>
      <c r="AA6349" s="218"/>
    </row>
    <row r="6350" spans="1:27" x14ac:dyDescent="0.25">
      <c r="A6350" s="405">
        <v>3004975</v>
      </c>
      <c r="B6350" s="406">
        <v>42660</v>
      </c>
      <c r="C6350" s="405" t="s">
        <v>237</v>
      </c>
      <c r="D6350" s="401" t="s">
        <v>13596</v>
      </c>
      <c r="E6350" s="120">
        <v>1500</v>
      </c>
      <c r="F6350" s="133" t="s">
        <v>157</v>
      </c>
      <c r="G6350" s="404" t="s">
        <v>7486</v>
      </c>
      <c r="H6350" s="411">
        <v>1608.96</v>
      </c>
      <c r="I6350" s="397">
        <f t="shared" ref="I6350" si="2779">-(H6350*0.15)</f>
        <v>-241.34399999999999</v>
      </c>
      <c r="J6350" s="258">
        <v>0</v>
      </c>
      <c r="K6350" s="90">
        <f>SUM(H6350:J6350)</f>
        <v>1367.616</v>
      </c>
      <c r="L6350" s="187">
        <v>800</v>
      </c>
      <c r="M6350" s="187">
        <v>105</v>
      </c>
      <c r="N6350" s="91">
        <f t="shared" si="2764"/>
        <v>1305</v>
      </c>
      <c r="O6350" s="411">
        <f t="shared" si="2771"/>
        <v>62.615999999999985</v>
      </c>
      <c r="P6350" s="132" t="s">
        <v>183</v>
      </c>
      <c r="Q6350" s="232"/>
      <c r="R6350" s="411"/>
      <c r="T6350" s="134" t="s">
        <v>717</v>
      </c>
      <c r="U6350" s="267" t="s">
        <v>13597</v>
      </c>
      <c r="AA6350" s="218"/>
    </row>
    <row r="6351" spans="1:27" ht="24" x14ac:dyDescent="0.25">
      <c r="A6351" s="419">
        <v>3004976</v>
      </c>
      <c r="B6351" s="421">
        <v>42660</v>
      </c>
      <c r="C6351" s="419" t="s">
        <v>56</v>
      </c>
      <c r="D6351" s="417" t="s">
        <v>10250</v>
      </c>
      <c r="E6351" s="120">
        <v>500</v>
      </c>
      <c r="F6351" s="133" t="s">
        <v>3200</v>
      </c>
      <c r="G6351" s="434" t="s">
        <v>7486</v>
      </c>
      <c r="H6351" s="427">
        <v>695.56</v>
      </c>
      <c r="I6351" s="427">
        <v>0</v>
      </c>
      <c r="J6351" s="427">
        <v>0</v>
      </c>
      <c r="K6351" s="425">
        <f>SUM(H6351:J6351)</f>
        <v>695.56</v>
      </c>
      <c r="L6351" s="187">
        <v>442.44</v>
      </c>
      <c r="M6351" s="224" t="s">
        <v>13598</v>
      </c>
      <c r="N6351" s="91" t="e">
        <f t="shared" ref="N6351:N6380" si="2780">((L6351)*(E6351*0.001))+M6351</f>
        <v>#VALUE!</v>
      </c>
      <c r="O6351" s="411" t="e">
        <f t="shared" si="2771"/>
        <v>#VALUE!</v>
      </c>
      <c r="P6351" s="132" t="s">
        <v>46</v>
      </c>
      <c r="Q6351" s="232"/>
      <c r="R6351" s="411"/>
      <c r="T6351" s="134" t="s">
        <v>145</v>
      </c>
      <c r="U6351" s="267" t="s">
        <v>13599</v>
      </c>
      <c r="V6351" s="133" t="s">
        <v>13600</v>
      </c>
      <c r="W6351" s="153" t="s">
        <v>1796</v>
      </c>
      <c r="AA6351" s="218"/>
    </row>
    <row r="6352" spans="1:27" ht="24" x14ac:dyDescent="0.25">
      <c r="A6352" s="432"/>
      <c r="B6352" s="433"/>
      <c r="C6352" s="432"/>
      <c r="D6352" s="454"/>
      <c r="E6352" s="120">
        <v>1000</v>
      </c>
      <c r="F6352" s="119" t="s">
        <v>13601</v>
      </c>
      <c r="G6352" s="435"/>
      <c r="H6352" s="438"/>
      <c r="I6352" s="438"/>
      <c r="J6352" s="438"/>
      <c r="K6352" s="437"/>
      <c r="L6352" s="187">
        <v>80</v>
      </c>
      <c r="M6352" s="187">
        <v>19</v>
      </c>
      <c r="N6352" s="91">
        <f t="shared" si="2780"/>
        <v>99</v>
      </c>
      <c r="O6352" s="411">
        <f t="shared" si="2771"/>
        <v>-99</v>
      </c>
      <c r="P6352" s="132" t="s">
        <v>235</v>
      </c>
      <c r="Q6352" s="232"/>
      <c r="R6352" s="411"/>
      <c r="T6352" s="439" t="s">
        <v>145</v>
      </c>
      <c r="U6352" s="267" t="s">
        <v>13602</v>
      </c>
      <c r="V6352" s="133" t="s">
        <v>13603</v>
      </c>
      <c r="AA6352" s="218"/>
    </row>
    <row r="6353" spans="1:27" ht="24" x14ac:dyDescent="0.25">
      <c r="A6353" s="420"/>
      <c r="B6353" s="422"/>
      <c r="C6353" s="420"/>
      <c r="D6353" s="418"/>
      <c r="E6353" s="120">
        <v>3000</v>
      </c>
      <c r="F6353" s="119" t="s">
        <v>13604</v>
      </c>
      <c r="G6353" s="436"/>
      <c r="H6353" s="428"/>
      <c r="I6353" s="428"/>
      <c r="J6353" s="428"/>
      <c r="K6353" s="426"/>
      <c r="L6353" s="187">
        <v>55</v>
      </c>
      <c r="M6353" s="187">
        <v>22.2</v>
      </c>
      <c r="N6353" s="91">
        <f t="shared" si="2780"/>
        <v>187.2</v>
      </c>
      <c r="O6353" s="411">
        <f t="shared" si="2771"/>
        <v>-187.2</v>
      </c>
      <c r="P6353" s="132" t="s">
        <v>235</v>
      </c>
      <c r="Q6353" s="232"/>
      <c r="R6353" s="411"/>
      <c r="T6353" s="441"/>
      <c r="U6353" s="267" t="s">
        <v>13605</v>
      </c>
      <c r="V6353" s="133" t="s">
        <v>13603</v>
      </c>
      <c r="AA6353" s="218"/>
    </row>
    <row r="6354" spans="1:27" x14ac:dyDescent="0.25">
      <c r="A6354" s="405">
        <v>3004977</v>
      </c>
      <c r="B6354" s="406">
        <v>42660</v>
      </c>
      <c r="C6354" s="405" t="s">
        <v>141</v>
      </c>
      <c r="D6354" s="401" t="s">
        <v>426</v>
      </c>
      <c r="E6354" s="120">
        <v>160</v>
      </c>
      <c r="F6354" s="133" t="s">
        <v>13606</v>
      </c>
      <c r="G6354" s="404" t="s">
        <v>7486</v>
      </c>
      <c r="H6354" s="411">
        <v>1000.01</v>
      </c>
      <c r="I6354" s="399">
        <v>0</v>
      </c>
      <c r="J6354" s="396">
        <f>-((H6354*0.0325)+0.3)</f>
        <v>-32.800325000000001</v>
      </c>
      <c r="K6354" s="396">
        <f>SUM(H6354:J6354)</f>
        <v>967.20967499999995</v>
      </c>
      <c r="L6354" s="187">
        <v>4300</v>
      </c>
      <c r="M6354" s="187">
        <v>105</v>
      </c>
      <c r="N6354" s="91">
        <f t="shared" si="2780"/>
        <v>793</v>
      </c>
      <c r="O6354" s="411">
        <f t="shared" si="2771"/>
        <v>174.20967499999995</v>
      </c>
      <c r="P6354" s="132" t="s">
        <v>183</v>
      </c>
      <c r="Q6354" s="232"/>
      <c r="R6354" s="411"/>
      <c r="T6354" s="134" t="s">
        <v>760</v>
      </c>
      <c r="U6354" s="267" t="s">
        <v>13607</v>
      </c>
      <c r="W6354" s="153" t="s">
        <v>429</v>
      </c>
      <c r="AA6354" s="218">
        <v>50</v>
      </c>
    </row>
    <row r="6355" spans="1:27" x14ac:dyDescent="0.25">
      <c r="A6355" s="419">
        <v>3004978</v>
      </c>
      <c r="B6355" s="421">
        <v>42660</v>
      </c>
      <c r="C6355" s="419" t="s">
        <v>63</v>
      </c>
      <c r="D6355" s="417" t="s">
        <v>1424</v>
      </c>
      <c r="E6355" s="120">
        <v>250</v>
      </c>
      <c r="F6355" s="133" t="s">
        <v>13608</v>
      </c>
      <c r="G6355" s="434" t="s">
        <v>7486</v>
      </c>
      <c r="H6355" s="427">
        <v>2712</v>
      </c>
      <c r="I6355" s="427">
        <v>0</v>
      </c>
      <c r="J6355" s="425">
        <f>-((H6355*0.022)+0.3)</f>
        <v>-59.963999999999992</v>
      </c>
      <c r="K6355" s="425">
        <f>SUM(H6355:J6355)</f>
        <v>2652.0360000000001</v>
      </c>
      <c r="L6355" s="187">
        <v>654.78</v>
      </c>
      <c r="M6355" s="187">
        <v>64.77</v>
      </c>
      <c r="N6355" s="91">
        <f t="shared" si="2780"/>
        <v>228.46499999999997</v>
      </c>
      <c r="O6355" s="411">
        <f t="shared" si="2771"/>
        <v>2423.5709999999999</v>
      </c>
      <c r="P6355" s="132" t="s">
        <v>76</v>
      </c>
      <c r="Q6355" s="232"/>
      <c r="R6355" s="411"/>
      <c r="T6355" s="439" t="s">
        <v>145</v>
      </c>
      <c r="U6355" s="267" t="s">
        <v>13609</v>
      </c>
      <c r="W6355" s="153" t="s">
        <v>1426</v>
      </c>
      <c r="AA6355" s="473">
        <v>10</v>
      </c>
    </row>
    <row r="6356" spans="1:27" x14ac:dyDescent="0.25">
      <c r="A6356" s="432"/>
      <c r="B6356" s="433"/>
      <c r="C6356" s="432"/>
      <c r="D6356" s="454"/>
      <c r="E6356" s="120">
        <v>250</v>
      </c>
      <c r="F6356" s="133" t="s">
        <v>13610</v>
      </c>
      <c r="G6356" s="435"/>
      <c r="H6356" s="438"/>
      <c r="I6356" s="438"/>
      <c r="J6356" s="437"/>
      <c r="K6356" s="437"/>
      <c r="L6356" s="187">
        <v>1001.9</v>
      </c>
      <c r="M6356" s="187">
        <v>46.81</v>
      </c>
      <c r="N6356" s="91">
        <f t="shared" si="2780"/>
        <v>297.28499999999997</v>
      </c>
      <c r="O6356" s="411">
        <f t="shared" si="2771"/>
        <v>-297.28499999999997</v>
      </c>
      <c r="P6356" s="132" t="s">
        <v>76</v>
      </c>
      <c r="Q6356" s="232"/>
      <c r="R6356" s="411"/>
      <c r="T6356" s="440"/>
      <c r="U6356" s="267" t="s">
        <v>13611</v>
      </c>
      <c r="AA6356" s="478"/>
    </row>
    <row r="6357" spans="1:27" x14ac:dyDescent="0.25">
      <c r="A6357" s="432"/>
      <c r="B6357" s="433"/>
      <c r="C6357" s="432"/>
      <c r="D6357" s="454"/>
      <c r="E6357" s="120">
        <v>1000</v>
      </c>
      <c r="F6357" s="133" t="s">
        <v>13612</v>
      </c>
      <c r="G6357" s="435"/>
      <c r="H6357" s="438"/>
      <c r="I6357" s="438"/>
      <c r="J6357" s="437"/>
      <c r="K6357" s="437"/>
      <c r="L6357" s="187">
        <v>292</v>
      </c>
      <c r="M6357" s="187">
        <v>45.99</v>
      </c>
      <c r="N6357" s="91">
        <f t="shared" si="2780"/>
        <v>337.99</v>
      </c>
      <c r="O6357" s="411">
        <f t="shared" si="2771"/>
        <v>-337.99</v>
      </c>
      <c r="P6357" s="132" t="s">
        <v>76</v>
      </c>
      <c r="Q6357" s="232"/>
      <c r="R6357" s="411"/>
      <c r="T6357" s="441"/>
      <c r="U6357" s="267" t="s">
        <v>13613</v>
      </c>
      <c r="AA6357" s="478"/>
    </row>
    <row r="6358" spans="1:27" x14ac:dyDescent="0.25">
      <c r="A6358" s="432"/>
      <c r="B6358" s="433"/>
      <c r="C6358" s="432"/>
      <c r="D6358" s="454"/>
      <c r="E6358" s="120">
        <v>1000</v>
      </c>
      <c r="F6358" s="133" t="s">
        <v>51</v>
      </c>
      <c r="G6358" s="435"/>
      <c r="H6358" s="438"/>
      <c r="I6358" s="438"/>
      <c r="J6358" s="437"/>
      <c r="K6358" s="437"/>
      <c r="L6358" s="131">
        <v>909</v>
      </c>
      <c r="M6358" s="468">
        <v>234.42</v>
      </c>
      <c r="N6358" s="91">
        <f t="shared" si="2780"/>
        <v>1143.42</v>
      </c>
      <c r="O6358" s="411">
        <f t="shared" si="2771"/>
        <v>-1143.42</v>
      </c>
      <c r="P6358" s="132" t="s">
        <v>52</v>
      </c>
      <c r="Q6358" s="232"/>
      <c r="R6358" s="411"/>
      <c r="T6358" s="439" t="s">
        <v>875</v>
      </c>
      <c r="U6358" s="446" t="s">
        <v>13614</v>
      </c>
      <c r="V6358" s="133" t="s">
        <v>13615</v>
      </c>
      <c r="AA6358" s="478"/>
    </row>
    <row r="6359" spans="1:27" x14ac:dyDescent="0.25">
      <c r="A6359" s="420"/>
      <c r="B6359" s="422"/>
      <c r="C6359" s="420"/>
      <c r="D6359" s="418"/>
      <c r="E6359" s="120">
        <v>1000</v>
      </c>
      <c r="F6359" s="133" t="s">
        <v>13616</v>
      </c>
      <c r="G6359" s="436"/>
      <c r="H6359" s="428"/>
      <c r="I6359" s="428"/>
      <c r="J6359" s="426"/>
      <c r="K6359" s="426"/>
      <c r="L6359" s="131">
        <v>180</v>
      </c>
      <c r="M6359" s="469"/>
      <c r="N6359" s="91">
        <f t="shared" si="2780"/>
        <v>180</v>
      </c>
      <c r="O6359" s="411">
        <f t="shared" si="2771"/>
        <v>-180</v>
      </c>
      <c r="P6359" s="132" t="s">
        <v>52</v>
      </c>
      <c r="Q6359" s="232"/>
      <c r="R6359" s="411"/>
      <c r="T6359" s="441"/>
      <c r="U6359" s="447"/>
      <c r="V6359" s="133" t="s">
        <v>13617</v>
      </c>
      <c r="AA6359" s="474"/>
    </row>
    <row r="6360" spans="1:27" ht="24" x14ac:dyDescent="0.25">
      <c r="A6360" s="405">
        <v>3004979</v>
      </c>
      <c r="B6360" s="406">
        <v>42660</v>
      </c>
      <c r="C6360" s="405" t="s">
        <v>78</v>
      </c>
      <c r="D6360" s="401" t="s">
        <v>13618</v>
      </c>
      <c r="E6360" s="120">
        <v>160</v>
      </c>
      <c r="F6360" s="133" t="s">
        <v>222</v>
      </c>
      <c r="G6360" s="404" t="s">
        <v>7486</v>
      </c>
      <c r="H6360" s="411">
        <v>248</v>
      </c>
      <c r="I6360" s="411">
        <v>0</v>
      </c>
      <c r="J6360" s="258">
        <f t="shared" ref="J6360:J6361" si="2781">-((H6360*0.019)+0.3)</f>
        <v>-5.0119999999999996</v>
      </c>
      <c r="K6360" s="396">
        <f>SUM(H6360:J6360)</f>
        <v>242.988</v>
      </c>
      <c r="L6360" s="131">
        <v>806</v>
      </c>
      <c r="M6360" s="187">
        <v>40.19</v>
      </c>
      <c r="N6360" s="91">
        <f t="shared" si="2780"/>
        <v>169.15</v>
      </c>
      <c r="O6360" s="411">
        <f t="shared" si="2771"/>
        <v>73.837999999999994</v>
      </c>
      <c r="P6360" s="132" t="s">
        <v>52</v>
      </c>
      <c r="Q6360" s="232"/>
      <c r="R6360" s="411"/>
      <c r="T6360" s="134" t="s">
        <v>145</v>
      </c>
      <c r="U6360" s="267" t="s">
        <v>13619</v>
      </c>
      <c r="W6360" s="153" t="s">
        <v>13620</v>
      </c>
      <c r="AA6360" s="218"/>
    </row>
    <row r="6361" spans="1:27" x14ac:dyDescent="0.25">
      <c r="A6361" s="405">
        <v>3004980</v>
      </c>
      <c r="B6361" s="406">
        <v>42660</v>
      </c>
      <c r="C6361" s="405" t="s">
        <v>42</v>
      </c>
      <c r="D6361" s="401" t="s">
        <v>13621</v>
      </c>
      <c r="E6361" s="120">
        <v>250</v>
      </c>
      <c r="F6361" s="133" t="s">
        <v>939</v>
      </c>
      <c r="G6361" s="404" t="s">
        <v>6199</v>
      </c>
      <c r="H6361" s="411">
        <v>252</v>
      </c>
      <c r="I6361" s="89">
        <f>-(H6361*0.09)</f>
        <v>-22.68</v>
      </c>
      <c r="J6361" s="258">
        <f t="shared" si="2781"/>
        <v>-5.0880000000000001</v>
      </c>
      <c r="K6361" s="90">
        <f t="shared" ref="K6361" si="2782">SUM(H6361:J6361)</f>
        <v>224.232</v>
      </c>
      <c r="N6361" s="91">
        <f t="shared" si="2780"/>
        <v>0</v>
      </c>
      <c r="O6361" s="411">
        <f t="shared" si="2771"/>
        <v>224.232</v>
      </c>
      <c r="P6361" s="132" t="s">
        <v>11734</v>
      </c>
      <c r="Q6361" s="232"/>
      <c r="R6361" s="411"/>
      <c r="T6361" s="134"/>
      <c r="U6361" s="266"/>
      <c r="AA6361" s="218"/>
    </row>
    <row r="6362" spans="1:27" ht="24" x14ac:dyDescent="0.25">
      <c r="A6362" s="405">
        <v>3004981</v>
      </c>
      <c r="B6362" s="406">
        <v>42660</v>
      </c>
      <c r="C6362" s="405" t="s">
        <v>42</v>
      </c>
      <c r="D6362" s="401" t="s">
        <v>13622</v>
      </c>
      <c r="E6362" s="120">
        <v>200</v>
      </c>
      <c r="F6362" s="133" t="s">
        <v>13623</v>
      </c>
      <c r="G6362" s="404" t="s">
        <v>7486</v>
      </c>
      <c r="H6362" s="411">
        <v>277.8</v>
      </c>
      <c r="I6362" s="89">
        <f>-(H6362*0.09)</f>
        <v>-25.001999999999999</v>
      </c>
      <c r="J6362" s="258">
        <f t="shared" ref="J6362:J6363" si="2783">-((H6362*0.019)+0.3)</f>
        <v>-5.5781999999999998</v>
      </c>
      <c r="K6362" s="90">
        <f t="shared" ref="K6362" si="2784">SUM(H6362:J6362)</f>
        <v>247.21979999999999</v>
      </c>
      <c r="L6362" s="131">
        <v>610.51</v>
      </c>
      <c r="M6362" s="187">
        <f>20.06+20.06</f>
        <v>40.119999999999997</v>
      </c>
      <c r="N6362" s="91">
        <f t="shared" si="2780"/>
        <v>162.22200000000001</v>
      </c>
      <c r="O6362" s="411">
        <f t="shared" si="2771"/>
        <v>84.997799999999984</v>
      </c>
      <c r="P6362" s="132" t="s">
        <v>86</v>
      </c>
      <c r="Q6362" s="232"/>
      <c r="R6362" s="411"/>
      <c r="T6362" s="134" t="s">
        <v>145</v>
      </c>
      <c r="U6362" s="267" t="s">
        <v>13624</v>
      </c>
      <c r="AA6362" s="218"/>
    </row>
    <row r="6363" spans="1:27" ht="24" x14ac:dyDescent="0.25">
      <c r="A6363" s="405">
        <v>3004982</v>
      </c>
      <c r="B6363" s="406">
        <v>42660</v>
      </c>
      <c r="C6363" s="405" t="s">
        <v>78</v>
      </c>
      <c r="D6363" s="401" t="s">
        <v>10727</v>
      </c>
      <c r="E6363" s="120">
        <v>1000</v>
      </c>
      <c r="F6363" s="133" t="s">
        <v>13625</v>
      </c>
      <c r="G6363" s="404" t="s">
        <v>7486</v>
      </c>
      <c r="H6363" s="411">
        <v>357.5</v>
      </c>
      <c r="I6363" s="411">
        <v>0</v>
      </c>
      <c r="J6363" s="258">
        <f t="shared" si="2783"/>
        <v>-7.0924999999999994</v>
      </c>
      <c r="K6363" s="396">
        <f>SUM(H6363:J6363)</f>
        <v>350.40750000000003</v>
      </c>
      <c r="L6363" s="187">
        <v>245</v>
      </c>
      <c r="M6363" s="187">
        <v>41.38</v>
      </c>
      <c r="N6363" s="91">
        <f t="shared" si="2780"/>
        <v>286.38</v>
      </c>
      <c r="O6363" s="411">
        <f t="shared" si="2771"/>
        <v>64.027500000000032</v>
      </c>
      <c r="P6363" s="132" t="s">
        <v>183</v>
      </c>
      <c r="Q6363" s="232"/>
      <c r="R6363" s="411"/>
      <c r="T6363" s="134" t="s">
        <v>145</v>
      </c>
      <c r="U6363" s="267" t="s">
        <v>13626</v>
      </c>
      <c r="W6363" s="153" t="s">
        <v>13627</v>
      </c>
      <c r="AA6363" s="218"/>
    </row>
    <row r="6364" spans="1:27" x14ac:dyDescent="0.25">
      <c r="A6364" s="419">
        <v>3004983</v>
      </c>
      <c r="B6364" s="421">
        <v>42660</v>
      </c>
      <c r="C6364" s="419" t="s">
        <v>56</v>
      </c>
      <c r="D6364" s="417" t="s">
        <v>3382</v>
      </c>
      <c r="E6364" s="120">
        <v>1000</v>
      </c>
      <c r="F6364" s="133" t="s">
        <v>51</v>
      </c>
      <c r="G6364" s="460" t="s">
        <v>7486</v>
      </c>
      <c r="H6364" s="427">
        <v>2225</v>
      </c>
      <c r="I6364" s="427">
        <v>0</v>
      </c>
      <c r="J6364" s="427">
        <v>0</v>
      </c>
      <c r="K6364" s="425">
        <f>SUM(H6364:J6364)</f>
        <v>2225</v>
      </c>
      <c r="L6364" s="131">
        <v>909</v>
      </c>
      <c r="M6364" s="468">
        <v>152.52000000000001</v>
      </c>
      <c r="N6364" s="91">
        <f t="shared" si="2780"/>
        <v>1061.52</v>
      </c>
      <c r="O6364" s="411">
        <f t="shared" si="2771"/>
        <v>1163.48</v>
      </c>
      <c r="P6364" s="132" t="s">
        <v>52</v>
      </c>
      <c r="Q6364" s="232"/>
      <c r="R6364" s="411"/>
      <c r="T6364" s="439" t="s">
        <v>503</v>
      </c>
      <c r="U6364" s="446" t="s">
        <v>13628</v>
      </c>
      <c r="V6364" s="133" t="s">
        <v>55</v>
      </c>
      <c r="AA6364" s="218"/>
    </row>
    <row r="6365" spans="1:27" x14ac:dyDescent="0.25">
      <c r="A6365" s="420"/>
      <c r="B6365" s="422"/>
      <c r="C6365" s="420"/>
      <c r="D6365" s="418"/>
      <c r="E6365" s="120">
        <v>500</v>
      </c>
      <c r="F6365" s="133" t="s">
        <v>114</v>
      </c>
      <c r="G6365" s="462"/>
      <c r="H6365" s="428"/>
      <c r="I6365" s="428"/>
      <c r="J6365" s="428"/>
      <c r="K6365" s="426"/>
      <c r="L6365" s="131">
        <v>1569</v>
      </c>
      <c r="M6365" s="469"/>
      <c r="N6365" s="91">
        <f t="shared" si="2780"/>
        <v>784.5</v>
      </c>
      <c r="O6365" s="411">
        <f t="shared" si="2771"/>
        <v>-784.5</v>
      </c>
      <c r="P6365" s="132" t="s">
        <v>52</v>
      </c>
      <c r="Q6365" s="232"/>
      <c r="R6365" s="411"/>
      <c r="T6365" s="441"/>
      <c r="U6365" s="447"/>
      <c r="V6365" s="133" t="s">
        <v>12838</v>
      </c>
      <c r="AA6365" s="218"/>
    </row>
    <row r="6366" spans="1:27" ht="24" x14ac:dyDescent="0.25">
      <c r="A6366" s="405">
        <v>3004984</v>
      </c>
      <c r="B6366" s="406">
        <v>42661</v>
      </c>
      <c r="C6366" s="405" t="s">
        <v>63</v>
      </c>
      <c r="D6366" s="401" t="s">
        <v>3029</v>
      </c>
      <c r="E6366" s="120">
        <v>100</v>
      </c>
      <c r="F6366" s="133" t="s">
        <v>161</v>
      </c>
      <c r="G6366" s="404" t="s">
        <v>7486</v>
      </c>
      <c r="H6366" s="411">
        <v>240</v>
      </c>
      <c r="I6366" s="399">
        <v>0</v>
      </c>
      <c r="J6366" s="396">
        <f>-((H6366*0.022)+0.3)</f>
        <v>-5.5799999999999992</v>
      </c>
      <c r="K6366" s="396">
        <f>SUM(H6366:J6366)</f>
        <v>234.42</v>
      </c>
      <c r="L6366" s="131">
        <v>1322</v>
      </c>
      <c r="M6366" s="187">
        <v>37.76</v>
      </c>
      <c r="N6366" s="91">
        <f t="shared" si="2780"/>
        <v>169.96</v>
      </c>
      <c r="O6366" s="411">
        <f t="shared" si="2771"/>
        <v>64.45999999999998</v>
      </c>
      <c r="P6366" s="132" t="s">
        <v>52</v>
      </c>
      <c r="Q6366" s="232"/>
      <c r="R6366" s="411"/>
      <c r="T6366" s="134" t="s">
        <v>145</v>
      </c>
      <c r="U6366" s="267" t="s">
        <v>13629</v>
      </c>
      <c r="W6366" s="153" t="s">
        <v>3032</v>
      </c>
      <c r="AA6366" s="218"/>
    </row>
    <row r="6367" spans="1:27" x14ac:dyDescent="0.25">
      <c r="A6367" s="405">
        <v>3004985</v>
      </c>
      <c r="B6367" s="406">
        <v>42661</v>
      </c>
      <c r="C6367" s="405" t="s">
        <v>141</v>
      </c>
      <c r="D6367" s="401" t="s">
        <v>13630</v>
      </c>
      <c r="E6367" s="120">
        <v>800</v>
      </c>
      <c r="F6367" s="133" t="s">
        <v>1362</v>
      </c>
      <c r="G6367" s="404" t="s">
        <v>7486</v>
      </c>
      <c r="H6367" s="411">
        <v>2280</v>
      </c>
      <c r="I6367" s="399">
        <v>0</v>
      </c>
      <c r="J6367" s="396">
        <f>-((H6367*0.0325)+0.3)</f>
        <v>-74.400000000000006</v>
      </c>
      <c r="K6367" s="396">
        <f>SUM(H6367:J6367)</f>
        <v>2205.6</v>
      </c>
      <c r="L6367" s="187">
        <v>1710</v>
      </c>
      <c r="M6367" s="224">
        <v>110.82</v>
      </c>
      <c r="N6367" s="91">
        <f t="shared" si="2780"/>
        <v>1478.82</v>
      </c>
      <c r="O6367" s="411">
        <f t="shared" si="2771"/>
        <v>726.78</v>
      </c>
      <c r="P6367" s="132" t="s">
        <v>313</v>
      </c>
      <c r="Q6367" s="232"/>
      <c r="R6367" s="411"/>
      <c r="T6367" s="134" t="s">
        <v>244</v>
      </c>
      <c r="U6367" s="267" t="s">
        <v>13631</v>
      </c>
      <c r="V6367" s="133" t="s">
        <v>55</v>
      </c>
      <c r="W6367" s="153" t="s">
        <v>13632</v>
      </c>
      <c r="AA6367" s="218">
        <v>10</v>
      </c>
    </row>
    <row r="6368" spans="1:27" x14ac:dyDescent="0.25">
      <c r="A6368" s="405">
        <v>3004986</v>
      </c>
      <c r="B6368" s="406">
        <v>42661</v>
      </c>
      <c r="C6368" s="405" t="s">
        <v>63</v>
      </c>
      <c r="D6368" s="401" t="s">
        <v>13633</v>
      </c>
      <c r="E6368" s="120">
        <v>450</v>
      </c>
      <c r="F6368" s="133" t="s">
        <v>198</v>
      </c>
      <c r="G6368" s="404" t="s">
        <v>7486</v>
      </c>
      <c r="H6368" s="411">
        <v>1170</v>
      </c>
      <c r="I6368" s="399">
        <v>0</v>
      </c>
      <c r="J6368" s="396">
        <f>-((H6368*0.022)+0.3)</f>
        <v>-26.04</v>
      </c>
      <c r="K6368" s="396">
        <f>SUM(H6368:J6368)</f>
        <v>1143.96</v>
      </c>
      <c r="L6368" s="131">
        <v>1693</v>
      </c>
      <c r="M6368" s="187">
        <v>108.07</v>
      </c>
      <c r="N6368" s="91">
        <f t="shared" si="2780"/>
        <v>869.92000000000007</v>
      </c>
      <c r="O6368" s="411">
        <f t="shared" si="2771"/>
        <v>274.03999999999996</v>
      </c>
      <c r="P6368" s="132" t="s">
        <v>52</v>
      </c>
      <c r="Q6368" s="232"/>
      <c r="R6368" s="411"/>
      <c r="T6368" s="134" t="s">
        <v>1467</v>
      </c>
      <c r="U6368" s="267" t="s">
        <v>13634</v>
      </c>
      <c r="V6368" s="133" t="s">
        <v>55</v>
      </c>
      <c r="W6368" s="153" t="s">
        <v>13635</v>
      </c>
      <c r="AA6368" s="218">
        <v>10</v>
      </c>
    </row>
    <row r="6369" spans="1:27" ht="24" x14ac:dyDescent="0.25">
      <c r="A6369" s="405">
        <v>3004987</v>
      </c>
      <c r="B6369" s="406">
        <v>42661</v>
      </c>
      <c r="C6369" s="405" t="s">
        <v>42</v>
      </c>
      <c r="D6369" s="401" t="s">
        <v>13636</v>
      </c>
      <c r="E6369" s="120">
        <v>250</v>
      </c>
      <c r="F6369" s="133" t="s">
        <v>13637</v>
      </c>
      <c r="G6369" s="404" t="s">
        <v>7486</v>
      </c>
      <c r="H6369" s="411">
        <v>90</v>
      </c>
      <c r="I6369" s="89">
        <f t="shared" ref="I6369:I6378" si="2785">-(H6369*0.09)</f>
        <v>-8.1</v>
      </c>
      <c r="J6369" s="258">
        <f t="shared" ref="J6369" si="2786">-((H6369*0.019)+0.3)</f>
        <v>-2.0099999999999998</v>
      </c>
      <c r="K6369" s="90">
        <f t="shared" ref="K6369" si="2787">SUM(H6369:J6369)</f>
        <v>79.89</v>
      </c>
      <c r="L6369" s="187">
        <v>106</v>
      </c>
      <c r="M6369" s="187">
        <v>16.850000000000001</v>
      </c>
      <c r="N6369" s="91">
        <f t="shared" si="2780"/>
        <v>43.35</v>
      </c>
      <c r="O6369" s="411">
        <f t="shared" si="2771"/>
        <v>36.54</v>
      </c>
      <c r="P6369" s="132" t="s">
        <v>183</v>
      </c>
      <c r="Q6369" s="232"/>
      <c r="R6369" s="411"/>
      <c r="T6369" s="134" t="s">
        <v>145</v>
      </c>
      <c r="U6369" s="267" t="s">
        <v>13638</v>
      </c>
      <c r="AA6369" s="218"/>
    </row>
    <row r="6370" spans="1:27" ht="24" x14ac:dyDescent="0.25">
      <c r="A6370" s="405">
        <v>3004988</v>
      </c>
      <c r="B6370" s="406">
        <v>42661</v>
      </c>
      <c r="C6370" s="405" t="s">
        <v>42</v>
      </c>
      <c r="D6370" s="401" t="s">
        <v>5478</v>
      </c>
      <c r="E6370" s="120">
        <v>250</v>
      </c>
      <c r="F6370" s="133" t="s">
        <v>1137</v>
      </c>
      <c r="G6370" s="404" t="s">
        <v>7486</v>
      </c>
      <c r="H6370" s="411">
        <v>143.63999999999999</v>
      </c>
      <c r="I6370" s="89">
        <f t="shared" si="2785"/>
        <v>-12.927599999999998</v>
      </c>
      <c r="J6370" s="258">
        <f t="shared" ref="J6370" si="2788">-((H6370*0.019)+0.3)</f>
        <v>-3.0291599999999996</v>
      </c>
      <c r="K6370" s="90">
        <f t="shared" ref="K6370" si="2789">SUM(H6370:J6370)</f>
        <v>127.68324</v>
      </c>
      <c r="L6370" s="131">
        <v>220</v>
      </c>
      <c r="M6370" s="187">
        <v>19.53</v>
      </c>
      <c r="N6370" s="91">
        <f t="shared" si="2780"/>
        <v>74.53</v>
      </c>
      <c r="O6370" s="411">
        <f t="shared" si="2771"/>
        <v>53.153239999999997</v>
      </c>
      <c r="P6370" s="132" t="s">
        <v>52</v>
      </c>
      <c r="Q6370" s="232"/>
      <c r="R6370" s="411">
        <v>10.64</v>
      </c>
      <c r="S6370" s="133" t="s">
        <v>1169</v>
      </c>
      <c r="T6370" s="134" t="s">
        <v>145</v>
      </c>
      <c r="U6370" s="267" t="s">
        <v>13639</v>
      </c>
      <c r="AA6370" s="218"/>
    </row>
    <row r="6371" spans="1:27" ht="24" x14ac:dyDescent="0.25">
      <c r="A6371" s="405">
        <v>3004989</v>
      </c>
      <c r="B6371" s="406">
        <v>42661</v>
      </c>
      <c r="C6371" s="405" t="s">
        <v>42</v>
      </c>
      <c r="D6371" s="401" t="s">
        <v>13640</v>
      </c>
      <c r="E6371" s="120">
        <v>200</v>
      </c>
      <c r="F6371" s="133" t="s">
        <v>451</v>
      </c>
      <c r="G6371" s="404" t="s">
        <v>7486</v>
      </c>
      <c r="H6371" s="411">
        <v>151.52000000000001</v>
      </c>
      <c r="I6371" s="89">
        <f t="shared" si="2785"/>
        <v>-13.636800000000001</v>
      </c>
      <c r="J6371" s="258">
        <f t="shared" ref="J6371" si="2790">-((H6371*0.019)+0.3)</f>
        <v>-3.1788799999999999</v>
      </c>
      <c r="K6371" s="90">
        <f t="shared" ref="K6371" si="2791">SUM(H6371:J6371)</f>
        <v>134.70432000000002</v>
      </c>
      <c r="L6371" s="131">
        <v>300</v>
      </c>
      <c r="M6371" s="187">
        <v>23.32</v>
      </c>
      <c r="N6371" s="91">
        <f t="shared" si="2780"/>
        <v>83.32</v>
      </c>
      <c r="O6371" s="411">
        <f t="shared" si="2771"/>
        <v>51.384320000000031</v>
      </c>
      <c r="P6371" s="132" t="s">
        <v>52</v>
      </c>
      <c r="Q6371" s="232"/>
      <c r="R6371" s="411">
        <v>11.22</v>
      </c>
      <c r="S6371" s="133" t="s">
        <v>4494</v>
      </c>
      <c r="T6371" s="134" t="s">
        <v>145</v>
      </c>
      <c r="U6371" s="267" t="s">
        <v>13641</v>
      </c>
      <c r="AA6371" s="218"/>
    </row>
    <row r="6372" spans="1:27" ht="24" x14ac:dyDescent="0.25">
      <c r="A6372" s="405">
        <v>3004990</v>
      </c>
      <c r="B6372" s="406">
        <v>42661</v>
      </c>
      <c r="C6372" s="405" t="s">
        <v>42</v>
      </c>
      <c r="D6372" s="401" t="s">
        <v>13642</v>
      </c>
      <c r="E6372" s="120">
        <v>300</v>
      </c>
      <c r="F6372" s="133" t="s">
        <v>605</v>
      </c>
      <c r="G6372" s="404" t="s">
        <v>7486</v>
      </c>
      <c r="H6372" s="411">
        <v>425.28</v>
      </c>
      <c r="I6372" s="89">
        <f t="shared" si="2785"/>
        <v>-38.275199999999998</v>
      </c>
      <c r="J6372" s="258">
        <f t="shared" ref="J6372" si="2792">-((H6372*0.019)+0.3)</f>
        <v>-8.3803199999999993</v>
      </c>
      <c r="K6372" s="90">
        <f t="shared" ref="K6372" si="2793">SUM(H6372:J6372)</f>
        <v>378.62448000000001</v>
      </c>
      <c r="L6372" s="131">
        <v>595</v>
      </c>
      <c r="M6372" s="187">
        <v>65.7</v>
      </c>
      <c r="N6372" s="91">
        <f t="shared" si="2780"/>
        <v>244.2</v>
      </c>
      <c r="O6372" s="411">
        <f t="shared" si="2771"/>
        <v>134.42448000000002</v>
      </c>
      <c r="P6372" s="132" t="s">
        <v>52</v>
      </c>
      <c r="Q6372" s="232"/>
      <c r="R6372" s="411"/>
      <c r="T6372" s="134" t="s">
        <v>145</v>
      </c>
      <c r="U6372" s="267" t="s">
        <v>13643</v>
      </c>
      <c r="AA6372" s="218"/>
    </row>
    <row r="6373" spans="1:27" ht="24" x14ac:dyDescent="0.25">
      <c r="A6373" s="405">
        <v>3004991</v>
      </c>
      <c r="B6373" s="406">
        <v>42661</v>
      </c>
      <c r="C6373" s="405" t="s">
        <v>42</v>
      </c>
      <c r="D6373" s="401" t="s">
        <v>13644</v>
      </c>
      <c r="E6373" s="120">
        <v>75</v>
      </c>
      <c r="F6373" s="133" t="s">
        <v>161</v>
      </c>
      <c r="G6373" s="404" t="s">
        <v>7486</v>
      </c>
      <c r="H6373" s="411">
        <v>230</v>
      </c>
      <c r="I6373" s="89">
        <f t="shared" si="2785"/>
        <v>-20.7</v>
      </c>
      <c r="J6373" s="258">
        <f t="shared" ref="J6373" si="2794">-((H6373*0.019)+0.3)</f>
        <v>-4.67</v>
      </c>
      <c r="K6373" s="90">
        <f t="shared" ref="K6373" si="2795">SUM(H6373:J6373)</f>
        <v>204.63000000000002</v>
      </c>
      <c r="L6373" s="131">
        <v>1322</v>
      </c>
      <c r="M6373" s="187">
        <v>20.51</v>
      </c>
      <c r="N6373" s="91">
        <f t="shared" si="2780"/>
        <v>119.66</v>
      </c>
      <c r="O6373" s="411">
        <f t="shared" si="2771"/>
        <v>84.970000000000027</v>
      </c>
      <c r="P6373" s="132" t="s">
        <v>52</v>
      </c>
      <c r="Q6373" s="232"/>
      <c r="R6373" s="411"/>
      <c r="T6373" s="134" t="s">
        <v>145</v>
      </c>
      <c r="U6373" s="267" t="s">
        <v>13645</v>
      </c>
      <c r="AA6373" s="218"/>
    </row>
    <row r="6374" spans="1:27" ht="24" x14ac:dyDescent="0.25">
      <c r="A6374" s="405">
        <v>3004992</v>
      </c>
      <c r="B6374" s="406">
        <v>42661</v>
      </c>
      <c r="C6374" s="405" t="s">
        <v>42</v>
      </c>
      <c r="D6374" s="401" t="s">
        <v>13646</v>
      </c>
      <c r="E6374" s="120">
        <v>325</v>
      </c>
      <c r="F6374" s="133" t="s">
        <v>829</v>
      </c>
      <c r="G6374" s="404" t="s">
        <v>7486</v>
      </c>
      <c r="H6374" s="411">
        <v>308.8</v>
      </c>
      <c r="I6374" s="89">
        <f t="shared" si="2785"/>
        <v>-27.792000000000002</v>
      </c>
      <c r="J6374" s="258">
        <f t="shared" ref="J6374" si="2796">-((H6374*0.019)+0.3)</f>
        <v>-6.1672000000000002</v>
      </c>
      <c r="K6374" s="90">
        <f t="shared" ref="K6374" si="2797">SUM(H6374:J6374)</f>
        <v>274.84080000000006</v>
      </c>
      <c r="L6374" s="131">
        <v>510</v>
      </c>
      <c r="M6374" s="187">
        <v>46.3</v>
      </c>
      <c r="N6374" s="91">
        <f t="shared" si="2780"/>
        <v>212.05</v>
      </c>
      <c r="O6374" s="411">
        <f t="shared" si="2771"/>
        <v>62.790800000000047</v>
      </c>
      <c r="P6374" s="132" t="s">
        <v>52</v>
      </c>
      <c r="Q6374" s="232"/>
      <c r="R6374" s="411"/>
      <c r="T6374" s="134" t="s">
        <v>145</v>
      </c>
      <c r="U6374" s="267" t="s">
        <v>13647</v>
      </c>
      <c r="AA6374" s="218"/>
    </row>
    <row r="6375" spans="1:27" ht="24" x14ac:dyDescent="0.25">
      <c r="A6375" s="405">
        <v>3004993</v>
      </c>
      <c r="B6375" s="406">
        <v>42661</v>
      </c>
      <c r="C6375" s="405" t="s">
        <v>42</v>
      </c>
      <c r="D6375" s="401" t="s">
        <v>13648</v>
      </c>
      <c r="E6375" s="120">
        <v>100</v>
      </c>
      <c r="F6375" s="133" t="s">
        <v>431</v>
      </c>
      <c r="G6375" s="404" t="s">
        <v>7486</v>
      </c>
      <c r="H6375" s="411">
        <v>227.48</v>
      </c>
      <c r="I6375" s="89">
        <f t="shared" si="2785"/>
        <v>-20.473199999999999</v>
      </c>
      <c r="J6375" s="258">
        <f t="shared" ref="J6375" si="2798">-((H6375*0.019)+0.3)</f>
        <v>-4.6221199999999998</v>
      </c>
      <c r="K6375" s="90">
        <f t="shared" ref="K6375" si="2799">SUM(H6375:J6375)</f>
        <v>202.38468</v>
      </c>
      <c r="L6375" s="131">
        <v>990</v>
      </c>
      <c r="M6375" s="187">
        <v>42.4</v>
      </c>
      <c r="N6375" s="91">
        <f t="shared" si="2780"/>
        <v>141.4</v>
      </c>
      <c r="O6375" s="411">
        <f t="shared" si="2771"/>
        <v>60.984679999999997</v>
      </c>
      <c r="P6375" s="132" t="s">
        <v>52</v>
      </c>
      <c r="Q6375" s="232"/>
      <c r="R6375" s="411"/>
      <c r="T6375" s="134" t="s">
        <v>145</v>
      </c>
      <c r="U6375" s="267" t="s">
        <v>13649</v>
      </c>
      <c r="AA6375" s="218"/>
    </row>
    <row r="6376" spans="1:27" ht="24" x14ac:dyDescent="0.25">
      <c r="A6376" s="405">
        <v>3004994</v>
      </c>
      <c r="B6376" s="406">
        <v>42661</v>
      </c>
      <c r="C6376" s="405" t="s">
        <v>42</v>
      </c>
      <c r="D6376" s="401" t="s">
        <v>13650</v>
      </c>
      <c r="E6376" s="120">
        <v>1000</v>
      </c>
      <c r="F6376" s="119" t="s">
        <v>13651</v>
      </c>
      <c r="G6376" s="404" t="s">
        <v>7486</v>
      </c>
      <c r="H6376" s="411">
        <v>167.59</v>
      </c>
      <c r="I6376" s="89">
        <f t="shared" si="2785"/>
        <v>-15.0831</v>
      </c>
      <c r="J6376" s="258">
        <f t="shared" ref="J6376" si="2800">-((H6376*0.019)+0.3)</f>
        <v>-3.48421</v>
      </c>
      <c r="K6376" s="90">
        <f t="shared" ref="K6376" si="2801">SUM(H6376:J6376)</f>
        <v>149.02269000000001</v>
      </c>
      <c r="L6376" s="187">
        <v>100</v>
      </c>
      <c r="M6376" s="187">
        <v>14.53</v>
      </c>
      <c r="N6376" s="91">
        <f t="shared" si="2780"/>
        <v>114.53</v>
      </c>
      <c r="O6376" s="411">
        <f t="shared" si="2771"/>
        <v>34.49269000000001</v>
      </c>
      <c r="P6376" s="132" t="s">
        <v>183</v>
      </c>
      <c r="Q6376" s="232"/>
      <c r="R6376" s="411">
        <v>12.41</v>
      </c>
      <c r="S6376" s="133" t="s">
        <v>1169</v>
      </c>
      <c r="T6376" s="134" t="s">
        <v>145</v>
      </c>
      <c r="U6376" s="267" t="s">
        <v>13652</v>
      </c>
      <c r="AA6376" s="218"/>
    </row>
    <row r="6377" spans="1:27" x14ac:dyDescent="0.25">
      <c r="A6377" s="405">
        <v>3004995</v>
      </c>
      <c r="B6377" s="406">
        <v>42661</v>
      </c>
      <c r="C6377" s="405" t="s">
        <v>42</v>
      </c>
      <c r="D6377" s="401" t="s">
        <v>13653</v>
      </c>
      <c r="E6377" s="120">
        <v>1000</v>
      </c>
      <c r="F6377" s="133" t="s">
        <v>247</v>
      </c>
      <c r="G6377" s="404" t="s">
        <v>7486</v>
      </c>
      <c r="H6377" s="411">
        <v>1000</v>
      </c>
      <c r="I6377" s="89">
        <f t="shared" si="2785"/>
        <v>-90</v>
      </c>
      <c r="J6377" s="258">
        <f t="shared" ref="J6377" si="2802">-((H6377*0.019)+0.3)</f>
        <v>-19.3</v>
      </c>
      <c r="K6377" s="90">
        <f t="shared" ref="K6377" si="2803">SUM(H6377:J6377)</f>
        <v>890.7</v>
      </c>
      <c r="L6377" s="131">
        <v>424</v>
      </c>
      <c r="M6377" s="187">
        <v>156.36000000000001</v>
      </c>
      <c r="N6377" s="91">
        <f t="shared" si="2780"/>
        <v>580.36</v>
      </c>
      <c r="O6377" s="411">
        <f t="shared" si="2771"/>
        <v>310.34000000000003</v>
      </c>
      <c r="P6377" s="132" t="s">
        <v>52</v>
      </c>
      <c r="Q6377" s="232"/>
      <c r="R6377" s="411"/>
      <c r="T6377" s="134" t="s">
        <v>11100</v>
      </c>
      <c r="U6377" s="267" t="s">
        <v>13654</v>
      </c>
      <c r="V6377" s="133" t="s">
        <v>55</v>
      </c>
      <c r="AA6377" s="218"/>
    </row>
    <row r="6378" spans="1:27" ht="24" x14ac:dyDescent="0.25">
      <c r="A6378" s="405">
        <v>3004996</v>
      </c>
      <c r="B6378" s="406">
        <v>42661</v>
      </c>
      <c r="C6378" s="405" t="s">
        <v>42</v>
      </c>
      <c r="D6378" s="401" t="s">
        <v>13655</v>
      </c>
      <c r="E6378" s="120">
        <v>500</v>
      </c>
      <c r="F6378" s="119" t="s">
        <v>13656</v>
      </c>
      <c r="G6378" s="404" t="s">
        <v>7486</v>
      </c>
      <c r="H6378" s="411">
        <v>772.85</v>
      </c>
      <c r="I6378" s="89">
        <f t="shared" si="2785"/>
        <v>-69.5565</v>
      </c>
      <c r="J6378" s="258">
        <f t="shared" ref="J6378" si="2804">-((H6378*0.019)+0.3)</f>
        <v>-14.984150000000001</v>
      </c>
      <c r="K6378" s="90">
        <f t="shared" ref="K6378" si="2805">SUM(H6378:J6378)</f>
        <v>688.30934999999999</v>
      </c>
      <c r="L6378" s="187">
        <v>1100</v>
      </c>
      <c r="M6378" s="131">
        <v>0</v>
      </c>
      <c r="N6378" s="91">
        <f t="shared" si="2780"/>
        <v>550</v>
      </c>
      <c r="O6378" s="411">
        <f t="shared" si="2771"/>
        <v>138.30934999999999</v>
      </c>
      <c r="P6378" s="132" t="s">
        <v>59</v>
      </c>
      <c r="Q6378" s="232"/>
      <c r="R6378" s="411"/>
      <c r="T6378" s="134" t="s">
        <v>1346</v>
      </c>
      <c r="U6378" s="267" t="s">
        <v>13657</v>
      </c>
      <c r="AA6378" s="218"/>
    </row>
    <row r="6379" spans="1:27" ht="24" x14ac:dyDescent="0.25">
      <c r="A6379" s="405">
        <v>3004997</v>
      </c>
      <c r="B6379" s="406">
        <v>42661</v>
      </c>
      <c r="C6379" s="405" t="s">
        <v>237</v>
      </c>
      <c r="D6379" s="401" t="s">
        <v>13658</v>
      </c>
      <c r="E6379" s="120">
        <v>150</v>
      </c>
      <c r="F6379" s="133" t="s">
        <v>247</v>
      </c>
      <c r="G6379" s="404" t="s">
        <v>7486</v>
      </c>
      <c r="H6379" s="411">
        <v>145</v>
      </c>
      <c r="I6379" s="397">
        <f t="shared" ref="I6379" si="2806">-(H6379*0.15)</f>
        <v>-21.75</v>
      </c>
      <c r="J6379" s="258">
        <v>0</v>
      </c>
      <c r="K6379" s="90">
        <f>SUM(H6379:J6379)</f>
        <v>123.25</v>
      </c>
      <c r="L6379" s="131">
        <v>424</v>
      </c>
      <c r="M6379" s="187">
        <v>17.670000000000002</v>
      </c>
      <c r="N6379" s="91">
        <f t="shared" si="2780"/>
        <v>81.27</v>
      </c>
      <c r="O6379" s="411">
        <f t="shared" si="2771"/>
        <v>41.980000000000004</v>
      </c>
      <c r="P6379" s="132" t="s">
        <v>52</v>
      </c>
      <c r="Q6379" s="232"/>
      <c r="R6379" s="411"/>
      <c r="T6379" s="134" t="s">
        <v>145</v>
      </c>
      <c r="U6379" s="267" t="s">
        <v>13659</v>
      </c>
      <c r="AA6379" s="218"/>
    </row>
    <row r="6380" spans="1:27" x14ac:dyDescent="0.25">
      <c r="A6380" s="419">
        <v>3004998</v>
      </c>
      <c r="B6380" s="421">
        <v>42661</v>
      </c>
      <c r="C6380" s="419" t="s">
        <v>237</v>
      </c>
      <c r="D6380" s="417" t="s">
        <v>13660</v>
      </c>
      <c r="E6380" s="120">
        <v>50</v>
      </c>
      <c r="F6380" s="133" t="s">
        <v>3719</v>
      </c>
      <c r="G6380" s="434" t="s">
        <v>7486</v>
      </c>
      <c r="H6380" s="427">
        <v>178.36</v>
      </c>
      <c r="I6380" s="452">
        <f t="shared" ref="I6380" si="2807">-(H6380*0.15)</f>
        <v>-26.754000000000001</v>
      </c>
      <c r="J6380" s="425">
        <v>0</v>
      </c>
      <c r="K6380" s="425">
        <f>SUM(H6380:J6380)</f>
        <v>151.60600000000002</v>
      </c>
      <c r="L6380" s="187">
        <v>1180</v>
      </c>
      <c r="M6380" s="187">
        <v>23.63</v>
      </c>
      <c r="N6380" s="91">
        <f t="shared" si="2780"/>
        <v>82.63</v>
      </c>
      <c r="O6380" s="411">
        <f t="shared" si="2771"/>
        <v>68.976000000000028</v>
      </c>
      <c r="P6380" s="132" t="s">
        <v>601</v>
      </c>
      <c r="Q6380" s="232"/>
      <c r="R6380" s="411"/>
      <c r="T6380" s="439" t="s">
        <v>145</v>
      </c>
      <c r="U6380" s="446" t="s">
        <v>13661</v>
      </c>
      <c r="AA6380" s="218"/>
    </row>
    <row r="6381" spans="1:27" x14ac:dyDescent="0.25">
      <c r="A6381" s="420"/>
      <c r="B6381" s="422"/>
      <c r="C6381" s="420"/>
      <c r="D6381" s="418"/>
      <c r="E6381" s="120">
        <v>50</v>
      </c>
      <c r="F6381" s="133" t="s">
        <v>3307</v>
      </c>
      <c r="G6381" s="436"/>
      <c r="H6381" s="428"/>
      <c r="I6381" s="453"/>
      <c r="J6381" s="426"/>
      <c r="K6381" s="426"/>
      <c r="L6381" s="187">
        <v>1180</v>
      </c>
      <c r="N6381" s="91">
        <f t="shared" ref="N6381:N6444" si="2808">((L6381)*(E6381*0.001))+M6381</f>
        <v>59</v>
      </c>
      <c r="O6381" s="411">
        <f t="shared" si="2771"/>
        <v>-59</v>
      </c>
      <c r="P6381" s="132" t="s">
        <v>601</v>
      </c>
      <c r="Q6381" s="232"/>
      <c r="R6381" s="411"/>
      <c r="T6381" s="441"/>
      <c r="U6381" s="447"/>
      <c r="AA6381" s="218"/>
    </row>
    <row r="6382" spans="1:27" ht="24" x14ac:dyDescent="0.25">
      <c r="A6382" s="405">
        <v>3004999</v>
      </c>
      <c r="B6382" s="406">
        <v>42661</v>
      </c>
      <c r="C6382" s="405" t="s">
        <v>237</v>
      </c>
      <c r="D6382" s="401" t="s">
        <v>13662</v>
      </c>
      <c r="E6382" s="120">
        <v>100</v>
      </c>
      <c r="F6382" s="133" t="s">
        <v>247</v>
      </c>
      <c r="G6382" s="404" t="s">
        <v>7486</v>
      </c>
      <c r="H6382" s="411">
        <v>113.6</v>
      </c>
      <c r="I6382" s="397">
        <f t="shared" ref="I6382" si="2809">-(H6382*0.15)</f>
        <v>-17.04</v>
      </c>
      <c r="J6382" s="258">
        <v>0</v>
      </c>
      <c r="K6382" s="90">
        <f>SUM(H6382:J6382)</f>
        <v>96.56</v>
      </c>
      <c r="L6382" s="131">
        <v>424</v>
      </c>
      <c r="M6382" s="187">
        <v>33.39</v>
      </c>
      <c r="N6382" s="91">
        <f t="shared" si="2808"/>
        <v>75.790000000000006</v>
      </c>
      <c r="O6382" s="411">
        <f t="shared" si="2771"/>
        <v>20.769999999999996</v>
      </c>
      <c r="P6382" s="132" t="s">
        <v>52</v>
      </c>
      <c r="Q6382" s="232"/>
      <c r="R6382" s="411"/>
      <c r="T6382" s="134" t="s">
        <v>145</v>
      </c>
      <c r="U6382" s="267" t="s">
        <v>13663</v>
      </c>
      <c r="AA6382" s="218"/>
    </row>
    <row r="6383" spans="1:27" x14ac:dyDescent="0.25">
      <c r="A6383" s="419">
        <v>3005000</v>
      </c>
      <c r="B6383" s="421">
        <v>42661</v>
      </c>
      <c r="C6383" s="419" t="s">
        <v>237</v>
      </c>
      <c r="D6383" s="417" t="s">
        <v>13533</v>
      </c>
      <c r="E6383" s="120">
        <v>100</v>
      </c>
      <c r="F6383" s="133" t="s">
        <v>10698</v>
      </c>
      <c r="G6383" s="434" t="s">
        <v>7486</v>
      </c>
      <c r="H6383" s="427">
        <v>159</v>
      </c>
      <c r="I6383" s="452">
        <f t="shared" ref="I6383" si="2810">-(H6383*0.15)</f>
        <v>-23.849999999999998</v>
      </c>
      <c r="J6383" s="425">
        <v>0</v>
      </c>
      <c r="K6383" s="425">
        <f>SUM(H6383:J6383)</f>
        <v>135.15</v>
      </c>
      <c r="L6383" s="187">
        <v>460</v>
      </c>
      <c r="M6383" s="187">
        <v>31.22</v>
      </c>
      <c r="N6383" s="91">
        <f t="shared" si="2808"/>
        <v>77.22</v>
      </c>
      <c r="O6383" s="411">
        <f t="shared" si="2771"/>
        <v>57.930000000000007</v>
      </c>
      <c r="P6383" s="132" t="s">
        <v>601</v>
      </c>
      <c r="Q6383" s="232"/>
      <c r="R6383" s="411"/>
      <c r="T6383" s="439" t="s">
        <v>145</v>
      </c>
      <c r="U6383" s="446" t="s">
        <v>13664</v>
      </c>
      <c r="AA6383" s="218"/>
    </row>
    <row r="6384" spans="1:27" x14ac:dyDescent="0.25">
      <c r="A6384" s="420"/>
      <c r="B6384" s="422"/>
      <c r="C6384" s="420"/>
      <c r="D6384" s="418"/>
      <c r="E6384" s="120">
        <v>100</v>
      </c>
      <c r="F6384" s="133" t="s">
        <v>4881</v>
      </c>
      <c r="G6384" s="436"/>
      <c r="H6384" s="428"/>
      <c r="I6384" s="453"/>
      <c r="J6384" s="426"/>
      <c r="K6384" s="426"/>
      <c r="L6384" s="187">
        <v>460</v>
      </c>
      <c r="N6384" s="91">
        <f t="shared" si="2808"/>
        <v>46</v>
      </c>
      <c r="O6384" s="411">
        <f t="shared" si="2771"/>
        <v>-46</v>
      </c>
      <c r="P6384" s="132" t="s">
        <v>601</v>
      </c>
      <c r="Q6384" s="232"/>
      <c r="R6384" s="411"/>
      <c r="T6384" s="441"/>
      <c r="U6384" s="447"/>
      <c r="AA6384" s="218"/>
    </row>
    <row r="6385" spans="1:27" ht="24" x14ac:dyDescent="0.25">
      <c r="A6385" s="405">
        <v>3005001</v>
      </c>
      <c r="B6385" s="406">
        <v>42661</v>
      </c>
      <c r="C6385" s="405" t="s">
        <v>56</v>
      </c>
      <c r="D6385" s="401" t="s">
        <v>10250</v>
      </c>
      <c r="E6385" s="120">
        <v>1000</v>
      </c>
      <c r="F6385" s="119" t="s">
        <v>2635</v>
      </c>
      <c r="G6385" s="404" t="s">
        <v>7486</v>
      </c>
      <c r="H6385" s="411">
        <v>1080</v>
      </c>
      <c r="I6385" s="411">
        <v>0</v>
      </c>
      <c r="J6385" s="411">
        <v>0</v>
      </c>
      <c r="K6385" s="90">
        <f>SUM(H6385:J6385)</f>
        <v>1080</v>
      </c>
      <c r="L6385" s="187">
        <v>650</v>
      </c>
      <c r="M6385" s="187">
        <v>66</v>
      </c>
      <c r="N6385" s="91">
        <f t="shared" si="2808"/>
        <v>716</v>
      </c>
      <c r="O6385" s="411">
        <f t="shared" si="2771"/>
        <v>364</v>
      </c>
      <c r="P6385" s="132" t="s">
        <v>183</v>
      </c>
      <c r="Q6385" s="232"/>
      <c r="R6385" s="411"/>
      <c r="T6385" s="134" t="s">
        <v>2636</v>
      </c>
      <c r="U6385" s="267" t="s">
        <v>13665</v>
      </c>
      <c r="V6385" s="133" t="s">
        <v>13600</v>
      </c>
      <c r="W6385" s="153" t="s">
        <v>1796</v>
      </c>
      <c r="AA6385" s="218"/>
    </row>
    <row r="6386" spans="1:27" x14ac:dyDescent="0.25">
      <c r="A6386" s="405">
        <v>3005002</v>
      </c>
      <c r="B6386" s="406">
        <v>42661</v>
      </c>
      <c r="C6386" s="405" t="s">
        <v>141</v>
      </c>
      <c r="D6386" s="401" t="s">
        <v>13666</v>
      </c>
      <c r="E6386" s="120">
        <v>425</v>
      </c>
      <c r="F6386" s="133" t="s">
        <v>13667</v>
      </c>
      <c r="G6386" s="404" t="s">
        <v>45</v>
      </c>
      <c r="H6386" s="411">
        <v>1806.25</v>
      </c>
      <c r="I6386" s="399">
        <v>0</v>
      </c>
      <c r="J6386" s="396">
        <f>-((H6386*0.0325)+0.3)</f>
        <v>-59.003124999999997</v>
      </c>
      <c r="K6386" s="396">
        <f>SUM(H6386:J6386)</f>
        <v>1747.246875</v>
      </c>
      <c r="L6386" s="187">
        <v>2679.11</v>
      </c>
      <c r="M6386" s="224">
        <v>164</v>
      </c>
      <c r="N6386" s="91">
        <f t="shared" si="2808"/>
        <v>1302.62175</v>
      </c>
      <c r="O6386" s="411">
        <f t="shared" si="2771"/>
        <v>444.62512500000003</v>
      </c>
      <c r="P6386" s="132" t="s">
        <v>46</v>
      </c>
      <c r="Q6386" s="232"/>
      <c r="R6386" s="411"/>
      <c r="T6386" s="134" t="s">
        <v>12646</v>
      </c>
      <c r="U6386" s="267" t="s">
        <v>13668</v>
      </c>
      <c r="V6386" s="133" t="s">
        <v>55</v>
      </c>
      <c r="W6386" s="153" t="s">
        <v>13669</v>
      </c>
      <c r="AA6386" s="218">
        <v>10</v>
      </c>
    </row>
    <row r="6387" spans="1:27" ht="24" customHeight="1" x14ac:dyDescent="0.25">
      <c r="A6387" s="419">
        <v>3005003</v>
      </c>
      <c r="B6387" s="421">
        <v>42661</v>
      </c>
      <c r="C6387" s="419" t="s">
        <v>56</v>
      </c>
      <c r="D6387" s="417" t="s">
        <v>13670</v>
      </c>
      <c r="E6387" s="120">
        <v>6000</v>
      </c>
      <c r="F6387" s="133" t="s">
        <v>13671</v>
      </c>
      <c r="G6387" s="434" t="s">
        <v>7486</v>
      </c>
      <c r="H6387" s="427">
        <v>18770</v>
      </c>
      <c r="I6387" s="427">
        <v>0</v>
      </c>
      <c r="J6387" s="427">
        <v>0</v>
      </c>
      <c r="K6387" s="425">
        <f>SUM(H6387:J6387)</f>
        <v>18770</v>
      </c>
      <c r="L6387" s="131">
        <v>65</v>
      </c>
      <c r="M6387" s="468">
        <v>274.61</v>
      </c>
      <c r="N6387" s="91">
        <f t="shared" si="2808"/>
        <v>664.61</v>
      </c>
      <c r="O6387" s="411">
        <f t="shared" si="2771"/>
        <v>18105.39</v>
      </c>
      <c r="P6387" s="132" t="s">
        <v>5735</v>
      </c>
      <c r="Q6387" s="232"/>
      <c r="R6387" s="411"/>
      <c r="T6387" s="470" t="s">
        <v>11311</v>
      </c>
      <c r="U6387" s="446" t="s">
        <v>13672</v>
      </c>
      <c r="V6387" s="133" t="s">
        <v>13673</v>
      </c>
      <c r="W6387" s="153" t="s">
        <v>13674</v>
      </c>
      <c r="AA6387" s="218"/>
    </row>
    <row r="6388" spans="1:27" x14ac:dyDescent="0.25">
      <c r="A6388" s="432"/>
      <c r="B6388" s="433"/>
      <c r="C6388" s="432"/>
      <c r="D6388" s="454"/>
      <c r="E6388" s="120">
        <v>25000</v>
      </c>
      <c r="F6388" s="133" t="s">
        <v>13675</v>
      </c>
      <c r="G6388" s="435"/>
      <c r="H6388" s="438"/>
      <c r="I6388" s="438"/>
      <c r="J6388" s="438"/>
      <c r="K6388" s="437"/>
      <c r="L6388" s="131">
        <v>65</v>
      </c>
      <c r="M6388" s="491"/>
      <c r="N6388" s="91">
        <f t="shared" si="2808"/>
        <v>1625</v>
      </c>
      <c r="O6388" s="411">
        <f t="shared" si="2771"/>
        <v>-1625</v>
      </c>
      <c r="P6388" s="132" t="s">
        <v>5735</v>
      </c>
      <c r="Q6388" s="232"/>
      <c r="R6388" s="411"/>
      <c r="T6388" s="471"/>
      <c r="U6388" s="448"/>
      <c r="V6388" s="133" t="s">
        <v>55</v>
      </c>
      <c r="AA6388" s="218"/>
    </row>
    <row r="6389" spans="1:27" x14ac:dyDescent="0.25">
      <c r="A6389" s="432"/>
      <c r="B6389" s="433"/>
      <c r="C6389" s="432"/>
      <c r="D6389" s="454"/>
      <c r="E6389" s="120">
        <v>54000</v>
      </c>
      <c r="F6389" s="133" t="s">
        <v>13676</v>
      </c>
      <c r="G6389" s="435"/>
      <c r="H6389" s="438"/>
      <c r="I6389" s="438"/>
      <c r="J6389" s="438"/>
      <c r="K6389" s="437"/>
      <c r="L6389" s="131">
        <v>65</v>
      </c>
      <c r="M6389" s="491"/>
      <c r="N6389" s="91">
        <f t="shared" si="2808"/>
        <v>3510</v>
      </c>
      <c r="O6389" s="411">
        <f t="shared" si="2771"/>
        <v>-3510</v>
      </c>
      <c r="P6389" s="132" t="s">
        <v>5735</v>
      </c>
      <c r="Q6389" s="232"/>
      <c r="R6389" s="411"/>
      <c r="T6389" s="471"/>
      <c r="U6389" s="448"/>
      <c r="AA6389" s="218"/>
    </row>
    <row r="6390" spans="1:27" x14ac:dyDescent="0.25">
      <c r="A6390" s="432"/>
      <c r="B6390" s="433"/>
      <c r="C6390" s="432"/>
      <c r="D6390" s="454"/>
      <c r="E6390" s="120">
        <v>34000</v>
      </c>
      <c r="F6390" s="133" t="s">
        <v>13677</v>
      </c>
      <c r="G6390" s="435"/>
      <c r="H6390" s="438"/>
      <c r="I6390" s="438"/>
      <c r="J6390" s="438"/>
      <c r="K6390" s="437"/>
      <c r="L6390" s="131">
        <v>65</v>
      </c>
      <c r="M6390" s="491"/>
      <c r="N6390" s="91">
        <f t="shared" si="2808"/>
        <v>2210</v>
      </c>
      <c r="O6390" s="411">
        <f t="shared" si="2771"/>
        <v>-2210</v>
      </c>
      <c r="P6390" s="132" t="s">
        <v>5735</v>
      </c>
      <c r="Q6390" s="232"/>
      <c r="R6390" s="411"/>
      <c r="T6390" s="471"/>
      <c r="U6390" s="448"/>
      <c r="AA6390" s="218"/>
    </row>
    <row r="6391" spans="1:27" x14ac:dyDescent="0.25">
      <c r="A6391" s="432"/>
      <c r="B6391" s="433"/>
      <c r="C6391" s="432"/>
      <c r="D6391" s="454"/>
      <c r="E6391" s="120">
        <v>22000</v>
      </c>
      <c r="F6391" s="133" t="s">
        <v>13678</v>
      </c>
      <c r="G6391" s="435"/>
      <c r="H6391" s="438"/>
      <c r="I6391" s="438"/>
      <c r="J6391" s="438"/>
      <c r="K6391" s="437"/>
      <c r="L6391" s="131">
        <v>120</v>
      </c>
      <c r="M6391" s="491"/>
      <c r="N6391" s="91">
        <f t="shared" si="2808"/>
        <v>2640</v>
      </c>
      <c r="O6391" s="411">
        <f t="shared" si="2771"/>
        <v>-2640</v>
      </c>
      <c r="P6391" s="132" t="s">
        <v>5735</v>
      </c>
      <c r="Q6391" s="232"/>
      <c r="R6391" s="411"/>
      <c r="T6391" s="471"/>
      <c r="U6391" s="448"/>
      <c r="AA6391" s="218"/>
    </row>
    <row r="6392" spans="1:27" x14ac:dyDescent="0.25">
      <c r="A6392" s="420"/>
      <c r="B6392" s="422"/>
      <c r="C6392" s="420"/>
      <c r="D6392" s="418"/>
      <c r="E6392" s="120">
        <v>13000</v>
      </c>
      <c r="F6392" s="133" t="s">
        <v>13679</v>
      </c>
      <c r="G6392" s="436"/>
      <c r="H6392" s="428"/>
      <c r="I6392" s="428"/>
      <c r="J6392" s="428"/>
      <c r="K6392" s="426"/>
      <c r="L6392" s="131">
        <v>120</v>
      </c>
      <c r="M6392" s="469"/>
      <c r="N6392" s="91">
        <f t="shared" si="2808"/>
        <v>1560</v>
      </c>
      <c r="O6392" s="411">
        <f t="shared" si="2771"/>
        <v>-1560</v>
      </c>
      <c r="P6392" s="132" t="s">
        <v>5735</v>
      </c>
      <c r="Q6392" s="232"/>
      <c r="R6392" s="411"/>
      <c r="T6392" s="472"/>
      <c r="U6392" s="447"/>
      <c r="AA6392" s="218"/>
    </row>
    <row r="6393" spans="1:27" ht="24" x14ac:dyDescent="0.25">
      <c r="A6393" s="419">
        <v>3005004</v>
      </c>
      <c r="B6393" s="421">
        <v>42661</v>
      </c>
      <c r="C6393" s="419" t="s">
        <v>555</v>
      </c>
      <c r="D6393" s="417" t="s">
        <v>778</v>
      </c>
      <c r="E6393" s="120">
        <v>20</v>
      </c>
      <c r="F6393" s="119" t="s">
        <v>13680</v>
      </c>
      <c r="G6393" s="460" t="s">
        <v>7486</v>
      </c>
      <c r="H6393" s="427">
        <v>578.04</v>
      </c>
      <c r="I6393" s="427">
        <v>0</v>
      </c>
      <c r="J6393" s="427">
        <v>0</v>
      </c>
      <c r="K6393" s="425">
        <f>SUM(H6393:J6393)</f>
        <v>578.04</v>
      </c>
      <c r="L6393" s="187">
        <v>4629.6499999999996</v>
      </c>
      <c r="M6393" s="131">
        <v>5</v>
      </c>
      <c r="N6393" s="91">
        <f t="shared" si="2808"/>
        <v>97.592999999999989</v>
      </c>
      <c r="O6393" s="411">
        <f t="shared" si="2771"/>
        <v>480.447</v>
      </c>
      <c r="P6393" s="132" t="s">
        <v>76</v>
      </c>
      <c r="Q6393" s="232"/>
      <c r="R6393" s="411"/>
      <c r="T6393" s="134" t="s">
        <v>145</v>
      </c>
      <c r="U6393" s="267" t="s">
        <v>13681</v>
      </c>
      <c r="V6393" s="133" t="s">
        <v>13682</v>
      </c>
      <c r="AA6393" s="218"/>
    </row>
    <row r="6394" spans="1:27" ht="24" x14ac:dyDescent="0.25">
      <c r="A6394" s="420"/>
      <c r="B6394" s="422"/>
      <c r="C6394" s="420"/>
      <c r="D6394" s="418"/>
      <c r="E6394" s="120">
        <v>20</v>
      </c>
      <c r="F6394" s="119" t="s">
        <v>13683</v>
      </c>
      <c r="G6394" s="462"/>
      <c r="H6394" s="428"/>
      <c r="I6394" s="428"/>
      <c r="J6394" s="428"/>
      <c r="K6394" s="426"/>
      <c r="L6394" s="187">
        <v>5000</v>
      </c>
      <c r="M6394" s="187">
        <v>9.32</v>
      </c>
      <c r="N6394" s="91">
        <f t="shared" si="2808"/>
        <v>109.32</v>
      </c>
      <c r="O6394" s="411">
        <f t="shared" si="2771"/>
        <v>-109.32</v>
      </c>
      <c r="P6394" s="132" t="s">
        <v>235</v>
      </c>
      <c r="Q6394" s="232"/>
      <c r="R6394" s="411"/>
      <c r="T6394" s="134" t="s">
        <v>145</v>
      </c>
      <c r="U6394" s="267" t="s">
        <v>13684</v>
      </c>
      <c r="V6394" s="133" t="s">
        <v>13685</v>
      </c>
      <c r="AA6394" s="218"/>
    </row>
    <row r="6395" spans="1:27" ht="24" x14ac:dyDescent="0.25">
      <c r="A6395" s="405">
        <v>3005005</v>
      </c>
      <c r="B6395" s="406">
        <v>42661</v>
      </c>
      <c r="C6395" s="405" t="s">
        <v>327</v>
      </c>
      <c r="D6395" s="401" t="s">
        <v>13686</v>
      </c>
      <c r="E6395" s="120">
        <v>5000</v>
      </c>
      <c r="F6395" s="133" t="s">
        <v>13687</v>
      </c>
      <c r="G6395" s="404" t="s">
        <v>7486</v>
      </c>
      <c r="H6395" s="411">
        <v>330</v>
      </c>
      <c r="I6395" s="399">
        <v>0</v>
      </c>
      <c r="J6395" s="396">
        <f>-((H6395*0.022)+0.3)</f>
        <v>-7.56</v>
      </c>
      <c r="K6395" s="396">
        <f>SUM(H6395:J6395)</f>
        <v>322.44</v>
      </c>
      <c r="L6395" s="187">
        <v>36</v>
      </c>
      <c r="M6395" s="187">
        <v>13.83</v>
      </c>
      <c r="N6395" s="91">
        <f t="shared" si="2808"/>
        <v>193.83</v>
      </c>
      <c r="O6395" s="411">
        <f t="shared" si="2771"/>
        <v>128.60999999999999</v>
      </c>
      <c r="P6395" s="132" t="s">
        <v>1732</v>
      </c>
      <c r="Q6395" s="232"/>
      <c r="R6395" s="411"/>
      <c r="T6395" s="134" t="s">
        <v>145</v>
      </c>
      <c r="U6395" s="267" t="s">
        <v>13688</v>
      </c>
      <c r="W6395" s="153" t="s">
        <v>13689</v>
      </c>
      <c r="AA6395" s="218"/>
    </row>
    <row r="6396" spans="1:27" ht="24" x14ac:dyDescent="0.25">
      <c r="A6396" s="419">
        <v>3005006</v>
      </c>
      <c r="B6396" s="421">
        <v>42661</v>
      </c>
      <c r="C6396" s="419" t="s">
        <v>56</v>
      </c>
      <c r="D6396" s="417" t="s">
        <v>7683</v>
      </c>
      <c r="E6396" s="120">
        <v>1500</v>
      </c>
      <c r="F6396" s="133" t="s">
        <v>13690</v>
      </c>
      <c r="G6396" s="434" t="s">
        <v>7486</v>
      </c>
      <c r="H6396" s="427">
        <v>10736.2</v>
      </c>
      <c r="I6396" s="427">
        <v>0</v>
      </c>
      <c r="J6396" s="427">
        <v>0</v>
      </c>
      <c r="K6396" s="425">
        <f>SUM(H6396:J6396)</f>
        <v>10736.2</v>
      </c>
      <c r="L6396" s="187">
        <v>267.05</v>
      </c>
      <c r="M6396" s="131">
        <v>0</v>
      </c>
      <c r="N6396" s="91">
        <f t="shared" si="2808"/>
        <v>400.57500000000005</v>
      </c>
      <c r="O6396" s="411">
        <f t="shared" si="2771"/>
        <v>10335.625</v>
      </c>
      <c r="P6396" s="132" t="s">
        <v>76</v>
      </c>
      <c r="Q6396" s="232"/>
      <c r="R6396" s="411"/>
      <c r="T6396" s="439" t="s">
        <v>324</v>
      </c>
      <c r="U6396" s="267" t="s">
        <v>13691</v>
      </c>
      <c r="V6396" s="133" t="s">
        <v>13692</v>
      </c>
      <c r="W6396" s="153" t="s">
        <v>298</v>
      </c>
      <c r="AA6396" s="218"/>
    </row>
    <row r="6397" spans="1:27" x14ac:dyDescent="0.25">
      <c r="A6397" s="432"/>
      <c r="B6397" s="433"/>
      <c r="C6397" s="432"/>
      <c r="D6397" s="454"/>
      <c r="E6397" s="120">
        <v>1000</v>
      </c>
      <c r="F6397" s="133" t="s">
        <v>13693</v>
      </c>
      <c r="G6397" s="435"/>
      <c r="H6397" s="438"/>
      <c r="I6397" s="438"/>
      <c r="J6397" s="438"/>
      <c r="K6397" s="437"/>
      <c r="L6397" s="187">
        <v>173.57</v>
      </c>
      <c r="M6397" s="131">
        <v>0</v>
      </c>
      <c r="N6397" s="91">
        <f t="shared" si="2808"/>
        <v>173.57</v>
      </c>
      <c r="O6397" s="411">
        <f t="shared" si="2771"/>
        <v>-173.57</v>
      </c>
      <c r="P6397" s="132" t="s">
        <v>76</v>
      </c>
      <c r="Q6397" s="232"/>
      <c r="R6397" s="411"/>
      <c r="T6397" s="440"/>
      <c r="U6397" s="446" t="s">
        <v>13694</v>
      </c>
      <c r="AA6397" s="218"/>
    </row>
    <row r="6398" spans="1:27" x14ac:dyDescent="0.25">
      <c r="A6398" s="432"/>
      <c r="B6398" s="433"/>
      <c r="C6398" s="432"/>
      <c r="D6398" s="454"/>
      <c r="E6398" s="120">
        <v>1500</v>
      </c>
      <c r="F6398" s="133" t="s">
        <v>13695</v>
      </c>
      <c r="G6398" s="435"/>
      <c r="H6398" s="438"/>
      <c r="I6398" s="438"/>
      <c r="J6398" s="438"/>
      <c r="K6398" s="437"/>
      <c r="L6398" s="187">
        <v>267.05</v>
      </c>
      <c r="M6398" s="131">
        <v>0</v>
      </c>
      <c r="N6398" s="91">
        <f t="shared" si="2808"/>
        <v>400.57500000000005</v>
      </c>
      <c r="O6398" s="411">
        <f t="shared" si="2771"/>
        <v>-400.57500000000005</v>
      </c>
      <c r="P6398" s="132" t="s">
        <v>76</v>
      </c>
      <c r="Q6398" s="232"/>
      <c r="R6398" s="411"/>
      <c r="T6398" s="441"/>
      <c r="U6398" s="447"/>
      <c r="AA6398" s="218"/>
    </row>
    <row r="6399" spans="1:27" x14ac:dyDescent="0.25">
      <c r="A6399" s="432"/>
      <c r="B6399" s="433"/>
      <c r="C6399" s="432"/>
      <c r="D6399" s="454"/>
      <c r="E6399" s="120">
        <v>5000</v>
      </c>
      <c r="F6399" s="133" t="s">
        <v>13696</v>
      </c>
      <c r="G6399" s="435"/>
      <c r="H6399" s="438"/>
      <c r="I6399" s="438"/>
      <c r="J6399" s="438"/>
      <c r="K6399" s="437"/>
      <c r="L6399" s="187">
        <v>656.96</v>
      </c>
      <c r="M6399" s="131">
        <v>0</v>
      </c>
      <c r="N6399" s="91">
        <f t="shared" si="2808"/>
        <v>3284.8</v>
      </c>
      <c r="O6399" s="411">
        <f t="shared" si="2771"/>
        <v>-3284.8</v>
      </c>
      <c r="P6399" s="132" t="s">
        <v>46</v>
      </c>
      <c r="Q6399" s="232"/>
      <c r="R6399" s="411"/>
      <c r="T6399" s="134" t="s">
        <v>463</v>
      </c>
      <c r="U6399" s="267" t="s">
        <v>13697</v>
      </c>
      <c r="V6399" s="133" t="s">
        <v>13698</v>
      </c>
      <c r="AA6399" s="218"/>
    </row>
    <row r="6400" spans="1:27" ht="24" x14ac:dyDescent="0.25">
      <c r="A6400" s="432"/>
      <c r="B6400" s="433"/>
      <c r="C6400" s="432"/>
      <c r="D6400" s="454"/>
      <c r="E6400" s="120">
        <v>30000</v>
      </c>
      <c r="F6400" s="133" t="s">
        <v>13699</v>
      </c>
      <c r="G6400" s="435"/>
      <c r="H6400" s="438"/>
      <c r="I6400" s="438"/>
      <c r="J6400" s="438"/>
      <c r="K6400" s="437"/>
      <c r="L6400" s="187">
        <v>69.650000000000006</v>
      </c>
      <c r="M6400" s="131">
        <v>0</v>
      </c>
      <c r="N6400" s="91">
        <f t="shared" si="2808"/>
        <v>2089.5</v>
      </c>
      <c r="O6400" s="411">
        <f t="shared" si="2771"/>
        <v>-2089.5</v>
      </c>
      <c r="P6400" s="132" t="s">
        <v>76</v>
      </c>
      <c r="Q6400" s="232"/>
      <c r="R6400" s="411"/>
      <c r="T6400" s="439" t="s">
        <v>324</v>
      </c>
      <c r="U6400" s="267" t="s">
        <v>13700</v>
      </c>
      <c r="AA6400" s="218"/>
    </row>
    <row r="6401" spans="1:27" ht="24" x14ac:dyDescent="0.25">
      <c r="A6401" s="432"/>
      <c r="B6401" s="433"/>
      <c r="C6401" s="432"/>
      <c r="D6401" s="454"/>
      <c r="E6401" s="120">
        <v>10000</v>
      </c>
      <c r="F6401" s="133" t="s">
        <v>13701</v>
      </c>
      <c r="G6401" s="435"/>
      <c r="H6401" s="438"/>
      <c r="I6401" s="438"/>
      <c r="J6401" s="438"/>
      <c r="K6401" s="437"/>
      <c r="L6401" s="187">
        <v>33.49</v>
      </c>
      <c r="M6401" s="131">
        <v>0</v>
      </c>
      <c r="N6401" s="91">
        <f t="shared" si="2808"/>
        <v>334.90000000000003</v>
      </c>
      <c r="O6401" s="411">
        <f t="shared" si="2771"/>
        <v>-334.90000000000003</v>
      </c>
      <c r="P6401" s="132" t="s">
        <v>76</v>
      </c>
      <c r="Q6401" s="232"/>
      <c r="R6401" s="411"/>
      <c r="T6401" s="440"/>
      <c r="U6401" s="267" t="s">
        <v>13702</v>
      </c>
      <c r="AA6401" s="218"/>
    </row>
    <row r="6402" spans="1:27" ht="24" x14ac:dyDescent="0.25">
      <c r="A6402" s="432"/>
      <c r="B6402" s="433"/>
      <c r="C6402" s="432"/>
      <c r="D6402" s="454"/>
      <c r="E6402" s="120">
        <v>10000</v>
      </c>
      <c r="F6402" s="133" t="s">
        <v>13703</v>
      </c>
      <c r="G6402" s="435"/>
      <c r="H6402" s="438"/>
      <c r="I6402" s="438"/>
      <c r="J6402" s="438"/>
      <c r="K6402" s="437"/>
      <c r="L6402" s="187">
        <v>33.49</v>
      </c>
      <c r="M6402" s="131">
        <v>0</v>
      </c>
      <c r="N6402" s="91">
        <f t="shared" si="2808"/>
        <v>334.90000000000003</v>
      </c>
      <c r="O6402" s="411">
        <f t="shared" si="2771"/>
        <v>-334.90000000000003</v>
      </c>
      <c r="P6402" s="132" t="s">
        <v>76</v>
      </c>
      <c r="Q6402" s="232"/>
      <c r="R6402" s="411"/>
      <c r="T6402" s="440"/>
      <c r="U6402" s="266" t="s">
        <v>13704</v>
      </c>
      <c r="AA6402" s="218"/>
    </row>
    <row r="6403" spans="1:27" ht="24" x14ac:dyDescent="0.25">
      <c r="A6403" s="432"/>
      <c r="B6403" s="433"/>
      <c r="C6403" s="432"/>
      <c r="D6403" s="454"/>
      <c r="E6403" s="120">
        <v>10000</v>
      </c>
      <c r="F6403" s="133" t="s">
        <v>13705</v>
      </c>
      <c r="G6403" s="435"/>
      <c r="H6403" s="438"/>
      <c r="I6403" s="438"/>
      <c r="J6403" s="438"/>
      <c r="K6403" s="437"/>
      <c r="L6403" s="187">
        <v>33.49</v>
      </c>
      <c r="M6403" s="131">
        <v>0</v>
      </c>
      <c r="N6403" s="91">
        <f t="shared" si="2808"/>
        <v>334.90000000000003</v>
      </c>
      <c r="O6403" s="411">
        <f t="shared" si="2771"/>
        <v>-334.90000000000003</v>
      </c>
      <c r="P6403" s="132" t="s">
        <v>76</v>
      </c>
      <c r="Q6403" s="232"/>
      <c r="R6403" s="411"/>
      <c r="T6403" s="440"/>
      <c r="U6403" s="266" t="s">
        <v>13706</v>
      </c>
      <c r="AA6403" s="218"/>
    </row>
    <row r="6404" spans="1:27" ht="24" x14ac:dyDescent="0.25">
      <c r="A6404" s="432"/>
      <c r="B6404" s="433"/>
      <c r="C6404" s="432"/>
      <c r="D6404" s="454"/>
      <c r="E6404" s="120">
        <v>10000</v>
      </c>
      <c r="F6404" s="133" t="s">
        <v>13707</v>
      </c>
      <c r="G6404" s="435"/>
      <c r="H6404" s="438"/>
      <c r="I6404" s="438"/>
      <c r="J6404" s="438"/>
      <c r="K6404" s="437"/>
      <c r="L6404" s="187">
        <v>33.49</v>
      </c>
      <c r="M6404" s="131">
        <v>0</v>
      </c>
      <c r="N6404" s="91">
        <f t="shared" si="2808"/>
        <v>334.90000000000003</v>
      </c>
      <c r="O6404" s="411">
        <f t="shared" ref="O6404:O6467" si="2811">K6404-N6404</f>
        <v>-334.90000000000003</v>
      </c>
      <c r="P6404" s="132" t="s">
        <v>76</v>
      </c>
      <c r="Q6404" s="232"/>
      <c r="R6404" s="411"/>
      <c r="T6404" s="440"/>
      <c r="U6404" s="266" t="s">
        <v>13708</v>
      </c>
      <c r="AA6404" s="218"/>
    </row>
    <row r="6405" spans="1:27" ht="24" x14ac:dyDescent="0.25">
      <c r="A6405" s="432"/>
      <c r="B6405" s="433"/>
      <c r="C6405" s="432"/>
      <c r="D6405" s="454"/>
      <c r="E6405" s="120">
        <v>10000</v>
      </c>
      <c r="F6405" s="133" t="s">
        <v>13709</v>
      </c>
      <c r="G6405" s="435"/>
      <c r="H6405" s="438"/>
      <c r="I6405" s="438"/>
      <c r="J6405" s="438"/>
      <c r="K6405" s="437"/>
      <c r="L6405" s="187">
        <v>33.49</v>
      </c>
      <c r="M6405" s="131">
        <v>0</v>
      </c>
      <c r="N6405" s="91">
        <f t="shared" si="2808"/>
        <v>334.90000000000003</v>
      </c>
      <c r="O6405" s="411">
        <f t="shared" si="2811"/>
        <v>-334.90000000000003</v>
      </c>
      <c r="P6405" s="132" t="s">
        <v>76</v>
      </c>
      <c r="Q6405" s="232"/>
      <c r="R6405" s="411"/>
      <c r="T6405" s="440"/>
      <c r="U6405" s="266" t="s">
        <v>13710</v>
      </c>
      <c r="AA6405" s="218"/>
    </row>
    <row r="6406" spans="1:27" ht="24" x14ac:dyDescent="0.25">
      <c r="A6406" s="420"/>
      <c r="B6406" s="422"/>
      <c r="C6406" s="420"/>
      <c r="D6406" s="418"/>
      <c r="E6406" s="120">
        <v>10000</v>
      </c>
      <c r="F6406" s="133" t="s">
        <v>13711</v>
      </c>
      <c r="G6406" s="436"/>
      <c r="H6406" s="428"/>
      <c r="I6406" s="428"/>
      <c r="J6406" s="428"/>
      <c r="K6406" s="426"/>
      <c r="L6406" s="187">
        <v>33.49</v>
      </c>
      <c r="M6406" s="131">
        <v>0</v>
      </c>
      <c r="N6406" s="91">
        <f t="shared" si="2808"/>
        <v>334.90000000000003</v>
      </c>
      <c r="O6406" s="411">
        <f t="shared" si="2811"/>
        <v>-334.90000000000003</v>
      </c>
      <c r="P6406" s="132" t="s">
        <v>76</v>
      </c>
      <c r="Q6406" s="232"/>
      <c r="R6406" s="411"/>
      <c r="T6406" s="441"/>
      <c r="U6406" s="266" t="s">
        <v>13710</v>
      </c>
      <c r="AA6406" s="218"/>
    </row>
    <row r="6407" spans="1:27" x14ac:dyDescent="0.25">
      <c r="A6407" s="405">
        <v>3005007</v>
      </c>
      <c r="B6407" s="406">
        <v>42662</v>
      </c>
      <c r="C6407" s="405" t="s">
        <v>78</v>
      </c>
      <c r="D6407" s="401" t="s">
        <v>13712</v>
      </c>
      <c r="E6407" s="120">
        <v>215</v>
      </c>
      <c r="F6407" s="133" t="s">
        <v>247</v>
      </c>
      <c r="G6407" s="404" t="s">
        <v>7486</v>
      </c>
      <c r="H6407" s="411">
        <v>240</v>
      </c>
      <c r="I6407" s="411">
        <v>0</v>
      </c>
      <c r="J6407" s="258">
        <f t="shared" ref="J6407" si="2812">-((H6407*0.019)+0.3)</f>
        <v>-4.8599999999999994</v>
      </c>
      <c r="K6407" s="396">
        <f>SUM(H6407:J6407)</f>
        <v>235.14</v>
      </c>
      <c r="L6407" s="131">
        <v>424</v>
      </c>
      <c r="M6407" s="187">
        <f>20+55.92</f>
        <v>75.92</v>
      </c>
      <c r="N6407" s="91">
        <f t="shared" si="2808"/>
        <v>167.07999999999998</v>
      </c>
      <c r="O6407" s="411">
        <f t="shared" si="2811"/>
        <v>68.06</v>
      </c>
      <c r="P6407" s="132" t="s">
        <v>52</v>
      </c>
      <c r="Q6407" s="232"/>
      <c r="R6407" s="411"/>
      <c r="T6407" s="134" t="s">
        <v>324</v>
      </c>
      <c r="U6407" s="267" t="s">
        <v>13713</v>
      </c>
      <c r="W6407" s="153" t="s">
        <v>13714</v>
      </c>
      <c r="AA6407" s="218"/>
    </row>
    <row r="6408" spans="1:27" x14ac:dyDescent="0.25">
      <c r="A6408" s="405">
        <v>3005008</v>
      </c>
      <c r="B6408" s="406">
        <v>42662</v>
      </c>
      <c r="C6408" s="405" t="s">
        <v>63</v>
      </c>
      <c r="D6408" s="401" t="s">
        <v>13715</v>
      </c>
      <c r="E6408" s="120">
        <v>600</v>
      </c>
      <c r="F6408" s="133" t="s">
        <v>422</v>
      </c>
      <c r="G6408" s="404" t="s">
        <v>7486</v>
      </c>
      <c r="H6408" s="411">
        <v>837.9</v>
      </c>
      <c r="I6408" s="399">
        <v>0</v>
      </c>
      <c r="J6408" s="396">
        <f>-((H6408*0.022)+0.3)</f>
        <v>-18.733799999999999</v>
      </c>
      <c r="K6408" s="396">
        <f>SUM(H6408:J6408)</f>
        <v>819.1662</v>
      </c>
      <c r="L6408" s="131">
        <v>640</v>
      </c>
      <c r="M6408" s="187">
        <v>228.36</v>
      </c>
      <c r="N6408" s="91">
        <f t="shared" si="2808"/>
        <v>612.36</v>
      </c>
      <c r="O6408" s="411">
        <f t="shared" si="2811"/>
        <v>206.80619999999999</v>
      </c>
      <c r="P6408" s="132" t="s">
        <v>52</v>
      </c>
      <c r="Q6408" s="232"/>
      <c r="R6408" s="411"/>
      <c r="T6408" s="134" t="s">
        <v>97</v>
      </c>
      <c r="U6408" s="267" t="s">
        <v>13716</v>
      </c>
      <c r="V6408" s="133" t="s">
        <v>55</v>
      </c>
      <c r="W6408" s="153" t="s">
        <v>13717</v>
      </c>
      <c r="AA6408" s="218"/>
    </row>
    <row r="6409" spans="1:27" ht="24" x14ac:dyDescent="0.25">
      <c r="A6409" s="405">
        <v>3005009</v>
      </c>
      <c r="B6409" s="406">
        <v>42662</v>
      </c>
      <c r="C6409" s="405" t="s">
        <v>63</v>
      </c>
      <c r="D6409" s="401" t="s">
        <v>13718</v>
      </c>
      <c r="E6409" s="120">
        <v>110</v>
      </c>
      <c r="F6409" s="133" t="s">
        <v>13719</v>
      </c>
      <c r="G6409" s="404" t="s">
        <v>7486</v>
      </c>
      <c r="H6409" s="411">
        <v>468.6</v>
      </c>
      <c r="I6409" s="399">
        <v>0</v>
      </c>
      <c r="J6409" s="396">
        <f>-((H6409*0.022)+0.3)</f>
        <v>-10.609200000000001</v>
      </c>
      <c r="K6409" s="396">
        <f>SUM(H6409:J6409)</f>
        <v>457.99080000000004</v>
      </c>
      <c r="L6409" s="131">
        <v>2150</v>
      </c>
      <c r="M6409" s="187">
        <f>21.81+32.98</f>
        <v>54.789999999999992</v>
      </c>
      <c r="N6409" s="91">
        <f t="shared" si="2808"/>
        <v>291.28999999999996</v>
      </c>
      <c r="O6409" s="411">
        <f t="shared" si="2811"/>
        <v>166.70080000000007</v>
      </c>
      <c r="P6409" s="132" t="s">
        <v>52</v>
      </c>
      <c r="Q6409" s="232"/>
      <c r="R6409" s="411"/>
      <c r="T6409" s="134" t="s">
        <v>145</v>
      </c>
      <c r="U6409" s="266" t="s">
        <v>13720</v>
      </c>
      <c r="W6409" s="153" t="s">
        <v>13721</v>
      </c>
      <c r="AA6409" s="218"/>
    </row>
    <row r="6410" spans="1:27" ht="24" x14ac:dyDescent="0.25">
      <c r="A6410" s="405">
        <v>3005010</v>
      </c>
      <c r="B6410" s="406">
        <v>42662</v>
      </c>
      <c r="C6410" s="405" t="s">
        <v>42</v>
      </c>
      <c r="D6410" s="401" t="s">
        <v>13572</v>
      </c>
      <c r="E6410" s="120">
        <v>100</v>
      </c>
      <c r="F6410" s="133" t="s">
        <v>165</v>
      </c>
      <c r="G6410" s="404" t="s">
        <v>7486</v>
      </c>
      <c r="H6410" s="411">
        <v>119.49</v>
      </c>
      <c r="I6410" s="89">
        <f>-(H6410*0.09)</f>
        <v>-10.754099999999999</v>
      </c>
      <c r="J6410" s="258">
        <f t="shared" ref="J6410" si="2813">-((H6410*0.019)+0.3)</f>
        <v>-2.5703099999999997</v>
      </c>
      <c r="K6410" s="90">
        <f t="shared" ref="K6410" si="2814">SUM(H6410:J6410)</f>
        <v>106.16558999999999</v>
      </c>
      <c r="L6410" s="131">
        <v>375</v>
      </c>
      <c r="M6410" s="187">
        <v>36.21</v>
      </c>
      <c r="N6410" s="91">
        <f t="shared" si="2808"/>
        <v>73.710000000000008</v>
      </c>
      <c r="O6410" s="411">
        <f t="shared" si="2811"/>
        <v>32.455589999999987</v>
      </c>
      <c r="P6410" s="132" t="s">
        <v>52</v>
      </c>
      <c r="Q6410" s="232"/>
      <c r="R6410" s="411"/>
      <c r="T6410" s="134" t="s">
        <v>145</v>
      </c>
      <c r="U6410" s="267" t="s">
        <v>13722</v>
      </c>
      <c r="AA6410" s="218"/>
    </row>
    <row r="6411" spans="1:27" ht="24" x14ac:dyDescent="0.25">
      <c r="A6411" s="405">
        <v>3005011</v>
      </c>
      <c r="B6411" s="406">
        <v>42662</v>
      </c>
      <c r="C6411" s="405" t="s">
        <v>42</v>
      </c>
      <c r="D6411" s="401" t="s">
        <v>13723</v>
      </c>
      <c r="E6411" s="120">
        <v>200</v>
      </c>
      <c r="F6411" s="133" t="s">
        <v>877</v>
      </c>
      <c r="G6411" s="404" t="s">
        <v>7486</v>
      </c>
      <c r="H6411" s="411">
        <v>147.12</v>
      </c>
      <c r="I6411" s="89">
        <f>-(H6411*0.09)</f>
        <v>-13.2408</v>
      </c>
      <c r="J6411" s="258">
        <f t="shared" ref="J6411" si="2815">-((H6411*0.019)+0.3)</f>
        <v>-3.0952799999999998</v>
      </c>
      <c r="K6411" s="90">
        <f t="shared" ref="K6411" si="2816">SUM(H6411:J6411)</f>
        <v>130.78391999999999</v>
      </c>
      <c r="L6411" s="131">
        <v>235</v>
      </c>
      <c r="M6411" s="187">
        <v>19.86</v>
      </c>
      <c r="N6411" s="91">
        <f t="shared" si="2808"/>
        <v>66.86</v>
      </c>
      <c r="O6411" s="411">
        <f t="shared" si="2811"/>
        <v>63.923919999999995</v>
      </c>
      <c r="P6411" s="132" t="s">
        <v>52</v>
      </c>
      <c r="Q6411" s="232"/>
      <c r="R6411" s="411"/>
      <c r="T6411" s="134" t="s">
        <v>145</v>
      </c>
      <c r="U6411" s="267" t="s">
        <v>13724</v>
      </c>
      <c r="AA6411" s="218"/>
    </row>
    <row r="6412" spans="1:27" ht="24" x14ac:dyDescent="0.25">
      <c r="A6412" s="405">
        <v>3005012</v>
      </c>
      <c r="B6412" s="406">
        <v>42662</v>
      </c>
      <c r="C6412" s="405" t="s">
        <v>42</v>
      </c>
      <c r="D6412" s="401" t="s">
        <v>13725</v>
      </c>
      <c r="E6412" s="120">
        <v>50</v>
      </c>
      <c r="F6412" s="133" t="s">
        <v>431</v>
      </c>
      <c r="G6412" s="404" t="s">
        <v>7486</v>
      </c>
      <c r="H6412" s="411">
        <v>139.1</v>
      </c>
      <c r="I6412" s="89">
        <f>-(H6412*0.09)</f>
        <v>-12.518999999999998</v>
      </c>
      <c r="J6412" s="258">
        <f t="shared" ref="J6412" si="2817">-((H6412*0.019)+0.3)</f>
        <v>-2.9428999999999998</v>
      </c>
      <c r="K6412" s="90">
        <f t="shared" ref="K6412" si="2818">SUM(H6412:J6412)</f>
        <v>123.63809999999999</v>
      </c>
      <c r="L6412" s="131">
        <v>990</v>
      </c>
      <c r="M6412" s="187">
        <v>17.47</v>
      </c>
      <c r="N6412" s="91">
        <f t="shared" si="2808"/>
        <v>66.97</v>
      </c>
      <c r="O6412" s="411">
        <f t="shared" si="2811"/>
        <v>56.668099999999995</v>
      </c>
      <c r="P6412" s="132" t="s">
        <v>52</v>
      </c>
      <c r="Q6412" s="232"/>
      <c r="R6412" s="411">
        <v>10.3</v>
      </c>
      <c r="S6412" s="133" t="s">
        <v>13726</v>
      </c>
      <c r="T6412" s="134" t="s">
        <v>145</v>
      </c>
      <c r="U6412" s="267" t="s">
        <v>13727</v>
      </c>
      <c r="AA6412" s="218"/>
    </row>
    <row r="6413" spans="1:27" ht="24" x14ac:dyDescent="0.25">
      <c r="A6413" s="405">
        <v>3005013</v>
      </c>
      <c r="B6413" s="406">
        <v>42662</v>
      </c>
      <c r="C6413" s="405" t="s">
        <v>42</v>
      </c>
      <c r="D6413" s="401" t="s">
        <v>13728</v>
      </c>
      <c r="E6413" s="120">
        <v>200</v>
      </c>
      <c r="F6413" s="133" t="s">
        <v>13729</v>
      </c>
      <c r="G6413" s="404" t="s">
        <v>7486</v>
      </c>
      <c r="H6413" s="411">
        <v>677.16</v>
      </c>
      <c r="I6413" s="89">
        <f>-(H6413*0.09)</f>
        <v>-60.944399999999995</v>
      </c>
      <c r="J6413" s="258">
        <f t="shared" ref="J6413" si="2819">-((H6413*0.019)+0.3)</f>
        <v>-13.166040000000001</v>
      </c>
      <c r="K6413" s="90">
        <f t="shared" ref="K6413" si="2820">SUM(H6413:J6413)</f>
        <v>603.04956000000004</v>
      </c>
      <c r="L6413" s="187">
        <v>1648</v>
      </c>
      <c r="M6413" s="187">
        <v>36.04</v>
      </c>
      <c r="N6413" s="91">
        <f t="shared" si="2808"/>
        <v>365.64000000000004</v>
      </c>
      <c r="O6413" s="411">
        <f t="shared" si="2811"/>
        <v>237.40956</v>
      </c>
      <c r="P6413" s="132" t="s">
        <v>926</v>
      </c>
      <c r="Q6413" s="232"/>
      <c r="R6413" s="411"/>
      <c r="T6413" s="134" t="s">
        <v>145</v>
      </c>
      <c r="U6413" s="267" t="s">
        <v>13730</v>
      </c>
      <c r="AA6413" s="218"/>
    </row>
    <row r="6414" spans="1:27" x14ac:dyDescent="0.25">
      <c r="A6414" s="419">
        <v>3005014</v>
      </c>
      <c r="B6414" s="421">
        <v>42662</v>
      </c>
      <c r="C6414" s="419" t="s">
        <v>237</v>
      </c>
      <c r="D6414" s="417" t="s">
        <v>13731</v>
      </c>
      <c r="E6414" s="120">
        <v>50</v>
      </c>
      <c r="F6414" s="133" t="s">
        <v>3301</v>
      </c>
      <c r="G6414" s="434" t="s">
        <v>7486</v>
      </c>
      <c r="H6414" s="427">
        <v>107.91</v>
      </c>
      <c r="I6414" s="452">
        <f t="shared" ref="I6414" si="2821">-(H6414*0.15)</f>
        <v>-16.186499999999999</v>
      </c>
      <c r="J6414" s="425">
        <v>0</v>
      </c>
      <c r="K6414" s="425">
        <f>SUM(H6414:J6414)</f>
        <v>91.723500000000001</v>
      </c>
      <c r="L6414" s="187">
        <v>754</v>
      </c>
      <c r="M6414" s="187">
        <v>20.170000000000002</v>
      </c>
      <c r="N6414" s="91">
        <f t="shared" si="2808"/>
        <v>57.870000000000005</v>
      </c>
      <c r="O6414" s="411">
        <f t="shared" si="2811"/>
        <v>33.853499999999997</v>
      </c>
      <c r="P6414" s="132" t="s">
        <v>601</v>
      </c>
      <c r="Q6414" s="232"/>
      <c r="R6414" s="411"/>
      <c r="T6414" s="439" t="s">
        <v>145</v>
      </c>
      <c r="U6414" s="446" t="s">
        <v>13732</v>
      </c>
      <c r="AA6414" s="218"/>
    </row>
    <row r="6415" spans="1:27" x14ac:dyDescent="0.25">
      <c r="A6415" s="420"/>
      <c r="B6415" s="422"/>
      <c r="C6415" s="420"/>
      <c r="D6415" s="418"/>
      <c r="E6415" s="120">
        <v>50</v>
      </c>
      <c r="F6415" s="133" t="s">
        <v>3299</v>
      </c>
      <c r="G6415" s="436"/>
      <c r="H6415" s="428"/>
      <c r="I6415" s="453"/>
      <c r="J6415" s="426"/>
      <c r="K6415" s="426"/>
      <c r="L6415" s="187">
        <v>754</v>
      </c>
      <c r="N6415" s="91">
        <f t="shared" si="2808"/>
        <v>37.700000000000003</v>
      </c>
      <c r="O6415" s="411">
        <f t="shared" si="2811"/>
        <v>-37.700000000000003</v>
      </c>
      <c r="P6415" s="132" t="s">
        <v>601</v>
      </c>
      <c r="Q6415" s="232"/>
      <c r="R6415" s="411"/>
      <c r="T6415" s="441"/>
      <c r="U6415" s="447"/>
      <c r="AA6415" s="218"/>
    </row>
    <row r="6416" spans="1:27" ht="24" x14ac:dyDescent="0.25">
      <c r="A6416" s="405">
        <v>3005015</v>
      </c>
      <c r="B6416" s="406">
        <v>42662</v>
      </c>
      <c r="C6416" s="405" t="s">
        <v>237</v>
      </c>
      <c r="D6416" s="401" t="s">
        <v>13733</v>
      </c>
      <c r="E6416" s="120">
        <v>75</v>
      </c>
      <c r="F6416" s="133" t="s">
        <v>341</v>
      </c>
      <c r="G6416" s="404" t="s">
        <v>7486</v>
      </c>
      <c r="H6416" s="411">
        <v>126.71</v>
      </c>
      <c r="I6416" s="397">
        <f t="shared" ref="I6416:I6417" si="2822">-(H6416*0.15)</f>
        <v>-19.006499999999999</v>
      </c>
      <c r="J6416" s="258">
        <v>0</v>
      </c>
      <c r="K6416" s="90">
        <f>SUM(H6416:J6416)</f>
        <v>107.70349999999999</v>
      </c>
      <c r="L6416" s="131">
        <v>695</v>
      </c>
      <c r="M6416" s="187">
        <v>19.79</v>
      </c>
      <c r="N6416" s="91">
        <f t="shared" si="2808"/>
        <v>71.914999999999992</v>
      </c>
      <c r="O6416" s="411">
        <f t="shared" si="2811"/>
        <v>35.788499999999999</v>
      </c>
      <c r="P6416" s="132" t="s">
        <v>52</v>
      </c>
      <c r="Q6416" s="232"/>
      <c r="R6416" s="411"/>
      <c r="T6416" s="134" t="s">
        <v>145</v>
      </c>
      <c r="U6416" s="267" t="s">
        <v>13734</v>
      </c>
      <c r="AA6416" s="218"/>
    </row>
    <row r="6417" spans="1:27" x14ac:dyDescent="0.25">
      <c r="A6417" s="419">
        <v>3005016</v>
      </c>
      <c r="B6417" s="421">
        <v>42662</v>
      </c>
      <c r="C6417" s="419" t="s">
        <v>237</v>
      </c>
      <c r="D6417" s="417" t="s">
        <v>13735</v>
      </c>
      <c r="E6417" s="120">
        <v>100</v>
      </c>
      <c r="F6417" s="133" t="s">
        <v>10699</v>
      </c>
      <c r="G6417" s="434" t="s">
        <v>7486</v>
      </c>
      <c r="H6417" s="427">
        <v>115</v>
      </c>
      <c r="I6417" s="452">
        <f t="shared" si="2822"/>
        <v>-17.25</v>
      </c>
      <c r="J6417" s="425">
        <v>0</v>
      </c>
      <c r="K6417" s="425">
        <f>SUM(H6417:J6417)</f>
        <v>97.75</v>
      </c>
      <c r="L6417" s="187">
        <v>341</v>
      </c>
      <c r="M6417" s="187">
        <v>21.56</v>
      </c>
      <c r="N6417" s="91">
        <f t="shared" si="2808"/>
        <v>55.66</v>
      </c>
      <c r="O6417" s="411">
        <f t="shared" si="2811"/>
        <v>42.09</v>
      </c>
      <c r="P6417" s="132" t="s">
        <v>601</v>
      </c>
      <c r="Q6417" s="232"/>
      <c r="R6417" s="411"/>
      <c r="T6417" s="439" t="s">
        <v>145</v>
      </c>
      <c r="U6417" s="446" t="s">
        <v>13736</v>
      </c>
      <c r="AA6417" s="218"/>
    </row>
    <row r="6418" spans="1:27" x14ac:dyDescent="0.25">
      <c r="A6418" s="420"/>
      <c r="B6418" s="422"/>
      <c r="C6418" s="420"/>
      <c r="D6418" s="418"/>
      <c r="E6418" s="120">
        <v>100</v>
      </c>
      <c r="F6418" s="133" t="s">
        <v>10165</v>
      </c>
      <c r="G6418" s="436"/>
      <c r="H6418" s="428"/>
      <c r="I6418" s="453"/>
      <c r="J6418" s="426"/>
      <c r="K6418" s="426"/>
      <c r="L6418" s="187">
        <v>349</v>
      </c>
      <c r="N6418" s="91">
        <f t="shared" si="2808"/>
        <v>34.9</v>
      </c>
      <c r="O6418" s="411">
        <f t="shared" si="2811"/>
        <v>-34.9</v>
      </c>
      <c r="P6418" s="132" t="s">
        <v>601</v>
      </c>
      <c r="Q6418" s="232"/>
      <c r="R6418" s="411"/>
      <c r="T6418" s="441"/>
      <c r="U6418" s="447"/>
      <c r="AA6418" s="218"/>
    </row>
    <row r="6419" spans="1:27" ht="24" x14ac:dyDescent="0.25">
      <c r="A6419" s="405">
        <v>3005017</v>
      </c>
      <c r="B6419" s="406">
        <v>42662</v>
      </c>
      <c r="C6419" s="405" t="s">
        <v>237</v>
      </c>
      <c r="D6419" s="401" t="s">
        <v>13737</v>
      </c>
      <c r="E6419" s="120">
        <v>100</v>
      </c>
      <c r="F6419" s="133" t="s">
        <v>431</v>
      </c>
      <c r="G6419" s="404" t="s">
        <v>7486</v>
      </c>
      <c r="H6419" s="411">
        <v>250.83</v>
      </c>
      <c r="I6419" s="397">
        <f t="shared" ref="I6419:I6420" si="2823">-(H6419*0.15)</f>
        <v>-37.624499999999998</v>
      </c>
      <c r="J6419" s="258">
        <v>0</v>
      </c>
      <c r="K6419" s="90">
        <f>SUM(H6419:J6419)</f>
        <v>213.20550000000003</v>
      </c>
      <c r="L6419" s="131">
        <v>900</v>
      </c>
      <c r="M6419" s="187">
        <v>19.239999999999998</v>
      </c>
      <c r="N6419" s="91">
        <f t="shared" si="2808"/>
        <v>109.24</v>
      </c>
      <c r="O6419" s="411">
        <f t="shared" si="2811"/>
        <v>103.96550000000003</v>
      </c>
      <c r="P6419" s="132" t="s">
        <v>52</v>
      </c>
      <c r="Q6419" s="232"/>
      <c r="R6419" s="411"/>
      <c r="T6419" s="134" t="s">
        <v>145</v>
      </c>
      <c r="U6419" s="267" t="s">
        <v>13738</v>
      </c>
      <c r="AA6419" s="218"/>
    </row>
    <row r="6420" spans="1:27" x14ac:dyDescent="0.25">
      <c r="A6420" s="419">
        <v>3005018</v>
      </c>
      <c r="B6420" s="421">
        <v>42662</v>
      </c>
      <c r="C6420" s="419" t="s">
        <v>237</v>
      </c>
      <c r="D6420" s="417" t="s">
        <v>13739</v>
      </c>
      <c r="E6420" s="120">
        <v>100</v>
      </c>
      <c r="F6420" s="133" t="s">
        <v>3301</v>
      </c>
      <c r="G6420" s="434" t="s">
        <v>7486</v>
      </c>
      <c r="H6420" s="427">
        <v>220.5</v>
      </c>
      <c r="I6420" s="452">
        <f t="shared" si="2823"/>
        <v>-33.074999999999996</v>
      </c>
      <c r="J6420" s="425">
        <v>0</v>
      </c>
      <c r="K6420" s="425">
        <f>SUM(H6420:J6420)</f>
        <v>187.42500000000001</v>
      </c>
      <c r="L6420" s="187">
        <v>754</v>
      </c>
      <c r="M6420" s="187">
        <v>18.91</v>
      </c>
      <c r="N6420" s="91">
        <f t="shared" si="2808"/>
        <v>94.31</v>
      </c>
      <c r="O6420" s="411">
        <f t="shared" si="2811"/>
        <v>93.115000000000009</v>
      </c>
      <c r="P6420" s="132" t="s">
        <v>601</v>
      </c>
      <c r="Q6420" s="232"/>
      <c r="R6420" s="411"/>
      <c r="T6420" s="439" t="s">
        <v>145</v>
      </c>
      <c r="U6420" s="446" t="s">
        <v>13740</v>
      </c>
      <c r="AA6420" s="218"/>
    </row>
    <row r="6421" spans="1:27" x14ac:dyDescent="0.25">
      <c r="A6421" s="420"/>
      <c r="B6421" s="422"/>
      <c r="C6421" s="420"/>
      <c r="D6421" s="418"/>
      <c r="E6421" s="120">
        <v>100</v>
      </c>
      <c r="F6421" s="133" t="s">
        <v>3299</v>
      </c>
      <c r="G6421" s="436"/>
      <c r="H6421" s="428"/>
      <c r="I6421" s="453"/>
      <c r="J6421" s="426"/>
      <c r="K6421" s="426"/>
      <c r="L6421" s="187">
        <v>754</v>
      </c>
      <c r="N6421" s="91">
        <f t="shared" si="2808"/>
        <v>75.400000000000006</v>
      </c>
      <c r="O6421" s="411">
        <f t="shared" si="2811"/>
        <v>-75.400000000000006</v>
      </c>
      <c r="P6421" s="132" t="s">
        <v>601</v>
      </c>
      <c r="Q6421" s="232"/>
      <c r="R6421" s="411"/>
      <c r="T6421" s="441"/>
      <c r="U6421" s="447"/>
      <c r="AA6421" s="218"/>
    </row>
    <row r="6422" spans="1:27" ht="24" x14ac:dyDescent="0.25">
      <c r="A6422" s="405">
        <v>3005019</v>
      </c>
      <c r="B6422" s="406">
        <v>42662</v>
      </c>
      <c r="C6422" s="405" t="s">
        <v>63</v>
      </c>
      <c r="D6422" s="401" t="s">
        <v>13741</v>
      </c>
      <c r="E6422" s="120">
        <v>55</v>
      </c>
      <c r="F6422" s="133" t="s">
        <v>13742</v>
      </c>
      <c r="G6422" s="404" t="s">
        <v>7486</v>
      </c>
      <c r="H6422" s="411">
        <v>175</v>
      </c>
      <c r="I6422" s="399">
        <v>0</v>
      </c>
      <c r="J6422" s="396">
        <f>-((H6422*0.022)+0.3)</f>
        <v>-4.1499999999999995</v>
      </c>
      <c r="K6422" s="396">
        <f>SUM(H6422:J6422)</f>
        <v>170.85</v>
      </c>
      <c r="L6422" s="187">
        <v>760</v>
      </c>
      <c r="M6422" s="187">
        <v>18.420000000000002</v>
      </c>
      <c r="N6422" s="91">
        <f t="shared" si="2808"/>
        <v>60.22</v>
      </c>
      <c r="O6422" s="411">
        <f t="shared" si="2811"/>
        <v>110.63</v>
      </c>
      <c r="P6422" s="132" t="s">
        <v>183</v>
      </c>
      <c r="Q6422" s="232"/>
      <c r="R6422" s="411"/>
      <c r="T6422" s="134" t="s">
        <v>145</v>
      </c>
      <c r="U6422" s="267" t="s">
        <v>13743</v>
      </c>
      <c r="W6422" s="153" t="s">
        <v>13744</v>
      </c>
      <c r="AA6422" s="218"/>
    </row>
    <row r="6423" spans="1:27" x14ac:dyDescent="0.25">
      <c r="A6423" s="405">
        <v>3005020</v>
      </c>
      <c r="B6423" s="406">
        <v>42662</v>
      </c>
      <c r="C6423" s="405" t="s">
        <v>141</v>
      </c>
      <c r="D6423" s="401" t="s">
        <v>426</v>
      </c>
      <c r="E6423" s="120">
        <v>180</v>
      </c>
      <c r="F6423" s="133" t="s">
        <v>13745</v>
      </c>
      <c r="G6423" s="404" t="s">
        <v>45</v>
      </c>
      <c r="H6423" s="411">
        <v>4478.3999999999996</v>
      </c>
      <c r="I6423" s="399">
        <v>0</v>
      </c>
      <c r="J6423" s="396">
        <f>-((H6423*0.0325)+0.3)</f>
        <v>-145.84800000000001</v>
      </c>
      <c r="K6423" s="396">
        <f>SUM(H6423:J6423)</f>
        <v>4332.5519999999997</v>
      </c>
      <c r="L6423" s="187">
        <v>18000</v>
      </c>
      <c r="M6423" s="224">
        <v>165</v>
      </c>
      <c r="N6423" s="91">
        <f t="shared" si="2808"/>
        <v>3405</v>
      </c>
      <c r="O6423" s="411">
        <f t="shared" si="2811"/>
        <v>927.55199999999968</v>
      </c>
      <c r="P6423" s="132" t="s">
        <v>59</v>
      </c>
      <c r="Q6423" s="232"/>
      <c r="R6423" s="411"/>
      <c r="T6423" s="134" t="s">
        <v>1346</v>
      </c>
      <c r="U6423" s="267" t="s">
        <v>13746</v>
      </c>
      <c r="W6423" s="153" t="s">
        <v>429</v>
      </c>
      <c r="AA6423" s="218"/>
    </row>
    <row r="6424" spans="1:27" x14ac:dyDescent="0.25">
      <c r="A6424" s="419">
        <v>3005021</v>
      </c>
      <c r="B6424" s="421">
        <v>42662</v>
      </c>
      <c r="C6424" s="419" t="s">
        <v>56</v>
      </c>
      <c r="D6424" s="417" t="s">
        <v>13747</v>
      </c>
      <c r="E6424" s="120">
        <v>4000</v>
      </c>
      <c r="F6424" s="133" t="s">
        <v>13748</v>
      </c>
      <c r="G6424" s="434" t="s">
        <v>7486</v>
      </c>
      <c r="H6424" s="427">
        <v>2492.44</v>
      </c>
      <c r="I6424" s="427">
        <v>0</v>
      </c>
      <c r="J6424" s="427">
        <v>0</v>
      </c>
      <c r="K6424" s="425">
        <f>SUM(H6424:J6424)</f>
        <v>2492.44</v>
      </c>
      <c r="L6424" s="131">
        <v>120</v>
      </c>
      <c r="M6424" s="357">
        <v>75</v>
      </c>
      <c r="N6424" s="91">
        <f t="shared" si="2808"/>
        <v>555</v>
      </c>
      <c r="O6424" s="411">
        <f t="shared" si="2811"/>
        <v>1937.44</v>
      </c>
      <c r="P6424" s="132" t="s">
        <v>52</v>
      </c>
      <c r="Q6424" s="232"/>
      <c r="R6424" s="411"/>
      <c r="T6424" s="439" t="s">
        <v>709</v>
      </c>
      <c r="U6424" s="444" t="s">
        <v>709</v>
      </c>
      <c r="AA6424" s="218"/>
    </row>
    <row r="6425" spans="1:27" x14ac:dyDescent="0.25">
      <c r="A6425" s="432"/>
      <c r="B6425" s="433"/>
      <c r="C6425" s="432"/>
      <c r="D6425" s="454"/>
      <c r="E6425" s="120">
        <v>957</v>
      </c>
      <c r="F6425" s="133" t="s">
        <v>51</v>
      </c>
      <c r="G6425" s="435"/>
      <c r="H6425" s="438"/>
      <c r="I6425" s="438"/>
      <c r="J6425" s="438"/>
      <c r="K6425" s="437"/>
      <c r="L6425" s="131">
        <v>909</v>
      </c>
      <c r="M6425" s="187"/>
      <c r="N6425" s="91">
        <f t="shared" si="2808"/>
        <v>869.91300000000001</v>
      </c>
      <c r="O6425" s="411">
        <f t="shared" si="2811"/>
        <v>-869.91300000000001</v>
      </c>
      <c r="P6425" s="132" t="s">
        <v>52</v>
      </c>
      <c r="Q6425" s="232"/>
      <c r="R6425" s="411"/>
      <c r="T6425" s="440"/>
      <c r="U6425" s="539"/>
      <c r="V6425" s="133" t="s">
        <v>12147</v>
      </c>
      <c r="AA6425" s="218"/>
    </row>
    <row r="6426" spans="1:27" x14ac:dyDescent="0.25">
      <c r="A6426" s="420"/>
      <c r="B6426" s="422"/>
      <c r="C6426" s="420"/>
      <c r="D6426" s="418"/>
      <c r="E6426" s="120">
        <v>1000</v>
      </c>
      <c r="F6426" s="133" t="s">
        <v>1273</v>
      </c>
      <c r="G6426" s="436"/>
      <c r="H6426" s="428"/>
      <c r="I6426" s="428"/>
      <c r="J6426" s="428"/>
      <c r="K6426" s="426"/>
      <c r="L6426" s="131">
        <v>616</v>
      </c>
      <c r="M6426" s="187"/>
      <c r="N6426" s="91">
        <f t="shared" si="2808"/>
        <v>616</v>
      </c>
      <c r="O6426" s="411">
        <f t="shared" si="2811"/>
        <v>-616</v>
      </c>
      <c r="P6426" s="132" t="s">
        <v>52</v>
      </c>
      <c r="Q6426" s="232"/>
      <c r="R6426" s="411"/>
      <c r="T6426" s="441"/>
      <c r="U6426" s="445"/>
      <c r="AA6426" s="218"/>
    </row>
    <row r="6427" spans="1:27" ht="24" x14ac:dyDescent="0.25">
      <c r="A6427" s="405">
        <v>3005022</v>
      </c>
      <c r="B6427" s="406">
        <v>42662</v>
      </c>
      <c r="C6427" s="405" t="s">
        <v>327</v>
      </c>
      <c r="D6427" s="401" t="s">
        <v>13749</v>
      </c>
      <c r="E6427" s="120">
        <v>375</v>
      </c>
      <c r="F6427" s="133" t="s">
        <v>165</v>
      </c>
      <c r="G6427" s="404" t="s">
        <v>7486</v>
      </c>
      <c r="H6427" s="411">
        <v>345.9</v>
      </c>
      <c r="I6427" s="399">
        <v>0</v>
      </c>
      <c r="J6427" s="396">
        <f>-((H6427*0.022)+0.3)</f>
        <v>-7.9097999999999988</v>
      </c>
      <c r="K6427" s="396">
        <f>SUM(H6427:J6427)</f>
        <v>337.99019999999996</v>
      </c>
      <c r="L6427" s="131">
        <v>300</v>
      </c>
      <c r="M6427" s="187">
        <v>55.7</v>
      </c>
      <c r="N6427" s="91">
        <f t="shared" si="2808"/>
        <v>168.2</v>
      </c>
      <c r="O6427" s="411">
        <f t="shared" si="2811"/>
        <v>169.79019999999997</v>
      </c>
      <c r="P6427" s="132" t="s">
        <v>86</v>
      </c>
      <c r="Q6427" s="232"/>
      <c r="R6427" s="411"/>
      <c r="T6427" s="134" t="s">
        <v>145</v>
      </c>
      <c r="U6427" s="267" t="s">
        <v>13750</v>
      </c>
      <c r="W6427" s="153" t="s">
        <v>13751</v>
      </c>
      <c r="AA6427" s="218"/>
    </row>
    <row r="6428" spans="1:27" ht="24" x14ac:dyDescent="0.25">
      <c r="A6428" s="405">
        <v>3005023</v>
      </c>
      <c r="B6428" s="406">
        <v>42662</v>
      </c>
      <c r="C6428" s="405" t="s">
        <v>327</v>
      </c>
      <c r="D6428" s="401" t="s">
        <v>13752</v>
      </c>
      <c r="E6428" s="120">
        <v>250</v>
      </c>
      <c r="F6428" s="133" t="s">
        <v>445</v>
      </c>
      <c r="G6428" s="404" t="s">
        <v>7486</v>
      </c>
      <c r="H6428" s="411">
        <v>530</v>
      </c>
      <c r="I6428" s="399">
        <v>0</v>
      </c>
      <c r="J6428" s="396">
        <f>-((H6428*0.022)+0.3)</f>
        <v>-11.96</v>
      </c>
      <c r="K6428" s="396">
        <f>SUM(H6428:J6428)</f>
        <v>518.04</v>
      </c>
      <c r="M6428" s="187">
        <v>46.71</v>
      </c>
      <c r="N6428" s="91">
        <f t="shared" si="2808"/>
        <v>46.71</v>
      </c>
      <c r="O6428" s="411">
        <f t="shared" si="2811"/>
        <v>471.33</v>
      </c>
      <c r="P6428" s="132" t="s">
        <v>52</v>
      </c>
      <c r="Q6428" s="232"/>
      <c r="R6428" s="411"/>
      <c r="T6428" s="134" t="s">
        <v>145</v>
      </c>
      <c r="U6428" s="267" t="s">
        <v>13753</v>
      </c>
      <c r="W6428" s="153" t="s">
        <v>13754</v>
      </c>
      <c r="AA6428" s="218"/>
    </row>
    <row r="6429" spans="1:27" ht="24" x14ac:dyDescent="0.25">
      <c r="A6429" s="405">
        <v>3005024</v>
      </c>
      <c r="B6429" s="406">
        <v>42662</v>
      </c>
      <c r="C6429" s="405" t="s">
        <v>42</v>
      </c>
      <c r="D6429" s="401" t="s">
        <v>13755</v>
      </c>
      <c r="E6429" s="120">
        <v>100</v>
      </c>
      <c r="F6429" s="133" t="s">
        <v>1085</v>
      </c>
      <c r="G6429" s="404" t="s">
        <v>7486</v>
      </c>
      <c r="H6429" s="411">
        <v>675</v>
      </c>
      <c r="I6429" s="89">
        <f>-(H6429*0.09)</f>
        <v>-60.75</v>
      </c>
      <c r="J6429" s="258">
        <f t="shared" ref="J6429" si="2824">-((H6429*0.019)+0.3)</f>
        <v>-13.125</v>
      </c>
      <c r="K6429" s="90">
        <f t="shared" ref="K6429" si="2825">SUM(H6429:J6429)</f>
        <v>601.125</v>
      </c>
      <c r="L6429" s="187">
        <v>4640</v>
      </c>
      <c r="M6429" s="131">
        <v>0</v>
      </c>
      <c r="N6429" s="91">
        <f t="shared" si="2808"/>
        <v>464</v>
      </c>
      <c r="O6429" s="411">
        <f t="shared" si="2811"/>
        <v>137.125</v>
      </c>
      <c r="P6429" s="132" t="s">
        <v>59</v>
      </c>
      <c r="Q6429" s="232"/>
      <c r="R6429" s="411"/>
      <c r="T6429" s="134" t="s">
        <v>473</v>
      </c>
      <c r="U6429" s="267" t="s">
        <v>13756</v>
      </c>
      <c r="AA6429" s="218"/>
    </row>
    <row r="6430" spans="1:27" ht="24" x14ac:dyDescent="0.25">
      <c r="A6430" s="405">
        <v>3005025</v>
      </c>
      <c r="B6430" s="406">
        <v>42662</v>
      </c>
      <c r="C6430" s="405" t="s">
        <v>237</v>
      </c>
      <c r="D6430" s="401" t="s">
        <v>13757</v>
      </c>
      <c r="E6430" s="120">
        <v>50</v>
      </c>
      <c r="F6430" s="133" t="s">
        <v>161</v>
      </c>
      <c r="G6430" s="404" t="s">
        <v>7486</v>
      </c>
      <c r="H6430" s="411">
        <v>121.98</v>
      </c>
      <c r="I6430" s="397">
        <f t="shared" ref="I6430" si="2826">-(H6430*0.15)</f>
        <v>-18.297000000000001</v>
      </c>
      <c r="J6430" s="258">
        <v>0</v>
      </c>
      <c r="K6430" s="90">
        <f>SUM(H6430:J6430)</f>
        <v>103.68300000000001</v>
      </c>
      <c r="L6430" s="131">
        <v>1322</v>
      </c>
      <c r="M6430" s="187">
        <v>22.26</v>
      </c>
      <c r="N6430" s="91">
        <f t="shared" si="2808"/>
        <v>88.360000000000014</v>
      </c>
      <c r="O6430" s="411">
        <f t="shared" si="2811"/>
        <v>15.322999999999993</v>
      </c>
      <c r="P6430" s="132" t="s">
        <v>52</v>
      </c>
      <c r="Q6430" s="232"/>
      <c r="R6430" s="411"/>
      <c r="T6430" s="134" t="s">
        <v>145</v>
      </c>
      <c r="U6430" s="267" t="s">
        <v>13758</v>
      </c>
      <c r="AA6430" s="218"/>
    </row>
    <row r="6431" spans="1:27" x14ac:dyDescent="0.25">
      <c r="A6431" s="419">
        <v>3005026</v>
      </c>
      <c r="B6431" s="421">
        <v>42662</v>
      </c>
      <c r="C6431" s="419" t="s">
        <v>237</v>
      </c>
      <c r="D6431" s="417" t="s">
        <v>13759</v>
      </c>
      <c r="E6431" s="120">
        <v>50</v>
      </c>
      <c r="F6431" s="133" t="s">
        <v>3301</v>
      </c>
      <c r="G6431" s="434" t="s">
        <v>7486</v>
      </c>
      <c r="H6431" s="427">
        <v>107.91</v>
      </c>
      <c r="I6431" s="452">
        <f t="shared" ref="I6431" si="2827">-(H6431*0.15)</f>
        <v>-16.186499999999999</v>
      </c>
      <c r="J6431" s="425">
        <v>0</v>
      </c>
      <c r="K6431" s="425">
        <f>SUM(H6431:J6431)</f>
        <v>91.723500000000001</v>
      </c>
      <c r="L6431" s="187">
        <v>754</v>
      </c>
      <c r="M6431" s="187">
        <v>18.149999999999999</v>
      </c>
      <c r="N6431" s="91">
        <f t="shared" si="2808"/>
        <v>55.85</v>
      </c>
      <c r="O6431" s="411">
        <f t="shared" si="2811"/>
        <v>35.8735</v>
      </c>
      <c r="P6431" s="132" t="s">
        <v>601</v>
      </c>
      <c r="Q6431" s="232"/>
      <c r="R6431" s="411"/>
      <c r="T6431" s="439" t="s">
        <v>145</v>
      </c>
      <c r="U6431" s="446" t="s">
        <v>13760</v>
      </c>
      <c r="AA6431" s="218"/>
    </row>
    <row r="6432" spans="1:27" x14ac:dyDescent="0.25">
      <c r="A6432" s="420"/>
      <c r="B6432" s="422"/>
      <c r="C6432" s="420"/>
      <c r="D6432" s="418"/>
      <c r="E6432" s="120">
        <v>50</v>
      </c>
      <c r="F6432" s="133" t="s">
        <v>3299</v>
      </c>
      <c r="G6432" s="436"/>
      <c r="H6432" s="428"/>
      <c r="I6432" s="453"/>
      <c r="J6432" s="426"/>
      <c r="K6432" s="426"/>
      <c r="L6432" s="187">
        <v>754</v>
      </c>
      <c r="N6432" s="91">
        <f t="shared" si="2808"/>
        <v>37.700000000000003</v>
      </c>
      <c r="O6432" s="411">
        <f t="shared" si="2811"/>
        <v>-37.700000000000003</v>
      </c>
      <c r="P6432" s="132" t="s">
        <v>601</v>
      </c>
      <c r="Q6432" s="232"/>
      <c r="R6432" s="411"/>
      <c r="T6432" s="441"/>
      <c r="U6432" s="447"/>
      <c r="AA6432" s="218"/>
    </row>
    <row r="6433" spans="1:27" ht="24" x14ac:dyDescent="0.25">
      <c r="A6433" s="405">
        <v>3005027</v>
      </c>
      <c r="B6433" s="406">
        <v>42662</v>
      </c>
      <c r="C6433" s="405" t="s">
        <v>42</v>
      </c>
      <c r="D6433" s="401" t="s">
        <v>13761</v>
      </c>
      <c r="E6433" s="120">
        <v>250</v>
      </c>
      <c r="F6433" s="133" t="s">
        <v>593</v>
      </c>
      <c r="G6433" s="404" t="s">
        <v>7486</v>
      </c>
      <c r="H6433" s="411">
        <v>310.49</v>
      </c>
      <c r="I6433" s="89">
        <f>-(H6433*0.09)</f>
        <v>-27.944099999999999</v>
      </c>
      <c r="J6433" s="258">
        <f t="shared" ref="J6433" si="2828">-((H6433*0.019)+0.3)</f>
        <v>-6.1993099999999997</v>
      </c>
      <c r="K6433" s="90">
        <f t="shared" ref="K6433" si="2829">SUM(H6433:J6433)</f>
        <v>276.34658999999999</v>
      </c>
      <c r="L6433" s="131">
        <v>610.51</v>
      </c>
      <c r="M6433" s="187">
        <v>50.53</v>
      </c>
      <c r="N6433" s="91">
        <f t="shared" si="2808"/>
        <v>203.1575</v>
      </c>
      <c r="O6433" s="411">
        <f t="shared" si="2811"/>
        <v>73.189089999999993</v>
      </c>
      <c r="P6433" s="132" t="s">
        <v>86</v>
      </c>
      <c r="Q6433" s="232"/>
      <c r="R6433" s="411"/>
      <c r="T6433" s="134" t="s">
        <v>145</v>
      </c>
      <c r="U6433" s="267" t="s">
        <v>13762</v>
      </c>
      <c r="AA6433" s="218"/>
    </row>
    <row r="6434" spans="1:27" ht="27.75" customHeight="1" x14ac:dyDescent="0.25">
      <c r="A6434" s="405">
        <v>3005028</v>
      </c>
      <c r="B6434" s="406">
        <v>42662</v>
      </c>
      <c r="C6434" s="405" t="s">
        <v>63</v>
      </c>
      <c r="D6434" s="401" t="s">
        <v>13763</v>
      </c>
      <c r="E6434" s="120">
        <v>300</v>
      </c>
      <c r="F6434" s="133" t="s">
        <v>874</v>
      </c>
      <c r="G6434" s="404" t="s">
        <v>45</v>
      </c>
      <c r="H6434" s="411">
        <v>1717.71</v>
      </c>
      <c r="I6434" s="399">
        <v>0</v>
      </c>
      <c r="J6434" s="396">
        <f>-((H6434*0.022)+0.3)</f>
        <v>-38.089619999999996</v>
      </c>
      <c r="K6434" s="396">
        <f>SUM(H6434:J6434)</f>
        <v>1679.6203800000001</v>
      </c>
      <c r="L6434" s="131">
        <v>1795</v>
      </c>
      <c r="M6434" s="187">
        <v>191.54</v>
      </c>
      <c r="N6434" s="91">
        <f t="shared" si="2808"/>
        <v>730.04</v>
      </c>
      <c r="O6434" s="411">
        <f t="shared" si="2811"/>
        <v>949.5803800000001</v>
      </c>
      <c r="P6434" s="132" t="s">
        <v>52</v>
      </c>
      <c r="Q6434" s="232"/>
      <c r="R6434" s="411"/>
      <c r="T6434" s="134" t="s">
        <v>97</v>
      </c>
      <c r="U6434" s="267" t="s">
        <v>13764</v>
      </c>
      <c r="V6434" s="370" t="s">
        <v>13765</v>
      </c>
      <c r="W6434" s="153" t="s">
        <v>13766</v>
      </c>
      <c r="AA6434" s="218">
        <v>10</v>
      </c>
    </row>
    <row r="6435" spans="1:27" ht="24" x14ac:dyDescent="0.25">
      <c r="A6435" s="405">
        <v>3005029</v>
      </c>
      <c r="B6435" s="406">
        <v>42662</v>
      </c>
      <c r="C6435" s="405" t="s">
        <v>327</v>
      </c>
      <c r="D6435" s="401" t="s">
        <v>13767</v>
      </c>
      <c r="E6435" s="120">
        <v>100</v>
      </c>
      <c r="F6435" s="133" t="s">
        <v>70</v>
      </c>
      <c r="G6435" s="404" t="s">
        <v>45</v>
      </c>
      <c r="H6435" s="411">
        <v>347</v>
      </c>
      <c r="I6435" s="399">
        <v>0</v>
      </c>
      <c r="J6435" s="396">
        <f>-((H6435*0.022)+0.3)</f>
        <v>-7.9339999999999993</v>
      </c>
      <c r="K6435" s="396">
        <f>SUM(H6435:J6435)</f>
        <v>339.06599999999997</v>
      </c>
      <c r="L6435" s="131">
        <v>1200</v>
      </c>
      <c r="M6435" s="224">
        <v>36.33</v>
      </c>
      <c r="N6435" s="91">
        <f t="shared" si="2808"/>
        <v>156.32999999999998</v>
      </c>
      <c r="O6435" s="411">
        <f t="shared" si="2811"/>
        <v>182.73599999999999</v>
      </c>
      <c r="P6435" s="132" t="s">
        <v>52</v>
      </c>
      <c r="Q6435" s="232"/>
      <c r="R6435" s="411"/>
      <c r="T6435" s="134" t="s">
        <v>145</v>
      </c>
      <c r="U6435" s="267" t="s">
        <v>13768</v>
      </c>
      <c r="W6435" s="153" t="s">
        <v>13769</v>
      </c>
      <c r="AA6435" s="218"/>
    </row>
    <row r="6436" spans="1:27" ht="24" x14ac:dyDescent="0.25">
      <c r="A6436" s="405">
        <v>3005030</v>
      </c>
      <c r="B6436" s="406">
        <v>42663</v>
      </c>
      <c r="C6436" s="405" t="s">
        <v>327</v>
      </c>
      <c r="D6436" s="401" t="s">
        <v>13770</v>
      </c>
      <c r="E6436" s="120">
        <v>1800</v>
      </c>
      <c r="F6436" s="133" t="s">
        <v>13771</v>
      </c>
      <c r="G6436" s="404" t="s">
        <v>7486</v>
      </c>
      <c r="H6436" s="411">
        <v>3600</v>
      </c>
      <c r="I6436" s="399">
        <v>0</v>
      </c>
      <c r="J6436" s="396">
        <f>-((H6436*0.022)+0.3)</f>
        <v>-79.499999999999986</v>
      </c>
      <c r="K6436" s="396">
        <f>SUM(H6436:J6436)</f>
        <v>3520.5</v>
      </c>
      <c r="L6436" s="131">
        <v>1035</v>
      </c>
      <c r="M6436" s="131">
        <v>300.72000000000003</v>
      </c>
      <c r="N6436" s="91">
        <f t="shared" si="2808"/>
        <v>2163.7200000000003</v>
      </c>
      <c r="O6436" s="411">
        <f t="shared" si="2811"/>
        <v>1356.7799999999997</v>
      </c>
      <c r="P6436" s="132" t="s">
        <v>52</v>
      </c>
      <c r="Q6436" s="232"/>
      <c r="R6436" s="411"/>
      <c r="T6436" s="134" t="s">
        <v>13772</v>
      </c>
      <c r="U6436" s="267" t="s">
        <v>13773</v>
      </c>
      <c r="V6436" s="133" t="s">
        <v>55</v>
      </c>
      <c r="W6436" s="153" t="s">
        <v>13774</v>
      </c>
      <c r="AA6436" s="218">
        <v>10</v>
      </c>
    </row>
    <row r="6437" spans="1:27" ht="24" x14ac:dyDescent="0.25">
      <c r="A6437" s="405">
        <v>3005031</v>
      </c>
      <c r="B6437" s="406">
        <v>42663</v>
      </c>
      <c r="C6437" s="405" t="s">
        <v>78</v>
      </c>
      <c r="D6437" s="401" t="s">
        <v>13775</v>
      </c>
      <c r="E6437" s="120">
        <v>100</v>
      </c>
      <c r="F6437" s="133" t="s">
        <v>13776</v>
      </c>
      <c r="G6437" s="404" t="s">
        <v>7486</v>
      </c>
      <c r="H6437" s="411">
        <v>55</v>
      </c>
      <c r="I6437" s="411">
        <v>0</v>
      </c>
      <c r="J6437" s="258">
        <f t="shared" ref="J6437:J6438" si="2830">-((H6437*0.019)+0.3)</f>
        <v>-1.345</v>
      </c>
      <c r="K6437" s="396">
        <f>SUM(H6437:J6437)</f>
        <v>53.655000000000001</v>
      </c>
      <c r="L6437" s="131">
        <v>185</v>
      </c>
      <c r="M6437" s="187">
        <v>22.64</v>
      </c>
      <c r="N6437" s="91">
        <f t="shared" si="2808"/>
        <v>41.14</v>
      </c>
      <c r="O6437" s="411">
        <f t="shared" si="2811"/>
        <v>12.515000000000001</v>
      </c>
      <c r="P6437" s="132" t="s">
        <v>52</v>
      </c>
      <c r="Q6437" s="232"/>
      <c r="R6437" s="411"/>
      <c r="T6437" s="134" t="s">
        <v>145</v>
      </c>
      <c r="U6437" s="267" t="s">
        <v>13777</v>
      </c>
      <c r="W6437" s="153" t="s">
        <v>13778</v>
      </c>
      <c r="AA6437" s="218"/>
    </row>
    <row r="6438" spans="1:27" ht="24" x14ac:dyDescent="0.25">
      <c r="A6438" s="405">
        <v>3005032</v>
      </c>
      <c r="B6438" s="406">
        <v>42663</v>
      </c>
      <c r="C6438" s="405" t="s">
        <v>42</v>
      </c>
      <c r="D6438" s="401" t="s">
        <v>13779</v>
      </c>
      <c r="E6438" s="120">
        <v>105</v>
      </c>
      <c r="F6438" s="133" t="s">
        <v>247</v>
      </c>
      <c r="G6438" s="404" t="s">
        <v>7486</v>
      </c>
      <c r="H6438" s="411">
        <v>123.3</v>
      </c>
      <c r="I6438" s="89">
        <f t="shared" ref="I6438:I6448" si="2831">-(H6438*0.09)</f>
        <v>-11.097</v>
      </c>
      <c r="J6438" s="258">
        <f t="shared" si="2830"/>
        <v>-2.6426999999999996</v>
      </c>
      <c r="K6438" s="90">
        <f t="shared" ref="K6438" si="2832">SUM(H6438:J6438)</f>
        <v>109.5603</v>
      </c>
      <c r="L6438" s="131">
        <v>424</v>
      </c>
      <c r="M6438" s="187">
        <v>30.32</v>
      </c>
      <c r="N6438" s="91">
        <f t="shared" si="2808"/>
        <v>74.84</v>
      </c>
      <c r="O6438" s="411">
        <f t="shared" si="2811"/>
        <v>34.720299999999995</v>
      </c>
      <c r="P6438" s="132" t="s">
        <v>52</v>
      </c>
      <c r="Q6438" s="232"/>
      <c r="R6438" s="411"/>
      <c r="T6438" s="134" t="s">
        <v>145</v>
      </c>
      <c r="U6438" s="267" t="s">
        <v>13780</v>
      </c>
      <c r="AA6438" s="218"/>
    </row>
    <row r="6439" spans="1:27" ht="24" x14ac:dyDescent="0.25">
      <c r="A6439" s="405">
        <v>3005033</v>
      </c>
      <c r="B6439" s="406">
        <v>42663</v>
      </c>
      <c r="C6439" s="405" t="s">
        <v>42</v>
      </c>
      <c r="D6439" s="401" t="s">
        <v>13781</v>
      </c>
      <c r="E6439" s="120">
        <v>70</v>
      </c>
      <c r="F6439" s="133" t="s">
        <v>860</v>
      </c>
      <c r="G6439" s="404" t="s">
        <v>7486</v>
      </c>
      <c r="H6439" s="411">
        <v>483.09</v>
      </c>
      <c r="I6439" s="89">
        <f t="shared" si="2831"/>
        <v>-43.478099999999998</v>
      </c>
      <c r="J6439" s="258">
        <f t="shared" ref="J6439" si="2833">-((H6439*0.019)+0.3)</f>
        <v>-9.4787099999999995</v>
      </c>
      <c r="K6439" s="90">
        <f t="shared" ref="K6439" si="2834">SUM(H6439:J6439)</f>
        <v>430.13319000000001</v>
      </c>
      <c r="L6439" s="131">
        <v>3300</v>
      </c>
      <c r="M6439" s="187">
        <v>52.64</v>
      </c>
      <c r="N6439" s="91">
        <f t="shared" si="2808"/>
        <v>283.64000000000004</v>
      </c>
      <c r="O6439" s="411">
        <f t="shared" si="2811"/>
        <v>146.49318999999997</v>
      </c>
      <c r="P6439" s="132" t="s">
        <v>52</v>
      </c>
      <c r="Q6439" s="232"/>
      <c r="R6439" s="411"/>
      <c r="T6439" s="134" t="s">
        <v>145</v>
      </c>
      <c r="U6439" s="267" t="s">
        <v>13782</v>
      </c>
      <c r="AA6439" s="218"/>
    </row>
    <row r="6440" spans="1:27" ht="24" x14ac:dyDescent="0.25">
      <c r="A6440" s="405">
        <v>3005034</v>
      </c>
      <c r="B6440" s="406">
        <v>42663</v>
      </c>
      <c r="C6440" s="405" t="s">
        <v>42</v>
      </c>
      <c r="D6440" s="401" t="s">
        <v>13783</v>
      </c>
      <c r="E6440" s="120">
        <v>250</v>
      </c>
      <c r="F6440" s="133" t="s">
        <v>1137</v>
      </c>
      <c r="G6440" s="404" t="s">
        <v>7486</v>
      </c>
      <c r="H6440" s="411">
        <v>133</v>
      </c>
      <c r="I6440" s="89">
        <f t="shared" si="2831"/>
        <v>-11.969999999999999</v>
      </c>
      <c r="J6440" s="258">
        <f t="shared" ref="J6440" si="2835">-((H6440*0.019)+0.3)</f>
        <v>-2.827</v>
      </c>
      <c r="K6440" s="90">
        <f t="shared" ref="K6440" si="2836">SUM(H6440:J6440)</f>
        <v>118.203</v>
      </c>
      <c r="L6440" s="131">
        <v>220</v>
      </c>
      <c r="M6440" s="187">
        <v>19.53</v>
      </c>
      <c r="N6440" s="91">
        <f t="shared" si="2808"/>
        <v>74.53</v>
      </c>
      <c r="O6440" s="411">
        <f t="shared" si="2811"/>
        <v>43.673000000000002</v>
      </c>
      <c r="P6440" s="132" t="s">
        <v>52</v>
      </c>
      <c r="Q6440" s="232"/>
      <c r="R6440" s="411"/>
      <c r="T6440" s="134" t="s">
        <v>145</v>
      </c>
      <c r="U6440" s="267" t="s">
        <v>13784</v>
      </c>
      <c r="AA6440" s="218"/>
    </row>
    <row r="6441" spans="1:27" ht="24" x14ac:dyDescent="0.25">
      <c r="A6441" s="405">
        <v>3005035</v>
      </c>
      <c r="B6441" s="406">
        <v>42663</v>
      </c>
      <c r="C6441" s="405" t="s">
        <v>42</v>
      </c>
      <c r="D6441" s="401" t="s">
        <v>13785</v>
      </c>
      <c r="E6441" s="120">
        <v>50</v>
      </c>
      <c r="F6441" s="133" t="s">
        <v>860</v>
      </c>
      <c r="G6441" s="404" t="s">
        <v>7486</v>
      </c>
      <c r="H6441" s="411">
        <v>370</v>
      </c>
      <c r="I6441" s="89">
        <f t="shared" si="2831"/>
        <v>-33.299999999999997</v>
      </c>
      <c r="J6441" s="258">
        <f t="shared" ref="J6441" si="2837">-((H6441*0.019)+0.3)</f>
        <v>-7.33</v>
      </c>
      <c r="K6441" s="90">
        <f t="shared" ref="K6441" si="2838">SUM(H6441:J6441)</f>
        <v>329.37</v>
      </c>
      <c r="L6441" s="131">
        <v>3300</v>
      </c>
      <c r="M6441" s="187">
        <v>32.020000000000003</v>
      </c>
      <c r="N6441" s="91">
        <f t="shared" si="2808"/>
        <v>197.02</v>
      </c>
      <c r="O6441" s="411">
        <f t="shared" si="2811"/>
        <v>132.35</v>
      </c>
      <c r="P6441" s="132" t="s">
        <v>52</v>
      </c>
      <c r="Q6441" s="232"/>
      <c r="R6441" s="411"/>
      <c r="T6441" s="134" t="s">
        <v>145</v>
      </c>
      <c r="U6441" s="267" t="s">
        <v>13786</v>
      </c>
      <c r="AA6441" s="218"/>
    </row>
    <row r="6442" spans="1:27" ht="24" x14ac:dyDescent="0.25">
      <c r="A6442" s="405">
        <v>3005036</v>
      </c>
      <c r="B6442" s="406">
        <v>42663</v>
      </c>
      <c r="C6442" s="405" t="s">
        <v>42</v>
      </c>
      <c r="D6442" s="401" t="s">
        <v>13787</v>
      </c>
      <c r="E6442" s="120">
        <v>50</v>
      </c>
      <c r="F6442" s="133" t="s">
        <v>288</v>
      </c>
      <c r="G6442" s="404" t="s">
        <v>7486</v>
      </c>
      <c r="H6442" s="411">
        <v>108.9</v>
      </c>
      <c r="I6442" s="89">
        <f t="shared" si="2831"/>
        <v>-9.8010000000000002</v>
      </c>
      <c r="J6442" s="258">
        <f t="shared" ref="J6442" si="2839">-((H6442*0.019)+0.3)</f>
        <v>-2.3691</v>
      </c>
      <c r="K6442" s="90">
        <f t="shared" ref="K6442" si="2840">SUM(H6442:J6442)</f>
        <v>96.729900000000001</v>
      </c>
      <c r="L6442" s="131">
        <v>900</v>
      </c>
      <c r="M6442" s="187">
        <v>27.1</v>
      </c>
      <c r="N6442" s="91">
        <f t="shared" si="2808"/>
        <v>72.099999999999994</v>
      </c>
      <c r="O6442" s="411">
        <f t="shared" si="2811"/>
        <v>24.629900000000006</v>
      </c>
      <c r="P6442" s="132" t="s">
        <v>52</v>
      </c>
      <c r="Q6442" s="232"/>
      <c r="R6442" s="411"/>
      <c r="T6442" s="134" t="s">
        <v>145</v>
      </c>
      <c r="U6442" s="267" t="s">
        <v>13788</v>
      </c>
      <c r="AA6442" s="218"/>
    </row>
    <row r="6443" spans="1:27" ht="24" x14ac:dyDescent="0.25">
      <c r="A6443" s="405">
        <v>3005037</v>
      </c>
      <c r="B6443" s="406">
        <v>42663</v>
      </c>
      <c r="C6443" s="405" t="s">
        <v>42</v>
      </c>
      <c r="D6443" s="401" t="s">
        <v>13789</v>
      </c>
      <c r="E6443" s="120">
        <v>200</v>
      </c>
      <c r="F6443" s="133" t="s">
        <v>829</v>
      </c>
      <c r="G6443" s="404" t="s">
        <v>7486</v>
      </c>
      <c r="H6443" s="411">
        <v>208.31</v>
      </c>
      <c r="I6443" s="89">
        <f t="shared" si="2831"/>
        <v>-18.747899999999998</v>
      </c>
      <c r="J6443" s="258">
        <f t="shared" ref="J6443" si="2841">-((H6443*0.019)+0.3)</f>
        <v>-4.2578899999999997</v>
      </c>
      <c r="K6443" s="90">
        <f t="shared" ref="K6443" si="2842">SUM(H6443:J6443)</f>
        <v>185.30421000000001</v>
      </c>
      <c r="L6443" s="131">
        <v>510</v>
      </c>
      <c r="M6443" s="187">
        <v>36.4</v>
      </c>
      <c r="N6443" s="91">
        <f t="shared" si="2808"/>
        <v>138.4</v>
      </c>
      <c r="O6443" s="411">
        <f t="shared" si="2811"/>
        <v>46.904210000000006</v>
      </c>
      <c r="P6443" s="132" t="s">
        <v>52</v>
      </c>
      <c r="Q6443" s="232"/>
      <c r="R6443" s="411"/>
      <c r="T6443" s="134" t="s">
        <v>145</v>
      </c>
      <c r="U6443" s="267" t="s">
        <v>13790</v>
      </c>
      <c r="AA6443" s="218"/>
    </row>
    <row r="6444" spans="1:27" ht="24" x14ac:dyDescent="0.25">
      <c r="A6444" s="405">
        <v>3005038</v>
      </c>
      <c r="B6444" s="406">
        <v>42663</v>
      </c>
      <c r="C6444" s="405" t="s">
        <v>42</v>
      </c>
      <c r="D6444" s="401" t="s">
        <v>13791</v>
      </c>
      <c r="E6444" s="120">
        <v>250</v>
      </c>
      <c r="F6444" s="133" t="s">
        <v>292</v>
      </c>
      <c r="G6444" s="404" t="s">
        <v>7486</v>
      </c>
      <c r="H6444" s="411">
        <v>183.4</v>
      </c>
      <c r="I6444" s="89">
        <f t="shared" si="2831"/>
        <v>-16.506</v>
      </c>
      <c r="J6444" s="258">
        <f t="shared" ref="J6444" si="2843">-((H6444*0.019)+0.3)</f>
        <v>-3.7845999999999997</v>
      </c>
      <c r="K6444" s="90">
        <f t="shared" ref="K6444" si="2844">SUM(H6444:J6444)</f>
        <v>163.10939999999999</v>
      </c>
      <c r="L6444" s="131">
        <v>240</v>
      </c>
      <c r="M6444" s="187">
        <v>34.6</v>
      </c>
      <c r="N6444" s="91">
        <f t="shared" si="2808"/>
        <v>94.6</v>
      </c>
      <c r="O6444" s="411">
        <f t="shared" si="2811"/>
        <v>68.509399999999999</v>
      </c>
      <c r="P6444" s="132" t="s">
        <v>52</v>
      </c>
      <c r="Q6444" s="232"/>
      <c r="R6444" s="411"/>
      <c r="T6444" s="134" t="s">
        <v>145</v>
      </c>
      <c r="U6444" s="267" t="s">
        <v>13792</v>
      </c>
      <c r="AA6444" s="218"/>
    </row>
    <row r="6445" spans="1:27" ht="24" x14ac:dyDescent="0.25">
      <c r="A6445" s="405">
        <v>3005039</v>
      </c>
      <c r="B6445" s="406">
        <v>42663</v>
      </c>
      <c r="C6445" s="405" t="s">
        <v>42</v>
      </c>
      <c r="D6445" s="401" t="s">
        <v>13793</v>
      </c>
      <c r="E6445" s="120">
        <v>50</v>
      </c>
      <c r="F6445" s="133" t="s">
        <v>300</v>
      </c>
      <c r="G6445" s="404" t="s">
        <v>7486</v>
      </c>
      <c r="H6445" s="411">
        <v>213.77</v>
      </c>
      <c r="I6445" s="89">
        <f t="shared" si="2831"/>
        <v>-19.2393</v>
      </c>
      <c r="J6445" s="258">
        <f t="shared" ref="J6445" si="2845">-((H6445*0.019)+0.3)</f>
        <v>-4.3616299999999999</v>
      </c>
      <c r="K6445" s="90">
        <f t="shared" ref="K6445" si="2846">SUM(H6445:J6445)</f>
        <v>190.16907000000003</v>
      </c>
      <c r="L6445" s="131">
        <v>2150</v>
      </c>
      <c r="M6445" s="187">
        <v>23.89</v>
      </c>
      <c r="N6445" s="91">
        <f t="shared" ref="N6445:N6461" si="2847">((L6445)*(E6445*0.001))+M6445</f>
        <v>131.38999999999999</v>
      </c>
      <c r="O6445" s="411">
        <f t="shared" si="2811"/>
        <v>58.779070000000047</v>
      </c>
      <c r="P6445" s="132" t="s">
        <v>52</v>
      </c>
      <c r="Q6445" s="232"/>
      <c r="R6445" s="411"/>
      <c r="T6445" s="134" t="s">
        <v>145</v>
      </c>
      <c r="U6445" s="267" t="s">
        <v>13794</v>
      </c>
      <c r="AA6445" s="218"/>
    </row>
    <row r="6446" spans="1:27" ht="24" x14ac:dyDescent="0.25">
      <c r="A6446" s="405">
        <v>3005040</v>
      </c>
      <c r="B6446" s="406">
        <v>42663</v>
      </c>
      <c r="C6446" s="405" t="s">
        <v>42</v>
      </c>
      <c r="D6446" s="401" t="s">
        <v>13795</v>
      </c>
      <c r="E6446" s="120">
        <v>50</v>
      </c>
      <c r="F6446" s="133" t="s">
        <v>431</v>
      </c>
      <c r="G6446" s="404" t="s">
        <v>7486</v>
      </c>
      <c r="H6446" s="411">
        <v>128.80000000000001</v>
      </c>
      <c r="I6446" s="89">
        <f t="shared" si="2831"/>
        <v>-11.592000000000001</v>
      </c>
      <c r="J6446" s="258">
        <f t="shared" ref="J6446" si="2848">-((H6446*0.019)+0.3)</f>
        <v>-2.7471999999999999</v>
      </c>
      <c r="K6446" s="90">
        <f t="shared" ref="K6446" si="2849">SUM(H6446:J6446)</f>
        <v>114.46080000000001</v>
      </c>
      <c r="L6446" s="131">
        <v>990</v>
      </c>
      <c r="M6446" s="187">
        <v>34.22</v>
      </c>
      <c r="N6446" s="91">
        <f t="shared" si="2847"/>
        <v>83.72</v>
      </c>
      <c r="O6446" s="411">
        <f t="shared" si="2811"/>
        <v>30.740800000000007</v>
      </c>
      <c r="P6446" s="132" t="s">
        <v>52</v>
      </c>
      <c r="Q6446" s="232"/>
      <c r="R6446" s="411"/>
      <c r="T6446" s="134" t="s">
        <v>145</v>
      </c>
      <c r="U6446" s="267" t="s">
        <v>13796</v>
      </c>
      <c r="AA6446" s="218"/>
    </row>
    <row r="6447" spans="1:27" ht="24" x14ac:dyDescent="0.25">
      <c r="A6447" s="405">
        <v>3005041</v>
      </c>
      <c r="B6447" s="406">
        <v>42663</v>
      </c>
      <c r="C6447" s="405" t="s">
        <v>42</v>
      </c>
      <c r="D6447" s="401" t="s">
        <v>13797</v>
      </c>
      <c r="E6447" s="120">
        <v>200</v>
      </c>
      <c r="F6447" s="133" t="s">
        <v>422</v>
      </c>
      <c r="G6447" s="404" t="s">
        <v>7486</v>
      </c>
      <c r="H6447" s="411">
        <v>353.74</v>
      </c>
      <c r="I6447" s="89">
        <f t="shared" si="2831"/>
        <v>-31.836600000000001</v>
      </c>
      <c r="J6447" s="258">
        <f t="shared" ref="J6447" si="2850">-((H6447*0.019)+0.3)</f>
        <v>-7.0210599999999994</v>
      </c>
      <c r="K6447" s="90">
        <f t="shared" ref="K6447" si="2851">SUM(H6447:J6447)</f>
        <v>314.88234000000006</v>
      </c>
      <c r="L6447" s="131">
        <v>640</v>
      </c>
      <c r="M6447" s="187">
        <v>42.44</v>
      </c>
      <c r="N6447" s="91">
        <f t="shared" si="2847"/>
        <v>170.44</v>
      </c>
      <c r="O6447" s="411">
        <f t="shared" si="2811"/>
        <v>144.44234000000006</v>
      </c>
      <c r="P6447" s="132" t="s">
        <v>52</v>
      </c>
      <c r="Q6447" s="232"/>
      <c r="R6447" s="411"/>
      <c r="T6447" s="134" t="s">
        <v>145</v>
      </c>
      <c r="U6447" s="267" t="s">
        <v>13798</v>
      </c>
      <c r="AA6447" s="218"/>
    </row>
    <row r="6448" spans="1:27" ht="24" x14ac:dyDescent="0.25">
      <c r="A6448" s="405">
        <v>3005042</v>
      </c>
      <c r="B6448" s="406">
        <v>42663</v>
      </c>
      <c r="C6448" s="405" t="s">
        <v>42</v>
      </c>
      <c r="D6448" s="401" t="s">
        <v>13799</v>
      </c>
      <c r="E6448" s="120">
        <v>250</v>
      </c>
      <c r="F6448" s="133" t="s">
        <v>824</v>
      </c>
      <c r="G6448" s="404" t="s">
        <v>7486</v>
      </c>
      <c r="H6448" s="411">
        <v>97.95</v>
      </c>
      <c r="I6448" s="89">
        <f t="shared" si="2831"/>
        <v>-8.8155000000000001</v>
      </c>
      <c r="J6448" s="258">
        <f t="shared" ref="J6448" si="2852">-((H6448*0.019)+0.3)</f>
        <v>-2.1610499999999999</v>
      </c>
      <c r="K6448" s="90">
        <f t="shared" ref="K6448" si="2853">SUM(H6448:J6448)</f>
        <v>86.97345</v>
      </c>
      <c r="M6448" s="187">
        <v>19.52</v>
      </c>
      <c r="N6448" s="91">
        <f t="shared" si="2847"/>
        <v>19.52</v>
      </c>
      <c r="O6448" s="411">
        <f t="shared" si="2811"/>
        <v>67.453450000000004</v>
      </c>
      <c r="P6448" s="132" t="s">
        <v>52</v>
      </c>
      <c r="Q6448" s="232"/>
      <c r="R6448" s="411"/>
      <c r="T6448" s="134" t="s">
        <v>145</v>
      </c>
      <c r="U6448" s="267" t="s">
        <v>13800</v>
      </c>
      <c r="AA6448" s="218"/>
    </row>
    <row r="6449" spans="1:27" ht="24" x14ac:dyDescent="0.25">
      <c r="A6449" s="405">
        <v>3005043</v>
      </c>
      <c r="B6449" s="406">
        <v>42663</v>
      </c>
      <c r="C6449" s="405" t="s">
        <v>237</v>
      </c>
      <c r="D6449" s="401" t="s">
        <v>13801</v>
      </c>
      <c r="E6449" s="120">
        <v>100</v>
      </c>
      <c r="F6449" s="133" t="s">
        <v>288</v>
      </c>
      <c r="G6449" s="404" t="s">
        <v>7486</v>
      </c>
      <c r="H6449" s="411">
        <v>190</v>
      </c>
      <c r="I6449" s="397">
        <f t="shared" ref="I6449" si="2854">-(H6449*0.15)</f>
        <v>-28.5</v>
      </c>
      <c r="J6449" s="258">
        <v>0</v>
      </c>
      <c r="K6449" s="90">
        <f>SUM(H6449:J6449)</f>
        <v>161.5</v>
      </c>
      <c r="L6449" s="131">
        <v>900</v>
      </c>
      <c r="M6449" s="187">
        <v>30.29</v>
      </c>
      <c r="N6449" s="91">
        <f t="shared" si="2847"/>
        <v>120.28999999999999</v>
      </c>
      <c r="O6449" s="411">
        <f t="shared" si="2811"/>
        <v>41.210000000000008</v>
      </c>
      <c r="P6449" s="132" t="s">
        <v>52</v>
      </c>
      <c r="Q6449" s="232"/>
      <c r="R6449" s="411"/>
      <c r="T6449" s="134" t="s">
        <v>145</v>
      </c>
      <c r="U6449" s="267" t="s">
        <v>13802</v>
      </c>
      <c r="AA6449" s="218"/>
    </row>
    <row r="6450" spans="1:27" ht="24" x14ac:dyDescent="0.25">
      <c r="A6450" s="405">
        <v>3005044</v>
      </c>
      <c r="B6450" s="406">
        <v>42663</v>
      </c>
      <c r="C6450" s="405" t="s">
        <v>237</v>
      </c>
      <c r="D6450" s="401" t="s">
        <v>13803</v>
      </c>
      <c r="E6450" s="120">
        <v>50</v>
      </c>
      <c r="F6450" s="133" t="s">
        <v>431</v>
      </c>
      <c r="G6450" s="404" t="s">
        <v>7486</v>
      </c>
      <c r="H6450" s="411">
        <v>127.19</v>
      </c>
      <c r="I6450" s="397">
        <f t="shared" ref="I6450" si="2855">-(H6450*0.15)</f>
        <v>-19.078499999999998</v>
      </c>
      <c r="J6450" s="258">
        <v>0</v>
      </c>
      <c r="K6450" s="90">
        <f>SUM(H6450:J6450)</f>
        <v>108.11150000000001</v>
      </c>
      <c r="L6450" s="131">
        <v>900</v>
      </c>
      <c r="M6450" s="187">
        <v>34.22</v>
      </c>
      <c r="N6450" s="91">
        <f t="shared" si="2847"/>
        <v>79.22</v>
      </c>
      <c r="O6450" s="411">
        <f t="shared" si="2811"/>
        <v>28.891500000000008</v>
      </c>
      <c r="P6450" s="132" t="s">
        <v>52</v>
      </c>
      <c r="Q6450" s="232"/>
      <c r="R6450" s="411"/>
      <c r="T6450" s="134" t="s">
        <v>145</v>
      </c>
      <c r="U6450" s="267" t="s">
        <v>13804</v>
      </c>
      <c r="AA6450" s="218"/>
    </row>
    <row r="6451" spans="1:27" x14ac:dyDescent="0.25">
      <c r="A6451" s="419">
        <v>3005045</v>
      </c>
      <c r="B6451" s="421">
        <v>42663</v>
      </c>
      <c r="C6451" s="419" t="s">
        <v>237</v>
      </c>
      <c r="D6451" s="417" t="s">
        <v>13805</v>
      </c>
      <c r="E6451" s="120">
        <v>15</v>
      </c>
      <c r="F6451" s="133" t="s">
        <v>4407</v>
      </c>
      <c r="G6451" s="434" t="s">
        <v>7486</v>
      </c>
      <c r="H6451" s="427">
        <v>100</v>
      </c>
      <c r="I6451" s="452">
        <f t="shared" ref="I6451" si="2856">-(H6451*0.15)</f>
        <v>-15</v>
      </c>
      <c r="J6451" s="425">
        <v>0</v>
      </c>
      <c r="K6451" s="425">
        <f>SUM(H6451:J6451)</f>
        <v>85</v>
      </c>
      <c r="L6451" s="187">
        <v>2200</v>
      </c>
      <c r="M6451" s="187">
        <v>20.45</v>
      </c>
      <c r="N6451" s="91">
        <f t="shared" si="2847"/>
        <v>53.45</v>
      </c>
      <c r="O6451" s="411">
        <f t="shared" si="2811"/>
        <v>31.549999999999997</v>
      </c>
      <c r="P6451" s="132" t="s">
        <v>601</v>
      </c>
      <c r="Q6451" s="232"/>
      <c r="R6451" s="411"/>
      <c r="T6451" s="439" t="s">
        <v>145</v>
      </c>
      <c r="U6451" s="446" t="s">
        <v>13806</v>
      </c>
      <c r="AA6451" s="218"/>
    </row>
    <row r="6452" spans="1:27" x14ac:dyDescent="0.25">
      <c r="A6452" s="420"/>
      <c r="B6452" s="422"/>
      <c r="C6452" s="420"/>
      <c r="D6452" s="418"/>
      <c r="E6452" s="120">
        <v>15</v>
      </c>
      <c r="F6452" s="133" t="s">
        <v>1507</v>
      </c>
      <c r="G6452" s="436"/>
      <c r="H6452" s="428"/>
      <c r="I6452" s="453"/>
      <c r="J6452" s="426"/>
      <c r="K6452" s="426"/>
      <c r="L6452" s="187">
        <v>2251</v>
      </c>
      <c r="N6452" s="91">
        <f t="shared" si="2847"/>
        <v>33.765000000000001</v>
      </c>
      <c r="O6452" s="411">
        <f t="shared" si="2811"/>
        <v>-33.765000000000001</v>
      </c>
      <c r="P6452" s="132" t="s">
        <v>601</v>
      </c>
      <c r="Q6452" s="232"/>
      <c r="R6452" s="411"/>
      <c r="T6452" s="441"/>
      <c r="U6452" s="447"/>
      <c r="AA6452" s="218"/>
    </row>
    <row r="6453" spans="1:27" ht="24" x14ac:dyDescent="0.25">
      <c r="A6453" s="405">
        <v>3005046</v>
      </c>
      <c r="B6453" s="406">
        <v>42663</v>
      </c>
      <c r="C6453" s="405" t="s">
        <v>237</v>
      </c>
      <c r="D6453" s="401" t="s">
        <v>13807</v>
      </c>
      <c r="E6453" s="120">
        <v>100</v>
      </c>
      <c r="F6453" s="133" t="s">
        <v>247</v>
      </c>
      <c r="G6453" s="404" t="s">
        <v>7486</v>
      </c>
      <c r="H6453" s="411">
        <v>113.6</v>
      </c>
      <c r="I6453" s="397">
        <f t="shared" ref="I6453" si="2857">-(H6453*0.15)</f>
        <v>-17.04</v>
      </c>
      <c r="J6453" s="258">
        <v>0</v>
      </c>
      <c r="K6453" s="90">
        <f>SUM(H6453:J6453)</f>
        <v>96.56</v>
      </c>
      <c r="L6453" s="131">
        <v>424</v>
      </c>
      <c r="M6453" s="187">
        <v>29.6</v>
      </c>
      <c r="N6453" s="91">
        <f t="shared" si="2847"/>
        <v>72</v>
      </c>
      <c r="O6453" s="411">
        <f t="shared" si="2811"/>
        <v>24.560000000000002</v>
      </c>
      <c r="P6453" s="132" t="s">
        <v>52</v>
      </c>
      <c r="Q6453" s="232"/>
      <c r="R6453" s="411"/>
      <c r="T6453" s="134" t="s">
        <v>145</v>
      </c>
      <c r="U6453" s="267" t="s">
        <v>13808</v>
      </c>
      <c r="AA6453" s="218"/>
    </row>
    <row r="6454" spans="1:27" ht="24" x14ac:dyDescent="0.25">
      <c r="A6454" s="405">
        <v>3005047</v>
      </c>
      <c r="B6454" s="406">
        <v>42663</v>
      </c>
      <c r="C6454" s="405" t="s">
        <v>237</v>
      </c>
      <c r="D6454" s="401" t="s">
        <v>13809</v>
      </c>
      <c r="E6454" s="120">
        <v>200</v>
      </c>
      <c r="F6454" s="133" t="s">
        <v>247</v>
      </c>
      <c r="G6454" s="404" t="s">
        <v>7486</v>
      </c>
      <c r="H6454" s="411">
        <v>185</v>
      </c>
      <c r="I6454" s="397">
        <f t="shared" ref="I6454" si="2858">-(H6454*0.15)</f>
        <v>-27.75</v>
      </c>
      <c r="J6454" s="258">
        <v>0</v>
      </c>
      <c r="K6454" s="90">
        <f>SUM(H6454:J6454)</f>
        <v>157.25</v>
      </c>
      <c r="L6454" s="131">
        <v>424</v>
      </c>
      <c r="M6454" s="187">
        <v>34.630000000000003</v>
      </c>
      <c r="N6454" s="91">
        <f t="shared" si="2847"/>
        <v>119.43</v>
      </c>
      <c r="O6454" s="411">
        <f t="shared" si="2811"/>
        <v>37.819999999999993</v>
      </c>
      <c r="P6454" s="132" t="s">
        <v>52</v>
      </c>
      <c r="Q6454" s="232"/>
      <c r="R6454" s="411"/>
      <c r="T6454" s="134" t="s">
        <v>145</v>
      </c>
      <c r="U6454" s="267" t="s">
        <v>13810</v>
      </c>
      <c r="AA6454" s="218"/>
    </row>
    <row r="6455" spans="1:27" ht="24" x14ac:dyDescent="0.25">
      <c r="A6455" s="405">
        <v>3005048</v>
      </c>
      <c r="B6455" s="406">
        <v>42663</v>
      </c>
      <c r="C6455" s="405" t="s">
        <v>237</v>
      </c>
      <c r="D6455" s="401" t="s">
        <v>10282</v>
      </c>
      <c r="E6455" s="120">
        <v>150</v>
      </c>
      <c r="F6455" s="133" t="s">
        <v>247</v>
      </c>
      <c r="G6455" s="404" t="s">
        <v>7486</v>
      </c>
      <c r="H6455" s="411">
        <v>145</v>
      </c>
      <c r="I6455" s="397">
        <f t="shared" ref="I6455:I6456" si="2859">-(H6455*0.15)</f>
        <v>-21.75</v>
      </c>
      <c r="J6455" s="258">
        <v>0</v>
      </c>
      <c r="K6455" s="90">
        <f>SUM(H6455:J6455)</f>
        <v>123.25</v>
      </c>
      <c r="L6455" s="131">
        <v>424</v>
      </c>
      <c r="M6455" s="362">
        <v>14.24</v>
      </c>
      <c r="N6455" s="91">
        <f t="shared" si="2847"/>
        <v>77.839999999999989</v>
      </c>
      <c r="O6455" s="411">
        <f t="shared" si="2811"/>
        <v>45.410000000000011</v>
      </c>
      <c r="P6455" s="132" t="s">
        <v>52</v>
      </c>
      <c r="Q6455" s="232"/>
      <c r="R6455" s="411"/>
      <c r="T6455" s="134" t="s">
        <v>145</v>
      </c>
      <c r="U6455" s="267" t="s">
        <v>13811</v>
      </c>
      <c r="AA6455" s="218"/>
    </row>
    <row r="6456" spans="1:27" x14ac:dyDescent="0.25">
      <c r="A6456" s="419">
        <v>3005049</v>
      </c>
      <c r="B6456" s="421">
        <v>42663</v>
      </c>
      <c r="C6456" s="419" t="s">
        <v>237</v>
      </c>
      <c r="D6456" s="417" t="s">
        <v>13812</v>
      </c>
      <c r="E6456" s="120">
        <v>25</v>
      </c>
      <c r="F6456" s="133" t="s">
        <v>2483</v>
      </c>
      <c r="G6456" s="434" t="s">
        <v>7486</v>
      </c>
      <c r="H6456" s="427">
        <v>148.91</v>
      </c>
      <c r="I6456" s="452">
        <f t="shared" si="2859"/>
        <v>-22.336499999999997</v>
      </c>
      <c r="J6456" s="425">
        <v>0</v>
      </c>
      <c r="K6456" s="425">
        <f>SUM(H6456:J6456)</f>
        <v>126.5735</v>
      </c>
      <c r="L6456" s="187">
        <v>1410</v>
      </c>
      <c r="M6456" s="187">
        <f>59.2+26.59</f>
        <v>85.79</v>
      </c>
      <c r="N6456" s="91">
        <f t="shared" si="2847"/>
        <v>121.04</v>
      </c>
      <c r="O6456" s="411">
        <f t="shared" si="2811"/>
        <v>5.5334999999999894</v>
      </c>
      <c r="P6456" s="132" t="s">
        <v>601</v>
      </c>
      <c r="Q6456" s="232"/>
      <c r="R6456" s="411"/>
      <c r="T6456" s="439" t="s">
        <v>145</v>
      </c>
      <c r="U6456" s="446" t="s">
        <v>13813</v>
      </c>
      <c r="AA6456" s="218"/>
    </row>
    <row r="6457" spans="1:27" x14ac:dyDescent="0.25">
      <c r="A6457" s="420"/>
      <c r="B6457" s="422"/>
      <c r="C6457" s="420"/>
      <c r="D6457" s="418"/>
      <c r="E6457" s="120">
        <v>25</v>
      </c>
      <c r="F6457" s="133" t="s">
        <v>3345</v>
      </c>
      <c r="G6457" s="436"/>
      <c r="H6457" s="428"/>
      <c r="I6457" s="453"/>
      <c r="J6457" s="426"/>
      <c r="K6457" s="426"/>
      <c r="L6457" s="187">
        <v>1440</v>
      </c>
      <c r="N6457" s="91">
        <f t="shared" si="2847"/>
        <v>36</v>
      </c>
      <c r="O6457" s="411">
        <f t="shared" si="2811"/>
        <v>-36</v>
      </c>
      <c r="P6457" s="132" t="s">
        <v>601</v>
      </c>
      <c r="Q6457" s="232"/>
      <c r="R6457" s="411"/>
      <c r="T6457" s="441"/>
      <c r="U6457" s="447"/>
      <c r="AA6457" s="218"/>
    </row>
    <row r="6458" spans="1:27" ht="24" x14ac:dyDescent="0.25">
      <c r="A6458" s="405">
        <v>3005050</v>
      </c>
      <c r="B6458" s="406">
        <v>42663</v>
      </c>
      <c r="C6458" s="405" t="s">
        <v>237</v>
      </c>
      <c r="D6458" s="401" t="s">
        <v>13814</v>
      </c>
      <c r="E6458" s="120">
        <v>50</v>
      </c>
      <c r="F6458" s="133" t="s">
        <v>161</v>
      </c>
      <c r="G6458" s="404" t="s">
        <v>7486</v>
      </c>
      <c r="H6458" s="411">
        <v>124.46</v>
      </c>
      <c r="I6458" s="397">
        <f t="shared" ref="I6458" si="2860">-(H6458*0.15)</f>
        <v>-18.668999999999997</v>
      </c>
      <c r="J6458" s="258">
        <v>0</v>
      </c>
      <c r="K6458" s="90">
        <f t="shared" ref="K6458:K6463" si="2861">SUM(H6458:J6458)</f>
        <v>105.791</v>
      </c>
      <c r="L6458" s="131">
        <v>1322</v>
      </c>
      <c r="M6458" s="187">
        <v>33.200000000000003</v>
      </c>
      <c r="N6458" s="91">
        <f t="shared" si="2847"/>
        <v>99.300000000000011</v>
      </c>
      <c r="O6458" s="411">
        <f t="shared" si="2811"/>
        <v>6.4909999999999854</v>
      </c>
      <c r="P6458" s="132" t="s">
        <v>52</v>
      </c>
      <c r="Q6458" s="232"/>
      <c r="R6458" s="411"/>
      <c r="T6458" s="134" t="s">
        <v>145</v>
      </c>
      <c r="U6458" s="267" t="s">
        <v>13815</v>
      </c>
      <c r="AA6458" s="218"/>
    </row>
    <row r="6459" spans="1:27" ht="24" x14ac:dyDescent="0.25">
      <c r="A6459" s="405">
        <v>3005051</v>
      </c>
      <c r="B6459" s="406">
        <v>42663</v>
      </c>
      <c r="C6459" s="405" t="s">
        <v>237</v>
      </c>
      <c r="D6459" s="401" t="s">
        <v>11620</v>
      </c>
      <c r="E6459" s="120">
        <v>100</v>
      </c>
      <c r="F6459" s="133" t="s">
        <v>341</v>
      </c>
      <c r="G6459" s="404" t="s">
        <v>7486</v>
      </c>
      <c r="H6459" s="411">
        <v>138.57</v>
      </c>
      <c r="I6459" s="397">
        <f t="shared" ref="I6459" si="2862">-(H6459*0.15)</f>
        <v>-20.785499999999999</v>
      </c>
      <c r="J6459" s="258">
        <v>0</v>
      </c>
      <c r="K6459" s="90">
        <f t="shared" si="2861"/>
        <v>117.78449999999999</v>
      </c>
      <c r="L6459" s="131">
        <v>695</v>
      </c>
      <c r="M6459" s="187">
        <v>31.71</v>
      </c>
      <c r="N6459" s="91">
        <f t="shared" si="2847"/>
        <v>101.21000000000001</v>
      </c>
      <c r="O6459" s="411">
        <f t="shared" si="2811"/>
        <v>16.574499999999986</v>
      </c>
      <c r="P6459" s="132" t="s">
        <v>52</v>
      </c>
      <c r="Q6459" s="232"/>
      <c r="R6459" s="411"/>
      <c r="T6459" s="134" t="s">
        <v>145</v>
      </c>
      <c r="U6459" s="267" t="s">
        <v>13816</v>
      </c>
      <c r="AA6459" s="218"/>
    </row>
    <row r="6460" spans="1:27" ht="24" x14ac:dyDescent="0.25">
      <c r="A6460" s="405">
        <v>3005052</v>
      </c>
      <c r="B6460" s="406">
        <v>42663</v>
      </c>
      <c r="C6460" s="405" t="s">
        <v>237</v>
      </c>
      <c r="D6460" s="401" t="s">
        <v>13817</v>
      </c>
      <c r="E6460" s="120">
        <v>50</v>
      </c>
      <c r="F6460" s="133" t="s">
        <v>161</v>
      </c>
      <c r="G6460" s="404" t="s">
        <v>7486</v>
      </c>
      <c r="H6460" s="411">
        <v>116</v>
      </c>
      <c r="I6460" s="397">
        <f t="shared" ref="I6460" si="2863">-(H6460*0.15)</f>
        <v>-17.399999999999999</v>
      </c>
      <c r="J6460" s="258">
        <v>0</v>
      </c>
      <c r="K6460" s="90">
        <f t="shared" si="2861"/>
        <v>98.6</v>
      </c>
      <c r="L6460" s="131">
        <v>1322</v>
      </c>
      <c r="M6460" s="187">
        <v>29.81</v>
      </c>
      <c r="N6460" s="91">
        <f t="shared" si="2847"/>
        <v>95.910000000000011</v>
      </c>
      <c r="O6460" s="411">
        <f t="shared" si="2811"/>
        <v>2.6899999999999835</v>
      </c>
      <c r="P6460" s="132" t="s">
        <v>52</v>
      </c>
      <c r="Q6460" s="232"/>
      <c r="R6460" s="411"/>
      <c r="T6460" s="134" t="s">
        <v>145</v>
      </c>
      <c r="U6460" s="267" t="s">
        <v>13818</v>
      </c>
      <c r="AA6460" s="218"/>
    </row>
    <row r="6461" spans="1:27" ht="24" x14ac:dyDescent="0.25">
      <c r="A6461" s="405">
        <v>3005053</v>
      </c>
      <c r="B6461" s="406">
        <v>42663</v>
      </c>
      <c r="C6461" s="405" t="s">
        <v>280</v>
      </c>
      <c r="D6461" s="401" t="s">
        <v>13533</v>
      </c>
      <c r="E6461" s="120">
        <v>50</v>
      </c>
      <c r="F6461" s="133" t="s">
        <v>161</v>
      </c>
      <c r="G6461" s="404" t="s">
        <v>7486</v>
      </c>
      <c r="H6461" s="411">
        <v>142</v>
      </c>
      <c r="I6461" s="399">
        <v>0</v>
      </c>
      <c r="J6461" s="396">
        <f>-((H6461*0.022)+0.3)</f>
        <v>-3.4239999999999995</v>
      </c>
      <c r="K6461" s="396">
        <f t="shared" si="2861"/>
        <v>138.57599999999999</v>
      </c>
      <c r="L6461" s="131">
        <v>1322</v>
      </c>
      <c r="M6461" s="187">
        <v>29.79</v>
      </c>
      <c r="N6461" s="91">
        <f t="shared" si="2847"/>
        <v>95.890000000000015</v>
      </c>
      <c r="O6461" s="411">
        <f t="shared" si="2811"/>
        <v>42.685999999999979</v>
      </c>
      <c r="P6461" s="132" t="s">
        <v>52</v>
      </c>
      <c r="Q6461" s="232"/>
      <c r="R6461" s="411"/>
      <c r="T6461" s="134" t="s">
        <v>145</v>
      </c>
      <c r="U6461" s="267" t="s">
        <v>13819</v>
      </c>
      <c r="W6461" s="153" t="s">
        <v>13820</v>
      </c>
      <c r="AA6461" s="218"/>
    </row>
    <row r="6462" spans="1:27" x14ac:dyDescent="0.25">
      <c r="A6462" s="405">
        <v>3005054</v>
      </c>
      <c r="B6462" s="406">
        <v>42663</v>
      </c>
      <c r="C6462" s="405" t="s">
        <v>56</v>
      </c>
      <c r="D6462" s="401" t="s">
        <v>1932</v>
      </c>
      <c r="E6462" s="120">
        <v>828</v>
      </c>
      <c r="F6462" s="133" t="s">
        <v>13821</v>
      </c>
      <c r="G6462" s="404" t="s">
        <v>7486</v>
      </c>
      <c r="H6462" s="411">
        <v>2235.6</v>
      </c>
      <c r="I6462" s="411">
        <v>0</v>
      </c>
      <c r="J6462" s="411">
        <v>0</v>
      </c>
      <c r="K6462" s="396">
        <f t="shared" si="2861"/>
        <v>2235.6</v>
      </c>
      <c r="L6462" s="187">
        <v>2200</v>
      </c>
      <c r="M6462" s="224">
        <v>217.46</v>
      </c>
      <c r="N6462" s="91">
        <f t="shared" ref="N6462:N6525" si="2864">((L6462)*(E6462*0.001))+M6462</f>
        <v>2039.0600000000002</v>
      </c>
      <c r="O6462" s="411">
        <f t="shared" si="2811"/>
        <v>196.53999999999974</v>
      </c>
      <c r="P6462" s="132" t="s">
        <v>46</v>
      </c>
      <c r="Q6462" s="232"/>
      <c r="R6462" s="411"/>
      <c r="T6462" s="134" t="s">
        <v>875</v>
      </c>
      <c r="U6462" s="267" t="s">
        <v>13822</v>
      </c>
      <c r="V6462" s="133" t="s">
        <v>55</v>
      </c>
      <c r="AA6462" s="218"/>
    </row>
    <row r="6463" spans="1:27" x14ac:dyDescent="0.25">
      <c r="A6463" s="419">
        <v>3005055</v>
      </c>
      <c r="B6463" s="421">
        <v>42663</v>
      </c>
      <c r="C6463" s="419" t="s">
        <v>237</v>
      </c>
      <c r="D6463" s="417" t="s">
        <v>13823</v>
      </c>
      <c r="E6463" s="120">
        <v>100</v>
      </c>
      <c r="F6463" s="133" t="s">
        <v>10699</v>
      </c>
      <c r="G6463" s="434" t="s">
        <v>7486</v>
      </c>
      <c r="H6463" s="427">
        <v>115</v>
      </c>
      <c r="I6463" s="452">
        <f t="shared" ref="I6463" si="2865">-(H6463*0.15)</f>
        <v>-17.25</v>
      </c>
      <c r="J6463" s="425">
        <v>0</v>
      </c>
      <c r="K6463" s="425">
        <f t="shared" si="2861"/>
        <v>97.75</v>
      </c>
      <c r="L6463" s="187">
        <v>341</v>
      </c>
      <c r="M6463" s="187">
        <v>27.56</v>
      </c>
      <c r="N6463" s="91">
        <f t="shared" si="2864"/>
        <v>61.66</v>
      </c>
      <c r="O6463" s="411">
        <f t="shared" si="2811"/>
        <v>36.090000000000003</v>
      </c>
      <c r="P6463" s="132" t="s">
        <v>601</v>
      </c>
      <c r="Q6463" s="232"/>
      <c r="R6463" s="411"/>
      <c r="T6463" s="439" t="s">
        <v>145</v>
      </c>
      <c r="U6463" s="446" t="s">
        <v>13824</v>
      </c>
      <c r="AA6463" s="218"/>
    </row>
    <row r="6464" spans="1:27" x14ac:dyDescent="0.25">
      <c r="A6464" s="420"/>
      <c r="B6464" s="422"/>
      <c r="C6464" s="420"/>
      <c r="D6464" s="418"/>
      <c r="E6464" s="120">
        <v>100</v>
      </c>
      <c r="F6464" s="133" t="s">
        <v>10165</v>
      </c>
      <c r="G6464" s="436"/>
      <c r="H6464" s="428"/>
      <c r="I6464" s="453"/>
      <c r="J6464" s="426"/>
      <c r="K6464" s="426"/>
      <c r="L6464" s="187">
        <v>349</v>
      </c>
      <c r="M6464" s="187">
        <v>0</v>
      </c>
      <c r="N6464" s="91">
        <f t="shared" si="2864"/>
        <v>34.9</v>
      </c>
      <c r="O6464" s="411">
        <f t="shared" si="2811"/>
        <v>-34.9</v>
      </c>
      <c r="P6464" s="132" t="s">
        <v>601</v>
      </c>
      <c r="Q6464" s="232"/>
      <c r="R6464" s="411"/>
      <c r="T6464" s="441"/>
      <c r="U6464" s="447"/>
      <c r="AA6464" s="218"/>
    </row>
    <row r="6465" spans="1:27" x14ac:dyDescent="0.25">
      <c r="A6465" s="405">
        <v>3005056</v>
      </c>
      <c r="B6465" s="406">
        <v>42663</v>
      </c>
      <c r="C6465" s="405" t="s">
        <v>237</v>
      </c>
      <c r="D6465" s="401" t="s">
        <v>13825</v>
      </c>
      <c r="E6465" s="120">
        <v>1000</v>
      </c>
      <c r="F6465" s="133" t="s">
        <v>877</v>
      </c>
      <c r="G6465" s="404" t="s">
        <v>7486</v>
      </c>
      <c r="H6465" s="411">
        <v>235.35</v>
      </c>
      <c r="I6465" s="397">
        <f t="shared" ref="I6465" si="2866">-(H6465*0.15)</f>
        <v>-35.302499999999995</v>
      </c>
      <c r="J6465" s="258">
        <v>0</v>
      </c>
      <c r="K6465" s="90">
        <f>SUM(H6465:J6465)</f>
        <v>200.04750000000001</v>
      </c>
      <c r="L6465" s="131">
        <v>240</v>
      </c>
      <c r="M6465" s="131">
        <v>0</v>
      </c>
      <c r="N6465" s="91">
        <f t="shared" si="2864"/>
        <v>240</v>
      </c>
      <c r="O6465" s="411">
        <f t="shared" si="2811"/>
        <v>-39.952499999999986</v>
      </c>
      <c r="P6465" s="132" t="s">
        <v>7021</v>
      </c>
      <c r="Q6465" s="232"/>
      <c r="R6465" s="411"/>
      <c r="T6465" s="134" t="s">
        <v>314</v>
      </c>
      <c r="U6465" s="267" t="s">
        <v>13826</v>
      </c>
      <c r="AA6465" s="218"/>
    </row>
    <row r="6466" spans="1:27" x14ac:dyDescent="0.25">
      <c r="A6466" s="405">
        <v>3005057</v>
      </c>
      <c r="B6466" s="406">
        <v>42663</v>
      </c>
      <c r="C6466" s="405" t="s">
        <v>237</v>
      </c>
      <c r="D6466" s="401" t="s">
        <v>13827</v>
      </c>
      <c r="E6466" s="120">
        <v>275</v>
      </c>
      <c r="F6466" s="133" t="s">
        <v>222</v>
      </c>
      <c r="G6466" s="404" t="s">
        <v>7486</v>
      </c>
      <c r="H6466" s="411">
        <v>385</v>
      </c>
      <c r="I6466" s="397">
        <f t="shared" ref="I6466" si="2867">-(H6466*0.15)</f>
        <v>-57.75</v>
      </c>
      <c r="J6466" s="258">
        <v>0</v>
      </c>
      <c r="K6466" s="90">
        <f>SUM(H6466:J6466)</f>
        <v>327.25</v>
      </c>
      <c r="L6466" s="131">
        <v>670</v>
      </c>
      <c r="M6466" s="187">
        <v>182.32</v>
      </c>
      <c r="N6466" s="91">
        <f t="shared" si="2864"/>
        <v>366.57000000000005</v>
      </c>
      <c r="O6466" s="411">
        <f t="shared" si="2811"/>
        <v>-39.32000000000005</v>
      </c>
      <c r="P6466" s="132" t="s">
        <v>86</v>
      </c>
      <c r="Q6466" s="232"/>
      <c r="R6466" s="411"/>
      <c r="T6466" s="134" t="s">
        <v>7260</v>
      </c>
      <c r="U6466" s="267" t="s">
        <v>13828</v>
      </c>
      <c r="AA6466" s="218"/>
    </row>
    <row r="6467" spans="1:27" ht="24" x14ac:dyDescent="0.25">
      <c r="A6467" s="405">
        <v>3005058</v>
      </c>
      <c r="B6467" s="406">
        <v>42663</v>
      </c>
      <c r="C6467" s="405" t="s">
        <v>42</v>
      </c>
      <c r="D6467" s="401" t="s">
        <v>13829</v>
      </c>
      <c r="E6467" s="120">
        <v>50</v>
      </c>
      <c r="F6467" s="133" t="s">
        <v>5217</v>
      </c>
      <c r="G6467" s="404" t="s">
        <v>7486</v>
      </c>
      <c r="H6467" s="411">
        <v>98.56</v>
      </c>
      <c r="I6467" s="89">
        <f>-(H6467*0.09)</f>
        <v>-8.8704000000000001</v>
      </c>
      <c r="J6467" s="258">
        <f t="shared" ref="J6467" si="2868">-((H6467*0.019)+0.3)</f>
        <v>-2.1726399999999999</v>
      </c>
      <c r="K6467" s="90">
        <f t="shared" ref="K6467" si="2869">SUM(H6467:J6467)</f>
        <v>87.516959999999997</v>
      </c>
      <c r="M6467" s="187">
        <v>25.59</v>
      </c>
      <c r="N6467" s="91">
        <f t="shared" si="2864"/>
        <v>25.59</v>
      </c>
      <c r="O6467" s="411">
        <f t="shared" si="2811"/>
        <v>61.926959999999994</v>
      </c>
      <c r="P6467" s="132" t="s">
        <v>52</v>
      </c>
      <c r="Q6467" s="232"/>
      <c r="R6467" s="411"/>
      <c r="T6467" s="134" t="s">
        <v>145</v>
      </c>
      <c r="U6467" s="267" t="s">
        <v>13830</v>
      </c>
      <c r="AA6467" s="218"/>
    </row>
    <row r="6468" spans="1:27" ht="24" x14ac:dyDescent="0.25">
      <c r="A6468" s="405">
        <v>3005059</v>
      </c>
      <c r="B6468" s="406">
        <v>42663</v>
      </c>
      <c r="C6468" s="405" t="s">
        <v>42</v>
      </c>
      <c r="D6468" s="401" t="s">
        <v>13831</v>
      </c>
      <c r="E6468" s="120">
        <v>500</v>
      </c>
      <c r="F6468" s="133" t="s">
        <v>13832</v>
      </c>
      <c r="G6468" s="404" t="s">
        <v>7486</v>
      </c>
      <c r="H6468" s="411">
        <v>637.55999999999995</v>
      </c>
      <c r="I6468" s="89">
        <f>-(H6468*0.09)</f>
        <v>-57.380399999999995</v>
      </c>
      <c r="J6468" s="258">
        <f t="shared" ref="J6468" si="2870">-((H6468*0.019)+0.3)</f>
        <v>-12.413639999999999</v>
      </c>
      <c r="K6468" s="90">
        <f t="shared" ref="K6468" si="2871">SUM(H6468:J6468)</f>
        <v>567.76595999999995</v>
      </c>
      <c r="L6468" s="131">
        <v>680</v>
      </c>
      <c r="M6468" s="187">
        <f>55.95+55.95</f>
        <v>111.9</v>
      </c>
      <c r="N6468" s="91">
        <f t="shared" si="2864"/>
        <v>451.9</v>
      </c>
      <c r="O6468" s="411">
        <f t="shared" ref="O6468:O6531" si="2872">K6468-N6468</f>
        <v>115.86595999999997</v>
      </c>
      <c r="P6468" s="132" t="s">
        <v>52</v>
      </c>
      <c r="Q6468" s="232"/>
      <c r="R6468" s="411"/>
      <c r="T6468" s="134" t="s">
        <v>145</v>
      </c>
      <c r="U6468" s="267" t="s">
        <v>13833</v>
      </c>
      <c r="AA6468" s="218"/>
    </row>
    <row r="6469" spans="1:27" ht="24" x14ac:dyDescent="0.25">
      <c r="A6469" s="405">
        <v>3005060</v>
      </c>
      <c r="B6469" s="406">
        <v>42663</v>
      </c>
      <c r="C6469" s="405" t="s">
        <v>42</v>
      </c>
      <c r="D6469" s="401" t="s">
        <v>13572</v>
      </c>
      <c r="E6469" s="120">
        <v>500</v>
      </c>
      <c r="F6469" s="133" t="s">
        <v>165</v>
      </c>
      <c r="G6469" s="404" t="s">
        <v>7486</v>
      </c>
      <c r="H6469" s="411">
        <v>478.71</v>
      </c>
      <c r="I6469" s="89">
        <f>-(H6469*0.09)</f>
        <v>-43.0839</v>
      </c>
      <c r="J6469" s="258">
        <f t="shared" ref="J6469" si="2873">-((H6469*0.019)+0.3)</f>
        <v>-9.3954900000000006</v>
      </c>
      <c r="K6469" s="90">
        <f t="shared" ref="K6469" si="2874">SUM(H6469:J6469)</f>
        <v>426.23060999999996</v>
      </c>
      <c r="L6469" s="131">
        <v>300</v>
      </c>
      <c r="M6469" s="187">
        <v>71.69</v>
      </c>
      <c r="N6469" s="91">
        <f t="shared" si="2864"/>
        <v>221.69</v>
      </c>
      <c r="O6469" s="411">
        <f t="shared" si="2872"/>
        <v>204.54060999999996</v>
      </c>
      <c r="P6469" s="132" t="s">
        <v>86</v>
      </c>
      <c r="Q6469" s="232"/>
      <c r="R6469" s="411"/>
      <c r="T6469" s="134" t="s">
        <v>145</v>
      </c>
      <c r="U6469" s="267" t="s">
        <v>13834</v>
      </c>
      <c r="AA6469" s="218"/>
    </row>
    <row r="6470" spans="1:27" ht="24" x14ac:dyDescent="0.25">
      <c r="A6470" s="405">
        <v>3005061</v>
      </c>
      <c r="B6470" s="406">
        <v>42663</v>
      </c>
      <c r="C6470" s="405" t="s">
        <v>327</v>
      </c>
      <c r="D6470" s="401" t="s">
        <v>13835</v>
      </c>
      <c r="E6470" s="120">
        <v>500</v>
      </c>
      <c r="F6470" s="133" t="s">
        <v>13836</v>
      </c>
      <c r="G6470" s="404" t="s">
        <v>7486</v>
      </c>
      <c r="H6470" s="411">
        <v>725</v>
      </c>
      <c r="I6470" s="399">
        <v>0</v>
      </c>
      <c r="J6470" s="396">
        <f>-((H6470*0.022)+0.3)</f>
        <v>-16.25</v>
      </c>
      <c r="K6470" s="396">
        <f>SUM(H6470:J6470)</f>
        <v>708.75</v>
      </c>
      <c r="L6470" s="187">
        <v>494</v>
      </c>
      <c r="M6470" s="224">
        <f>118.56+30.6+8</f>
        <v>157.16</v>
      </c>
      <c r="N6470" s="91">
        <f t="shared" si="2864"/>
        <v>404.15999999999997</v>
      </c>
      <c r="O6470" s="411">
        <f t="shared" si="2872"/>
        <v>304.59000000000003</v>
      </c>
      <c r="P6470" s="132" t="s">
        <v>66</v>
      </c>
      <c r="Q6470" s="232"/>
      <c r="R6470" s="411"/>
      <c r="T6470" s="134" t="s">
        <v>145</v>
      </c>
      <c r="U6470" s="267" t="s">
        <v>13837</v>
      </c>
      <c r="W6470" s="153" t="s">
        <v>13838</v>
      </c>
      <c r="AA6470" s="218"/>
    </row>
    <row r="6471" spans="1:27" ht="24" x14ac:dyDescent="0.25">
      <c r="A6471" s="405">
        <v>3005062</v>
      </c>
      <c r="B6471" s="406">
        <v>42663</v>
      </c>
      <c r="C6471" s="405" t="s">
        <v>42</v>
      </c>
      <c r="D6471" s="401" t="s">
        <v>13839</v>
      </c>
      <c r="E6471" s="120">
        <v>250</v>
      </c>
      <c r="F6471" s="133" t="s">
        <v>13840</v>
      </c>
      <c r="G6471" s="404" t="s">
        <v>7486</v>
      </c>
      <c r="H6471" s="411">
        <v>237.6</v>
      </c>
      <c r="I6471" s="89">
        <f>-(H6471*0.09)</f>
        <v>-21.384</v>
      </c>
      <c r="J6471" s="258">
        <f t="shared" ref="J6471" si="2875">-((H6471*0.019)+0.3)</f>
        <v>-4.8144</v>
      </c>
      <c r="K6471" s="90">
        <f t="shared" ref="K6471" si="2876">SUM(H6471:J6471)</f>
        <v>211.4016</v>
      </c>
      <c r="L6471" s="187">
        <v>490</v>
      </c>
      <c r="M6471" s="187">
        <v>26.51</v>
      </c>
      <c r="N6471" s="91">
        <f t="shared" si="2864"/>
        <v>149.01</v>
      </c>
      <c r="O6471" s="411">
        <f t="shared" si="2872"/>
        <v>62.391600000000011</v>
      </c>
      <c r="P6471" s="132" t="s">
        <v>856</v>
      </c>
      <c r="Q6471" s="232"/>
      <c r="R6471" s="411"/>
      <c r="T6471" s="134" t="s">
        <v>145</v>
      </c>
      <c r="U6471" s="267" t="s">
        <v>13841</v>
      </c>
      <c r="AA6471" s="218"/>
    </row>
    <row r="6472" spans="1:27" ht="24" x14ac:dyDescent="0.25">
      <c r="A6472" s="405">
        <v>3005063</v>
      </c>
      <c r="B6472" s="406">
        <v>42663</v>
      </c>
      <c r="C6472" s="405" t="s">
        <v>42</v>
      </c>
      <c r="D6472" s="401" t="s">
        <v>13842</v>
      </c>
      <c r="E6472" s="120">
        <v>750</v>
      </c>
      <c r="F6472" s="133" t="s">
        <v>13843</v>
      </c>
      <c r="G6472" s="404" t="s">
        <v>7486</v>
      </c>
      <c r="H6472" s="411">
        <v>242.25</v>
      </c>
      <c r="I6472" s="89">
        <f>-(H6472*0.09)</f>
        <v>-21.802499999999998</v>
      </c>
      <c r="J6472" s="258">
        <f t="shared" ref="J6472" si="2877">-((H6472*0.019)+0.3)</f>
        <v>-4.9027499999999993</v>
      </c>
      <c r="K6472" s="90">
        <f t="shared" ref="K6472" si="2878">SUM(H6472:J6472)</f>
        <v>215.54474999999999</v>
      </c>
      <c r="L6472" s="187">
        <v>140</v>
      </c>
      <c r="M6472" s="187">
        <v>33.090000000000003</v>
      </c>
      <c r="N6472" s="91">
        <f t="shared" si="2864"/>
        <v>138.09</v>
      </c>
      <c r="O6472" s="411">
        <f t="shared" si="2872"/>
        <v>77.45474999999999</v>
      </c>
      <c r="P6472" s="132" t="s">
        <v>183</v>
      </c>
      <c r="Q6472" s="232"/>
      <c r="R6472" s="411"/>
      <c r="T6472" s="134" t="s">
        <v>145</v>
      </c>
      <c r="U6472" s="267" t="s">
        <v>13844</v>
      </c>
      <c r="AA6472" s="218"/>
    </row>
    <row r="6473" spans="1:27" ht="24" x14ac:dyDescent="0.25">
      <c r="A6473" s="405">
        <v>3005064</v>
      </c>
      <c r="B6473" s="406">
        <v>42663</v>
      </c>
      <c r="C6473" s="405" t="s">
        <v>42</v>
      </c>
      <c r="D6473" s="401" t="s">
        <v>13209</v>
      </c>
      <c r="E6473" s="120">
        <v>100</v>
      </c>
      <c r="F6473" s="133" t="s">
        <v>593</v>
      </c>
      <c r="G6473" s="404" t="s">
        <v>7486</v>
      </c>
      <c r="H6473" s="411">
        <v>138.9</v>
      </c>
      <c r="I6473" s="89">
        <f>-(H6473*0.09)</f>
        <v>-12.500999999999999</v>
      </c>
      <c r="J6473" s="258">
        <f t="shared" ref="J6473:J6474" si="2879">-((H6473*0.019)+0.3)</f>
        <v>-2.9390999999999998</v>
      </c>
      <c r="K6473" s="90">
        <f t="shared" ref="K6473:K6474" si="2880">SUM(H6473:J6473)</f>
        <v>123.4599</v>
      </c>
      <c r="L6473" s="131">
        <v>610.51</v>
      </c>
      <c r="M6473" s="187">
        <v>17.600000000000001</v>
      </c>
      <c r="N6473" s="91">
        <f t="shared" si="2864"/>
        <v>78.65100000000001</v>
      </c>
      <c r="O6473" s="411">
        <f t="shared" si="2872"/>
        <v>44.808899999999994</v>
      </c>
      <c r="P6473" s="132" t="s">
        <v>86</v>
      </c>
      <c r="Q6473" s="232"/>
      <c r="R6473" s="411"/>
      <c r="T6473" s="134" t="s">
        <v>145</v>
      </c>
      <c r="U6473" s="267" t="s">
        <v>13845</v>
      </c>
      <c r="AA6473" s="218"/>
    </row>
    <row r="6474" spans="1:27" ht="24" x14ac:dyDescent="0.25">
      <c r="A6474" s="405">
        <v>3005065</v>
      </c>
      <c r="B6474" s="406">
        <v>42663</v>
      </c>
      <c r="C6474" s="405" t="s">
        <v>78</v>
      </c>
      <c r="D6474" s="401" t="s">
        <v>13846</v>
      </c>
      <c r="E6474" s="120">
        <v>100</v>
      </c>
      <c r="F6474" s="133" t="s">
        <v>247</v>
      </c>
      <c r="G6474" s="404" t="s">
        <v>7486</v>
      </c>
      <c r="H6474" s="411">
        <v>120</v>
      </c>
      <c r="I6474" s="411">
        <v>0</v>
      </c>
      <c r="J6474" s="258">
        <f t="shared" si="2879"/>
        <v>-2.5799999999999996</v>
      </c>
      <c r="K6474" s="90">
        <f t="shared" si="2880"/>
        <v>117.42</v>
      </c>
      <c r="L6474" s="131">
        <v>424</v>
      </c>
      <c r="M6474" s="187">
        <v>19.61</v>
      </c>
      <c r="N6474" s="91">
        <f t="shared" si="2864"/>
        <v>62.010000000000005</v>
      </c>
      <c r="O6474" s="411">
        <f t="shared" si="2872"/>
        <v>55.41</v>
      </c>
      <c r="P6474" s="132" t="s">
        <v>52</v>
      </c>
      <c r="Q6474" s="232"/>
      <c r="R6474" s="411"/>
      <c r="T6474" s="134" t="s">
        <v>145</v>
      </c>
      <c r="U6474" s="267" t="s">
        <v>13847</v>
      </c>
      <c r="W6474" s="153" t="s">
        <v>13848</v>
      </c>
      <c r="AA6474" s="218"/>
    </row>
    <row r="6475" spans="1:27" x14ac:dyDescent="0.25">
      <c r="A6475" s="405">
        <v>3005066</v>
      </c>
      <c r="B6475" s="406">
        <v>42664</v>
      </c>
      <c r="C6475" s="405" t="s">
        <v>63</v>
      </c>
      <c r="D6475" s="401" t="s">
        <v>13849</v>
      </c>
      <c r="E6475" s="120">
        <v>250</v>
      </c>
      <c r="F6475" s="133" t="s">
        <v>85</v>
      </c>
      <c r="G6475" s="404" t="s">
        <v>7486</v>
      </c>
      <c r="H6475" s="411">
        <v>530</v>
      </c>
      <c r="I6475" s="399">
        <v>0</v>
      </c>
      <c r="J6475" s="396">
        <f>-((H6475*0.022)+0.3)</f>
        <v>-11.96</v>
      </c>
      <c r="K6475" s="396">
        <f>SUM(H6475:J6475)</f>
        <v>518.04</v>
      </c>
      <c r="L6475" s="131">
        <v>1090</v>
      </c>
      <c r="M6475" s="187">
        <v>103.36</v>
      </c>
      <c r="N6475" s="91">
        <f t="shared" si="2864"/>
        <v>375.86</v>
      </c>
      <c r="O6475" s="411">
        <f t="shared" si="2872"/>
        <v>142.17999999999995</v>
      </c>
      <c r="P6475" s="132" t="s">
        <v>52</v>
      </c>
      <c r="Q6475" s="232"/>
      <c r="R6475" s="411"/>
      <c r="T6475" s="134" t="s">
        <v>244</v>
      </c>
      <c r="U6475" s="266" t="s">
        <v>13850</v>
      </c>
      <c r="V6475" s="133" t="s">
        <v>55</v>
      </c>
      <c r="W6475" s="153" t="s">
        <v>13851</v>
      </c>
      <c r="AA6475" s="218"/>
    </row>
    <row r="6476" spans="1:27" ht="24" x14ac:dyDescent="0.25">
      <c r="A6476" s="405">
        <v>3005067</v>
      </c>
      <c r="B6476" s="406">
        <v>42664</v>
      </c>
      <c r="C6476" s="405" t="s">
        <v>63</v>
      </c>
      <c r="D6476" s="401" t="s">
        <v>13741</v>
      </c>
      <c r="E6476" s="120">
        <v>250</v>
      </c>
      <c r="F6476" s="133" t="s">
        <v>1707</v>
      </c>
      <c r="G6476" s="404" t="s">
        <v>7486</v>
      </c>
      <c r="H6476" s="411">
        <v>225</v>
      </c>
      <c r="I6476" s="399">
        <v>0</v>
      </c>
      <c r="J6476" s="396">
        <f>-((H6476*0.022)+0.3)</f>
        <v>-5.2499999999999991</v>
      </c>
      <c r="K6476" s="396">
        <f>SUM(H6476:J6476)</f>
        <v>219.75</v>
      </c>
      <c r="L6476" s="131">
        <v>400</v>
      </c>
      <c r="M6476" s="187">
        <v>41</v>
      </c>
      <c r="N6476" s="91">
        <f t="shared" si="2864"/>
        <v>141</v>
      </c>
      <c r="O6476" s="411">
        <f t="shared" si="2872"/>
        <v>78.75</v>
      </c>
      <c r="P6476" s="132" t="s">
        <v>52</v>
      </c>
      <c r="Q6476" s="232"/>
      <c r="R6476" s="411"/>
      <c r="T6476" s="134" t="s">
        <v>145</v>
      </c>
      <c r="U6476" s="267" t="s">
        <v>13852</v>
      </c>
      <c r="W6476" s="153" t="s">
        <v>13744</v>
      </c>
      <c r="AA6476" s="218"/>
    </row>
    <row r="6477" spans="1:27" x14ac:dyDescent="0.25">
      <c r="A6477" s="419">
        <v>3005068</v>
      </c>
      <c r="B6477" s="421">
        <v>42664</v>
      </c>
      <c r="C6477" s="419" t="s">
        <v>56</v>
      </c>
      <c r="D6477" s="417" t="s">
        <v>6840</v>
      </c>
      <c r="E6477" s="120">
        <v>50</v>
      </c>
      <c r="F6477" s="133" t="s">
        <v>13853</v>
      </c>
      <c r="G6477" s="434" t="s">
        <v>7486</v>
      </c>
      <c r="H6477" s="427">
        <v>579</v>
      </c>
      <c r="I6477" s="427">
        <v>0</v>
      </c>
      <c r="J6477" s="427">
        <v>0</v>
      </c>
      <c r="K6477" s="425">
        <f>SUM(H6477:J6477)</f>
        <v>579</v>
      </c>
      <c r="L6477" s="187">
        <v>280</v>
      </c>
      <c r="M6477" s="187">
        <v>31.51</v>
      </c>
      <c r="N6477" s="91">
        <f t="shared" si="2864"/>
        <v>45.510000000000005</v>
      </c>
      <c r="O6477" s="411">
        <f t="shared" si="2872"/>
        <v>533.49</v>
      </c>
      <c r="P6477" s="132" t="s">
        <v>235</v>
      </c>
      <c r="Q6477" s="232"/>
      <c r="R6477" s="411"/>
      <c r="T6477" s="439" t="s">
        <v>324</v>
      </c>
      <c r="U6477" s="444" t="s">
        <v>13854</v>
      </c>
      <c r="V6477" s="133" t="s">
        <v>13855</v>
      </c>
      <c r="W6477" s="153" t="s">
        <v>298</v>
      </c>
      <c r="AA6477" s="218"/>
    </row>
    <row r="6478" spans="1:27" x14ac:dyDescent="0.25">
      <c r="A6478" s="432"/>
      <c r="B6478" s="433"/>
      <c r="C6478" s="432"/>
      <c r="D6478" s="454"/>
      <c r="E6478" s="120">
        <v>100</v>
      </c>
      <c r="F6478" s="133" t="s">
        <v>13856</v>
      </c>
      <c r="G6478" s="435"/>
      <c r="H6478" s="438"/>
      <c r="I6478" s="438"/>
      <c r="J6478" s="438"/>
      <c r="K6478" s="437"/>
      <c r="L6478" s="187">
        <v>1700</v>
      </c>
      <c r="M6478" s="131">
        <v>0</v>
      </c>
      <c r="N6478" s="91">
        <f t="shared" si="2864"/>
        <v>170</v>
      </c>
      <c r="O6478" s="411">
        <f t="shared" si="2872"/>
        <v>-170</v>
      </c>
      <c r="P6478" s="132" t="s">
        <v>235</v>
      </c>
      <c r="Q6478" s="232"/>
      <c r="R6478" s="411"/>
      <c r="T6478" s="440"/>
      <c r="U6478" s="445"/>
      <c r="AA6478" s="218"/>
    </row>
    <row r="6479" spans="1:27" x14ac:dyDescent="0.25">
      <c r="A6479" s="432"/>
      <c r="B6479" s="433"/>
      <c r="C6479" s="432"/>
      <c r="D6479" s="454"/>
      <c r="E6479" s="120">
        <v>30</v>
      </c>
      <c r="F6479" s="133" t="s">
        <v>1007</v>
      </c>
      <c r="G6479" s="435"/>
      <c r="H6479" s="438"/>
      <c r="I6479" s="438"/>
      <c r="J6479" s="438"/>
      <c r="K6479" s="437"/>
      <c r="L6479" s="187">
        <v>1050</v>
      </c>
      <c r="M6479" s="131">
        <v>0</v>
      </c>
      <c r="N6479" s="91">
        <f t="shared" si="2864"/>
        <v>31.5</v>
      </c>
      <c r="O6479" s="411">
        <f t="shared" si="2872"/>
        <v>-31.5</v>
      </c>
      <c r="P6479" s="132" t="s">
        <v>235</v>
      </c>
      <c r="Q6479" s="232"/>
      <c r="R6479" s="411"/>
      <c r="T6479" s="440"/>
      <c r="U6479" s="505" t="s">
        <v>13857</v>
      </c>
      <c r="AA6479" s="218"/>
    </row>
    <row r="6480" spans="1:27" x14ac:dyDescent="0.25">
      <c r="A6480" s="432"/>
      <c r="B6480" s="433"/>
      <c r="C6480" s="432"/>
      <c r="D6480" s="454"/>
      <c r="E6480" s="120">
        <v>500</v>
      </c>
      <c r="F6480" s="133" t="s">
        <v>9979</v>
      </c>
      <c r="G6480" s="435"/>
      <c r="H6480" s="438"/>
      <c r="I6480" s="438"/>
      <c r="J6480" s="438"/>
      <c r="K6480" s="437"/>
      <c r="L6480" s="187">
        <v>80</v>
      </c>
      <c r="M6480" s="131">
        <v>0</v>
      </c>
      <c r="N6480" s="91">
        <f t="shared" si="2864"/>
        <v>40</v>
      </c>
      <c r="O6480" s="411">
        <f t="shared" si="2872"/>
        <v>-40</v>
      </c>
      <c r="P6480" s="132" t="s">
        <v>235</v>
      </c>
      <c r="Q6480" s="232"/>
      <c r="R6480" s="411"/>
      <c r="T6480" s="440"/>
      <c r="U6480" s="490"/>
      <c r="AA6480" s="218"/>
    </row>
    <row r="6481" spans="1:27" x14ac:dyDescent="0.25">
      <c r="A6481" s="432"/>
      <c r="B6481" s="433"/>
      <c r="C6481" s="432"/>
      <c r="D6481" s="454"/>
      <c r="E6481" s="120">
        <v>500</v>
      </c>
      <c r="F6481" s="133" t="s">
        <v>9977</v>
      </c>
      <c r="G6481" s="435"/>
      <c r="H6481" s="438"/>
      <c r="I6481" s="438"/>
      <c r="J6481" s="438"/>
      <c r="K6481" s="437"/>
      <c r="L6481" s="187">
        <v>80</v>
      </c>
      <c r="M6481" s="131">
        <v>0</v>
      </c>
      <c r="N6481" s="91">
        <f t="shared" si="2864"/>
        <v>40</v>
      </c>
      <c r="O6481" s="411">
        <f t="shared" si="2872"/>
        <v>-40</v>
      </c>
      <c r="P6481" s="132" t="s">
        <v>235</v>
      </c>
      <c r="Q6481" s="232"/>
      <c r="R6481" s="411"/>
      <c r="T6481" s="440"/>
      <c r="U6481" s="444" t="s">
        <v>13854</v>
      </c>
      <c r="AA6481" s="218"/>
    </row>
    <row r="6482" spans="1:27" x14ac:dyDescent="0.25">
      <c r="A6482" s="432"/>
      <c r="B6482" s="433"/>
      <c r="C6482" s="432"/>
      <c r="D6482" s="454"/>
      <c r="E6482" s="120">
        <v>500</v>
      </c>
      <c r="F6482" s="133" t="s">
        <v>9976</v>
      </c>
      <c r="G6482" s="435"/>
      <c r="H6482" s="438"/>
      <c r="I6482" s="438"/>
      <c r="J6482" s="438"/>
      <c r="K6482" s="437"/>
      <c r="L6482" s="187">
        <v>80</v>
      </c>
      <c r="M6482" s="131">
        <v>0</v>
      </c>
      <c r="N6482" s="91">
        <f t="shared" si="2864"/>
        <v>40</v>
      </c>
      <c r="O6482" s="411">
        <f t="shared" si="2872"/>
        <v>-40</v>
      </c>
      <c r="P6482" s="132" t="s">
        <v>235</v>
      </c>
      <c r="Q6482" s="232"/>
      <c r="R6482" s="411"/>
      <c r="T6482" s="440"/>
      <c r="U6482" s="445"/>
      <c r="AA6482" s="218"/>
    </row>
    <row r="6483" spans="1:27" x14ac:dyDescent="0.25">
      <c r="A6483" s="432"/>
      <c r="B6483" s="433"/>
      <c r="C6483" s="432"/>
      <c r="D6483" s="454"/>
      <c r="E6483" s="120">
        <v>500</v>
      </c>
      <c r="F6483" s="133" t="s">
        <v>9973</v>
      </c>
      <c r="G6483" s="435"/>
      <c r="H6483" s="438"/>
      <c r="I6483" s="438"/>
      <c r="J6483" s="438"/>
      <c r="K6483" s="437"/>
      <c r="L6483" s="187">
        <v>80</v>
      </c>
      <c r="M6483" s="131">
        <v>0</v>
      </c>
      <c r="N6483" s="91">
        <f t="shared" si="2864"/>
        <v>40</v>
      </c>
      <c r="O6483" s="411">
        <f t="shared" si="2872"/>
        <v>-40</v>
      </c>
      <c r="P6483" s="132" t="s">
        <v>235</v>
      </c>
      <c r="Q6483" s="232"/>
      <c r="R6483" s="411"/>
      <c r="T6483" s="440"/>
      <c r="U6483" s="444" t="s">
        <v>13858</v>
      </c>
      <c r="AA6483" s="218"/>
    </row>
    <row r="6484" spans="1:27" x14ac:dyDescent="0.25">
      <c r="A6484" s="420"/>
      <c r="B6484" s="422"/>
      <c r="C6484" s="420"/>
      <c r="D6484" s="418"/>
      <c r="E6484" s="120">
        <v>500</v>
      </c>
      <c r="F6484" s="133" t="s">
        <v>13859</v>
      </c>
      <c r="G6484" s="436"/>
      <c r="H6484" s="428"/>
      <c r="I6484" s="428"/>
      <c r="J6484" s="428"/>
      <c r="K6484" s="426"/>
      <c r="L6484" s="187">
        <v>80</v>
      </c>
      <c r="M6484" s="131">
        <v>0</v>
      </c>
      <c r="N6484" s="91">
        <f t="shared" si="2864"/>
        <v>40</v>
      </c>
      <c r="O6484" s="411">
        <f t="shared" si="2872"/>
        <v>-40</v>
      </c>
      <c r="P6484" s="132" t="s">
        <v>235</v>
      </c>
      <c r="Q6484" s="232"/>
      <c r="R6484" s="411"/>
      <c r="T6484" s="441"/>
      <c r="U6484" s="445"/>
      <c r="AA6484" s="218"/>
    </row>
    <row r="6485" spans="1:27" ht="24" x14ac:dyDescent="0.25">
      <c r="A6485" s="405">
        <v>3005069</v>
      </c>
      <c r="B6485" s="406">
        <v>42664</v>
      </c>
      <c r="C6485" s="405" t="s">
        <v>141</v>
      </c>
      <c r="D6485" s="401" t="s">
        <v>13860</v>
      </c>
      <c r="E6485" s="120">
        <v>250</v>
      </c>
      <c r="F6485" s="133" t="s">
        <v>679</v>
      </c>
      <c r="G6485" s="404" t="s">
        <v>7486</v>
      </c>
      <c r="H6485" s="411">
        <v>1030</v>
      </c>
      <c r="I6485" s="399">
        <v>0</v>
      </c>
      <c r="J6485" s="396">
        <f>-((H6485*0.0325)+0.3)</f>
        <v>-33.774999999999999</v>
      </c>
      <c r="K6485" s="396">
        <f>SUM(H6485:J6485)</f>
        <v>996.22500000000002</v>
      </c>
      <c r="L6485" s="187">
        <v>2750</v>
      </c>
      <c r="M6485" s="131">
        <v>0</v>
      </c>
      <c r="N6485" s="91">
        <f t="shared" si="2864"/>
        <v>687.5</v>
      </c>
      <c r="O6485" s="411">
        <f t="shared" si="2872"/>
        <v>308.72500000000002</v>
      </c>
      <c r="P6485" s="132" t="s">
        <v>601</v>
      </c>
      <c r="Q6485" s="232"/>
      <c r="R6485" s="411"/>
      <c r="T6485" s="134" t="s">
        <v>260</v>
      </c>
      <c r="U6485" s="267" t="s">
        <v>13861</v>
      </c>
      <c r="W6485" s="153" t="s">
        <v>13862</v>
      </c>
      <c r="AA6485" s="218">
        <v>10</v>
      </c>
    </row>
    <row r="6486" spans="1:27" ht="24" x14ac:dyDescent="0.25">
      <c r="A6486" s="405">
        <v>3005070</v>
      </c>
      <c r="B6486" s="406">
        <v>42664</v>
      </c>
      <c r="C6486" s="405" t="s">
        <v>42</v>
      </c>
      <c r="D6486" s="401" t="s">
        <v>625</v>
      </c>
      <c r="E6486" s="120">
        <v>250</v>
      </c>
      <c r="F6486" s="119" t="s">
        <v>466</v>
      </c>
      <c r="G6486" s="404" t="s">
        <v>7486</v>
      </c>
      <c r="H6486" s="411">
        <v>109.82</v>
      </c>
      <c r="I6486" s="89">
        <f t="shared" ref="I6486:I6495" si="2881">-(H6486*0.09)</f>
        <v>-9.883799999999999</v>
      </c>
      <c r="J6486" s="258">
        <f t="shared" ref="J6486" si="2882">-((H6486*0.019)+0.3)</f>
        <v>-2.3865799999999995</v>
      </c>
      <c r="K6486" s="90">
        <f t="shared" ref="K6486" si="2883">SUM(H6486:J6486)</f>
        <v>97.549620000000004</v>
      </c>
      <c r="L6486" s="187">
        <v>229</v>
      </c>
      <c r="M6486" s="187">
        <v>13.41</v>
      </c>
      <c r="N6486" s="91">
        <f t="shared" si="2864"/>
        <v>70.66</v>
      </c>
      <c r="O6486" s="411">
        <f t="shared" si="2872"/>
        <v>26.889620000000008</v>
      </c>
      <c r="P6486" s="132" t="s">
        <v>313</v>
      </c>
      <c r="Q6486" s="232"/>
      <c r="R6486" s="411"/>
      <c r="T6486" s="134" t="s">
        <v>145</v>
      </c>
      <c r="U6486" s="267" t="s">
        <v>13863</v>
      </c>
      <c r="AA6486" s="218"/>
    </row>
    <row r="6487" spans="1:27" ht="24" x14ac:dyDescent="0.25">
      <c r="A6487" s="405">
        <v>3005071</v>
      </c>
      <c r="B6487" s="406">
        <v>42664</v>
      </c>
      <c r="C6487" s="405" t="s">
        <v>42</v>
      </c>
      <c r="D6487" s="401" t="s">
        <v>13864</v>
      </c>
      <c r="E6487" s="120">
        <v>150</v>
      </c>
      <c r="F6487" s="133" t="s">
        <v>307</v>
      </c>
      <c r="G6487" s="404" t="s">
        <v>7486</v>
      </c>
      <c r="H6487" s="411">
        <v>215</v>
      </c>
      <c r="I6487" s="89">
        <f t="shared" si="2881"/>
        <v>-19.349999999999998</v>
      </c>
      <c r="J6487" s="258">
        <f t="shared" ref="J6487" si="2884">-((H6487*0.019)+0.3)</f>
        <v>-4.3849999999999998</v>
      </c>
      <c r="K6487" s="90">
        <f t="shared" ref="K6487" si="2885">SUM(H6487:J6487)</f>
        <v>191.26500000000001</v>
      </c>
      <c r="L6487" s="131">
        <v>622.45000000000005</v>
      </c>
      <c r="M6487" s="187">
        <v>33.479999999999997</v>
      </c>
      <c r="N6487" s="91">
        <f t="shared" si="2864"/>
        <v>126.8475</v>
      </c>
      <c r="O6487" s="411">
        <f t="shared" si="2872"/>
        <v>64.417500000000018</v>
      </c>
      <c r="P6487" s="132" t="s">
        <v>52</v>
      </c>
      <c r="Q6487" s="232"/>
      <c r="R6487" s="411"/>
      <c r="T6487" s="134" t="s">
        <v>145</v>
      </c>
      <c r="U6487" s="267" t="s">
        <v>13865</v>
      </c>
      <c r="AA6487" s="218"/>
    </row>
    <row r="6488" spans="1:27" ht="24" x14ac:dyDescent="0.25">
      <c r="A6488" s="405">
        <v>3005072</v>
      </c>
      <c r="B6488" s="406">
        <v>42664</v>
      </c>
      <c r="C6488" s="405" t="s">
        <v>42</v>
      </c>
      <c r="D6488" s="401" t="s">
        <v>13866</v>
      </c>
      <c r="E6488" s="120">
        <v>150</v>
      </c>
      <c r="F6488" s="133" t="s">
        <v>161</v>
      </c>
      <c r="G6488" s="404" t="s">
        <v>7486</v>
      </c>
      <c r="H6488" s="411">
        <v>341.55</v>
      </c>
      <c r="I6488" s="89">
        <f t="shared" si="2881"/>
        <v>-30.7395</v>
      </c>
      <c r="J6488" s="258">
        <f t="shared" ref="J6488" si="2886">-((H6488*0.019)+0.3)</f>
        <v>-6.7894499999999995</v>
      </c>
      <c r="K6488" s="90">
        <f t="shared" ref="K6488" si="2887">SUM(H6488:J6488)</f>
        <v>304.02105</v>
      </c>
      <c r="L6488" s="131">
        <v>1322</v>
      </c>
      <c r="M6488" s="187">
        <v>32.979999999999997</v>
      </c>
      <c r="N6488" s="91">
        <f t="shared" si="2864"/>
        <v>231.27999999999997</v>
      </c>
      <c r="O6488" s="411">
        <f t="shared" si="2872"/>
        <v>72.74105000000003</v>
      </c>
      <c r="P6488" s="132" t="s">
        <v>52</v>
      </c>
      <c r="Q6488" s="232"/>
      <c r="R6488" s="411"/>
      <c r="T6488" s="134" t="s">
        <v>145</v>
      </c>
      <c r="U6488" s="267" t="s">
        <v>13867</v>
      </c>
      <c r="AA6488" s="218"/>
    </row>
    <row r="6489" spans="1:27" ht="24" x14ac:dyDescent="0.25">
      <c r="A6489" s="405">
        <v>3005073</v>
      </c>
      <c r="B6489" s="406">
        <v>42664</v>
      </c>
      <c r="C6489" s="405" t="s">
        <v>42</v>
      </c>
      <c r="D6489" s="401" t="s">
        <v>13868</v>
      </c>
      <c r="E6489" s="120">
        <v>100</v>
      </c>
      <c r="F6489" s="133" t="s">
        <v>161</v>
      </c>
      <c r="G6489" s="404" t="s">
        <v>7486</v>
      </c>
      <c r="H6489" s="411">
        <v>245</v>
      </c>
      <c r="I6489" s="89">
        <f t="shared" si="2881"/>
        <v>-22.05</v>
      </c>
      <c r="J6489" s="258">
        <f t="shared" ref="J6489" si="2888">-((H6489*0.019)+0.3)</f>
        <v>-4.9550000000000001</v>
      </c>
      <c r="K6489" s="90">
        <f t="shared" ref="K6489" si="2889">SUM(H6489:J6489)</f>
        <v>217.99499999999998</v>
      </c>
      <c r="L6489" s="131">
        <v>1322</v>
      </c>
      <c r="M6489" s="187">
        <v>18.829999999999998</v>
      </c>
      <c r="N6489" s="91">
        <f t="shared" si="2864"/>
        <v>151.03000000000003</v>
      </c>
      <c r="O6489" s="411">
        <f t="shared" si="2872"/>
        <v>66.964999999999947</v>
      </c>
      <c r="P6489" s="132" t="s">
        <v>52</v>
      </c>
      <c r="Q6489" s="232"/>
      <c r="R6489" s="411"/>
      <c r="T6489" s="134" t="s">
        <v>145</v>
      </c>
      <c r="U6489" s="267" t="s">
        <v>13869</v>
      </c>
      <c r="AA6489" s="218"/>
    </row>
    <row r="6490" spans="1:27" ht="24" x14ac:dyDescent="0.25">
      <c r="A6490" s="405">
        <v>3005074</v>
      </c>
      <c r="B6490" s="406">
        <v>42664</v>
      </c>
      <c r="C6490" s="405" t="s">
        <v>42</v>
      </c>
      <c r="D6490" s="401" t="s">
        <v>13870</v>
      </c>
      <c r="E6490" s="120">
        <v>500</v>
      </c>
      <c r="F6490" s="119" t="s">
        <v>13871</v>
      </c>
      <c r="G6490" s="404" t="s">
        <v>7486</v>
      </c>
      <c r="H6490" s="411">
        <v>418.52</v>
      </c>
      <c r="I6490" s="89">
        <f t="shared" si="2881"/>
        <v>-37.666799999999995</v>
      </c>
      <c r="J6490" s="258">
        <f t="shared" ref="J6490" si="2890">-((H6490*0.019)+0.3)</f>
        <v>-8.2518799999999999</v>
      </c>
      <c r="K6490" s="90">
        <f t="shared" ref="K6490" si="2891">SUM(H6490:J6490)</f>
        <v>372.60131999999999</v>
      </c>
      <c r="L6490" s="187">
        <v>450</v>
      </c>
      <c r="M6490" s="187">
        <v>40.700000000000003</v>
      </c>
      <c r="N6490" s="91">
        <f t="shared" si="2864"/>
        <v>265.7</v>
      </c>
      <c r="O6490" s="411">
        <f t="shared" si="2872"/>
        <v>106.90132</v>
      </c>
      <c r="P6490" s="132" t="s">
        <v>183</v>
      </c>
      <c r="Q6490" s="232"/>
      <c r="R6490" s="411"/>
      <c r="T6490" s="134" t="s">
        <v>145</v>
      </c>
      <c r="U6490" s="267" t="s">
        <v>13872</v>
      </c>
      <c r="AA6490" s="218"/>
    </row>
    <row r="6491" spans="1:27" ht="24" x14ac:dyDescent="0.25">
      <c r="A6491" s="405">
        <v>3005075</v>
      </c>
      <c r="B6491" s="406">
        <v>42664</v>
      </c>
      <c r="C6491" s="405" t="s">
        <v>42</v>
      </c>
      <c r="D6491" s="401" t="s">
        <v>13873</v>
      </c>
      <c r="E6491" s="120">
        <v>65</v>
      </c>
      <c r="F6491" s="133" t="s">
        <v>528</v>
      </c>
      <c r="G6491" s="404" t="s">
        <v>7486</v>
      </c>
      <c r="H6491" s="411">
        <v>160.19999999999999</v>
      </c>
      <c r="I6491" s="89">
        <f t="shared" si="2881"/>
        <v>-14.417999999999999</v>
      </c>
      <c r="J6491" s="258">
        <f t="shared" ref="J6491" si="2892">-((H6491*0.019)+0.3)</f>
        <v>-3.3437999999999994</v>
      </c>
      <c r="K6491" s="90">
        <f t="shared" ref="K6491" si="2893">SUM(H6491:J6491)</f>
        <v>142.43819999999999</v>
      </c>
      <c r="L6491" s="131">
        <v>1035</v>
      </c>
      <c r="M6491" s="187">
        <v>34.92</v>
      </c>
      <c r="N6491" s="91">
        <f t="shared" si="2864"/>
        <v>102.19500000000001</v>
      </c>
      <c r="O6491" s="411">
        <f t="shared" si="2872"/>
        <v>40.243199999999987</v>
      </c>
      <c r="P6491" s="132" t="s">
        <v>52</v>
      </c>
      <c r="Q6491" s="232"/>
      <c r="R6491" s="411"/>
      <c r="T6491" s="134" t="s">
        <v>145</v>
      </c>
      <c r="U6491" s="267" t="s">
        <v>13874</v>
      </c>
      <c r="AA6491" s="218"/>
    </row>
    <row r="6492" spans="1:27" ht="24" x14ac:dyDescent="0.25">
      <c r="A6492" s="405">
        <v>3005076</v>
      </c>
      <c r="B6492" s="406">
        <v>42664</v>
      </c>
      <c r="C6492" s="405" t="s">
        <v>42</v>
      </c>
      <c r="D6492" s="401" t="s">
        <v>13875</v>
      </c>
      <c r="E6492" s="120">
        <v>1000</v>
      </c>
      <c r="F6492" s="119" t="s">
        <v>13876</v>
      </c>
      <c r="G6492" s="404" t="s">
        <v>7486</v>
      </c>
      <c r="H6492" s="411">
        <v>122.55</v>
      </c>
      <c r="I6492" s="89">
        <f t="shared" si="2881"/>
        <v>-11.029499999999999</v>
      </c>
      <c r="J6492" s="258">
        <f t="shared" ref="J6492" si="2894">-((H6492*0.019)+0.3)</f>
        <v>-2.6284499999999995</v>
      </c>
      <c r="K6492" s="90">
        <f t="shared" ref="K6492" si="2895">SUM(H6492:J6492)</f>
        <v>108.89205</v>
      </c>
      <c r="L6492" s="187">
        <v>66</v>
      </c>
      <c r="M6492" s="187">
        <v>21.36</v>
      </c>
      <c r="N6492" s="91">
        <f t="shared" si="2864"/>
        <v>87.36</v>
      </c>
      <c r="O6492" s="411">
        <f t="shared" si="2872"/>
        <v>21.532049999999998</v>
      </c>
      <c r="P6492" s="132" t="s">
        <v>183</v>
      </c>
      <c r="Q6492" s="232"/>
      <c r="R6492" s="411"/>
      <c r="T6492" s="134" t="s">
        <v>324</v>
      </c>
      <c r="U6492" s="266" t="s">
        <v>13877</v>
      </c>
      <c r="AA6492" s="218"/>
    </row>
    <row r="6493" spans="1:27" ht="24" x14ac:dyDescent="0.25">
      <c r="A6493" s="405">
        <v>3005077</v>
      </c>
      <c r="B6493" s="406">
        <v>42664</v>
      </c>
      <c r="C6493" s="405" t="s">
        <v>42</v>
      </c>
      <c r="D6493" s="401" t="s">
        <v>13878</v>
      </c>
      <c r="E6493" s="120">
        <v>50</v>
      </c>
      <c r="F6493" s="133" t="s">
        <v>300</v>
      </c>
      <c r="G6493" s="404" t="s">
        <v>7486</v>
      </c>
      <c r="H6493" s="411">
        <v>213.77</v>
      </c>
      <c r="I6493" s="89">
        <f t="shared" si="2881"/>
        <v>-19.2393</v>
      </c>
      <c r="J6493" s="258">
        <f t="shared" ref="J6493" si="2896">-((H6493*0.019)+0.3)</f>
        <v>-4.3616299999999999</v>
      </c>
      <c r="K6493" s="90">
        <f t="shared" ref="K6493" si="2897">SUM(H6493:J6493)</f>
        <v>190.16907000000003</v>
      </c>
      <c r="L6493" s="131">
        <v>2150</v>
      </c>
      <c r="M6493" s="187">
        <v>31.4</v>
      </c>
      <c r="N6493" s="91">
        <f t="shared" si="2864"/>
        <v>138.9</v>
      </c>
      <c r="O6493" s="411">
        <f t="shared" si="2872"/>
        <v>51.269070000000028</v>
      </c>
      <c r="P6493" s="132" t="s">
        <v>52</v>
      </c>
      <c r="Q6493" s="232"/>
      <c r="R6493" s="411"/>
      <c r="T6493" s="134" t="s">
        <v>145</v>
      </c>
      <c r="U6493" s="267" t="s">
        <v>13879</v>
      </c>
      <c r="AA6493" s="218"/>
    </row>
    <row r="6494" spans="1:27" ht="24" x14ac:dyDescent="0.25">
      <c r="A6494" s="405">
        <v>3005078</v>
      </c>
      <c r="B6494" s="406">
        <v>42664</v>
      </c>
      <c r="C6494" s="405" t="s">
        <v>42</v>
      </c>
      <c r="D6494" s="401" t="s">
        <v>13880</v>
      </c>
      <c r="E6494" s="120">
        <v>100</v>
      </c>
      <c r="F6494" s="133" t="s">
        <v>161</v>
      </c>
      <c r="G6494" s="404" t="s">
        <v>7486</v>
      </c>
      <c r="H6494" s="411">
        <v>245</v>
      </c>
      <c r="I6494" s="89">
        <f t="shared" si="2881"/>
        <v>-22.05</v>
      </c>
      <c r="J6494" s="258">
        <f t="shared" ref="J6494" si="2898">-((H6494*0.019)+0.3)</f>
        <v>-4.9550000000000001</v>
      </c>
      <c r="K6494" s="90">
        <f t="shared" ref="K6494" si="2899">SUM(H6494:J6494)</f>
        <v>217.99499999999998</v>
      </c>
      <c r="L6494" s="131">
        <v>1322</v>
      </c>
      <c r="M6494" s="187">
        <v>37.24</v>
      </c>
      <c r="N6494" s="91">
        <f t="shared" si="2864"/>
        <v>169.44000000000003</v>
      </c>
      <c r="O6494" s="411">
        <f t="shared" si="2872"/>
        <v>48.55499999999995</v>
      </c>
      <c r="P6494" s="132" t="s">
        <v>52</v>
      </c>
      <c r="Q6494" s="232"/>
      <c r="R6494" s="411"/>
      <c r="T6494" s="134" t="s">
        <v>145</v>
      </c>
      <c r="U6494" s="267" t="s">
        <v>13881</v>
      </c>
      <c r="AA6494" s="218"/>
    </row>
    <row r="6495" spans="1:27" ht="24" x14ac:dyDescent="0.25">
      <c r="A6495" s="405">
        <v>3005079</v>
      </c>
      <c r="B6495" s="406">
        <v>42664</v>
      </c>
      <c r="C6495" s="405" t="s">
        <v>42</v>
      </c>
      <c r="D6495" s="401" t="s">
        <v>13882</v>
      </c>
      <c r="E6495" s="120">
        <v>598</v>
      </c>
      <c r="F6495" s="119" t="s">
        <v>13883</v>
      </c>
      <c r="G6495" s="404" t="s">
        <v>7486</v>
      </c>
      <c r="H6495" s="411">
        <v>390.31</v>
      </c>
      <c r="I6495" s="89">
        <f t="shared" si="2881"/>
        <v>-35.127899999999997</v>
      </c>
      <c r="J6495" s="258">
        <f t="shared" ref="J6495" si="2900">-((H6495*0.019)+0.3)</f>
        <v>-7.7158899999999999</v>
      </c>
      <c r="K6495" s="90">
        <f t="shared" ref="K6495" si="2901">SUM(H6495:J6495)</f>
        <v>347.46620999999999</v>
      </c>
      <c r="L6495" s="187">
        <v>280</v>
      </c>
      <c r="M6495" s="187">
        <v>119.45</v>
      </c>
      <c r="N6495" s="91">
        <f t="shared" si="2864"/>
        <v>286.89</v>
      </c>
      <c r="O6495" s="411">
        <f t="shared" si="2872"/>
        <v>60.576210000000003</v>
      </c>
      <c r="P6495" s="132" t="s">
        <v>2895</v>
      </c>
      <c r="Q6495" s="232"/>
      <c r="R6495" s="411"/>
      <c r="T6495" s="134" t="s">
        <v>204</v>
      </c>
      <c r="U6495" s="266" t="s">
        <v>13884</v>
      </c>
      <c r="AA6495" s="218"/>
    </row>
    <row r="6496" spans="1:27" ht="24" x14ac:dyDescent="0.25">
      <c r="A6496" s="405">
        <v>3005080</v>
      </c>
      <c r="B6496" s="406">
        <v>42664</v>
      </c>
      <c r="C6496" s="405" t="s">
        <v>237</v>
      </c>
      <c r="D6496" s="401" t="s">
        <v>13885</v>
      </c>
      <c r="E6496" s="120">
        <v>50</v>
      </c>
      <c r="F6496" s="133" t="s">
        <v>431</v>
      </c>
      <c r="G6496" s="404" t="s">
        <v>7486</v>
      </c>
      <c r="H6496" s="411">
        <v>112.68</v>
      </c>
      <c r="I6496" s="397">
        <f t="shared" ref="I6496" si="2902">-(H6496*0.15)</f>
        <v>-16.902000000000001</v>
      </c>
      <c r="J6496" s="258">
        <v>0</v>
      </c>
      <c r="K6496" s="90">
        <f>SUM(H6496:J6496)</f>
        <v>95.778000000000006</v>
      </c>
      <c r="L6496" s="131">
        <v>990</v>
      </c>
      <c r="M6496" s="187">
        <v>27.56</v>
      </c>
      <c r="N6496" s="91">
        <f t="shared" si="2864"/>
        <v>77.06</v>
      </c>
      <c r="O6496" s="411">
        <f t="shared" si="2872"/>
        <v>18.718000000000004</v>
      </c>
      <c r="P6496" s="132" t="s">
        <v>52</v>
      </c>
      <c r="Q6496" s="232"/>
      <c r="R6496" s="411"/>
      <c r="T6496" s="134" t="s">
        <v>145</v>
      </c>
      <c r="U6496" s="267" t="s">
        <v>13886</v>
      </c>
      <c r="AA6496" s="218"/>
    </row>
    <row r="6497" spans="1:27" ht="24" x14ac:dyDescent="0.25">
      <c r="A6497" s="405">
        <v>3005081</v>
      </c>
      <c r="B6497" s="406">
        <v>42664</v>
      </c>
      <c r="C6497" s="405" t="s">
        <v>237</v>
      </c>
      <c r="D6497" s="401" t="s">
        <v>13887</v>
      </c>
      <c r="E6497" s="120">
        <v>100</v>
      </c>
      <c r="F6497" s="133" t="s">
        <v>307</v>
      </c>
      <c r="G6497" s="404" t="s">
        <v>7486</v>
      </c>
      <c r="H6497" s="411">
        <v>122.68</v>
      </c>
      <c r="I6497" s="397">
        <f t="shared" ref="I6497" si="2903">-(H6497*0.15)</f>
        <v>-18.402000000000001</v>
      </c>
      <c r="J6497" s="258">
        <v>0</v>
      </c>
      <c r="K6497" s="90">
        <f>SUM(H6497:J6497)</f>
        <v>104.27800000000001</v>
      </c>
      <c r="L6497" s="131">
        <v>622.45000000000005</v>
      </c>
      <c r="M6497" s="187">
        <v>25.56</v>
      </c>
      <c r="N6497" s="91">
        <f t="shared" si="2864"/>
        <v>87.805000000000007</v>
      </c>
      <c r="O6497" s="411">
        <f t="shared" si="2872"/>
        <v>16.472999999999999</v>
      </c>
      <c r="P6497" s="132" t="s">
        <v>52</v>
      </c>
      <c r="Q6497" s="232"/>
      <c r="R6497" s="411"/>
      <c r="T6497" s="134" t="s">
        <v>145</v>
      </c>
      <c r="U6497" s="267" t="s">
        <v>13888</v>
      </c>
      <c r="AA6497" s="218"/>
    </row>
    <row r="6498" spans="1:27" ht="24" x14ac:dyDescent="0.25">
      <c r="A6498" s="405">
        <v>3005082</v>
      </c>
      <c r="B6498" s="406">
        <v>42664</v>
      </c>
      <c r="C6498" s="405" t="s">
        <v>237</v>
      </c>
      <c r="D6498" s="401" t="s">
        <v>13889</v>
      </c>
      <c r="E6498" s="120">
        <v>250</v>
      </c>
      <c r="F6498" s="133" t="s">
        <v>2949</v>
      </c>
      <c r="G6498" s="404" t="s">
        <v>7486</v>
      </c>
      <c r="H6498" s="411">
        <v>471.91</v>
      </c>
      <c r="I6498" s="397">
        <f t="shared" ref="I6498" si="2904">-(H6498*0.15)</f>
        <v>-70.786500000000004</v>
      </c>
      <c r="J6498" s="258">
        <v>0</v>
      </c>
      <c r="K6498" s="90">
        <f>SUM(H6498:J6498)</f>
        <v>401.12350000000004</v>
      </c>
      <c r="L6498" s="131">
        <v>1100</v>
      </c>
      <c r="M6498" s="187">
        <v>48.86</v>
      </c>
      <c r="N6498" s="91">
        <f t="shared" si="2864"/>
        <v>323.86</v>
      </c>
      <c r="O6498" s="411">
        <f t="shared" si="2872"/>
        <v>77.263500000000022</v>
      </c>
      <c r="P6498" s="132" t="s">
        <v>52</v>
      </c>
      <c r="Q6498" s="232"/>
      <c r="R6498" s="411"/>
      <c r="T6498" s="134" t="s">
        <v>145</v>
      </c>
      <c r="U6498" s="267" t="s">
        <v>13890</v>
      </c>
      <c r="AA6498" s="218"/>
    </row>
    <row r="6499" spans="1:27" ht="24" x14ac:dyDescent="0.25">
      <c r="A6499" s="405">
        <v>3005083</v>
      </c>
      <c r="B6499" s="406">
        <v>42664</v>
      </c>
      <c r="C6499" s="405" t="s">
        <v>42</v>
      </c>
      <c r="D6499" s="401" t="s">
        <v>13891</v>
      </c>
      <c r="E6499" s="120">
        <v>175</v>
      </c>
      <c r="F6499" s="133" t="s">
        <v>829</v>
      </c>
      <c r="G6499" s="404" t="s">
        <v>7486</v>
      </c>
      <c r="H6499" s="411">
        <v>182.27</v>
      </c>
      <c r="I6499" s="89">
        <f>-(H6499*0.09)</f>
        <v>-16.404299999999999</v>
      </c>
      <c r="J6499" s="258">
        <f t="shared" ref="J6499" si="2905">-((H6499*0.019)+0.3)</f>
        <v>-3.7631299999999999</v>
      </c>
      <c r="K6499" s="90">
        <f t="shared" ref="K6499" si="2906">SUM(H6499:J6499)</f>
        <v>162.10257000000001</v>
      </c>
      <c r="L6499" s="131">
        <v>510</v>
      </c>
      <c r="M6499" s="187">
        <v>26.71</v>
      </c>
      <c r="N6499" s="91">
        <f t="shared" si="2864"/>
        <v>115.96000000000001</v>
      </c>
      <c r="O6499" s="411">
        <f t="shared" si="2872"/>
        <v>46.142570000000006</v>
      </c>
      <c r="P6499" s="132" t="s">
        <v>52</v>
      </c>
      <c r="Q6499" s="232"/>
      <c r="R6499" s="411"/>
      <c r="T6499" s="134" t="s">
        <v>145</v>
      </c>
      <c r="U6499" s="267" t="s">
        <v>13892</v>
      </c>
      <c r="AA6499" s="218"/>
    </row>
    <row r="6500" spans="1:27" x14ac:dyDescent="0.25">
      <c r="A6500" s="419">
        <v>3005084</v>
      </c>
      <c r="B6500" s="421">
        <v>42664</v>
      </c>
      <c r="C6500" s="419" t="s">
        <v>237</v>
      </c>
      <c r="D6500" s="417" t="s">
        <v>13893</v>
      </c>
      <c r="E6500" s="120">
        <v>50</v>
      </c>
      <c r="F6500" s="133" t="s">
        <v>3719</v>
      </c>
      <c r="G6500" s="434" t="s">
        <v>7486</v>
      </c>
      <c r="H6500" s="427">
        <v>178.36</v>
      </c>
      <c r="I6500" s="452">
        <f t="shared" ref="I6500" si="2907">-(H6500*0.15)</f>
        <v>-26.754000000000001</v>
      </c>
      <c r="J6500" s="425">
        <v>0</v>
      </c>
      <c r="K6500" s="425">
        <f>SUM(H6500:J6500)</f>
        <v>151.60600000000002</v>
      </c>
      <c r="L6500" s="187">
        <v>1180</v>
      </c>
      <c r="M6500" s="187">
        <v>24.13</v>
      </c>
      <c r="N6500" s="91">
        <f t="shared" si="2864"/>
        <v>83.13</v>
      </c>
      <c r="O6500" s="411">
        <f t="shared" si="2872"/>
        <v>68.476000000000028</v>
      </c>
      <c r="P6500" s="132" t="s">
        <v>601</v>
      </c>
      <c r="Q6500" s="232"/>
      <c r="R6500" s="411"/>
      <c r="T6500" s="439" t="s">
        <v>145</v>
      </c>
      <c r="U6500" s="446" t="s">
        <v>13894</v>
      </c>
      <c r="AA6500" s="218"/>
    </row>
    <row r="6501" spans="1:27" x14ac:dyDescent="0.25">
      <c r="A6501" s="420"/>
      <c r="B6501" s="422"/>
      <c r="C6501" s="420"/>
      <c r="D6501" s="418"/>
      <c r="E6501" s="120">
        <v>50</v>
      </c>
      <c r="F6501" s="133" t="s">
        <v>3307</v>
      </c>
      <c r="G6501" s="436"/>
      <c r="H6501" s="428"/>
      <c r="I6501" s="453"/>
      <c r="J6501" s="426"/>
      <c r="K6501" s="426"/>
      <c r="L6501" s="187">
        <v>1180</v>
      </c>
      <c r="N6501" s="91">
        <f t="shared" si="2864"/>
        <v>59</v>
      </c>
      <c r="O6501" s="411">
        <f t="shared" si="2872"/>
        <v>-59</v>
      </c>
      <c r="P6501" s="132" t="s">
        <v>601</v>
      </c>
      <c r="Q6501" s="232"/>
      <c r="R6501" s="411"/>
      <c r="T6501" s="441"/>
      <c r="U6501" s="447"/>
      <c r="AA6501" s="218"/>
    </row>
    <row r="6502" spans="1:27" ht="24" x14ac:dyDescent="0.25">
      <c r="A6502" s="405">
        <v>3005085</v>
      </c>
      <c r="B6502" s="406">
        <v>42664</v>
      </c>
      <c r="C6502" s="405" t="s">
        <v>237</v>
      </c>
      <c r="D6502" s="401" t="s">
        <v>13895</v>
      </c>
      <c r="E6502" s="120">
        <v>50</v>
      </c>
      <c r="F6502" s="133" t="s">
        <v>300</v>
      </c>
      <c r="G6502" s="404" t="s">
        <v>7486</v>
      </c>
      <c r="H6502" s="411">
        <v>168.04</v>
      </c>
      <c r="I6502" s="397">
        <f t="shared" ref="I6502" si="2908">-(H6502*0.15)</f>
        <v>-25.206</v>
      </c>
      <c r="J6502" s="258">
        <v>0</v>
      </c>
      <c r="K6502" s="90">
        <f>SUM(H6502:J6502)</f>
        <v>142.834</v>
      </c>
      <c r="L6502" s="131">
        <v>2150</v>
      </c>
      <c r="M6502" s="187">
        <v>30.84</v>
      </c>
      <c r="N6502" s="91">
        <f t="shared" si="2864"/>
        <v>138.34</v>
      </c>
      <c r="O6502" s="411">
        <f t="shared" si="2872"/>
        <v>4.4939999999999998</v>
      </c>
      <c r="P6502" s="132" t="s">
        <v>52</v>
      </c>
      <c r="Q6502" s="232"/>
      <c r="R6502" s="411"/>
      <c r="T6502" s="134" t="s">
        <v>145</v>
      </c>
      <c r="U6502" s="267" t="s">
        <v>13896</v>
      </c>
      <c r="AA6502" s="218"/>
    </row>
    <row r="6503" spans="1:27" ht="24" x14ac:dyDescent="0.25">
      <c r="A6503" s="405">
        <v>3005086</v>
      </c>
      <c r="B6503" s="406">
        <v>42664</v>
      </c>
      <c r="C6503" s="405" t="s">
        <v>237</v>
      </c>
      <c r="D6503" s="401" t="s">
        <v>13897</v>
      </c>
      <c r="E6503" s="120">
        <v>100</v>
      </c>
      <c r="F6503" s="133" t="s">
        <v>3301</v>
      </c>
      <c r="G6503" s="404" t="s">
        <v>7486</v>
      </c>
      <c r="H6503" s="411">
        <v>107.91</v>
      </c>
      <c r="I6503" s="397">
        <f t="shared" ref="I6503" si="2909">-(H6503*0.15)</f>
        <v>-16.186499999999999</v>
      </c>
      <c r="J6503" s="258">
        <v>0</v>
      </c>
      <c r="K6503" s="90">
        <f>SUM(H6503:J6503)</f>
        <v>91.723500000000001</v>
      </c>
      <c r="L6503" s="187">
        <v>754</v>
      </c>
      <c r="M6503" s="187">
        <v>23.5</v>
      </c>
      <c r="N6503" s="91">
        <f t="shared" si="2864"/>
        <v>98.9</v>
      </c>
      <c r="O6503" s="411">
        <f t="shared" si="2872"/>
        <v>-7.1765000000000043</v>
      </c>
      <c r="P6503" s="132" t="s">
        <v>601</v>
      </c>
      <c r="Q6503" s="232"/>
      <c r="R6503" s="411"/>
      <c r="T6503" s="134" t="s">
        <v>145</v>
      </c>
      <c r="U6503" s="267" t="s">
        <v>13898</v>
      </c>
      <c r="AA6503" s="218"/>
    </row>
    <row r="6504" spans="1:27" ht="24" x14ac:dyDescent="0.25">
      <c r="A6504" s="405">
        <v>3005087</v>
      </c>
      <c r="B6504" s="406">
        <v>42664</v>
      </c>
      <c r="C6504" s="405" t="s">
        <v>42</v>
      </c>
      <c r="D6504" s="401" t="s">
        <v>13899</v>
      </c>
      <c r="E6504" s="120">
        <v>100</v>
      </c>
      <c r="F6504" s="133" t="s">
        <v>161</v>
      </c>
      <c r="G6504" s="404" t="s">
        <v>7486</v>
      </c>
      <c r="H6504" s="411">
        <v>245</v>
      </c>
      <c r="I6504" s="89">
        <f t="shared" ref="I6504:I6509" si="2910">-(H6504*0.09)</f>
        <v>-22.05</v>
      </c>
      <c r="J6504" s="258">
        <f t="shared" ref="J6504" si="2911">-((H6504*0.019)+0.3)</f>
        <v>-4.9550000000000001</v>
      </c>
      <c r="K6504" s="90">
        <f t="shared" ref="K6504" si="2912">SUM(H6504:J6504)</f>
        <v>217.99499999999998</v>
      </c>
      <c r="L6504" s="131">
        <v>1322</v>
      </c>
      <c r="M6504" s="187">
        <v>38.78</v>
      </c>
      <c r="N6504" s="91">
        <f t="shared" si="2864"/>
        <v>170.98000000000002</v>
      </c>
      <c r="O6504" s="411">
        <f t="shared" si="2872"/>
        <v>47.014999999999958</v>
      </c>
      <c r="P6504" s="132" t="s">
        <v>52</v>
      </c>
      <c r="Q6504" s="232"/>
      <c r="R6504" s="411"/>
      <c r="T6504" s="134" t="s">
        <v>145</v>
      </c>
      <c r="U6504" s="267" t="s">
        <v>13900</v>
      </c>
      <c r="AA6504" s="218"/>
    </row>
    <row r="6505" spans="1:27" ht="24" x14ac:dyDescent="0.25">
      <c r="A6505" s="405">
        <v>3005088</v>
      </c>
      <c r="B6505" s="406">
        <v>42664</v>
      </c>
      <c r="C6505" s="405" t="s">
        <v>42</v>
      </c>
      <c r="D6505" s="401" t="s">
        <v>13901</v>
      </c>
      <c r="E6505" s="120">
        <v>500</v>
      </c>
      <c r="F6505" s="119" t="s">
        <v>12047</v>
      </c>
      <c r="G6505" s="404" t="s">
        <v>7486</v>
      </c>
      <c r="H6505" s="411">
        <v>118.75</v>
      </c>
      <c r="I6505" s="89">
        <f t="shared" si="2910"/>
        <v>-10.6875</v>
      </c>
      <c r="J6505" s="258">
        <f t="shared" ref="J6505" si="2913">-((H6505*0.019)+0.3)</f>
        <v>-2.5562499999999999</v>
      </c>
      <c r="K6505" s="90">
        <f t="shared" ref="K6505" si="2914">SUM(H6505:J6505)</f>
        <v>105.50624999999999</v>
      </c>
      <c r="L6505" s="187">
        <v>123</v>
      </c>
      <c r="M6505" s="187">
        <v>18.03</v>
      </c>
      <c r="N6505" s="91">
        <f t="shared" si="2864"/>
        <v>79.53</v>
      </c>
      <c r="O6505" s="411">
        <f t="shared" si="2872"/>
        <v>25.976249999999993</v>
      </c>
      <c r="P6505" s="132" t="s">
        <v>183</v>
      </c>
      <c r="Q6505" s="232"/>
      <c r="R6505" s="411"/>
      <c r="T6505" s="134" t="s">
        <v>324</v>
      </c>
      <c r="U6505" s="266" t="s">
        <v>13902</v>
      </c>
      <c r="AA6505" s="218"/>
    </row>
    <row r="6506" spans="1:27" ht="36" x14ac:dyDescent="0.25">
      <c r="A6506" s="405">
        <v>3005089</v>
      </c>
      <c r="B6506" s="406">
        <v>42664</v>
      </c>
      <c r="C6506" s="405" t="s">
        <v>42</v>
      </c>
      <c r="D6506" s="401" t="s">
        <v>13903</v>
      </c>
      <c r="E6506" s="120">
        <v>500</v>
      </c>
      <c r="F6506" s="119" t="s">
        <v>13904</v>
      </c>
      <c r="G6506" s="404" t="s">
        <v>7486</v>
      </c>
      <c r="H6506" s="411">
        <v>163.35</v>
      </c>
      <c r="I6506" s="89">
        <f t="shared" si="2910"/>
        <v>-14.701499999999999</v>
      </c>
      <c r="J6506" s="258">
        <f t="shared" ref="J6506" si="2915">-((H6506*0.019)+0.3)</f>
        <v>-3.4036499999999998</v>
      </c>
      <c r="K6506" s="90">
        <f t="shared" ref="K6506" si="2916">SUM(H6506:J6506)</f>
        <v>145.24484999999999</v>
      </c>
      <c r="L6506" s="187">
        <v>175</v>
      </c>
      <c r="M6506" s="187">
        <v>22.72</v>
      </c>
      <c r="N6506" s="91">
        <f t="shared" si="2864"/>
        <v>110.22</v>
      </c>
      <c r="O6506" s="411">
        <f t="shared" si="2872"/>
        <v>35.024849999999986</v>
      </c>
      <c r="P6506" s="132" t="s">
        <v>183</v>
      </c>
      <c r="Q6506" s="232"/>
      <c r="R6506" s="411"/>
      <c r="T6506" s="134" t="s">
        <v>324</v>
      </c>
      <c r="U6506" s="266" t="s">
        <v>13905</v>
      </c>
      <c r="AA6506" s="218"/>
    </row>
    <row r="6507" spans="1:27" ht="24" x14ac:dyDescent="0.25">
      <c r="A6507" s="405">
        <v>3005090</v>
      </c>
      <c r="B6507" s="406">
        <v>42664</v>
      </c>
      <c r="C6507" s="405" t="s">
        <v>42</v>
      </c>
      <c r="D6507" s="401" t="s">
        <v>13906</v>
      </c>
      <c r="E6507" s="120">
        <v>100</v>
      </c>
      <c r="F6507" s="133" t="s">
        <v>431</v>
      </c>
      <c r="G6507" s="404" t="s">
        <v>7486</v>
      </c>
      <c r="H6507" s="411">
        <v>227.48</v>
      </c>
      <c r="I6507" s="89">
        <f t="shared" si="2910"/>
        <v>-20.473199999999999</v>
      </c>
      <c r="J6507" s="258">
        <f t="shared" ref="J6507" si="2917">-((H6507*0.019)+0.3)</f>
        <v>-4.6221199999999998</v>
      </c>
      <c r="K6507" s="90">
        <f t="shared" ref="K6507" si="2918">SUM(H6507:J6507)</f>
        <v>202.38468</v>
      </c>
      <c r="L6507" s="131">
        <v>900</v>
      </c>
      <c r="M6507" s="187">
        <v>37.19</v>
      </c>
      <c r="N6507" s="91">
        <f t="shared" si="2864"/>
        <v>127.19</v>
      </c>
      <c r="O6507" s="411">
        <f t="shared" si="2872"/>
        <v>75.194680000000005</v>
      </c>
      <c r="P6507" s="132" t="s">
        <v>52</v>
      </c>
      <c r="Q6507" s="232"/>
      <c r="R6507" s="411"/>
      <c r="T6507" s="134" t="s">
        <v>145</v>
      </c>
      <c r="U6507" s="267" t="s">
        <v>13907</v>
      </c>
      <c r="AA6507" s="218"/>
    </row>
    <row r="6508" spans="1:27" ht="24" x14ac:dyDescent="0.25">
      <c r="A6508" s="405">
        <v>3005091</v>
      </c>
      <c r="B6508" s="406">
        <v>42664</v>
      </c>
      <c r="C6508" s="405" t="s">
        <v>42</v>
      </c>
      <c r="D6508" s="401" t="s">
        <v>13908</v>
      </c>
      <c r="E6508" s="120">
        <v>375</v>
      </c>
      <c r="F6508" s="133" t="s">
        <v>877</v>
      </c>
      <c r="G6508" s="404" t="s">
        <v>7486</v>
      </c>
      <c r="H6508" s="411">
        <v>274.01</v>
      </c>
      <c r="I6508" s="89">
        <f t="shared" si="2910"/>
        <v>-24.660899999999998</v>
      </c>
      <c r="J6508" s="258">
        <f t="shared" ref="J6508" si="2919">-((H6508*0.019)+0.3)</f>
        <v>-5.5061899999999993</v>
      </c>
      <c r="K6508" s="90">
        <f t="shared" ref="K6508" si="2920">SUM(H6508:J6508)</f>
        <v>243.84290999999999</v>
      </c>
      <c r="L6508" s="131">
        <v>201</v>
      </c>
      <c r="M6508" s="187">
        <v>18.07</v>
      </c>
      <c r="N6508" s="91">
        <f t="shared" si="2864"/>
        <v>93.444999999999993</v>
      </c>
      <c r="O6508" s="411">
        <f t="shared" si="2872"/>
        <v>150.39791</v>
      </c>
      <c r="P6508" s="132" t="s">
        <v>52</v>
      </c>
      <c r="Q6508" s="232"/>
      <c r="R6508" s="411"/>
      <c r="T6508" s="134" t="s">
        <v>145</v>
      </c>
      <c r="U6508" s="267" t="s">
        <v>13909</v>
      </c>
      <c r="AA6508" s="218"/>
    </row>
    <row r="6509" spans="1:27" ht="24" x14ac:dyDescent="0.25">
      <c r="A6509" s="405">
        <v>3005092</v>
      </c>
      <c r="B6509" s="406">
        <v>42664</v>
      </c>
      <c r="C6509" s="405" t="s">
        <v>42</v>
      </c>
      <c r="D6509" s="401" t="s">
        <v>13910</v>
      </c>
      <c r="E6509" s="120">
        <v>200</v>
      </c>
      <c r="F6509" s="133" t="s">
        <v>13911</v>
      </c>
      <c r="G6509" s="404" t="s">
        <v>7486</v>
      </c>
      <c r="H6509" s="411">
        <v>637</v>
      </c>
      <c r="I6509" s="89">
        <f t="shared" si="2910"/>
        <v>-57.33</v>
      </c>
      <c r="J6509" s="258">
        <f t="shared" ref="J6509" si="2921">-((H6509*0.019)+0.3)</f>
        <v>-12.403</v>
      </c>
      <c r="K6509" s="90">
        <f t="shared" ref="K6509" si="2922">SUM(H6509:J6509)</f>
        <v>567.26699999999994</v>
      </c>
      <c r="L6509" s="187">
        <v>2200</v>
      </c>
      <c r="M6509" s="131">
        <v>0</v>
      </c>
      <c r="N6509" s="91">
        <f t="shared" si="2864"/>
        <v>440</v>
      </c>
      <c r="O6509" s="411">
        <f t="shared" si="2872"/>
        <v>127.26699999999994</v>
      </c>
      <c r="P6509" s="132" t="s">
        <v>601</v>
      </c>
      <c r="Q6509" s="232"/>
      <c r="R6509" s="411"/>
      <c r="T6509" s="134" t="s">
        <v>324</v>
      </c>
      <c r="U6509" s="267" t="s">
        <v>13912</v>
      </c>
      <c r="AA6509" s="218"/>
    </row>
    <row r="6510" spans="1:27" ht="60" x14ac:dyDescent="0.25">
      <c r="A6510" s="405">
        <v>3005093</v>
      </c>
      <c r="B6510" s="406">
        <v>42664</v>
      </c>
      <c r="C6510" s="405" t="s">
        <v>63</v>
      </c>
      <c r="D6510" s="401" t="s">
        <v>13913</v>
      </c>
      <c r="E6510" s="120">
        <v>300</v>
      </c>
      <c r="F6510" s="133" t="s">
        <v>13914</v>
      </c>
      <c r="G6510" s="404" t="s">
        <v>7486</v>
      </c>
      <c r="H6510" s="411">
        <v>2000</v>
      </c>
      <c r="I6510" s="399">
        <v>0</v>
      </c>
      <c r="J6510" s="396">
        <f>-((H6510*0.022)+0.3)</f>
        <v>-44.3</v>
      </c>
      <c r="K6510" s="396">
        <f>SUM(H6510:J6510)</f>
        <v>1955.7</v>
      </c>
      <c r="L6510" s="187">
        <v>1150</v>
      </c>
      <c r="M6510" s="224">
        <v>884.91</v>
      </c>
      <c r="N6510" s="91">
        <f t="shared" si="2864"/>
        <v>1229.9099999999999</v>
      </c>
      <c r="O6510" s="411">
        <f t="shared" si="2872"/>
        <v>725.79000000000019</v>
      </c>
      <c r="P6510" s="132" t="s">
        <v>183</v>
      </c>
      <c r="Q6510" s="232"/>
      <c r="R6510" s="411"/>
      <c r="T6510" s="134" t="s">
        <v>7656</v>
      </c>
      <c r="U6510" s="266" t="s">
        <v>13915</v>
      </c>
      <c r="W6510" s="153" t="s">
        <v>13916</v>
      </c>
      <c r="AA6510" s="218">
        <v>10</v>
      </c>
    </row>
    <row r="6511" spans="1:27" x14ac:dyDescent="0.25">
      <c r="A6511" s="419">
        <v>3005094</v>
      </c>
      <c r="B6511" s="421">
        <v>42664</v>
      </c>
      <c r="C6511" s="419" t="s">
        <v>141</v>
      </c>
      <c r="D6511" s="417" t="s">
        <v>13917</v>
      </c>
      <c r="E6511" s="120">
        <v>500</v>
      </c>
      <c r="F6511" s="133" t="s">
        <v>13918</v>
      </c>
      <c r="G6511" s="434" t="s">
        <v>7486</v>
      </c>
      <c r="H6511" s="427">
        <v>3800</v>
      </c>
      <c r="I6511" s="427">
        <v>0</v>
      </c>
      <c r="J6511" s="425">
        <f>-((H6511*0.0325)+0.3)</f>
        <v>-123.8</v>
      </c>
      <c r="K6511" s="425">
        <f>SUM(H6511:J6511)</f>
        <v>3676.2</v>
      </c>
      <c r="L6511" s="187">
        <v>1880</v>
      </c>
      <c r="M6511" s="485">
        <v>315.39</v>
      </c>
      <c r="N6511" s="91">
        <f t="shared" si="2864"/>
        <v>1255.3899999999999</v>
      </c>
      <c r="O6511" s="411">
        <f t="shared" si="2872"/>
        <v>2420.81</v>
      </c>
      <c r="P6511" s="132" t="s">
        <v>638</v>
      </c>
      <c r="Q6511" s="232"/>
      <c r="R6511" s="411"/>
      <c r="T6511" s="439" t="s">
        <v>53</v>
      </c>
      <c r="U6511" s="446" t="s">
        <v>13919</v>
      </c>
      <c r="W6511" s="153" t="s">
        <v>13920</v>
      </c>
      <c r="AA6511" s="473">
        <v>10</v>
      </c>
    </row>
    <row r="6512" spans="1:27" x14ac:dyDescent="0.25">
      <c r="A6512" s="432"/>
      <c r="B6512" s="433"/>
      <c r="C6512" s="432"/>
      <c r="D6512" s="454"/>
      <c r="E6512" s="120">
        <v>500</v>
      </c>
      <c r="F6512" s="133" t="s">
        <v>13921</v>
      </c>
      <c r="G6512" s="435"/>
      <c r="H6512" s="438"/>
      <c r="I6512" s="438"/>
      <c r="J6512" s="437"/>
      <c r="K6512" s="437"/>
      <c r="L6512" s="187">
        <v>1880</v>
      </c>
      <c r="M6512" s="486"/>
      <c r="N6512" s="91">
        <f t="shared" si="2864"/>
        <v>940</v>
      </c>
      <c r="O6512" s="411">
        <f t="shared" si="2872"/>
        <v>-940</v>
      </c>
      <c r="P6512" s="132" t="s">
        <v>638</v>
      </c>
      <c r="Q6512" s="232"/>
      <c r="R6512" s="411"/>
      <c r="T6512" s="440"/>
      <c r="U6512" s="448"/>
      <c r="AA6512" s="478"/>
    </row>
    <row r="6513" spans="1:27" x14ac:dyDescent="0.25">
      <c r="A6513" s="432"/>
      <c r="B6513" s="433"/>
      <c r="C6513" s="432"/>
      <c r="D6513" s="454"/>
      <c r="E6513" s="120">
        <v>500</v>
      </c>
      <c r="F6513" s="133" t="s">
        <v>11432</v>
      </c>
      <c r="G6513" s="435"/>
      <c r="H6513" s="438"/>
      <c r="I6513" s="438"/>
      <c r="J6513" s="437"/>
      <c r="K6513" s="437"/>
      <c r="L6513" s="187">
        <v>272</v>
      </c>
      <c r="M6513" s="486"/>
      <c r="N6513" s="91">
        <f t="shared" si="2864"/>
        <v>136</v>
      </c>
      <c r="O6513" s="411">
        <f t="shared" si="2872"/>
        <v>-136</v>
      </c>
      <c r="P6513" s="132" t="s">
        <v>638</v>
      </c>
      <c r="Q6513" s="232"/>
      <c r="R6513" s="411"/>
      <c r="T6513" s="440"/>
      <c r="U6513" s="448"/>
      <c r="V6513" s="133" t="s">
        <v>55</v>
      </c>
      <c r="AA6513" s="478"/>
    </row>
    <row r="6514" spans="1:27" x14ac:dyDescent="0.25">
      <c r="A6514" s="420"/>
      <c r="B6514" s="422"/>
      <c r="C6514" s="420"/>
      <c r="D6514" s="418"/>
      <c r="E6514" s="120">
        <v>500</v>
      </c>
      <c r="F6514" s="133" t="s">
        <v>13922</v>
      </c>
      <c r="G6514" s="436"/>
      <c r="H6514" s="428"/>
      <c r="I6514" s="428"/>
      <c r="J6514" s="426"/>
      <c r="K6514" s="426"/>
      <c r="L6514" s="187">
        <v>1520</v>
      </c>
      <c r="M6514" s="487"/>
      <c r="N6514" s="91">
        <f t="shared" si="2864"/>
        <v>760</v>
      </c>
      <c r="O6514" s="411">
        <f t="shared" si="2872"/>
        <v>-760</v>
      </c>
      <c r="P6514" s="132" t="s">
        <v>638</v>
      </c>
      <c r="Q6514" s="232"/>
      <c r="R6514" s="411"/>
      <c r="T6514" s="441"/>
      <c r="U6514" s="447"/>
      <c r="AA6514" s="474"/>
    </row>
    <row r="6515" spans="1:27" ht="36" x14ac:dyDescent="0.25">
      <c r="A6515" s="405">
        <v>3005095</v>
      </c>
      <c r="B6515" s="406">
        <v>42664</v>
      </c>
      <c r="C6515" s="405" t="s">
        <v>237</v>
      </c>
      <c r="D6515" s="401" t="s">
        <v>13923</v>
      </c>
      <c r="E6515" s="120">
        <v>500</v>
      </c>
      <c r="F6515" s="119" t="s">
        <v>13924</v>
      </c>
      <c r="G6515" s="404" t="s">
        <v>7486</v>
      </c>
      <c r="H6515" s="411">
        <v>212.97</v>
      </c>
      <c r="I6515" s="397">
        <f t="shared" ref="I6515" si="2923">-(H6515*0.15)</f>
        <v>-31.945499999999999</v>
      </c>
      <c r="J6515" s="258">
        <v>0</v>
      </c>
      <c r="K6515" s="90">
        <f>SUM(H6515:J6515)</f>
        <v>181.02449999999999</v>
      </c>
      <c r="L6515" s="187">
        <v>206</v>
      </c>
      <c r="M6515" s="187">
        <v>9.0299999999999994</v>
      </c>
      <c r="N6515" s="91">
        <f t="shared" si="2864"/>
        <v>112.03</v>
      </c>
      <c r="O6515" s="411">
        <f t="shared" si="2872"/>
        <v>68.994499999999988</v>
      </c>
      <c r="P6515" s="132" t="s">
        <v>856</v>
      </c>
      <c r="Q6515" s="232"/>
      <c r="R6515" s="411"/>
      <c r="T6515" s="134" t="s">
        <v>145</v>
      </c>
      <c r="U6515" s="267" t="s">
        <v>13925</v>
      </c>
      <c r="AA6515" s="218"/>
    </row>
    <row r="6516" spans="1:27" ht="24" x14ac:dyDescent="0.25">
      <c r="A6516" s="405">
        <v>3005096</v>
      </c>
      <c r="B6516" s="406">
        <v>42667</v>
      </c>
      <c r="C6516" s="405" t="s">
        <v>63</v>
      </c>
      <c r="D6516" s="401" t="s">
        <v>13926</v>
      </c>
      <c r="E6516" s="120">
        <v>125</v>
      </c>
      <c r="F6516" s="133" t="s">
        <v>178</v>
      </c>
      <c r="G6516" s="404" t="s">
        <v>7486</v>
      </c>
      <c r="H6516" s="411">
        <v>402.53</v>
      </c>
      <c r="I6516" s="399">
        <v>0</v>
      </c>
      <c r="J6516" s="396">
        <f>-((H6516*0.022)+0.3)</f>
        <v>-9.1556599999999992</v>
      </c>
      <c r="K6516" s="396">
        <f>SUM(H6516:J6516)</f>
        <v>393.37433999999996</v>
      </c>
      <c r="L6516" s="131">
        <v>1170</v>
      </c>
      <c r="M6516" s="187">
        <v>36.93</v>
      </c>
      <c r="N6516" s="91">
        <f t="shared" si="2864"/>
        <v>183.18</v>
      </c>
      <c r="O6516" s="411">
        <f t="shared" si="2872"/>
        <v>210.19433999999995</v>
      </c>
      <c r="P6516" s="132" t="s">
        <v>52</v>
      </c>
      <c r="Q6516" s="232"/>
      <c r="R6516" s="411">
        <v>29.82</v>
      </c>
      <c r="S6516" s="133" t="s">
        <v>13927</v>
      </c>
      <c r="T6516" s="134" t="s">
        <v>145</v>
      </c>
      <c r="U6516" s="267" t="s">
        <v>13928</v>
      </c>
      <c r="W6516" s="153" t="s">
        <v>13929</v>
      </c>
      <c r="AA6516" s="218"/>
    </row>
    <row r="6517" spans="1:27" ht="24" x14ac:dyDescent="0.25">
      <c r="A6517" s="405">
        <v>3005097</v>
      </c>
      <c r="B6517" s="406">
        <v>42667</v>
      </c>
      <c r="C6517" s="405" t="s">
        <v>78</v>
      </c>
      <c r="D6517" s="401" t="s">
        <v>13930</v>
      </c>
      <c r="E6517" s="120">
        <v>100</v>
      </c>
      <c r="F6517" s="133" t="s">
        <v>161</v>
      </c>
      <c r="G6517" s="404" t="s">
        <v>7486</v>
      </c>
      <c r="H6517" s="411">
        <v>235</v>
      </c>
      <c r="I6517" s="411">
        <v>0</v>
      </c>
      <c r="J6517" s="258">
        <f t="shared" ref="J6517:J6518" si="2924">-((H6517*0.019)+0.3)</f>
        <v>-4.7649999999999997</v>
      </c>
      <c r="K6517" s="396">
        <f>SUM(H6517:J6517)</f>
        <v>230.23500000000001</v>
      </c>
      <c r="L6517" s="131">
        <v>1322</v>
      </c>
      <c r="M6517" s="187">
        <v>33.08</v>
      </c>
      <c r="N6517" s="91">
        <f t="shared" si="2864"/>
        <v>165.28000000000003</v>
      </c>
      <c r="O6517" s="411">
        <f t="shared" si="2872"/>
        <v>64.954999999999984</v>
      </c>
      <c r="P6517" s="132" t="s">
        <v>52</v>
      </c>
      <c r="Q6517" s="232"/>
      <c r="R6517" s="411"/>
      <c r="T6517" s="134" t="s">
        <v>145</v>
      </c>
      <c r="U6517" s="267" t="s">
        <v>13931</v>
      </c>
      <c r="W6517" s="153" t="s">
        <v>13932</v>
      </c>
      <c r="AA6517" s="218"/>
    </row>
    <row r="6518" spans="1:27" ht="24" x14ac:dyDescent="0.25">
      <c r="A6518" s="405">
        <v>3005098</v>
      </c>
      <c r="B6518" s="406">
        <v>42667</v>
      </c>
      <c r="C6518" s="405" t="s">
        <v>42</v>
      </c>
      <c r="D6518" s="401" t="s">
        <v>13933</v>
      </c>
      <c r="E6518" s="120">
        <v>160</v>
      </c>
      <c r="F6518" s="133" t="s">
        <v>247</v>
      </c>
      <c r="G6518" s="404" t="s">
        <v>7486</v>
      </c>
      <c r="H6518" s="411">
        <v>198.62</v>
      </c>
      <c r="I6518" s="89">
        <f t="shared" ref="I6518:I6528" si="2925">-(H6518*0.09)</f>
        <v>-17.875799999999998</v>
      </c>
      <c r="J6518" s="258">
        <f t="shared" si="2924"/>
        <v>-4.0737800000000002</v>
      </c>
      <c r="K6518" s="90">
        <f t="shared" ref="K6518" si="2926">SUM(H6518:J6518)</f>
        <v>176.67042000000001</v>
      </c>
      <c r="L6518" s="131">
        <v>424</v>
      </c>
      <c r="N6518" s="91">
        <f t="shared" si="2864"/>
        <v>67.84</v>
      </c>
      <c r="O6518" s="411">
        <f t="shared" si="2872"/>
        <v>108.83042</v>
      </c>
      <c r="P6518" s="132" t="s">
        <v>52</v>
      </c>
      <c r="Q6518" s="232"/>
      <c r="R6518" s="411">
        <v>13.82</v>
      </c>
      <c r="S6518" s="133" t="s">
        <v>13934</v>
      </c>
      <c r="T6518" s="134" t="s">
        <v>145</v>
      </c>
      <c r="U6518" s="267" t="s">
        <v>13935</v>
      </c>
      <c r="W6518" s="153"/>
      <c r="AA6518" s="218"/>
    </row>
    <row r="6519" spans="1:27" ht="24" x14ac:dyDescent="0.25">
      <c r="A6519" s="405">
        <v>3005099</v>
      </c>
      <c r="B6519" s="406">
        <v>42667</v>
      </c>
      <c r="C6519" s="405" t="s">
        <v>42</v>
      </c>
      <c r="D6519" s="401" t="s">
        <v>13559</v>
      </c>
      <c r="E6519" s="120">
        <v>50</v>
      </c>
      <c r="F6519" s="133" t="s">
        <v>288</v>
      </c>
      <c r="G6519" s="404" t="s">
        <v>7486</v>
      </c>
      <c r="H6519" s="411">
        <v>108.9</v>
      </c>
      <c r="I6519" s="89">
        <f t="shared" si="2925"/>
        <v>-9.8010000000000002</v>
      </c>
      <c r="J6519" s="258">
        <f t="shared" ref="J6519" si="2927">-((H6519*0.019)+0.3)</f>
        <v>-2.3691</v>
      </c>
      <c r="K6519" s="90">
        <f t="shared" ref="K6519" si="2928">SUM(H6519:J6519)</f>
        <v>96.729900000000001</v>
      </c>
      <c r="L6519" s="131">
        <v>900</v>
      </c>
      <c r="M6519" s="187">
        <v>23.31</v>
      </c>
      <c r="N6519" s="91">
        <f t="shared" si="2864"/>
        <v>68.31</v>
      </c>
      <c r="O6519" s="411">
        <f t="shared" si="2872"/>
        <v>28.419899999999998</v>
      </c>
      <c r="P6519" s="132" t="s">
        <v>52</v>
      </c>
      <c r="Q6519" s="232"/>
      <c r="R6519" s="411"/>
      <c r="T6519" s="134" t="s">
        <v>145</v>
      </c>
      <c r="U6519" s="267" t="s">
        <v>13936</v>
      </c>
      <c r="AA6519" s="218"/>
    </row>
    <row r="6520" spans="1:27" ht="24" x14ac:dyDescent="0.25">
      <c r="A6520" s="405">
        <v>3005100</v>
      </c>
      <c r="B6520" s="406">
        <v>42667</v>
      </c>
      <c r="C6520" s="405" t="s">
        <v>42</v>
      </c>
      <c r="D6520" s="401" t="s">
        <v>13937</v>
      </c>
      <c r="E6520" s="120">
        <v>100</v>
      </c>
      <c r="F6520" s="133" t="s">
        <v>939</v>
      </c>
      <c r="G6520" s="404" t="s">
        <v>7486</v>
      </c>
      <c r="H6520" s="411">
        <v>122.14</v>
      </c>
      <c r="I6520" s="89">
        <f t="shared" si="2925"/>
        <v>-10.992599999999999</v>
      </c>
      <c r="J6520" s="258">
        <f t="shared" ref="J6520" si="2929">-((H6520*0.019)+0.3)</f>
        <v>-2.62066</v>
      </c>
      <c r="K6520" s="90">
        <f t="shared" ref="K6520" si="2930">SUM(H6520:J6520)</f>
        <v>108.52674</v>
      </c>
      <c r="L6520" s="131">
        <v>445</v>
      </c>
      <c r="M6520" s="187">
        <v>54.75</v>
      </c>
      <c r="N6520" s="91">
        <f t="shared" si="2864"/>
        <v>99.25</v>
      </c>
      <c r="O6520" s="411">
        <f t="shared" si="2872"/>
        <v>9.2767400000000038</v>
      </c>
      <c r="P6520" s="132" t="s">
        <v>52</v>
      </c>
      <c r="Q6520" s="232"/>
      <c r="R6520" s="411"/>
      <c r="T6520" s="134" t="s">
        <v>145</v>
      </c>
      <c r="U6520" s="267" t="s">
        <v>13938</v>
      </c>
      <c r="AA6520" s="218"/>
    </row>
    <row r="6521" spans="1:27" ht="24" x14ac:dyDescent="0.25">
      <c r="A6521" s="405">
        <v>3005101</v>
      </c>
      <c r="B6521" s="406">
        <v>42667</v>
      </c>
      <c r="C6521" s="405" t="s">
        <v>42</v>
      </c>
      <c r="D6521" s="401" t="s">
        <v>13939</v>
      </c>
      <c r="E6521" s="120">
        <v>150</v>
      </c>
      <c r="F6521" s="133" t="s">
        <v>829</v>
      </c>
      <c r="G6521" s="404" t="s">
        <v>7486</v>
      </c>
      <c r="H6521" s="411">
        <v>156.13</v>
      </c>
      <c r="I6521" s="89">
        <f t="shared" si="2925"/>
        <v>-14.051699999999999</v>
      </c>
      <c r="J6521" s="258">
        <f t="shared" ref="J6521" si="2931">-((H6521*0.019)+0.3)</f>
        <v>-3.2664699999999995</v>
      </c>
      <c r="K6521" s="90">
        <f t="shared" ref="K6521" si="2932">SUM(H6521:J6521)</f>
        <v>138.81182999999999</v>
      </c>
      <c r="L6521" s="131">
        <v>510</v>
      </c>
      <c r="M6521" s="187">
        <v>34.520000000000003</v>
      </c>
      <c r="N6521" s="91">
        <f t="shared" si="2864"/>
        <v>111.02000000000001</v>
      </c>
      <c r="O6521" s="411">
        <f t="shared" si="2872"/>
        <v>27.791829999999976</v>
      </c>
      <c r="P6521" s="132" t="s">
        <v>52</v>
      </c>
      <c r="Q6521" s="232"/>
      <c r="R6521" s="411"/>
      <c r="T6521" s="134" t="s">
        <v>145</v>
      </c>
      <c r="U6521" s="267" t="s">
        <v>13940</v>
      </c>
      <c r="AA6521" s="218"/>
    </row>
    <row r="6522" spans="1:27" ht="24" x14ac:dyDescent="0.25">
      <c r="A6522" s="405">
        <v>3005102</v>
      </c>
      <c r="B6522" s="406">
        <v>42667</v>
      </c>
      <c r="C6522" s="405" t="s">
        <v>42</v>
      </c>
      <c r="D6522" s="401" t="s">
        <v>13941</v>
      </c>
      <c r="E6522" s="120">
        <v>250</v>
      </c>
      <c r="F6522" s="133" t="s">
        <v>1550</v>
      </c>
      <c r="G6522" s="404" t="s">
        <v>7486</v>
      </c>
      <c r="H6522" s="411">
        <v>334.62</v>
      </c>
      <c r="I6522" s="89">
        <f t="shared" si="2925"/>
        <v>-30.1158</v>
      </c>
      <c r="J6522" s="258">
        <f t="shared" ref="J6522" si="2933">-((H6522*0.019)+0.3)</f>
        <v>-6.6577799999999998</v>
      </c>
      <c r="K6522" s="90">
        <f t="shared" ref="K6522" si="2934">SUM(H6522:J6522)</f>
        <v>297.84642000000002</v>
      </c>
      <c r="M6522" s="187">
        <v>42.53</v>
      </c>
      <c r="N6522" s="91">
        <f t="shared" si="2864"/>
        <v>42.53</v>
      </c>
      <c r="O6522" s="411">
        <f t="shared" si="2872"/>
        <v>255.31642000000002</v>
      </c>
      <c r="P6522" s="132" t="s">
        <v>52</v>
      </c>
      <c r="Q6522" s="232"/>
      <c r="R6522" s="411"/>
      <c r="T6522" s="134" t="s">
        <v>145</v>
      </c>
      <c r="U6522" s="267" t="s">
        <v>13942</v>
      </c>
      <c r="AA6522" s="218"/>
    </row>
    <row r="6523" spans="1:27" ht="24" x14ac:dyDescent="0.25">
      <c r="A6523" s="405">
        <v>3005103</v>
      </c>
      <c r="B6523" s="406">
        <v>42667</v>
      </c>
      <c r="C6523" s="405" t="s">
        <v>42</v>
      </c>
      <c r="D6523" s="401" t="s">
        <v>13943</v>
      </c>
      <c r="E6523" s="120">
        <v>50</v>
      </c>
      <c r="F6523" s="133" t="s">
        <v>3345</v>
      </c>
      <c r="G6523" s="404" t="s">
        <v>7486</v>
      </c>
      <c r="H6523" s="411">
        <v>132.30000000000001</v>
      </c>
      <c r="I6523" s="89">
        <f t="shared" si="2925"/>
        <v>-11.907</v>
      </c>
      <c r="J6523" s="258">
        <f t="shared" ref="J6523" si="2935">-((H6523*0.019)+0.3)</f>
        <v>-2.8136999999999999</v>
      </c>
      <c r="K6523" s="90">
        <f t="shared" ref="K6523" si="2936">SUM(H6523:J6523)</f>
        <v>117.57930000000002</v>
      </c>
      <c r="L6523" s="187">
        <v>1419</v>
      </c>
      <c r="M6523" s="187">
        <v>11.92</v>
      </c>
      <c r="N6523" s="91">
        <f t="shared" si="2864"/>
        <v>82.87</v>
      </c>
      <c r="O6523" s="411">
        <f t="shared" si="2872"/>
        <v>34.709300000000013</v>
      </c>
      <c r="P6523" s="132" t="s">
        <v>601</v>
      </c>
      <c r="Q6523" s="232"/>
      <c r="R6523" s="411">
        <v>9.8000000000000007</v>
      </c>
      <c r="S6523" s="133" t="s">
        <v>4953</v>
      </c>
      <c r="T6523" s="134" t="s">
        <v>145</v>
      </c>
      <c r="U6523" s="267" t="s">
        <v>13944</v>
      </c>
      <c r="AA6523" s="218"/>
    </row>
    <row r="6524" spans="1:27" ht="24" x14ac:dyDescent="0.25">
      <c r="A6524" s="405">
        <v>3005104</v>
      </c>
      <c r="B6524" s="406">
        <v>42667</v>
      </c>
      <c r="C6524" s="405" t="s">
        <v>42</v>
      </c>
      <c r="D6524" s="401" t="s">
        <v>13945</v>
      </c>
      <c r="E6524" s="120">
        <v>125</v>
      </c>
      <c r="F6524" s="133" t="s">
        <v>605</v>
      </c>
      <c r="G6524" s="404" t="s">
        <v>7486</v>
      </c>
      <c r="H6524" s="411">
        <v>186.52</v>
      </c>
      <c r="I6524" s="89">
        <f t="shared" si="2925"/>
        <v>-16.786799999999999</v>
      </c>
      <c r="J6524" s="258">
        <f t="shared" ref="J6524" si="2937">-((H6524*0.019)+0.3)</f>
        <v>-3.84388</v>
      </c>
      <c r="K6524" s="90">
        <f t="shared" ref="K6524" si="2938">SUM(H6524:J6524)</f>
        <v>165.88932</v>
      </c>
      <c r="L6524" s="131">
        <v>595</v>
      </c>
      <c r="M6524" s="187">
        <v>48.19</v>
      </c>
      <c r="N6524" s="91">
        <f t="shared" si="2864"/>
        <v>122.565</v>
      </c>
      <c r="O6524" s="411">
        <f t="shared" si="2872"/>
        <v>43.32432</v>
      </c>
      <c r="P6524" s="132" t="s">
        <v>52</v>
      </c>
      <c r="Q6524" s="232"/>
      <c r="R6524" s="411"/>
      <c r="T6524" s="134" t="s">
        <v>145</v>
      </c>
      <c r="U6524" s="267" t="s">
        <v>13946</v>
      </c>
      <c r="AA6524" s="218"/>
    </row>
    <row r="6525" spans="1:27" ht="24" x14ac:dyDescent="0.25">
      <c r="A6525" s="405">
        <v>3005105</v>
      </c>
      <c r="B6525" s="406">
        <v>42667</v>
      </c>
      <c r="C6525" s="405" t="s">
        <v>42</v>
      </c>
      <c r="D6525" s="401" t="s">
        <v>13947</v>
      </c>
      <c r="E6525" s="120">
        <v>250</v>
      </c>
      <c r="F6525" s="133" t="s">
        <v>290</v>
      </c>
      <c r="G6525" s="404" t="s">
        <v>7486</v>
      </c>
      <c r="H6525" s="411">
        <v>181.45</v>
      </c>
      <c r="I6525" s="89">
        <f t="shared" si="2925"/>
        <v>-16.330499999999997</v>
      </c>
      <c r="J6525" s="258">
        <f t="shared" ref="J6525" si="2939">-((H6525*0.019)+0.3)</f>
        <v>-3.7475499999999995</v>
      </c>
      <c r="K6525" s="90">
        <f t="shared" ref="K6525" si="2940">SUM(H6525:J6525)</f>
        <v>161.37195</v>
      </c>
      <c r="L6525" s="187">
        <v>342</v>
      </c>
      <c r="M6525" s="187">
        <v>34</v>
      </c>
      <c r="N6525" s="91">
        <f t="shared" si="2864"/>
        <v>119.5</v>
      </c>
      <c r="O6525" s="411">
        <f t="shared" si="2872"/>
        <v>41.871949999999998</v>
      </c>
      <c r="P6525" s="132" t="s">
        <v>183</v>
      </c>
      <c r="Q6525" s="232"/>
      <c r="R6525" s="411"/>
      <c r="T6525" s="134" t="s">
        <v>145</v>
      </c>
      <c r="U6525" s="267" t="s">
        <v>13948</v>
      </c>
      <c r="AA6525" s="218"/>
    </row>
    <row r="6526" spans="1:27" ht="24" x14ac:dyDescent="0.25">
      <c r="A6526" s="405">
        <v>3005106</v>
      </c>
      <c r="B6526" s="406">
        <v>42667</v>
      </c>
      <c r="C6526" s="405" t="s">
        <v>42</v>
      </c>
      <c r="D6526" s="401" t="s">
        <v>13949</v>
      </c>
      <c r="E6526" s="120">
        <v>250</v>
      </c>
      <c r="F6526" s="133" t="s">
        <v>323</v>
      </c>
      <c r="G6526" s="404" t="s">
        <v>7486</v>
      </c>
      <c r="H6526" s="411">
        <v>197.99</v>
      </c>
      <c r="I6526" s="89">
        <f t="shared" si="2925"/>
        <v>-17.819099999999999</v>
      </c>
      <c r="J6526" s="258">
        <f t="shared" ref="J6526" si="2941">-((H6526*0.019)+0.3)</f>
        <v>-4.0618100000000004</v>
      </c>
      <c r="K6526" s="90">
        <f t="shared" ref="K6526" si="2942">SUM(H6526:J6526)</f>
        <v>176.10909000000001</v>
      </c>
      <c r="L6526" s="131">
        <v>395</v>
      </c>
      <c r="M6526" s="187">
        <v>24.67</v>
      </c>
      <c r="N6526" s="91">
        <f t="shared" ref="N6526:N6590" si="2943">((L6526)*(E6526*0.001))+M6526</f>
        <v>123.42</v>
      </c>
      <c r="O6526" s="411">
        <f t="shared" si="2872"/>
        <v>52.689090000000007</v>
      </c>
      <c r="P6526" s="132" t="s">
        <v>52</v>
      </c>
      <c r="Q6526" s="232"/>
      <c r="R6526" s="411"/>
      <c r="T6526" s="134" t="s">
        <v>145</v>
      </c>
      <c r="U6526" s="267" t="s">
        <v>13950</v>
      </c>
      <c r="AA6526" s="218"/>
    </row>
    <row r="6527" spans="1:27" ht="24" x14ac:dyDescent="0.25">
      <c r="A6527" s="405">
        <v>3005107</v>
      </c>
      <c r="B6527" s="406">
        <v>42667</v>
      </c>
      <c r="C6527" s="405" t="s">
        <v>42</v>
      </c>
      <c r="D6527" s="401" t="s">
        <v>13951</v>
      </c>
      <c r="E6527" s="120">
        <v>250</v>
      </c>
      <c r="F6527" s="133" t="s">
        <v>1042</v>
      </c>
      <c r="G6527" s="404" t="s">
        <v>7486</v>
      </c>
      <c r="H6527" s="411">
        <v>95</v>
      </c>
      <c r="I6527" s="89">
        <f t="shared" si="2925"/>
        <v>-8.5499999999999989</v>
      </c>
      <c r="J6527" s="258">
        <f t="shared" ref="J6527" si="2944">-((H6527*0.019)+0.3)</f>
        <v>-2.105</v>
      </c>
      <c r="K6527" s="90">
        <f t="shared" ref="K6527" si="2945">SUM(H6527:J6527)</f>
        <v>84.344999999999999</v>
      </c>
      <c r="L6527" s="131">
        <v>150</v>
      </c>
      <c r="M6527" s="187">
        <v>20.78</v>
      </c>
      <c r="N6527" s="91">
        <f t="shared" si="2943"/>
        <v>58.28</v>
      </c>
      <c r="O6527" s="411">
        <f t="shared" si="2872"/>
        <v>26.064999999999998</v>
      </c>
      <c r="P6527" s="132" t="s">
        <v>52</v>
      </c>
      <c r="Q6527" s="232"/>
      <c r="R6527" s="411"/>
      <c r="T6527" s="134" t="s">
        <v>145</v>
      </c>
      <c r="U6527" s="267" t="s">
        <v>13952</v>
      </c>
      <c r="AA6527" s="218"/>
    </row>
    <row r="6528" spans="1:27" ht="24" x14ac:dyDescent="0.25">
      <c r="A6528" s="405">
        <v>3005108</v>
      </c>
      <c r="B6528" s="406">
        <v>42667</v>
      </c>
      <c r="C6528" s="405" t="s">
        <v>42</v>
      </c>
      <c r="D6528" s="401" t="s">
        <v>13953</v>
      </c>
      <c r="E6528" s="120">
        <v>50</v>
      </c>
      <c r="F6528" s="133" t="s">
        <v>6151</v>
      </c>
      <c r="G6528" s="404" t="s">
        <v>7486</v>
      </c>
      <c r="H6528" s="411">
        <v>197.5</v>
      </c>
      <c r="I6528" s="89">
        <f t="shared" si="2925"/>
        <v>-17.774999999999999</v>
      </c>
      <c r="J6528" s="258">
        <f t="shared" ref="J6528" si="2946">-((H6528*0.019)+0.3)</f>
        <v>-4.0525000000000002</v>
      </c>
      <c r="K6528" s="90">
        <f t="shared" ref="K6528" si="2947">SUM(H6528:J6528)</f>
        <v>175.67249999999999</v>
      </c>
      <c r="L6528" s="187">
        <v>1000</v>
      </c>
      <c r="M6528" s="187">
        <v>20.82</v>
      </c>
      <c r="N6528" s="91">
        <f t="shared" si="2943"/>
        <v>70.819999999999993</v>
      </c>
      <c r="O6528" s="411">
        <f t="shared" si="2872"/>
        <v>104.85249999999999</v>
      </c>
      <c r="P6528" s="132" t="s">
        <v>183</v>
      </c>
      <c r="Q6528" s="232"/>
      <c r="R6528" s="411"/>
      <c r="T6528" s="134" t="s">
        <v>145</v>
      </c>
      <c r="U6528" s="267" t="s">
        <v>13954</v>
      </c>
      <c r="AA6528" s="218"/>
    </row>
    <row r="6529" spans="1:27" ht="24" x14ac:dyDescent="0.25">
      <c r="A6529" s="405">
        <v>3005109</v>
      </c>
      <c r="B6529" s="406">
        <v>42667</v>
      </c>
      <c r="C6529" s="405" t="s">
        <v>237</v>
      </c>
      <c r="D6529" s="401" t="s">
        <v>13955</v>
      </c>
      <c r="E6529" s="120">
        <v>150</v>
      </c>
      <c r="F6529" s="133" t="s">
        <v>590</v>
      </c>
      <c r="G6529" s="404" t="s">
        <v>7486</v>
      </c>
      <c r="H6529" s="411">
        <v>164.9</v>
      </c>
      <c r="I6529" s="397">
        <f t="shared" ref="I6529" si="2948">-(H6529*0.15)</f>
        <v>-24.734999999999999</v>
      </c>
      <c r="J6529" s="258">
        <v>0</v>
      </c>
      <c r="K6529" s="90">
        <f t="shared" ref="K6529:K6534" si="2949">SUM(H6529:J6529)</f>
        <v>140.16500000000002</v>
      </c>
      <c r="L6529" s="131">
        <v>560</v>
      </c>
      <c r="M6529" s="187">
        <v>67.69</v>
      </c>
      <c r="N6529" s="91">
        <f t="shared" si="2943"/>
        <v>151.69</v>
      </c>
      <c r="O6529" s="411">
        <f t="shared" si="2872"/>
        <v>-11.524999999999977</v>
      </c>
      <c r="P6529" s="132" t="s">
        <v>52</v>
      </c>
      <c r="Q6529" s="232"/>
      <c r="R6529" s="411"/>
      <c r="T6529" s="134" t="s">
        <v>145</v>
      </c>
      <c r="U6529" s="267" t="s">
        <v>13956</v>
      </c>
      <c r="V6529" s="133" t="s">
        <v>13957</v>
      </c>
      <c r="AA6529" s="218"/>
    </row>
    <row r="6530" spans="1:27" ht="24" x14ac:dyDescent="0.25">
      <c r="A6530" s="405">
        <v>3005110</v>
      </c>
      <c r="B6530" s="406">
        <v>42667</v>
      </c>
      <c r="C6530" s="405" t="s">
        <v>237</v>
      </c>
      <c r="D6530" s="401" t="s">
        <v>13958</v>
      </c>
      <c r="E6530" s="120">
        <v>150</v>
      </c>
      <c r="F6530" s="133" t="s">
        <v>247</v>
      </c>
      <c r="G6530" s="404" t="s">
        <v>7486</v>
      </c>
      <c r="H6530" s="411">
        <v>149.79</v>
      </c>
      <c r="I6530" s="397">
        <f t="shared" ref="I6530" si="2950">-(H6530*0.15)</f>
        <v>-22.468499999999999</v>
      </c>
      <c r="J6530" s="258">
        <v>0</v>
      </c>
      <c r="K6530" s="90">
        <f t="shared" si="2949"/>
        <v>127.32149999999999</v>
      </c>
      <c r="L6530" s="131">
        <v>424</v>
      </c>
      <c r="N6530" s="91">
        <f t="shared" si="2943"/>
        <v>63.599999999999994</v>
      </c>
      <c r="O6530" s="411">
        <f t="shared" si="2872"/>
        <v>63.721499999999992</v>
      </c>
      <c r="P6530" s="132" t="s">
        <v>52</v>
      </c>
      <c r="Q6530" s="232"/>
      <c r="R6530" s="411"/>
      <c r="T6530" s="134" t="s">
        <v>145</v>
      </c>
      <c r="U6530" s="267" t="s">
        <v>13959</v>
      </c>
      <c r="V6530" s="133" t="s">
        <v>13960</v>
      </c>
      <c r="AA6530" s="218"/>
    </row>
    <row r="6531" spans="1:27" ht="24" x14ac:dyDescent="0.25">
      <c r="A6531" s="405">
        <v>3005111</v>
      </c>
      <c r="B6531" s="406">
        <v>42667</v>
      </c>
      <c r="C6531" s="405" t="s">
        <v>237</v>
      </c>
      <c r="D6531" s="401" t="s">
        <v>13961</v>
      </c>
      <c r="E6531" s="120">
        <v>100</v>
      </c>
      <c r="F6531" s="133" t="s">
        <v>341</v>
      </c>
      <c r="G6531" s="404" t="s">
        <v>7486</v>
      </c>
      <c r="H6531" s="411">
        <v>138.57</v>
      </c>
      <c r="I6531" s="397">
        <f t="shared" ref="I6531" si="2951">-(H6531*0.15)</f>
        <v>-20.785499999999999</v>
      </c>
      <c r="J6531" s="258">
        <v>0</v>
      </c>
      <c r="K6531" s="90">
        <f t="shared" si="2949"/>
        <v>117.78449999999999</v>
      </c>
      <c r="L6531" s="131">
        <v>695</v>
      </c>
      <c r="M6531" s="187">
        <v>33.78</v>
      </c>
      <c r="N6531" s="91">
        <f t="shared" si="2943"/>
        <v>103.28</v>
      </c>
      <c r="O6531" s="411">
        <f t="shared" si="2872"/>
        <v>14.504499999999993</v>
      </c>
      <c r="P6531" s="132" t="s">
        <v>52</v>
      </c>
      <c r="Q6531" s="232"/>
      <c r="R6531" s="411"/>
      <c r="T6531" s="134" t="s">
        <v>145</v>
      </c>
      <c r="U6531" s="267" t="s">
        <v>13962</v>
      </c>
      <c r="V6531" s="133" t="s">
        <v>13963</v>
      </c>
      <c r="AA6531" s="218"/>
    </row>
    <row r="6532" spans="1:27" ht="24" x14ac:dyDescent="0.25">
      <c r="A6532" s="405">
        <v>3005112</v>
      </c>
      <c r="B6532" s="406">
        <v>42667</v>
      </c>
      <c r="C6532" s="405" t="s">
        <v>237</v>
      </c>
      <c r="D6532" s="401" t="s">
        <v>6027</v>
      </c>
      <c r="E6532" s="120">
        <v>100</v>
      </c>
      <c r="F6532" s="133" t="s">
        <v>4066</v>
      </c>
      <c r="G6532" s="404" t="s">
        <v>7486</v>
      </c>
      <c r="H6532" s="411">
        <v>160</v>
      </c>
      <c r="I6532" s="397">
        <f t="shared" ref="I6532" si="2952">-(H6532*0.15)</f>
        <v>-24</v>
      </c>
      <c r="J6532" s="258">
        <v>0</v>
      </c>
      <c r="K6532" s="90">
        <f t="shared" si="2949"/>
        <v>136</v>
      </c>
      <c r="L6532" s="131">
        <v>680</v>
      </c>
      <c r="M6532" s="187">
        <v>54.38</v>
      </c>
      <c r="N6532" s="91">
        <f t="shared" si="2943"/>
        <v>122.38</v>
      </c>
      <c r="O6532" s="411">
        <f t="shared" ref="O6532:O6595" si="2953">K6532-N6532</f>
        <v>13.620000000000005</v>
      </c>
      <c r="P6532" s="132" t="s">
        <v>52</v>
      </c>
      <c r="Q6532" s="232"/>
      <c r="R6532" s="411"/>
      <c r="T6532" s="134" t="s">
        <v>145</v>
      </c>
      <c r="U6532" s="267" t="s">
        <v>13964</v>
      </c>
      <c r="V6532" s="133" t="s">
        <v>13965</v>
      </c>
      <c r="AA6532" s="218"/>
    </row>
    <row r="6533" spans="1:27" ht="24" x14ac:dyDescent="0.25">
      <c r="A6533" s="405">
        <v>3005113</v>
      </c>
      <c r="B6533" s="406">
        <v>42667</v>
      </c>
      <c r="C6533" s="405" t="s">
        <v>237</v>
      </c>
      <c r="D6533" s="401" t="s">
        <v>13966</v>
      </c>
      <c r="E6533" s="120">
        <v>200</v>
      </c>
      <c r="F6533" s="133" t="s">
        <v>247</v>
      </c>
      <c r="G6533" s="404" t="s">
        <v>7486</v>
      </c>
      <c r="H6533" s="411">
        <v>175</v>
      </c>
      <c r="I6533" s="397">
        <f t="shared" ref="I6533" si="2954">-(H6533*0.15)</f>
        <v>-26.25</v>
      </c>
      <c r="J6533" s="258">
        <v>0</v>
      </c>
      <c r="K6533" s="90">
        <f t="shared" si="2949"/>
        <v>148.75</v>
      </c>
      <c r="L6533" s="131">
        <v>424</v>
      </c>
      <c r="N6533" s="91">
        <f t="shared" si="2943"/>
        <v>84.800000000000011</v>
      </c>
      <c r="O6533" s="411">
        <f t="shared" si="2953"/>
        <v>63.949999999999989</v>
      </c>
      <c r="P6533" s="132" t="s">
        <v>52</v>
      </c>
      <c r="Q6533" s="232"/>
      <c r="R6533" s="411"/>
      <c r="T6533" s="134" t="s">
        <v>145</v>
      </c>
      <c r="U6533" s="267" t="s">
        <v>13967</v>
      </c>
      <c r="V6533" s="133" t="s">
        <v>13968</v>
      </c>
      <c r="AA6533" s="218"/>
    </row>
    <row r="6534" spans="1:27" x14ac:dyDescent="0.25">
      <c r="A6534" s="419">
        <v>3005114</v>
      </c>
      <c r="B6534" s="421">
        <v>42667</v>
      </c>
      <c r="C6534" s="419" t="s">
        <v>237</v>
      </c>
      <c r="D6534" s="429" t="s">
        <v>13969</v>
      </c>
      <c r="E6534" s="120">
        <v>125</v>
      </c>
      <c r="F6534" s="133" t="s">
        <v>10699</v>
      </c>
      <c r="G6534" s="434" t="s">
        <v>7486</v>
      </c>
      <c r="H6534" s="427">
        <v>161.69999999999999</v>
      </c>
      <c r="I6534" s="452">
        <f t="shared" ref="I6534" si="2955">-(H6534*0.15)</f>
        <v>-24.254999999999999</v>
      </c>
      <c r="J6534" s="425">
        <v>0</v>
      </c>
      <c r="K6534" s="425">
        <f t="shared" si="2949"/>
        <v>137.44499999999999</v>
      </c>
      <c r="L6534" s="187">
        <v>341</v>
      </c>
      <c r="M6534" s="187">
        <v>21.28</v>
      </c>
      <c r="N6534" s="91">
        <f t="shared" si="2943"/>
        <v>63.905000000000001</v>
      </c>
      <c r="O6534" s="411">
        <f t="shared" si="2953"/>
        <v>73.539999999999992</v>
      </c>
      <c r="P6534" s="132" t="s">
        <v>601</v>
      </c>
      <c r="Q6534" s="232"/>
      <c r="R6534" s="411"/>
      <c r="T6534" s="439" t="s">
        <v>145</v>
      </c>
      <c r="U6534" s="308" t="s">
        <v>13970</v>
      </c>
      <c r="V6534" s="133" t="s">
        <v>13971</v>
      </c>
      <c r="AA6534" s="218"/>
    </row>
    <row r="6535" spans="1:27" x14ac:dyDescent="0.25">
      <c r="A6535" s="420"/>
      <c r="B6535" s="422"/>
      <c r="C6535" s="420"/>
      <c r="D6535" s="431"/>
      <c r="E6535" s="120">
        <v>125</v>
      </c>
      <c r="F6535" s="133" t="s">
        <v>10165</v>
      </c>
      <c r="G6535" s="436"/>
      <c r="H6535" s="428"/>
      <c r="I6535" s="453"/>
      <c r="J6535" s="426"/>
      <c r="K6535" s="426"/>
      <c r="L6535" s="187">
        <v>349</v>
      </c>
      <c r="M6535" s="187">
        <v>20.51</v>
      </c>
      <c r="N6535" s="91">
        <f t="shared" si="2943"/>
        <v>64.135000000000005</v>
      </c>
      <c r="O6535" s="411">
        <f t="shared" si="2953"/>
        <v>-64.135000000000005</v>
      </c>
      <c r="P6535" s="132" t="s">
        <v>601</v>
      </c>
      <c r="Q6535" s="232"/>
      <c r="R6535" s="411"/>
      <c r="T6535" s="441"/>
      <c r="U6535" s="309">
        <v>630512245497</v>
      </c>
      <c r="AA6535" s="218"/>
    </row>
    <row r="6536" spans="1:27" ht="24" x14ac:dyDescent="0.25">
      <c r="A6536" s="405">
        <v>3005115</v>
      </c>
      <c r="B6536" s="406">
        <v>42667</v>
      </c>
      <c r="C6536" s="405" t="s">
        <v>237</v>
      </c>
      <c r="D6536" s="401" t="s">
        <v>13972</v>
      </c>
      <c r="E6536" s="120">
        <v>200</v>
      </c>
      <c r="F6536" s="133" t="s">
        <v>175</v>
      </c>
      <c r="G6536" s="404" t="s">
        <v>7486</v>
      </c>
      <c r="H6536" s="411">
        <v>112</v>
      </c>
      <c r="I6536" s="397">
        <f t="shared" ref="I6536" si="2956">-(H6536*0.15)</f>
        <v>-16.8</v>
      </c>
      <c r="J6536" s="258">
        <v>0</v>
      </c>
      <c r="K6536" s="90">
        <f>SUM(H6536:J6536)</f>
        <v>95.2</v>
      </c>
      <c r="L6536" s="131">
        <v>250</v>
      </c>
      <c r="M6536" s="187">
        <v>14.11</v>
      </c>
      <c r="N6536" s="91">
        <f t="shared" si="2943"/>
        <v>64.11</v>
      </c>
      <c r="O6536" s="411">
        <f t="shared" si="2953"/>
        <v>31.090000000000003</v>
      </c>
      <c r="P6536" s="132" t="s">
        <v>52</v>
      </c>
      <c r="Q6536" s="232"/>
      <c r="R6536" s="411"/>
      <c r="T6536" s="134" t="s">
        <v>145</v>
      </c>
      <c r="U6536" s="267" t="s">
        <v>13973</v>
      </c>
      <c r="V6536" s="133" t="s">
        <v>13974</v>
      </c>
      <c r="AA6536" s="218"/>
    </row>
    <row r="6537" spans="1:27" x14ac:dyDescent="0.25">
      <c r="A6537" s="419">
        <v>3005116</v>
      </c>
      <c r="B6537" s="421">
        <v>42667</v>
      </c>
      <c r="C6537" s="419" t="s">
        <v>237</v>
      </c>
      <c r="D6537" s="429" t="s">
        <v>13975</v>
      </c>
      <c r="E6537" s="120">
        <v>50</v>
      </c>
      <c r="F6537" s="133" t="s">
        <v>3301</v>
      </c>
      <c r="G6537" s="434" t="s">
        <v>7486</v>
      </c>
      <c r="H6537" s="427">
        <v>107.91</v>
      </c>
      <c r="I6537" s="452">
        <f t="shared" ref="I6537" si="2957">-(H6537*0.15)</f>
        <v>-16.186499999999999</v>
      </c>
      <c r="J6537" s="425">
        <v>0</v>
      </c>
      <c r="K6537" s="425">
        <f>SUM(H6537:J6537)</f>
        <v>91.723500000000001</v>
      </c>
      <c r="L6537" s="187">
        <v>754</v>
      </c>
      <c r="M6537" s="187">
        <v>12.45</v>
      </c>
      <c r="N6537" s="91">
        <f t="shared" si="2943"/>
        <v>50.150000000000006</v>
      </c>
      <c r="O6537" s="411">
        <f t="shared" si="2953"/>
        <v>41.573499999999996</v>
      </c>
      <c r="P6537" s="132" t="s">
        <v>601</v>
      </c>
      <c r="Q6537" s="232"/>
      <c r="R6537" s="411"/>
      <c r="T6537" s="439" t="s">
        <v>145</v>
      </c>
      <c r="U6537" s="446" t="s">
        <v>13976</v>
      </c>
      <c r="V6537" s="133" t="s">
        <v>13977</v>
      </c>
      <c r="AA6537" s="218"/>
    </row>
    <row r="6538" spans="1:27" x14ac:dyDescent="0.25">
      <c r="A6538" s="420"/>
      <c r="B6538" s="422"/>
      <c r="C6538" s="420"/>
      <c r="D6538" s="431"/>
      <c r="E6538" s="120">
        <v>50</v>
      </c>
      <c r="F6538" s="133" t="s">
        <v>3299</v>
      </c>
      <c r="G6538" s="436"/>
      <c r="H6538" s="428"/>
      <c r="I6538" s="453"/>
      <c r="J6538" s="426"/>
      <c r="K6538" s="426"/>
      <c r="L6538" s="187">
        <v>769</v>
      </c>
      <c r="N6538" s="91">
        <f t="shared" si="2943"/>
        <v>38.450000000000003</v>
      </c>
      <c r="O6538" s="411">
        <f t="shared" si="2953"/>
        <v>-38.450000000000003</v>
      </c>
      <c r="P6538" s="132" t="s">
        <v>601</v>
      </c>
      <c r="Q6538" s="232"/>
      <c r="R6538" s="411"/>
      <c r="T6538" s="441"/>
      <c r="U6538" s="447"/>
      <c r="AA6538" s="218"/>
    </row>
    <row r="6539" spans="1:27" ht="15" customHeight="1" x14ac:dyDescent="0.25">
      <c r="A6539" s="405">
        <v>3005117</v>
      </c>
      <c r="B6539" s="406">
        <v>42667</v>
      </c>
      <c r="C6539" s="405" t="s">
        <v>237</v>
      </c>
      <c r="D6539" s="401" t="s">
        <v>13978</v>
      </c>
      <c r="E6539" s="120">
        <v>250</v>
      </c>
      <c r="F6539" s="133" t="s">
        <v>4803</v>
      </c>
      <c r="G6539" s="404" t="s">
        <v>7486</v>
      </c>
      <c r="H6539" s="411">
        <v>138.30000000000001</v>
      </c>
      <c r="I6539" s="397">
        <f t="shared" ref="I6539" si="2958">-(H6539*0.15)</f>
        <v>-20.745000000000001</v>
      </c>
      <c r="J6539" s="258">
        <v>0</v>
      </c>
      <c r="K6539" s="90">
        <f t="shared" ref="K6539:K6545" si="2959">SUM(H6539:J6539)</f>
        <v>117.55500000000001</v>
      </c>
      <c r="M6539" s="187">
        <v>13.11</v>
      </c>
      <c r="N6539" s="91">
        <f t="shared" si="2943"/>
        <v>13.11</v>
      </c>
      <c r="O6539" s="411">
        <f t="shared" si="2953"/>
        <v>104.44500000000001</v>
      </c>
      <c r="P6539" s="132" t="s">
        <v>86</v>
      </c>
      <c r="Q6539" s="232"/>
      <c r="R6539" s="411"/>
      <c r="T6539" s="134" t="s">
        <v>145</v>
      </c>
      <c r="U6539" s="301">
        <v>675157531135</v>
      </c>
      <c r="V6539" s="133" t="s">
        <v>13979</v>
      </c>
      <c r="AA6539" s="218"/>
    </row>
    <row r="6540" spans="1:27" ht="24" x14ac:dyDescent="0.25">
      <c r="A6540" s="405">
        <v>3005118</v>
      </c>
      <c r="B6540" s="406">
        <v>42667</v>
      </c>
      <c r="C6540" s="405" t="s">
        <v>237</v>
      </c>
      <c r="D6540" s="401" t="s">
        <v>13980</v>
      </c>
      <c r="E6540" s="120">
        <v>150</v>
      </c>
      <c r="F6540" s="133" t="s">
        <v>247</v>
      </c>
      <c r="G6540" s="404" t="s">
        <v>7486</v>
      </c>
      <c r="H6540" s="411">
        <v>149.79</v>
      </c>
      <c r="I6540" s="397">
        <f t="shared" ref="I6540" si="2960">-(H6540*0.15)</f>
        <v>-22.468499999999999</v>
      </c>
      <c r="J6540" s="258">
        <v>0</v>
      </c>
      <c r="K6540" s="90">
        <f t="shared" si="2959"/>
        <v>127.32149999999999</v>
      </c>
      <c r="L6540" s="131">
        <v>424</v>
      </c>
      <c r="M6540" s="187">
        <v>18.46</v>
      </c>
      <c r="N6540" s="91">
        <f t="shared" si="2943"/>
        <v>82.06</v>
      </c>
      <c r="O6540" s="411">
        <f t="shared" si="2953"/>
        <v>45.261499999999984</v>
      </c>
      <c r="P6540" s="132" t="s">
        <v>52</v>
      </c>
      <c r="Q6540" s="232"/>
      <c r="R6540" s="411"/>
      <c r="T6540" s="134" t="s">
        <v>145</v>
      </c>
      <c r="U6540" s="267" t="s">
        <v>13981</v>
      </c>
      <c r="V6540" s="133" t="s">
        <v>13982</v>
      </c>
      <c r="AA6540" s="218"/>
    </row>
    <row r="6541" spans="1:27" ht="24" x14ac:dyDescent="0.25">
      <c r="A6541" s="405">
        <v>3005119</v>
      </c>
      <c r="B6541" s="406">
        <v>42667</v>
      </c>
      <c r="C6541" s="405" t="s">
        <v>237</v>
      </c>
      <c r="D6541" s="401" t="s">
        <v>13983</v>
      </c>
      <c r="E6541" s="120">
        <v>50</v>
      </c>
      <c r="F6541" s="133" t="s">
        <v>300</v>
      </c>
      <c r="G6541" s="404" t="s">
        <v>7486</v>
      </c>
      <c r="H6541" s="411">
        <v>168.04</v>
      </c>
      <c r="I6541" s="397">
        <f t="shared" ref="I6541" si="2961">-(H6541*0.15)</f>
        <v>-25.206</v>
      </c>
      <c r="J6541" s="258">
        <v>0</v>
      </c>
      <c r="K6541" s="90">
        <f t="shared" si="2959"/>
        <v>142.834</v>
      </c>
      <c r="L6541" s="131">
        <v>2150</v>
      </c>
      <c r="M6541" s="187">
        <v>28.89</v>
      </c>
      <c r="N6541" s="91">
        <f t="shared" si="2943"/>
        <v>136.38999999999999</v>
      </c>
      <c r="O6541" s="411">
        <f t="shared" si="2953"/>
        <v>6.4440000000000168</v>
      </c>
      <c r="P6541" s="132" t="s">
        <v>52</v>
      </c>
      <c r="Q6541" s="232"/>
      <c r="R6541" s="411"/>
      <c r="T6541" s="134" t="s">
        <v>145</v>
      </c>
      <c r="U6541" s="267" t="s">
        <v>13984</v>
      </c>
      <c r="AA6541" s="218"/>
    </row>
    <row r="6542" spans="1:27" ht="24" x14ac:dyDescent="0.25">
      <c r="A6542" s="405">
        <v>3005120</v>
      </c>
      <c r="B6542" s="406">
        <v>42667</v>
      </c>
      <c r="C6542" s="405" t="s">
        <v>237</v>
      </c>
      <c r="D6542" s="401" t="s">
        <v>13985</v>
      </c>
      <c r="E6542" s="120">
        <v>150</v>
      </c>
      <c r="F6542" s="133" t="s">
        <v>165</v>
      </c>
      <c r="G6542" s="404" t="s">
        <v>7486</v>
      </c>
      <c r="H6542" s="411">
        <v>129.36000000000001</v>
      </c>
      <c r="I6542" s="397">
        <f t="shared" ref="I6542" si="2962">-(H6542*0.15)</f>
        <v>-19.404</v>
      </c>
      <c r="J6542" s="258">
        <v>0</v>
      </c>
      <c r="K6542" s="90">
        <f t="shared" si="2959"/>
        <v>109.95600000000002</v>
      </c>
      <c r="L6542" s="131">
        <v>375</v>
      </c>
      <c r="M6542" s="187">
        <v>23.08</v>
      </c>
      <c r="N6542" s="91">
        <f t="shared" si="2943"/>
        <v>79.33</v>
      </c>
      <c r="O6542" s="411">
        <f t="shared" si="2953"/>
        <v>30.626000000000019</v>
      </c>
      <c r="P6542" s="132" t="s">
        <v>86</v>
      </c>
      <c r="Q6542" s="232"/>
      <c r="R6542" s="411"/>
      <c r="T6542" s="134" t="s">
        <v>145</v>
      </c>
      <c r="U6542" s="267" t="s">
        <v>13986</v>
      </c>
      <c r="V6542" s="133" t="s">
        <v>13987</v>
      </c>
      <c r="AA6542" s="218"/>
    </row>
    <row r="6543" spans="1:27" ht="24" x14ac:dyDescent="0.25">
      <c r="A6543" s="405">
        <v>3005121</v>
      </c>
      <c r="B6543" s="406">
        <v>42667</v>
      </c>
      <c r="C6543" s="405" t="s">
        <v>237</v>
      </c>
      <c r="D6543" s="401" t="s">
        <v>13988</v>
      </c>
      <c r="E6543" s="120">
        <v>100</v>
      </c>
      <c r="F6543" s="133" t="s">
        <v>3301</v>
      </c>
      <c r="G6543" s="404" t="s">
        <v>7486</v>
      </c>
      <c r="H6543" s="411">
        <v>107.91</v>
      </c>
      <c r="I6543" s="397">
        <f t="shared" ref="I6543" si="2963">-(H6543*0.15)</f>
        <v>-16.186499999999999</v>
      </c>
      <c r="J6543" s="258">
        <v>0</v>
      </c>
      <c r="K6543" s="90">
        <f t="shared" si="2959"/>
        <v>91.723500000000001</v>
      </c>
      <c r="L6543" s="187">
        <v>754</v>
      </c>
      <c r="M6543" s="187">
        <v>16.399999999999999</v>
      </c>
      <c r="N6543" s="91">
        <f t="shared" si="2943"/>
        <v>91.800000000000011</v>
      </c>
      <c r="O6543" s="411">
        <f t="shared" si="2953"/>
        <v>-7.6500000000010004E-2</v>
      </c>
      <c r="P6543" s="132" t="s">
        <v>601</v>
      </c>
      <c r="Q6543" s="232"/>
      <c r="R6543" s="411"/>
      <c r="T6543" s="134" t="s">
        <v>145</v>
      </c>
      <c r="U6543" s="267" t="s">
        <v>13989</v>
      </c>
      <c r="V6543" s="133" t="s">
        <v>13990</v>
      </c>
      <c r="AA6543" s="218"/>
    </row>
    <row r="6544" spans="1:27" x14ac:dyDescent="0.25">
      <c r="A6544" s="405">
        <v>3005122</v>
      </c>
      <c r="B6544" s="406">
        <v>42667</v>
      </c>
      <c r="C6544" s="405" t="s">
        <v>237</v>
      </c>
      <c r="D6544" s="401" t="s">
        <v>13991</v>
      </c>
      <c r="E6544" s="120">
        <v>300</v>
      </c>
      <c r="F6544" s="133" t="s">
        <v>51</v>
      </c>
      <c r="G6544" s="404" t="s">
        <v>7486</v>
      </c>
      <c r="H6544" s="411">
        <v>563.54999999999995</v>
      </c>
      <c r="I6544" s="397">
        <f t="shared" ref="I6544:I6545" si="2964">-(H6544*0.15)</f>
        <v>-84.532499999999985</v>
      </c>
      <c r="J6544" s="258">
        <v>0</v>
      </c>
      <c r="K6544" s="90">
        <f t="shared" si="2959"/>
        <v>479.01749999999998</v>
      </c>
      <c r="L6544" s="131">
        <v>900</v>
      </c>
      <c r="M6544" s="187">
        <v>182.32</v>
      </c>
      <c r="N6544" s="91">
        <f t="shared" si="2943"/>
        <v>452.32</v>
      </c>
      <c r="O6544" s="411">
        <f t="shared" si="2953"/>
        <v>26.697499999999991</v>
      </c>
      <c r="P6544" s="132" t="s">
        <v>52</v>
      </c>
      <c r="Q6544" s="232"/>
      <c r="R6544" s="411"/>
      <c r="T6544" s="134" t="s">
        <v>7260</v>
      </c>
      <c r="U6544" s="267" t="s">
        <v>13992</v>
      </c>
      <c r="V6544" s="133" t="s">
        <v>13993</v>
      </c>
      <c r="AA6544" s="218"/>
    </row>
    <row r="6545" spans="1:27" x14ac:dyDescent="0.25">
      <c r="A6545" s="419">
        <v>3005123</v>
      </c>
      <c r="B6545" s="421">
        <v>42667</v>
      </c>
      <c r="C6545" s="419" t="s">
        <v>237</v>
      </c>
      <c r="D6545" s="429" t="s">
        <v>13994</v>
      </c>
      <c r="E6545" s="120">
        <v>250</v>
      </c>
      <c r="F6545" s="133" t="s">
        <v>3301</v>
      </c>
      <c r="G6545" s="434" t="s">
        <v>7486</v>
      </c>
      <c r="H6545" s="427">
        <v>578.20000000000005</v>
      </c>
      <c r="I6545" s="452">
        <f t="shared" si="2964"/>
        <v>-86.73</v>
      </c>
      <c r="J6545" s="425">
        <v>0</v>
      </c>
      <c r="K6545" s="425">
        <f t="shared" si="2959"/>
        <v>491.47</v>
      </c>
      <c r="L6545" s="187">
        <v>800</v>
      </c>
      <c r="M6545" s="131">
        <v>0</v>
      </c>
      <c r="N6545" s="91">
        <f t="shared" si="2943"/>
        <v>200</v>
      </c>
      <c r="O6545" s="411">
        <f t="shared" si="2953"/>
        <v>291.47000000000003</v>
      </c>
      <c r="P6545" s="132" t="s">
        <v>601</v>
      </c>
      <c r="Q6545" s="232"/>
      <c r="R6545" s="411"/>
      <c r="T6545" s="439" t="s">
        <v>145</v>
      </c>
      <c r="U6545" s="446" t="s">
        <v>13995</v>
      </c>
      <c r="V6545" s="133" t="s">
        <v>13996</v>
      </c>
      <c r="AA6545" s="218"/>
    </row>
    <row r="6546" spans="1:27" x14ac:dyDescent="0.25">
      <c r="A6546" s="420"/>
      <c r="B6546" s="422"/>
      <c r="C6546" s="420"/>
      <c r="D6546" s="431"/>
      <c r="E6546" s="120">
        <v>250</v>
      </c>
      <c r="F6546" s="133" t="s">
        <v>3299</v>
      </c>
      <c r="G6546" s="436"/>
      <c r="H6546" s="428"/>
      <c r="I6546" s="453"/>
      <c r="J6546" s="426"/>
      <c r="K6546" s="426"/>
      <c r="L6546" s="187">
        <v>800</v>
      </c>
      <c r="N6546" s="91">
        <f t="shared" si="2943"/>
        <v>200</v>
      </c>
      <c r="O6546" s="411">
        <f t="shared" si="2953"/>
        <v>-200</v>
      </c>
      <c r="P6546" s="132" t="s">
        <v>601</v>
      </c>
      <c r="Q6546" s="232"/>
      <c r="R6546" s="411"/>
      <c r="T6546" s="441"/>
      <c r="U6546" s="447"/>
      <c r="AA6546" s="218"/>
    </row>
    <row r="6547" spans="1:27" x14ac:dyDescent="0.25">
      <c r="A6547" s="419">
        <v>3005124</v>
      </c>
      <c r="B6547" s="421">
        <v>42667</v>
      </c>
      <c r="C6547" s="419" t="s">
        <v>237</v>
      </c>
      <c r="D6547" s="417" t="s">
        <v>13997</v>
      </c>
      <c r="E6547" s="120">
        <v>50</v>
      </c>
      <c r="F6547" s="133" t="s">
        <v>3301</v>
      </c>
      <c r="G6547" s="434" t="s">
        <v>7486</v>
      </c>
      <c r="H6547" s="427">
        <v>107.91</v>
      </c>
      <c r="I6547" s="452">
        <f t="shared" ref="I6547" si="2965">-(H6547*0.15)</f>
        <v>-16.186499999999999</v>
      </c>
      <c r="J6547" s="425">
        <v>0</v>
      </c>
      <c r="K6547" s="425">
        <f>SUM(H6547:J6547)</f>
        <v>91.723500000000001</v>
      </c>
      <c r="L6547" s="187">
        <v>754</v>
      </c>
      <c r="M6547" s="187">
        <v>16.399999999999999</v>
      </c>
      <c r="N6547" s="91">
        <f t="shared" si="2943"/>
        <v>54.1</v>
      </c>
      <c r="O6547" s="411">
        <f t="shared" si="2953"/>
        <v>37.6235</v>
      </c>
      <c r="P6547" s="132" t="s">
        <v>601</v>
      </c>
      <c r="Q6547" s="232"/>
      <c r="R6547" s="411"/>
      <c r="T6547" s="439" t="s">
        <v>145</v>
      </c>
      <c r="U6547" s="446" t="s">
        <v>13998</v>
      </c>
      <c r="V6547" s="133" t="s">
        <v>13999</v>
      </c>
      <c r="AA6547" s="218"/>
    </row>
    <row r="6548" spans="1:27" x14ac:dyDescent="0.25">
      <c r="A6548" s="420"/>
      <c r="B6548" s="422"/>
      <c r="C6548" s="420"/>
      <c r="D6548" s="418"/>
      <c r="E6548" s="120">
        <v>50</v>
      </c>
      <c r="F6548" s="133" t="s">
        <v>3299</v>
      </c>
      <c r="G6548" s="436"/>
      <c r="H6548" s="428"/>
      <c r="I6548" s="453"/>
      <c r="J6548" s="426"/>
      <c r="K6548" s="426"/>
      <c r="L6548" s="187">
        <v>769</v>
      </c>
      <c r="N6548" s="91">
        <f t="shared" si="2943"/>
        <v>38.450000000000003</v>
      </c>
      <c r="O6548" s="411">
        <f t="shared" si="2953"/>
        <v>-38.450000000000003</v>
      </c>
      <c r="P6548" s="132" t="s">
        <v>601</v>
      </c>
      <c r="Q6548" s="232"/>
      <c r="R6548" s="411"/>
      <c r="T6548" s="441"/>
      <c r="U6548" s="447"/>
      <c r="AA6548" s="218"/>
    </row>
    <row r="6549" spans="1:27" ht="24" x14ac:dyDescent="0.25">
      <c r="A6549" s="405">
        <v>3005125</v>
      </c>
      <c r="B6549" s="406">
        <v>42667</v>
      </c>
      <c r="C6549" s="405" t="s">
        <v>42</v>
      </c>
      <c r="D6549" s="401" t="s">
        <v>14000</v>
      </c>
      <c r="E6549" s="120">
        <v>150</v>
      </c>
      <c r="F6549" s="133" t="s">
        <v>178</v>
      </c>
      <c r="G6549" s="404" t="s">
        <v>7486</v>
      </c>
      <c r="H6549" s="411">
        <v>370.5</v>
      </c>
      <c r="I6549" s="89">
        <f>-(H6549*0.09)</f>
        <v>-33.344999999999999</v>
      </c>
      <c r="J6549" s="258">
        <f t="shared" ref="J6549" si="2966">-((H6549*0.019)+0.3)</f>
        <v>-7.3394999999999992</v>
      </c>
      <c r="K6549" s="90">
        <f t="shared" ref="K6549" si="2967">SUM(H6549:J6549)</f>
        <v>329.81549999999999</v>
      </c>
      <c r="L6549" s="131">
        <v>1100</v>
      </c>
      <c r="M6549" s="187">
        <v>48.5</v>
      </c>
      <c r="N6549" s="91">
        <f t="shared" si="2943"/>
        <v>213.5</v>
      </c>
      <c r="O6549" s="411">
        <f t="shared" si="2953"/>
        <v>116.31549999999999</v>
      </c>
      <c r="P6549" s="132" t="s">
        <v>52</v>
      </c>
      <c r="Q6549" s="232"/>
      <c r="R6549" s="411"/>
      <c r="T6549" s="134" t="s">
        <v>145</v>
      </c>
      <c r="U6549" s="267" t="s">
        <v>14001</v>
      </c>
      <c r="AA6549" s="218"/>
    </row>
    <row r="6550" spans="1:27" ht="24" x14ac:dyDescent="0.25">
      <c r="A6550" s="405">
        <v>3005126</v>
      </c>
      <c r="B6550" s="406">
        <v>42667</v>
      </c>
      <c r="C6550" s="405" t="s">
        <v>42</v>
      </c>
      <c r="D6550" s="401" t="s">
        <v>14002</v>
      </c>
      <c r="E6550" s="120">
        <v>120</v>
      </c>
      <c r="F6550" s="133" t="s">
        <v>14003</v>
      </c>
      <c r="G6550" s="404" t="s">
        <v>7486</v>
      </c>
      <c r="H6550" s="411">
        <v>180</v>
      </c>
      <c r="I6550" s="89">
        <f>-(H6550*0.09)</f>
        <v>-16.2</v>
      </c>
      <c r="J6550" s="258">
        <f t="shared" ref="J6550" si="2968">-((H6550*0.019)+0.3)</f>
        <v>-3.7199999999999998</v>
      </c>
      <c r="K6550" s="90">
        <f t="shared" ref="K6550" si="2969">SUM(H6550:J6550)</f>
        <v>160.08000000000001</v>
      </c>
      <c r="L6550" s="131">
        <v>589</v>
      </c>
      <c r="M6550" s="187">
        <v>21.25</v>
      </c>
      <c r="N6550" s="91">
        <f t="shared" si="2943"/>
        <v>91.929999999999993</v>
      </c>
      <c r="O6550" s="411">
        <f t="shared" si="2953"/>
        <v>68.15000000000002</v>
      </c>
      <c r="P6550" s="132" t="s">
        <v>52</v>
      </c>
      <c r="Q6550" s="232"/>
      <c r="R6550" s="411"/>
      <c r="T6550" s="134" t="s">
        <v>145</v>
      </c>
      <c r="U6550" s="267" t="s">
        <v>14004</v>
      </c>
      <c r="AA6550" s="218"/>
    </row>
    <row r="6551" spans="1:27" x14ac:dyDescent="0.25">
      <c r="A6551" s="419">
        <v>3005127</v>
      </c>
      <c r="B6551" s="421">
        <v>42667</v>
      </c>
      <c r="C6551" s="419" t="s">
        <v>327</v>
      </c>
      <c r="D6551" s="417" t="s">
        <v>14005</v>
      </c>
      <c r="E6551" s="120">
        <v>1000</v>
      </c>
      <c r="F6551" s="133" t="s">
        <v>14006</v>
      </c>
      <c r="G6551" s="434" t="s">
        <v>7486</v>
      </c>
      <c r="H6551" s="427">
        <v>2618.6799999999998</v>
      </c>
      <c r="I6551" s="427">
        <v>0</v>
      </c>
      <c r="J6551" s="425">
        <f>-((H6551*0.022)+0.3)</f>
        <v>-57.910959999999989</v>
      </c>
      <c r="K6551" s="425">
        <f>SUM(H6551:J6551)</f>
        <v>2560.7690399999997</v>
      </c>
      <c r="L6551" s="187">
        <v>1906</v>
      </c>
      <c r="M6551" s="177">
        <v>0</v>
      </c>
      <c r="N6551" s="91">
        <f t="shared" si="2943"/>
        <v>1906</v>
      </c>
      <c r="O6551" s="411">
        <f t="shared" si="2953"/>
        <v>654.76903999999968</v>
      </c>
      <c r="P6551" s="132" t="s">
        <v>59</v>
      </c>
      <c r="Q6551" s="232"/>
      <c r="R6551" s="411"/>
      <c r="T6551" s="439" t="s">
        <v>389</v>
      </c>
      <c r="U6551" s="446" t="s">
        <v>14007</v>
      </c>
      <c r="W6551" s="153" t="s">
        <v>14008</v>
      </c>
      <c r="AA6551" s="473">
        <v>10</v>
      </c>
    </row>
    <row r="6552" spans="1:27" x14ac:dyDescent="0.25">
      <c r="A6552" s="432"/>
      <c r="B6552" s="433"/>
      <c r="C6552" s="432"/>
      <c r="D6552" s="454"/>
      <c r="E6552" s="120">
        <v>220</v>
      </c>
      <c r="F6552" s="133" t="s">
        <v>14009</v>
      </c>
      <c r="G6552" s="435"/>
      <c r="H6552" s="438"/>
      <c r="I6552" s="438"/>
      <c r="J6552" s="437"/>
      <c r="K6552" s="437"/>
      <c r="L6552" s="187">
        <v>458</v>
      </c>
      <c r="M6552" s="131">
        <v>0</v>
      </c>
      <c r="N6552" s="91">
        <f t="shared" si="2943"/>
        <v>100.76</v>
      </c>
      <c r="O6552" s="411">
        <f t="shared" si="2953"/>
        <v>-100.76</v>
      </c>
      <c r="P6552" s="132" t="s">
        <v>59</v>
      </c>
      <c r="Q6552" s="232"/>
      <c r="R6552" s="411"/>
      <c r="T6552" s="440"/>
      <c r="U6552" s="448"/>
      <c r="AA6552" s="478"/>
    </row>
    <row r="6553" spans="1:27" x14ac:dyDescent="0.25">
      <c r="A6553" s="420"/>
      <c r="B6553" s="422"/>
      <c r="C6553" s="420"/>
      <c r="D6553" s="418"/>
      <c r="E6553" s="120">
        <v>60</v>
      </c>
      <c r="F6553" s="133" t="s">
        <v>13853</v>
      </c>
      <c r="G6553" s="436"/>
      <c r="H6553" s="428"/>
      <c r="I6553" s="428"/>
      <c r="J6553" s="426"/>
      <c r="K6553" s="426"/>
      <c r="L6553" s="187">
        <v>230</v>
      </c>
      <c r="M6553" s="131">
        <v>0</v>
      </c>
      <c r="N6553" s="91">
        <f t="shared" si="2943"/>
        <v>13.799999999999999</v>
      </c>
      <c r="O6553" s="411">
        <f t="shared" si="2953"/>
        <v>-13.799999999999999</v>
      </c>
      <c r="P6553" s="132" t="s">
        <v>59</v>
      </c>
      <c r="Q6553" s="232"/>
      <c r="R6553" s="411"/>
      <c r="T6553" s="441"/>
      <c r="U6553" s="447"/>
      <c r="AA6553" s="474"/>
    </row>
    <row r="6554" spans="1:27" ht="24" x14ac:dyDescent="0.25">
      <c r="A6554" s="405">
        <v>3005128</v>
      </c>
      <c r="B6554" s="406">
        <v>42667</v>
      </c>
      <c r="C6554" s="405" t="s">
        <v>327</v>
      </c>
      <c r="D6554" s="401" t="s">
        <v>14010</v>
      </c>
      <c r="E6554" s="120">
        <v>170</v>
      </c>
      <c r="F6554" s="133" t="s">
        <v>14011</v>
      </c>
      <c r="G6554" s="404" t="s">
        <v>7486</v>
      </c>
      <c r="H6554" s="411">
        <v>547</v>
      </c>
      <c r="I6554" s="399">
        <v>0</v>
      </c>
      <c r="J6554" s="396">
        <f>-((H6554*0.022)+0.3)</f>
        <v>-12.334</v>
      </c>
      <c r="K6554" s="396">
        <f t="shared" ref="K6554:K6562" si="2970">SUM(H6554:J6554)</f>
        <v>534.66600000000005</v>
      </c>
      <c r="L6554" s="131">
        <v>1795</v>
      </c>
      <c r="M6554" s="187">
        <f>48.2+48.2</f>
        <v>96.4</v>
      </c>
      <c r="N6554" s="91">
        <f t="shared" si="2943"/>
        <v>401.55000000000007</v>
      </c>
      <c r="O6554" s="411">
        <f t="shared" si="2953"/>
        <v>133.11599999999999</v>
      </c>
      <c r="P6554" s="132" t="s">
        <v>52</v>
      </c>
      <c r="Q6554" s="232"/>
      <c r="R6554" s="411"/>
      <c r="T6554" s="134" t="s">
        <v>145</v>
      </c>
      <c r="U6554" s="266" t="s">
        <v>14012</v>
      </c>
      <c r="W6554" s="153" t="s">
        <v>14013</v>
      </c>
      <c r="AA6554" s="218"/>
    </row>
    <row r="6555" spans="1:27" x14ac:dyDescent="0.25">
      <c r="A6555" s="405">
        <v>3005129</v>
      </c>
      <c r="B6555" s="406">
        <v>42667</v>
      </c>
      <c r="C6555" s="405" t="s">
        <v>63</v>
      </c>
      <c r="D6555" s="401" t="s">
        <v>14014</v>
      </c>
      <c r="E6555" s="120">
        <v>2000</v>
      </c>
      <c r="F6555" s="133" t="s">
        <v>14015</v>
      </c>
      <c r="G6555" s="404" t="s">
        <v>7486</v>
      </c>
      <c r="H6555" s="411">
        <v>3800</v>
      </c>
      <c r="I6555" s="399">
        <v>0</v>
      </c>
      <c r="J6555" s="396">
        <f>-((H6555*0.022)+0.3)</f>
        <v>-83.899999999999991</v>
      </c>
      <c r="K6555" s="396">
        <f t="shared" si="2970"/>
        <v>3716.1</v>
      </c>
      <c r="L6555" s="131">
        <v>1240</v>
      </c>
      <c r="M6555" s="187">
        <v>328.08</v>
      </c>
      <c r="N6555" s="91">
        <f t="shared" si="2943"/>
        <v>2808.08</v>
      </c>
      <c r="O6555" s="411">
        <f t="shared" si="2953"/>
        <v>908.02</v>
      </c>
      <c r="P6555" s="132" t="s">
        <v>52</v>
      </c>
      <c r="Q6555" s="232"/>
      <c r="R6555" s="411"/>
      <c r="T6555" s="134" t="s">
        <v>503</v>
      </c>
      <c r="U6555" s="267" t="s">
        <v>14016</v>
      </c>
      <c r="V6555" s="133" t="s">
        <v>55</v>
      </c>
      <c r="W6555" s="153" t="s">
        <v>14017</v>
      </c>
      <c r="AA6555" s="218">
        <v>10</v>
      </c>
    </row>
    <row r="6556" spans="1:27" x14ac:dyDescent="0.25">
      <c r="A6556" s="405">
        <v>3005130</v>
      </c>
      <c r="B6556" s="406">
        <v>42667</v>
      </c>
      <c r="C6556" s="405" t="s">
        <v>327</v>
      </c>
      <c r="D6556" s="401" t="s">
        <v>14018</v>
      </c>
      <c r="E6556" s="120">
        <v>400</v>
      </c>
      <c r="F6556" s="133" t="s">
        <v>70</v>
      </c>
      <c r="G6556" s="404" t="s">
        <v>7486</v>
      </c>
      <c r="H6556" s="411">
        <v>905</v>
      </c>
      <c r="I6556" s="399">
        <v>0</v>
      </c>
      <c r="J6556" s="396">
        <f>-((H6556*0.022)+0.3)</f>
        <v>-20.21</v>
      </c>
      <c r="K6556" s="396">
        <f t="shared" si="2970"/>
        <v>884.79</v>
      </c>
      <c r="L6556" s="131">
        <v>1240</v>
      </c>
      <c r="M6556" s="187">
        <v>175.66</v>
      </c>
      <c r="N6556" s="91">
        <f t="shared" si="2943"/>
        <v>671.66</v>
      </c>
      <c r="O6556" s="411">
        <f t="shared" si="2953"/>
        <v>213.13</v>
      </c>
      <c r="P6556" s="132" t="s">
        <v>52</v>
      </c>
      <c r="Q6556" s="232"/>
      <c r="R6556" s="411"/>
      <c r="T6556" s="134" t="s">
        <v>97</v>
      </c>
      <c r="U6556" s="267" t="s">
        <v>14019</v>
      </c>
      <c r="V6556" s="133" t="s">
        <v>55</v>
      </c>
      <c r="W6556" s="153" t="s">
        <v>14020</v>
      </c>
      <c r="AA6556" s="218"/>
    </row>
    <row r="6557" spans="1:27" ht="24" x14ac:dyDescent="0.25">
      <c r="A6557" s="405">
        <v>3005131</v>
      </c>
      <c r="B6557" s="406">
        <v>42667</v>
      </c>
      <c r="C6557" s="405" t="s">
        <v>327</v>
      </c>
      <c r="D6557" s="401" t="s">
        <v>14021</v>
      </c>
      <c r="E6557" s="120">
        <v>88</v>
      </c>
      <c r="F6557" s="133" t="s">
        <v>165</v>
      </c>
      <c r="G6557" s="404" t="s">
        <v>7486</v>
      </c>
      <c r="H6557" s="411">
        <v>130</v>
      </c>
      <c r="I6557" s="399">
        <v>0</v>
      </c>
      <c r="J6557" s="396">
        <f>-((H6557*0.022)+0.3)</f>
        <v>-3.1599999999999997</v>
      </c>
      <c r="K6557" s="396">
        <f t="shared" si="2970"/>
        <v>126.84</v>
      </c>
      <c r="L6557" s="187">
        <v>629</v>
      </c>
      <c r="M6557" s="187">
        <v>23.92</v>
      </c>
      <c r="N6557" s="91">
        <f t="shared" si="2943"/>
        <v>79.271999999999991</v>
      </c>
      <c r="O6557" s="411">
        <f t="shared" si="2953"/>
        <v>47.568000000000012</v>
      </c>
      <c r="P6557" s="132" t="s">
        <v>183</v>
      </c>
      <c r="Q6557" s="232"/>
      <c r="R6557" s="411"/>
      <c r="T6557" s="134" t="s">
        <v>145</v>
      </c>
      <c r="U6557" s="267" t="s">
        <v>14022</v>
      </c>
      <c r="W6557" s="153" t="s">
        <v>14023</v>
      </c>
      <c r="AA6557" s="218"/>
    </row>
    <row r="6558" spans="1:27" x14ac:dyDescent="0.25">
      <c r="A6558" s="405">
        <v>3005132</v>
      </c>
      <c r="B6558" s="406">
        <v>42667</v>
      </c>
      <c r="C6558" s="405" t="s">
        <v>141</v>
      </c>
      <c r="D6558" s="401" t="s">
        <v>14024</v>
      </c>
      <c r="E6558" s="120">
        <v>1000</v>
      </c>
      <c r="F6558" s="133" t="s">
        <v>2063</v>
      </c>
      <c r="G6558" s="404" t="s">
        <v>7486</v>
      </c>
      <c r="H6558" s="411">
        <v>2500</v>
      </c>
      <c r="I6558" s="399">
        <v>0</v>
      </c>
      <c r="J6558" s="396">
        <f>-((H6558*0.0325)+0.3)</f>
        <v>-81.55</v>
      </c>
      <c r="K6558" s="396">
        <f t="shared" si="2970"/>
        <v>2418.4499999999998</v>
      </c>
      <c r="L6558" s="187">
        <v>2050</v>
      </c>
      <c r="M6558" s="131">
        <v>0</v>
      </c>
      <c r="N6558" s="91">
        <f t="shared" si="2943"/>
        <v>2050</v>
      </c>
      <c r="O6558" s="411">
        <f t="shared" si="2953"/>
        <v>368.44999999999982</v>
      </c>
      <c r="P6558" s="132" t="s">
        <v>601</v>
      </c>
      <c r="Q6558" s="232"/>
      <c r="R6558" s="411"/>
      <c r="T6558" s="134" t="s">
        <v>14025</v>
      </c>
      <c r="U6558" s="267" t="s">
        <v>14026</v>
      </c>
      <c r="W6558" s="153" t="s">
        <v>14027</v>
      </c>
      <c r="AA6558" s="218">
        <v>10</v>
      </c>
    </row>
    <row r="6559" spans="1:27" x14ac:dyDescent="0.25">
      <c r="A6559" s="405">
        <v>3005133</v>
      </c>
      <c r="B6559" s="406">
        <v>42667</v>
      </c>
      <c r="C6559" s="405" t="s">
        <v>63</v>
      </c>
      <c r="D6559" s="401" t="s">
        <v>14028</v>
      </c>
      <c r="E6559" s="120">
        <v>200</v>
      </c>
      <c r="F6559" s="133" t="s">
        <v>1362</v>
      </c>
      <c r="G6559" s="404" t="s">
        <v>45</v>
      </c>
      <c r="H6559" s="411">
        <v>925.44</v>
      </c>
      <c r="I6559" s="399">
        <v>0</v>
      </c>
      <c r="J6559" s="396">
        <f>-((H6559*0.022)+0.3)</f>
        <v>-20.659680000000002</v>
      </c>
      <c r="K6559" s="396">
        <f t="shared" si="2970"/>
        <v>904.78032000000007</v>
      </c>
      <c r="L6559" s="131">
        <v>850</v>
      </c>
      <c r="M6559" s="187">
        <v>150</v>
      </c>
      <c r="N6559" s="91">
        <f t="shared" si="2943"/>
        <v>320</v>
      </c>
      <c r="O6559" s="411">
        <f t="shared" si="2953"/>
        <v>584.78032000000007</v>
      </c>
      <c r="P6559" s="132" t="s">
        <v>52</v>
      </c>
      <c r="Q6559" s="232"/>
      <c r="R6559" s="411">
        <v>75.44</v>
      </c>
      <c r="S6559" s="133" t="s">
        <v>3792</v>
      </c>
      <c r="T6559" s="134" t="s">
        <v>331</v>
      </c>
      <c r="U6559" s="267" t="s">
        <v>14029</v>
      </c>
      <c r="W6559" s="153" t="s">
        <v>14030</v>
      </c>
      <c r="AA6559" s="218"/>
    </row>
    <row r="6560" spans="1:27" x14ac:dyDescent="0.25">
      <c r="A6560" s="405">
        <v>3005134</v>
      </c>
      <c r="B6560" s="406">
        <v>42667</v>
      </c>
      <c r="C6560" s="405" t="s">
        <v>56</v>
      </c>
      <c r="D6560" s="401" t="s">
        <v>10062</v>
      </c>
      <c r="E6560" s="120">
        <v>15000</v>
      </c>
      <c r="F6560" s="133" t="s">
        <v>14031</v>
      </c>
      <c r="G6560" s="242" t="s">
        <v>7486</v>
      </c>
      <c r="H6560" s="411">
        <v>9300</v>
      </c>
      <c r="I6560" s="411">
        <v>0</v>
      </c>
      <c r="J6560" s="411">
        <v>0</v>
      </c>
      <c r="K6560" s="396">
        <f t="shared" si="2970"/>
        <v>9300</v>
      </c>
      <c r="L6560" s="131">
        <v>330</v>
      </c>
      <c r="M6560" s="187">
        <v>580</v>
      </c>
      <c r="N6560" s="91">
        <f t="shared" si="2943"/>
        <v>5530</v>
      </c>
      <c r="O6560" s="411">
        <f t="shared" si="2953"/>
        <v>3770</v>
      </c>
      <c r="P6560" s="132" t="s">
        <v>52</v>
      </c>
      <c r="Q6560" s="232"/>
      <c r="R6560" s="411"/>
      <c r="T6560" s="134" t="s">
        <v>97</v>
      </c>
      <c r="U6560" s="267" t="s">
        <v>14032</v>
      </c>
      <c r="V6560" s="133" t="s">
        <v>14033</v>
      </c>
      <c r="W6560" s="153" t="s">
        <v>10861</v>
      </c>
      <c r="AA6560" s="218"/>
    </row>
    <row r="6561" spans="1:27" ht="24" x14ac:dyDescent="0.25">
      <c r="A6561" s="405">
        <v>3005135</v>
      </c>
      <c r="B6561" s="406">
        <v>42667</v>
      </c>
      <c r="C6561" s="405" t="s">
        <v>237</v>
      </c>
      <c r="D6561" s="401" t="s">
        <v>13498</v>
      </c>
      <c r="E6561" s="120">
        <v>100</v>
      </c>
      <c r="F6561" s="133" t="s">
        <v>341</v>
      </c>
      <c r="G6561" s="404" t="s">
        <v>7486</v>
      </c>
      <c r="H6561" s="411">
        <v>177.37</v>
      </c>
      <c r="I6561" s="397">
        <f t="shared" ref="I6561" si="2971">-(H6561*0.15)</f>
        <v>-26.605499999999999</v>
      </c>
      <c r="J6561" s="258">
        <v>0</v>
      </c>
      <c r="K6561" s="90">
        <f t="shared" si="2970"/>
        <v>150.7645</v>
      </c>
      <c r="L6561" s="131">
        <v>695</v>
      </c>
      <c r="M6561" s="187">
        <v>27.41</v>
      </c>
      <c r="N6561" s="91">
        <f t="shared" si="2943"/>
        <v>96.91</v>
      </c>
      <c r="O6561" s="411">
        <f t="shared" si="2953"/>
        <v>53.854500000000002</v>
      </c>
      <c r="P6561" s="132" t="s">
        <v>52</v>
      </c>
      <c r="Q6561" s="232"/>
      <c r="R6561" s="411"/>
      <c r="T6561" s="134" t="s">
        <v>145</v>
      </c>
      <c r="U6561" s="267" t="s">
        <v>14034</v>
      </c>
      <c r="AA6561" s="218"/>
    </row>
    <row r="6562" spans="1:27" x14ac:dyDescent="0.25">
      <c r="A6562" s="419">
        <v>3005136</v>
      </c>
      <c r="B6562" s="421">
        <v>42667</v>
      </c>
      <c r="C6562" s="419" t="s">
        <v>237</v>
      </c>
      <c r="D6562" s="417" t="s">
        <v>14035</v>
      </c>
      <c r="E6562" s="120">
        <v>50</v>
      </c>
      <c r="F6562" s="133" t="s">
        <v>3301</v>
      </c>
      <c r="G6562" s="434" t="s">
        <v>7486</v>
      </c>
      <c r="H6562" s="427">
        <v>107.91</v>
      </c>
      <c r="I6562" s="452">
        <f t="shared" ref="I6562" si="2972">-(H6562*0.15)</f>
        <v>-16.186499999999999</v>
      </c>
      <c r="J6562" s="425">
        <v>0</v>
      </c>
      <c r="K6562" s="425">
        <f t="shared" si="2970"/>
        <v>91.723500000000001</v>
      </c>
      <c r="L6562" s="187">
        <v>754</v>
      </c>
      <c r="M6562" s="187">
        <v>20.55</v>
      </c>
      <c r="N6562" s="91">
        <f t="shared" si="2943"/>
        <v>58.25</v>
      </c>
      <c r="O6562" s="411">
        <f t="shared" si="2953"/>
        <v>33.473500000000001</v>
      </c>
      <c r="P6562" s="132" t="s">
        <v>601</v>
      </c>
      <c r="Q6562" s="232"/>
      <c r="R6562" s="411"/>
      <c r="T6562" s="439" t="s">
        <v>145</v>
      </c>
      <c r="U6562" s="446" t="s">
        <v>14036</v>
      </c>
      <c r="V6562" s="133" t="s">
        <v>14037</v>
      </c>
      <c r="AA6562" s="218"/>
    </row>
    <row r="6563" spans="1:27" x14ac:dyDescent="0.25">
      <c r="A6563" s="420"/>
      <c r="B6563" s="422"/>
      <c r="C6563" s="420"/>
      <c r="D6563" s="418"/>
      <c r="E6563" s="120">
        <v>50</v>
      </c>
      <c r="F6563" s="133" t="s">
        <v>3299</v>
      </c>
      <c r="G6563" s="436"/>
      <c r="H6563" s="428"/>
      <c r="I6563" s="453"/>
      <c r="J6563" s="426"/>
      <c r="K6563" s="426"/>
      <c r="L6563" s="187">
        <v>754</v>
      </c>
      <c r="N6563" s="91">
        <f t="shared" si="2943"/>
        <v>37.700000000000003</v>
      </c>
      <c r="O6563" s="411">
        <f t="shared" si="2953"/>
        <v>-37.700000000000003</v>
      </c>
      <c r="P6563" s="132" t="s">
        <v>601</v>
      </c>
      <c r="Q6563" s="232"/>
      <c r="R6563" s="411"/>
      <c r="T6563" s="441"/>
      <c r="U6563" s="447"/>
      <c r="AA6563" s="218"/>
    </row>
    <row r="6564" spans="1:27" x14ac:dyDescent="0.25">
      <c r="A6564" s="405">
        <v>3005137</v>
      </c>
      <c r="B6564" s="406">
        <v>42667</v>
      </c>
      <c r="C6564" s="405" t="s">
        <v>63</v>
      </c>
      <c r="D6564" s="401" t="s">
        <v>14038</v>
      </c>
      <c r="E6564" s="120">
        <v>1000</v>
      </c>
      <c r="F6564" s="133" t="s">
        <v>3947</v>
      </c>
      <c r="G6564" s="404" t="s">
        <v>7486</v>
      </c>
      <c r="H6564" s="411">
        <v>1150</v>
      </c>
      <c r="I6564" s="399">
        <v>0</v>
      </c>
      <c r="J6564" s="396">
        <f>-((H6564*0.022)+0.3)</f>
        <v>-25.599999999999998</v>
      </c>
      <c r="K6564" s="396">
        <f>SUM(H6564:J6564)</f>
        <v>1124.4000000000001</v>
      </c>
      <c r="L6564" s="187">
        <v>629.23</v>
      </c>
      <c r="M6564" s="187">
        <v>102.32</v>
      </c>
      <c r="N6564" s="91">
        <f t="shared" si="2943"/>
        <v>731.55</v>
      </c>
      <c r="O6564" s="411">
        <f t="shared" si="2953"/>
        <v>392.85000000000014</v>
      </c>
      <c r="P6564" s="132" t="s">
        <v>66</v>
      </c>
      <c r="Q6564" s="232"/>
      <c r="R6564" s="411"/>
      <c r="T6564" s="134" t="s">
        <v>7260</v>
      </c>
      <c r="U6564" s="267" t="s">
        <v>14039</v>
      </c>
      <c r="V6564" s="133" t="s">
        <v>55</v>
      </c>
      <c r="W6564" s="153" t="s">
        <v>14040</v>
      </c>
      <c r="X6564" s="59" t="s">
        <v>14041</v>
      </c>
      <c r="AA6564" s="218">
        <v>10</v>
      </c>
    </row>
    <row r="6565" spans="1:27" x14ac:dyDescent="0.25">
      <c r="A6565" s="405">
        <v>3005138</v>
      </c>
      <c r="B6565" s="406">
        <v>42668</v>
      </c>
      <c r="C6565" s="405" t="s">
        <v>63</v>
      </c>
      <c r="D6565" s="401" t="s">
        <v>14042</v>
      </c>
      <c r="E6565" s="120">
        <v>300</v>
      </c>
      <c r="F6565" s="133" t="s">
        <v>4197</v>
      </c>
      <c r="G6565" s="404" t="s">
        <v>7486</v>
      </c>
      <c r="H6565" s="411">
        <v>4800</v>
      </c>
      <c r="I6565" s="399">
        <v>0</v>
      </c>
      <c r="J6565" s="396">
        <f>-((H6565*0.022)+0.3)</f>
        <v>-105.89999999999999</v>
      </c>
      <c r="K6565" s="396">
        <f>SUM(H6565:J6565)</f>
        <v>4694.1000000000004</v>
      </c>
      <c r="L6565" s="187">
        <v>11300</v>
      </c>
      <c r="M6565" s="131">
        <v>0</v>
      </c>
      <c r="N6565" s="91">
        <f t="shared" si="2943"/>
        <v>3390</v>
      </c>
      <c r="O6565" s="411">
        <f t="shared" si="2953"/>
        <v>1304.1000000000004</v>
      </c>
      <c r="P6565" s="132" t="s">
        <v>66</v>
      </c>
      <c r="Q6565" s="232"/>
      <c r="R6565" s="411"/>
      <c r="T6565" s="134" t="s">
        <v>1027</v>
      </c>
      <c r="U6565" s="266" t="s">
        <v>14043</v>
      </c>
      <c r="W6565" s="153" t="s">
        <v>14044</v>
      </c>
      <c r="AA6565" s="218">
        <v>10</v>
      </c>
    </row>
    <row r="6566" spans="1:27" x14ac:dyDescent="0.25">
      <c r="A6566" s="405">
        <v>3005139</v>
      </c>
      <c r="B6566" s="406">
        <v>42668</v>
      </c>
      <c r="C6566" s="405" t="s">
        <v>141</v>
      </c>
      <c r="D6566" s="401" t="s">
        <v>14045</v>
      </c>
      <c r="E6566" s="120">
        <v>500</v>
      </c>
      <c r="F6566" s="133" t="s">
        <v>14046</v>
      </c>
      <c r="G6566" s="404" t="s">
        <v>7486</v>
      </c>
      <c r="H6566" s="411">
        <v>620</v>
      </c>
      <c r="I6566" s="399">
        <v>0</v>
      </c>
      <c r="J6566" s="396">
        <f>-((H6566*0.0325)+0.3)</f>
        <v>-20.450000000000003</v>
      </c>
      <c r="K6566" s="396">
        <f>SUM(H6566:J6566)</f>
        <v>599.54999999999995</v>
      </c>
      <c r="L6566" s="131">
        <v>626.41999999999996</v>
      </c>
      <c r="M6566" s="177"/>
      <c r="N6566" s="91">
        <f t="shared" si="2943"/>
        <v>313.20999999999998</v>
      </c>
      <c r="O6566" s="411">
        <f t="shared" si="2953"/>
        <v>286.33999999999997</v>
      </c>
      <c r="P6566" s="132" t="s">
        <v>926</v>
      </c>
      <c r="Q6566" s="232"/>
      <c r="R6566" s="411"/>
      <c r="T6566" s="134" t="s">
        <v>314</v>
      </c>
      <c r="U6566" s="267" t="s">
        <v>14047</v>
      </c>
      <c r="W6566" s="153" t="s">
        <v>14048</v>
      </c>
      <c r="AA6566" s="218"/>
    </row>
    <row r="6567" spans="1:27" ht="24" x14ac:dyDescent="0.25">
      <c r="A6567" s="405">
        <v>3005140</v>
      </c>
      <c r="B6567" s="406">
        <v>42668</v>
      </c>
      <c r="C6567" s="405" t="s">
        <v>42</v>
      </c>
      <c r="D6567" s="401" t="s">
        <v>14049</v>
      </c>
      <c r="E6567" s="120">
        <v>50</v>
      </c>
      <c r="F6567" s="133" t="s">
        <v>1507</v>
      </c>
      <c r="G6567" s="404" t="s">
        <v>7486</v>
      </c>
      <c r="H6567" s="411">
        <v>174.64</v>
      </c>
      <c r="I6567" s="89">
        <f>-(H6567*0.09)</f>
        <v>-15.717599999999997</v>
      </c>
      <c r="J6567" s="258">
        <f t="shared" ref="J6567:J6568" si="2973">-((H6567*0.019)+0.3)</f>
        <v>-3.6181599999999996</v>
      </c>
      <c r="K6567" s="90">
        <f t="shared" ref="K6567:K6568" si="2974">SUM(H6567:J6567)</f>
        <v>155.30423999999999</v>
      </c>
      <c r="L6567" s="187">
        <v>2200</v>
      </c>
      <c r="M6567" s="187">
        <v>13.23</v>
      </c>
      <c r="N6567" s="91">
        <f t="shared" si="2943"/>
        <v>123.23</v>
      </c>
      <c r="O6567" s="411">
        <f t="shared" si="2953"/>
        <v>32.074239999999989</v>
      </c>
      <c r="P6567" s="132" t="s">
        <v>601</v>
      </c>
      <c r="Q6567" s="232"/>
      <c r="R6567" s="411">
        <v>12.94</v>
      </c>
      <c r="S6567" s="133" t="s">
        <v>502</v>
      </c>
      <c r="T6567" s="134" t="s">
        <v>145</v>
      </c>
      <c r="U6567" s="267" t="s">
        <v>14050</v>
      </c>
      <c r="AA6567" s="218"/>
    </row>
    <row r="6568" spans="1:27" ht="24" x14ac:dyDescent="0.25">
      <c r="A6568" s="405">
        <v>3005141</v>
      </c>
      <c r="B6568" s="406">
        <v>42668</v>
      </c>
      <c r="C6568" s="405" t="s">
        <v>42</v>
      </c>
      <c r="D6568" s="401" t="s">
        <v>14051</v>
      </c>
      <c r="E6568" s="120">
        <v>200</v>
      </c>
      <c r="F6568" s="133" t="s">
        <v>2949</v>
      </c>
      <c r="G6568" s="404" t="s">
        <v>7486</v>
      </c>
      <c r="H6568" s="411">
        <v>456</v>
      </c>
      <c r="I6568" s="89">
        <f>-(H6568*0.09)</f>
        <v>-41.04</v>
      </c>
      <c r="J6568" s="258">
        <f t="shared" si="2973"/>
        <v>-8.9640000000000004</v>
      </c>
      <c r="K6568" s="90">
        <f t="shared" si="2974"/>
        <v>405.99599999999998</v>
      </c>
      <c r="L6568" s="131">
        <v>1100</v>
      </c>
      <c r="M6568" s="187">
        <v>45.35</v>
      </c>
      <c r="N6568" s="91">
        <f t="shared" si="2943"/>
        <v>265.35000000000002</v>
      </c>
      <c r="O6568" s="411">
        <f t="shared" si="2953"/>
        <v>140.64599999999996</v>
      </c>
      <c r="P6568" s="132" t="s">
        <v>52</v>
      </c>
      <c r="Q6568" s="232"/>
      <c r="R6568" s="411"/>
      <c r="T6568" s="134" t="s">
        <v>145</v>
      </c>
      <c r="U6568" s="267" t="s">
        <v>14052</v>
      </c>
      <c r="AA6568" s="218"/>
    </row>
    <row r="6569" spans="1:27" ht="24" x14ac:dyDescent="0.25">
      <c r="A6569" s="405">
        <v>3005142</v>
      </c>
      <c r="B6569" s="406">
        <v>42668</v>
      </c>
      <c r="C6569" s="405" t="s">
        <v>42</v>
      </c>
      <c r="D6569" s="401" t="s">
        <v>14053</v>
      </c>
      <c r="E6569" s="120">
        <v>125</v>
      </c>
      <c r="F6569" s="133" t="s">
        <v>605</v>
      </c>
      <c r="G6569" s="404" t="s">
        <v>7486</v>
      </c>
      <c r="H6569" s="411">
        <v>186.52</v>
      </c>
      <c r="I6569" s="89">
        <f>-(H6569*0.09)</f>
        <v>-16.786799999999999</v>
      </c>
      <c r="J6569" s="258">
        <f t="shared" ref="J6569" si="2975">-((H6569*0.019)+0.3)</f>
        <v>-3.84388</v>
      </c>
      <c r="K6569" s="90">
        <f t="shared" ref="K6569" si="2976">SUM(H6569:J6569)</f>
        <v>165.88932</v>
      </c>
      <c r="L6569" s="131">
        <v>595</v>
      </c>
      <c r="M6569" s="187">
        <v>37.56</v>
      </c>
      <c r="N6569" s="91">
        <f t="shared" si="2943"/>
        <v>111.935</v>
      </c>
      <c r="O6569" s="411">
        <f t="shared" si="2953"/>
        <v>53.954319999999996</v>
      </c>
      <c r="P6569" s="132" t="s">
        <v>52</v>
      </c>
      <c r="Q6569" s="232"/>
      <c r="R6569" s="411"/>
      <c r="T6569" s="134" t="s">
        <v>145</v>
      </c>
      <c r="U6569" s="267" t="s">
        <v>14054</v>
      </c>
      <c r="AA6569" s="218"/>
    </row>
    <row r="6570" spans="1:27" ht="24" x14ac:dyDescent="0.25">
      <c r="A6570" s="405">
        <v>3005143</v>
      </c>
      <c r="B6570" s="406">
        <v>42668</v>
      </c>
      <c r="C6570" s="405" t="s">
        <v>42</v>
      </c>
      <c r="D6570" s="401" t="s">
        <v>14055</v>
      </c>
      <c r="E6570" s="120">
        <v>100</v>
      </c>
      <c r="F6570" s="133" t="s">
        <v>1707</v>
      </c>
      <c r="G6570" s="404" t="s">
        <v>7486</v>
      </c>
      <c r="H6570" s="411">
        <v>119.44</v>
      </c>
      <c r="I6570" s="89">
        <f>-(H6570*0.09)</f>
        <v>-10.749599999999999</v>
      </c>
      <c r="J6570" s="258">
        <f t="shared" ref="J6570" si="2977">-((H6570*0.019)+0.3)</f>
        <v>-2.5693599999999996</v>
      </c>
      <c r="K6570" s="90">
        <f t="shared" ref="K6570" si="2978">SUM(H6570:J6570)</f>
        <v>106.12103999999999</v>
      </c>
      <c r="L6570" s="131">
        <v>400</v>
      </c>
      <c r="M6570" s="187">
        <v>34.299999999999997</v>
      </c>
      <c r="N6570" s="91">
        <f t="shared" si="2943"/>
        <v>74.3</v>
      </c>
      <c r="O6570" s="411">
        <f t="shared" si="2953"/>
        <v>31.821039999999996</v>
      </c>
      <c r="P6570" s="132" t="s">
        <v>52</v>
      </c>
      <c r="Q6570" s="232"/>
      <c r="R6570" s="411"/>
      <c r="T6570" s="134" t="s">
        <v>145</v>
      </c>
      <c r="U6570" s="267" t="s">
        <v>14056</v>
      </c>
      <c r="AA6570" s="218"/>
    </row>
    <row r="6571" spans="1:27" ht="24" x14ac:dyDescent="0.25">
      <c r="A6571" s="405">
        <v>3005144</v>
      </c>
      <c r="B6571" s="406">
        <v>42668</v>
      </c>
      <c r="C6571" s="405" t="s">
        <v>42</v>
      </c>
      <c r="D6571" s="401" t="s">
        <v>14057</v>
      </c>
      <c r="E6571" s="120">
        <v>175</v>
      </c>
      <c r="F6571" s="133" t="s">
        <v>247</v>
      </c>
      <c r="G6571" s="404" t="s">
        <v>7486</v>
      </c>
      <c r="H6571" s="411">
        <v>216.88</v>
      </c>
      <c r="I6571" s="89">
        <f>-(H6571*0.09)</f>
        <v>-19.519199999999998</v>
      </c>
      <c r="J6571" s="258">
        <f t="shared" ref="J6571" si="2979">-((H6571*0.019)+0.3)</f>
        <v>-4.4207199999999993</v>
      </c>
      <c r="K6571" s="90">
        <f t="shared" ref="K6571" si="2980">SUM(H6571:J6571)</f>
        <v>192.94007999999999</v>
      </c>
      <c r="L6571" s="131">
        <v>424</v>
      </c>
      <c r="M6571" s="187">
        <v>50.93</v>
      </c>
      <c r="N6571" s="91">
        <f t="shared" si="2943"/>
        <v>125.13</v>
      </c>
      <c r="O6571" s="411">
        <f t="shared" si="2953"/>
        <v>67.810079999999999</v>
      </c>
      <c r="P6571" s="132" t="s">
        <v>52</v>
      </c>
      <c r="Q6571" s="232"/>
      <c r="R6571" s="411"/>
      <c r="T6571" s="134" t="s">
        <v>145</v>
      </c>
      <c r="U6571" s="267" t="s">
        <v>14058</v>
      </c>
      <c r="AA6571" s="218"/>
    </row>
    <row r="6572" spans="1:27" x14ac:dyDescent="0.25">
      <c r="A6572" s="419">
        <v>3005145</v>
      </c>
      <c r="B6572" s="421">
        <v>42668</v>
      </c>
      <c r="C6572" s="419" t="s">
        <v>237</v>
      </c>
      <c r="D6572" s="417" t="s">
        <v>14059</v>
      </c>
      <c r="E6572" s="120">
        <v>125</v>
      </c>
      <c r="F6572" s="133" t="s">
        <v>3301</v>
      </c>
      <c r="G6572" s="434" t="s">
        <v>7486</v>
      </c>
      <c r="H6572" s="427">
        <v>324.36</v>
      </c>
      <c r="I6572" s="452">
        <f t="shared" ref="I6572" si="2981">-(H6572*0.15)</f>
        <v>-48.654000000000003</v>
      </c>
      <c r="J6572" s="425">
        <v>0</v>
      </c>
      <c r="K6572" s="425">
        <f>SUM(H6572:J6572)</f>
        <v>275.70600000000002</v>
      </c>
      <c r="L6572" s="187">
        <v>754</v>
      </c>
      <c r="M6572" s="187">
        <v>37.32</v>
      </c>
      <c r="N6572" s="91">
        <f t="shared" si="2943"/>
        <v>131.57</v>
      </c>
      <c r="O6572" s="411">
        <f t="shared" si="2953"/>
        <v>144.13600000000002</v>
      </c>
      <c r="P6572" s="132" t="s">
        <v>601</v>
      </c>
      <c r="Q6572" s="232"/>
      <c r="R6572" s="411"/>
      <c r="T6572" s="439" t="s">
        <v>145</v>
      </c>
      <c r="U6572" s="446" t="s">
        <v>14060</v>
      </c>
      <c r="V6572" s="133" t="s">
        <v>14061</v>
      </c>
      <c r="AA6572" s="218"/>
    </row>
    <row r="6573" spans="1:27" x14ac:dyDescent="0.25">
      <c r="A6573" s="420"/>
      <c r="B6573" s="422"/>
      <c r="C6573" s="420"/>
      <c r="D6573" s="418"/>
      <c r="E6573" s="120">
        <v>125</v>
      </c>
      <c r="F6573" s="133" t="s">
        <v>3299</v>
      </c>
      <c r="G6573" s="436"/>
      <c r="H6573" s="428"/>
      <c r="I6573" s="453"/>
      <c r="J6573" s="426"/>
      <c r="K6573" s="426"/>
      <c r="L6573" s="187">
        <v>754</v>
      </c>
      <c r="N6573" s="91">
        <f t="shared" si="2943"/>
        <v>94.25</v>
      </c>
      <c r="O6573" s="411">
        <f t="shared" si="2953"/>
        <v>-94.25</v>
      </c>
      <c r="P6573" s="132" t="s">
        <v>601</v>
      </c>
      <c r="Q6573" s="232"/>
      <c r="R6573" s="411"/>
      <c r="T6573" s="441"/>
      <c r="U6573" s="447"/>
      <c r="AA6573" s="218"/>
    </row>
    <row r="6574" spans="1:27" ht="24" x14ac:dyDescent="0.25">
      <c r="A6574" s="405">
        <v>3005146</v>
      </c>
      <c r="B6574" s="406">
        <v>42668</v>
      </c>
      <c r="C6574" s="405" t="s">
        <v>237</v>
      </c>
      <c r="D6574" s="401" t="s">
        <v>14062</v>
      </c>
      <c r="E6574" s="120">
        <v>100</v>
      </c>
      <c r="F6574" s="133" t="s">
        <v>288</v>
      </c>
      <c r="G6574" s="404" t="s">
        <v>7486</v>
      </c>
      <c r="H6574" s="411">
        <v>190</v>
      </c>
      <c r="I6574" s="397">
        <f t="shared" ref="I6574" si="2982">-(H6574*0.15)</f>
        <v>-28.5</v>
      </c>
      <c r="J6574" s="258">
        <v>0</v>
      </c>
      <c r="K6574" s="90">
        <f t="shared" ref="K6574:K6583" si="2983">SUM(H6574:J6574)</f>
        <v>161.5</v>
      </c>
      <c r="L6574" s="131">
        <v>900</v>
      </c>
      <c r="M6574" s="187">
        <v>42.01</v>
      </c>
      <c r="N6574" s="91">
        <f t="shared" si="2943"/>
        <v>132.01</v>
      </c>
      <c r="O6574" s="411">
        <f t="shared" si="2953"/>
        <v>29.490000000000009</v>
      </c>
      <c r="P6574" s="132" t="s">
        <v>52</v>
      </c>
      <c r="Q6574" s="232"/>
      <c r="R6574" s="411"/>
      <c r="T6574" s="134" t="s">
        <v>145</v>
      </c>
      <c r="U6574" s="267" t="s">
        <v>14063</v>
      </c>
      <c r="V6574" s="133" t="s">
        <v>14064</v>
      </c>
      <c r="AA6574" s="218"/>
    </row>
    <row r="6575" spans="1:27" ht="24" x14ac:dyDescent="0.25">
      <c r="A6575" s="405">
        <v>3005147</v>
      </c>
      <c r="B6575" s="406">
        <v>42668</v>
      </c>
      <c r="C6575" s="405" t="s">
        <v>237</v>
      </c>
      <c r="D6575" s="401" t="s">
        <v>14065</v>
      </c>
      <c r="E6575" s="120">
        <v>150</v>
      </c>
      <c r="F6575" s="133" t="s">
        <v>307</v>
      </c>
      <c r="G6575" s="404" t="s">
        <v>7486</v>
      </c>
      <c r="H6575" s="411">
        <v>183.42</v>
      </c>
      <c r="I6575" s="397">
        <f t="shared" ref="I6575" si="2984">-(H6575*0.15)</f>
        <v>-27.512999999999998</v>
      </c>
      <c r="J6575" s="258">
        <v>0</v>
      </c>
      <c r="K6575" s="90">
        <f t="shared" si="2983"/>
        <v>155.90699999999998</v>
      </c>
      <c r="L6575" s="131">
        <v>622.45000000000005</v>
      </c>
      <c r="M6575" s="187">
        <v>32.56</v>
      </c>
      <c r="N6575" s="91">
        <f t="shared" si="2943"/>
        <v>125.92750000000001</v>
      </c>
      <c r="O6575" s="411">
        <f t="shared" si="2953"/>
        <v>29.979499999999973</v>
      </c>
      <c r="P6575" s="132" t="s">
        <v>52</v>
      </c>
      <c r="Q6575" s="232"/>
      <c r="R6575" s="411"/>
      <c r="T6575" s="134" t="s">
        <v>145</v>
      </c>
      <c r="U6575" s="267" t="s">
        <v>14066</v>
      </c>
      <c r="V6575" s="133" t="s">
        <v>14067</v>
      </c>
      <c r="AA6575" s="218"/>
    </row>
    <row r="6576" spans="1:27" ht="24" x14ac:dyDescent="0.25">
      <c r="A6576" s="405">
        <v>3005148</v>
      </c>
      <c r="B6576" s="406">
        <v>42668</v>
      </c>
      <c r="C6576" s="405" t="s">
        <v>237</v>
      </c>
      <c r="D6576" s="401" t="s">
        <v>14068</v>
      </c>
      <c r="E6576" s="120">
        <v>200</v>
      </c>
      <c r="F6576" s="133" t="s">
        <v>247</v>
      </c>
      <c r="G6576" s="404" t="s">
        <v>7486</v>
      </c>
      <c r="H6576" s="411">
        <v>155</v>
      </c>
      <c r="I6576" s="397">
        <f t="shared" ref="I6576" si="2985">-(H6576*0.15)</f>
        <v>-23.25</v>
      </c>
      <c r="J6576" s="258">
        <v>0</v>
      </c>
      <c r="K6576" s="90">
        <f t="shared" si="2983"/>
        <v>131.75</v>
      </c>
      <c r="L6576" s="131">
        <v>424</v>
      </c>
      <c r="M6576" s="187">
        <v>36.35</v>
      </c>
      <c r="N6576" s="91">
        <f t="shared" si="2943"/>
        <v>121.15</v>
      </c>
      <c r="O6576" s="411">
        <f t="shared" si="2953"/>
        <v>10.599999999999994</v>
      </c>
      <c r="P6576" s="132" t="s">
        <v>52</v>
      </c>
      <c r="Q6576" s="232"/>
      <c r="R6576" s="411"/>
      <c r="T6576" s="134" t="s">
        <v>145</v>
      </c>
      <c r="U6576" s="267" t="s">
        <v>14069</v>
      </c>
      <c r="V6576" s="133" t="s">
        <v>14070</v>
      </c>
      <c r="AA6576" s="218"/>
    </row>
    <row r="6577" spans="1:27" ht="24" x14ac:dyDescent="0.25">
      <c r="A6577" s="405">
        <v>3005149</v>
      </c>
      <c r="B6577" s="406">
        <v>42668</v>
      </c>
      <c r="C6577" s="405" t="s">
        <v>237</v>
      </c>
      <c r="D6577" s="401" t="s">
        <v>14071</v>
      </c>
      <c r="E6577" s="120">
        <v>150</v>
      </c>
      <c r="F6577" s="133" t="s">
        <v>590</v>
      </c>
      <c r="G6577" s="404" t="s">
        <v>7486</v>
      </c>
      <c r="H6577" s="411">
        <v>164.9</v>
      </c>
      <c r="I6577" s="397">
        <f t="shared" ref="I6577" si="2986">-(H6577*0.15)</f>
        <v>-24.734999999999999</v>
      </c>
      <c r="J6577" s="258">
        <v>0</v>
      </c>
      <c r="K6577" s="90">
        <f t="shared" si="2983"/>
        <v>140.16500000000002</v>
      </c>
      <c r="L6577" s="131">
        <v>577</v>
      </c>
      <c r="M6577" s="187">
        <v>42.01</v>
      </c>
      <c r="N6577" s="91">
        <f t="shared" si="2943"/>
        <v>128.56</v>
      </c>
      <c r="O6577" s="411">
        <f t="shared" si="2953"/>
        <v>11.605000000000018</v>
      </c>
      <c r="P6577" s="132" t="s">
        <v>52</v>
      </c>
      <c r="Q6577" s="232"/>
      <c r="R6577" s="411"/>
      <c r="T6577" s="134" t="s">
        <v>145</v>
      </c>
      <c r="U6577" s="267" t="s">
        <v>14072</v>
      </c>
      <c r="V6577" s="133" t="s">
        <v>14073</v>
      </c>
      <c r="AA6577" s="218"/>
    </row>
    <row r="6578" spans="1:27" ht="24" x14ac:dyDescent="0.25">
      <c r="A6578" s="405">
        <v>3005150</v>
      </c>
      <c r="B6578" s="406">
        <v>42668</v>
      </c>
      <c r="C6578" s="405" t="s">
        <v>237</v>
      </c>
      <c r="D6578" s="401" t="s">
        <v>14074</v>
      </c>
      <c r="E6578" s="120">
        <v>100</v>
      </c>
      <c r="F6578" s="133" t="s">
        <v>3301</v>
      </c>
      <c r="G6578" s="404" t="s">
        <v>7486</v>
      </c>
      <c r="H6578" s="411">
        <v>107.91</v>
      </c>
      <c r="I6578" s="397">
        <f t="shared" ref="I6578:I6579" si="2987">-(H6578*0.15)</f>
        <v>-16.186499999999999</v>
      </c>
      <c r="J6578" s="258">
        <v>0</v>
      </c>
      <c r="K6578" s="90">
        <f t="shared" si="2983"/>
        <v>91.723500000000001</v>
      </c>
      <c r="L6578" s="187">
        <v>754</v>
      </c>
      <c r="M6578" s="187">
        <v>23.5</v>
      </c>
      <c r="N6578" s="91">
        <f t="shared" si="2943"/>
        <v>98.9</v>
      </c>
      <c r="O6578" s="411">
        <f t="shared" si="2953"/>
        <v>-7.1765000000000043</v>
      </c>
      <c r="P6578" s="132" t="s">
        <v>601</v>
      </c>
      <c r="Q6578" s="232"/>
      <c r="R6578" s="411"/>
      <c r="T6578" s="134" t="s">
        <v>145</v>
      </c>
      <c r="U6578" s="267" t="s">
        <v>14075</v>
      </c>
      <c r="V6578" s="133" t="s">
        <v>14076</v>
      </c>
      <c r="AA6578" s="218"/>
    </row>
    <row r="6579" spans="1:27" ht="24" x14ac:dyDescent="0.25">
      <c r="A6579" s="405">
        <v>3005151</v>
      </c>
      <c r="B6579" s="406">
        <v>42668</v>
      </c>
      <c r="C6579" s="405" t="s">
        <v>237</v>
      </c>
      <c r="D6579" s="401" t="s">
        <v>13498</v>
      </c>
      <c r="E6579" s="120">
        <v>100</v>
      </c>
      <c r="F6579" s="133" t="s">
        <v>341</v>
      </c>
      <c r="G6579" s="404" t="s">
        <v>7486</v>
      </c>
      <c r="H6579" s="411">
        <v>138.57</v>
      </c>
      <c r="I6579" s="397">
        <f t="shared" si="2987"/>
        <v>-20.785499999999999</v>
      </c>
      <c r="J6579" s="258">
        <v>0</v>
      </c>
      <c r="K6579" s="90">
        <f t="shared" si="2983"/>
        <v>117.78449999999999</v>
      </c>
      <c r="L6579" s="131">
        <v>695</v>
      </c>
      <c r="M6579" s="187">
        <v>37.909999999999997</v>
      </c>
      <c r="N6579" s="91">
        <f t="shared" si="2943"/>
        <v>107.41</v>
      </c>
      <c r="O6579" s="411">
        <f t="shared" si="2953"/>
        <v>10.374499999999998</v>
      </c>
      <c r="P6579" s="132" t="s">
        <v>52</v>
      </c>
      <c r="Q6579" s="232"/>
      <c r="R6579" s="411"/>
      <c r="T6579" s="134" t="s">
        <v>145</v>
      </c>
      <c r="U6579" s="267" t="s">
        <v>14077</v>
      </c>
      <c r="V6579" s="133" t="s">
        <v>14078</v>
      </c>
      <c r="AA6579" s="218"/>
    </row>
    <row r="6580" spans="1:27" ht="24" x14ac:dyDescent="0.25">
      <c r="A6580" s="405">
        <v>3005152</v>
      </c>
      <c r="B6580" s="406">
        <v>42668</v>
      </c>
      <c r="C6580" s="405" t="s">
        <v>237</v>
      </c>
      <c r="D6580" s="401" t="s">
        <v>14079</v>
      </c>
      <c r="E6580" s="120">
        <v>100</v>
      </c>
      <c r="F6580" s="133" t="s">
        <v>3299</v>
      </c>
      <c r="G6580" s="404" t="s">
        <v>7486</v>
      </c>
      <c r="H6580" s="411">
        <v>107.91</v>
      </c>
      <c r="I6580" s="397">
        <f t="shared" ref="I6580" si="2988">-(H6580*0.15)</f>
        <v>-16.186499999999999</v>
      </c>
      <c r="J6580" s="258">
        <v>0</v>
      </c>
      <c r="K6580" s="90">
        <f t="shared" si="2983"/>
        <v>91.723500000000001</v>
      </c>
      <c r="L6580" s="187">
        <v>754</v>
      </c>
      <c r="M6580" s="187">
        <v>17.68</v>
      </c>
      <c r="N6580" s="91">
        <f t="shared" si="2943"/>
        <v>93.080000000000013</v>
      </c>
      <c r="O6580" s="411">
        <f t="shared" si="2953"/>
        <v>-1.3565000000000111</v>
      </c>
      <c r="P6580" s="132" t="s">
        <v>601</v>
      </c>
      <c r="Q6580" s="232"/>
      <c r="R6580" s="411"/>
      <c r="T6580" s="134" t="s">
        <v>145</v>
      </c>
      <c r="U6580" s="267" t="s">
        <v>14080</v>
      </c>
      <c r="V6580" s="133" t="s">
        <v>14081</v>
      </c>
      <c r="AA6580" s="218"/>
    </row>
    <row r="6581" spans="1:27" x14ac:dyDescent="0.25">
      <c r="A6581" s="405">
        <v>3005153</v>
      </c>
      <c r="B6581" s="406">
        <v>42668</v>
      </c>
      <c r="C6581" s="405" t="s">
        <v>63</v>
      </c>
      <c r="D6581" s="401" t="s">
        <v>14082</v>
      </c>
      <c r="E6581" s="120">
        <v>20</v>
      </c>
      <c r="F6581" s="133" t="s">
        <v>14083</v>
      </c>
      <c r="G6581" s="404" t="s">
        <v>7486</v>
      </c>
      <c r="H6581" s="411">
        <v>840</v>
      </c>
      <c r="I6581" s="399">
        <v>0</v>
      </c>
      <c r="J6581" s="396">
        <f>-((H6581*0.022)+0.3)</f>
        <v>-18.78</v>
      </c>
      <c r="K6581" s="396">
        <f t="shared" si="2983"/>
        <v>821.22</v>
      </c>
      <c r="L6581" s="187">
        <v>8150</v>
      </c>
      <c r="M6581" s="187">
        <f>125+76.86</f>
        <v>201.86</v>
      </c>
      <c r="N6581" s="91">
        <f t="shared" si="2943"/>
        <v>364.86</v>
      </c>
      <c r="O6581" s="411">
        <f t="shared" si="2953"/>
        <v>456.36</v>
      </c>
      <c r="P6581" s="132" t="s">
        <v>183</v>
      </c>
      <c r="Q6581" s="232"/>
      <c r="R6581" s="411"/>
      <c r="T6581" s="134" t="s">
        <v>565</v>
      </c>
      <c r="U6581" s="267" t="s">
        <v>14084</v>
      </c>
      <c r="W6581" s="153" t="s">
        <v>14085</v>
      </c>
      <c r="AA6581" s="218"/>
    </row>
    <row r="6582" spans="1:27" ht="24" x14ac:dyDescent="0.25">
      <c r="A6582" s="405">
        <v>3005154</v>
      </c>
      <c r="B6582" s="406">
        <v>42668</v>
      </c>
      <c r="C6582" s="405" t="s">
        <v>327</v>
      </c>
      <c r="D6582" s="401" t="s">
        <v>12887</v>
      </c>
      <c r="E6582" s="120">
        <v>100</v>
      </c>
      <c r="F6582" s="133" t="s">
        <v>14086</v>
      </c>
      <c r="G6582" s="404" t="s">
        <v>7486</v>
      </c>
      <c r="H6582" s="411">
        <v>1300</v>
      </c>
      <c r="I6582" s="399">
        <v>0</v>
      </c>
      <c r="J6582" s="396">
        <f>-((H6582*0.022)+0.3)</f>
        <v>-28.9</v>
      </c>
      <c r="K6582" s="396">
        <f t="shared" si="2983"/>
        <v>1271.0999999999999</v>
      </c>
      <c r="L6582" s="131">
        <v>4500</v>
      </c>
      <c r="M6582" s="131">
        <v>0</v>
      </c>
      <c r="N6582" s="91">
        <f t="shared" si="2943"/>
        <v>450</v>
      </c>
      <c r="O6582" s="411">
        <f t="shared" si="2953"/>
        <v>821.09999999999991</v>
      </c>
      <c r="P6582" s="132" t="s">
        <v>14087</v>
      </c>
      <c r="Q6582" s="232"/>
      <c r="R6582" s="411"/>
      <c r="T6582" s="134" t="s">
        <v>145</v>
      </c>
      <c r="U6582" s="266" t="s">
        <v>14088</v>
      </c>
      <c r="W6582" s="153" t="s">
        <v>14089</v>
      </c>
      <c r="AA6582" s="218">
        <v>10</v>
      </c>
    </row>
    <row r="6583" spans="1:27" ht="36" x14ac:dyDescent="0.25">
      <c r="A6583" s="419">
        <v>3005155</v>
      </c>
      <c r="B6583" s="421">
        <v>42668</v>
      </c>
      <c r="C6583" s="419" t="s">
        <v>141</v>
      </c>
      <c r="D6583" s="417" t="s">
        <v>426</v>
      </c>
      <c r="E6583" s="120">
        <v>3166</v>
      </c>
      <c r="F6583" s="119" t="s">
        <v>14090</v>
      </c>
      <c r="G6583" s="434" t="s">
        <v>7486</v>
      </c>
      <c r="H6583" s="427">
        <v>9352.25</v>
      </c>
      <c r="I6583" s="427">
        <v>0</v>
      </c>
      <c r="J6583" s="425">
        <f>-((H6583*0.0325)+0.3)</f>
        <v>-304.24812500000002</v>
      </c>
      <c r="K6583" s="425">
        <f t="shared" si="2983"/>
        <v>9048.0018749999999</v>
      </c>
      <c r="M6583" s="187">
        <v>133.61000000000001</v>
      </c>
      <c r="N6583" s="91">
        <f t="shared" si="2943"/>
        <v>133.61000000000001</v>
      </c>
      <c r="O6583" s="411">
        <f t="shared" si="2953"/>
        <v>8914.3918749999993</v>
      </c>
      <c r="P6583" s="132" t="s">
        <v>52</v>
      </c>
      <c r="Q6583" s="232"/>
      <c r="R6583" s="411"/>
      <c r="T6583" s="134" t="s">
        <v>875</v>
      </c>
      <c r="U6583" s="267" t="s">
        <v>14091</v>
      </c>
      <c r="W6583" s="153" t="s">
        <v>429</v>
      </c>
      <c r="AA6583" s="473">
        <v>50</v>
      </c>
    </row>
    <row r="6584" spans="1:27" x14ac:dyDescent="0.25">
      <c r="A6584" s="420"/>
      <c r="B6584" s="422"/>
      <c r="C6584" s="420"/>
      <c r="D6584" s="418"/>
      <c r="E6584" s="120">
        <v>3000</v>
      </c>
      <c r="F6584" s="133" t="s">
        <v>14092</v>
      </c>
      <c r="G6584" s="436"/>
      <c r="H6584" s="428"/>
      <c r="I6584" s="428"/>
      <c r="J6584" s="426"/>
      <c r="K6584" s="426"/>
      <c r="L6584" s="187">
        <v>1170</v>
      </c>
      <c r="M6584" s="131">
        <v>0</v>
      </c>
      <c r="N6584" s="91">
        <f t="shared" si="2943"/>
        <v>3510</v>
      </c>
      <c r="O6584" s="411">
        <f t="shared" si="2953"/>
        <v>-3510</v>
      </c>
      <c r="P6584" s="132" t="s">
        <v>14093</v>
      </c>
      <c r="Q6584" s="232"/>
      <c r="R6584" s="411"/>
      <c r="T6584" s="134" t="s">
        <v>97</v>
      </c>
      <c r="U6584" s="266" t="s">
        <v>14094</v>
      </c>
      <c r="V6584" s="133" t="s">
        <v>14095</v>
      </c>
      <c r="AA6584" s="474"/>
    </row>
    <row r="6585" spans="1:27" ht="24" x14ac:dyDescent="0.25">
      <c r="A6585" s="405">
        <v>3005156</v>
      </c>
      <c r="B6585" s="406">
        <v>42668</v>
      </c>
      <c r="C6585" s="405" t="s">
        <v>237</v>
      </c>
      <c r="D6585" s="401" t="s">
        <v>14096</v>
      </c>
      <c r="E6585" s="120">
        <v>200</v>
      </c>
      <c r="F6585" s="133" t="s">
        <v>247</v>
      </c>
      <c r="G6585" s="404" t="s">
        <v>7486</v>
      </c>
      <c r="H6585" s="411">
        <v>155</v>
      </c>
      <c r="I6585" s="397">
        <f t="shared" ref="I6585" si="2989">-(H6585*0.15)</f>
        <v>-23.25</v>
      </c>
      <c r="J6585" s="258">
        <v>0</v>
      </c>
      <c r="K6585" s="90">
        <f>SUM(H6585:J6585)</f>
        <v>131.75</v>
      </c>
      <c r="L6585" s="131">
        <v>424</v>
      </c>
      <c r="M6585" s="187">
        <v>43.03</v>
      </c>
      <c r="N6585" s="91">
        <f t="shared" si="2943"/>
        <v>127.83000000000001</v>
      </c>
      <c r="O6585" s="411">
        <f t="shared" si="2953"/>
        <v>3.9199999999999875</v>
      </c>
      <c r="P6585" s="132" t="s">
        <v>52</v>
      </c>
      <c r="Q6585" s="232"/>
      <c r="R6585" s="411"/>
      <c r="T6585" s="134" t="s">
        <v>145</v>
      </c>
      <c r="U6585" s="267" t="s">
        <v>14097</v>
      </c>
      <c r="AA6585" s="218"/>
    </row>
    <row r="6586" spans="1:27" ht="24" x14ac:dyDescent="0.25">
      <c r="A6586" s="405">
        <v>3005157</v>
      </c>
      <c r="B6586" s="406">
        <v>42668</v>
      </c>
      <c r="C6586" s="405" t="s">
        <v>42</v>
      </c>
      <c r="D6586" s="401" t="s">
        <v>14098</v>
      </c>
      <c r="E6586" s="120">
        <v>1000</v>
      </c>
      <c r="F6586" s="133" t="s">
        <v>8453</v>
      </c>
      <c r="G6586" s="404" t="s">
        <v>7486</v>
      </c>
      <c r="H6586" s="411">
        <v>230</v>
      </c>
      <c r="I6586" s="89">
        <f>-(H6586*0.09)</f>
        <v>-20.7</v>
      </c>
      <c r="J6586" s="258">
        <f t="shared" ref="J6586" si="2990">-((H6586*0.019)+0.3)</f>
        <v>-4.67</v>
      </c>
      <c r="K6586" s="90">
        <f t="shared" ref="K6586" si="2991">SUM(H6586:J6586)</f>
        <v>204.63000000000002</v>
      </c>
      <c r="M6586" s="187">
        <v>37.090000000000003</v>
      </c>
      <c r="N6586" s="91">
        <f t="shared" si="2943"/>
        <v>37.090000000000003</v>
      </c>
      <c r="O6586" s="411">
        <f t="shared" si="2953"/>
        <v>167.54000000000002</v>
      </c>
      <c r="P6586" s="132" t="s">
        <v>52</v>
      </c>
      <c r="Q6586" s="232"/>
      <c r="R6586" s="411"/>
      <c r="T6586" s="134" t="s">
        <v>145</v>
      </c>
      <c r="U6586" s="267" t="s">
        <v>14099</v>
      </c>
      <c r="AA6586" s="218"/>
    </row>
    <row r="6587" spans="1:27" ht="24" x14ac:dyDescent="0.25">
      <c r="A6587" s="405">
        <v>3005158</v>
      </c>
      <c r="B6587" s="406">
        <v>42668</v>
      </c>
      <c r="C6587" s="405" t="s">
        <v>42</v>
      </c>
      <c r="D6587" s="401" t="s">
        <v>14100</v>
      </c>
      <c r="E6587" s="120">
        <v>150</v>
      </c>
      <c r="F6587" s="133" t="s">
        <v>431</v>
      </c>
      <c r="G6587" s="404" t="s">
        <v>7486</v>
      </c>
      <c r="H6587" s="411">
        <v>319.27999999999997</v>
      </c>
      <c r="I6587" s="89">
        <f>-(H6587*0.09)</f>
        <v>-28.735199999999995</v>
      </c>
      <c r="J6587" s="258">
        <f t="shared" ref="J6587" si="2992">-((H6587*0.019)+0.3)</f>
        <v>-6.3663199999999991</v>
      </c>
      <c r="K6587" s="90">
        <f t="shared" ref="K6587" si="2993">SUM(H6587:J6587)</f>
        <v>284.17847999999998</v>
      </c>
      <c r="L6587" s="131">
        <v>950</v>
      </c>
      <c r="M6587" s="187">
        <v>44.39</v>
      </c>
      <c r="N6587" s="91">
        <f t="shared" si="2943"/>
        <v>186.89</v>
      </c>
      <c r="O6587" s="411">
        <f t="shared" si="2953"/>
        <v>97.288479999999993</v>
      </c>
      <c r="P6587" s="132" t="s">
        <v>52</v>
      </c>
      <c r="Q6587" s="232"/>
      <c r="R6587" s="411"/>
      <c r="T6587" s="134" t="s">
        <v>145</v>
      </c>
      <c r="U6587" s="267" t="s">
        <v>14101</v>
      </c>
      <c r="AA6587" s="218"/>
    </row>
    <row r="6588" spans="1:27" ht="24" x14ac:dyDescent="0.25">
      <c r="A6588" s="405">
        <v>3005159</v>
      </c>
      <c r="B6588" s="406">
        <v>42668</v>
      </c>
      <c r="C6588" s="405" t="s">
        <v>237</v>
      </c>
      <c r="D6588" s="401" t="s">
        <v>14102</v>
      </c>
      <c r="E6588" s="120">
        <v>100</v>
      </c>
      <c r="F6588" s="133" t="s">
        <v>288</v>
      </c>
      <c r="G6588" s="404" t="s">
        <v>7486</v>
      </c>
      <c r="H6588" s="411">
        <v>190</v>
      </c>
      <c r="I6588" s="397">
        <f t="shared" ref="I6588" si="2994">-(H6588*0.15)</f>
        <v>-28.5</v>
      </c>
      <c r="J6588" s="258">
        <v>0</v>
      </c>
      <c r="K6588" s="90">
        <f t="shared" ref="K6588:K6595" si="2995">SUM(H6588:J6588)</f>
        <v>161.5</v>
      </c>
      <c r="L6588" s="131">
        <v>900</v>
      </c>
      <c r="M6588" s="187">
        <v>30.98</v>
      </c>
      <c r="N6588" s="91">
        <f t="shared" si="2943"/>
        <v>120.98</v>
      </c>
      <c r="O6588" s="411">
        <f t="shared" si="2953"/>
        <v>40.519999999999996</v>
      </c>
      <c r="P6588" s="132" t="s">
        <v>52</v>
      </c>
      <c r="Q6588" s="232"/>
      <c r="R6588" s="411"/>
      <c r="T6588" s="134" t="s">
        <v>145</v>
      </c>
      <c r="U6588" s="267" t="s">
        <v>14103</v>
      </c>
      <c r="V6588" s="133" t="s">
        <v>14104</v>
      </c>
      <c r="AA6588" s="218"/>
    </row>
    <row r="6589" spans="1:27" x14ac:dyDescent="0.25">
      <c r="A6589" s="405">
        <v>3005160</v>
      </c>
      <c r="B6589" s="406">
        <v>42668</v>
      </c>
      <c r="C6589" s="405" t="s">
        <v>63</v>
      </c>
      <c r="D6589" s="401" t="s">
        <v>14105</v>
      </c>
      <c r="E6589" s="120">
        <v>2300</v>
      </c>
      <c r="F6589" s="133" t="s">
        <v>14106</v>
      </c>
      <c r="G6589" s="404" t="s">
        <v>7486</v>
      </c>
      <c r="H6589" s="411">
        <v>18170</v>
      </c>
      <c r="I6589" s="399">
        <v>0</v>
      </c>
      <c r="J6589" s="396">
        <f t="shared" ref="J6589:J6594" si="2996">-((H6589*0.022)+0.3)</f>
        <v>-400.03999999999996</v>
      </c>
      <c r="K6589" s="396">
        <f t="shared" si="2995"/>
        <v>17769.96</v>
      </c>
      <c r="L6589" s="187">
        <v>5300</v>
      </c>
      <c r="M6589" s="131">
        <v>0</v>
      </c>
      <c r="N6589" s="91">
        <f t="shared" si="2943"/>
        <v>12190.000000000002</v>
      </c>
      <c r="O6589" s="411">
        <f t="shared" si="2953"/>
        <v>5579.9599999999973</v>
      </c>
      <c r="P6589" s="132" t="s">
        <v>66</v>
      </c>
      <c r="Q6589" s="232"/>
      <c r="R6589" s="411"/>
      <c r="T6589" s="134" t="s">
        <v>314</v>
      </c>
      <c r="U6589" s="266">
        <v>4236681175</v>
      </c>
      <c r="W6589" s="153" t="s">
        <v>14107</v>
      </c>
      <c r="AA6589" s="218">
        <v>100</v>
      </c>
    </row>
    <row r="6590" spans="1:27" x14ac:dyDescent="0.25">
      <c r="A6590" s="405">
        <v>3005161</v>
      </c>
      <c r="B6590" s="406">
        <v>42668</v>
      </c>
      <c r="C6590" s="405" t="s">
        <v>327</v>
      </c>
      <c r="D6590" s="401" t="s">
        <v>8006</v>
      </c>
      <c r="E6590" s="120">
        <v>1800</v>
      </c>
      <c r="F6590" s="198">
        <v>7528763</v>
      </c>
      <c r="G6590" s="404" t="s">
        <v>7486</v>
      </c>
      <c r="H6590" s="411">
        <v>5400</v>
      </c>
      <c r="I6590" s="399">
        <v>0</v>
      </c>
      <c r="J6590" s="396">
        <f t="shared" si="2996"/>
        <v>-119.1</v>
      </c>
      <c r="K6590" s="396">
        <f t="shared" si="2995"/>
        <v>5280.9</v>
      </c>
      <c r="L6590" s="187">
        <v>1401.89</v>
      </c>
      <c r="M6590" s="187">
        <f>248.24+150</f>
        <v>398.24</v>
      </c>
      <c r="N6590" s="91">
        <f t="shared" si="2943"/>
        <v>2921.6419999999998</v>
      </c>
      <c r="O6590" s="411">
        <f t="shared" si="2953"/>
        <v>2359.2579999999998</v>
      </c>
      <c r="P6590" s="132" t="s">
        <v>46</v>
      </c>
      <c r="Q6590" s="232"/>
      <c r="R6590" s="411"/>
      <c r="T6590" s="134" t="s">
        <v>97</v>
      </c>
      <c r="U6590" s="266">
        <v>3979097931</v>
      </c>
      <c r="V6590" s="133" t="s">
        <v>14108</v>
      </c>
      <c r="W6590" s="153" t="s">
        <v>14109</v>
      </c>
      <c r="AA6590" s="218">
        <v>10</v>
      </c>
    </row>
    <row r="6591" spans="1:27" x14ac:dyDescent="0.25">
      <c r="A6591" s="405">
        <v>3005162</v>
      </c>
      <c r="B6591" s="406">
        <v>42668</v>
      </c>
      <c r="C6591" s="405" t="s">
        <v>63</v>
      </c>
      <c r="D6591" s="401" t="s">
        <v>7538</v>
      </c>
      <c r="E6591" s="120">
        <v>500</v>
      </c>
      <c r="F6591" s="133" t="s">
        <v>11125</v>
      </c>
      <c r="G6591" s="404" t="s">
        <v>7486</v>
      </c>
      <c r="H6591" s="411">
        <v>2550</v>
      </c>
      <c r="I6591" s="399">
        <v>0</v>
      </c>
      <c r="J6591" s="396">
        <f t="shared" si="2996"/>
        <v>-56.399999999999991</v>
      </c>
      <c r="K6591" s="396">
        <f t="shared" si="2995"/>
        <v>2493.6</v>
      </c>
      <c r="L6591" s="187">
        <v>3720</v>
      </c>
      <c r="M6591" s="131">
        <v>0</v>
      </c>
      <c r="N6591" s="91">
        <f t="shared" ref="N6591:N6654" si="2997">((L6591)*(E6591*0.001))+M6591</f>
        <v>1860</v>
      </c>
      <c r="O6591" s="411">
        <f t="shared" si="2953"/>
        <v>633.59999999999991</v>
      </c>
      <c r="P6591" s="132" t="s">
        <v>66</v>
      </c>
      <c r="Q6591" s="232"/>
      <c r="R6591" s="411"/>
      <c r="T6591" s="134" t="s">
        <v>8900</v>
      </c>
      <c r="U6591" s="266">
        <v>959354647</v>
      </c>
      <c r="W6591" s="153" t="s">
        <v>7540</v>
      </c>
      <c r="AA6591" s="218">
        <v>10</v>
      </c>
    </row>
    <row r="6592" spans="1:27" ht="24" x14ac:dyDescent="0.25">
      <c r="A6592" s="405">
        <v>3005163</v>
      </c>
      <c r="B6592" s="406">
        <v>42668</v>
      </c>
      <c r="C6592" s="405" t="s">
        <v>63</v>
      </c>
      <c r="D6592" s="401" t="s">
        <v>11378</v>
      </c>
      <c r="E6592" s="120">
        <v>1000</v>
      </c>
      <c r="F6592" s="133" t="s">
        <v>1386</v>
      </c>
      <c r="G6592" s="404" t="s">
        <v>7486</v>
      </c>
      <c r="H6592" s="411">
        <v>710.73</v>
      </c>
      <c r="I6592" s="399">
        <v>0</v>
      </c>
      <c r="J6592" s="396">
        <f t="shared" si="2996"/>
        <v>-15.936059999999999</v>
      </c>
      <c r="K6592" s="396">
        <f t="shared" si="2995"/>
        <v>694.79394000000002</v>
      </c>
      <c r="L6592" s="187">
        <v>387</v>
      </c>
      <c r="M6592" s="187">
        <v>215.71</v>
      </c>
      <c r="N6592" s="91">
        <f t="shared" si="2997"/>
        <v>602.71</v>
      </c>
      <c r="O6592" s="411">
        <f t="shared" si="2953"/>
        <v>92.083939999999984</v>
      </c>
      <c r="P6592" s="132" t="s">
        <v>183</v>
      </c>
      <c r="Q6592" s="232"/>
      <c r="R6592" s="411"/>
      <c r="T6592" s="134" t="s">
        <v>260</v>
      </c>
      <c r="U6592" s="267" t="s">
        <v>14110</v>
      </c>
      <c r="W6592" s="153" t="s">
        <v>14111</v>
      </c>
      <c r="AA6592" s="218"/>
    </row>
    <row r="6593" spans="1:27" ht="24" x14ac:dyDescent="0.25">
      <c r="A6593" s="405">
        <v>3005164</v>
      </c>
      <c r="B6593" s="406">
        <v>42669</v>
      </c>
      <c r="C6593" s="405" t="s">
        <v>63</v>
      </c>
      <c r="D6593" s="401" t="s">
        <v>14112</v>
      </c>
      <c r="E6593" s="120">
        <v>60</v>
      </c>
      <c r="F6593" s="133" t="s">
        <v>860</v>
      </c>
      <c r="G6593" s="404" t="s">
        <v>7486</v>
      </c>
      <c r="H6593" s="411">
        <v>390</v>
      </c>
      <c r="I6593" s="399">
        <v>0</v>
      </c>
      <c r="J6593" s="396">
        <f t="shared" si="2996"/>
        <v>-8.8800000000000008</v>
      </c>
      <c r="K6593" s="396">
        <f t="shared" si="2995"/>
        <v>381.12</v>
      </c>
      <c r="L6593" s="131">
        <v>3300</v>
      </c>
      <c r="M6593" s="187">
        <v>31.65</v>
      </c>
      <c r="N6593" s="91">
        <f t="shared" si="2997"/>
        <v>229.65</v>
      </c>
      <c r="O6593" s="411">
        <f t="shared" si="2953"/>
        <v>151.47</v>
      </c>
      <c r="P6593" s="132" t="s">
        <v>52</v>
      </c>
      <c r="Q6593" s="232"/>
      <c r="R6593" s="411"/>
      <c r="T6593" s="134" t="s">
        <v>145</v>
      </c>
      <c r="U6593" s="267" t="s">
        <v>14113</v>
      </c>
      <c r="W6593" s="153" t="s">
        <v>14114</v>
      </c>
      <c r="AA6593" s="218"/>
    </row>
    <row r="6594" spans="1:27" x14ac:dyDescent="0.25">
      <c r="A6594" s="405">
        <v>3005165</v>
      </c>
      <c r="B6594" s="406">
        <v>42669</v>
      </c>
      <c r="C6594" s="405" t="s">
        <v>63</v>
      </c>
      <c r="D6594" s="401" t="s">
        <v>14115</v>
      </c>
      <c r="E6594" s="120">
        <v>1000</v>
      </c>
      <c r="F6594" s="133" t="s">
        <v>70</v>
      </c>
      <c r="G6594" s="404" t="s">
        <v>7486</v>
      </c>
      <c r="H6594" s="411">
        <v>2100</v>
      </c>
      <c r="I6594" s="399">
        <v>0</v>
      </c>
      <c r="J6594" s="396">
        <f t="shared" si="2996"/>
        <v>-46.499999999999993</v>
      </c>
      <c r="K6594" s="396">
        <f t="shared" si="2995"/>
        <v>2053.5</v>
      </c>
      <c r="L6594" s="131">
        <v>1240</v>
      </c>
      <c r="M6594" s="187">
        <v>99.5</v>
      </c>
      <c r="N6594" s="91">
        <f t="shared" si="2997"/>
        <v>1339.5</v>
      </c>
      <c r="O6594" s="411">
        <f t="shared" si="2953"/>
        <v>714</v>
      </c>
      <c r="P6594" s="132" t="s">
        <v>52</v>
      </c>
      <c r="Q6594" s="232"/>
      <c r="R6594" s="411"/>
      <c r="T6594" s="134" t="s">
        <v>3793</v>
      </c>
      <c r="U6594" s="267" t="s">
        <v>14116</v>
      </c>
      <c r="W6594" s="153" t="s">
        <v>14117</v>
      </c>
      <c r="AA6594" s="218">
        <v>10</v>
      </c>
    </row>
    <row r="6595" spans="1:27" x14ac:dyDescent="0.25">
      <c r="A6595" s="405">
        <v>3005166</v>
      </c>
      <c r="B6595" s="406">
        <v>42669</v>
      </c>
      <c r="C6595" s="405" t="s">
        <v>56</v>
      </c>
      <c r="D6595" s="401" t="s">
        <v>13431</v>
      </c>
      <c r="E6595" s="120">
        <v>5000</v>
      </c>
      <c r="F6595" s="119" t="s">
        <v>14118</v>
      </c>
      <c r="G6595" s="404" t="s">
        <v>7486</v>
      </c>
      <c r="H6595" s="411">
        <v>21000</v>
      </c>
      <c r="I6595" s="411">
        <v>0</v>
      </c>
      <c r="J6595" s="411">
        <v>0</v>
      </c>
      <c r="K6595" s="396">
        <f t="shared" si="2995"/>
        <v>21000</v>
      </c>
      <c r="L6595" s="187">
        <v>3300</v>
      </c>
      <c r="M6595" s="187">
        <v>432.46</v>
      </c>
      <c r="N6595" s="91">
        <f t="shared" si="2997"/>
        <v>16932.46</v>
      </c>
      <c r="O6595" s="411">
        <f t="shared" si="2953"/>
        <v>4067.5400000000009</v>
      </c>
      <c r="P6595" s="132" t="s">
        <v>14119</v>
      </c>
      <c r="Q6595" s="232"/>
      <c r="R6595" s="411"/>
      <c r="T6595" s="134" t="s">
        <v>9117</v>
      </c>
      <c r="U6595" s="267" t="s">
        <v>14120</v>
      </c>
      <c r="V6595" s="133" t="s">
        <v>14121</v>
      </c>
      <c r="W6595" s="153" t="s">
        <v>298</v>
      </c>
      <c r="AA6595" s="218"/>
    </row>
    <row r="6596" spans="1:27" ht="24" x14ac:dyDescent="0.25">
      <c r="A6596" s="405">
        <v>3005167</v>
      </c>
      <c r="B6596" s="406">
        <v>42669</v>
      </c>
      <c r="C6596" s="405" t="s">
        <v>42</v>
      </c>
      <c r="D6596" s="401" t="s">
        <v>14122</v>
      </c>
      <c r="E6596" s="120">
        <v>450</v>
      </c>
      <c r="F6596" s="133" t="s">
        <v>292</v>
      </c>
      <c r="G6596" s="404" t="s">
        <v>7486</v>
      </c>
      <c r="H6596" s="411">
        <v>330.12</v>
      </c>
      <c r="I6596" s="89">
        <f t="shared" ref="I6596:I6601" si="2998">-(H6596*0.09)</f>
        <v>-29.710799999999999</v>
      </c>
      <c r="J6596" s="258">
        <f t="shared" ref="J6596" si="2999">-((H6596*0.019)+0.3)</f>
        <v>-6.5722800000000001</v>
      </c>
      <c r="K6596" s="90">
        <f t="shared" ref="K6596" si="3000">SUM(H6596:J6596)</f>
        <v>293.83692000000002</v>
      </c>
      <c r="L6596" s="131">
        <v>375</v>
      </c>
      <c r="M6596" s="187">
        <v>64.41</v>
      </c>
      <c r="N6596" s="91">
        <f t="shared" si="2997"/>
        <v>233.16</v>
      </c>
      <c r="O6596" s="411">
        <f t="shared" ref="O6596:O6659" si="3001">K6596-N6596</f>
        <v>60.676920000000024</v>
      </c>
      <c r="P6596" s="132" t="s">
        <v>52</v>
      </c>
      <c r="Q6596" s="232"/>
      <c r="R6596" s="411"/>
      <c r="T6596" s="134" t="s">
        <v>145</v>
      </c>
      <c r="U6596" s="267" t="s">
        <v>14123</v>
      </c>
      <c r="AA6596" s="218"/>
    </row>
    <row r="6597" spans="1:27" ht="24" x14ac:dyDescent="0.25">
      <c r="A6597" s="405">
        <v>3005168</v>
      </c>
      <c r="B6597" s="406">
        <v>42669</v>
      </c>
      <c r="C6597" s="405" t="s">
        <v>42</v>
      </c>
      <c r="D6597" s="401" t="s">
        <v>14124</v>
      </c>
      <c r="E6597" s="120">
        <v>100</v>
      </c>
      <c r="F6597" s="133" t="s">
        <v>829</v>
      </c>
      <c r="G6597" s="404" t="s">
        <v>7486</v>
      </c>
      <c r="H6597" s="411">
        <v>112.63</v>
      </c>
      <c r="I6597" s="89">
        <f t="shared" si="2998"/>
        <v>-10.136699999999999</v>
      </c>
      <c r="J6597" s="258">
        <f t="shared" ref="J6597" si="3002">-((H6597*0.019)+0.3)</f>
        <v>-2.4399699999999998</v>
      </c>
      <c r="K6597" s="90">
        <f t="shared" ref="K6597" si="3003">SUM(H6597:J6597)</f>
        <v>100.05332999999999</v>
      </c>
      <c r="L6597" s="131">
        <v>510</v>
      </c>
      <c r="N6597" s="91">
        <f t="shared" si="2997"/>
        <v>51</v>
      </c>
      <c r="O6597" s="411">
        <f t="shared" si="3001"/>
        <v>49.053329999999988</v>
      </c>
      <c r="P6597" s="132" t="s">
        <v>52</v>
      </c>
      <c r="Q6597" s="232"/>
      <c r="R6597" s="411"/>
      <c r="T6597" s="134" t="s">
        <v>145</v>
      </c>
      <c r="U6597" s="267" t="s">
        <v>14125</v>
      </c>
      <c r="AA6597" s="218"/>
    </row>
    <row r="6598" spans="1:27" ht="24" x14ac:dyDescent="0.25">
      <c r="A6598" s="405">
        <v>3005169</v>
      </c>
      <c r="B6598" s="406">
        <v>42669</v>
      </c>
      <c r="C6598" s="405" t="s">
        <v>42</v>
      </c>
      <c r="D6598" s="401" t="s">
        <v>14126</v>
      </c>
      <c r="E6598" s="120">
        <v>100</v>
      </c>
      <c r="F6598" s="133" t="s">
        <v>161</v>
      </c>
      <c r="G6598" s="404" t="s">
        <v>7486</v>
      </c>
      <c r="H6598" s="411">
        <v>236</v>
      </c>
      <c r="I6598" s="89">
        <f t="shared" si="2998"/>
        <v>-21.24</v>
      </c>
      <c r="J6598" s="258">
        <f t="shared" ref="J6598" si="3004">-((H6598*0.019)+0.3)</f>
        <v>-4.7839999999999998</v>
      </c>
      <c r="K6598" s="90">
        <f t="shared" ref="K6598" si="3005">SUM(H6598:J6598)</f>
        <v>209.976</v>
      </c>
      <c r="L6598" s="131">
        <v>1322</v>
      </c>
      <c r="M6598" s="187">
        <v>27.38</v>
      </c>
      <c r="N6598" s="91">
        <f t="shared" si="2997"/>
        <v>159.58000000000001</v>
      </c>
      <c r="O6598" s="411">
        <f t="shared" si="3001"/>
        <v>50.395999999999987</v>
      </c>
      <c r="P6598" s="132" t="s">
        <v>52</v>
      </c>
      <c r="Q6598" s="232"/>
      <c r="R6598" s="411"/>
      <c r="T6598" s="134" t="s">
        <v>145</v>
      </c>
      <c r="U6598" s="267" t="s">
        <v>14127</v>
      </c>
      <c r="AA6598" s="218"/>
    </row>
    <row r="6599" spans="1:27" ht="24" x14ac:dyDescent="0.25">
      <c r="A6599" s="405">
        <v>3005170</v>
      </c>
      <c r="B6599" s="406">
        <v>42669</v>
      </c>
      <c r="C6599" s="405" t="s">
        <v>42</v>
      </c>
      <c r="D6599" s="401" t="s">
        <v>13057</v>
      </c>
      <c r="E6599" s="120">
        <v>100</v>
      </c>
      <c r="F6599" s="133" t="s">
        <v>626</v>
      </c>
      <c r="G6599" s="404" t="s">
        <v>7486</v>
      </c>
      <c r="H6599" s="411">
        <v>340.86</v>
      </c>
      <c r="I6599" s="89">
        <f t="shared" si="2998"/>
        <v>-30.677399999999999</v>
      </c>
      <c r="J6599" s="258">
        <f t="shared" ref="J6599" si="3006">-((H6599*0.019)+0.3)</f>
        <v>-6.7763400000000003</v>
      </c>
      <c r="K6599" s="90">
        <f t="shared" ref="K6599" si="3007">SUM(H6599:J6599)</f>
        <v>303.40626000000003</v>
      </c>
      <c r="L6599" s="131">
        <v>1800</v>
      </c>
      <c r="M6599" s="187">
        <v>39.1</v>
      </c>
      <c r="N6599" s="91">
        <f t="shared" si="2997"/>
        <v>219.1</v>
      </c>
      <c r="O6599" s="411">
        <f t="shared" si="3001"/>
        <v>84.306260000000037</v>
      </c>
      <c r="P6599" s="132" t="s">
        <v>52</v>
      </c>
      <c r="Q6599" s="232"/>
      <c r="R6599" s="411"/>
      <c r="T6599" s="134" t="s">
        <v>145</v>
      </c>
      <c r="U6599" s="267" t="s">
        <v>14128</v>
      </c>
      <c r="AA6599" s="218"/>
    </row>
    <row r="6600" spans="1:27" ht="24" x14ac:dyDescent="0.25">
      <c r="A6600" s="405">
        <v>3005171</v>
      </c>
      <c r="B6600" s="406">
        <v>42669</v>
      </c>
      <c r="C6600" s="405" t="s">
        <v>42</v>
      </c>
      <c r="D6600" s="401" t="s">
        <v>14129</v>
      </c>
      <c r="E6600" s="120">
        <v>400</v>
      </c>
      <c r="F6600" s="133" t="s">
        <v>227</v>
      </c>
      <c r="G6600" s="404" t="s">
        <v>7486</v>
      </c>
      <c r="H6600" s="411">
        <v>329.45</v>
      </c>
      <c r="I6600" s="89">
        <f t="shared" si="2998"/>
        <v>-29.650499999999997</v>
      </c>
      <c r="J6600" s="258">
        <f t="shared" ref="J6600" si="3008">-((H6600*0.019)+0.3)</f>
        <v>-6.5595499999999998</v>
      </c>
      <c r="K6600" s="90">
        <f t="shared" ref="K6600" si="3009">SUM(H6600:J6600)</f>
        <v>293.23994999999996</v>
      </c>
      <c r="L6600" s="131">
        <v>350</v>
      </c>
      <c r="M6600" s="187">
        <v>36.93</v>
      </c>
      <c r="N6600" s="91">
        <f t="shared" si="2997"/>
        <v>176.93</v>
      </c>
      <c r="O6600" s="411">
        <f t="shared" si="3001"/>
        <v>116.30994999999996</v>
      </c>
      <c r="P6600" s="132" t="s">
        <v>52</v>
      </c>
      <c r="Q6600" s="232"/>
      <c r="R6600" s="411"/>
      <c r="T6600" s="134" t="s">
        <v>145</v>
      </c>
      <c r="U6600" s="267" t="s">
        <v>14130</v>
      </c>
      <c r="AA6600" s="218"/>
    </row>
    <row r="6601" spans="1:27" x14ac:dyDescent="0.25">
      <c r="A6601" s="419">
        <v>3005172</v>
      </c>
      <c r="B6601" s="421">
        <v>42669</v>
      </c>
      <c r="C6601" s="419" t="s">
        <v>42</v>
      </c>
      <c r="D6601" s="417" t="s">
        <v>14131</v>
      </c>
      <c r="E6601" s="120">
        <v>35</v>
      </c>
      <c r="F6601" s="133" t="s">
        <v>1507</v>
      </c>
      <c r="G6601" s="434" t="s">
        <v>7486</v>
      </c>
      <c r="H6601" s="427">
        <v>161.69999999999999</v>
      </c>
      <c r="I6601" s="452">
        <f t="shared" si="2998"/>
        <v>-14.552999999999999</v>
      </c>
      <c r="J6601" s="425">
        <f t="shared" ref="J6601" si="3010">-((H6601*0.019)+0.3)</f>
        <v>-3.3722999999999996</v>
      </c>
      <c r="K6601" s="425">
        <f t="shared" ref="K6601" si="3011">SUM(H6601:J6601)</f>
        <v>143.7747</v>
      </c>
      <c r="L6601" s="187">
        <v>2200</v>
      </c>
      <c r="M6601" s="187">
        <v>16.73</v>
      </c>
      <c r="N6601" s="91">
        <f t="shared" si="2997"/>
        <v>93.730000000000018</v>
      </c>
      <c r="O6601" s="411">
        <f t="shared" si="3001"/>
        <v>50.044699999999978</v>
      </c>
      <c r="P6601" s="132" t="s">
        <v>601</v>
      </c>
      <c r="Q6601" s="232"/>
      <c r="R6601" s="411"/>
      <c r="T6601" s="439" t="s">
        <v>145</v>
      </c>
      <c r="U6601" s="446" t="s">
        <v>14132</v>
      </c>
      <c r="AA6601" s="218"/>
    </row>
    <row r="6602" spans="1:27" x14ac:dyDescent="0.25">
      <c r="A6602" s="420"/>
      <c r="B6602" s="422"/>
      <c r="C6602" s="420"/>
      <c r="D6602" s="418"/>
      <c r="E6602" s="120">
        <v>15</v>
      </c>
      <c r="F6602" s="133" t="s">
        <v>4407</v>
      </c>
      <c r="G6602" s="436"/>
      <c r="H6602" s="428"/>
      <c r="I6602" s="453"/>
      <c r="J6602" s="426"/>
      <c r="K6602" s="426"/>
      <c r="L6602" s="187">
        <v>2200</v>
      </c>
      <c r="N6602" s="91">
        <f t="shared" si="2997"/>
        <v>33</v>
      </c>
      <c r="O6602" s="411">
        <f t="shared" si="3001"/>
        <v>-33</v>
      </c>
      <c r="P6602" s="132" t="s">
        <v>601</v>
      </c>
      <c r="Q6602" s="232"/>
      <c r="R6602" s="411"/>
      <c r="T6602" s="441"/>
      <c r="U6602" s="447"/>
      <c r="AA6602" s="218"/>
    </row>
    <row r="6603" spans="1:27" ht="24" x14ac:dyDescent="0.25">
      <c r="A6603" s="405">
        <v>3005173</v>
      </c>
      <c r="B6603" s="406">
        <v>42669</v>
      </c>
      <c r="C6603" s="405" t="s">
        <v>63</v>
      </c>
      <c r="D6603" s="401" t="s">
        <v>14133</v>
      </c>
      <c r="E6603" s="120">
        <v>300</v>
      </c>
      <c r="F6603" s="133" t="s">
        <v>341</v>
      </c>
      <c r="G6603" s="404" t="s">
        <v>7486</v>
      </c>
      <c r="H6603" s="411">
        <v>570</v>
      </c>
      <c r="I6603" s="399">
        <v>0</v>
      </c>
      <c r="J6603" s="396">
        <f>-((H6603*0.022)+0.3)</f>
        <v>-12.84</v>
      </c>
      <c r="K6603" s="396">
        <f>SUM(H6603:J6603)</f>
        <v>557.16</v>
      </c>
      <c r="L6603" s="187">
        <v>1030</v>
      </c>
      <c r="M6603" s="187">
        <v>59.87</v>
      </c>
      <c r="N6603" s="91">
        <f t="shared" si="2997"/>
        <v>368.87</v>
      </c>
      <c r="O6603" s="411">
        <f t="shared" si="3001"/>
        <v>188.28999999999996</v>
      </c>
      <c r="P6603" s="132" t="s">
        <v>183</v>
      </c>
      <c r="Q6603" s="232"/>
      <c r="R6603" s="411"/>
      <c r="T6603" s="134" t="s">
        <v>145</v>
      </c>
      <c r="U6603" s="267" t="s">
        <v>14134</v>
      </c>
      <c r="W6603" s="153" t="s">
        <v>14135</v>
      </c>
      <c r="AA6603" s="218"/>
    </row>
    <row r="6604" spans="1:27" ht="24" x14ac:dyDescent="0.25">
      <c r="A6604" s="405">
        <v>3005174</v>
      </c>
      <c r="B6604" s="406">
        <v>42669</v>
      </c>
      <c r="C6604" s="405" t="s">
        <v>237</v>
      </c>
      <c r="D6604" s="401" t="s">
        <v>14136</v>
      </c>
      <c r="E6604" s="120">
        <v>100</v>
      </c>
      <c r="F6604" s="133" t="s">
        <v>3301</v>
      </c>
      <c r="G6604" s="404" t="s">
        <v>7486</v>
      </c>
      <c r="H6604" s="411">
        <v>115</v>
      </c>
      <c r="I6604" s="397">
        <f t="shared" ref="I6604" si="3012">-(H6604*0.15)</f>
        <v>-17.25</v>
      </c>
      <c r="J6604" s="258">
        <v>0</v>
      </c>
      <c r="K6604" s="90">
        <f>SUM(H6604:J6604)</f>
        <v>97.75</v>
      </c>
      <c r="L6604" s="187">
        <v>754</v>
      </c>
      <c r="M6604" s="187">
        <v>22.64</v>
      </c>
      <c r="N6604" s="91">
        <f t="shared" si="2997"/>
        <v>98.04</v>
      </c>
      <c r="O6604" s="411">
        <f t="shared" si="3001"/>
        <v>-0.29000000000000625</v>
      </c>
      <c r="P6604" s="132" t="s">
        <v>601</v>
      </c>
      <c r="Q6604" s="232"/>
      <c r="R6604" s="411"/>
      <c r="T6604" s="134" t="s">
        <v>145</v>
      </c>
      <c r="U6604" s="267" t="s">
        <v>14137</v>
      </c>
      <c r="AA6604" s="218"/>
    </row>
    <row r="6605" spans="1:27" ht="24" x14ac:dyDescent="0.25">
      <c r="A6605" s="405">
        <v>3005175</v>
      </c>
      <c r="B6605" s="406">
        <v>42669</v>
      </c>
      <c r="C6605" s="405" t="s">
        <v>237</v>
      </c>
      <c r="D6605" s="401" t="s">
        <v>14138</v>
      </c>
      <c r="E6605" s="120">
        <v>75</v>
      </c>
      <c r="F6605" s="133" t="s">
        <v>431</v>
      </c>
      <c r="G6605" s="404" t="s">
        <v>7486</v>
      </c>
      <c r="H6605" s="411">
        <v>153.82</v>
      </c>
      <c r="I6605" s="397">
        <f t="shared" ref="I6605" si="3013">-(H6605*0.15)</f>
        <v>-23.072999999999997</v>
      </c>
      <c r="J6605" s="258">
        <v>0</v>
      </c>
      <c r="K6605" s="90">
        <f>SUM(H6605:J6605)</f>
        <v>130.74699999999999</v>
      </c>
      <c r="L6605" s="131">
        <v>950</v>
      </c>
      <c r="M6605" s="187">
        <v>22.69</v>
      </c>
      <c r="N6605" s="91">
        <f t="shared" si="2997"/>
        <v>93.94</v>
      </c>
      <c r="O6605" s="411">
        <f t="shared" si="3001"/>
        <v>36.806999999999988</v>
      </c>
      <c r="P6605" s="132" t="s">
        <v>52</v>
      </c>
      <c r="Q6605" s="232"/>
      <c r="R6605" s="411"/>
      <c r="T6605" s="134" t="s">
        <v>145</v>
      </c>
      <c r="U6605" s="267" t="s">
        <v>14139</v>
      </c>
      <c r="AA6605" s="218"/>
    </row>
    <row r="6606" spans="1:27" ht="24" x14ac:dyDescent="0.25">
      <c r="A6606" s="405">
        <v>3005176</v>
      </c>
      <c r="B6606" s="406">
        <v>42669</v>
      </c>
      <c r="C6606" s="405" t="s">
        <v>42</v>
      </c>
      <c r="D6606" s="401" t="s">
        <v>14140</v>
      </c>
      <c r="E6606" s="120">
        <v>200</v>
      </c>
      <c r="F6606" s="133" t="s">
        <v>582</v>
      </c>
      <c r="G6606" s="404" t="s">
        <v>7486</v>
      </c>
      <c r="H6606" s="411">
        <v>215.87</v>
      </c>
      <c r="I6606" s="89">
        <f>-(H6606*0.09)</f>
        <v>-19.4283</v>
      </c>
      <c r="J6606" s="258">
        <f t="shared" ref="J6606" si="3014">-((H6606*0.019)+0.3)</f>
        <v>-4.4015300000000002</v>
      </c>
      <c r="K6606" s="90">
        <f t="shared" ref="K6606" si="3015">SUM(H6606:J6606)</f>
        <v>192.04016999999999</v>
      </c>
      <c r="L6606" s="131">
        <v>538.08000000000004</v>
      </c>
      <c r="M6606" s="187">
        <v>21.14</v>
      </c>
      <c r="N6606" s="91">
        <f t="shared" si="2997"/>
        <v>128.75600000000003</v>
      </c>
      <c r="O6606" s="411">
        <f t="shared" si="3001"/>
        <v>63.284169999999961</v>
      </c>
      <c r="P6606" s="132" t="s">
        <v>86</v>
      </c>
      <c r="Q6606" s="232"/>
      <c r="R6606" s="411"/>
      <c r="T6606" s="134" t="s">
        <v>145</v>
      </c>
      <c r="U6606" s="267" t="s">
        <v>14141</v>
      </c>
      <c r="AA6606" s="218"/>
    </row>
    <row r="6607" spans="1:27" ht="24" x14ac:dyDescent="0.25">
      <c r="A6607" s="405">
        <v>3005177</v>
      </c>
      <c r="B6607" s="406">
        <v>42669</v>
      </c>
      <c r="C6607" s="405" t="s">
        <v>237</v>
      </c>
      <c r="D6607" s="401" t="s">
        <v>14142</v>
      </c>
      <c r="E6607" s="120">
        <v>175</v>
      </c>
      <c r="F6607" s="133" t="s">
        <v>247</v>
      </c>
      <c r="G6607" s="404" t="s">
        <v>7486</v>
      </c>
      <c r="H6607" s="411">
        <v>140</v>
      </c>
      <c r="I6607" s="397">
        <f t="shared" ref="I6607" si="3016">-(H6607*0.15)</f>
        <v>-21</v>
      </c>
      <c r="J6607" s="258">
        <v>0</v>
      </c>
      <c r="K6607" s="90">
        <f>SUM(H6607:J6607)</f>
        <v>119</v>
      </c>
      <c r="L6607" s="131">
        <v>424</v>
      </c>
      <c r="N6607" s="91">
        <f t="shared" si="2997"/>
        <v>74.2</v>
      </c>
      <c r="O6607" s="411">
        <f t="shared" si="3001"/>
        <v>44.8</v>
      </c>
      <c r="P6607" s="132" t="s">
        <v>52</v>
      </c>
      <c r="Q6607" s="232"/>
      <c r="R6607" s="411"/>
      <c r="T6607" s="134" t="s">
        <v>145</v>
      </c>
      <c r="U6607" s="267" t="s">
        <v>14143</v>
      </c>
      <c r="AA6607" s="218"/>
    </row>
    <row r="6608" spans="1:27" ht="24" x14ac:dyDescent="0.25">
      <c r="A6608" s="405">
        <v>3005178</v>
      </c>
      <c r="B6608" s="406">
        <v>42669</v>
      </c>
      <c r="C6608" s="405" t="s">
        <v>237</v>
      </c>
      <c r="D6608" s="401" t="s">
        <v>14144</v>
      </c>
      <c r="E6608" s="120">
        <v>50</v>
      </c>
      <c r="F6608" s="133" t="s">
        <v>431</v>
      </c>
      <c r="G6608" s="404" t="s">
        <v>7486</v>
      </c>
      <c r="H6608" s="411">
        <v>116.23</v>
      </c>
      <c r="I6608" s="397">
        <f t="shared" ref="I6608" si="3017">-(H6608*0.15)</f>
        <v>-17.4345</v>
      </c>
      <c r="J6608" s="258">
        <v>0</v>
      </c>
      <c r="K6608" s="90">
        <f>SUM(H6608:J6608)</f>
        <v>98.795500000000004</v>
      </c>
      <c r="L6608" s="131">
        <v>950</v>
      </c>
      <c r="M6608" s="187">
        <v>30.67</v>
      </c>
      <c r="N6608" s="91">
        <f t="shared" si="2997"/>
        <v>78.17</v>
      </c>
      <c r="O6608" s="411">
        <f t="shared" si="3001"/>
        <v>20.625500000000002</v>
      </c>
      <c r="P6608" s="132" t="s">
        <v>52</v>
      </c>
      <c r="Q6608" s="232"/>
      <c r="R6608" s="411"/>
      <c r="T6608" s="134" t="s">
        <v>145</v>
      </c>
      <c r="U6608" s="267" t="s">
        <v>14145</v>
      </c>
      <c r="AA6608" s="218"/>
    </row>
    <row r="6609" spans="1:27" x14ac:dyDescent="0.25">
      <c r="A6609" s="405">
        <v>3005179</v>
      </c>
      <c r="B6609" s="406">
        <v>42669</v>
      </c>
      <c r="C6609" s="405" t="s">
        <v>237</v>
      </c>
      <c r="D6609" s="401" t="s">
        <v>14146</v>
      </c>
      <c r="E6609" s="120">
        <v>500</v>
      </c>
      <c r="F6609" s="133" t="s">
        <v>222</v>
      </c>
      <c r="G6609" s="404" t="s">
        <v>7486</v>
      </c>
      <c r="H6609" s="411">
        <v>690.9</v>
      </c>
      <c r="I6609" s="397">
        <f t="shared" ref="I6609" si="3018">-(H6609*0.15)</f>
        <v>-103.63499999999999</v>
      </c>
      <c r="J6609" s="258">
        <v>0</v>
      </c>
      <c r="K6609" s="90">
        <f>SUM(H6609:J6609)</f>
        <v>587.26499999999999</v>
      </c>
      <c r="L6609" s="131">
        <v>670</v>
      </c>
      <c r="M6609" s="187">
        <v>194.9</v>
      </c>
      <c r="N6609" s="91">
        <f t="shared" si="2997"/>
        <v>529.9</v>
      </c>
      <c r="O6609" s="411">
        <f t="shared" si="3001"/>
        <v>57.365000000000009</v>
      </c>
      <c r="P6609" s="132" t="s">
        <v>86</v>
      </c>
      <c r="Q6609" s="232"/>
      <c r="R6609" s="411"/>
      <c r="T6609" s="134" t="s">
        <v>7260</v>
      </c>
      <c r="U6609" s="267" t="s">
        <v>14147</v>
      </c>
      <c r="V6609" s="133" t="s">
        <v>55</v>
      </c>
      <c r="AA6609" s="218"/>
    </row>
    <row r="6610" spans="1:27" ht="24" x14ac:dyDescent="0.25">
      <c r="A6610" s="405">
        <v>3005180</v>
      </c>
      <c r="B6610" s="406">
        <v>42669</v>
      </c>
      <c r="C6610" s="405" t="s">
        <v>237</v>
      </c>
      <c r="D6610" s="401" t="s">
        <v>14148</v>
      </c>
      <c r="E6610" s="120">
        <v>175</v>
      </c>
      <c r="F6610" s="133" t="s">
        <v>247</v>
      </c>
      <c r="G6610" s="404" t="s">
        <v>7486</v>
      </c>
      <c r="H6610" s="411">
        <v>140</v>
      </c>
      <c r="I6610" s="397">
        <f t="shared" ref="I6610" si="3019">-(H6610*0.15)</f>
        <v>-21</v>
      </c>
      <c r="J6610" s="258">
        <v>0</v>
      </c>
      <c r="K6610" s="90">
        <f>SUM(H6610:J6610)</f>
        <v>119</v>
      </c>
      <c r="L6610" s="131">
        <v>424</v>
      </c>
      <c r="N6610" s="91">
        <f t="shared" si="2997"/>
        <v>74.2</v>
      </c>
      <c r="O6610" s="411">
        <f t="shared" si="3001"/>
        <v>44.8</v>
      </c>
      <c r="P6610" s="132" t="s">
        <v>52</v>
      </c>
      <c r="Q6610" s="232"/>
      <c r="R6610" s="411"/>
      <c r="T6610" s="134" t="s">
        <v>145</v>
      </c>
      <c r="U6610" s="267" t="s">
        <v>14149</v>
      </c>
      <c r="AA6610" s="218"/>
    </row>
    <row r="6611" spans="1:27" x14ac:dyDescent="0.25">
      <c r="A6611" s="419">
        <v>3005181</v>
      </c>
      <c r="B6611" s="421">
        <v>42669</v>
      </c>
      <c r="C6611" s="419" t="s">
        <v>237</v>
      </c>
      <c r="D6611" s="417" t="s">
        <v>14150</v>
      </c>
      <c r="E6611" s="120">
        <v>50</v>
      </c>
      <c r="F6611" s="133" t="s">
        <v>3440</v>
      </c>
      <c r="G6611" s="434" t="s">
        <v>7486</v>
      </c>
      <c r="H6611" s="427">
        <v>150.47999999999999</v>
      </c>
      <c r="I6611" s="452">
        <f>-(H6611*0.09)</f>
        <v>-13.543199999999999</v>
      </c>
      <c r="J6611" s="425">
        <f t="shared" ref="J6611" si="3020">-((H6611*0.019)+0.3)</f>
        <v>-3.1591199999999997</v>
      </c>
      <c r="K6611" s="425">
        <f t="shared" ref="K6611" si="3021">SUM(H6611:J6611)</f>
        <v>133.77768</v>
      </c>
      <c r="L6611" s="187">
        <v>944</v>
      </c>
      <c r="M6611" s="187">
        <v>27.7</v>
      </c>
      <c r="N6611" s="91">
        <f t="shared" si="2997"/>
        <v>74.900000000000006</v>
      </c>
      <c r="O6611" s="411">
        <f t="shared" si="3001"/>
        <v>58.877679999999998</v>
      </c>
      <c r="P6611" s="132" t="s">
        <v>601</v>
      </c>
      <c r="Q6611" s="232"/>
      <c r="R6611" s="411"/>
      <c r="T6611" s="439" t="s">
        <v>145</v>
      </c>
      <c r="U6611" s="446" t="s">
        <v>14151</v>
      </c>
      <c r="AA6611" s="218"/>
    </row>
    <row r="6612" spans="1:27" x14ac:dyDescent="0.25">
      <c r="A6612" s="420"/>
      <c r="B6612" s="422"/>
      <c r="C6612" s="420"/>
      <c r="D6612" s="418"/>
      <c r="E6612" s="120">
        <v>50</v>
      </c>
      <c r="F6612" s="133" t="s">
        <v>3442</v>
      </c>
      <c r="G6612" s="436"/>
      <c r="H6612" s="428"/>
      <c r="I6612" s="453"/>
      <c r="J6612" s="426"/>
      <c r="K6612" s="426"/>
      <c r="L6612" s="187">
        <v>954</v>
      </c>
      <c r="N6612" s="91">
        <f t="shared" si="2997"/>
        <v>47.7</v>
      </c>
      <c r="O6612" s="411">
        <f t="shared" si="3001"/>
        <v>-47.7</v>
      </c>
      <c r="P6612" s="132" t="s">
        <v>601</v>
      </c>
      <c r="Q6612" s="232"/>
      <c r="R6612" s="411"/>
      <c r="T6612" s="441"/>
      <c r="U6612" s="447"/>
      <c r="AA6612" s="218"/>
    </row>
    <row r="6613" spans="1:27" ht="24" x14ac:dyDescent="0.25">
      <c r="A6613" s="405">
        <v>3005182</v>
      </c>
      <c r="B6613" s="406">
        <v>42669</v>
      </c>
      <c r="C6613" s="405" t="s">
        <v>42</v>
      </c>
      <c r="D6613" s="401" t="s">
        <v>14152</v>
      </c>
      <c r="E6613" s="120">
        <v>100</v>
      </c>
      <c r="F6613" s="133" t="s">
        <v>431</v>
      </c>
      <c r="G6613" s="404" t="s">
        <v>7486</v>
      </c>
      <c r="H6613" s="411">
        <v>200.08</v>
      </c>
      <c r="I6613" s="89">
        <f>-(H6613*0.09)</f>
        <v>-18.007200000000001</v>
      </c>
      <c r="J6613" s="258">
        <f t="shared" ref="J6613" si="3022">-((H6613*0.019)+0.3)</f>
        <v>-4.1015199999999998</v>
      </c>
      <c r="K6613" s="90">
        <f t="shared" ref="K6613" si="3023">SUM(H6613:J6613)</f>
        <v>177.97128000000001</v>
      </c>
      <c r="L6613" s="131">
        <v>950</v>
      </c>
      <c r="M6613" s="187">
        <v>18.8</v>
      </c>
      <c r="N6613" s="91">
        <f t="shared" si="2997"/>
        <v>113.8</v>
      </c>
      <c r="O6613" s="411">
        <f t="shared" si="3001"/>
        <v>64.17128000000001</v>
      </c>
      <c r="P6613" s="132" t="s">
        <v>52</v>
      </c>
      <c r="Q6613" s="232"/>
      <c r="R6613" s="411"/>
      <c r="T6613" s="134" t="s">
        <v>145</v>
      </c>
      <c r="U6613" s="267" t="s">
        <v>14153</v>
      </c>
      <c r="AA6613" s="218"/>
    </row>
    <row r="6614" spans="1:27" ht="24" x14ac:dyDescent="0.25">
      <c r="A6614" s="405">
        <v>3005183</v>
      </c>
      <c r="B6614" s="406">
        <v>42669</v>
      </c>
      <c r="C6614" s="405" t="s">
        <v>42</v>
      </c>
      <c r="D6614" s="401" t="s">
        <v>14154</v>
      </c>
      <c r="E6614" s="120">
        <v>70</v>
      </c>
      <c r="F6614" s="133" t="s">
        <v>829</v>
      </c>
      <c r="G6614" s="404" t="s">
        <v>7486</v>
      </c>
      <c r="H6614" s="411">
        <v>86.9</v>
      </c>
      <c r="I6614" s="89">
        <f>-(H6614*0.09)</f>
        <v>-7.8210000000000006</v>
      </c>
      <c r="J6614" s="258">
        <f t="shared" ref="J6614" si="3024">-((H6614*0.019)+0.3)</f>
        <v>-1.9511000000000001</v>
      </c>
      <c r="K6614" s="90">
        <f t="shared" ref="K6614" si="3025">SUM(H6614:J6614)</f>
        <v>77.127900000000011</v>
      </c>
      <c r="L6614" s="131">
        <v>510</v>
      </c>
      <c r="N6614" s="91">
        <f t="shared" si="2997"/>
        <v>35.700000000000003</v>
      </c>
      <c r="O6614" s="411">
        <f t="shared" si="3001"/>
        <v>41.427900000000008</v>
      </c>
      <c r="P6614" s="132" t="s">
        <v>52</v>
      </c>
      <c r="Q6614" s="232"/>
      <c r="R6614" s="411"/>
      <c r="T6614" s="134" t="s">
        <v>145</v>
      </c>
      <c r="U6614" s="266">
        <v>680483360704</v>
      </c>
      <c r="AA6614" s="218"/>
    </row>
    <row r="6615" spans="1:27" ht="24" x14ac:dyDescent="0.25">
      <c r="A6615" s="405">
        <v>3005184</v>
      </c>
      <c r="B6615" s="406">
        <v>42669</v>
      </c>
      <c r="C6615" s="405" t="s">
        <v>237</v>
      </c>
      <c r="D6615" s="401" t="s">
        <v>14155</v>
      </c>
      <c r="E6615" s="120">
        <v>150</v>
      </c>
      <c r="F6615" s="133" t="s">
        <v>165</v>
      </c>
      <c r="G6615" s="404" t="s">
        <v>7486</v>
      </c>
      <c r="H6615" s="411">
        <v>129.36000000000001</v>
      </c>
      <c r="I6615" s="397">
        <f t="shared" ref="I6615" si="3026">-(H6615*0.15)</f>
        <v>-19.404</v>
      </c>
      <c r="J6615" s="258">
        <v>0</v>
      </c>
      <c r="K6615" s="90">
        <f>SUM(H6615:J6615)</f>
        <v>109.95600000000002</v>
      </c>
      <c r="L6615" s="131">
        <v>375</v>
      </c>
      <c r="M6615" s="187">
        <v>33.450000000000003</v>
      </c>
      <c r="N6615" s="91">
        <f t="shared" si="2997"/>
        <v>89.7</v>
      </c>
      <c r="O6615" s="411">
        <f t="shared" si="3001"/>
        <v>20.256000000000014</v>
      </c>
      <c r="P6615" s="132" t="s">
        <v>86</v>
      </c>
      <c r="Q6615" s="232"/>
      <c r="R6615" s="411"/>
      <c r="T6615" s="134" t="s">
        <v>145</v>
      </c>
      <c r="U6615" s="267" t="s">
        <v>14156</v>
      </c>
      <c r="AA6615" s="218"/>
    </row>
    <row r="6616" spans="1:27" ht="24" x14ac:dyDescent="0.25">
      <c r="A6616" s="405">
        <v>3005185</v>
      </c>
      <c r="B6616" s="406">
        <v>42669</v>
      </c>
      <c r="C6616" s="405" t="s">
        <v>63</v>
      </c>
      <c r="D6616" s="401" t="s">
        <v>14157</v>
      </c>
      <c r="E6616" s="120">
        <v>130</v>
      </c>
      <c r="F6616" s="133" t="s">
        <v>70</v>
      </c>
      <c r="G6616" s="404" t="s">
        <v>7486</v>
      </c>
      <c r="H6616" s="411">
        <v>351</v>
      </c>
      <c r="I6616" s="399">
        <v>0</v>
      </c>
      <c r="J6616" s="396">
        <f>-((H6616*0.022)+0.3)</f>
        <v>-8.0220000000000002</v>
      </c>
      <c r="K6616" s="396">
        <f>SUM(H6616:J6616)</f>
        <v>342.97800000000001</v>
      </c>
      <c r="L6616" s="131">
        <v>1240</v>
      </c>
      <c r="M6616" s="187">
        <v>61.98</v>
      </c>
      <c r="N6616" s="91">
        <f t="shared" si="2997"/>
        <v>223.18</v>
      </c>
      <c r="O6616" s="411">
        <f t="shared" si="3001"/>
        <v>119.798</v>
      </c>
      <c r="P6616" s="132" t="s">
        <v>52</v>
      </c>
      <c r="Q6616" s="232"/>
      <c r="R6616" s="411"/>
      <c r="T6616" s="134" t="s">
        <v>145</v>
      </c>
      <c r="U6616" s="267" t="s">
        <v>14158</v>
      </c>
      <c r="W6616" s="153" t="s">
        <v>14159</v>
      </c>
      <c r="AA6616" s="218"/>
    </row>
    <row r="6617" spans="1:27" x14ac:dyDescent="0.25">
      <c r="A6617" s="405">
        <v>3005186</v>
      </c>
      <c r="B6617" s="406">
        <v>42669</v>
      </c>
      <c r="C6617" s="405" t="s">
        <v>56</v>
      </c>
      <c r="D6617" s="401" t="s">
        <v>3382</v>
      </c>
      <c r="E6617" s="120">
        <v>745</v>
      </c>
      <c r="F6617" s="133" t="s">
        <v>14160</v>
      </c>
      <c r="G6617" s="242" t="s">
        <v>7486</v>
      </c>
      <c r="H6617" s="411">
        <v>1669.8</v>
      </c>
      <c r="I6617" s="411">
        <v>0</v>
      </c>
      <c r="J6617" s="411">
        <v>0</v>
      </c>
      <c r="K6617" s="396">
        <f>SUM(H6617:J6617)</f>
        <v>1669.8</v>
      </c>
      <c r="L6617" s="131">
        <v>1575</v>
      </c>
      <c r="M6617" s="187">
        <v>210</v>
      </c>
      <c r="N6617" s="91">
        <f t="shared" si="2997"/>
        <v>1383.375</v>
      </c>
      <c r="O6617" s="411">
        <f t="shared" si="3001"/>
        <v>286.42499999999995</v>
      </c>
      <c r="P6617" s="132" t="s">
        <v>52</v>
      </c>
      <c r="Q6617" s="232"/>
      <c r="R6617" s="411"/>
      <c r="T6617" s="134" t="s">
        <v>463</v>
      </c>
      <c r="U6617" s="267" t="s">
        <v>14161</v>
      </c>
      <c r="V6617" s="133" t="s">
        <v>14162</v>
      </c>
      <c r="AA6617" s="218"/>
    </row>
    <row r="6618" spans="1:27" ht="24" x14ac:dyDescent="0.25">
      <c r="A6618" s="405">
        <v>3005187</v>
      </c>
      <c r="B6618" s="406">
        <v>42669</v>
      </c>
      <c r="C6618" s="405" t="s">
        <v>78</v>
      </c>
      <c r="D6618" s="401" t="s">
        <v>14163</v>
      </c>
      <c r="E6618" s="120">
        <v>170</v>
      </c>
      <c r="F6618" s="133" t="s">
        <v>288</v>
      </c>
      <c r="G6618" s="404" t="s">
        <v>7486</v>
      </c>
      <c r="H6618" s="411">
        <v>320</v>
      </c>
      <c r="I6618" s="411">
        <v>0</v>
      </c>
      <c r="J6618" s="258">
        <f t="shared" ref="J6618" si="3027">-((H6618*0.019)+0.3)</f>
        <v>-6.38</v>
      </c>
      <c r="K6618" s="396">
        <f>SUM(H6618:J6618)</f>
        <v>313.62</v>
      </c>
      <c r="L6618" s="131">
        <v>900</v>
      </c>
      <c r="M6618" s="187">
        <v>25.64</v>
      </c>
      <c r="N6618" s="91">
        <f t="shared" si="2997"/>
        <v>178.64</v>
      </c>
      <c r="O6618" s="411">
        <f t="shared" si="3001"/>
        <v>134.98000000000002</v>
      </c>
      <c r="P6618" s="132" t="s">
        <v>52</v>
      </c>
      <c r="Q6618" s="232"/>
      <c r="R6618" s="411"/>
      <c r="T6618" s="134" t="s">
        <v>145</v>
      </c>
      <c r="U6618" s="267" t="s">
        <v>14164</v>
      </c>
      <c r="W6618" s="153" t="s">
        <v>14165</v>
      </c>
      <c r="AA6618" s="218"/>
    </row>
    <row r="6619" spans="1:27" x14ac:dyDescent="0.25">
      <c r="A6619" s="405">
        <v>3005188</v>
      </c>
      <c r="B6619" s="406">
        <v>42669</v>
      </c>
      <c r="C6619" s="405" t="s">
        <v>141</v>
      </c>
      <c r="D6619" s="401" t="s">
        <v>678</v>
      </c>
      <c r="E6619" s="120">
        <v>2000</v>
      </c>
      <c r="F6619" s="133" t="s">
        <v>207</v>
      </c>
      <c r="G6619" s="404" t="s">
        <v>7486</v>
      </c>
      <c r="H6619" s="411">
        <v>1720</v>
      </c>
      <c r="I6619" s="399">
        <v>0</v>
      </c>
      <c r="J6619" s="396">
        <f>-((H6619*0.0325)+0.3)</f>
        <v>-56.199999999999996</v>
      </c>
      <c r="K6619" s="396">
        <f>SUM(H6619:J6619)</f>
        <v>1663.8</v>
      </c>
      <c r="L6619" s="187">
        <v>569.07000000000005</v>
      </c>
      <c r="M6619" s="187">
        <v>107.83</v>
      </c>
      <c r="N6619" s="91">
        <f t="shared" si="2997"/>
        <v>1245.97</v>
      </c>
      <c r="O6619" s="411">
        <f t="shared" si="3001"/>
        <v>417.82999999999993</v>
      </c>
      <c r="P6619" s="132" t="s">
        <v>46</v>
      </c>
      <c r="Q6619" s="232"/>
      <c r="R6619" s="411"/>
      <c r="T6619" s="134" t="s">
        <v>463</v>
      </c>
      <c r="U6619" s="267" t="s">
        <v>14166</v>
      </c>
      <c r="AA6619" s="218">
        <v>10</v>
      </c>
    </row>
    <row r="6620" spans="1:27" x14ac:dyDescent="0.25">
      <c r="A6620" s="405">
        <v>3005189</v>
      </c>
      <c r="B6620" s="406">
        <v>42669</v>
      </c>
      <c r="C6620" s="405" t="s">
        <v>42</v>
      </c>
      <c r="D6620" s="401" t="s">
        <v>14167</v>
      </c>
      <c r="E6620" s="120">
        <v>1000</v>
      </c>
      <c r="F6620" s="133" t="s">
        <v>832</v>
      </c>
      <c r="G6620" s="404" t="s">
        <v>7486</v>
      </c>
      <c r="H6620" s="411">
        <v>731.5</v>
      </c>
      <c r="I6620" s="89">
        <f t="shared" ref="I6620:I6625" si="3028">-(H6620*0.09)</f>
        <v>-65.834999999999994</v>
      </c>
      <c r="J6620" s="258">
        <f t="shared" ref="J6620" si="3029">-((H6620*0.019)+0.3)</f>
        <v>-14.198500000000001</v>
      </c>
      <c r="K6620" s="90">
        <f t="shared" ref="K6620" si="3030">SUM(H6620:J6620)</f>
        <v>651.4665</v>
      </c>
      <c r="L6620" s="187">
        <v>520</v>
      </c>
      <c r="M6620" s="187">
        <v>123</v>
      </c>
      <c r="N6620" s="91">
        <f t="shared" si="2997"/>
        <v>643</v>
      </c>
      <c r="O6620" s="411">
        <f t="shared" si="3001"/>
        <v>8.4664999999999964</v>
      </c>
      <c r="P6620" s="132" t="s">
        <v>235</v>
      </c>
      <c r="Q6620" s="232"/>
      <c r="R6620" s="411"/>
      <c r="T6620" s="134" t="s">
        <v>565</v>
      </c>
      <c r="U6620" s="267" t="s">
        <v>14168</v>
      </c>
      <c r="AA6620" s="218"/>
    </row>
    <row r="6621" spans="1:27" ht="24" x14ac:dyDescent="0.25">
      <c r="A6621" s="405">
        <v>3005190</v>
      </c>
      <c r="B6621" s="406">
        <v>42669</v>
      </c>
      <c r="C6621" s="405" t="s">
        <v>42</v>
      </c>
      <c r="D6621" s="401" t="s">
        <v>14169</v>
      </c>
      <c r="E6621" s="120">
        <v>50</v>
      </c>
      <c r="F6621" s="133" t="s">
        <v>288</v>
      </c>
      <c r="G6621" s="404" t="s">
        <v>7486</v>
      </c>
      <c r="H6621" s="411">
        <v>99</v>
      </c>
      <c r="I6621" s="89">
        <f t="shared" si="3028"/>
        <v>-8.91</v>
      </c>
      <c r="J6621" s="258">
        <f t="shared" ref="J6621" si="3031">-((H6621*0.019)+0.3)</f>
        <v>-2.181</v>
      </c>
      <c r="K6621" s="90">
        <f t="shared" ref="K6621" si="3032">SUM(H6621:J6621)</f>
        <v>87.909000000000006</v>
      </c>
      <c r="L6621" s="131">
        <v>900</v>
      </c>
      <c r="M6621" s="187">
        <v>21.42</v>
      </c>
      <c r="N6621" s="91">
        <f t="shared" si="2997"/>
        <v>66.42</v>
      </c>
      <c r="O6621" s="411">
        <f t="shared" si="3001"/>
        <v>21.489000000000004</v>
      </c>
      <c r="P6621" s="132" t="s">
        <v>52</v>
      </c>
      <c r="Q6621" s="232"/>
      <c r="R6621" s="411"/>
      <c r="T6621" s="134" t="s">
        <v>145</v>
      </c>
      <c r="U6621" s="267" t="s">
        <v>14170</v>
      </c>
      <c r="AA6621" s="218"/>
    </row>
    <row r="6622" spans="1:27" ht="24" x14ac:dyDescent="0.25">
      <c r="A6622" s="405">
        <v>3005191</v>
      </c>
      <c r="B6622" s="406">
        <v>42670</v>
      </c>
      <c r="C6622" s="405" t="s">
        <v>42</v>
      </c>
      <c r="D6622" s="401" t="s">
        <v>14171</v>
      </c>
      <c r="E6622" s="120">
        <v>1000</v>
      </c>
      <c r="F6622" s="133" t="s">
        <v>2162</v>
      </c>
      <c r="G6622" s="404" t="s">
        <v>7486</v>
      </c>
      <c r="H6622" s="411">
        <v>583.70000000000005</v>
      </c>
      <c r="I6622" s="89">
        <f t="shared" si="3028"/>
        <v>-52.533000000000001</v>
      </c>
      <c r="J6622" s="258">
        <f t="shared" ref="J6622" si="3033">-((H6622*0.019)+0.3)</f>
        <v>-11.390300000000002</v>
      </c>
      <c r="K6622" s="90">
        <f t="shared" ref="K6622" si="3034">SUM(H6622:J6622)</f>
        <v>519.77670000000001</v>
      </c>
      <c r="L6622" s="131">
        <v>300</v>
      </c>
      <c r="M6622" s="187">
        <f>37.08+37.08</f>
        <v>74.16</v>
      </c>
      <c r="N6622" s="91">
        <f t="shared" si="2997"/>
        <v>374.15999999999997</v>
      </c>
      <c r="O6622" s="411">
        <f t="shared" si="3001"/>
        <v>145.61670000000004</v>
      </c>
      <c r="P6622" s="132" t="s">
        <v>52</v>
      </c>
      <c r="Q6622" s="232"/>
      <c r="R6622" s="411"/>
      <c r="T6622" s="134" t="s">
        <v>145</v>
      </c>
      <c r="U6622" s="266" t="s">
        <v>14172</v>
      </c>
      <c r="AA6622" s="218"/>
    </row>
    <row r="6623" spans="1:27" ht="24" x14ac:dyDescent="0.25">
      <c r="A6623" s="405">
        <v>3005192</v>
      </c>
      <c r="B6623" s="406">
        <v>42670</v>
      </c>
      <c r="C6623" s="405" t="s">
        <v>42</v>
      </c>
      <c r="D6623" s="401" t="s">
        <v>14173</v>
      </c>
      <c r="E6623" s="120">
        <v>100</v>
      </c>
      <c r="F6623" s="133" t="s">
        <v>5466</v>
      </c>
      <c r="G6623" s="404" t="s">
        <v>7486</v>
      </c>
      <c r="H6623" s="411">
        <v>249.9</v>
      </c>
      <c r="I6623" s="89">
        <f t="shared" si="3028"/>
        <v>-22.491</v>
      </c>
      <c r="J6623" s="258">
        <f t="shared" ref="J6623" si="3035">-((H6623*0.019)+0.3)</f>
        <v>-5.0480999999999998</v>
      </c>
      <c r="K6623" s="90">
        <f t="shared" ref="K6623" si="3036">SUM(H6623:J6623)</f>
        <v>222.36089999999999</v>
      </c>
      <c r="L6623" s="187">
        <v>1440</v>
      </c>
      <c r="M6623" s="187">
        <v>19.04</v>
      </c>
      <c r="N6623" s="91">
        <f t="shared" si="2997"/>
        <v>163.04</v>
      </c>
      <c r="O6623" s="411">
        <f t="shared" si="3001"/>
        <v>59.320899999999995</v>
      </c>
      <c r="P6623" s="132" t="s">
        <v>601</v>
      </c>
      <c r="Q6623" s="232"/>
      <c r="R6623" s="411"/>
      <c r="T6623" s="134" t="s">
        <v>145</v>
      </c>
      <c r="U6623" s="267" t="s">
        <v>14174</v>
      </c>
      <c r="AA6623" s="218"/>
    </row>
    <row r="6624" spans="1:27" ht="24" x14ac:dyDescent="0.25">
      <c r="A6624" s="405">
        <v>3005193</v>
      </c>
      <c r="B6624" s="406">
        <v>42670</v>
      </c>
      <c r="C6624" s="405" t="s">
        <v>42</v>
      </c>
      <c r="D6624" s="401" t="s">
        <v>14175</v>
      </c>
      <c r="E6624" s="120">
        <v>140</v>
      </c>
      <c r="F6624" s="133" t="s">
        <v>222</v>
      </c>
      <c r="G6624" s="404" t="s">
        <v>7486</v>
      </c>
      <c r="H6624" s="411">
        <v>238.8</v>
      </c>
      <c r="I6624" s="89">
        <f t="shared" si="3028"/>
        <v>-21.492000000000001</v>
      </c>
      <c r="J6624" s="258">
        <f t="shared" ref="J6624" si="3037">-((H6624*0.019)+0.3)</f>
        <v>-4.8372000000000002</v>
      </c>
      <c r="K6624" s="90">
        <f t="shared" ref="K6624" si="3038">SUM(H6624:J6624)</f>
        <v>212.47080000000003</v>
      </c>
      <c r="L6624" s="131">
        <v>670</v>
      </c>
      <c r="N6624" s="91">
        <f t="shared" si="2997"/>
        <v>93.800000000000011</v>
      </c>
      <c r="O6624" s="411">
        <f t="shared" si="3001"/>
        <v>118.67080000000001</v>
      </c>
      <c r="P6624" s="132" t="s">
        <v>86</v>
      </c>
      <c r="Q6624" s="232"/>
      <c r="R6624" s="411"/>
      <c r="T6624" s="134" t="s">
        <v>145</v>
      </c>
      <c r="U6624" s="267" t="s">
        <v>14176</v>
      </c>
      <c r="AA6624" s="218"/>
    </row>
    <row r="6625" spans="1:27" ht="24" x14ac:dyDescent="0.25">
      <c r="A6625" s="405">
        <v>3005194</v>
      </c>
      <c r="B6625" s="406">
        <v>42670</v>
      </c>
      <c r="C6625" s="405" t="s">
        <v>42</v>
      </c>
      <c r="D6625" s="401" t="s">
        <v>14177</v>
      </c>
      <c r="E6625" s="120">
        <v>250</v>
      </c>
      <c r="F6625" s="133" t="s">
        <v>5296</v>
      </c>
      <c r="G6625" s="404" t="s">
        <v>7486</v>
      </c>
      <c r="H6625" s="411">
        <v>403.16</v>
      </c>
      <c r="I6625" s="89">
        <f t="shared" si="3028"/>
        <v>-36.284399999999998</v>
      </c>
      <c r="J6625" s="258">
        <f t="shared" ref="J6625" si="3039">-((H6625*0.019)+0.3)</f>
        <v>-7.9600400000000002</v>
      </c>
      <c r="K6625" s="90">
        <f t="shared" ref="K6625" si="3040">SUM(H6625:J6625)</f>
        <v>358.91556000000003</v>
      </c>
      <c r="L6625" s="187">
        <v>1000</v>
      </c>
      <c r="M6625" s="187">
        <v>36.51</v>
      </c>
      <c r="N6625" s="91">
        <f t="shared" si="2997"/>
        <v>286.51</v>
      </c>
      <c r="O6625" s="411">
        <f t="shared" si="3001"/>
        <v>72.405560000000037</v>
      </c>
      <c r="P6625" s="132" t="s">
        <v>183</v>
      </c>
      <c r="Q6625" s="232"/>
      <c r="R6625" s="411"/>
      <c r="T6625" s="134" t="s">
        <v>145</v>
      </c>
      <c r="U6625" s="267" t="s">
        <v>14178</v>
      </c>
      <c r="AA6625" s="218"/>
    </row>
    <row r="6626" spans="1:27" ht="24" x14ac:dyDescent="0.25">
      <c r="A6626" s="405">
        <v>3005195</v>
      </c>
      <c r="B6626" s="406">
        <v>42670</v>
      </c>
      <c r="C6626" s="405" t="s">
        <v>237</v>
      </c>
      <c r="D6626" s="401" t="s">
        <v>14179</v>
      </c>
      <c r="E6626" s="120">
        <v>50</v>
      </c>
      <c r="F6626" s="133" t="s">
        <v>300</v>
      </c>
      <c r="G6626" s="404" t="s">
        <v>7486</v>
      </c>
      <c r="H6626" s="411">
        <v>168.04</v>
      </c>
      <c r="I6626" s="397">
        <f t="shared" ref="I6626" si="3041">-(H6626*0.15)</f>
        <v>-25.206</v>
      </c>
      <c r="J6626" s="258">
        <v>0</v>
      </c>
      <c r="K6626" s="90">
        <f>SUM(H6626:J6626)</f>
        <v>142.834</v>
      </c>
      <c r="L6626" s="131">
        <v>2150</v>
      </c>
      <c r="M6626" s="187">
        <v>18.78</v>
      </c>
      <c r="N6626" s="91">
        <f t="shared" si="2997"/>
        <v>126.28</v>
      </c>
      <c r="O6626" s="411">
        <f t="shared" si="3001"/>
        <v>16.554000000000002</v>
      </c>
      <c r="P6626" s="132" t="s">
        <v>52</v>
      </c>
      <c r="Q6626" s="232"/>
      <c r="R6626" s="411"/>
      <c r="T6626" s="134" t="s">
        <v>145</v>
      </c>
      <c r="U6626" s="267" t="s">
        <v>14180</v>
      </c>
      <c r="AA6626" s="218"/>
    </row>
    <row r="6627" spans="1:27" ht="24" x14ac:dyDescent="0.25">
      <c r="A6627" s="405">
        <v>3005196</v>
      </c>
      <c r="B6627" s="406">
        <v>42670</v>
      </c>
      <c r="C6627" s="405" t="s">
        <v>237</v>
      </c>
      <c r="D6627" s="401" t="s">
        <v>14181</v>
      </c>
      <c r="E6627" s="120">
        <v>150</v>
      </c>
      <c r="F6627" s="133" t="s">
        <v>14182</v>
      </c>
      <c r="G6627" s="404" t="s">
        <v>7486</v>
      </c>
      <c r="H6627" s="411">
        <v>549.64</v>
      </c>
      <c r="I6627" s="397">
        <f t="shared" ref="I6627" si="3042">-(H6627*0.15)</f>
        <v>-82.445999999999998</v>
      </c>
      <c r="J6627" s="258">
        <v>0</v>
      </c>
      <c r="K6627" s="90">
        <f>SUM(H6627:J6627)</f>
        <v>467.19399999999996</v>
      </c>
      <c r="L6627" s="187">
        <v>1493.08</v>
      </c>
      <c r="M6627" s="224">
        <f>22.95+23.01</f>
        <v>45.96</v>
      </c>
      <c r="N6627" s="91">
        <f t="shared" si="2997"/>
        <v>269.92199999999997</v>
      </c>
      <c r="O6627" s="411">
        <f t="shared" si="3001"/>
        <v>197.27199999999999</v>
      </c>
      <c r="P6627" s="132" t="s">
        <v>46</v>
      </c>
      <c r="Q6627" s="232"/>
      <c r="R6627" s="411"/>
      <c r="T6627" s="134" t="s">
        <v>314</v>
      </c>
      <c r="U6627" s="266" t="s">
        <v>14183</v>
      </c>
      <c r="AA6627" s="218"/>
    </row>
    <row r="6628" spans="1:27" ht="24" x14ac:dyDescent="0.25">
      <c r="A6628" s="405">
        <v>3005197</v>
      </c>
      <c r="B6628" s="406">
        <v>42670</v>
      </c>
      <c r="C6628" s="405" t="s">
        <v>237</v>
      </c>
      <c r="D6628" s="401" t="s">
        <v>14184</v>
      </c>
      <c r="E6628" s="120">
        <v>200</v>
      </c>
      <c r="F6628" s="229" t="s">
        <v>14185</v>
      </c>
      <c r="G6628" s="404" t="s">
        <v>7486</v>
      </c>
      <c r="H6628" s="411">
        <v>455.7</v>
      </c>
      <c r="I6628" s="397">
        <f t="shared" ref="I6628" si="3043">-(H6628*0.15)</f>
        <v>-68.35499999999999</v>
      </c>
      <c r="J6628" s="258">
        <v>0</v>
      </c>
      <c r="K6628" s="90">
        <f>SUM(H6628:J6628)</f>
        <v>387.34500000000003</v>
      </c>
      <c r="M6628" s="187">
        <v>43.67</v>
      </c>
      <c r="N6628" s="91">
        <f t="shared" si="2997"/>
        <v>43.67</v>
      </c>
      <c r="O6628" s="411">
        <f t="shared" si="3001"/>
        <v>343.67500000000001</v>
      </c>
      <c r="P6628" s="132" t="s">
        <v>52</v>
      </c>
      <c r="Q6628" s="232"/>
      <c r="R6628" s="411"/>
      <c r="T6628" s="134" t="s">
        <v>145</v>
      </c>
      <c r="U6628" s="267" t="s">
        <v>14186</v>
      </c>
      <c r="AA6628" s="218"/>
    </row>
    <row r="6629" spans="1:27" ht="24" x14ac:dyDescent="0.25">
      <c r="A6629" s="405">
        <v>3005198</v>
      </c>
      <c r="B6629" s="406">
        <v>42670</v>
      </c>
      <c r="C6629" s="405" t="s">
        <v>237</v>
      </c>
      <c r="D6629" s="401" t="s">
        <v>14187</v>
      </c>
      <c r="E6629" s="120">
        <v>250</v>
      </c>
      <c r="F6629" s="133" t="s">
        <v>6793</v>
      </c>
      <c r="G6629" s="404" t="s">
        <v>7486</v>
      </c>
      <c r="H6629" s="411">
        <v>220.36</v>
      </c>
      <c r="I6629" s="397">
        <f t="shared" ref="I6629" si="3044">-(H6629*0.15)</f>
        <v>-33.054000000000002</v>
      </c>
      <c r="J6629" s="258">
        <v>0</v>
      </c>
      <c r="K6629" s="90">
        <f>SUM(H6629:J6629)</f>
        <v>187.30600000000001</v>
      </c>
      <c r="M6629" s="187">
        <v>14.18</v>
      </c>
      <c r="N6629" s="91">
        <f t="shared" si="2997"/>
        <v>14.18</v>
      </c>
      <c r="O6629" s="411">
        <f t="shared" si="3001"/>
        <v>173.126</v>
      </c>
      <c r="P6629" s="132" t="s">
        <v>86</v>
      </c>
      <c r="Q6629" s="232"/>
      <c r="R6629" s="411"/>
      <c r="T6629" s="134" t="s">
        <v>145</v>
      </c>
      <c r="U6629" s="266">
        <v>675157531205</v>
      </c>
      <c r="AA6629" s="218"/>
    </row>
    <row r="6630" spans="1:27" x14ac:dyDescent="0.25">
      <c r="A6630" s="419">
        <v>3005199</v>
      </c>
      <c r="B6630" s="421">
        <v>42670</v>
      </c>
      <c r="C6630" s="419" t="s">
        <v>237</v>
      </c>
      <c r="D6630" s="417" t="s">
        <v>14188</v>
      </c>
      <c r="E6630" s="120">
        <v>15</v>
      </c>
      <c r="F6630" s="133" t="s">
        <v>4407</v>
      </c>
      <c r="G6630" s="434" t="s">
        <v>7486</v>
      </c>
      <c r="H6630" s="427">
        <v>100</v>
      </c>
      <c r="I6630" s="452">
        <f t="shared" ref="I6630" si="3045">-(H6630*0.15)</f>
        <v>-15</v>
      </c>
      <c r="J6630" s="425">
        <v>0</v>
      </c>
      <c r="K6630" s="425">
        <f>SUM(H6630:J6630)</f>
        <v>85</v>
      </c>
      <c r="L6630" s="187">
        <v>2200</v>
      </c>
      <c r="M6630" s="187">
        <v>17.78</v>
      </c>
      <c r="N6630" s="91">
        <f t="shared" si="2997"/>
        <v>50.78</v>
      </c>
      <c r="O6630" s="411">
        <f t="shared" si="3001"/>
        <v>34.22</v>
      </c>
      <c r="P6630" s="132" t="s">
        <v>601</v>
      </c>
      <c r="Q6630" s="232"/>
      <c r="R6630" s="411"/>
      <c r="T6630" s="439" t="s">
        <v>145</v>
      </c>
      <c r="U6630" s="446" t="s">
        <v>14189</v>
      </c>
      <c r="AA6630" s="218"/>
    </row>
    <row r="6631" spans="1:27" x14ac:dyDescent="0.25">
      <c r="A6631" s="420"/>
      <c r="B6631" s="422"/>
      <c r="C6631" s="420"/>
      <c r="D6631" s="418"/>
      <c r="E6631" s="120">
        <v>15</v>
      </c>
      <c r="F6631" s="133" t="s">
        <v>1507</v>
      </c>
      <c r="G6631" s="436"/>
      <c r="H6631" s="428"/>
      <c r="I6631" s="453"/>
      <c r="J6631" s="426"/>
      <c r="K6631" s="426"/>
      <c r="L6631" s="187">
        <v>2200</v>
      </c>
      <c r="N6631" s="91">
        <f t="shared" si="2997"/>
        <v>33</v>
      </c>
      <c r="O6631" s="411">
        <f t="shared" si="3001"/>
        <v>-33</v>
      </c>
      <c r="P6631" s="132" t="s">
        <v>601</v>
      </c>
      <c r="Q6631" s="232"/>
      <c r="R6631" s="411"/>
      <c r="T6631" s="441"/>
      <c r="U6631" s="447"/>
      <c r="AA6631" s="218"/>
    </row>
    <row r="6632" spans="1:27" ht="24" x14ac:dyDescent="0.25">
      <c r="A6632" s="405">
        <v>3005200</v>
      </c>
      <c r="B6632" s="406">
        <v>42670</v>
      </c>
      <c r="C6632" s="405" t="s">
        <v>237</v>
      </c>
      <c r="D6632" s="401" t="s">
        <v>14190</v>
      </c>
      <c r="E6632" s="120">
        <v>175</v>
      </c>
      <c r="F6632" s="133" t="s">
        <v>247</v>
      </c>
      <c r="G6632" s="404" t="s">
        <v>7486</v>
      </c>
      <c r="H6632" s="411">
        <v>140</v>
      </c>
      <c r="I6632" s="397">
        <f t="shared" ref="I6632" si="3046">-(H6632*0.15)</f>
        <v>-21</v>
      </c>
      <c r="J6632" s="258">
        <v>0</v>
      </c>
      <c r="K6632" s="90">
        <f>SUM(H6632:J6632)</f>
        <v>119</v>
      </c>
      <c r="L6632" s="131">
        <v>424</v>
      </c>
      <c r="M6632" s="187">
        <v>24.59</v>
      </c>
      <c r="N6632" s="91">
        <f t="shared" si="2997"/>
        <v>98.79</v>
      </c>
      <c r="O6632" s="411">
        <f t="shared" si="3001"/>
        <v>20.209999999999994</v>
      </c>
      <c r="P6632" s="132" t="s">
        <v>52</v>
      </c>
      <c r="Q6632" s="232"/>
      <c r="R6632" s="411"/>
      <c r="T6632" s="134" t="s">
        <v>145</v>
      </c>
      <c r="U6632" s="267" t="s">
        <v>14191</v>
      </c>
      <c r="AA6632" s="218"/>
    </row>
    <row r="6633" spans="1:27" ht="24" x14ac:dyDescent="0.25">
      <c r="A6633" s="405">
        <v>3005201</v>
      </c>
      <c r="B6633" s="406">
        <v>42670</v>
      </c>
      <c r="C6633" s="405" t="s">
        <v>237</v>
      </c>
      <c r="D6633" s="401" t="s">
        <v>14192</v>
      </c>
      <c r="E6633" s="120">
        <v>100</v>
      </c>
      <c r="F6633" s="133" t="s">
        <v>3307</v>
      </c>
      <c r="G6633" s="404" t="s">
        <v>7486</v>
      </c>
      <c r="H6633" s="411">
        <v>180.18</v>
      </c>
      <c r="I6633" s="397">
        <f t="shared" ref="I6633:I6634" si="3047">-(H6633*0.15)</f>
        <v>-27.027000000000001</v>
      </c>
      <c r="J6633" s="258">
        <v>0</v>
      </c>
      <c r="K6633" s="90">
        <f>SUM(H6633:J6633)</f>
        <v>153.15300000000002</v>
      </c>
      <c r="L6633" s="187">
        <v>1160</v>
      </c>
      <c r="M6633" s="187">
        <v>23.76</v>
      </c>
      <c r="N6633" s="91">
        <f t="shared" si="2997"/>
        <v>139.76</v>
      </c>
      <c r="O6633" s="411">
        <f t="shared" si="3001"/>
        <v>13.393000000000029</v>
      </c>
      <c r="P6633" s="132" t="s">
        <v>601</v>
      </c>
      <c r="Q6633" s="232"/>
      <c r="R6633" s="411"/>
      <c r="T6633" s="134" t="s">
        <v>145</v>
      </c>
      <c r="U6633" s="267" t="s">
        <v>14193</v>
      </c>
      <c r="AA6633" s="218"/>
    </row>
    <row r="6634" spans="1:27" x14ac:dyDescent="0.25">
      <c r="A6634" s="419">
        <v>3005202</v>
      </c>
      <c r="B6634" s="421">
        <v>42670</v>
      </c>
      <c r="C6634" s="419" t="s">
        <v>237</v>
      </c>
      <c r="D6634" s="417" t="s">
        <v>14194</v>
      </c>
      <c r="E6634" s="120">
        <v>100</v>
      </c>
      <c r="F6634" s="133" t="s">
        <v>590</v>
      </c>
      <c r="G6634" s="488" t="s">
        <v>6199</v>
      </c>
      <c r="H6634" s="427">
        <v>0</v>
      </c>
      <c r="I6634" s="452">
        <f t="shared" si="3047"/>
        <v>0</v>
      </c>
      <c r="J6634" s="425">
        <v>0</v>
      </c>
      <c r="K6634" s="425">
        <f>SUM(H6634:J6634)</f>
        <v>0</v>
      </c>
      <c r="L6634" s="131">
        <v>0</v>
      </c>
      <c r="N6634" s="91">
        <f t="shared" si="2997"/>
        <v>0</v>
      </c>
      <c r="O6634" s="411">
        <f t="shared" si="3001"/>
        <v>0</v>
      </c>
      <c r="P6634" s="132" t="s">
        <v>52</v>
      </c>
      <c r="Q6634" s="232"/>
      <c r="R6634" s="411"/>
      <c r="T6634" s="134"/>
      <c r="U6634" s="266"/>
      <c r="AA6634" s="218"/>
    </row>
    <row r="6635" spans="1:27" x14ac:dyDescent="0.25">
      <c r="A6635" s="420"/>
      <c r="B6635" s="422"/>
      <c r="C6635" s="420"/>
      <c r="D6635" s="418"/>
      <c r="E6635" s="120">
        <v>100</v>
      </c>
      <c r="F6635" s="133" t="s">
        <v>307</v>
      </c>
      <c r="G6635" s="489"/>
      <c r="H6635" s="428"/>
      <c r="I6635" s="453"/>
      <c r="J6635" s="426"/>
      <c r="K6635" s="426"/>
      <c r="L6635" s="131">
        <v>0</v>
      </c>
      <c r="N6635" s="91">
        <f t="shared" si="2997"/>
        <v>0</v>
      </c>
      <c r="O6635" s="411">
        <f t="shared" si="3001"/>
        <v>0</v>
      </c>
      <c r="P6635" s="132" t="s">
        <v>52</v>
      </c>
      <c r="Q6635" s="232"/>
      <c r="R6635" s="411"/>
      <c r="T6635" s="134"/>
      <c r="U6635" s="266"/>
      <c r="AA6635" s="218"/>
    </row>
    <row r="6636" spans="1:27" x14ac:dyDescent="0.25">
      <c r="A6636" s="405">
        <v>3005203</v>
      </c>
      <c r="B6636" s="406">
        <v>42670</v>
      </c>
      <c r="C6636" s="405" t="s">
        <v>141</v>
      </c>
      <c r="D6636" s="401" t="s">
        <v>10509</v>
      </c>
      <c r="E6636" s="120">
        <v>750</v>
      </c>
      <c r="F6636" s="133" t="s">
        <v>1550</v>
      </c>
      <c r="G6636" s="404" t="s">
        <v>7486</v>
      </c>
      <c r="H6636" s="411">
        <v>1050</v>
      </c>
      <c r="I6636" s="411">
        <v>0</v>
      </c>
      <c r="J6636" s="258">
        <f>-((H6636*0.0325)+0.3)</f>
        <v>-34.424999999999997</v>
      </c>
      <c r="K6636" s="90">
        <f>SUM(H6636:J6636)</f>
        <v>1015.575</v>
      </c>
      <c r="M6636" s="131">
        <v>102.32</v>
      </c>
      <c r="N6636" s="91">
        <f t="shared" si="2997"/>
        <v>102.32</v>
      </c>
      <c r="O6636" s="411">
        <f t="shared" si="3001"/>
        <v>913.25500000000011</v>
      </c>
      <c r="P6636" s="132" t="s">
        <v>52</v>
      </c>
      <c r="Q6636" s="232"/>
      <c r="R6636" s="411"/>
      <c r="T6636" s="134" t="s">
        <v>7260</v>
      </c>
      <c r="U6636" s="267" t="s">
        <v>14195</v>
      </c>
      <c r="V6636" s="133" t="s">
        <v>55</v>
      </c>
      <c r="W6636" s="153" t="s">
        <v>14196</v>
      </c>
      <c r="AA6636" s="218">
        <v>10</v>
      </c>
    </row>
    <row r="6637" spans="1:27" ht="24" x14ac:dyDescent="0.25">
      <c r="A6637" s="405">
        <v>3005204</v>
      </c>
      <c r="B6637" s="406">
        <v>42670</v>
      </c>
      <c r="C6637" s="405" t="s">
        <v>237</v>
      </c>
      <c r="D6637" s="401" t="s">
        <v>14197</v>
      </c>
      <c r="E6637" s="120">
        <v>150</v>
      </c>
      <c r="F6637" s="133" t="s">
        <v>247</v>
      </c>
      <c r="G6637" s="404" t="s">
        <v>7486</v>
      </c>
      <c r="H6637" s="411">
        <v>160.38</v>
      </c>
      <c r="I6637" s="397">
        <f t="shared" ref="I6637" si="3048">-(H6637*0.15)</f>
        <v>-24.056999999999999</v>
      </c>
      <c r="J6637" s="258">
        <v>0</v>
      </c>
      <c r="K6637" s="90">
        <f>SUM(H6637:J6637)</f>
        <v>136.32300000000001</v>
      </c>
      <c r="L6637" s="131">
        <v>424</v>
      </c>
      <c r="M6637" s="187">
        <v>23.1</v>
      </c>
      <c r="N6637" s="91">
        <f t="shared" si="2997"/>
        <v>86.699999999999989</v>
      </c>
      <c r="O6637" s="411">
        <f t="shared" si="3001"/>
        <v>49.623000000000019</v>
      </c>
      <c r="P6637" s="132" t="s">
        <v>52</v>
      </c>
      <c r="Q6637" s="232"/>
      <c r="R6637" s="411"/>
      <c r="T6637" s="134" t="s">
        <v>145</v>
      </c>
      <c r="U6637" s="267" t="s">
        <v>14198</v>
      </c>
      <c r="AA6637" s="218"/>
    </row>
    <row r="6638" spans="1:27" ht="24" x14ac:dyDescent="0.25">
      <c r="A6638" s="405">
        <v>3005205</v>
      </c>
      <c r="B6638" s="406">
        <v>42670</v>
      </c>
      <c r="C6638" s="405" t="s">
        <v>237</v>
      </c>
      <c r="D6638" s="401" t="s">
        <v>14199</v>
      </c>
      <c r="E6638" s="120">
        <v>250</v>
      </c>
      <c r="F6638" s="133" t="s">
        <v>3299</v>
      </c>
      <c r="G6638" s="404" t="s">
        <v>7486</v>
      </c>
      <c r="H6638" s="411">
        <v>294</v>
      </c>
      <c r="I6638" s="397">
        <f t="shared" ref="I6638" si="3049">-(H6638*0.15)</f>
        <v>-44.1</v>
      </c>
      <c r="J6638" s="258">
        <v>0</v>
      </c>
      <c r="K6638" s="90">
        <f>SUM(H6638:J6638)</f>
        <v>249.9</v>
      </c>
      <c r="L6638" s="187">
        <v>754</v>
      </c>
      <c r="M6638" s="187">
        <v>17.27</v>
      </c>
      <c r="N6638" s="91">
        <f t="shared" si="2997"/>
        <v>205.77</v>
      </c>
      <c r="O6638" s="411">
        <f t="shared" si="3001"/>
        <v>44.129999999999995</v>
      </c>
      <c r="P6638" s="132" t="s">
        <v>601</v>
      </c>
      <c r="Q6638" s="232"/>
      <c r="R6638" s="411"/>
      <c r="T6638" s="134" t="s">
        <v>145</v>
      </c>
      <c r="U6638" s="267" t="s">
        <v>14200</v>
      </c>
      <c r="AA6638" s="218"/>
    </row>
    <row r="6639" spans="1:27" ht="24" x14ac:dyDescent="0.25">
      <c r="A6639" s="405">
        <v>3005206</v>
      </c>
      <c r="B6639" s="406">
        <v>42670</v>
      </c>
      <c r="C6639" s="405" t="s">
        <v>42</v>
      </c>
      <c r="D6639" s="401" t="s">
        <v>14201</v>
      </c>
      <c r="E6639" s="120">
        <v>150</v>
      </c>
      <c r="F6639" s="133" t="s">
        <v>829</v>
      </c>
      <c r="G6639" s="404" t="s">
        <v>7486</v>
      </c>
      <c r="H6639" s="411">
        <v>156.13</v>
      </c>
      <c r="I6639" s="89">
        <f>-(H6639*0.09)</f>
        <v>-14.051699999999999</v>
      </c>
      <c r="J6639" s="258">
        <f t="shared" ref="J6639" si="3050">-((H6639*0.019)+0.3)</f>
        <v>-3.2664699999999995</v>
      </c>
      <c r="K6639" s="90">
        <f t="shared" ref="K6639:K6641" si="3051">SUM(H6639:J6639)</f>
        <v>138.81182999999999</v>
      </c>
      <c r="L6639" s="131">
        <v>510</v>
      </c>
      <c r="M6639" s="187">
        <v>35.200000000000003</v>
      </c>
      <c r="N6639" s="91">
        <f t="shared" si="2997"/>
        <v>111.7</v>
      </c>
      <c r="O6639" s="411">
        <f t="shared" si="3001"/>
        <v>27.111829999999983</v>
      </c>
      <c r="P6639" s="132" t="s">
        <v>52</v>
      </c>
      <c r="Q6639" s="232"/>
      <c r="R6639" s="411"/>
      <c r="T6639" s="134" t="s">
        <v>145</v>
      </c>
      <c r="U6639" s="267" t="s">
        <v>14202</v>
      </c>
      <c r="AA6639" s="218"/>
    </row>
    <row r="6640" spans="1:27" x14ac:dyDescent="0.25">
      <c r="A6640" s="405">
        <v>3005207</v>
      </c>
      <c r="B6640" s="406">
        <v>42670</v>
      </c>
      <c r="C6640" s="405" t="s">
        <v>56</v>
      </c>
      <c r="D6640" s="401" t="s">
        <v>8209</v>
      </c>
      <c r="E6640" s="120">
        <v>5781</v>
      </c>
      <c r="F6640" s="133" t="s">
        <v>14203</v>
      </c>
      <c r="G6640" s="242" t="s">
        <v>7486</v>
      </c>
      <c r="H6640" s="411">
        <v>31795</v>
      </c>
      <c r="I6640" s="411">
        <v>0</v>
      </c>
      <c r="J6640" s="411">
        <v>0</v>
      </c>
      <c r="K6640" s="90">
        <f t="shared" si="3051"/>
        <v>31795</v>
      </c>
      <c r="L6640" s="131">
        <v>4500</v>
      </c>
      <c r="M6640" s="131">
        <v>670</v>
      </c>
      <c r="N6640" s="91">
        <f t="shared" si="2997"/>
        <v>26684.5</v>
      </c>
      <c r="O6640" s="411">
        <f t="shared" si="3001"/>
        <v>5110.5</v>
      </c>
      <c r="P6640" s="132" t="s">
        <v>86</v>
      </c>
      <c r="Q6640" s="232"/>
      <c r="R6640" s="411"/>
      <c r="T6640" s="134" t="s">
        <v>14204</v>
      </c>
      <c r="U6640" s="266"/>
      <c r="V6640" s="133" t="s">
        <v>14205</v>
      </c>
      <c r="AA6640" s="218"/>
    </row>
    <row r="6641" spans="1:27" ht="36" x14ac:dyDescent="0.25">
      <c r="A6641" s="405">
        <v>3005208</v>
      </c>
      <c r="B6641" s="406">
        <v>42670</v>
      </c>
      <c r="C6641" s="405" t="s">
        <v>56</v>
      </c>
      <c r="D6641" s="401" t="s">
        <v>778</v>
      </c>
      <c r="E6641" s="120">
        <v>13128</v>
      </c>
      <c r="F6641" s="119" t="s">
        <v>14206</v>
      </c>
      <c r="G6641" s="230" t="s">
        <v>7486</v>
      </c>
      <c r="H6641" s="411">
        <v>57880</v>
      </c>
      <c r="I6641" s="411">
        <v>0</v>
      </c>
      <c r="J6641" s="411">
        <v>0</v>
      </c>
      <c r="K6641" s="90">
        <f t="shared" si="3051"/>
        <v>57880</v>
      </c>
      <c r="L6641" s="187">
        <v>2880</v>
      </c>
      <c r="N6641" s="91">
        <f t="shared" si="2997"/>
        <v>37808.639999999999</v>
      </c>
      <c r="O6641" s="411">
        <f t="shared" si="3001"/>
        <v>20071.36</v>
      </c>
      <c r="P6641" s="132" t="s">
        <v>183</v>
      </c>
      <c r="Q6641" s="232"/>
      <c r="R6641" s="411"/>
      <c r="T6641" s="134" t="s">
        <v>14207</v>
      </c>
      <c r="U6641" s="267" t="s">
        <v>14208</v>
      </c>
      <c r="V6641" s="119" t="s">
        <v>14209</v>
      </c>
      <c r="W6641" s="153" t="s">
        <v>14210</v>
      </c>
      <c r="AA6641" s="218"/>
    </row>
    <row r="6642" spans="1:27" ht="24" x14ac:dyDescent="0.25">
      <c r="A6642" s="405">
        <v>3005209</v>
      </c>
      <c r="B6642" s="406">
        <v>42670</v>
      </c>
      <c r="C6642" s="405" t="s">
        <v>42</v>
      </c>
      <c r="D6642" s="401" t="s">
        <v>14211</v>
      </c>
      <c r="E6642" s="120">
        <v>100</v>
      </c>
      <c r="F6642" s="133" t="s">
        <v>161</v>
      </c>
      <c r="G6642" s="404" t="s">
        <v>7486</v>
      </c>
      <c r="H6642" s="411">
        <v>236</v>
      </c>
      <c r="I6642" s="89">
        <f>-(H6642*0.09)</f>
        <v>-21.24</v>
      </c>
      <c r="J6642" s="258">
        <f t="shared" ref="J6642" si="3052">-((H6642*0.019)+0.3)</f>
        <v>-4.7839999999999998</v>
      </c>
      <c r="K6642" s="90">
        <f t="shared" ref="K6642" si="3053">SUM(H6642:J6642)</f>
        <v>209.976</v>
      </c>
      <c r="L6642" s="131">
        <v>1322</v>
      </c>
      <c r="M6642" s="187">
        <v>49.19</v>
      </c>
      <c r="N6642" s="91">
        <f t="shared" si="2997"/>
        <v>181.39000000000001</v>
      </c>
      <c r="O6642" s="411">
        <f t="shared" si="3001"/>
        <v>28.585999999999984</v>
      </c>
      <c r="P6642" s="132" t="s">
        <v>52</v>
      </c>
      <c r="Q6642" s="232"/>
      <c r="R6642" s="411"/>
      <c r="T6642" s="134" t="s">
        <v>145</v>
      </c>
      <c r="U6642" s="267" t="s">
        <v>14212</v>
      </c>
      <c r="AA6642" s="218"/>
    </row>
    <row r="6643" spans="1:27" ht="24" x14ac:dyDescent="0.25">
      <c r="A6643" s="405">
        <v>3005210</v>
      </c>
      <c r="B6643" s="406">
        <v>42670</v>
      </c>
      <c r="C6643" s="405" t="s">
        <v>63</v>
      </c>
      <c r="D6643" s="401" t="s">
        <v>14213</v>
      </c>
      <c r="E6643" s="120">
        <v>250</v>
      </c>
      <c r="F6643" s="133" t="s">
        <v>161</v>
      </c>
      <c r="G6643" s="404" t="s">
        <v>7486</v>
      </c>
      <c r="H6643" s="411">
        <v>500</v>
      </c>
      <c r="I6643" s="399">
        <v>0</v>
      </c>
      <c r="J6643" s="396">
        <f>-((H6643*0.022)+0.3)</f>
        <v>-11.3</v>
      </c>
      <c r="K6643" s="396">
        <f>SUM(H6643:J6643)</f>
        <v>488.7</v>
      </c>
      <c r="L6643" s="131">
        <v>1322</v>
      </c>
      <c r="M6643" s="187">
        <v>51.64</v>
      </c>
      <c r="N6643" s="91">
        <f t="shared" si="2997"/>
        <v>382.14</v>
      </c>
      <c r="O6643" s="411">
        <f t="shared" si="3001"/>
        <v>106.56</v>
      </c>
      <c r="P6643" s="132" t="s">
        <v>52</v>
      </c>
      <c r="Q6643" s="232"/>
      <c r="R6643" s="411"/>
      <c r="T6643" s="134" t="s">
        <v>145</v>
      </c>
      <c r="U6643" s="267" t="s">
        <v>14214</v>
      </c>
      <c r="W6643" s="153" t="s">
        <v>14215</v>
      </c>
      <c r="AA6643" s="218"/>
    </row>
    <row r="6644" spans="1:27" x14ac:dyDescent="0.25">
      <c r="A6644" s="405">
        <v>3005211</v>
      </c>
      <c r="B6644" s="406">
        <v>42670</v>
      </c>
      <c r="C6644" s="405" t="s">
        <v>141</v>
      </c>
      <c r="D6644" s="401" t="s">
        <v>14216</v>
      </c>
      <c r="E6644" s="120">
        <v>8000</v>
      </c>
      <c r="F6644" s="133" t="s">
        <v>14217</v>
      </c>
      <c r="G6644" s="404" t="s">
        <v>7486</v>
      </c>
      <c r="H6644" s="411">
        <v>14800</v>
      </c>
      <c r="I6644" s="411">
        <v>0</v>
      </c>
      <c r="J6644" s="258">
        <f>-((H6644*0.0325)+0.3)</f>
        <v>-481.3</v>
      </c>
      <c r="K6644" s="90">
        <f>SUM(H6644:J6644)</f>
        <v>14318.7</v>
      </c>
      <c r="L6644" s="131">
        <v>1421</v>
      </c>
      <c r="M6644" s="131">
        <v>0</v>
      </c>
      <c r="N6644" s="91">
        <f t="shared" si="2997"/>
        <v>11368</v>
      </c>
      <c r="O6644" s="411">
        <f t="shared" si="3001"/>
        <v>2950.7000000000007</v>
      </c>
      <c r="P6644" s="132" t="s">
        <v>14218</v>
      </c>
      <c r="Q6644" s="232"/>
      <c r="R6644" s="411"/>
      <c r="T6644" s="134" t="s">
        <v>14219</v>
      </c>
      <c r="U6644" s="301">
        <v>231616185</v>
      </c>
      <c r="W6644" s="153" t="s">
        <v>14220</v>
      </c>
      <c r="AA6644" s="218">
        <v>100</v>
      </c>
    </row>
    <row r="6645" spans="1:27" ht="24" x14ac:dyDescent="0.25">
      <c r="A6645" s="405">
        <v>3005212</v>
      </c>
      <c r="B6645" s="406">
        <v>42670</v>
      </c>
      <c r="C6645" s="405" t="s">
        <v>78</v>
      </c>
      <c r="D6645" s="401" t="s">
        <v>14221</v>
      </c>
      <c r="E6645" s="120">
        <v>175</v>
      </c>
      <c r="F6645" s="133" t="s">
        <v>247</v>
      </c>
      <c r="G6645" s="404" t="s">
        <v>7486</v>
      </c>
      <c r="H6645" s="411">
        <v>140</v>
      </c>
      <c r="I6645" s="411">
        <v>0</v>
      </c>
      <c r="J6645" s="258">
        <f t="shared" ref="J6645" si="3054">-((H6645*0.019)+0.3)</f>
        <v>-2.96</v>
      </c>
      <c r="K6645" s="90">
        <f t="shared" ref="K6645" si="3055">SUM(H6645:J6645)</f>
        <v>137.04</v>
      </c>
      <c r="L6645" s="131">
        <v>424</v>
      </c>
      <c r="M6645" s="187">
        <v>29.33</v>
      </c>
      <c r="N6645" s="91">
        <f t="shared" si="2997"/>
        <v>103.53</v>
      </c>
      <c r="O6645" s="411">
        <f t="shared" si="3001"/>
        <v>33.509999999999991</v>
      </c>
      <c r="P6645" s="132" t="s">
        <v>52</v>
      </c>
      <c r="Q6645" s="232"/>
      <c r="R6645" s="411"/>
      <c r="T6645" s="134" t="s">
        <v>145</v>
      </c>
      <c r="U6645" s="267" t="s">
        <v>14222</v>
      </c>
      <c r="W6645" s="153" t="s">
        <v>14223</v>
      </c>
      <c r="AA6645" s="218"/>
    </row>
    <row r="6646" spans="1:27" ht="36" x14ac:dyDescent="0.25">
      <c r="A6646" s="405">
        <v>3005213</v>
      </c>
      <c r="B6646" s="406">
        <v>42670</v>
      </c>
      <c r="C6646" s="405" t="s">
        <v>237</v>
      </c>
      <c r="D6646" s="401" t="s">
        <v>11466</v>
      </c>
      <c r="E6646" s="120">
        <v>500</v>
      </c>
      <c r="F6646" s="119" t="s">
        <v>14224</v>
      </c>
      <c r="G6646" s="404" t="s">
        <v>7486</v>
      </c>
      <c r="H6646" s="411">
        <v>120</v>
      </c>
      <c r="I6646" s="397">
        <f t="shared" ref="I6646" si="3056">-(H6646*0.15)</f>
        <v>-18</v>
      </c>
      <c r="J6646" s="258">
        <v>0</v>
      </c>
      <c r="K6646" s="90">
        <f>SUM(H6646:J6646)</f>
        <v>102</v>
      </c>
      <c r="L6646" s="187">
        <v>110</v>
      </c>
      <c r="M6646" s="187">
        <v>11.47</v>
      </c>
      <c r="N6646" s="91">
        <f t="shared" si="2997"/>
        <v>66.47</v>
      </c>
      <c r="O6646" s="411">
        <f t="shared" si="3001"/>
        <v>35.53</v>
      </c>
      <c r="P6646" s="132" t="s">
        <v>14225</v>
      </c>
      <c r="Q6646" s="232"/>
      <c r="R6646" s="411"/>
      <c r="T6646" s="134" t="s">
        <v>145</v>
      </c>
      <c r="U6646" s="267" t="s">
        <v>14226</v>
      </c>
      <c r="AA6646" s="218"/>
    </row>
    <row r="6647" spans="1:27" ht="36" x14ac:dyDescent="0.25">
      <c r="A6647" s="405">
        <v>3005214</v>
      </c>
      <c r="B6647" s="406">
        <v>42670</v>
      </c>
      <c r="C6647" s="405" t="s">
        <v>237</v>
      </c>
      <c r="D6647" s="401" t="s">
        <v>14227</v>
      </c>
      <c r="E6647" s="120">
        <v>75</v>
      </c>
      <c r="F6647" s="119" t="s">
        <v>14228</v>
      </c>
      <c r="G6647" s="404" t="s">
        <v>7486</v>
      </c>
      <c r="H6647" s="411">
        <v>120</v>
      </c>
      <c r="I6647" s="397">
        <f t="shared" ref="I6647" si="3057">-(H6647*0.15)</f>
        <v>-18</v>
      </c>
      <c r="J6647" s="258">
        <v>0</v>
      </c>
      <c r="K6647" s="90">
        <f>SUM(H6647:J6647)</f>
        <v>102</v>
      </c>
      <c r="L6647" s="187">
        <v>500</v>
      </c>
      <c r="M6647" s="187">
        <v>17.079999999999998</v>
      </c>
      <c r="N6647" s="91">
        <f t="shared" si="2997"/>
        <v>54.58</v>
      </c>
      <c r="O6647" s="411">
        <f t="shared" si="3001"/>
        <v>47.42</v>
      </c>
      <c r="P6647" s="132" t="s">
        <v>183</v>
      </c>
      <c r="Q6647" s="232"/>
      <c r="R6647" s="411"/>
      <c r="T6647" s="134" t="s">
        <v>145</v>
      </c>
      <c r="U6647" s="267" t="s">
        <v>14229</v>
      </c>
      <c r="AA6647" s="218"/>
    </row>
    <row r="6648" spans="1:27" ht="24" x14ac:dyDescent="0.25">
      <c r="A6648" s="405">
        <v>3005215</v>
      </c>
      <c r="B6648" s="406">
        <v>42670</v>
      </c>
      <c r="C6648" s="405" t="s">
        <v>42</v>
      </c>
      <c r="D6648" s="401" t="s">
        <v>14230</v>
      </c>
      <c r="E6648" s="120">
        <v>50</v>
      </c>
      <c r="F6648" s="133" t="s">
        <v>288</v>
      </c>
      <c r="G6648" s="404" t="s">
        <v>7486</v>
      </c>
      <c r="H6648" s="411">
        <v>99</v>
      </c>
      <c r="I6648" s="89">
        <f>-(H6648*0.09)</f>
        <v>-8.91</v>
      </c>
      <c r="J6648" s="258">
        <f t="shared" ref="J6648" si="3058">-((H6648*0.019)+0.3)</f>
        <v>-2.181</v>
      </c>
      <c r="K6648" s="90">
        <f t="shared" ref="K6648" si="3059">SUM(H6648:J6648)</f>
        <v>87.909000000000006</v>
      </c>
      <c r="L6648" s="131">
        <v>900</v>
      </c>
      <c r="M6648" s="187">
        <v>15.88</v>
      </c>
      <c r="N6648" s="91">
        <f t="shared" si="2997"/>
        <v>60.88</v>
      </c>
      <c r="O6648" s="411">
        <f t="shared" si="3001"/>
        <v>27.029000000000003</v>
      </c>
      <c r="P6648" s="132" t="s">
        <v>52</v>
      </c>
      <c r="Q6648" s="232"/>
      <c r="R6648" s="411"/>
      <c r="T6648" s="134" t="s">
        <v>145</v>
      </c>
      <c r="U6648" s="267" t="s">
        <v>14231</v>
      </c>
      <c r="AA6648" s="218"/>
    </row>
    <row r="6649" spans="1:27" ht="24" x14ac:dyDescent="0.25">
      <c r="A6649" s="405">
        <v>3005216</v>
      </c>
      <c r="B6649" s="406">
        <v>42670</v>
      </c>
      <c r="C6649" s="405" t="s">
        <v>42</v>
      </c>
      <c r="D6649" s="401" t="s">
        <v>14232</v>
      </c>
      <c r="E6649" s="120">
        <v>100</v>
      </c>
      <c r="F6649" s="133" t="s">
        <v>939</v>
      </c>
      <c r="G6649" s="404" t="s">
        <v>7486</v>
      </c>
      <c r="H6649" s="411">
        <v>122.14</v>
      </c>
      <c r="I6649" s="89">
        <f>-(H6649*0.09)</f>
        <v>-10.992599999999999</v>
      </c>
      <c r="J6649" s="258">
        <f t="shared" ref="J6649" si="3060">-((H6649*0.019)+0.3)</f>
        <v>-2.62066</v>
      </c>
      <c r="K6649" s="90">
        <f t="shared" ref="K6649" si="3061">SUM(H6649:J6649)</f>
        <v>108.52674</v>
      </c>
      <c r="L6649" s="131">
        <v>431</v>
      </c>
      <c r="M6649" s="187"/>
      <c r="N6649" s="91">
        <f t="shared" si="2997"/>
        <v>43.1</v>
      </c>
      <c r="O6649" s="411">
        <f t="shared" si="3001"/>
        <v>65.426739999999995</v>
      </c>
      <c r="P6649" s="132" t="s">
        <v>52</v>
      </c>
      <c r="Q6649" s="232"/>
      <c r="R6649" s="411"/>
      <c r="T6649" s="134" t="s">
        <v>145</v>
      </c>
      <c r="U6649" s="267" t="s">
        <v>14233</v>
      </c>
      <c r="AA6649" s="218"/>
    </row>
    <row r="6650" spans="1:27" ht="24" x14ac:dyDescent="0.25">
      <c r="A6650" s="405">
        <v>3005217</v>
      </c>
      <c r="B6650" s="406">
        <v>42670</v>
      </c>
      <c r="C6650" s="405" t="s">
        <v>237</v>
      </c>
      <c r="D6650" s="401" t="s">
        <v>14234</v>
      </c>
      <c r="E6650" s="120">
        <v>175</v>
      </c>
      <c r="F6650" s="133" t="s">
        <v>247</v>
      </c>
      <c r="G6650" s="404" t="s">
        <v>7486</v>
      </c>
      <c r="H6650" s="411">
        <v>140</v>
      </c>
      <c r="I6650" s="397">
        <f t="shared" ref="I6650" si="3062">-(H6650*0.15)</f>
        <v>-21</v>
      </c>
      <c r="J6650" s="258">
        <v>0</v>
      </c>
      <c r="K6650" s="90">
        <f>SUM(H6650:J6650)</f>
        <v>119</v>
      </c>
      <c r="L6650" s="131">
        <v>424</v>
      </c>
      <c r="M6650" s="187">
        <v>37.24</v>
      </c>
      <c r="N6650" s="91">
        <f t="shared" si="2997"/>
        <v>111.44</v>
      </c>
      <c r="O6650" s="411">
        <f t="shared" si="3001"/>
        <v>7.5600000000000023</v>
      </c>
      <c r="P6650" s="132" t="s">
        <v>52</v>
      </c>
      <c r="Q6650" s="232"/>
      <c r="R6650" s="411"/>
      <c r="T6650" s="134" t="s">
        <v>145</v>
      </c>
      <c r="U6650" s="267" t="s">
        <v>14235</v>
      </c>
      <c r="AA6650" s="218"/>
    </row>
    <row r="6651" spans="1:27" x14ac:dyDescent="0.25">
      <c r="A6651" s="419">
        <v>3005218</v>
      </c>
      <c r="B6651" s="421">
        <v>42670</v>
      </c>
      <c r="C6651" s="419" t="s">
        <v>237</v>
      </c>
      <c r="D6651" s="417" t="s">
        <v>14236</v>
      </c>
      <c r="E6651" s="120">
        <v>25</v>
      </c>
      <c r="F6651" s="133" t="s">
        <v>2483</v>
      </c>
      <c r="G6651" s="434" t="s">
        <v>7486</v>
      </c>
      <c r="H6651" s="427">
        <v>120.78</v>
      </c>
      <c r="I6651" s="452">
        <f t="shared" ref="I6651" si="3063">-(H6651*0.15)</f>
        <v>-18.117000000000001</v>
      </c>
      <c r="J6651" s="425">
        <v>0</v>
      </c>
      <c r="K6651" s="425">
        <f>SUM(H6651:J6651)</f>
        <v>102.663</v>
      </c>
      <c r="L6651" s="187">
        <v>1450</v>
      </c>
      <c r="M6651" s="187">
        <v>21.02</v>
      </c>
      <c r="N6651" s="91">
        <f t="shared" si="2997"/>
        <v>57.269999999999996</v>
      </c>
      <c r="O6651" s="411">
        <f t="shared" si="3001"/>
        <v>45.393000000000001</v>
      </c>
      <c r="P6651" s="132" t="s">
        <v>601</v>
      </c>
      <c r="Q6651" s="360"/>
      <c r="R6651" s="411"/>
      <c r="T6651" s="439" t="s">
        <v>145</v>
      </c>
      <c r="U6651" s="446" t="s">
        <v>14237</v>
      </c>
      <c r="AA6651" s="218"/>
    </row>
    <row r="6652" spans="1:27" x14ac:dyDescent="0.25">
      <c r="A6652" s="420"/>
      <c r="B6652" s="422"/>
      <c r="C6652" s="420"/>
      <c r="D6652" s="418"/>
      <c r="E6652" s="120">
        <v>25</v>
      </c>
      <c r="F6652" s="133" t="s">
        <v>3345</v>
      </c>
      <c r="G6652" s="436"/>
      <c r="H6652" s="428"/>
      <c r="I6652" s="453"/>
      <c r="J6652" s="426"/>
      <c r="K6652" s="426"/>
      <c r="L6652" s="187">
        <v>1450</v>
      </c>
      <c r="N6652" s="91">
        <f t="shared" si="2997"/>
        <v>36.25</v>
      </c>
      <c r="O6652" s="411">
        <f t="shared" si="3001"/>
        <v>-36.25</v>
      </c>
      <c r="P6652" s="132" t="s">
        <v>601</v>
      </c>
      <c r="Q6652" s="360"/>
      <c r="R6652" s="411"/>
      <c r="T6652" s="441"/>
      <c r="U6652" s="447"/>
      <c r="AA6652" s="218"/>
    </row>
    <row r="6653" spans="1:27" ht="24" x14ac:dyDescent="0.25">
      <c r="A6653" s="405">
        <v>3005219</v>
      </c>
      <c r="B6653" s="406">
        <v>42670</v>
      </c>
      <c r="C6653" s="405" t="s">
        <v>78</v>
      </c>
      <c r="D6653" s="401" t="s">
        <v>2530</v>
      </c>
      <c r="E6653" s="120">
        <v>83</v>
      </c>
      <c r="F6653" s="133" t="s">
        <v>161</v>
      </c>
      <c r="G6653" s="404" t="s">
        <v>7486</v>
      </c>
      <c r="H6653" s="411">
        <v>166</v>
      </c>
      <c r="I6653" s="411">
        <v>0</v>
      </c>
      <c r="J6653" s="258">
        <f t="shared" ref="J6653" si="3064">-((H6653*0.019)+0.3)</f>
        <v>-3.4539999999999997</v>
      </c>
      <c r="K6653" s="90">
        <f>SUM(H6653:J6653)</f>
        <v>162.54599999999999</v>
      </c>
      <c r="L6653" s="131">
        <v>1322</v>
      </c>
      <c r="M6653" s="187">
        <v>20.329999999999998</v>
      </c>
      <c r="N6653" s="91">
        <f t="shared" si="2997"/>
        <v>130.05599999999998</v>
      </c>
      <c r="O6653" s="411">
        <f t="shared" si="3001"/>
        <v>32.490000000000009</v>
      </c>
      <c r="P6653" s="132" t="s">
        <v>52</v>
      </c>
      <c r="Q6653" s="232"/>
      <c r="R6653" s="411"/>
      <c r="T6653" s="134" t="s">
        <v>145</v>
      </c>
      <c r="U6653" s="267" t="s">
        <v>14238</v>
      </c>
      <c r="W6653" s="153" t="s">
        <v>2532</v>
      </c>
      <c r="AA6653" s="218"/>
    </row>
    <row r="6654" spans="1:27" ht="24" x14ac:dyDescent="0.25">
      <c r="A6654" s="405">
        <v>3005220</v>
      </c>
      <c r="B6654" s="406">
        <v>42670</v>
      </c>
      <c r="C6654" s="405" t="s">
        <v>237</v>
      </c>
      <c r="D6654" s="401" t="s">
        <v>14239</v>
      </c>
      <c r="E6654" s="120">
        <v>250</v>
      </c>
      <c r="F6654" s="133" t="s">
        <v>173</v>
      </c>
      <c r="G6654" s="404" t="s">
        <v>7486</v>
      </c>
      <c r="H6654" s="411">
        <v>202.73</v>
      </c>
      <c r="I6654" s="397">
        <f t="shared" ref="I6654" si="3065">-(H6654*0.15)</f>
        <v>-30.409499999999998</v>
      </c>
      <c r="J6654" s="258">
        <v>0</v>
      </c>
      <c r="K6654" s="90">
        <f>SUM(H6654:J6654)</f>
        <v>172.32049999999998</v>
      </c>
      <c r="L6654" s="131">
        <v>409</v>
      </c>
      <c r="M6654" s="187">
        <v>21.42</v>
      </c>
      <c r="N6654" s="91">
        <f t="shared" si="2997"/>
        <v>123.67</v>
      </c>
      <c r="O6654" s="411">
        <f t="shared" si="3001"/>
        <v>48.65049999999998</v>
      </c>
      <c r="P6654" s="132" t="s">
        <v>52</v>
      </c>
      <c r="Q6654" s="232"/>
      <c r="R6654" s="411"/>
      <c r="T6654" s="134" t="s">
        <v>145</v>
      </c>
      <c r="U6654" s="267" t="s">
        <v>14240</v>
      </c>
      <c r="AA6654" s="218"/>
    </row>
    <row r="6655" spans="1:27" x14ac:dyDescent="0.25">
      <c r="A6655" s="419">
        <v>3005221</v>
      </c>
      <c r="B6655" s="421">
        <v>42670</v>
      </c>
      <c r="C6655" s="419" t="s">
        <v>141</v>
      </c>
      <c r="D6655" s="417" t="s">
        <v>14241</v>
      </c>
      <c r="E6655" s="120">
        <v>5000</v>
      </c>
      <c r="F6655" s="133" t="s">
        <v>14242</v>
      </c>
      <c r="G6655" s="434" t="s">
        <v>7486</v>
      </c>
      <c r="H6655" s="427">
        <v>3240</v>
      </c>
      <c r="I6655" s="427">
        <v>0</v>
      </c>
      <c r="J6655" s="425">
        <f>-((H6655*0.0325)+0.3)</f>
        <v>-105.6</v>
      </c>
      <c r="K6655" s="425">
        <f>SUM(H6655:J6655)</f>
        <v>3134.4</v>
      </c>
      <c r="L6655" s="187">
        <v>114</v>
      </c>
      <c r="M6655" s="485">
        <v>200</v>
      </c>
      <c r="N6655" s="91">
        <f t="shared" ref="N6655:N6718" si="3066">((L6655)*(E6655*0.001))+M6655</f>
        <v>770</v>
      </c>
      <c r="O6655" s="411">
        <f t="shared" si="3001"/>
        <v>2364.4</v>
      </c>
      <c r="P6655" s="132" t="s">
        <v>13457</v>
      </c>
      <c r="Q6655" s="232"/>
      <c r="R6655" s="411"/>
      <c r="T6655" s="470" t="s">
        <v>14243</v>
      </c>
      <c r="U6655" s="470" t="s">
        <v>14243</v>
      </c>
      <c r="V6655" s="133" t="s">
        <v>2020</v>
      </c>
      <c r="W6655" s="153" t="s">
        <v>14244</v>
      </c>
      <c r="AA6655" s="473">
        <v>10</v>
      </c>
    </row>
    <row r="6656" spans="1:27" x14ac:dyDescent="0.25">
      <c r="A6656" s="432"/>
      <c r="B6656" s="433"/>
      <c r="C6656" s="432"/>
      <c r="D6656" s="454"/>
      <c r="E6656" s="120">
        <v>5000</v>
      </c>
      <c r="F6656" s="133" t="s">
        <v>14245</v>
      </c>
      <c r="G6656" s="435"/>
      <c r="H6656" s="438"/>
      <c r="I6656" s="438"/>
      <c r="J6656" s="437"/>
      <c r="K6656" s="437"/>
      <c r="L6656" s="187">
        <v>114</v>
      </c>
      <c r="M6656" s="486"/>
      <c r="N6656" s="91">
        <f t="shared" si="3066"/>
        <v>570</v>
      </c>
      <c r="O6656" s="411">
        <f t="shared" si="3001"/>
        <v>-570</v>
      </c>
      <c r="P6656" s="132" t="s">
        <v>13457</v>
      </c>
      <c r="Q6656" s="232"/>
      <c r="R6656" s="411"/>
      <c r="T6656" s="471"/>
      <c r="U6656" s="471"/>
      <c r="AA6656" s="478"/>
    </row>
    <row r="6657" spans="1:27" x14ac:dyDescent="0.25">
      <c r="A6657" s="432"/>
      <c r="B6657" s="433"/>
      <c r="C6657" s="432"/>
      <c r="D6657" s="454"/>
      <c r="E6657" s="120">
        <v>4000</v>
      </c>
      <c r="F6657" s="133" t="s">
        <v>2347</v>
      </c>
      <c r="G6657" s="435"/>
      <c r="H6657" s="438"/>
      <c r="I6657" s="438"/>
      <c r="J6657" s="437"/>
      <c r="K6657" s="437"/>
      <c r="L6657" s="187">
        <v>114</v>
      </c>
      <c r="M6657" s="486"/>
      <c r="N6657" s="91">
        <f t="shared" si="3066"/>
        <v>456</v>
      </c>
      <c r="O6657" s="411">
        <f t="shared" si="3001"/>
        <v>-456</v>
      </c>
      <c r="P6657" s="132" t="s">
        <v>13457</v>
      </c>
      <c r="Q6657" s="232"/>
      <c r="R6657" s="411"/>
      <c r="T6657" s="471"/>
      <c r="U6657" s="471"/>
      <c r="AA6657" s="478"/>
    </row>
    <row r="6658" spans="1:27" x14ac:dyDescent="0.25">
      <c r="A6658" s="432"/>
      <c r="B6658" s="433"/>
      <c r="C6658" s="432"/>
      <c r="D6658" s="454"/>
      <c r="E6658" s="120">
        <v>2500</v>
      </c>
      <c r="F6658" s="133" t="s">
        <v>14246</v>
      </c>
      <c r="G6658" s="435"/>
      <c r="H6658" s="438"/>
      <c r="I6658" s="438"/>
      <c r="J6658" s="437"/>
      <c r="K6658" s="437"/>
      <c r="L6658" s="187">
        <v>114</v>
      </c>
      <c r="M6658" s="486"/>
      <c r="N6658" s="91">
        <f t="shared" si="3066"/>
        <v>285</v>
      </c>
      <c r="O6658" s="411">
        <f t="shared" si="3001"/>
        <v>-285</v>
      </c>
      <c r="P6658" s="132" t="s">
        <v>13457</v>
      </c>
      <c r="Q6658" s="232"/>
      <c r="R6658" s="411"/>
      <c r="T6658" s="471"/>
      <c r="U6658" s="471"/>
      <c r="AA6658" s="478"/>
    </row>
    <row r="6659" spans="1:27" x14ac:dyDescent="0.25">
      <c r="A6659" s="420"/>
      <c r="B6659" s="422"/>
      <c r="C6659" s="420"/>
      <c r="D6659" s="418"/>
      <c r="E6659" s="120">
        <v>7500</v>
      </c>
      <c r="F6659" s="133" t="s">
        <v>6944</v>
      </c>
      <c r="G6659" s="436"/>
      <c r="H6659" s="428"/>
      <c r="I6659" s="428"/>
      <c r="J6659" s="426"/>
      <c r="K6659" s="426"/>
      <c r="L6659" s="187">
        <v>114</v>
      </c>
      <c r="M6659" s="487"/>
      <c r="N6659" s="91">
        <f t="shared" si="3066"/>
        <v>855</v>
      </c>
      <c r="O6659" s="411">
        <f t="shared" si="3001"/>
        <v>-855</v>
      </c>
      <c r="P6659" s="132" t="s">
        <v>13457</v>
      </c>
      <c r="Q6659" s="232"/>
      <c r="R6659" s="411"/>
      <c r="T6659" s="472"/>
      <c r="U6659" s="472"/>
      <c r="AA6659" s="474"/>
    </row>
    <row r="6660" spans="1:27" x14ac:dyDescent="0.25">
      <c r="A6660" s="405">
        <v>3005222</v>
      </c>
      <c r="B6660" s="406">
        <v>42671</v>
      </c>
      <c r="C6660" s="405" t="s">
        <v>42</v>
      </c>
      <c r="D6660" s="401" t="s">
        <v>14247</v>
      </c>
      <c r="E6660" s="120">
        <v>300</v>
      </c>
      <c r="F6660" s="133" t="s">
        <v>114</v>
      </c>
      <c r="G6660" s="404" t="s">
        <v>7486</v>
      </c>
      <c r="H6660" s="411">
        <v>800</v>
      </c>
      <c r="I6660" s="89">
        <f>-(H6660*0.09)</f>
        <v>-72</v>
      </c>
      <c r="J6660" s="258">
        <f t="shared" ref="J6660" si="3067">-((H6660*0.019)+0.3)</f>
        <v>-15.5</v>
      </c>
      <c r="K6660" s="90">
        <f t="shared" ref="K6660" si="3068">SUM(H6660:J6660)</f>
        <v>712.5</v>
      </c>
      <c r="L6660" s="131">
        <v>1540</v>
      </c>
      <c r="M6660" s="187">
        <v>102.32</v>
      </c>
      <c r="N6660" s="91">
        <f t="shared" si="3066"/>
        <v>564.31999999999994</v>
      </c>
      <c r="O6660" s="411">
        <f t="shared" ref="O6660:O6723" si="3069">K6660-N6660</f>
        <v>148.18000000000006</v>
      </c>
      <c r="P6660" s="132" t="s">
        <v>52</v>
      </c>
      <c r="Q6660" s="232"/>
      <c r="R6660" s="411"/>
      <c r="T6660" s="134" t="s">
        <v>7260</v>
      </c>
      <c r="U6660" s="267" t="s">
        <v>14248</v>
      </c>
      <c r="V6660" s="133" t="s">
        <v>55</v>
      </c>
      <c r="AA6660" s="218"/>
    </row>
    <row r="6661" spans="1:27" ht="24" x14ac:dyDescent="0.25">
      <c r="A6661" s="405">
        <v>3005223</v>
      </c>
      <c r="B6661" s="406">
        <v>42671</v>
      </c>
      <c r="C6661" s="405" t="s">
        <v>237</v>
      </c>
      <c r="D6661" s="401" t="s">
        <v>14249</v>
      </c>
      <c r="E6661" s="120">
        <v>50</v>
      </c>
      <c r="F6661" s="133" t="s">
        <v>431</v>
      </c>
      <c r="G6661" s="404" t="s">
        <v>7486</v>
      </c>
      <c r="H6661" s="411">
        <v>116.23</v>
      </c>
      <c r="I6661" s="397">
        <f t="shared" ref="I6661:I6662" si="3070">-(H6661*0.15)</f>
        <v>-17.4345</v>
      </c>
      <c r="J6661" s="258">
        <v>0</v>
      </c>
      <c r="K6661" s="90">
        <f>SUM(H6661:J6661)</f>
        <v>98.795500000000004</v>
      </c>
      <c r="L6661" s="131">
        <v>950</v>
      </c>
      <c r="M6661" s="187">
        <v>30.33</v>
      </c>
      <c r="N6661" s="91">
        <f t="shared" si="3066"/>
        <v>77.83</v>
      </c>
      <c r="O6661" s="411">
        <f t="shared" si="3069"/>
        <v>20.965500000000006</v>
      </c>
      <c r="P6661" s="132" t="s">
        <v>52</v>
      </c>
      <c r="Q6661" s="232"/>
      <c r="R6661" s="411"/>
      <c r="T6661" s="134" t="s">
        <v>145</v>
      </c>
      <c r="U6661" s="267" t="s">
        <v>14250</v>
      </c>
      <c r="AA6661" s="218"/>
    </row>
    <row r="6662" spans="1:27" x14ac:dyDescent="0.25">
      <c r="A6662" s="419">
        <v>3005224</v>
      </c>
      <c r="B6662" s="421">
        <v>42671</v>
      </c>
      <c r="C6662" s="419" t="s">
        <v>237</v>
      </c>
      <c r="D6662" s="417" t="s">
        <v>8292</v>
      </c>
      <c r="E6662" s="120">
        <v>25</v>
      </c>
      <c r="F6662" s="133" t="s">
        <v>2483</v>
      </c>
      <c r="G6662" s="434" t="s">
        <v>7486</v>
      </c>
      <c r="H6662" s="427">
        <v>120.78</v>
      </c>
      <c r="I6662" s="452">
        <f t="shared" si="3070"/>
        <v>-18.117000000000001</v>
      </c>
      <c r="J6662" s="425">
        <v>0</v>
      </c>
      <c r="K6662" s="425">
        <f>SUM(H6662:J6662)</f>
        <v>102.663</v>
      </c>
      <c r="L6662" s="187">
        <v>1450</v>
      </c>
      <c r="M6662" s="187">
        <v>10.210000000000001</v>
      </c>
      <c r="N6662" s="91">
        <f t="shared" si="3066"/>
        <v>46.46</v>
      </c>
      <c r="O6662" s="411">
        <f t="shared" si="3069"/>
        <v>56.202999999999996</v>
      </c>
      <c r="P6662" s="132" t="s">
        <v>601</v>
      </c>
      <c r="Q6662" s="232"/>
      <c r="R6662" s="411"/>
      <c r="T6662" s="439" t="s">
        <v>145</v>
      </c>
      <c r="U6662" s="446" t="s">
        <v>14251</v>
      </c>
      <c r="AA6662" s="218"/>
    </row>
    <row r="6663" spans="1:27" x14ac:dyDescent="0.25">
      <c r="A6663" s="420"/>
      <c r="B6663" s="422"/>
      <c r="C6663" s="420"/>
      <c r="D6663" s="418"/>
      <c r="E6663" s="120">
        <v>25</v>
      </c>
      <c r="F6663" s="133" t="s">
        <v>3345</v>
      </c>
      <c r="G6663" s="436"/>
      <c r="H6663" s="428"/>
      <c r="I6663" s="453"/>
      <c r="J6663" s="426"/>
      <c r="K6663" s="426"/>
      <c r="L6663" s="187">
        <v>1450</v>
      </c>
      <c r="N6663" s="91">
        <f t="shared" si="3066"/>
        <v>36.25</v>
      </c>
      <c r="O6663" s="411">
        <f t="shared" si="3069"/>
        <v>-36.25</v>
      </c>
      <c r="P6663" s="132" t="s">
        <v>601</v>
      </c>
      <c r="Q6663" s="232"/>
      <c r="R6663" s="411"/>
      <c r="T6663" s="441"/>
      <c r="U6663" s="447"/>
      <c r="AA6663" s="218"/>
    </row>
    <row r="6664" spans="1:27" ht="36" x14ac:dyDescent="0.25">
      <c r="A6664" s="405">
        <v>3005225</v>
      </c>
      <c r="B6664" s="406">
        <v>42671</v>
      </c>
      <c r="C6664" s="405" t="s">
        <v>237</v>
      </c>
      <c r="D6664" s="401" t="s">
        <v>14252</v>
      </c>
      <c r="E6664" s="120">
        <v>500</v>
      </c>
      <c r="F6664" s="119" t="s">
        <v>14253</v>
      </c>
      <c r="G6664" s="404" t="s">
        <v>7486</v>
      </c>
      <c r="H6664" s="411">
        <v>569.38</v>
      </c>
      <c r="I6664" s="397">
        <f t="shared" ref="I6664:I6665" si="3071">-(H6664*0.15)</f>
        <v>-85.406999999999996</v>
      </c>
      <c r="J6664" s="258">
        <v>0</v>
      </c>
      <c r="K6664" s="90">
        <f t="shared" ref="K6664:K6669" si="3072">SUM(H6664:J6664)</f>
        <v>483.97300000000001</v>
      </c>
      <c r="L6664" s="187">
        <v>669</v>
      </c>
      <c r="M6664" s="187">
        <v>10.85</v>
      </c>
      <c r="N6664" s="91">
        <f t="shared" si="3066"/>
        <v>345.35</v>
      </c>
      <c r="O6664" s="411">
        <f t="shared" si="3069"/>
        <v>138.62299999999999</v>
      </c>
      <c r="P6664" s="132" t="s">
        <v>14254</v>
      </c>
      <c r="Q6664" s="232"/>
      <c r="R6664" s="411"/>
      <c r="T6664" s="134" t="s">
        <v>145</v>
      </c>
      <c r="U6664" s="267" t="s">
        <v>14255</v>
      </c>
      <c r="AA6664" s="218"/>
    </row>
    <row r="6665" spans="1:27" ht="24" x14ac:dyDescent="0.25">
      <c r="A6665" s="405">
        <v>3005226</v>
      </c>
      <c r="B6665" s="406">
        <v>42671</v>
      </c>
      <c r="C6665" s="405">
        <v>3</v>
      </c>
      <c r="D6665" s="401" t="s">
        <v>14256</v>
      </c>
      <c r="E6665" s="120">
        <v>500</v>
      </c>
      <c r="F6665" s="133" t="s">
        <v>6908</v>
      </c>
      <c r="G6665" s="404" t="s">
        <v>7486</v>
      </c>
      <c r="H6665" s="411">
        <v>104.72</v>
      </c>
      <c r="I6665" s="397">
        <f t="shared" si="3071"/>
        <v>-15.707999999999998</v>
      </c>
      <c r="J6665" s="258">
        <v>0</v>
      </c>
      <c r="K6665" s="90">
        <f t="shared" si="3072"/>
        <v>89.012</v>
      </c>
      <c r="M6665" s="187">
        <v>27.71</v>
      </c>
      <c r="N6665" s="91">
        <f t="shared" si="3066"/>
        <v>27.71</v>
      </c>
      <c r="O6665" s="411">
        <f t="shared" si="3069"/>
        <v>61.302</v>
      </c>
      <c r="P6665" s="132" t="s">
        <v>52</v>
      </c>
      <c r="Q6665" s="232"/>
      <c r="R6665" s="411"/>
      <c r="T6665" s="134" t="s">
        <v>145</v>
      </c>
      <c r="U6665" s="267" t="s">
        <v>14257</v>
      </c>
      <c r="AA6665" s="218"/>
    </row>
    <row r="6666" spans="1:27" x14ac:dyDescent="0.25">
      <c r="A6666" s="405">
        <v>3005227</v>
      </c>
      <c r="B6666" s="406">
        <v>42671</v>
      </c>
      <c r="C6666" s="405" t="s">
        <v>327</v>
      </c>
      <c r="D6666" s="401" t="s">
        <v>14258</v>
      </c>
      <c r="E6666" s="120">
        <v>225</v>
      </c>
      <c r="F6666" s="133" t="s">
        <v>70</v>
      </c>
      <c r="G6666" s="404" t="s">
        <v>45</v>
      </c>
      <c r="H6666" s="411">
        <v>611</v>
      </c>
      <c r="I6666" s="399">
        <v>0</v>
      </c>
      <c r="J6666" s="396">
        <f>-((H6666*0.022)+0.3)</f>
        <v>-13.741999999999999</v>
      </c>
      <c r="K6666" s="396">
        <f t="shared" si="3072"/>
        <v>597.25800000000004</v>
      </c>
      <c r="L6666" s="131">
        <v>1240</v>
      </c>
      <c r="M6666" s="187">
        <v>187.77</v>
      </c>
      <c r="N6666" s="91">
        <f t="shared" si="3066"/>
        <v>466.77</v>
      </c>
      <c r="O6666" s="411">
        <f t="shared" si="3069"/>
        <v>130.48800000000006</v>
      </c>
      <c r="P6666" s="132" t="s">
        <v>52</v>
      </c>
      <c r="Q6666" s="232"/>
      <c r="R6666" s="411"/>
      <c r="T6666" s="134" t="s">
        <v>97</v>
      </c>
      <c r="U6666" s="267" t="s">
        <v>14259</v>
      </c>
      <c r="V6666" s="133" t="s">
        <v>55</v>
      </c>
      <c r="W6666" s="153" t="s">
        <v>14260</v>
      </c>
      <c r="AA6666" s="218"/>
    </row>
    <row r="6667" spans="1:27" ht="24" x14ac:dyDescent="0.25">
      <c r="A6667" s="405">
        <v>3005228</v>
      </c>
      <c r="B6667" s="406">
        <v>42671</v>
      </c>
      <c r="C6667" s="405" t="s">
        <v>280</v>
      </c>
      <c r="D6667" s="401" t="s">
        <v>14261</v>
      </c>
      <c r="E6667" s="120">
        <v>130</v>
      </c>
      <c r="F6667" s="133" t="s">
        <v>178</v>
      </c>
      <c r="G6667" s="404" t="s">
        <v>7486</v>
      </c>
      <c r="H6667" s="411">
        <v>305</v>
      </c>
      <c r="I6667" s="399">
        <v>0</v>
      </c>
      <c r="J6667" s="396">
        <f>-((H6667*0.022)+0.3)</f>
        <v>-7.01</v>
      </c>
      <c r="K6667" s="396">
        <f t="shared" si="3072"/>
        <v>297.99</v>
      </c>
      <c r="L6667" s="131">
        <v>1170</v>
      </c>
      <c r="M6667" s="187">
        <v>37</v>
      </c>
      <c r="N6667" s="91">
        <f t="shared" si="3066"/>
        <v>189.1</v>
      </c>
      <c r="O6667" s="411">
        <f t="shared" si="3069"/>
        <v>108.89000000000001</v>
      </c>
      <c r="P6667" s="132" t="s">
        <v>52</v>
      </c>
      <c r="Q6667" s="232"/>
      <c r="R6667" s="411"/>
      <c r="T6667" s="134" t="s">
        <v>145</v>
      </c>
      <c r="U6667" s="267" t="s">
        <v>14262</v>
      </c>
      <c r="W6667" s="153" t="s">
        <v>14263</v>
      </c>
      <c r="AA6667" s="218"/>
    </row>
    <row r="6668" spans="1:27" x14ac:dyDescent="0.25">
      <c r="A6668" s="405">
        <v>3005229</v>
      </c>
      <c r="B6668" s="406">
        <v>42671</v>
      </c>
      <c r="C6668" s="405" t="s">
        <v>78</v>
      </c>
      <c r="D6668" s="401" t="s">
        <v>14264</v>
      </c>
      <c r="E6668" s="120">
        <v>630</v>
      </c>
      <c r="F6668" s="133" t="s">
        <v>14265</v>
      </c>
      <c r="G6668" s="404" t="s">
        <v>7486</v>
      </c>
      <c r="H6668" s="411">
        <v>3100</v>
      </c>
      <c r="I6668" s="411">
        <v>0</v>
      </c>
      <c r="J6668" s="258">
        <f t="shared" ref="J6668" si="3073">-((H6668*0.019)+0.3)</f>
        <v>-59.199999999999996</v>
      </c>
      <c r="K6668" s="396">
        <f t="shared" si="3072"/>
        <v>3040.8</v>
      </c>
      <c r="L6668" s="187">
        <v>2850</v>
      </c>
      <c r="M6668" s="131">
        <v>0</v>
      </c>
      <c r="N6668" s="91">
        <f t="shared" si="3066"/>
        <v>1795.5</v>
      </c>
      <c r="O6668" s="411">
        <f t="shared" si="3069"/>
        <v>1245.3000000000002</v>
      </c>
      <c r="P6668" s="132" t="s">
        <v>601</v>
      </c>
      <c r="Q6668" s="232"/>
      <c r="R6668" s="411"/>
      <c r="T6668" s="134" t="s">
        <v>14266</v>
      </c>
      <c r="U6668" s="266">
        <v>5007243992</v>
      </c>
      <c r="W6668" s="153" t="s">
        <v>14267</v>
      </c>
      <c r="AA6668" s="218">
        <v>10</v>
      </c>
    </row>
    <row r="6669" spans="1:27" ht="24" customHeight="1" x14ac:dyDescent="0.25">
      <c r="A6669" s="419">
        <v>3005230</v>
      </c>
      <c r="B6669" s="421">
        <v>42671</v>
      </c>
      <c r="C6669" s="419" t="s">
        <v>56</v>
      </c>
      <c r="D6669" s="417" t="s">
        <v>11489</v>
      </c>
      <c r="E6669" s="120">
        <v>4000</v>
      </c>
      <c r="F6669" s="133" t="s">
        <v>4440</v>
      </c>
      <c r="G6669" s="460" t="s">
        <v>7486</v>
      </c>
      <c r="H6669" s="427">
        <v>2520</v>
      </c>
      <c r="I6669" s="427">
        <v>0</v>
      </c>
      <c r="J6669" s="427">
        <v>0</v>
      </c>
      <c r="K6669" s="425">
        <f t="shared" si="3072"/>
        <v>2520</v>
      </c>
      <c r="L6669" s="187">
        <v>130.79</v>
      </c>
      <c r="N6669" s="91">
        <f t="shared" si="3066"/>
        <v>523.16</v>
      </c>
      <c r="O6669" s="411">
        <f t="shared" si="3069"/>
        <v>1996.8400000000001</v>
      </c>
      <c r="P6669" s="132" t="s">
        <v>2168</v>
      </c>
      <c r="Q6669" s="232"/>
      <c r="R6669" s="411"/>
      <c r="T6669" s="439" t="s">
        <v>324</v>
      </c>
      <c r="U6669" s="444" t="s">
        <v>14268</v>
      </c>
      <c r="V6669" s="133" t="s">
        <v>14205</v>
      </c>
      <c r="W6669" s="153" t="s">
        <v>2170</v>
      </c>
      <c r="AA6669" s="218"/>
    </row>
    <row r="6670" spans="1:27" x14ac:dyDescent="0.25">
      <c r="A6670" s="420"/>
      <c r="B6670" s="422"/>
      <c r="C6670" s="420"/>
      <c r="D6670" s="418"/>
      <c r="E6670" s="120">
        <v>2996</v>
      </c>
      <c r="F6670" s="133" t="s">
        <v>14269</v>
      </c>
      <c r="G6670" s="462"/>
      <c r="H6670" s="428"/>
      <c r="I6670" s="428"/>
      <c r="J6670" s="428"/>
      <c r="K6670" s="426"/>
      <c r="L6670" s="187">
        <v>130.79</v>
      </c>
      <c r="N6670" s="91">
        <f t="shared" si="3066"/>
        <v>391.84683999999999</v>
      </c>
      <c r="O6670" s="411">
        <f t="shared" si="3069"/>
        <v>-391.84683999999999</v>
      </c>
      <c r="P6670" s="132" t="s">
        <v>2168</v>
      </c>
      <c r="Q6670" s="232"/>
      <c r="R6670" s="411"/>
      <c r="T6670" s="441"/>
      <c r="U6670" s="445"/>
      <c r="AA6670" s="218"/>
    </row>
    <row r="6671" spans="1:27" ht="24" customHeight="1" x14ac:dyDescent="0.25">
      <c r="A6671" s="419">
        <v>3005231</v>
      </c>
      <c r="B6671" s="421">
        <v>42671</v>
      </c>
      <c r="C6671" s="419" t="s">
        <v>327</v>
      </c>
      <c r="D6671" s="429" t="s">
        <v>729</v>
      </c>
      <c r="E6671" s="120">
        <v>250</v>
      </c>
      <c r="F6671" s="133" t="s">
        <v>161</v>
      </c>
      <c r="G6671" s="434" t="s">
        <v>7486</v>
      </c>
      <c r="H6671" s="427">
        <v>625</v>
      </c>
      <c r="I6671" s="427">
        <v>0</v>
      </c>
      <c r="J6671" s="425">
        <f>-((H6671*0.022)+0.3)</f>
        <v>-14.05</v>
      </c>
      <c r="K6671" s="425">
        <f>SUM(H6671:J6671)</f>
        <v>610.95000000000005</v>
      </c>
      <c r="L6671" s="131">
        <v>1322</v>
      </c>
      <c r="M6671" s="187">
        <v>19.440000000000001</v>
      </c>
      <c r="N6671" s="91">
        <f t="shared" si="3066"/>
        <v>349.94</v>
      </c>
      <c r="O6671" s="411">
        <f t="shared" si="3069"/>
        <v>261.01000000000005</v>
      </c>
      <c r="P6671" s="132" t="s">
        <v>52</v>
      </c>
      <c r="Q6671" s="232"/>
      <c r="R6671" s="411"/>
      <c r="T6671" s="439" t="s">
        <v>145</v>
      </c>
      <c r="U6671" s="267" t="s">
        <v>14270</v>
      </c>
      <c r="W6671" s="153" t="s">
        <v>5286</v>
      </c>
      <c r="AA6671" s="218"/>
    </row>
    <row r="6672" spans="1:27" x14ac:dyDescent="0.25">
      <c r="A6672" s="420"/>
      <c r="B6672" s="422"/>
      <c r="C6672" s="420"/>
      <c r="D6672" s="431"/>
      <c r="E6672" s="120">
        <v>500</v>
      </c>
      <c r="F6672" s="133" t="s">
        <v>5287</v>
      </c>
      <c r="G6672" s="436"/>
      <c r="H6672" s="428"/>
      <c r="I6672" s="428"/>
      <c r="J6672" s="426"/>
      <c r="K6672" s="426"/>
      <c r="L6672" s="131">
        <v>125</v>
      </c>
      <c r="M6672" s="187">
        <v>48.91</v>
      </c>
      <c r="N6672" s="91">
        <f t="shared" si="3066"/>
        <v>111.41</v>
      </c>
      <c r="O6672" s="411">
        <f t="shared" si="3069"/>
        <v>-111.41</v>
      </c>
      <c r="P6672" s="132" t="s">
        <v>52</v>
      </c>
      <c r="Q6672" s="232"/>
      <c r="R6672" s="411"/>
      <c r="T6672" s="441"/>
      <c r="U6672" s="267" t="s">
        <v>14271</v>
      </c>
      <c r="AA6672" s="218"/>
    </row>
    <row r="6673" spans="1:27" ht="15" customHeight="1" x14ac:dyDescent="0.25">
      <c r="A6673" s="419">
        <v>3005232</v>
      </c>
      <c r="B6673" s="421">
        <v>42671</v>
      </c>
      <c r="C6673" s="419" t="s">
        <v>63</v>
      </c>
      <c r="D6673" s="417" t="s">
        <v>14272</v>
      </c>
      <c r="E6673" s="120">
        <v>1000</v>
      </c>
      <c r="F6673" s="133" t="s">
        <v>14242</v>
      </c>
      <c r="G6673" s="434" t="s">
        <v>7486</v>
      </c>
      <c r="H6673" s="427">
        <v>1213</v>
      </c>
      <c r="I6673" s="427">
        <v>0</v>
      </c>
      <c r="J6673" s="425">
        <f>-((H6673*0.022)+0.3)</f>
        <v>-26.986000000000001</v>
      </c>
      <c r="K6673" s="425">
        <f>SUM(H6673:J6673)</f>
        <v>1186.0139999999999</v>
      </c>
      <c r="L6673" s="187">
        <v>109.3</v>
      </c>
      <c r="M6673" s="187">
        <v>31.15</v>
      </c>
      <c r="N6673" s="91">
        <f t="shared" si="3066"/>
        <v>140.44999999999999</v>
      </c>
      <c r="O6673" s="411">
        <f t="shared" si="3069"/>
        <v>1045.5639999999999</v>
      </c>
      <c r="P6673" s="132" t="s">
        <v>76</v>
      </c>
      <c r="Q6673" s="232"/>
      <c r="R6673" s="411"/>
      <c r="T6673" s="439" t="s">
        <v>314</v>
      </c>
      <c r="U6673" s="308">
        <v>675157531570</v>
      </c>
      <c r="W6673" s="153" t="s">
        <v>14135</v>
      </c>
      <c r="AA6673" s="526">
        <v>10</v>
      </c>
    </row>
    <row r="6674" spans="1:27" x14ac:dyDescent="0.25">
      <c r="A6674" s="432"/>
      <c r="B6674" s="433"/>
      <c r="C6674" s="432"/>
      <c r="D6674" s="454"/>
      <c r="E6674" s="120">
        <v>500</v>
      </c>
      <c r="F6674" s="133" t="s">
        <v>14273</v>
      </c>
      <c r="G6674" s="435"/>
      <c r="H6674" s="438"/>
      <c r="I6674" s="438"/>
      <c r="J6674" s="437"/>
      <c r="K6674" s="437"/>
      <c r="L6674" s="187">
        <v>179.98</v>
      </c>
      <c r="M6674" s="187">
        <v>25.23</v>
      </c>
      <c r="N6674" s="91">
        <f t="shared" si="3066"/>
        <v>115.22</v>
      </c>
      <c r="O6674" s="411">
        <f t="shared" si="3069"/>
        <v>-115.22</v>
      </c>
      <c r="P6674" s="132" t="s">
        <v>76</v>
      </c>
      <c r="Q6674" s="232"/>
      <c r="R6674" s="411"/>
      <c r="T6674" s="440"/>
      <c r="U6674" s="312" t="s">
        <v>14274</v>
      </c>
      <c r="AA6674" s="540"/>
    </row>
    <row r="6675" spans="1:27" x14ac:dyDescent="0.25">
      <c r="A6675" s="432"/>
      <c r="B6675" s="433"/>
      <c r="C6675" s="432"/>
      <c r="D6675" s="454"/>
      <c r="E6675" s="120">
        <v>500</v>
      </c>
      <c r="F6675" s="133" t="s">
        <v>14275</v>
      </c>
      <c r="G6675" s="435"/>
      <c r="H6675" s="438"/>
      <c r="I6675" s="438"/>
      <c r="J6675" s="437"/>
      <c r="K6675" s="437"/>
      <c r="L6675" s="187">
        <v>179.98</v>
      </c>
      <c r="M6675" s="187">
        <v>26.23</v>
      </c>
      <c r="N6675" s="91">
        <f t="shared" si="3066"/>
        <v>116.22</v>
      </c>
      <c r="O6675" s="411">
        <f t="shared" si="3069"/>
        <v>-116.22</v>
      </c>
      <c r="P6675" s="132" t="s">
        <v>76</v>
      </c>
      <c r="Q6675" s="232"/>
      <c r="R6675" s="411"/>
      <c r="T6675" s="440"/>
      <c r="U6675" s="312">
        <v>675157531558</v>
      </c>
      <c r="AA6675" s="540"/>
    </row>
    <row r="6676" spans="1:27" x14ac:dyDescent="0.25">
      <c r="A6676" s="432"/>
      <c r="B6676" s="433"/>
      <c r="C6676" s="432"/>
      <c r="D6676" s="454"/>
      <c r="E6676" s="120">
        <v>500</v>
      </c>
      <c r="F6676" s="133" t="s">
        <v>14276</v>
      </c>
      <c r="G6676" s="435"/>
      <c r="H6676" s="438"/>
      <c r="I6676" s="438"/>
      <c r="J6676" s="437"/>
      <c r="K6676" s="437"/>
      <c r="L6676" s="187">
        <v>179.98</v>
      </c>
      <c r="M6676" s="187">
        <v>31.15</v>
      </c>
      <c r="N6676" s="91">
        <f t="shared" si="3066"/>
        <v>121.13999999999999</v>
      </c>
      <c r="O6676" s="411">
        <f t="shared" si="3069"/>
        <v>-121.13999999999999</v>
      </c>
      <c r="P6676" s="132" t="s">
        <v>76</v>
      </c>
      <c r="Q6676" s="232"/>
      <c r="R6676" s="411"/>
      <c r="T6676" s="440"/>
      <c r="U6676" s="312">
        <v>675157531569</v>
      </c>
      <c r="AA6676" s="540"/>
    </row>
    <row r="6677" spans="1:27" x14ac:dyDescent="0.25">
      <c r="A6677" s="432"/>
      <c r="B6677" s="433"/>
      <c r="C6677" s="432"/>
      <c r="D6677" s="454"/>
      <c r="E6677" s="120">
        <v>500</v>
      </c>
      <c r="F6677" s="133" t="s">
        <v>14277</v>
      </c>
      <c r="G6677" s="435"/>
      <c r="H6677" s="438"/>
      <c r="I6677" s="438"/>
      <c r="J6677" s="437"/>
      <c r="K6677" s="437"/>
      <c r="L6677" s="187">
        <v>276.89999999999998</v>
      </c>
      <c r="M6677" s="187">
        <v>26.23</v>
      </c>
      <c r="N6677" s="91">
        <f t="shared" si="3066"/>
        <v>164.67999999999998</v>
      </c>
      <c r="O6677" s="411">
        <f t="shared" si="3069"/>
        <v>-164.67999999999998</v>
      </c>
      <c r="P6677" s="132" t="s">
        <v>76</v>
      </c>
      <c r="Q6677" s="232"/>
      <c r="R6677" s="411"/>
      <c r="T6677" s="440"/>
      <c r="U6677" s="312">
        <v>675157531547</v>
      </c>
      <c r="AA6677" s="540"/>
    </row>
    <row r="6678" spans="1:27" x14ac:dyDescent="0.25">
      <c r="A6678" s="432"/>
      <c r="B6678" s="433"/>
      <c r="C6678" s="432"/>
      <c r="D6678" s="454"/>
      <c r="E6678" s="120">
        <v>500</v>
      </c>
      <c r="F6678" s="133" t="s">
        <v>12158</v>
      </c>
      <c r="G6678" s="435"/>
      <c r="H6678" s="438"/>
      <c r="I6678" s="438"/>
      <c r="J6678" s="437"/>
      <c r="K6678" s="437"/>
      <c r="L6678" s="187">
        <v>276.89999999999998</v>
      </c>
      <c r="M6678" s="187">
        <v>29.75</v>
      </c>
      <c r="N6678" s="91">
        <f t="shared" si="3066"/>
        <v>168.2</v>
      </c>
      <c r="O6678" s="411">
        <f t="shared" si="3069"/>
        <v>-168.2</v>
      </c>
      <c r="P6678" s="132" t="s">
        <v>76</v>
      </c>
      <c r="Q6678" s="232"/>
      <c r="R6678" s="411"/>
      <c r="T6678" s="441"/>
      <c r="U6678" s="309">
        <v>675157531580</v>
      </c>
      <c r="AA6678" s="540"/>
    </row>
    <row r="6679" spans="1:27" x14ac:dyDescent="0.25">
      <c r="A6679" s="432"/>
      <c r="B6679" s="433"/>
      <c r="C6679" s="432"/>
      <c r="D6679" s="454"/>
      <c r="E6679" s="120">
        <v>500</v>
      </c>
      <c r="F6679" s="133" t="s">
        <v>14278</v>
      </c>
      <c r="G6679" s="435"/>
      <c r="H6679" s="438"/>
      <c r="I6679" s="438"/>
      <c r="J6679" s="437"/>
      <c r="K6679" s="437"/>
      <c r="L6679" s="187">
        <v>341</v>
      </c>
      <c r="M6679" s="187">
        <v>16.37</v>
      </c>
      <c r="N6679" s="91">
        <f t="shared" si="3066"/>
        <v>186.87</v>
      </c>
      <c r="O6679" s="411">
        <f t="shared" si="3069"/>
        <v>-186.87</v>
      </c>
      <c r="P6679" s="132" t="s">
        <v>601</v>
      </c>
      <c r="Q6679" s="232"/>
      <c r="R6679" s="411"/>
      <c r="T6679" s="617" t="s">
        <v>145</v>
      </c>
      <c r="U6679" s="267" t="s">
        <v>14279</v>
      </c>
      <c r="V6679" s="318" t="s">
        <v>14280</v>
      </c>
      <c r="AA6679" s="540"/>
    </row>
    <row r="6680" spans="1:27" x14ac:dyDescent="0.25">
      <c r="A6680" s="420"/>
      <c r="B6680" s="422"/>
      <c r="C6680" s="420"/>
      <c r="D6680" s="418"/>
      <c r="E6680" s="120">
        <v>500</v>
      </c>
      <c r="F6680" s="133" t="s">
        <v>14281</v>
      </c>
      <c r="G6680" s="436"/>
      <c r="H6680" s="428"/>
      <c r="I6680" s="428"/>
      <c r="J6680" s="426"/>
      <c r="K6680" s="426"/>
      <c r="L6680" s="187">
        <v>349</v>
      </c>
      <c r="M6680" s="187">
        <v>17.170000000000002</v>
      </c>
      <c r="N6680" s="91">
        <f t="shared" si="3066"/>
        <v>191.67000000000002</v>
      </c>
      <c r="O6680" s="411">
        <f t="shared" si="3069"/>
        <v>-191.67000000000002</v>
      </c>
      <c r="P6680" s="132" t="s">
        <v>601</v>
      </c>
      <c r="Q6680" s="232"/>
      <c r="R6680" s="411"/>
      <c r="T6680" s="618"/>
      <c r="U6680" s="267" t="s">
        <v>14282</v>
      </c>
      <c r="V6680" s="318" t="s">
        <v>14280</v>
      </c>
      <c r="AA6680" s="527"/>
    </row>
    <row r="6681" spans="1:27" x14ac:dyDescent="0.25">
      <c r="A6681" s="405">
        <v>3005233</v>
      </c>
      <c r="B6681" s="406">
        <v>42671</v>
      </c>
      <c r="C6681" s="405" t="s">
        <v>63</v>
      </c>
      <c r="D6681" s="401" t="s">
        <v>14283</v>
      </c>
      <c r="E6681" s="120">
        <v>150</v>
      </c>
      <c r="F6681" s="133" t="s">
        <v>14284</v>
      </c>
      <c r="G6681" s="404" t="s">
        <v>7486</v>
      </c>
      <c r="H6681" s="411">
        <v>1620</v>
      </c>
      <c r="I6681" s="399">
        <v>0</v>
      </c>
      <c r="J6681" s="396">
        <f>-((H6681*0.022)+0.3)</f>
        <v>-35.94</v>
      </c>
      <c r="K6681" s="396">
        <f>SUM(H6681:J6681)</f>
        <v>1584.06</v>
      </c>
      <c r="L6681" s="187">
        <v>6379.33</v>
      </c>
      <c r="M6681" s="224">
        <f>102.32+60</f>
        <v>162.32</v>
      </c>
      <c r="N6681" s="91">
        <f t="shared" si="3066"/>
        <v>1119.2194999999999</v>
      </c>
      <c r="O6681" s="411">
        <f t="shared" si="3069"/>
        <v>464.84050000000002</v>
      </c>
      <c r="P6681" s="132" t="s">
        <v>66</v>
      </c>
      <c r="Q6681" s="232"/>
      <c r="R6681" s="411"/>
      <c r="T6681" s="134" t="s">
        <v>7260</v>
      </c>
      <c r="U6681" s="309" t="s">
        <v>14285</v>
      </c>
      <c r="V6681" s="133" t="s">
        <v>14286</v>
      </c>
      <c r="W6681" s="153" t="s">
        <v>14287</v>
      </c>
      <c r="AA6681" s="218">
        <v>10</v>
      </c>
    </row>
    <row r="6682" spans="1:27" ht="24" x14ac:dyDescent="0.25">
      <c r="A6682" s="405">
        <v>3005234</v>
      </c>
      <c r="B6682" s="406">
        <v>42671</v>
      </c>
      <c r="C6682" s="405" t="s">
        <v>56</v>
      </c>
      <c r="D6682" s="401" t="s">
        <v>14288</v>
      </c>
      <c r="E6682" s="120">
        <v>250</v>
      </c>
      <c r="F6682" s="133" t="s">
        <v>14289</v>
      </c>
      <c r="G6682" s="242" t="s">
        <v>7486</v>
      </c>
      <c r="H6682" s="411">
        <v>300</v>
      </c>
      <c r="I6682" s="411">
        <v>0</v>
      </c>
      <c r="J6682" s="411">
        <v>0</v>
      </c>
      <c r="K6682" s="396">
        <f>SUM(H6682:J6682)</f>
        <v>300</v>
      </c>
      <c r="L6682" s="187">
        <v>600</v>
      </c>
      <c r="M6682" s="224">
        <v>198.39</v>
      </c>
      <c r="N6682" s="91">
        <f t="shared" si="3066"/>
        <v>348.39</v>
      </c>
      <c r="O6682" s="411">
        <f t="shared" si="3069"/>
        <v>-48.389999999999986</v>
      </c>
      <c r="P6682" s="132" t="s">
        <v>183</v>
      </c>
      <c r="Q6682" s="232"/>
      <c r="R6682" s="411"/>
      <c r="T6682" s="134" t="s">
        <v>473</v>
      </c>
      <c r="U6682" s="267" t="s">
        <v>14290</v>
      </c>
      <c r="V6682" s="133" t="s">
        <v>14205</v>
      </c>
      <c r="W6682" s="153" t="s">
        <v>14291</v>
      </c>
      <c r="AA6682" s="218"/>
    </row>
    <row r="6683" spans="1:27" ht="24" x14ac:dyDescent="0.25">
      <c r="A6683" s="405">
        <v>3005235</v>
      </c>
      <c r="B6683" s="406">
        <v>42671</v>
      </c>
      <c r="C6683" s="405" t="s">
        <v>56</v>
      </c>
      <c r="D6683" s="401" t="s">
        <v>14288</v>
      </c>
      <c r="E6683" s="120">
        <v>250</v>
      </c>
      <c r="F6683" s="133" t="s">
        <v>14292</v>
      </c>
      <c r="G6683" s="242" t="s">
        <v>7486</v>
      </c>
      <c r="H6683" s="411">
        <v>297.5</v>
      </c>
      <c r="I6683" s="411">
        <v>0</v>
      </c>
      <c r="J6683" s="411">
        <v>0</v>
      </c>
      <c r="K6683" s="396">
        <f>SUM(H6683:J6683)</f>
        <v>297.5</v>
      </c>
      <c r="L6683" s="187">
        <v>420</v>
      </c>
      <c r="M6683" s="224">
        <v>124.52</v>
      </c>
      <c r="N6683" s="91">
        <f t="shared" si="3066"/>
        <v>229.51999999999998</v>
      </c>
      <c r="O6683" s="411">
        <f t="shared" si="3069"/>
        <v>67.980000000000018</v>
      </c>
      <c r="P6683" s="132" t="s">
        <v>183</v>
      </c>
      <c r="Q6683" s="232"/>
      <c r="R6683" s="411"/>
      <c r="T6683" s="134" t="s">
        <v>473</v>
      </c>
      <c r="U6683" s="267" t="s">
        <v>14293</v>
      </c>
      <c r="V6683" s="133" t="s">
        <v>14205</v>
      </c>
      <c r="W6683" s="153" t="s">
        <v>14291</v>
      </c>
      <c r="AA6683" s="218"/>
    </row>
    <row r="6684" spans="1:27" ht="24" x14ac:dyDescent="0.25">
      <c r="A6684" s="405">
        <v>3005236</v>
      </c>
      <c r="B6684" s="406">
        <v>42671</v>
      </c>
      <c r="C6684" s="405" t="s">
        <v>56</v>
      </c>
      <c r="D6684" s="401" t="s">
        <v>14288</v>
      </c>
      <c r="E6684" s="120">
        <v>250</v>
      </c>
      <c r="F6684" s="133" t="s">
        <v>14292</v>
      </c>
      <c r="G6684" s="242" t="s">
        <v>7486</v>
      </c>
      <c r="H6684" s="411">
        <v>1196.5</v>
      </c>
      <c r="I6684" s="411">
        <v>0</v>
      </c>
      <c r="J6684" s="411">
        <v>0</v>
      </c>
      <c r="K6684" s="396">
        <f>SUM(H6684:J6684)</f>
        <v>1196.5</v>
      </c>
      <c r="L6684" s="187">
        <v>420</v>
      </c>
      <c r="M6684" s="224">
        <v>124.52</v>
      </c>
      <c r="N6684" s="91">
        <f t="shared" si="3066"/>
        <v>229.51999999999998</v>
      </c>
      <c r="O6684" s="411">
        <f t="shared" si="3069"/>
        <v>966.98</v>
      </c>
      <c r="P6684" s="132" t="s">
        <v>183</v>
      </c>
      <c r="Q6684" s="232"/>
      <c r="R6684" s="411"/>
      <c r="T6684" s="134" t="s">
        <v>473</v>
      </c>
      <c r="U6684" s="267" t="s">
        <v>14294</v>
      </c>
      <c r="V6684" s="133" t="s">
        <v>14205</v>
      </c>
      <c r="W6684" s="153" t="s">
        <v>14291</v>
      </c>
      <c r="AA6684" s="218"/>
    </row>
    <row r="6685" spans="1:27" ht="24" x14ac:dyDescent="0.25">
      <c r="A6685" s="405">
        <v>3005237</v>
      </c>
      <c r="B6685" s="406">
        <v>42671</v>
      </c>
      <c r="C6685" s="405" t="s">
        <v>42</v>
      </c>
      <c r="D6685" s="401" t="s">
        <v>1471</v>
      </c>
      <c r="E6685" s="120">
        <v>70</v>
      </c>
      <c r="F6685" s="133" t="s">
        <v>300</v>
      </c>
      <c r="G6685" s="404" t="s">
        <v>7486</v>
      </c>
      <c r="H6685" s="411">
        <v>330.32</v>
      </c>
      <c r="I6685" s="89">
        <f>-(H6685*0.09)</f>
        <v>-29.7288</v>
      </c>
      <c r="J6685" s="258">
        <f t="shared" ref="J6685" si="3074">-((H6685*0.019)+0.3)</f>
        <v>-6.5760799999999993</v>
      </c>
      <c r="K6685" s="90">
        <f t="shared" ref="K6685" si="3075">SUM(H6685:J6685)</f>
        <v>294.01512000000002</v>
      </c>
      <c r="L6685" s="131">
        <v>2150</v>
      </c>
      <c r="M6685" s="187">
        <v>48.38</v>
      </c>
      <c r="N6685" s="91">
        <f t="shared" si="3066"/>
        <v>198.88000000000002</v>
      </c>
      <c r="O6685" s="411">
        <f t="shared" si="3069"/>
        <v>95.135120000000001</v>
      </c>
      <c r="P6685" s="132" t="s">
        <v>52</v>
      </c>
      <c r="Q6685" s="232"/>
      <c r="R6685" s="411"/>
      <c r="T6685" s="134" t="s">
        <v>145</v>
      </c>
      <c r="U6685" s="267" t="s">
        <v>14295</v>
      </c>
      <c r="AA6685" s="218"/>
    </row>
    <row r="6686" spans="1:27" ht="24" x14ac:dyDescent="0.25">
      <c r="A6686" s="405">
        <v>3005238</v>
      </c>
      <c r="B6686" s="406">
        <v>42671</v>
      </c>
      <c r="C6686" s="405" t="s">
        <v>42</v>
      </c>
      <c r="D6686" s="401" t="s">
        <v>14296</v>
      </c>
      <c r="E6686" s="120">
        <v>500</v>
      </c>
      <c r="F6686" s="133" t="s">
        <v>4729</v>
      </c>
      <c r="G6686" s="404" t="s">
        <v>7486</v>
      </c>
      <c r="H6686" s="411">
        <v>336.54</v>
      </c>
      <c r="I6686" s="89">
        <f>-(H6686*0.09)</f>
        <v>-30.288600000000002</v>
      </c>
      <c r="J6686" s="258">
        <f t="shared" ref="J6686" si="3076">-((H6686*0.019)+0.3)</f>
        <v>-6.6942599999999999</v>
      </c>
      <c r="K6686" s="90">
        <f t="shared" ref="K6686" si="3077">SUM(H6686:J6686)</f>
        <v>299.55714</v>
      </c>
      <c r="L6686" s="131">
        <v>300</v>
      </c>
      <c r="M6686" s="187">
        <f>40.16+37.47</f>
        <v>77.63</v>
      </c>
      <c r="N6686" s="91">
        <f t="shared" si="3066"/>
        <v>227.63</v>
      </c>
      <c r="O6686" s="411">
        <f t="shared" si="3069"/>
        <v>71.927140000000009</v>
      </c>
      <c r="P6686" s="132" t="s">
        <v>52</v>
      </c>
      <c r="Q6686" s="232"/>
      <c r="R6686" s="411"/>
      <c r="T6686" s="134" t="s">
        <v>145</v>
      </c>
      <c r="U6686" s="266" t="s">
        <v>14297</v>
      </c>
      <c r="AA6686" s="218"/>
    </row>
    <row r="6687" spans="1:27" ht="24" x14ac:dyDescent="0.25">
      <c r="A6687" s="405">
        <v>3005239</v>
      </c>
      <c r="B6687" s="406">
        <v>42671</v>
      </c>
      <c r="C6687" s="405" t="s">
        <v>42</v>
      </c>
      <c r="D6687" s="401" t="s">
        <v>1807</v>
      </c>
      <c r="E6687" s="120">
        <v>250</v>
      </c>
      <c r="F6687" s="133" t="s">
        <v>312</v>
      </c>
      <c r="G6687" s="404" t="s">
        <v>7486</v>
      </c>
      <c r="H6687" s="411">
        <v>246.73</v>
      </c>
      <c r="I6687" s="89">
        <f>-(H6687*0.09)</f>
        <v>-22.205699999999997</v>
      </c>
      <c r="J6687" s="361">
        <f t="shared" ref="J6687" si="3078">-((H6687*0.019)+0.3)</f>
        <v>-4.9878699999999991</v>
      </c>
      <c r="K6687" s="396">
        <f t="shared" ref="K6687:K6688" si="3079">SUM(H6687:J6687)</f>
        <v>219.53643</v>
      </c>
      <c r="L6687" s="142">
        <v>350</v>
      </c>
      <c r="M6687" s="201">
        <v>55.13</v>
      </c>
      <c r="N6687" s="91">
        <f t="shared" si="3066"/>
        <v>142.63</v>
      </c>
      <c r="O6687" s="411">
        <f t="shared" si="3069"/>
        <v>76.90643</v>
      </c>
      <c r="P6687" s="132" t="s">
        <v>52</v>
      </c>
      <c r="Q6687" s="232"/>
      <c r="R6687" s="411"/>
      <c r="T6687" s="134" t="s">
        <v>145</v>
      </c>
      <c r="U6687" s="267" t="s">
        <v>14298</v>
      </c>
      <c r="AA6687" s="218"/>
    </row>
    <row r="6688" spans="1:27" x14ac:dyDescent="0.25">
      <c r="A6688" s="419">
        <v>3005240</v>
      </c>
      <c r="B6688" s="421">
        <v>42671</v>
      </c>
      <c r="C6688" s="419" t="s">
        <v>56</v>
      </c>
      <c r="D6688" s="417" t="s">
        <v>14299</v>
      </c>
      <c r="E6688" s="120">
        <v>1000</v>
      </c>
      <c r="F6688" s="133" t="s">
        <v>1315</v>
      </c>
      <c r="G6688" s="434" t="s">
        <v>7486</v>
      </c>
      <c r="H6688" s="427">
        <v>426.9</v>
      </c>
      <c r="I6688" s="466">
        <v>0</v>
      </c>
      <c r="J6688" s="465">
        <v>0</v>
      </c>
      <c r="K6688" s="464">
        <f t="shared" si="3079"/>
        <v>426.9</v>
      </c>
      <c r="L6688" s="187">
        <v>200</v>
      </c>
      <c r="M6688" s="187">
        <v>34.92</v>
      </c>
      <c r="N6688" s="199">
        <f t="shared" si="3066"/>
        <v>234.92000000000002</v>
      </c>
      <c r="O6688" s="411">
        <f t="shared" si="3069"/>
        <v>191.97999999999996</v>
      </c>
      <c r="P6688" s="132" t="s">
        <v>235</v>
      </c>
      <c r="Q6688" s="232"/>
      <c r="R6688" s="411"/>
      <c r="T6688" s="439" t="s">
        <v>145</v>
      </c>
      <c r="U6688" s="267" t="s">
        <v>14300</v>
      </c>
      <c r="V6688" s="133" t="s">
        <v>12213</v>
      </c>
      <c r="W6688" s="153" t="s">
        <v>1796</v>
      </c>
      <c r="AA6688" s="218"/>
    </row>
    <row r="6689" spans="1:27" x14ac:dyDescent="0.25">
      <c r="A6689" s="432"/>
      <c r="B6689" s="433"/>
      <c r="C6689" s="432"/>
      <c r="D6689" s="454"/>
      <c r="E6689" s="120">
        <v>500</v>
      </c>
      <c r="F6689" s="133" t="s">
        <v>14301</v>
      </c>
      <c r="G6689" s="435"/>
      <c r="H6689" s="438"/>
      <c r="I6689" s="591"/>
      <c r="J6689" s="465"/>
      <c r="K6689" s="464"/>
      <c r="L6689" s="187">
        <v>80</v>
      </c>
      <c r="M6689" s="187">
        <v>19.739999999999998</v>
      </c>
      <c r="N6689" s="199">
        <f t="shared" si="3066"/>
        <v>59.739999999999995</v>
      </c>
      <c r="O6689" s="411">
        <f t="shared" si="3069"/>
        <v>-59.739999999999995</v>
      </c>
      <c r="P6689" s="132" t="s">
        <v>235</v>
      </c>
      <c r="Q6689" s="232"/>
      <c r="R6689" s="411"/>
      <c r="T6689" s="440"/>
      <c r="U6689" s="267" t="s">
        <v>14302</v>
      </c>
      <c r="AA6689" s="218"/>
    </row>
    <row r="6690" spans="1:27" x14ac:dyDescent="0.25">
      <c r="A6690" s="420"/>
      <c r="B6690" s="422"/>
      <c r="C6690" s="420"/>
      <c r="D6690" s="418"/>
      <c r="E6690" s="120">
        <v>500</v>
      </c>
      <c r="F6690" s="133" t="s">
        <v>6241</v>
      </c>
      <c r="G6690" s="436"/>
      <c r="H6690" s="428"/>
      <c r="I6690" s="467"/>
      <c r="J6690" s="465"/>
      <c r="K6690" s="464"/>
      <c r="L6690" s="187">
        <v>80</v>
      </c>
      <c r="M6690" s="187">
        <v>19.739999999999998</v>
      </c>
      <c r="N6690" s="199">
        <f t="shared" si="3066"/>
        <v>59.739999999999995</v>
      </c>
      <c r="O6690" s="411">
        <f t="shared" si="3069"/>
        <v>-59.739999999999995</v>
      </c>
      <c r="P6690" s="132" t="s">
        <v>235</v>
      </c>
      <c r="Q6690" s="232"/>
      <c r="R6690" s="411"/>
      <c r="T6690" s="441"/>
      <c r="U6690" s="267" t="s">
        <v>14303</v>
      </c>
      <c r="AA6690" s="218"/>
    </row>
    <row r="6691" spans="1:27" x14ac:dyDescent="0.25">
      <c r="A6691" s="405">
        <v>3005241</v>
      </c>
      <c r="B6691" s="406">
        <v>42671</v>
      </c>
      <c r="C6691" s="405" t="s">
        <v>141</v>
      </c>
      <c r="D6691" s="401" t="s">
        <v>678</v>
      </c>
      <c r="E6691" s="120">
        <v>5500</v>
      </c>
      <c r="F6691" s="133" t="s">
        <v>14304</v>
      </c>
      <c r="G6691" s="404" t="s">
        <v>7486</v>
      </c>
      <c r="H6691" s="411">
        <v>6325</v>
      </c>
      <c r="I6691" s="410">
        <v>0</v>
      </c>
      <c r="J6691" s="90">
        <f>-((H6691*0.0325)+0.3)</f>
        <v>-205.86250000000001</v>
      </c>
      <c r="K6691" s="90">
        <f t="shared" ref="K6691:K6696" si="3080">SUM(H6691:J6691)</f>
        <v>6119.1374999999998</v>
      </c>
      <c r="L6691" s="187">
        <v>695</v>
      </c>
      <c r="M6691" s="187">
        <v>0</v>
      </c>
      <c r="N6691" s="199">
        <f t="shared" si="3066"/>
        <v>3822.5</v>
      </c>
      <c r="O6691" s="411">
        <f t="shared" si="3069"/>
        <v>2296.6374999999998</v>
      </c>
      <c r="P6691" s="132" t="s">
        <v>66</v>
      </c>
      <c r="Q6691" s="232"/>
      <c r="R6691" s="411"/>
      <c r="T6691" s="134" t="s">
        <v>14305</v>
      </c>
      <c r="U6691" s="266">
        <v>59654866397</v>
      </c>
      <c r="W6691" s="153" t="s">
        <v>14306</v>
      </c>
      <c r="AA6691" s="218">
        <v>50</v>
      </c>
    </row>
    <row r="6692" spans="1:27" ht="24" x14ac:dyDescent="0.25">
      <c r="A6692" s="405">
        <v>3005242</v>
      </c>
      <c r="B6692" s="406">
        <v>42671</v>
      </c>
      <c r="C6692" s="405" t="s">
        <v>141</v>
      </c>
      <c r="D6692" s="401" t="s">
        <v>14307</v>
      </c>
      <c r="E6692" s="120">
        <v>1000</v>
      </c>
      <c r="F6692" s="133" t="s">
        <v>14308</v>
      </c>
      <c r="G6692" s="404" t="s">
        <v>7486</v>
      </c>
      <c r="H6692" s="411">
        <v>119.1</v>
      </c>
      <c r="I6692" s="410">
        <v>0</v>
      </c>
      <c r="J6692" s="90">
        <f>-((H6692*0.0325)+0.3)</f>
        <v>-4.17075</v>
      </c>
      <c r="K6692" s="90">
        <f t="shared" si="3080"/>
        <v>114.92925</v>
      </c>
      <c r="L6692" s="187">
        <v>75</v>
      </c>
      <c r="M6692" s="187">
        <v>9.65</v>
      </c>
      <c r="N6692" s="199">
        <f t="shared" si="3066"/>
        <v>84.65</v>
      </c>
      <c r="O6692" s="411">
        <f t="shared" si="3069"/>
        <v>30.27924999999999</v>
      </c>
      <c r="P6692" s="132" t="s">
        <v>1732</v>
      </c>
      <c r="Q6692" s="232"/>
      <c r="R6692" s="411"/>
      <c r="T6692" s="134" t="s">
        <v>145</v>
      </c>
      <c r="U6692" s="267" t="s">
        <v>14309</v>
      </c>
      <c r="W6692" s="153" t="s">
        <v>14310</v>
      </c>
      <c r="AA6692" s="218"/>
    </row>
    <row r="6693" spans="1:27" x14ac:dyDescent="0.25">
      <c r="A6693" s="405">
        <v>3005243</v>
      </c>
      <c r="B6693" s="406">
        <v>42674</v>
      </c>
      <c r="C6693" s="405" t="s">
        <v>63</v>
      </c>
      <c r="D6693" s="401" t="s">
        <v>14311</v>
      </c>
      <c r="E6693" s="120">
        <v>500</v>
      </c>
      <c r="F6693" s="133" t="s">
        <v>431</v>
      </c>
      <c r="G6693" s="404" t="s">
        <v>7486</v>
      </c>
      <c r="H6693" s="411">
        <v>1050</v>
      </c>
      <c r="I6693" s="399">
        <v>0</v>
      </c>
      <c r="J6693" s="396">
        <f>-((H6693*0.022)+0.3)</f>
        <v>-23.4</v>
      </c>
      <c r="K6693" s="396">
        <f t="shared" si="3080"/>
        <v>1026.5999999999999</v>
      </c>
      <c r="L6693" s="148">
        <v>950</v>
      </c>
      <c r="M6693" s="202">
        <v>114.9</v>
      </c>
      <c r="N6693" s="199">
        <f t="shared" si="3066"/>
        <v>589.9</v>
      </c>
      <c r="O6693" s="411">
        <f t="shared" si="3069"/>
        <v>436.69999999999993</v>
      </c>
      <c r="P6693" s="132" t="s">
        <v>52</v>
      </c>
      <c r="Q6693" s="232"/>
      <c r="R6693" s="411"/>
      <c r="T6693" s="134" t="s">
        <v>7260</v>
      </c>
      <c r="U6693" s="267" t="s">
        <v>14312</v>
      </c>
      <c r="V6693" s="133" t="s">
        <v>55</v>
      </c>
      <c r="W6693" s="153" t="s">
        <v>14313</v>
      </c>
      <c r="AA6693" s="218">
        <v>10</v>
      </c>
    </row>
    <row r="6694" spans="1:27" ht="24" x14ac:dyDescent="0.25">
      <c r="A6694" s="405">
        <v>3005244</v>
      </c>
      <c r="B6694" s="406">
        <v>42674</v>
      </c>
      <c r="C6694" s="405" t="s">
        <v>56</v>
      </c>
      <c r="D6694" s="401" t="s">
        <v>14288</v>
      </c>
      <c r="E6694" s="120">
        <v>50</v>
      </c>
      <c r="F6694" s="133" t="s">
        <v>14292</v>
      </c>
      <c r="G6694" s="242" t="s">
        <v>7486</v>
      </c>
      <c r="H6694" s="411">
        <v>59.5</v>
      </c>
      <c r="I6694" s="411">
        <v>0</v>
      </c>
      <c r="J6694" s="411">
        <v>0</v>
      </c>
      <c r="K6694" s="396">
        <f t="shared" si="3080"/>
        <v>59.5</v>
      </c>
      <c r="L6694" s="187">
        <v>600</v>
      </c>
      <c r="M6694" s="187">
        <v>75.680000000000007</v>
      </c>
      <c r="N6694" s="199">
        <f t="shared" si="3066"/>
        <v>105.68</v>
      </c>
      <c r="O6694" s="411">
        <f t="shared" si="3069"/>
        <v>-46.180000000000007</v>
      </c>
      <c r="P6694" s="132" t="s">
        <v>183</v>
      </c>
      <c r="Q6694" s="232"/>
      <c r="R6694" s="411"/>
      <c r="T6694" s="134" t="s">
        <v>145</v>
      </c>
      <c r="U6694" s="267" t="s">
        <v>14314</v>
      </c>
      <c r="V6694" s="133" t="s">
        <v>14205</v>
      </c>
      <c r="W6694" s="153" t="s">
        <v>14291</v>
      </c>
      <c r="AA6694" s="218"/>
    </row>
    <row r="6695" spans="1:27" x14ac:dyDescent="0.25">
      <c r="A6695" s="405">
        <v>3005245</v>
      </c>
      <c r="B6695" s="406">
        <v>42674</v>
      </c>
      <c r="C6695" s="405" t="s">
        <v>56</v>
      </c>
      <c r="D6695" s="401" t="s">
        <v>14288</v>
      </c>
      <c r="E6695" s="120">
        <v>50</v>
      </c>
      <c r="F6695" s="133" t="s">
        <v>14289</v>
      </c>
      <c r="G6695" s="193" t="s">
        <v>6199</v>
      </c>
      <c r="H6695" s="411">
        <v>0</v>
      </c>
      <c r="I6695" s="411">
        <v>0</v>
      </c>
      <c r="J6695" s="411">
        <v>0</v>
      </c>
      <c r="K6695" s="396">
        <f t="shared" si="3080"/>
        <v>0</v>
      </c>
      <c r="N6695" s="199">
        <f t="shared" si="3066"/>
        <v>0</v>
      </c>
      <c r="O6695" s="411">
        <f t="shared" si="3069"/>
        <v>0</v>
      </c>
      <c r="P6695" s="132" t="s">
        <v>183</v>
      </c>
      <c r="Q6695" s="232"/>
      <c r="R6695" s="411"/>
      <c r="T6695" s="134"/>
      <c r="U6695" s="266"/>
      <c r="W6695" s="153" t="s">
        <v>14291</v>
      </c>
      <c r="AA6695" s="218"/>
    </row>
    <row r="6696" spans="1:27" ht="24" x14ac:dyDescent="0.25">
      <c r="A6696" s="405">
        <v>3005246</v>
      </c>
      <c r="B6696" s="406">
        <v>42674</v>
      </c>
      <c r="C6696" s="405" t="s">
        <v>56</v>
      </c>
      <c r="D6696" s="401" t="s">
        <v>14288</v>
      </c>
      <c r="E6696" s="120">
        <v>50</v>
      </c>
      <c r="F6696" s="133" t="s">
        <v>14292</v>
      </c>
      <c r="G6696" s="242" t="s">
        <v>7486</v>
      </c>
      <c r="H6696" s="411">
        <v>909.5</v>
      </c>
      <c r="I6696" s="411">
        <v>0</v>
      </c>
      <c r="J6696" s="411">
        <v>0</v>
      </c>
      <c r="K6696" s="396">
        <f t="shared" si="3080"/>
        <v>909.5</v>
      </c>
      <c r="L6696" s="187">
        <v>600</v>
      </c>
      <c r="M6696" s="187">
        <v>79.680000000000007</v>
      </c>
      <c r="N6696" s="199">
        <f t="shared" si="3066"/>
        <v>109.68</v>
      </c>
      <c r="O6696" s="411">
        <f t="shared" si="3069"/>
        <v>799.81999999999994</v>
      </c>
      <c r="P6696" s="132" t="s">
        <v>183</v>
      </c>
      <c r="Q6696" s="232"/>
      <c r="R6696" s="411"/>
      <c r="T6696" s="134" t="s">
        <v>145</v>
      </c>
      <c r="U6696" s="267" t="s">
        <v>14315</v>
      </c>
      <c r="V6696" s="133" t="s">
        <v>14205</v>
      </c>
      <c r="W6696" s="153" t="s">
        <v>14291</v>
      </c>
      <c r="AA6696" s="218"/>
    </row>
    <row r="6697" spans="1:27" ht="24" x14ac:dyDescent="0.25">
      <c r="A6697" s="405">
        <v>3005247</v>
      </c>
      <c r="B6697" s="406">
        <v>42674</v>
      </c>
      <c r="C6697" s="405" t="s">
        <v>42</v>
      </c>
      <c r="D6697" s="401" t="s">
        <v>14316</v>
      </c>
      <c r="E6697" s="120">
        <v>150</v>
      </c>
      <c r="F6697" s="133" t="s">
        <v>165</v>
      </c>
      <c r="G6697" s="404" t="s">
        <v>7486</v>
      </c>
      <c r="H6697" s="411">
        <v>151.19</v>
      </c>
      <c r="I6697" s="89">
        <f t="shared" ref="I6697:I6712" si="3081">-(H6697*0.09)</f>
        <v>-13.607099999999999</v>
      </c>
      <c r="J6697" s="361">
        <f t="shared" ref="J6697" si="3082">-((H6697*0.019)+0.3)</f>
        <v>-3.1726099999999997</v>
      </c>
      <c r="K6697" s="396">
        <f t="shared" ref="K6697" si="3083">SUM(H6697:J6697)</f>
        <v>134.41029</v>
      </c>
      <c r="L6697" s="131">
        <v>375</v>
      </c>
      <c r="M6697" s="187">
        <v>41.24</v>
      </c>
      <c r="N6697" s="199">
        <f t="shared" si="3066"/>
        <v>97.490000000000009</v>
      </c>
      <c r="O6697" s="411">
        <f t="shared" si="3069"/>
        <v>36.920289999999994</v>
      </c>
      <c r="P6697" s="132" t="s">
        <v>86</v>
      </c>
      <c r="Q6697" s="232"/>
      <c r="R6697" s="411"/>
      <c r="T6697" s="134" t="s">
        <v>145</v>
      </c>
      <c r="U6697" s="267" t="s">
        <v>14317</v>
      </c>
      <c r="AA6697" s="218"/>
    </row>
    <row r="6698" spans="1:27" ht="24" x14ac:dyDescent="0.25">
      <c r="A6698" s="405">
        <v>3005248</v>
      </c>
      <c r="B6698" s="406">
        <v>42674</v>
      </c>
      <c r="C6698" s="405" t="s">
        <v>42</v>
      </c>
      <c r="D6698" s="401" t="s">
        <v>14318</v>
      </c>
      <c r="E6698" s="120">
        <v>500</v>
      </c>
      <c r="F6698" s="133" t="s">
        <v>1137</v>
      </c>
      <c r="G6698" s="404" t="s">
        <v>7486</v>
      </c>
      <c r="H6698" s="411">
        <v>230</v>
      </c>
      <c r="I6698" s="89">
        <f t="shared" si="3081"/>
        <v>-20.7</v>
      </c>
      <c r="J6698" s="361">
        <f t="shared" ref="J6698" si="3084">-((H6698*0.019)+0.3)</f>
        <v>-4.67</v>
      </c>
      <c r="K6698" s="396">
        <f t="shared" ref="K6698" si="3085">SUM(H6698:J6698)</f>
        <v>204.63000000000002</v>
      </c>
      <c r="L6698" s="131">
        <v>220</v>
      </c>
      <c r="M6698" s="187">
        <v>46.9</v>
      </c>
      <c r="N6698" s="199">
        <f t="shared" si="3066"/>
        <v>156.9</v>
      </c>
      <c r="O6698" s="411">
        <f t="shared" si="3069"/>
        <v>47.730000000000018</v>
      </c>
      <c r="P6698" s="132" t="s">
        <v>52</v>
      </c>
      <c r="Q6698" s="232"/>
      <c r="R6698" s="411"/>
      <c r="T6698" s="134" t="s">
        <v>145</v>
      </c>
      <c r="U6698" s="267" t="s">
        <v>14319</v>
      </c>
      <c r="AA6698" s="218"/>
    </row>
    <row r="6699" spans="1:27" ht="24" x14ac:dyDescent="0.25">
      <c r="A6699" s="405">
        <v>3005249</v>
      </c>
      <c r="B6699" s="406">
        <v>42674</v>
      </c>
      <c r="C6699" s="405" t="s">
        <v>42</v>
      </c>
      <c r="D6699" s="401" t="s">
        <v>14320</v>
      </c>
      <c r="E6699" s="120">
        <v>225</v>
      </c>
      <c r="F6699" s="133" t="s">
        <v>227</v>
      </c>
      <c r="G6699" s="404" t="s">
        <v>7486</v>
      </c>
      <c r="H6699" s="411">
        <v>200.37</v>
      </c>
      <c r="I6699" s="89">
        <f t="shared" si="3081"/>
        <v>-18.033300000000001</v>
      </c>
      <c r="J6699" s="361">
        <f t="shared" ref="J6699" si="3086">-((H6699*0.019)+0.3)</f>
        <v>-4.10703</v>
      </c>
      <c r="K6699" s="396">
        <f t="shared" ref="K6699" si="3087">SUM(H6699:J6699)</f>
        <v>178.22967</v>
      </c>
      <c r="L6699" s="131">
        <v>350</v>
      </c>
      <c r="M6699" s="187">
        <v>32.46</v>
      </c>
      <c r="N6699" s="199">
        <f t="shared" si="3066"/>
        <v>111.21000000000001</v>
      </c>
      <c r="O6699" s="411">
        <f t="shared" si="3069"/>
        <v>67.019669999999991</v>
      </c>
      <c r="P6699" s="132" t="s">
        <v>52</v>
      </c>
      <c r="Q6699" s="232"/>
      <c r="R6699" s="411"/>
      <c r="T6699" s="134" t="s">
        <v>145</v>
      </c>
      <c r="U6699" s="267" t="s">
        <v>14321</v>
      </c>
      <c r="AA6699" s="218"/>
    </row>
    <row r="6700" spans="1:27" ht="24" x14ac:dyDescent="0.25">
      <c r="A6700" s="405">
        <v>3005250</v>
      </c>
      <c r="B6700" s="406">
        <v>42674</v>
      </c>
      <c r="C6700" s="405" t="s">
        <v>42</v>
      </c>
      <c r="D6700" s="401" t="s">
        <v>14322</v>
      </c>
      <c r="E6700" s="120">
        <v>100</v>
      </c>
      <c r="F6700" s="133" t="s">
        <v>431</v>
      </c>
      <c r="G6700" s="404" t="s">
        <v>7486</v>
      </c>
      <c r="H6700" s="411">
        <v>200.08</v>
      </c>
      <c r="I6700" s="89">
        <f t="shared" si="3081"/>
        <v>-18.007200000000001</v>
      </c>
      <c r="J6700" s="361">
        <f t="shared" ref="J6700" si="3088">-((H6700*0.019)+0.3)</f>
        <v>-4.1015199999999998</v>
      </c>
      <c r="K6700" s="396">
        <f t="shared" ref="K6700" si="3089">SUM(H6700:J6700)</f>
        <v>177.97128000000001</v>
      </c>
      <c r="L6700" s="131">
        <v>950</v>
      </c>
      <c r="M6700" s="187">
        <v>33.89</v>
      </c>
      <c r="N6700" s="199">
        <f t="shared" si="3066"/>
        <v>128.88999999999999</v>
      </c>
      <c r="O6700" s="411">
        <f t="shared" si="3069"/>
        <v>49.081280000000021</v>
      </c>
      <c r="P6700" s="132" t="s">
        <v>52</v>
      </c>
      <c r="Q6700" s="232"/>
      <c r="R6700" s="411"/>
      <c r="T6700" s="134" t="s">
        <v>145</v>
      </c>
      <c r="U6700" s="267" t="s">
        <v>14323</v>
      </c>
      <c r="AA6700" s="218"/>
    </row>
    <row r="6701" spans="1:27" ht="24" x14ac:dyDescent="0.25">
      <c r="A6701" s="405">
        <v>3005251</v>
      </c>
      <c r="B6701" s="406">
        <v>42674</v>
      </c>
      <c r="C6701" s="405" t="s">
        <v>42</v>
      </c>
      <c r="D6701" s="401" t="s">
        <v>14324</v>
      </c>
      <c r="E6701" s="120">
        <v>150</v>
      </c>
      <c r="F6701" s="133" t="s">
        <v>341</v>
      </c>
      <c r="G6701" s="404" t="s">
        <v>7486</v>
      </c>
      <c r="H6701" s="411">
        <v>248.2</v>
      </c>
      <c r="I6701" s="89">
        <f t="shared" si="3081"/>
        <v>-22.337999999999997</v>
      </c>
      <c r="J6701" s="361">
        <f t="shared" ref="J6701" si="3090">-((H6701*0.019)+0.3)</f>
        <v>-5.0157999999999996</v>
      </c>
      <c r="K6701" s="396">
        <f t="shared" ref="K6701" si="3091">SUM(H6701:J6701)</f>
        <v>220.84619999999998</v>
      </c>
      <c r="L6701" s="131">
        <v>698</v>
      </c>
      <c r="M6701" s="187">
        <v>26.35</v>
      </c>
      <c r="N6701" s="199">
        <f t="shared" si="3066"/>
        <v>131.05000000000001</v>
      </c>
      <c r="O6701" s="411">
        <f t="shared" si="3069"/>
        <v>89.79619999999997</v>
      </c>
      <c r="P6701" s="132" t="s">
        <v>52</v>
      </c>
      <c r="Q6701" s="232"/>
      <c r="R6701" s="411"/>
      <c r="T6701" s="134" t="s">
        <v>145</v>
      </c>
      <c r="U6701" s="267" t="s">
        <v>14325</v>
      </c>
      <c r="AA6701" s="218"/>
    </row>
    <row r="6702" spans="1:27" x14ac:dyDescent="0.25">
      <c r="A6702" s="405">
        <v>3005252</v>
      </c>
      <c r="B6702" s="406">
        <v>42674</v>
      </c>
      <c r="C6702" s="405" t="s">
        <v>42</v>
      </c>
      <c r="D6702" s="401" t="s">
        <v>14326</v>
      </c>
      <c r="E6702" s="120">
        <v>300</v>
      </c>
      <c r="F6702" s="133" t="s">
        <v>860</v>
      </c>
      <c r="G6702" s="404" t="s">
        <v>7486</v>
      </c>
      <c r="H6702" s="411">
        <v>2025</v>
      </c>
      <c r="I6702" s="89">
        <f t="shared" si="3081"/>
        <v>-182.25</v>
      </c>
      <c r="J6702" s="361">
        <f t="shared" ref="J6702" si="3092">-((H6702*0.019)+0.3)</f>
        <v>-38.774999999999999</v>
      </c>
      <c r="K6702" s="396">
        <f t="shared" ref="K6702" si="3093">SUM(H6702:J6702)</f>
        <v>1803.9749999999999</v>
      </c>
      <c r="L6702" s="131">
        <v>3300</v>
      </c>
      <c r="M6702" s="187">
        <v>114.9</v>
      </c>
      <c r="N6702" s="199">
        <f t="shared" si="3066"/>
        <v>1104.9000000000001</v>
      </c>
      <c r="O6702" s="411">
        <f t="shared" si="3069"/>
        <v>699.07499999999982</v>
      </c>
      <c r="P6702" s="132" t="s">
        <v>52</v>
      </c>
      <c r="Q6702" s="232"/>
      <c r="R6702" s="411"/>
      <c r="T6702" s="134" t="s">
        <v>7260</v>
      </c>
      <c r="U6702" s="267" t="s">
        <v>14327</v>
      </c>
      <c r="V6702" s="133" t="s">
        <v>55</v>
      </c>
      <c r="AA6702" s="218"/>
    </row>
    <row r="6703" spans="1:27" ht="24" x14ac:dyDescent="0.25">
      <c r="A6703" s="405">
        <v>3005253</v>
      </c>
      <c r="B6703" s="406">
        <v>42674</v>
      </c>
      <c r="C6703" s="405" t="s">
        <v>42</v>
      </c>
      <c r="D6703" s="401" t="s">
        <v>14328</v>
      </c>
      <c r="E6703" s="120">
        <v>200</v>
      </c>
      <c r="F6703" s="133" t="s">
        <v>2949</v>
      </c>
      <c r="G6703" s="404" t="s">
        <v>7486</v>
      </c>
      <c r="H6703" s="411">
        <v>456</v>
      </c>
      <c r="I6703" s="89">
        <f t="shared" si="3081"/>
        <v>-41.04</v>
      </c>
      <c r="J6703" s="361">
        <f t="shared" ref="J6703" si="3094">-((H6703*0.019)+0.3)</f>
        <v>-8.9640000000000004</v>
      </c>
      <c r="K6703" s="396">
        <f t="shared" ref="K6703" si="3095">SUM(H6703:J6703)</f>
        <v>405.99599999999998</v>
      </c>
      <c r="L6703" s="131">
        <v>1100</v>
      </c>
      <c r="M6703" s="187">
        <v>53.06</v>
      </c>
      <c r="N6703" s="199">
        <f t="shared" si="3066"/>
        <v>273.06</v>
      </c>
      <c r="O6703" s="411">
        <f t="shared" si="3069"/>
        <v>132.93599999999998</v>
      </c>
      <c r="P6703" s="132" t="s">
        <v>52</v>
      </c>
      <c r="Q6703" s="232"/>
      <c r="R6703" s="411"/>
      <c r="T6703" s="134" t="s">
        <v>145</v>
      </c>
      <c r="U6703" s="267" t="s">
        <v>14329</v>
      </c>
      <c r="AA6703" s="218"/>
    </row>
    <row r="6704" spans="1:27" ht="24" x14ac:dyDescent="0.25">
      <c r="A6704" s="405">
        <v>3005254</v>
      </c>
      <c r="B6704" s="406">
        <v>42674</v>
      </c>
      <c r="C6704" s="405" t="s">
        <v>42</v>
      </c>
      <c r="D6704" s="401" t="s">
        <v>14330</v>
      </c>
      <c r="E6704" s="120">
        <v>250</v>
      </c>
      <c r="F6704" s="133" t="s">
        <v>292</v>
      </c>
      <c r="G6704" s="404" t="s">
        <v>7486</v>
      </c>
      <c r="H6704" s="411">
        <v>183.4</v>
      </c>
      <c r="I6704" s="89">
        <f t="shared" si="3081"/>
        <v>-16.506</v>
      </c>
      <c r="J6704" s="361">
        <f t="shared" ref="J6704" si="3096">-((H6704*0.019)+0.3)</f>
        <v>-3.7845999999999997</v>
      </c>
      <c r="K6704" s="396">
        <f t="shared" ref="K6704" si="3097">SUM(H6704:J6704)</f>
        <v>163.10939999999999</v>
      </c>
      <c r="L6704" s="131">
        <v>375</v>
      </c>
      <c r="M6704" s="187">
        <v>35.840000000000003</v>
      </c>
      <c r="N6704" s="199">
        <f t="shared" si="3066"/>
        <v>129.59</v>
      </c>
      <c r="O6704" s="411">
        <f t="shared" si="3069"/>
        <v>33.51939999999999</v>
      </c>
      <c r="P6704" s="132" t="s">
        <v>52</v>
      </c>
      <c r="Q6704" s="232"/>
      <c r="R6704" s="411"/>
      <c r="T6704" s="134" t="s">
        <v>145</v>
      </c>
      <c r="U6704" s="267" t="s">
        <v>14331</v>
      </c>
      <c r="AA6704" s="218"/>
    </row>
    <row r="6705" spans="1:27" ht="24" x14ac:dyDescent="0.25">
      <c r="A6705" s="405">
        <v>3005255</v>
      </c>
      <c r="B6705" s="406">
        <v>42674</v>
      </c>
      <c r="C6705" s="405" t="s">
        <v>42</v>
      </c>
      <c r="D6705" s="401" t="s">
        <v>14332</v>
      </c>
      <c r="E6705" s="120">
        <v>125</v>
      </c>
      <c r="F6705" s="133" t="s">
        <v>247</v>
      </c>
      <c r="G6705" s="404" t="s">
        <v>7486</v>
      </c>
      <c r="H6705" s="411">
        <v>152.38</v>
      </c>
      <c r="I6705" s="89">
        <f t="shared" si="3081"/>
        <v>-13.7142</v>
      </c>
      <c r="J6705" s="361">
        <f t="shared" ref="J6705" si="3098">-((H6705*0.019)+0.3)</f>
        <v>-3.1952199999999995</v>
      </c>
      <c r="K6705" s="396">
        <f t="shared" ref="K6705" si="3099">SUM(H6705:J6705)</f>
        <v>135.47057999999998</v>
      </c>
      <c r="L6705" s="131">
        <v>424</v>
      </c>
      <c r="M6705" s="187">
        <v>24.33</v>
      </c>
      <c r="N6705" s="199">
        <f t="shared" si="3066"/>
        <v>77.33</v>
      </c>
      <c r="O6705" s="411">
        <f t="shared" si="3069"/>
        <v>58.140579999999986</v>
      </c>
      <c r="P6705" s="132" t="s">
        <v>52</v>
      </c>
      <c r="Q6705" s="232"/>
      <c r="R6705" s="411"/>
      <c r="T6705" s="134" t="s">
        <v>145</v>
      </c>
      <c r="U6705" s="267" t="s">
        <v>14333</v>
      </c>
      <c r="AA6705" s="218"/>
    </row>
    <row r="6706" spans="1:27" ht="24" x14ac:dyDescent="0.25">
      <c r="A6706" s="405">
        <v>3005256</v>
      </c>
      <c r="B6706" s="406">
        <v>42674</v>
      </c>
      <c r="C6706" s="405" t="s">
        <v>42</v>
      </c>
      <c r="D6706" s="401" t="s">
        <v>14334</v>
      </c>
      <c r="E6706" s="120">
        <v>250</v>
      </c>
      <c r="F6706" s="133" t="s">
        <v>3955</v>
      </c>
      <c r="G6706" s="404" t="s">
        <v>7486</v>
      </c>
      <c r="H6706" s="411">
        <v>199.5</v>
      </c>
      <c r="I6706" s="89">
        <f t="shared" si="3081"/>
        <v>-17.954999999999998</v>
      </c>
      <c r="J6706" s="361">
        <f t="shared" ref="J6706" si="3100">-((H6706*0.019)+0.3)</f>
        <v>-4.0904999999999996</v>
      </c>
      <c r="K6706" s="396">
        <f t="shared" ref="K6706" si="3101">SUM(H6706:J6706)</f>
        <v>177.45450000000002</v>
      </c>
      <c r="L6706" s="131">
        <v>312</v>
      </c>
      <c r="M6706" s="187">
        <v>30.43</v>
      </c>
      <c r="N6706" s="199">
        <f t="shared" si="3066"/>
        <v>108.43</v>
      </c>
      <c r="O6706" s="411">
        <f t="shared" si="3069"/>
        <v>69.024500000000018</v>
      </c>
      <c r="P6706" s="132" t="s">
        <v>52</v>
      </c>
      <c r="Q6706" s="232"/>
      <c r="R6706" s="411"/>
      <c r="T6706" s="134" t="s">
        <v>145</v>
      </c>
      <c r="U6706" s="267" t="s">
        <v>14335</v>
      </c>
      <c r="AA6706" s="218"/>
    </row>
    <row r="6707" spans="1:27" ht="24" x14ac:dyDescent="0.25">
      <c r="A6707" s="405">
        <v>3005257</v>
      </c>
      <c r="B6707" s="406">
        <v>42674</v>
      </c>
      <c r="C6707" s="405" t="s">
        <v>42</v>
      </c>
      <c r="D6707" s="401" t="s">
        <v>14336</v>
      </c>
      <c r="E6707" s="120">
        <v>250</v>
      </c>
      <c r="F6707" s="133" t="s">
        <v>6391</v>
      </c>
      <c r="G6707" s="404" t="s">
        <v>7486</v>
      </c>
      <c r="H6707" s="411">
        <v>249.38</v>
      </c>
      <c r="I6707" s="89">
        <f t="shared" si="3081"/>
        <v>-22.444199999999999</v>
      </c>
      <c r="J6707" s="361">
        <f t="shared" ref="J6707" si="3102">-((H6707*0.019)+0.3)</f>
        <v>-5.0382199999999999</v>
      </c>
      <c r="K6707" s="396">
        <f t="shared" ref="K6707" si="3103">SUM(H6707:J6707)</f>
        <v>221.89758</v>
      </c>
      <c r="M6707" s="187">
        <v>23.73</v>
      </c>
      <c r="N6707" s="199">
        <f t="shared" si="3066"/>
        <v>23.73</v>
      </c>
      <c r="O6707" s="411">
        <f t="shared" si="3069"/>
        <v>198.16758000000002</v>
      </c>
      <c r="P6707" s="132" t="s">
        <v>52</v>
      </c>
      <c r="Q6707" s="232"/>
      <c r="R6707" s="411"/>
      <c r="T6707" s="134" t="s">
        <v>145</v>
      </c>
      <c r="U6707" s="267" t="s">
        <v>14337</v>
      </c>
      <c r="AA6707" s="218"/>
    </row>
    <row r="6708" spans="1:27" ht="24" x14ac:dyDescent="0.25">
      <c r="A6708" s="405">
        <v>3005258</v>
      </c>
      <c r="B6708" s="406">
        <v>42674</v>
      </c>
      <c r="C6708" s="405" t="s">
        <v>42</v>
      </c>
      <c r="D6708" s="401" t="s">
        <v>14338</v>
      </c>
      <c r="E6708" s="120">
        <v>50</v>
      </c>
      <c r="F6708" s="133" t="s">
        <v>829</v>
      </c>
      <c r="G6708" s="404" t="s">
        <v>7486</v>
      </c>
      <c r="H6708" s="411">
        <v>65.5</v>
      </c>
      <c r="I6708" s="89">
        <f t="shared" si="3081"/>
        <v>-5.8949999999999996</v>
      </c>
      <c r="J6708" s="361">
        <f t="shared" ref="J6708" si="3104">-((H6708*0.019)+0.3)</f>
        <v>-1.5445</v>
      </c>
      <c r="K6708" s="396">
        <f t="shared" ref="K6708" si="3105">SUM(H6708:J6708)</f>
        <v>58.060500000000005</v>
      </c>
      <c r="L6708" s="131">
        <v>510</v>
      </c>
      <c r="M6708" s="187">
        <v>16.350000000000001</v>
      </c>
      <c r="N6708" s="199">
        <f t="shared" si="3066"/>
        <v>41.85</v>
      </c>
      <c r="O6708" s="411">
        <f t="shared" si="3069"/>
        <v>16.210500000000003</v>
      </c>
      <c r="P6708" s="132" t="s">
        <v>52</v>
      </c>
      <c r="Q6708" s="232"/>
      <c r="R6708" s="411"/>
      <c r="T6708" s="134" t="s">
        <v>145</v>
      </c>
      <c r="U6708" s="267" t="s">
        <v>14339</v>
      </c>
      <c r="AA6708" s="218"/>
    </row>
    <row r="6709" spans="1:27" ht="24" x14ac:dyDescent="0.25">
      <c r="A6709" s="405">
        <v>3005259</v>
      </c>
      <c r="B6709" s="406">
        <v>42674</v>
      </c>
      <c r="C6709" s="405" t="s">
        <v>42</v>
      </c>
      <c r="D6709" s="401" t="s">
        <v>14340</v>
      </c>
      <c r="E6709" s="120">
        <v>2000</v>
      </c>
      <c r="F6709" s="133" t="s">
        <v>14341</v>
      </c>
      <c r="G6709" s="404" t="s">
        <v>7486</v>
      </c>
      <c r="H6709" s="411">
        <v>366.96</v>
      </c>
      <c r="I6709" s="89">
        <f t="shared" si="3081"/>
        <v>-33.026399999999995</v>
      </c>
      <c r="J6709" s="361">
        <f t="shared" ref="J6709:J6710" si="3106">-((H6709*0.019)+0.3)</f>
        <v>-7.2722399999999991</v>
      </c>
      <c r="K6709" s="396">
        <f t="shared" ref="K6709:K6710" si="3107">SUM(H6709:J6709)</f>
        <v>326.66135999999995</v>
      </c>
      <c r="L6709" s="187">
        <v>120</v>
      </c>
      <c r="M6709" s="187">
        <v>61.32</v>
      </c>
      <c r="N6709" s="199">
        <f t="shared" si="3066"/>
        <v>301.32</v>
      </c>
      <c r="O6709" s="411">
        <f t="shared" si="3069"/>
        <v>25.341359999999952</v>
      </c>
      <c r="P6709" s="132" t="s">
        <v>183</v>
      </c>
      <c r="Q6709" s="232"/>
      <c r="R6709" s="411"/>
      <c r="T6709" s="134" t="s">
        <v>145</v>
      </c>
      <c r="U6709" s="267" t="s">
        <v>14342</v>
      </c>
      <c r="AA6709" s="218"/>
    </row>
    <row r="6710" spans="1:27" ht="24" x14ac:dyDescent="0.25">
      <c r="A6710" s="405">
        <v>3005260</v>
      </c>
      <c r="B6710" s="406">
        <v>42674</v>
      </c>
      <c r="C6710" s="405" t="s">
        <v>42</v>
      </c>
      <c r="D6710" s="401" t="s">
        <v>14343</v>
      </c>
      <c r="E6710" s="120">
        <v>100</v>
      </c>
      <c r="F6710" s="133" t="s">
        <v>593</v>
      </c>
      <c r="G6710" s="404" t="s">
        <v>7486</v>
      </c>
      <c r="H6710" s="411">
        <v>143.55000000000001</v>
      </c>
      <c r="I6710" s="89">
        <f t="shared" si="3081"/>
        <v>-12.919500000000001</v>
      </c>
      <c r="J6710" s="361">
        <f t="shared" si="3106"/>
        <v>-3.02745</v>
      </c>
      <c r="K6710" s="396">
        <f t="shared" si="3107"/>
        <v>127.60305000000001</v>
      </c>
      <c r="L6710" s="187">
        <v>910</v>
      </c>
      <c r="M6710" s="187">
        <v>30.59</v>
      </c>
      <c r="N6710" s="199">
        <f t="shared" si="3066"/>
        <v>121.59</v>
      </c>
      <c r="O6710" s="411">
        <f t="shared" si="3069"/>
        <v>6.0130500000000069</v>
      </c>
      <c r="P6710" s="132" t="s">
        <v>183</v>
      </c>
      <c r="Q6710" s="232"/>
      <c r="R6710" s="411"/>
      <c r="T6710" s="134" t="s">
        <v>145</v>
      </c>
      <c r="U6710" s="267" t="s">
        <v>14344</v>
      </c>
      <c r="AA6710" s="218"/>
    </row>
    <row r="6711" spans="1:27" ht="24" x14ac:dyDescent="0.25">
      <c r="A6711" s="405">
        <v>3005261</v>
      </c>
      <c r="B6711" s="406">
        <v>42674</v>
      </c>
      <c r="C6711" s="405" t="s">
        <v>42</v>
      </c>
      <c r="D6711" s="401" t="s">
        <v>14345</v>
      </c>
      <c r="E6711" s="120">
        <v>75</v>
      </c>
      <c r="F6711" s="133" t="s">
        <v>431</v>
      </c>
      <c r="G6711" s="404" t="s">
        <v>7486</v>
      </c>
      <c r="H6711" s="411">
        <v>193</v>
      </c>
      <c r="I6711" s="89">
        <f t="shared" si="3081"/>
        <v>-17.37</v>
      </c>
      <c r="J6711" s="361">
        <f t="shared" ref="J6711" si="3108">-((H6711*0.019)+0.3)</f>
        <v>-3.9669999999999996</v>
      </c>
      <c r="K6711" s="396">
        <f t="shared" ref="K6711" si="3109">SUM(H6711:J6711)</f>
        <v>171.66299999999998</v>
      </c>
      <c r="L6711" s="131">
        <v>950</v>
      </c>
      <c r="M6711" s="187">
        <v>26.48</v>
      </c>
      <c r="N6711" s="199">
        <f t="shared" si="3066"/>
        <v>97.73</v>
      </c>
      <c r="O6711" s="411">
        <f t="shared" si="3069"/>
        <v>73.932999999999979</v>
      </c>
      <c r="P6711" s="132" t="s">
        <v>52</v>
      </c>
      <c r="Q6711" s="232"/>
      <c r="R6711" s="411"/>
      <c r="T6711" s="134" t="s">
        <v>145</v>
      </c>
      <c r="U6711" s="267" t="s">
        <v>14346</v>
      </c>
      <c r="AA6711" s="218"/>
    </row>
    <row r="6712" spans="1:27" ht="24" x14ac:dyDescent="0.25">
      <c r="A6712" s="405">
        <v>3005262</v>
      </c>
      <c r="B6712" s="406">
        <v>42674</v>
      </c>
      <c r="C6712" s="405" t="s">
        <v>42</v>
      </c>
      <c r="D6712" s="401" t="s">
        <v>14347</v>
      </c>
      <c r="E6712" s="120">
        <v>100</v>
      </c>
      <c r="F6712" s="133" t="s">
        <v>14348</v>
      </c>
      <c r="G6712" s="404" t="s">
        <v>7486</v>
      </c>
      <c r="H6712" s="411">
        <v>467.47</v>
      </c>
      <c r="I6712" s="89">
        <f t="shared" si="3081"/>
        <v>-42.072299999999998</v>
      </c>
      <c r="J6712" s="361">
        <f t="shared" ref="J6712" si="3110">-((H6712*0.019)+0.3)</f>
        <v>-9.1819300000000013</v>
      </c>
      <c r="K6712" s="396">
        <f t="shared" ref="K6712" si="3111">SUM(H6712:J6712)</f>
        <v>416.21577000000002</v>
      </c>
      <c r="M6712" s="224">
        <v>40.4</v>
      </c>
      <c r="N6712" s="199">
        <f t="shared" si="3066"/>
        <v>40.4</v>
      </c>
      <c r="O6712" s="411">
        <f t="shared" si="3069"/>
        <v>375.81577000000004</v>
      </c>
      <c r="P6712" s="132" t="s">
        <v>52</v>
      </c>
      <c r="Q6712" s="232"/>
      <c r="R6712" s="411"/>
      <c r="T6712" s="134" t="s">
        <v>145</v>
      </c>
      <c r="U6712" s="267" t="s">
        <v>14349</v>
      </c>
      <c r="AA6712" s="218"/>
    </row>
    <row r="6713" spans="1:27" ht="24" x14ac:dyDescent="0.25">
      <c r="A6713" s="405">
        <v>3005263</v>
      </c>
      <c r="B6713" s="406">
        <v>42674</v>
      </c>
      <c r="C6713" s="405" t="s">
        <v>237</v>
      </c>
      <c r="D6713" s="401" t="s">
        <v>14350</v>
      </c>
      <c r="E6713" s="120">
        <v>100</v>
      </c>
      <c r="F6713" s="133" t="s">
        <v>2483</v>
      </c>
      <c r="G6713" s="404" t="s">
        <v>7486</v>
      </c>
      <c r="H6713" s="411">
        <v>231.66</v>
      </c>
      <c r="I6713" s="397">
        <f t="shared" ref="I6713" si="3112">-(H6713*0.15)</f>
        <v>-34.748999999999995</v>
      </c>
      <c r="J6713" s="258">
        <v>0</v>
      </c>
      <c r="K6713" s="90">
        <f>SUM(H6713:J6713)</f>
        <v>196.911</v>
      </c>
      <c r="M6713" s="187">
        <v>48.67</v>
      </c>
      <c r="N6713" s="199">
        <f t="shared" si="3066"/>
        <v>48.67</v>
      </c>
      <c r="O6713" s="411">
        <f t="shared" si="3069"/>
        <v>148.24099999999999</v>
      </c>
      <c r="P6713" s="132" t="s">
        <v>52</v>
      </c>
      <c r="Q6713" s="232"/>
      <c r="R6713" s="411"/>
      <c r="T6713" s="134" t="s">
        <v>145</v>
      </c>
      <c r="U6713" s="267" t="s">
        <v>14351</v>
      </c>
      <c r="AA6713" s="218"/>
    </row>
    <row r="6714" spans="1:27" ht="24" x14ac:dyDescent="0.25">
      <c r="A6714" s="405">
        <v>3005264</v>
      </c>
      <c r="B6714" s="406">
        <v>42674</v>
      </c>
      <c r="C6714" s="405" t="s">
        <v>237</v>
      </c>
      <c r="D6714" s="401" t="s">
        <v>14352</v>
      </c>
      <c r="E6714" s="120">
        <v>250</v>
      </c>
      <c r="F6714" s="133" t="s">
        <v>4803</v>
      </c>
      <c r="G6714" s="404" t="s">
        <v>7486</v>
      </c>
      <c r="H6714" s="411">
        <v>256</v>
      </c>
      <c r="I6714" s="397">
        <f t="shared" ref="I6714" si="3113">-(H6714*0.15)</f>
        <v>-38.4</v>
      </c>
      <c r="J6714" s="258">
        <v>0</v>
      </c>
      <c r="K6714" s="90">
        <f>SUM(H6714:J6714)</f>
        <v>217.6</v>
      </c>
      <c r="L6714" s="131">
        <v>295.08</v>
      </c>
      <c r="M6714" s="187">
        <v>15.27</v>
      </c>
      <c r="N6714" s="199">
        <f t="shared" si="3066"/>
        <v>89.039999999999992</v>
      </c>
      <c r="O6714" s="411">
        <f t="shared" si="3069"/>
        <v>128.56</v>
      </c>
      <c r="P6714" s="132" t="s">
        <v>86</v>
      </c>
      <c r="Q6714" s="232"/>
      <c r="R6714" s="411"/>
      <c r="T6714" s="134" t="s">
        <v>145</v>
      </c>
      <c r="U6714" s="267" t="s">
        <v>14353</v>
      </c>
      <c r="AA6714" s="218"/>
    </row>
    <row r="6715" spans="1:27" x14ac:dyDescent="0.25">
      <c r="A6715" s="419">
        <v>3005265</v>
      </c>
      <c r="B6715" s="421">
        <v>42674</v>
      </c>
      <c r="C6715" s="419" t="s">
        <v>56</v>
      </c>
      <c r="D6715" s="417" t="s">
        <v>11135</v>
      </c>
      <c r="E6715" s="120">
        <v>1000</v>
      </c>
      <c r="F6715" s="133" t="s">
        <v>307</v>
      </c>
      <c r="G6715" s="460" t="s">
        <v>7486</v>
      </c>
      <c r="H6715" s="427">
        <v>16950</v>
      </c>
      <c r="I6715" s="427">
        <v>0</v>
      </c>
      <c r="J6715" s="427">
        <v>0</v>
      </c>
      <c r="K6715" s="425">
        <f>SUM(H6715:J6715)</f>
        <v>16950</v>
      </c>
      <c r="L6715" s="187">
        <v>766</v>
      </c>
      <c r="M6715" s="187"/>
      <c r="N6715" s="199">
        <f t="shared" si="3066"/>
        <v>766</v>
      </c>
      <c r="O6715" s="411">
        <f t="shared" si="3069"/>
        <v>16184</v>
      </c>
      <c r="P6715" s="132" t="s">
        <v>183</v>
      </c>
      <c r="Q6715" s="232"/>
      <c r="R6715" s="411"/>
      <c r="T6715" s="439" t="s">
        <v>3644</v>
      </c>
      <c r="U6715" s="446" t="s">
        <v>14354</v>
      </c>
      <c r="V6715" s="133" t="s">
        <v>14355</v>
      </c>
      <c r="AA6715" s="218"/>
    </row>
    <row r="6716" spans="1:27" x14ac:dyDescent="0.25">
      <c r="A6716" s="432"/>
      <c r="B6716" s="433"/>
      <c r="C6716" s="432"/>
      <c r="D6716" s="454"/>
      <c r="E6716" s="120">
        <v>500</v>
      </c>
      <c r="F6716" s="133" t="s">
        <v>14356</v>
      </c>
      <c r="G6716" s="461"/>
      <c r="H6716" s="438"/>
      <c r="I6716" s="438"/>
      <c r="J6716" s="438"/>
      <c r="K6716" s="437"/>
      <c r="L6716" s="187">
        <v>20240</v>
      </c>
      <c r="M6716" s="177"/>
      <c r="N6716" s="199">
        <f t="shared" si="3066"/>
        <v>10120</v>
      </c>
      <c r="O6716" s="411">
        <f t="shared" si="3069"/>
        <v>-10120</v>
      </c>
      <c r="P6716" s="132" t="s">
        <v>183</v>
      </c>
      <c r="Q6716" s="232"/>
      <c r="R6716" s="411"/>
      <c r="T6716" s="440"/>
      <c r="U6716" s="448"/>
      <c r="AA6716" s="218"/>
    </row>
    <row r="6717" spans="1:27" x14ac:dyDescent="0.25">
      <c r="A6717" s="420"/>
      <c r="B6717" s="422"/>
      <c r="C6717" s="420"/>
      <c r="D6717" s="418"/>
      <c r="E6717" s="120">
        <v>250</v>
      </c>
      <c r="F6717" s="133" t="s">
        <v>11132</v>
      </c>
      <c r="G6717" s="462"/>
      <c r="H6717" s="428"/>
      <c r="I6717" s="428"/>
      <c r="J6717" s="428"/>
      <c r="K6717" s="426"/>
      <c r="L6717" s="187">
        <v>14060</v>
      </c>
      <c r="M6717" s="187">
        <v>0</v>
      </c>
      <c r="N6717" s="199">
        <f t="shared" si="3066"/>
        <v>3515</v>
      </c>
      <c r="O6717" s="411">
        <f t="shared" si="3069"/>
        <v>-3515</v>
      </c>
      <c r="P6717" s="132" t="s">
        <v>183</v>
      </c>
      <c r="Q6717" s="232"/>
      <c r="R6717" s="411"/>
      <c r="T6717" s="441"/>
      <c r="U6717" s="447"/>
      <c r="AA6717" s="218"/>
    </row>
    <row r="6718" spans="1:27" ht="24" x14ac:dyDescent="0.25">
      <c r="A6718" s="405">
        <v>3005266</v>
      </c>
      <c r="B6718" s="406">
        <v>42674</v>
      </c>
      <c r="C6718" s="405" t="s">
        <v>237</v>
      </c>
      <c r="D6718" s="401" t="s">
        <v>14357</v>
      </c>
      <c r="E6718" s="120">
        <v>250</v>
      </c>
      <c r="F6718" s="133" t="s">
        <v>2949</v>
      </c>
      <c r="G6718" s="404" t="s">
        <v>7486</v>
      </c>
      <c r="H6718" s="411">
        <v>513.04</v>
      </c>
      <c r="I6718" s="397">
        <f t="shared" ref="I6718" si="3114">-(H6718*0.15)</f>
        <v>-76.955999999999989</v>
      </c>
      <c r="J6718" s="258">
        <v>0</v>
      </c>
      <c r="K6718" s="90">
        <f t="shared" ref="K6718:K6724" si="3115">SUM(H6718:J6718)</f>
        <v>436.08399999999995</v>
      </c>
      <c r="L6718" s="131">
        <v>1100</v>
      </c>
      <c r="M6718" s="187">
        <v>47.25</v>
      </c>
      <c r="N6718" s="199">
        <f t="shared" si="3066"/>
        <v>322.25</v>
      </c>
      <c r="O6718" s="411">
        <f t="shared" si="3069"/>
        <v>113.83399999999995</v>
      </c>
      <c r="P6718" s="132" t="s">
        <v>52</v>
      </c>
      <c r="Q6718" s="232"/>
      <c r="R6718" s="411"/>
      <c r="T6718" s="134" t="s">
        <v>145</v>
      </c>
      <c r="U6718" s="267" t="s">
        <v>14358</v>
      </c>
      <c r="AA6718" s="218"/>
    </row>
    <row r="6719" spans="1:27" ht="24" x14ac:dyDescent="0.25">
      <c r="A6719" s="405">
        <v>3005267</v>
      </c>
      <c r="B6719" s="406">
        <v>42674</v>
      </c>
      <c r="C6719" s="405" t="s">
        <v>237</v>
      </c>
      <c r="D6719" s="401" t="s">
        <v>10179</v>
      </c>
      <c r="E6719" s="120">
        <v>100</v>
      </c>
      <c r="F6719" s="133" t="s">
        <v>341</v>
      </c>
      <c r="G6719" s="404" t="s">
        <v>7486</v>
      </c>
      <c r="H6719" s="411">
        <v>138.57</v>
      </c>
      <c r="I6719" s="397">
        <f t="shared" ref="I6719" si="3116">-(H6719*0.15)</f>
        <v>-20.785499999999999</v>
      </c>
      <c r="J6719" s="258">
        <v>0</v>
      </c>
      <c r="K6719" s="90">
        <f t="shared" si="3115"/>
        <v>117.78449999999999</v>
      </c>
      <c r="L6719" s="131">
        <v>698</v>
      </c>
      <c r="M6719" s="187">
        <v>19.09</v>
      </c>
      <c r="N6719" s="199">
        <f t="shared" ref="N6719:N6782" si="3117">((L6719)*(E6719*0.001))+M6719</f>
        <v>88.89</v>
      </c>
      <c r="O6719" s="411">
        <f t="shared" si="3069"/>
        <v>28.894499999999994</v>
      </c>
      <c r="P6719" s="132" t="s">
        <v>52</v>
      </c>
      <c r="Q6719" s="232"/>
      <c r="R6719" s="411"/>
      <c r="T6719" s="134" t="s">
        <v>145</v>
      </c>
      <c r="U6719" s="267" t="s">
        <v>14359</v>
      </c>
      <c r="AA6719" s="218"/>
    </row>
    <row r="6720" spans="1:27" ht="24" x14ac:dyDescent="0.25">
      <c r="A6720" s="405">
        <v>3005268</v>
      </c>
      <c r="B6720" s="406">
        <v>42674</v>
      </c>
      <c r="C6720" s="405" t="s">
        <v>237</v>
      </c>
      <c r="D6720" s="401" t="s">
        <v>14360</v>
      </c>
      <c r="E6720" s="120">
        <v>500</v>
      </c>
      <c r="F6720" s="133" t="s">
        <v>451</v>
      </c>
      <c r="G6720" s="404" t="s">
        <v>7486</v>
      </c>
      <c r="H6720" s="411">
        <v>240.06</v>
      </c>
      <c r="I6720" s="397">
        <f t="shared" ref="I6720" si="3118">-(H6720*0.15)</f>
        <v>-36.009</v>
      </c>
      <c r="J6720" s="258">
        <v>0</v>
      </c>
      <c r="K6720" s="90">
        <f t="shared" si="3115"/>
        <v>204.05099999999999</v>
      </c>
      <c r="L6720" s="131">
        <v>300</v>
      </c>
      <c r="M6720" s="187">
        <v>52.94</v>
      </c>
      <c r="N6720" s="199">
        <f t="shared" si="3117"/>
        <v>202.94</v>
      </c>
      <c r="O6720" s="411">
        <f t="shared" si="3069"/>
        <v>1.11099999999999</v>
      </c>
      <c r="P6720" s="132" t="s">
        <v>52</v>
      </c>
      <c r="Q6720" s="232"/>
      <c r="R6720" s="411"/>
      <c r="T6720" s="134" t="s">
        <v>145</v>
      </c>
      <c r="U6720" s="267" t="s">
        <v>14361</v>
      </c>
      <c r="AA6720" s="218"/>
    </row>
    <row r="6721" spans="1:27" ht="24" x14ac:dyDescent="0.25">
      <c r="A6721" s="405">
        <v>3005269</v>
      </c>
      <c r="B6721" s="406">
        <v>42674</v>
      </c>
      <c r="C6721" s="405" t="s">
        <v>237</v>
      </c>
      <c r="D6721" s="401" t="s">
        <v>14362</v>
      </c>
      <c r="E6721" s="120">
        <v>250</v>
      </c>
      <c r="F6721" s="133" t="s">
        <v>2949</v>
      </c>
      <c r="G6721" s="404" t="s">
        <v>7486</v>
      </c>
      <c r="H6721" s="411">
        <v>513.04</v>
      </c>
      <c r="I6721" s="397">
        <f t="shared" ref="I6721" si="3119">-(H6721*0.15)</f>
        <v>-76.955999999999989</v>
      </c>
      <c r="J6721" s="258">
        <v>0</v>
      </c>
      <c r="K6721" s="90">
        <f t="shared" si="3115"/>
        <v>436.08399999999995</v>
      </c>
      <c r="L6721" s="131">
        <v>698</v>
      </c>
      <c r="M6721" s="187">
        <v>44.83</v>
      </c>
      <c r="N6721" s="199">
        <f t="shared" si="3117"/>
        <v>219.32999999999998</v>
      </c>
      <c r="O6721" s="411">
        <f t="shared" si="3069"/>
        <v>216.75399999999996</v>
      </c>
      <c r="P6721" s="132" t="s">
        <v>52</v>
      </c>
      <c r="Q6721" s="232"/>
      <c r="R6721" s="411"/>
      <c r="T6721" s="134" t="s">
        <v>145</v>
      </c>
      <c r="U6721" s="267" t="s">
        <v>14363</v>
      </c>
      <c r="AA6721" s="218"/>
    </row>
    <row r="6722" spans="1:27" ht="24" x14ac:dyDescent="0.25">
      <c r="A6722" s="405">
        <v>3005270</v>
      </c>
      <c r="B6722" s="406">
        <v>42674</v>
      </c>
      <c r="C6722" s="405" t="s">
        <v>237</v>
      </c>
      <c r="D6722" s="401" t="s">
        <v>14364</v>
      </c>
      <c r="E6722" s="120">
        <v>350</v>
      </c>
      <c r="F6722" s="133" t="s">
        <v>165</v>
      </c>
      <c r="G6722" s="404" t="s">
        <v>7486</v>
      </c>
      <c r="H6722" s="411">
        <v>253.82</v>
      </c>
      <c r="I6722" s="397">
        <f t="shared" ref="I6722" si="3120">-(H6722*0.15)</f>
        <v>-38.073</v>
      </c>
      <c r="J6722" s="258">
        <v>0</v>
      </c>
      <c r="K6722" s="90">
        <f t="shared" si="3115"/>
        <v>215.74699999999999</v>
      </c>
      <c r="L6722" s="131">
        <v>300</v>
      </c>
      <c r="M6722" s="187">
        <v>44.56</v>
      </c>
      <c r="N6722" s="199">
        <f t="shared" si="3117"/>
        <v>149.56</v>
      </c>
      <c r="O6722" s="411">
        <f t="shared" si="3069"/>
        <v>66.186999999999983</v>
      </c>
      <c r="P6722" s="132" t="s">
        <v>52</v>
      </c>
      <c r="Q6722" s="232"/>
      <c r="R6722" s="411"/>
      <c r="T6722" s="134" t="s">
        <v>145</v>
      </c>
      <c r="U6722" s="267" t="s">
        <v>14365</v>
      </c>
      <c r="AA6722" s="218"/>
    </row>
    <row r="6723" spans="1:27" ht="24" x14ac:dyDescent="0.25">
      <c r="A6723" s="405">
        <v>3005271</v>
      </c>
      <c r="B6723" s="406">
        <v>42674</v>
      </c>
      <c r="C6723" s="405" t="s">
        <v>237</v>
      </c>
      <c r="D6723" s="401" t="s">
        <v>14366</v>
      </c>
      <c r="E6723" s="120">
        <v>250</v>
      </c>
      <c r="F6723" s="133" t="s">
        <v>2238</v>
      </c>
      <c r="G6723" s="404" t="s">
        <v>7486</v>
      </c>
      <c r="H6723" s="411">
        <v>107</v>
      </c>
      <c r="I6723" s="397">
        <f t="shared" ref="I6723" si="3121">-(H6723*0.15)</f>
        <v>-16.05</v>
      </c>
      <c r="J6723" s="258">
        <v>0</v>
      </c>
      <c r="K6723" s="90">
        <f t="shared" si="3115"/>
        <v>90.95</v>
      </c>
      <c r="L6723" s="131">
        <v>200</v>
      </c>
      <c r="M6723" s="187">
        <v>30.95</v>
      </c>
      <c r="N6723" s="199">
        <f t="shared" si="3117"/>
        <v>80.95</v>
      </c>
      <c r="O6723" s="411">
        <f t="shared" si="3069"/>
        <v>10</v>
      </c>
      <c r="P6723" s="132" t="s">
        <v>52</v>
      </c>
      <c r="Q6723" s="232"/>
      <c r="R6723" s="411"/>
      <c r="T6723" s="134" t="s">
        <v>145</v>
      </c>
      <c r="U6723" s="267" t="s">
        <v>14367</v>
      </c>
      <c r="AA6723" s="218"/>
    </row>
    <row r="6724" spans="1:27" x14ac:dyDescent="0.25">
      <c r="A6724" s="419">
        <v>3005272</v>
      </c>
      <c r="B6724" s="421">
        <v>42674</v>
      </c>
      <c r="C6724" s="419" t="s">
        <v>237</v>
      </c>
      <c r="D6724" s="417" t="s">
        <v>14368</v>
      </c>
      <c r="E6724" s="120">
        <v>100</v>
      </c>
      <c r="F6724" s="133" t="s">
        <v>3301</v>
      </c>
      <c r="G6724" s="434" t="s">
        <v>7486</v>
      </c>
      <c r="H6724" s="427">
        <v>218.25</v>
      </c>
      <c r="I6724" s="452">
        <f t="shared" ref="I6724" si="3122">-(H6724*0.15)</f>
        <v>-32.737499999999997</v>
      </c>
      <c r="J6724" s="425">
        <v>0</v>
      </c>
      <c r="K6724" s="425">
        <f t="shared" si="3115"/>
        <v>185.51249999999999</v>
      </c>
      <c r="L6724" s="187">
        <v>754</v>
      </c>
      <c r="M6724" s="187">
        <v>27.77</v>
      </c>
      <c r="N6724" s="199">
        <f t="shared" si="3117"/>
        <v>103.17</v>
      </c>
      <c r="O6724" s="411">
        <f t="shared" ref="O6724:O6787" si="3123">K6724-N6724</f>
        <v>82.342499999999987</v>
      </c>
      <c r="P6724" s="132" t="s">
        <v>601</v>
      </c>
      <c r="Q6724" s="232"/>
      <c r="R6724" s="411"/>
      <c r="T6724" s="439" t="s">
        <v>145</v>
      </c>
      <c r="U6724" s="446" t="s">
        <v>14369</v>
      </c>
      <c r="AA6724" s="218"/>
    </row>
    <row r="6725" spans="1:27" x14ac:dyDescent="0.25">
      <c r="A6725" s="420"/>
      <c r="B6725" s="422"/>
      <c r="C6725" s="420"/>
      <c r="D6725" s="418"/>
      <c r="E6725" s="120">
        <v>100</v>
      </c>
      <c r="F6725" s="133" t="s">
        <v>3299</v>
      </c>
      <c r="G6725" s="436"/>
      <c r="H6725" s="428"/>
      <c r="I6725" s="453"/>
      <c r="J6725" s="426"/>
      <c r="K6725" s="426"/>
      <c r="L6725" s="187">
        <v>754</v>
      </c>
      <c r="N6725" s="199">
        <f t="shared" si="3117"/>
        <v>75.400000000000006</v>
      </c>
      <c r="O6725" s="411">
        <f t="shared" si="3123"/>
        <v>-75.400000000000006</v>
      </c>
      <c r="P6725" s="132" t="s">
        <v>601</v>
      </c>
      <c r="Q6725" s="232"/>
      <c r="R6725" s="411"/>
      <c r="T6725" s="441"/>
      <c r="U6725" s="447"/>
      <c r="AA6725" s="218"/>
    </row>
    <row r="6726" spans="1:27" ht="24" x14ac:dyDescent="0.25">
      <c r="A6726" s="405">
        <v>3005273</v>
      </c>
      <c r="B6726" s="406">
        <v>42674</v>
      </c>
      <c r="C6726" s="405" t="s">
        <v>237</v>
      </c>
      <c r="D6726" s="401" t="s">
        <v>14370</v>
      </c>
      <c r="E6726" s="120">
        <v>175</v>
      </c>
      <c r="F6726" s="133" t="s">
        <v>247</v>
      </c>
      <c r="G6726" s="404" t="s">
        <v>7486</v>
      </c>
      <c r="H6726" s="411">
        <v>140</v>
      </c>
      <c r="I6726" s="397">
        <f t="shared" ref="I6726" si="3124">-(H6726*0.15)</f>
        <v>-21</v>
      </c>
      <c r="J6726" s="258">
        <v>0</v>
      </c>
      <c r="K6726" s="90">
        <f>SUM(H6726:J6726)</f>
        <v>119</v>
      </c>
      <c r="L6726" s="131">
        <v>424</v>
      </c>
      <c r="M6726" s="187">
        <v>29.47</v>
      </c>
      <c r="N6726" s="199">
        <f t="shared" si="3117"/>
        <v>103.67</v>
      </c>
      <c r="O6726" s="411">
        <f t="shared" si="3123"/>
        <v>15.329999999999998</v>
      </c>
      <c r="P6726" s="132" t="s">
        <v>52</v>
      </c>
      <c r="Q6726" s="232"/>
      <c r="R6726" s="411"/>
      <c r="T6726" s="134" t="s">
        <v>145</v>
      </c>
      <c r="U6726" s="267" t="s">
        <v>14371</v>
      </c>
      <c r="AA6726" s="218"/>
    </row>
    <row r="6727" spans="1:27" ht="24" x14ac:dyDescent="0.25">
      <c r="A6727" s="405">
        <v>3005274</v>
      </c>
      <c r="B6727" s="406">
        <v>42674</v>
      </c>
      <c r="C6727" s="405" t="s">
        <v>237</v>
      </c>
      <c r="D6727" s="401" t="s">
        <v>14372</v>
      </c>
      <c r="E6727" s="120">
        <v>500</v>
      </c>
      <c r="F6727" s="133" t="s">
        <v>451</v>
      </c>
      <c r="G6727" s="404" t="s">
        <v>7486</v>
      </c>
      <c r="H6727" s="411">
        <v>226.68</v>
      </c>
      <c r="I6727" s="397">
        <f t="shared" ref="I6727" si="3125">-(H6727*0.15)</f>
        <v>-34.002000000000002</v>
      </c>
      <c r="J6727" s="258">
        <v>0</v>
      </c>
      <c r="K6727" s="90">
        <f>SUM(H6727:J6727)</f>
        <v>192.678</v>
      </c>
      <c r="L6727" s="131">
        <v>300</v>
      </c>
      <c r="M6727" s="187">
        <v>42.3</v>
      </c>
      <c r="N6727" s="199">
        <f t="shared" si="3117"/>
        <v>192.3</v>
      </c>
      <c r="O6727" s="411">
        <f t="shared" si="3123"/>
        <v>0.3779999999999859</v>
      </c>
      <c r="P6727" s="132" t="s">
        <v>52</v>
      </c>
      <c r="Q6727" s="232"/>
      <c r="R6727" s="411"/>
      <c r="T6727" s="134" t="s">
        <v>145</v>
      </c>
      <c r="U6727" s="267" t="s">
        <v>14373</v>
      </c>
      <c r="AA6727" s="218"/>
    </row>
    <row r="6728" spans="1:27" x14ac:dyDescent="0.25">
      <c r="A6728" s="419">
        <v>3005275</v>
      </c>
      <c r="B6728" s="421">
        <v>42674</v>
      </c>
      <c r="C6728" s="419" t="s">
        <v>237</v>
      </c>
      <c r="D6728" s="417" t="s">
        <v>14374</v>
      </c>
      <c r="E6728" s="120">
        <v>100</v>
      </c>
      <c r="F6728" s="133" t="s">
        <v>2483</v>
      </c>
      <c r="G6728" s="434" t="s">
        <v>7486</v>
      </c>
      <c r="H6728" s="427">
        <v>881.65</v>
      </c>
      <c r="I6728" s="452">
        <f t="shared" ref="I6728" si="3126">-(H6728*0.15)</f>
        <v>-132.2475</v>
      </c>
      <c r="J6728" s="425">
        <v>0</v>
      </c>
      <c r="K6728" s="425">
        <f>SUM(H6728:J6728)</f>
        <v>749.40249999999992</v>
      </c>
      <c r="L6728" s="187">
        <v>1450</v>
      </c>
      <c r="M6728" s="187">
        <v>38.07</v>
      </c>
      <c r="N6728" s="199">
        <f t="shared" si="3117"/>
        <v>183.07</v>
      </c>
      <c r="O6728" s="411">
        <f t="shared" si="3123"/>
        <v>566.33249999999998</v>
      </c>
      <c r="P6728" s="132" t="s">
        <v>601</v>
      </c>
      <c r="Q6728" s="232"/>
      <c r="R6728" s="411"/>
      <c r="T6728" s="439" t="s">
        <v>145</v>
      </c>
      <c r="U6728" s="446" t="s">
        <v>14375</v>
      </c>
      <c r="AA6728" s="227"/>
    </row>
    <row r="6729" spans="1:27" x14ac:dyDescent="0.25">
      <c r="A6729" s="432"/>
      <c r="B6729" s="433"/>
      <c r="C6729" s="432"/>
      <c r="D6729" s="454"/>
      <c r="E6729" s="120">
        <v>100</v>
      </c>
      <c r="F6729" s="133" t="s">
        <v>3345</v>
      </c>
      <c r="G6729" s="435"/>
      <c r="H6729" s="438"/>
      <c r="I6729" s="484"/>
      <c r="J6729" s="437"/>
      <c r="K6729" s="437"/>
      <c r="L6729" s="187">
        <v>1450</v>
      </c>
      <c r="N6729" s="199">
        <f t="shared" si="3117"/>
        <v>145</v>
      </c>
      <c r="O6729" s="411">
        <f t="shared" si="3123"/>
        <v>-145</v>
      </c>
      <c r="P6729" s="132" t="s">
        <v>601</v>
      </c>
      <c r="Q6729" s="232"/>
      <c r="R6729" s="411"/>
      <c r="T6729" s="440"/>
      <c r="U6729" s="448"/>
      <c r="AA6729" s="227"/>
    </row>
    <row r="6730" spans="1:27" x14ac:dyDescent="0.25">
      <c r="A6730" s="432"/>
      <c r="B6730" s="433"/>
      <c r="C6730" s="432"/>
      <c r="D6730" s="454"/>
      <c r="E6730" s="120">
        <v>100</v>
      </c>
      <c r="F6730" s="133" t="s">
        <v>10698</v>
      </c>
      <c r="G6730" s="435"/>
      <c r="H6730" s="438"/>
      <c r="I6730" s="484"/>
      <c r="J6730" s="437"/>
      <c r="K6730" s="437"/>
      <c r="L6730" s="187">
        <v>461</v>
      </c>
      <c r="N6730" s="199">
        <f t="shared" si="3117"/>
        <v>46.1</v>
      </c>
      <c r="O6730" s="411">
        <f t="shared" si="3123"/>
        <v>-46.1</v>
      </c>
      <c r="P6730" s="132" t="s">
        <v>601</v>
      </c>
      <c r="Q6730" s="232"/>
      <c r="R6730" s="411"/>
      <c r="T6730" s="440"/>
      <c r="U6730" s="447"/>
      <c r="AA6730" s="227"/>
    </row>
    <row r="6731" spans="1:27" x14ac:dyDescent="0.25">
      <c r="A6731" s="432"/>
      <c r="B6731" s="433"/>
      <c r="C6731" s="432"/>
      <c r="D6731" s="454"/>
      <c r="E6731" s="120">
        <v>100</v>
      </c>
      <c r="F6731" s="133" t="s">
        <v>4881</v>
      </c>
      <c r="G6731" s="435"/>
      <c r="H6731" s="438"/>
      <c r="I6731" s="484"/>
      <c r="J6731" s="437"/>
      <c r="K6731" s="437"/>
      <c r="L6731" s="187">
        <v>461</v>
      </c>
      <c r="M6731" s="187">
        <v>37.72</v>
      </c>
      <c r="N6731" s="199">
        <f t="shared" si="3117"/>
        <v>83.82</v>
      </c>
      <c r="O6731" s="411">
        <f t="shared" si="3123"/>
        <v>-83.82</v>
      </c>
      <c r="P6731" s="132" t="s">
        <v>601</v>
      </c>
      <c r="Q6731" s="232"/>
      <c r="R6731" s="411"/>
      <c r="T6731" s="440"/>
      <c r="U6731" s="446" t="s">
        <v>14376</v>
      </c>
      <c r="AA6731" s="227"/>
    </row>
    <row r="6732" spans="1:27" x14ac:dyDescent="0.25">
      <c r="A6732" s="432"/>
      <c r="B6732" s="433"/>
      <c r="C6732" s="432"/>
      <c r="D6732" s="454"/>
      <c r="E6732" s="120">
        <v>100</v>
      </c>
      <c r="F6732" s="133" t="s">
        <v>3301</v>
      </c>
      <c r="G6732" s="435"/>
      <c r="H6732" s="438"/>
      <c r="I6732" s="484"/>
      <c r="J6732" s="437"/>
      <c r="K6732" s="437"/>
      <c r="L6732" s="187">
        <v>754</v>
      </c>
      <c r="N6732" s="199">
        <f t="shared" si="3117"/>
        <v>75.400000000000006</v>
      </c>
      <c r="O6732" s="411">
        <f t="shared" si="3123"/>
        <v>-75.400000000000006</v>
      </c>
      <c r="P6732" s="132" t="s">
        <v>601</v>
      </c>
      <c r="Q6732" s="232"/>
      <c r="R6732" s="411"/>
      <c r="T6732" s="440"/>
      <c r="U6732" s="448"/>
      <c r="AA6732" s="227"/>
    </row>
    <row r="6733" spans="1:27" x14ac:dyDescent="0.25">
      <c r="A6733" s="420"/>
      <c r="B6733" s="422"/>
      <c r="C6733" s="420"/>
      <c r="D6733" s="418"/>
      <c r="E6733" s="120">
        <v>100</v>
      </c>
      <c r="F6733" s="133" t="s">
        <v>3299</v>
      </c>
      <c r="G6733" s="436"/>
      <c r="H6733" s="428"/>
      <c r="I6733" s="453"/>
      <c r="J6733" s="426"/>
      <c r="K6733" s="426"/>
      <c r="L6733" s="187">
        <v>754</v>
      </c>
      <c r="M6733" s="131">
        <v>0</v>
      </c>
      <c r="N6733" s="199">
        <f t="shared" si="3117"/>
        <v>75.400000000000006</v>
      </c>
      <c r="O6733" s="411">
        <f t="shared" si="3123"/>
        <v>-75.400000000000006</v>
      </c>
      <c r="P6733" s="132" t="s">
        <v>601</v>
      </c>
      <c r="Q6733" s="232"/>
      <c r="R6733" s="411"/>
      <c r="T6733" s="441"/>
      <c r="U6733" s="447"/>
      <c r="AA6733" s="227"/>
    </row>
    <row r="6734" spans="1:27" ht="24" x14ac:dyDescent="0.25">
      <c r="A6734" s="405">
        <v>3005276</v>
      </c>
      <c r="B6734" s="406">
        <v>42674</v>
      </c>
      <c r="C6734" s="405" t="s">
        <v>237</v>
      </c>
      <c r="D6734" s="401" t="s">
        <v>14377</v>
      </c>
      <c r="E6734" s="120">
        <v>250</v>
      </c>
      <c r="F6734" s="133" t="s">
        <v>2949</v>
      </c>
      <c r="G6734" s="404" t="s">
        <v>7486</v>
      </c>
      <c r="H6734" s="411">
        <v>513.04</v>
      </c>
      <c r="I6734" s="397">
        <f t="shared" ref="I6734" si="3127">-(H6734*0.15)</f>
        <v>-76.955999999999989</v>
      </c>
      <c r="J6734" s="258">
        <v>0</v>
      </c>
      <c r="K6734" s="90">
        <f t="shared" ref="K6734:K6748" si="3128">SUM(H6734:J6734)</f>
        <v>436.08399999999995</v>
      </c>
      <c r="L6734" s="131">
        <v>1100</v>
      </c>
      <c r="M6734" s="187">
        <v>48.67</v>
      </c>
      <c r="N6734" s="199">
        <f t="shared" si="3117"/>
        <v>323.67</v>
      </c>
      <c r="O6734" s="411">
        <f t="shared" si="3123"/>
        <v>112.41399999999993</v>
      </c>
      <c r="P6734" s="132" t="s">
        <v>52</v>
      </c>
      <c r="Q6734" s="232"/>
      <c r="R6734" s="411"/>
      <c r="T6734" s="134" t="s">
        <v>145</v>
      </c>
      <c r="U6734" s="267" t="s">
        <v>14378</v>
      </c>
      <c r="AA6734" s="218"/>
    </row>
    <row r="6735" spans="1:27" ht="24" x14ac:dyDescent="0.25">
      <c r="A6735" s="405">
        <v>3005277</v>
      </c>
      <c r="B6735" s="406">
        <v>42674</v>
      </c>
      <c r="C6735" s="405" t="s">
        <v>237</v>
      </c>
      <c r="D6735" s="401" t="s">
        <v>14379</v>
      </c>
      <c r="E6735" s="120">
        <v>150</v>
      </c>
      <c r="F6735" s="133" t="s">
        <v>247</v>
      </c>
      <c r="G6735" s="404" t="s">
        <v>7486</v>
      </c>
      <c r="H6735" s="411">
        <v>160.38</v>
      </c>
      <c r="I6735" s="397">
        <f t="shared" ref="I6735" si="3129">-(H6735*0.15)</f>
        <v>-24.056999999999999</v>
      </c>
      <c r="J6735" s="258">
        <v>0</v>
      </c>
      <c r="K6735" s="90">
        <f t="shared" si="3128"/>
        <v>136.32300000000001</v>
      </c>
      <c r="L6735" s="131">
        <v>424</v>
      </c>
      <c r="M6735" s="187">
        <v>23.46</v>
      </c>
      <c r="N6735" s="199">
        <f t="shared" si="3117"/>
        <v>87.06</v>
      </c>
      <c r="O6735" s="411">
        <f t="shared" si="3123"/>
        <v>49.263000000000005</v>
      </c>
      <c r="P6735" s="132" t="s">
        <v>52</v>
      </c>
      <c r="Q6735" s="232"/>
      <c r="R6735" s="411"/>
      <c r="T6735" s="134" t="s">
        <v>145</v>
      </c>
      <c r="U6735" s="267" t="s">
        <v>14380</v>
      </c>
      <c r="AA6735" s="218"/>
    </row>
    <row r="6736" spans="1:27" ht="24" x14ac:dyDescent="0.25">
      <c r="A6736" s="405">
        <v>3005278</v>
      </c>
      <c r="B6736" s="406">
        <v>42674</v>
      </c>
      <c r="C6736" s="405" t="s">
        <v>237</v>
      </c>
      <c r="D6736" s="401" t="s">
        <v>14381</v>
      </c>
      <c r="E6736" s="120">
        <v>150</v>
      </c>
      <c r="F6736" s="133" t="s">
        <v>165</v>
      </c>
      <c r="G6736" s="404" t="s">
        <v>7486</v>
      </c>
      <c r="H6736" s="411">
        <v>129.36000000000001</v>
      </c>
      <c r="I6736" s="397">
        <f t="shared" ref="I6736" si="3130">-(H6736*0.15)</f>
        <v>-19.404</v>
      </c>
      <c r="J6736" s="258">
        <v>0</v>
      </c>
      <c r="K6736" s="90">
        <f t="shared" si="3128"/>
        <v>109.95600000000002</v>
      </c>
      <c r="L6736" s="131">
        <v>375</v>
      </c>
      <c r="M6736" s="187">
        <v>26.35</v>
      </c>
      <c r="N6736" s="199">
        <f t="shared" si="3117"/>
        <v>82.6</v>
      </c>
      <c r="O6736" s="411">
        <f t="shared" si="3123"/>
        <v>27.356000000000023</v>
      </c>
      <c r="P6736" s="132" t="s">
        <v>86</v>
      </c>
      <c r="Q6736" s="232"/>
      <c r="R6736" s="411"/>
      <c r="T6736" s="134" t="s">
        <v>145</v>
      </c>
      <c r="U6736" s="267" t="s">
        <v>14382</v>
      </c>
      <c r="AA6736" s="218"/>
    </row>
    <row r="6737" spans="1:27" ht="24" x14ac:dyDescent="0.25">
      <c r="A6737" s="405">
        <v>3005279</v>
      </c>
      <c r="B6737" s="406">
        <v>42674</v>
      </c>
      <c r="C6737" s="405" t="s">
        <v>237</v>
      </c>
      <c r="D6737" s="401" t="s">
        <v>14383</v>
      </c>
      <c r="E6737" s="120">
        <v>300</v>
      </c>
      <c r="F6737" s="133" t="s">
        <v>247</v>
      </c>
      <c r="G6737" s="404" t="s">
        <v>7486</v>
      </c>
      <c r="H6737" s="411">
        <v>237.3</v>
      </c>
      <c r="I6737" s="397">
        <f t="shared" ref="I6737" si="3131">-(H6737*0.15)</f>
        <v>-35.594999999999999</v>
      </c>
      <c r="J6737" s="258">
        <v>0</v>
      </c>
      <c r="K6737" s="90">
        <f t="shared" si="3128"/>
        <v>201.70500000000001</v>
      </c>
      <c r="L6737" s="131">
        <v>424</v>
      </c>
      <c r="M6737" s="187">
        <v>54.1</v>
      </c>
      <c r="N6737" s="199">
        <f t="shared" si="3117"/>
        <v>181.29999999999998</v>
      </c>
      <c r="O6737" s="411">
        <f t="shared" si="3123"/>
        <v>20.40500000000003</v>
      </c>
      <c r="P6737" s="132" t="s">
        <v>52</v>
      </c>
      <c r="Q6737" s="232"/>
      <c r="R6737" s="411"/>
      <c r="T6737" s="134" t="s">
        <v>145</v>
      </c>
      <c r="U6737" s="267" t="s">
        <v>14384</v>
      </c>
      <c r="AA6737" s="218"/>
    </row>
    <row r="6738" spans="1:27" ht="24" x14ac:dyDescent="0.25">
      <c r="A6738" s="405">
        <v>3005280</v>
      </c>
      <c r="B6738" s="406">
        <v>42674</v>
      </c>
      <c r="C6738" s="405" t="s">
        <v>237</v>
      </c>
      <c r="D6738" s="401" t="s">
        <v>14385</v>
      </c>
      <c r="E6738" s="120">
        <v>100</v>
      </c>
      <c r="F6738" s="133" t="s">
        <v>431</v>
      </c>
      <c r="G6738" s="404" t="s">
        <v>7486</v>
      </c>
      <c r="H6738" s="411">
        <v>200</v>
      </c>
      <c r="I6738" s="397">
        <f t="shared" ref="I6738:I6739" si="3132">-(H6738*0.15)</f>
        <v>-30</v>
      </c>
      <c r="J6738" s="258">
        <v>0</v>
      </c>
      <c r="K6738" s="90">
        <f t="shared" si="3128"/>
        <v>170</v>
      </c>
      <c r="L6738" s="131">
        <v>950</v>
      </c>
      <c r="M6738" s="187">
        <v>31.89</v>
      </c>
      <c r="N6738" s="199">
        <f t="shared" si="3117"/>
        <v>126.89</v>
      </c>
      <c r="O6738" s="411">
        <f t="shared" si="3123"/>
        <v>43.11</v>
      </c>
      <c r="P6738" s="132" t="s">
        <v>52</v>
      </c>
      <c r="Q6738" s="232"/>
      <c r="R6738" s="411"/>
      <c r="T6738" s="134" t="s">
        <v>145</v>
      </c>
      <c r="U6738" s="267" t="s">
        <v>14386</v>
      </c>
      <c r="AA6738" s="218"/>
    </row>
    <row r="6739" spans="1:27" ht="24" x14ac:dyDescent="0.25">
      <c r="A6739" s="405">
        <v>3005281</v>
      </c>
      <c r="B6739" s="406">
        <v>42674</v>
      </c>
      <c r="C6739" s="405" t="s">
        <v>237</v>
      </c>
      <c r="D6739" s="401" t="s">
        <v>14387</v>
      </c>
      <c r="E6739" s="120">
        <v>150</v>
      </c>
      <c r="F6739" s="133" t="s">
        <v>247</v>
      </c>
      <c r="G6739" s="404" t="s">
        <v>7486</v>
      </c>
      <c r="H6739" s="411">
        <v>160.38</v>
      </c>
      <c r="I6739" s="397">
        <f t="shared" si="3132"/>
        <v>-24.056999999999999</v>
      </c>
      <c r="J6739" s="258">
        <v>0</v>
      </c>
      <c r="K6739" s="90">
        <f t="shared" si="3128"/>
        <v>136.32300000000001</v>
      </c>
      <c r="L6739" s="131">
        <v>424</v>
      </c>
      <c r="M6739" s="187">
        <v>31.62</v>
      </c>
      <c r="N6739" s="199">
        <f t="shared" si="3117"/>
        <v>95.22</v>
      </c>
      <c r="O6739" s="411">
        <f t="shared" si="3123"/>
        <v>41.103000000000009</v>
      </c>
      <c r="P6739" s="132" t="s">
        <v>52</v>
      </c>
      <c r="Q6739" s="232"/>
      <c r="R6739" s="411"/>
      <c r="T6739" s="134" t="s">
        <v>145</v>
      </c>
      <c r="U6739" s="267" t="s">
        <v>14388</v>
      </c>
      <c r="AA6739" s="218"/>
    </row>
    <row r="6740" spans="1:27" ht="24" x14ac:dyDescent="0.25">
      <c r="A6740" s="405">
        <v>3005282</v>
      </c>
      <c r="B6740" s="406">
        <v>42674</v>
      </c>
      <c r="C6740" s="405" t="s">
        <v>237</v>
      </c>
      <c r="D6740" s="401" t="s">
        <v>14389</v>
      </c>
      <c r="E6740" s="120">
        <v>500</v>
      </c>
      <c r="F6740" s="133" t="s">
        <v>451</v>
      </c>
      <c r="G6740" s="404" t="s">
        <v>7486</v>
      </c>
      <c r="H6740" s="411">
        <v>240.06</v>
      </c>
      <c r="I6740" s="397">
        <f t="shared" ref="I6740" si="3133">-(H6740*0.15)</f>
        <v>-36.009</v>
      </c>
      <c r="J6740" s="258">
        <v>0</v>
      </c>
      <c r="K6740" s="90">
        <f t="shared" si="3128"/>
        <v>204.05099999999999</v>
      </c>
      <c r="L6740" s="131">
        <v>300</v>
      </c>
      <c r="M6740" s="187">
        <v>35.85</v>
      </c>
      <c r="N6740" s="199">
        <f t="shared" si="3117"/>
        <v>185.85</v>
      </c>
      <c r="O6740" s="411">
        <f t="shared" si="3123"/>
        <v>18.200999999999993</v>
      </c>
      <c r="P6740" s="132" t="s">
        <v>52</v>
      </c>
      <c r="Q6740" s="232"/>
      <c r="R6740" s="411"/>
      <c r="T6740" s="134" t="s">
        <v>145</v>
      </c>
      <c r="U6740" s="267" t="s">
        <v>14390</v>
      </c>
      <c r="AA6740" s="218"/>
    </row>
    <row r="6741" spans="1:27" ht="24" x14ac:dyDescent="0.25">
      <c r="A6741" s="405">
        <v>3005283</v>
      </c>
      <c r="B6741" s="406">
        <v>42674</v>
      </c>
      <c r="C6741" s="405" t="s">
        <v>237</v>
      </c>
      <c r="D6741" s="401" t="s">
        <v>14391</v>
      </c>
      <c r="E6741" s="120">
        <v>50</v>
      </c>
      <c r="F6741" s="133" t="s">
        <v>431</v>
      </c>
      <c r="G6741" s="404" t="s">
        <v>7486</v>
      </c>
      <c r="H6741" s="411">
        <v>111.63</v>
      </c>
      <c r="I6741" s="397">
        <f t="shared" ref="I6741" si="3134">-(H6741*0.15)</f>
        <v>-16.744499999999999</v>
      </c>
      <c r="J6741" s="258">
        <v>0</v>
      </c>
      <c r="K6741" s="90">
        <f t="shared" si="3128"/>
        <v>94.885499999999993</v>
      </c>
      <c r="L6741" s="131">
        <v>950</v>
      </c>
      <c r="M6741" s="187">
        <v>31.92</v>
      </c>
      <c r="N6741" s="199">
        <f t="shared" si="3117"/>
        <v>79.42</v>
      </c>
      <c r="O6741" s="411">
        <f t="shared" si="3123"/>
        <v>15.465499999999992</v>
      </c>
      <c r="P6741" s="132" t="s">
        <v>52</v>
      </c>
      <c r="Q6741" s="232"/>
      <c r="R6741" s="411"/>
      <c r="T6741" s="134" t="s">
        <v>145</v>
      </c>
      <c r="U6741" s="267" t="s">
        <v>14392</v>
      </c>
      <c r="AA6741" s="218"/>
    </row>
    <row r="6742" spans="1:27" ht="24" x14ac:dyDescent="0.25">
      <c r="A6742" s="405">
        <v>3005284</v>
      </c>
      <c r="B6742" s="406">
        <v>42674</v>
      </c>
      <c r="C6742" s="405" t="s">
        <v>237</v>
      </c>
      <c r="D6742" s="401" t="s">
        <v>14393</v>
      </c>
      <c r="E6742" s="120">
        <v>100</v>
      </c>
      <c r="F6742" s="133" t="s">
        <v>431</v>
      </c>
      <c r="G6742" s="404" t="s">
        <v>7486</v>
      </c>
      <c r="H6742" s="411">
        <v>200</v>
      </c>
      <c r="I6742" s="397">
        <f t="shared" ref="I6742" si="3135">-(H6742*0.15)</f>
        <v>-30</v>
      </c>
      <c r="J6742" s="258">
        <v>0</v>
      </c>
      <c r="K6742" s="90">
        <f t="shared" si="3128"/>
        <v>170</v>
      </c>
      <c r="L6742" s="131">
        <v>950</v>
      </c>
      <c r="M6742" s="187">
        <v>30.14</v>
      </c>
      <c r="N6742" s="199">
        <f t="shared" si="3117"/>
        <v>125.14</v>
      </c>
      <c r="O6742" s="411">
        <f t="shared" si="3123"/>
        <v>44.86</v>
      </c>
      <c r="P6742" s="132" t="s">
        <v>52</v>
      </c>
      <c r="Q6742" s="232"/>
      <c r="R6742" s="411"/>
      <c r="T6742" s="134" t="s">
        <v>145</v>
      </c>
      <c r="U6742" s="267" t="s">
        <v>14394</v>
      </c>
      <c r="AA6742" s="218"/>
    </row>
    <row r="6743" spans="1:27" ht="24" x14ac:dyDescent="0.25">
      <c r="A6743" s="405">
        <v>3005285</v>
      </c>
      <c r="B6743" s="406">
        <v>42674</v>
      </c>
      <c r="C6743" s="405" t="s">
        <v>237</v>
      </c>
      <c r="D6743" s="401" t="s">
        <v>14395</v>
      </c>
      <c r="E6743" s="120">
        <v>50</v>
      </c>
      <c r="F6743" s="133" t="s">
        <v>161</v>
      </c>
      <c r="G6743" s="404" t="s">
        <v>7486</v>
      </c>
      <c r="H6743" s="411">
        <v>129.69</v>
      </c>
      <c r="I6743" s="397">
        <f t="shared" ref="I6743" si="3136">-(H6743*0.15)</f>
        <v>-19.453499999999998</v>
      </c>
      <c r="J6743" s="258">
        <v>0</v>
      </c>
      <c r="K6743" s="90">
        <f t="shared" si="3128"/>
        <v>110.23650000000001</v>
      </c>
      <c r="L6743" s="131">
        <v>1322</v>
      </c>
      <c r="M6743" s="187">
        <v>24.92</v>
      </c>
      <c r="N6743" s="199">
        <f t="shared" si="3117"/>
        <v>91.02000000000001</v>
      </c>
      <c r="O6743" s="411">
        <f t="shared" si="3123"/>
        <v>19.216499999999996</v>
      </c>
      <c r="P6743" s="132" t="s">
        <v>52</v>
      </c>
      <c r="Q6743" s="232"/>
      <c r="R6743" s="411"/>
      <c r="T6743" s="134" t="s">
        <v>145</v>
      </c>
      <c r="U6743" s="267" t="s">
        <v>14396</v>
      </c>
      <c r="AA6743" s="218"/>
    </row>
    <row r="6744" spans="1:27" ht="24" x14ac:dyDescent="0.25">
      <c r="A6744" s="405">
        <v>3005286</v>
      </c>
      <c r="B6744" s="406">
        <v>42674</v>
      </c>
      <c r="C6744" s="405" t="s">
        <v>237</v>
      </c>
      <c r="D6744" s="401" t="s">
        <v>4411</v>
      </c>
      <c r="E6744" s="120">
        <v>250</v>
      </c>
      <c r="F6744" s="133" t="s">
        <v>590</v>
      </c>
      <c r="G6744" s="404" t="s">
        <v>7486</v>
      </c>
      <c r="H6744" s="411">
        <v>379.42</v>
      </c>
      <c r="I6744" s="397">
        <f t="shared" ref="I6744" si="3137">-(H6744*0.15)</f>
        <v>-56.913000000000004</v>
      </c>
      <c r="J6744" s="258">
        <v>0</v>
      </c>
      <c r="K6744" s="90">
        <f t="shared" si="3128"/>
        <v>322.50700000000001</v>
      </c>
      <c r="L6744" s="131">
        <v>560</v>
      </c>
      <c r="M6744" s="187">
        <v>48.09</v>
      </c>
      <c r="N6744" s="199">
        <f t="shared" si="3117"/>
        <v>188.09</v>
      </c>
      <c r="O6744" s="411">
        <f t="shared" si="3123"/>
        <v>134.417</v>
      </c>
      <c r="P6744" s="132" t="s">
        <v>52</v>
      </c>
      <c r="Q6744" s="232"/>
      <c r="R6744" s="411"/>
      <c r="T6744" s="134" t="s">
        <v>145</v>
      </c>
      <c r="U6744" s="267" t="s">
        <v>14397</v>
      </c>
      <c r="AA6744" s="218"/>
    </row>
    <row r="6745" spans="1:27" x14ac:dyDescent="0.25">
      <c r="A6745" s="405">
        <v>3005287</v>
      </c>
      <c r="B6745" s="406">
        <v>42674</v>
      </c>
      <c r="C6745" s="405" t="s">
        <v>555</v>
      </c>
      <c r="D6745" s="401" t="s">
        <v>14398</v>
      </c>
      <c r="E6745" s="120">
        <f>883*3</f>
        <v>2649</v>
      </c>
      <c r="F6745" s="133" t="s">
        <v>14399</v>
      </c>
      <c r="G6745" s="404" t="s">
        <v>7486</v>
      </c>
      <c r="H6745" s="411">
        <v>44408.97</v>
      </c>
      <c r="I6745" s="411">
        <v>0</v>
      </c>
      <c r="J6745" s="411">
        <v>0</v>
      </c>
      <c r="K6745" s="90">
        <f t="shared" si="3128"/>
        <v>44408.97</v>
      </c>
      <c r="L6745" s="187">
        <v>1749</v>
      </c>
      <c r="M6745" s="187">
        <v>442.13</v>
      </c>
      <c r="N6745" s="199">
        <f t="shared" si="3117"/>
        <v>5075.2309999999998</v>
      </c>
      <c r="O6745" s="411">
        <f t="shared" si="3123"/>
        <v>39333.739000000001</v>
      </c>
      <c r="P6745" s="132" t="s">
        <v>66</v>
      </c>
      <c r="Q6745" s="232"/>
      <c r="R6745" s="411"/>
      <c r="T6745" s="134" t="s">
        <v>97</v>
      </c>
      <c r="U6745" s="267" t="s">
        <v>14400</v>
      </c>
      <c r="W6745" s="153" t="s">
        <v>14401</v>
      </c>
      <c r="AA6745" s="218"/>
    </row>
    <row r="6746" spans="1:27" ht="24" x14ac:dyDescent="0.25">
      <c r="A6746" s="405">
        <v>3005288</v>
      </c>
      <c r="B6746" s="406">
        <v>42674</v>
      </c>
      <c r="C6746" s="405" t="s">
        <v>141</v>
      </c>
      <c r="D6746" s="401" t="s">
        <v>2212</v>
      </c>
      <c r="E6746" s="120">
        <v>250</v>
      </c>
      <c r="F6746" s="133" t="s">
        <v>207</v>
      </c>
      <c r="G6746" s="404" t="s">
        <v>45</v>
      </c>
      <c r="H6746" s="411">
        <v>240</v>
      </c>
      <c r="I6746" s="410">
        <v>0</v>
      </c>
      <c r="J6746" s="90">
        <f>-((H6746*0.0325)+0.3)</f>
        <v>-8.1000000000000014</v>
      </c>
      <c r="K6746" s="90">
        <f t="shared" si="3128"/>
        <v>231.9</v>
      </c>
      <c r="L6746" s="131">
        <v>550</v>
      </c>
      <c r="M6746" s="187">
        <v>21.2</v>
      </c>
      <c r="N6746" s="199">
        <f t="shared" si="3117"/>
        <v>158.69999999999999</v>
      </c>
      <c r="O6746" s="411">
        <f t="shared" si="3123"/>
        <v>73.200000000000017</v>
      </c>
      <c r="P6746" s="132" t="s">
        <v>52</v>
      </c>
      <c r="Q6746" s="232"/>
      <c r="R6746" s="411"/>
      <c r="T6746" s="134" t="s">
        <v>145</v>
      </c>
      <c r="U6746" s="267" t="s">
        <v>14402</v>
      </c>
      <c r="W6746" s="153" t="s">
        <v>2214</v>
      </c>
      <c r="AA6746" s="218"/>
    </row>
    <row r="6747" spans="1:27" x14ac:dyDescent="0.25">
      <c r="A6747" s="405">
        <v>3005289</v>
      </c>
      <c r="B6747" s="406">
        <v>42674</v>
      </c>
      <c r="C6747" s="405" t="s">
        <v>63</v>
      </c>
      <c r="D6747" s="401" t="s">
        <v>14403</v>
      </c>
      <c r="E6747" s="120">
        <v>1</v>
      </c>
      <c r="F6747" s="133" t="s">
        <v>11770</v>
      </c>
      <c r="G6747" s="242" t="s">
        <v>7486</v>
      </c>
      <c r="H6747" s="411">
        <v>100</v>
      </c>
      <c r="I6747" s="410">
        <v>0</v>
      </c>
      <c r="J6747" s="90">
        <f>-((H6747*0.022)+0.3)</f>
        <v>-2.4999999999999996</v>
      </c>
      <c r="K6747" s="90">
        <f t="shared" si="3128"/>
        <v>97.5</v>
      </c>
      <c r="N6747" s="199">
        <f t="shared" si="3117"/>
        <v>0</v>
      </c>
      <c r="O6747" s="411">
        <f t="shared" si="3123"/>
        <v>97.5</v>
      </c>
      <c r="Q6747" s="232"/>
      <c r="R6747" s="411"/>
      <c r="V6747" s="133" t="s">
        <v>2648</v>
      </c>
      <c r="W6747" s="153" t="s">
        <v>14404</v>
      </c>
    </row>
    <row r="6748" spans="1:27" ht="24" x14ac:dyDescent="0.25">
      <c r="A6748" s="405">
        <v>3005290</v>
      </c>
      <c r="B6748" s="406">
        <v>42674</v>
      </c>
      <c r="C6748" s="405" t="s">
        <v>63</v>
      </c>
      <c r="D6748" s="401" t="s">
        <v>14405</v>
      </c>
      <c r="E6748" s="120">
        <v>130</v>
      </c>
      <c r="F6748" s="133" t="s">
        <v>14406</v>
      </c>
      <c r="G6748" s="404" t="s">
        <v>45</v>
      </c>
      <c r="H6748" s="411">
        <v>325</v>
      </c>
      <c r="I6748" s="410">
        <v>0</v>
      </c>
      <c r="J6748" s="90">
        <f>-((H6748*0.022)+0.3)</f>
        <v>-7.4499999999999993</v>
      </c>
      <c r="K6748" s="90">
        <f t="shared" si="3128"/>
        <v>317.55</v>
      </c>
      <c r="L6748" s="187">
        <v>1095</v>
      </c>
      <c r="M6748" s="187">
        <v>23.22</v>
      </c>
      <c r="N6748" s="199">
        <f t="shared" si="3117"/>
        <v>165.57</v>
      </c>
      <c r="O6748" s="411">
        <f t="shared" si="3123"/>
        <v>151.98000000000002</v>
      </c>
      <c r="P6748" s="132" t="s">
        <v>5292</v>
      </c>
      <c r="Q6748" s="232"/>
      <c r="R6748" s="411"/>
      <c r="T6748" s="134" t="s">
        <v>145</v>
      </c>
      <c r="U6748" s="267" t="s">
        <v>14407</v>
      </c>
      <c r="W6748" s="153" t="s">
        <v>14408</v>
      </c>
      <c r="AA6748" s="218"/>
    </row>
    <row r="6749" spans="1:27" x14ac:dyDescent="0.25">
      <c r="A6749" s="405">
        <v>3005291</v>
      </c>
      <c r="B6749" s="406">
        <v>42675</v>
      </c>
      <c r="C6749" s="405" t="s">
        <v>42</v>
      </c>
      <c r="D6749" s="401" t="s">
        <v>14409</v>
      </c>
      <c r="E6749" s="120">
        <v>350</v>
      </c>
      <c r="F6749" s="133" t="s">
        <v>7850</v>
      </c>
      <c r="G6749" s="404" t="s">
        <v>45</v>
      </c>
      <c r="H6749" s="411">
        <v>1250</v>
      </c>
      <c r="I6749" s="89">
        <f>-(H6749*0.09)</f>
        <v>-112.5</v>
      </c>
      <c r="J6749" s="361">
        <f t="shared" ref="J6749:J6750" si="3138">-((H6749*0.019)+0.3)</f>
        <v>-24.05</v>
      </c>
      <c r="K6749" s="396">
        <f t="shared" ref="K6749:K6750" si="3139">SUM(H6749:J6749)</f>
        <v>1113.45</v>
      </c>
      <c r="L6749" s="131">
        <v>2325</v>
      </c>
      <c r="M6749" s="187">
        <v>232.06</v>
      </c>
      <c r="N6749" s="199">
        <f t="shared" si="3117"/>
        <v>1045.8100000000002</v>
      </c>
      <c r="O6749" s="411">
        <f t="shared" si="3123"/>
        <v>67.639999999999873</v>
      </c>
      <c r="P6749" s="132" t="s">
        <v>52</v>
      </c>
      <c r="Q6749" s="232"/>
      <c r="R6749" s="411"/>
      <c r="T6749" s="134" t="s">
        <v>503</v>
      </c>
      <c r="U6749" s="267" t="s">
        <v>14410</v>
      </c>
      <c r="V6749" s="133" t="s">
        <v>55</v>
      </c>
      <c r="AA6749" s="218"/>
    </row>
    <row r="6750" spans="1:27" ht="24" x14ac:dyDescent="0.25">
      <c r="A6750" s="405">
        <v>3005292</v>
      </c>
      <c r="B6750" s="406">
        <v>42675</v>
      </c>
      <c r="C6750" s="405" t="s">
        <v>78</v>
      </c>
      <c r="D6750" s="401" t="s">
        <v>14411</v>
      </c>
      <c r="E6750" s="120">
        <v>350</v>
      </c>
      <c r="F6750" s="133" t="s">
        <v>877</v>
      </c>
      <c r="G6750" s="404" t="s">
        <v>7486</v>
      </c>
      <c r="H6750" s="411">
        <v>248</v>
      </c>
      <c r="I6750" s="411">
        <v>0</v>
      </c>
      <c r="J6750" s="361">
        <f t="shared" si="3138"/>
        <v>-5.0119999999999996</v>
      </c>
      <c r="K6750" s="396">
        <f t="shared" si="3139"/>
        <v>242.988</v>
      </c>
      <c r="L6750" s="131">
        <v>235</v>
      </c>
      <c r="M6750" s="187">
        <v>32.700000000000003</v>
      </c>
      <c r="N6750" s="199">
        <f t="shared" si="3117"/>
        <v>114.95000000000002</v>
      </c>
      <c r="O6750" s="411">
        <f t="shared" si="3123"/>
        <v>128.03799999999998</v>
      </c>
      <c r="P6750" s="132" t="s">
        <v>52</v>
      </c>
      <c r="Q6750" s="232"/>
      <c r="R6750" s="411"/>
      <c r="T6750" s="134" t="s">
        <v>145</v>
      </c>
      <c r="U6750" s="267" t="s">
        <v>14412</v>
      </c>
      <c r="W6750" s="153" t="s">
        <v>14413</v>
      </c>
      <c r="AA6750" s="218"/>
    </row>
    <row r="6751" spans="1:27" x14ac:dyDescent="0.25">
      <c r="A6751" s="405">
        <v>3005293</v>
      </c>
      <c r="B6751" s="406">
        <v>42675</v>
      </c>
      <c r="C6751" s="405" t="s">
        <v>63</v>
      </c>
      <c r="D6751" s="401" t="s">
        <v>14414</v>
      </c>
      <c r="E6751" s="120">
        <v>1000</v>
      </c>
      <c r="F6751" s="133" t="s">
        <v>247</v>
      </c>
      <c r="G6751" s="404" t="s">
        <v>7486</v>
      </c>
      <c r="H6751" s="411">
        <v>875</v>
      </c>
      <c r="I6751" s="410">
        <v>0</v>
      </c>
      <c r="J6751" s="90">
        <f>-((H6751*0.022)+0.3)</f>
        <v>-19.55</v>
      </c>
      <c r="K6751" s="90">
        <f>SUM(H6751:J6751)</f>
        <v>855.45</v>
      </c>
      <c r="L6751" s="131">
        <v>424</v>
      </c>
      <c r="M6751" s="131">
        <v>117.16</v>
      </c>
      <c r="N6751" s="199">
        <f t="shared" si="3117"/>
        <v>541.16</v>
      </c>
      <c r="O6751" s="411">
        <f t="shared" si="3123"/>
        <v>314.29000000000008</v>
      </c>
      <c r="P6751" s="132" t="s">
        <v>52</v>
      </c>
      <c r="Q6751" s="232"/>
      <c r="R6751" s="411"/>
      <c r="T6751" s="134" t="s">
        <v>11100</v>
      </c>
      <c r="U6751" s="267" t="s">
        <v>14415</v>
      </c>
      <c r="V6751" s="133" t="s">
        <v>55</v>
      </c>
      <c r="W6751" s="153" t="s">
        <v>14416</v>
      </c>
      <c r="AA6751" s="218"/>
    </row>
    <row r="6752" spans="1:27" ht="24" x14ac:dyDescent="0.25">
      <c r="A6752" s="405">
        <v>3005294</v>
      </c>
      <c r="B6752" s="406">
        <v>42675</v>
      </c>
      <c r="C6752" s="405" t="s">
        <v>42</v>
      </c>
      <c r="D6752" s="401" t="s">
        <v>14417</v>
      </c>
      <c r="E6752" s="120">
        <v>500</v>
      </c>
      <c r="F6752" s="119" t="s">
        <v>14418</v>
      </c>
      <c r="G6752" s="404" t="s">
        <v>7486</v>
      </c>
      <c r="H6752" s="411">
        <v>135</v>
      </c>
      <c r="I6752" s="89">
        <f t="shared" ref="I6752:I6759" si="3140">-(H6752*0.09)</f>
        <v>-12.15</v>
      </c>
      <c r="J6752" s="361">
        <f t="shared" ref="J6752" si="3141">-((H6752*0.019)+0.3)</f>
        <v>-2.8649999999999998</v>
      </c>
      <c r="K6752" s="396">
        <f t="shared" ref="K6752" si="3142">SUM(H6752:J6752)</f>
        <v>119.985</v>
      </c>
      <c r="L6752" s="187">
        <v>140</v>
      </c>
      <c r="M6752" s="187">
        <v>16.600000000000001</v>
      </c>
      <c r="N6752" s="199">
        <f t="shared" si="3117"/>
        <v>86.6</v>
      </c>
      <c r="O6752" s="411">
        <f t="shared" si="3123"/>
        <v>33.385000000000005</v>
      </c>
      <c r="P6752" s="132" t="s">
        <v>183</v>
      </c>
      <c r="Q6752" s="232"/>
      <c r="R6752" s="411"/>
      <c r="T6752" s="134" t="s">
        <v>145</v>
      </c>
      <c r="U6752" s="267" t="s">
        <v>14419</v>
      </c>
      <c r="AA6752" s="218"/>
    </row>
    <row r="6753" spans="1:27" ht="24" x14ac:dyDescent="0.25">
      <c r="A6753" s="405">
        <v>3005295</v>
      </c>
      <c r="B6753" s="406">
        <v>42675</v>
      </c>
      <c r="C6753" s="405" t="s">
        <v>42</v>
      </c>
      <c r="D6753" s="401" t="s">
        <v>14420</v>
      </c>
      <c r="E6753" s="120">
        <v>150</v>
      </c>
      <c r="F6753" s="133" t="s">
        <v>157</v>
      </c>
      <c r="G6753" s="404" t="s">
        <v>7486</v>
      </c>
      <c r="H6753" s="411">
        <v>229.5</v>
      </c>
      <c r="I6753" s="89">
        <f t="shared" si="3140"/>
        <v>-20.654999999999998</v>
      </c>
      <c r="J6753" s="361">
        <f t="shared" ref="J6753" si="3143">-((H6753*0.019)+0.3)</f>
        <v>-4.6604999999999999</v>
      </c>
      <c r="K6753" s="396">
        <f t="shared" ref="K6753" si="3144">SUM(H6753:J6753)</f>
        <v>204.18449999999999</v>
      </c>
      <c r="L6753" s="131">
        <v>589</v>
      </c>
      <c r="M6753" s="187">
        <v>31.03</v>
      </c>
      <c r="N6753" s="199">
        <f t="shared" si="3117"/>
        <v>119.38</v>
      </c>
      <c r="O6753" s="411">
        <f t="shared" si="3123"/>
        <v>84.80449999999999</v>
      </c>
      <c r="P6753" s="132" t="s">
        <v>52</v>
      </c>
      <c r="Q6753" s="232"/>
      <c r="R6753" s="411"/>
      <c r="T6753" s="134" t="s">
        <v>145</v>
      </c>
      <c r="U6753" s="267" t="s">
        <v>14421</v>
      </c>
      <c r="AA6753" s="218"/>
    </row>
    <row r="6754" spans="1:27" x14ac:dyDescent="0.25">
      <c r="A6754" s="405">
        <v>3005296</v>
      </c>
      <c r="B6754" s="406">
        <v>42675</v>
      </c>
      <c r="C6754" s="405" t="s">
        <v>42</v>
      </c>
      <c r="D6754" s="401" t="s">
        <v>14422</v>
      </c>
      <c r="E6754" s="120">
        <v>300</v>
      </c>
      <c r="F6754" s="133" t="s">
        <v>161</v>
      </c>
      <c r="G6754" s="404" t="s">
        <v>7486</v>
      </c>
      <c r="H6754" s="411">
        <v>750</v>
      </c>
      <c r="I6754" s="89">
        <f t="shared" si="3140"/>
        <v>-67.5</v>
      </c>
      <c r="J6754" s="361">
        <f t="shared" ref="J6754" si="3145">-((H6754*0.019)+0.3)</f>
        <v>-14.55</v>
      </c>
      <c r="K6754" s="396">
        <f t="shared" ref="K6754" si="3146">SUM(H6754:J6754)</f>
        <v>667.95</v>
      </c>
      <c r="L6754" s="131">
        <v>1322</v>
      </c>
      <c r="M6754" s="187">
        <v>138.15</v>
      </c>
      <c r="N6754" s="199">
        <f t="shared" si="3117"/>
        <v>534.75</v>
      </c>
      <c r="O6754" s="411">
        <f t="shared" si="3123"/>
        <v>133.20000000000005</v>
      </c>
      <c r="P6754" s="132" t="s">
        <v>52</v>
      </c>
      <c r="Q6754" s="232"/>
      <c r="R6754" s="411"/>
      <c r="T6754" s="134" t="s">
        <v>12646</v>
      </c>
      <c r="U6754" s="267" t="s">
        <v>14423</v>
      </c>
      <c r="V6754" s="133" t="s">
        <v>55</v>
      </c>
      <c r="AA6754" s="218"/>
    </row>
    <row r="6755" spans="1:27" x14ac:dyDescent="0.25">
      <c r="A6755" s="405">
        <v>3005297</v>
      </c>
      <c r="B6755" s="406">
        <v>42675</v>
      </c>
      <c r="C6755" s="405" t="s">
        <v>42</v>
      </c>
      <c r="D6755" s="401" t="s">
        <v>14424</v>
      </c>
      <c r="E6755" s="120">
        <v>300</v>
      </c>
      <c r="F6755" s="133" t="s">
        <v>161</v>
      </c>
      <c r="G6755" s="404" t="s">
        <v>7486</v>
      </c>
      <c r="H6755" s="411">
        <v>690</v>
      </c>
      <c r="I6755" s="89">
        <f t="shared" si="3140"/>
        <v>-62.099999999999994</v>
      </c>
      <c r="J6755" s="361">
        <f t="shared" ref="J6755" si="3147">-((H6755*0.019)+0.3)</f>
        <v>-13.41</v>
      </c>
      <c r="K6755" s="396">
        <f t="shared" ref="K6755" si="3148">SUM(H6755:J6755)</f>
        <v>614.49</v>
      </c>
      <c r="L6755" s="131">
        <v>1322</v>
      </c>
      <c r="M6755" s="187">
        <v>114.9</v>
      </c>
      <c r="N6755" s="199">
        <f t="shared" si="3117"/>
        <v>511.5</v>
      </c>
      <c r="O6755" s="411">
        <f t="shared" si="3123"/>
        <v>102.99000000000001</v>
      </c>
      <c r="P6755" s="132" t="s">
        <v>52</v>
      </c>
      <c r="Q6755" s="232"/>
      <c r="R6755" s="411"/>
      <c r="T6755" s="134" t="s">
        <v>7260</v>
      </c>
      <c r="U6755" s="266">
        <v>568321425</v>
      </c>
      <c r="V6755" s="133" t="s">
        <v>55</v>
      </c>
      <c r="AA6755" s="218"/>
    </row>
    <row r="6756" spans="1:27" ht="24" x14ac:dyDescent="0.25">
      <c r="A6756" s="405">
        <v>3005298</v>
      </c>
      <c r="B6756" s="406">
        <v>42675</v>
      </c>
      <c r="C6756" s="405" t="s">
        <v>42</v>
      </c>
      <c r="D6756" s="401" t="s">
        <v>14425</v>
      </c>
      <c r="E6756" s="120">
        <v>250</v>
      </c>
      <c r="F6756" s="133" t="s">
        <v>451</v>
      </c>
      <c r="G6756" s="404" t="s">
        <v>7486</v>
      </c>
      <c r="H6756" s="411">
        <v>168.27</v>
      </c>
      <c r="I6756" s="89">
        <f t="shared" si="3140"/>
        <v>-15.144300000000001</v>
      </c>
      <c r="J6756" s="361">
        <f t="shared" ref="J6756" si="3149">-((H6756*0.019)+0.3)</f>
        <v>-3.4971299999999998</v>
      </c>
      <c r="K6756" s="396">
        <f t="shared" ref="K6756" si="3150">SUM(H6756:J6756)</f>
        <v>149.62857</v>
      </c>
      <c r="L6756" s="131">
        <v>300</v>
      </c>
      <c r="M6756" s="187">
        <v>43.54</v>
      </c>
      <c r="N6756" s="199">
        <f t="shared" si="3117"/>
        <v>118.53999999999999</v>
      </c>
      <c r="O6756" s="411">
        <f t="shared" si="3123"/>
        <v>31.088570000000004</v>
      </c>
      <c r="P6756" s="132" t="s">
        <v>52</v>
      </c>
      <c r="Q6756" s="232"/>
      <c r="R6756" s="411"/>
      <c r="T6756" s="134" t="s">
        <v>145</v>
      </c>
      <c r="U6756" s="267" t="s">
        <v>14426</v>
      </c>
      <c r="AA6756" s="218"/>
    </row>
    <row r="6757" spans="1:27" ht="24" x14ac:dyDescent="0.25">
      <c r="A6757" s="405">
        <v>3005299</v>
      </c>
      <c r="B6757" s="406">
        <v>42675</v>
      </c>
      <c r="C6757" s="405" t="s">
        <v>42</v>
      </c>
      <c r="D6757" s="401" t="s">
        <v>14427</v>
      </c>
      <c r="E6757" s="120">
        <v>250</v>
      </c>
      <c r="F6757" s="133" t="s">
        <v>451</v>
      </c>
      <c r="G6757" s="404" t="s">
        <v>7486</v>
      </c>
      <c r="H6757" s="411">
        <v>168.27</v>
      </c>
      <c r="I6757" s="89">
        <f t="shared" si="3140"/>
        <v>-15.144300000000001</v>
      </c>
      <c r="J6757" s="361">
        <f t="shared" ref="J6757" si="3151">-((H6757*0.019)+0.3)</f>
        <v>-3.4971299999999998</v>
      </c>
      <c r="K6757" s="396">
        <f t="shared" ref="K6757" si="3152">SUM(H6757:J6757)</f>
        <v>149.62857</v>
      </c>
      <c r="L6757" s="131">
        <v>300</v>
      </c>
      <c r="M6757" s="187">
        <v>26.2</v>
      </c>
      <c r="N6757" s="199">
        <f t="shared" si="3117"/>
        <v>101.2</v>
      </c>
      <c r="O6757" s="411">
        <f t="shared" si="3123"/>
        <v>48.428569999999993</v>
      </c>
      <c r="P6757" s="132" t="s">
        <v>52</v>
      </c>
      <c r="Q6757" s="232"/>
      <c r="R6757" s="411"/>
      <c r="T6757" s="134" t="s">
        <v>145</v>
      </c>
      <c r="U6757" s="267" t="s">
        <v>14428</v>
      </c>
      <c r="AA6757" s="218"/>
    </row>
    <row r="6758" spans="1:27" ht="24" x14ac:dyDescent="0.25">
      <c r="A6758" s="405">
        <v>3005300</v>
      </c>
      <c r="B6758" s="406">
        <v>42675</v>
      </c>
      <c r="C6758" s="405" t="s">
        <v>42</v>
      </c>
      <c r="D6758" s="401" t="s">
        <v>14429</v>
      </c>
      <c r="E6758" s="120">
        <v>50</v>
      </c>
      <c r="F6758" s="133" t="s">
        <v>277</v>
      </c>
      <c r="G6758" s="404" t="s">
        <v>7486</v>
      </c>
      <c r="H6758" s="411">
        <v>366.88</v>
      </c>
      <c r="I6758" s="89">
        <f t="shared" si="3140"/>
        <v>-33.019199999999998</v>
      </c>
      <c r="J6758" s="361">
        <f t="shared" ref="J6758" si="3153">-((H6758*0.019)+0.3)</f>
        <v>-7.2707199999999998</v>
      </c>
      <c r="K6758" s="396">
        <f t="shared" ref="K6758" si="3154">SUM(H6758:J6758)</f>
        <v>326.59008</v>
      </c>
      <c r="L6758" s="187">
        <v>3460</v>
      </c>
      <c r="M6758" s="187">
        <v>37.83</v>
      </c>
      <c r="N6758" s="199">
        <f t="shared" si="3117"/>
        <v>210.82999999999998</v>
      </c>
      <c r="O6758" s="411">
        <f t="shared" si="3123"/>
        <v>115.76008000000002</v>
      </c>
      <c r="P6758" s="132" t="s">
        <v>183</v>
      </c>
      <c r="Q6758" s="232"/>
      <c r="R6758" s="411"/>
      <c r="T6758" s="134" t="s">
        <v>145</v>
      </c>
      <c r="U6758" s="267" t="s">
        <v>14430</v>
      </c>
      <c r="AA6758" s="218"/>
    </row>
    <row r="6759" spans="1:27" ht="24" x14ac:dyDescent="0.25">
      <c r="A6759" s="405">
        <v>3005301</v>
      </c>
      <c r="B6759" s="406">
        <v>42675</v>
      </c>
      <c r="C6759" s="405" t="s">
        <v>42</v>
      </c>
      <c r="D6759" s="401" t="s">
        <v>13799</v>
      </c>
      <c r="E6759" s="120">
        <v>250</v>
      </c>
      <c r="F6759" s="133" t="s">
        <v>14431</v>
      </c>
      <c r="G6759" s="404" t="s">
        <v>7486</v>
      </c>
      <c r="H6759" s="411">
        <v>135.30000000000001</v>
      </c>
      <c r="I6759" s="89">
        <f t="shared" si="3140"/>
        <v>-12.177000000000001</v>
      </c>
      <c r="J6759" s="361">
        <f t="shared" ref="J6759" si="3155">-((H6759*0.019)+0.3)</f>
        <v>-2.8706999999999998</v>
      </c>
      <c r="K6759" s="396">
        <f t="shared" ref="K6759" si="3156">SUM(H6759:J6759)</f>
        <v>120.25230000000001</v>
      </c>
      <c r="L6759" s="187">
        <v>294</v>
      </c>
      <c r="M6759" s="187">
        <v>20.75</v>
      </c>
      <c r="N6759" s="199">
        <f t="shared" si="3117"/>
        <v>94.25</v>
      </c>
      <c r="O6759" s="411">
        <f t="shared" si="3123"/>
        <v>26.002300000000005</v>
      </c>
      <c r="P6759" s="132" t="s">
        <v>183</v>
      </c>
      <c r="Q6759" s="232"/>
      <c r="R6759" s="411"/>
      <c r="T6759" s="134" t="s">
        <v>145</v>
      </c>
      <c r="U6759" s="267" t="s">
        <v>14432</v>
      </c>
      <c r="AA6759" s="218"/>
    </row>
    <row r="6760" spans="1:27" x14ac:dyDescent="0.25">
      <c r="A6760" s="405">
        <v>3005302</v>
      </c>
      <c r="B6760" s="406">
        <v>42675</v>
      </c>
      <c r="C6760" s="405" t="s">
        <v>237</v>
      </c>
      <c r="D6760" s="401" t="s">
        <v>14433</v>
      </c>
      <c r="E6760" s="120">
        <v>1500</v>
      </c>
      <c r="F6760" s="133" t="s">
        <v>70</v>
      </c>
      <c r="G6760" s="404" t="s">
        <v>7486</v>
      </c>
      <c r="H6760" s="411">
        <v>2592.8000000000002</v>
      </c>
      <c r="I6760" s="397">
        <f t="shared" ref="I6760" si="3157">-(H6760*0.15)</f>
        <v>-388.92</v>
      </c>
      <c r="J6760" s="258">
        <v>0</v>
      </c>
      <c r="K6760" s="90">
        <f>SUM(H6760:J6760)</f>
        <v>2203.88</v>
      </c>
      <c r="L6760" s="131">
        <v>1240</v>
      </c>
      <c r="M6760" s="187">
        <v>211.78</v>
      </c>
      <c r="N6760" s="199">
        <f t="shared" si="3117"/>
        <v>2071.7800000000002</v>
      </c>
      <c r="O6760" s="411">
        <f t="shared" si="3123"/>
        <v>132.09999999999991</v>
      </c>
      <c r="P6760" s="132" t="s">
        <v>52</v>
      </c>
      <c r="Q6760" s="232"/>
      <c r="R6760" s="411"/>
      <c r="T6760" s="134" t="s">
        <v>89</v>
      </c>
      <c r="U6760" s="267" t="s">
        <v>14434</v>
      </c>
      <c r="V6760" s="133" t="s">
        <v>55</v>
      </c>
      <c r="AA6760" s="218"/>
    </row>
    <row r="6761" spans="1:27" x14ac:dyDescent="0.25">
      <c r="A6761" s="419">
        <v>3005303</v>
      </c>
      <c r="B6761" s="421">
        <v>42675</v>
      </c>
      <c r="C6761" s="419" t="s">
        <v>237</v>
      </c>
      <c r="D6761" s="417" t="s">
        <v>14435</v>
      </c>
      <c r="E6761" s="120">
        <v>25</v>
      </c>
      <c r="F6761" s="133" t="s">
        <v>2483</v>
      </c>
      <c r="G6761" s="434" t="s">
        <v>7486</v>
      </c>
      <c r="H6761" s="427">
        <v>120.78</v>
      </c>
      <c r="I6761" s="452">
        <f t="shared" ref="I6761" si="3158">-(H6761*0.15)</f>
        <v>-18.117000000000001</v>
      </c>
      <c r="J6761" s="425">
        <v>0</v>
      </c>
      <c r="K6761" s="425">
        <f>SUM(H6761:J6761)</f>
        <v>102.663</v>
      </c>
      <c r="L6761" s="187">
        <v>1419</v>
      </c>
      <c r="M6761" s="187">
        <v>19.829999999999998</v>
      </c>
      <c r="N6761" s="199">
        <f t="shared" si="3117"/>
        <v>55.305</v>
      </c>
      <c r="O6761" s="411">
        <f t="shared" si="3123"/>
        <v>47.357999999999997</v>
      </c>
      <c r="P6761" s="132" t="s">
        <v>601</v>
      </c>
      <c r="Q6761" s="232"/>
      <c r="R6761" s="411"/>
      <c r="T6761" s="439" t="s">
        <v>145</v>
      </c>
      <c r="U6761" s="446" t="s">
        <v>14436</v>
      </c>
      <c r="AA6761" s="218"/>
    </row>
    <row r="6762" spans="1:27" x14ac:dyDescent="0.25">
      <c r="A6762" s="420"/>
      <c r="B6762" s="422"/>
      <c r="C6762" s="420"/>
      <c r="D6762" s="418"/>
      <c r="E6762" s="120">
        <v>25</v>
      </c>
      <c r="F6762" s="133" t="s">
        <v>3345</v>
      </c>
      <c r="G6762" s="436"/>
      <c r="H6762" s="428"/>
      <c r="I6762" s="453"/>
      <c r="J6762" s="426"/>
      <c r="K6762" s="426"/>
      <c r="L6762" s="187">
        <v>1448</v>
      </c>
      <c r="N6762" s="199">
        <f t="shared" si="3117"/>
        <v>36.200000000000003</v>
      </c>
      <c r="O6762" s="411">
        <f t="shared" si="3123"/>
        <v>-36.200000000000003</v>
      </c>
      <c r="P6762" s="132" t="s">
        <v>601</v>
      </c>
      <c r="Q6762" s="232"/>
      <c r="R6762" s="411"/>
      <c r="T6762" s="441"/>
      <c r="U6762" s="447"/>
      <c r="AA6762" s="218"/>
    </row>
    <row r="6763" spans="1:27" ht="24" x14ac:dyDescent="0.25">
      <c r="A6763" s="405">
        <v>3005304</v>
      </c>
      <c r="B6763" s="406">
        <v>42675</v>
      </c>
      <c r="C6763" s="405" t="s">
        <v>237</v>
      </c>
      <c r="D6763" s="401" t="s">
        <v>10458</v>
      </c>
      <c r="E6763" s="120">
        <v>250</v>
      </c>
      <c r="F6763" s="133" t="s">
        <v>2238</v>
      </c>
      <c r="G6763" s="404" t="s">
        <v>7486</v>
      </c>
      <c r="H6763" s="411">
        <v>107</v>
      </c>
      <c r="I6763" s="397">
        <f t="shared" ref="I6763" si="3159">-(H6763*0.15)</f>
        <v>-16.05</v>
      </c>
      <c r="J6763" s="258">
        <v>0</v>
      </c>
      <c r="K6763" s="90">
        <f>SUM(H6763:J6763)</f>
        <v>90.95</v>
      </c>
      <c r="L6763" s="131">
        <v>200</v>
      </c>
      <c r="M6763" s="187">
        <v>34.22</v>
      </c>
      <c r="N6763" s="199">
        <f t="shared" si="3117"/>
        <v>84.22</v>
      </c>
      <c r="O6763" s="411">
        <f t="shared" si="3123"/>
        <v>6.730000000000004</v>
      </c>
      <c r="P6763" s="132" t="s">
        <v>52</v>
      </c>
      <c r="Q6763" s="232"/>
      <c r="R6763" s="411"/>
      <c r="T6763" s="134" t="s">
        <v>145</v>
      </c>
      <c r="U6763" s="267" t="s">
        <v>14437</v>
      </c>
      <c r="AA6763" s="218"/>
    </row>
    <row r="6764" spans="1:27" ht="24" x14ac:dyDescent="0.25">
      <c r="A6764" s="405">
        <v>3005305</v>
      </c>
      <c r="B6764" s="406">
        <v>42675</v>
      </c>
      <c r="C6764" s="405" t="s">
        <v>237</v>
      </c>
      <c r="D6764" s="401" t="s">
        <v>14438</v>
      </c>
      <c r="E6764" s="120">
        <v>100</v>
      </c>
      <c r="F6764" s="133" t="s">
        <v>590</v>
      </c>
      <c r="G6764" s="404" t="s">
        <v>7486</v>
      </c>
      <c r="H6764" s="411">
        <v>107.91</v>
      </c>
      <c r="I6764" s="397">
        <f t="shared" ref="I6764" si="3160">-(H6764*0.15)</f>
        <v>-16.186499999999999</v>
      </c>
      <c r="J6764" s="258">
        <v>0</v>
      </c>
      <c r="K6764" s="90">
        <f>SUM(H6764:J6764)</f>
        <v>91.723500000000001</v>
      </c>
      <c r="L6764" s="131">
        <v>560</v>
      </c>
      <c r="M6764" s="187">
        <v>24.8</v>
      </c>
      <c r="N6764" s="199">
        <f t="shared" si="3117"/>
        <v>80.8</v>
      </c>
      <c r="O6764" s="411">
        <f t="shared" si="3123"/>
        <v>10.923500000000004</v>
      </c>
      <c r="P6764" s="132" t="s">
        <v>52</v>
      </c>
      <c r="Q6764" s="232"/>
      <c r="R6764" s="411"/>
      <c r="T6764" s="134" t="s">
        <v>145</v>
      </c>
      <c r="U6764" s="267" t="s">
        <v>14439</v>
      </c>
      <c r="AA6764" s="218"/>
    </row>
    <row r="6765" spans="1:27" ht="24" x14ac:dyDescent="0.25">
      <c r="A6765" s="405">
        <v>3005306</v>
      </c>
      <c r="B6765" s="406">
        <v>42675</v>
      </c>
      <c r="C6765" s="405" t="s">
        <v>237</v>
      </c>
      <c r="D6765" s="401" t="s">
        <v>14440</v>
      </c>
      <c r="E6765" s="120">
        <v>50</v>
      </c>
      <c r="F6765" s="133" t="s">
        <v>288</v>
      </c>
      <c r="G6765" s="404" t="s">
        <v>7486</v>
      </c>
      <c r="H6765" s="411">
        <v>110.07</v>
      </c>
      <c r="I6765" s="397">
        <f t="shared" ref="I6765:I6766" si="3161">-(H6765*0.15)</f>
        <v>-16.510499999999997</v>
      </c>
      <c r="J6765" s="258">
        <v>0</v>
      </c>
      <c r="K6765" s="90">
        <f>SUM(H6765:J6765)</f>
        <v>93.5595</v>
      </c>
      <c r="L6765" s="131">
        <v>900</v>
      </c>
      <c r="M6765" s="187">
        <v>25.31</v>
      </c>
      <c r="N6765" s="199">
        <f t="shared" si="3117"/>
        <v>70.31</v>
      </c>
      <c r="O6765" s="411">
        <f t="shared" si="3123"/>
        <v>23.249499999999998</v>
      </c>
      <c r="P6765" s="132" t="s">
        <v>52</v>
      </c>
      <c r="Q6765" s="232"/>
      <c r="R6765" s="411"/>
      <c r="T6765" s="134" t="s">
        <v>145</v>
      </c>
      <c r="U6765" s="267" t="s">
        <v>14441</v>
      </c>
      <c r="AA6765" s="218"/>
    </row>
    <row r="6766" spans="1:27" x14ac:dyDescent="0.25">
      <c r="A6766" s="419">
        <v>3005307</v>
      </c>
      <c r="B6766" s="421">
        <v>42675</v>
      </c>
      <c r="C6766" s="419" t="s">
        <v>237</v>
      </c>
      <c r="D6766" s="417" t="s">
        <v>14442</v>
      </c>
      <c r="E6766" s="120">
        <v>50</v>
      </c>
      <c r="F6766" s="133" t="s">
        <v>3301</v>
      </c>
      <c r="G6766" s="434" t="s">
        <v>7486</v>
      </c>
      <c r="H6766" s="427">
        <v>107.91</v>
      </c>
      <c r="I6766" s="452">
        <f t="shared" si="3161"/>
        <v>-16.186499999999999</v>
      </c>
      <c r="J6766" s="425">
        <v>0</v>
      </c>
      <c r="K6766" s="425">
        <f>SUM(H6766:J6766)</f>
        <v>91.723500000000001</v>
      </c>
      <c r="L6766" s="187">
        <v>754</v>
      </c>
      <c r="M6766" s="187">
        <v>12.13</v>
      </c>
      <c r="N6766" s="199">
        <f t="shared" si="3117"/>
        <v>49.830000000000005</v>
      </c>
      <c r="O6766" s="411">
        <f t="shared" si="3123"/>
        <v>41.893499999999996</v>
      </c>
      <c r="P6766" s="132" t="s">
        <v>601</v>
      </c>
      <c r="Q6766" s="232"/>
      <c r="R6766" s="411"/>
      <c r="T6766" s="439" t="s">
        <v>145</v>
      </c>
      <c r="U6766" s="446" t="s">
        <v>14443</v>
      </c>
      <c r="AA6766" s="218"/>
    </row>
    <row r="6767" spans="1:27" x14ac:dyDescent="0.25">
      <c r="A6767" s="420"/>
      <c r="B6767" s="422"/>
      <c r="C6767" s="420"/>
      <c r="D6767" s="418"/>
      <c r="E6767" s="120">
        <v>50</v>
      </c>
      <c r="F6767" s="133" t="s">
        <v>3299</v>
      </c>
      <c r="G6767" s="436"/>
      <c r="H6767" s="428"/>
      <c r="I6767" s="453"/>
      <c r="J6767" s="426"/>
      <c r="K6767" s="426"/>
      <c r="L6767" s="187">
        <v>754</v>
      </c>
      <c r="N6767" s="199">
        <f t="shared" si="3117"/>
        <v>37.700000000000003</v>
      </c>
      <c r="O6767" s="411">
        <f t="shared" si="3123"/>
        <v>-37.700000000000003</v>
      </c>
      <c r="P6767" s="132" t="s">
        <v>601</v>
      </c>
      <c r="Q6767" s="232"/>
      <c r="R6767" s="411"/>
      <c r="T6767" s="441"/>
      <c r="U6767" s="447"/>
      <c r="AA6767" s="218"/>
    </row>
    <row r="6768" spans="1:27" x14ac:dyDescent="0.25">
      <c r="A6768" s="419">
        <v>3005308</v>
      </c>
      <c r="B6768" s="421">
        <v>42675</v>
      </c>
      <c r="C6768" s="419" t="s">
        <v>237</v>
      </c>
      <c r="D6768" s="417" t="s">
        <v>14444</v>
      </c>
      <c r="E6768" s="120">
        <v>50</v>
      </c>
      <c r="F6768" s="133" t="s">
        <v>3440</v>
      </c>
      <c r="G6768" s="434" t="s">
        <v>7486</v>
      </c>
      <c r="H6768" s="427">
        <v>150.47999999999999</v>
      </c>
      <c r="I6768" s="452">
        <f t="shared" ref="I6768" si="3162">-(H6768*0.15)</f>
        <v>-22.571999999999999</v>
      </c>
      <c r="J6768" s="425">
        <v>0</v>
      </c>
      <c r="K6768" s="425">
        <f>SUM(H6768:J6768)</f>
        <v>127.90799999999999</v>
      </c>
      <c r="L6768" s="187">
        <v>944</v>
      </c>
      <c r="M6768" s="187">
        <v>27.7</v>
      </c>
      <c r="N6768" s="199">
        <f t="shared" si="3117"/>
        <v>74.900000000000006</v>
      </c>
      <c r="O6768" s="411">
        <f t="shared" si="3123"/>
        <v>53.007999999999981</v>
      </c>
      <c r="P6768" s="132" t="s">
        <v>601</v>
      </c>
      <c r="Q6768" s="232"/>
      <c r="R6768" s="411"/>
      <c r="T6768" s="439" t="s">
        <v>145</v>
      </c>
      <c r="U6768" s="446" t="s">
        <v>14445</v>
      </c>
      <c r="AA6768" s="218"/>
    </row>
    <row r="6769" spans="1:27" x14ac:dyDescent="0.25">
      <c r="A6769" s="420"/>
      <c r="B6769" s="422"/>
      <c r="C6769" s="420"/>
      <c r="D6769" s="418"/>
      <c r="E6769" s="120">
        <v>50</v>
      </c>
      <c r="F6769" s="133" t="s">
        <v>3442</v>
      </c>
      <c r="G6769" s="436"/>
      <c r="H6769" s="428"/>
      <c r="I6769" s="453"/>
      <c r="J6769" s="426"/>
      <c r="K6769" s="426"/>
      <c r="L6769" s="187">
        <v>944</v>
      </c>
      <c r="M6769" s="187"/>
      <c r="N6769" s="199">
        <f t="shared" si="3117"/>
        <v>47.2</v>
      </c>
      <c r="O6769" s="411">
        <f t="shared" si="3123"/>
        <v>-47.2</v>
      </c>
      <c r="P6769" s="132" t="s">
        <v>601</v>
      </c>
      <c r="Q6769" s="232"/>
      <c r="R6769" s="411"/>
      <c r="T6769" s="441"/>
      <c r="U6769" s="447"/>
      <c r="AA6769" s="218"/>
    </row>
    <row r="6770" spans="1:27" ht="24" x14ac:dyDescent="0.25">
      <c r="A6770" s="405">
        <v>3005309</v>
      </c>
      <c r="B6770" s="406">
        <v>42675</v>
      </c>
      <c r="C6770" s="405" t="s">
        <v>237</v>
      </c>
      <c r="D6770" s="401" t="s">
        <v>14446</v>
      </c>
      <c r="E6770" s="120">
        <v>50</v>
      </c>
      <c r="F6770" s="133" t="s">
        <v>431</v>
      </c>
      <c r="G6770" s="404" t="s">
        <v>7486</v>
      </c>
      <c r="H6770" s="411">
        <v>123.48</v>
      </c>
      <c r="I6770" s="397">
        <f t="shared" ref="I6770" si="3163">-(H6770*0.15)</f>
        <v>-18.521999999999998</v>
      </c>
      <c r="J6770" s="258">
        <v>0</v>
      </c>
      <c r="K6770" s="90">
        <f>SUM(H6770:J6770)</f>
        <v>104.958</v>
      </c>
      <c r="L6770" s="131">
        <v>950</v>
      </c>
      <c r="M6770" s="187">
        <v>22.59</v>
      </c>
      <c r="N6770" s="199">
        <f t="shared" si="3117"/>
        <v>70.09</v>
      </c>
      <c r="O6770" s="411">
        <f t="shared" si="3123"/>
        <v>34.867999999999995</v>
      </c>
      <c r="P6770" s="132" t="s">
        <v>52</v>
      </c>
      <c r="Q6770" s="232"/>
      <c r="R6770" s="411"/>
      <c r="T6770" s="134" t="s">
        <v>145</v>
      </c>
      <c r="U6770" s="267" t="s">
        <v>14447</v>
      </c>
      <c r="AA6770" s="218"/>
    </row>
    <row r="6771" spans="1:27" ht="24" x14ac:dyDescent="0.25">
      <c r="A6771" s="405">
        <v>3005310</v>
      </c>
      <c r="B6771" s="406">
        <v>42675</v>
      </c>
      <c r="C6771" s="405" t="s">
        <v>237</v>
      </c>
      <c r="D6771" s="401" t="s">
        <v>14448</v>
      </c>
      <c r="E6771" s="120">
        <v>350</v>
      </c>
      <c r="F6771" s="133" t="s">
        <v>165</v>
      </c>
      <c r="G6771" s="404" t="s">
        <v>7486</v>
      </c>
      <c r="H6771" s="411">
        <v>253.82</v>
      </c>
      <c r="I6771" s="397">
        <f t="shared" ref="I6771:I6772" si="3164">-(H6771*0.15)</f>
        <v>-38.073</v>
      </c>
      <c r="J6771" s="258">
        <v>0</v>
      </c>
      <c r="K6771" s="90">
        <f>SUM(H6771:J6771)</f>
        <v>215.74699999999999</v>
      </c>
      <c r="L6771" s="131">
        <v>300</v>
      </c>
      <c r="M6771" s="187">
        <v>67.83</v>
      </c>
      <c r="N6771" s="199">
        <f t="shared" si="3117"/>
        <v>172.83</v>
      </c>
      <c r="O6771" s="411">
        <f t="shared" si="3123"/>
        <v>42.916999999999973</v>
      </c>
      <c r="P6771" s="132" t="s">
        <v>86</v>
      </c>
      <c r="Q6771" s="232"/>
      <c r="R6771" s="411"/>
      <c r="T6771" s="134" t="s">
        <v>145</v>
      </c>
      <c r="U6771" s="267" t="s">
        <v>14449</v>
      </c>
      <c r="AA6771" s="218"/>
    </row>
    <row r="6772" spans="1:27" x14ac:dyDescent="0.25">
      <c r="A6772" s="419">
        <v>3005311</v>
      </c>
      <c r="B6772" s="421">
        <v>42675</v>
      </c>
      <c r="C6772" s="419" t="s">
        <v>237</v>
      </c>
      <c r="D6772" s="417" t="s">
        <v>14450</v>
      </c>
      <c r="E6772" s="120">
        <v>50</v>
      </c>
      <c r="F6772" s="133" t="s">
        <v>3301</v>
      </c>
      <c r="G6772" s="434" t="s">
        <v>7486</v>
      </c>
      <c r="H6772" s="427">
        <v>107.91</v>
      </c>
      <c r="I6772" s="452">
        <f t="shared" si="3164"/>
        <v>-16.186499999999999</v>
      </c>
      <c r="J6772" s="425">
        <v>0</v>
      </c>
      <c r="K6772" s="425">
        <f>SUM(H6772:J6772)</f>
        <v>91.723500000000001</v>
      </c>
      <c r="L6772" s="187">
        <v>754</v>
      </c>
      <c r="M6772" s="187">
        <v>22.64</v>
      </c>
      <c r="N6772" s="199">
        <f t="shared" si="3117"/>
        <v>60.34</v>
      </c>
      <c r="O6772" s="411">
        <f t="shared" si="3123"/>
        <v>31.383499999999998</v>
      </c>
      <c r="P6772" s="132" t="s">
        <v>601</v>
      </c>
      <c r="Q6772" s="232"/>
      <c r="R6772" s="411"/>
      <c r="T6772" s="439" t="s">
        <v>145</v>
      </c>
      <c r="U6772" s="446" t="s">
        <v>14451</v>
      </c>
      <c r="AA6772" s="218"/>
    </row>
    <row r="6773" spans="1:27" x14ac:dyDescent="0.25">
      <c r="A6773" s="420"/>
      <c r="B6773" s="422"/>
      <c r="C6773" s="420"/>
      <c r="D6773" s="418"/>
      <c r="E6773" s="120">
        <v>50</v>
      </c>
      <c r="F6773" s="133" t="s">
        <v>3299</v>
      </c>
      <c r="G6773" s="436"/>
      <c r="H6773" s="428"/>
      <c r="I6773" s="453"/>
      <c r="J6773" s="426"/>
      <c r="K6773" s="426"/>
      <c r="L6773" s="187">
        <v>754</v>
      </c>
      <c r="M6773" s="187"/>
      <c r="N6773" s="199">
        <f t="shared" si="3117"/>
        <v>37.700000000000003</v>
      </c>
      <c r="O6773" s="411">
        <f t="shared" si="3123"/>
        <v>-37.700000000000003</v>
      </c>
      <c r="P6773" s="132" t="s">
        <v>601</v>
      </c>
      <c r="Q6773" s="232"/>
      <c r="R6773" s="411"/>
      <c r="T6773" s="441"/>
      <c r="U6773" s="447"/>
      <c r="AA6773" s="218"/>
    </row>
    <row r="6774" spans="1:27" ht="24" x14ac:dyDescent="0.25">
      <c r="A6774" s="405">
        <v>3005312</v>
      </c>
      <c r="B6774" s="406">
        <v>42675</v>
      </c>
      <c r="C6774" s="405" t="s">
        <v>237</v>
      </c>
      <c r="D6774" s="401" t="s">
        <v>14452</v>
      </c>
      <c r="E6774" s="120">
        <v>150</v>
      </c>
      <c r="F6774" s="133" t="s">
        <v>341</v>
      </c>
      <c r="G6774" s="404" t="s">
        <v>7486</v>
      </c>
      <c r="H6774" s="411">
        <v>176.81</v>
      </c>
      <c r="I6774" s="397">
        <f t="shared" ref="I6774" si="3165">-(H6774*0.15)</f>
        <v>-26.5215</v>
      </c>
      <c r="J6774" s="258">
        <v>0</v>
      </c>
      <c r="K6774" s="90">
        <f>SUM(H6774:J6774)</f>
        <v>150.2885</v>
      </c>
      <c r="L6774" s="131">
        <v>698</v>
      </c>
      <c r="M6774" s="187">
        <v>36.049999999999997</v>
      </c>
      <c r="N6774" s="199">
        <f t="shared" si="3117"/>
        <v>140.75</v>
      </c>
      <c r="O6774" s="411">
        <f t="shared" si="3123"/>
        <v>9.5384999999999991</v>
      </c>
      <c r="P6774" s="132" t="s">
        <v>52</v>
      </c>
      <c r="Q6774" s="232"/>
      <c r="R6774" s="411"/>
      <c r="T6774" s="134" t="s">
        <v>145</v>
      </c>
      <c r="U6774" s="267" t="s">
        <v>14453</v>
      </c>
      <c r="AA6774" s="218"/>
    </row>
    <row r="6775" spans="1:27" ht="24" x14ac:dyDescent="0.25">
      <c r="A6775" s="405">
        <v>3005313</v>
      </c>
      <c r="B6775" s="406">
        <v>42675</v>
      </c>
      <c r="C6775" s="405" t="s">
        <v>42</v>
      </c>
      <c r="D6775" s="401" t="s">
        <v>14454</v>
      </c>
      <c r="E6775" s="120">
        <v>250</v>
      </c>
      <c r="F6775" s="133" t="s">
        <v>605</v>
      </c>
      <c r="G6775" s="404" t="s">
        <v>7486</v>
      </c>
      <c r="H6775" s="411">
        <v>567</v>
      </c>
      <c r="I6775" s="89">
        <f>-(H6775*0.09)</f>
        <v>-51.03</v>
      </c>
      <c r="J6775" s="361">
        <f t="shared" ref="J6775" si="3166">-((H6775*0.019)+0.3)</f>
        <v>-11.073</v>
      </c>
      <c r="K6775" s="396">
        <f t="shared" ref="K6775" si="3167">SUM(H6775:J6775)</f>
        <v>504.89700000000005</v>
      </c>
      <c r="L6775" s="131">
        <v>909</v>
      </c>
      <c r="M6775" s="187">
        <v>38.39</v>
      </c>
      <c r="N6775" s="199">
        <f t="shared" si="3117"/>
        <v>265.64</v>
      </c>
      <c r="O6775" s="411">
        <f t="shared" si="3123"/>
        <v>239.25700000000006</v>
      </c>
      <c r="P6775" s="132" t="s">
        <v>52</v>
      </c>
      <c r="Q6775" s="232"/>
      <c r="R6775" s="411"/>
      <c r="T6775" s="134" t="s">
        <v>145</v>
      </c>
      <c r="U6775" s="267" t="s">
        <v>14455</v>
      </c>
      <c r="AA6775" s="218"/>
    </row>
    <row r="6776" spans="1:27" ht="24" x14ac:dyDescent="0.25">
      <c r="A6776" s="419">
        <v>3005314</v>
      </c>
      <c r="B6776" s="421">
        <v>42675</v>
      </c>
      <c r="C6776" s="419" t="s">
        <v>327</v>
      </c>
      <c r="D6776" s="417" t="s">
        <v>14456</v>
      </c>
      <c r="E6776" s="120">
        <v>600</v>
      </c>
      <c r="F6776" s="133" t="s">
        <v>4407</v>
      </c>
      <c r="G6776" s="434" t="s">
        <v>7486</v>
      </c>
      <c r="H6776" s="427">
        <v>1800</v>
      </c>
      <c r="I6776" s="427">
        <v>0</v>
      </c>
      <c r="J6776" s="425">
        <f>-((H6776*0.022)+0.3)</f>
        <v>-39.899999999999991</v>
      </c>
      <c r="K6776" s="425">
        <f>SUM(H6776:J6776)</f>
        <v>1760.1</v>
      </c>
      <c r="L6776" s="187">
        <v>2050</v>
      </c>
      <c r="M6776" s="131">
        <v>0</v>
      </c>
      <c r="N6776" s="199">
        <f t="shared" si="3117"/>
        <v>1230</v>
      </c>
      <c r="O6776" s="411">
        <f t="shared" si="3123"/>
        <v>530.09999999999991</v>
      </c>
      <c r="P6776" s="132" t="s">
        <v>601</v>
      </c>
      <c r="Q6776" s="232"/>
      <c r="R6776" s="411"/>
      <c r="T6776" s="134" t="s">
        <v>473</v>
      </c>
      <c r="U6776" s="267" t="s">
        <v>14457</v>
      </c>
      <c r="W6776" s="153" t="s">
        <v>14458</v>
      </c>
      <c r="AA6776" s="218">
        <v>10</v>
      </c>
    </row>
    <row r="6777" spans="1:27" x14ac:dyDescent="0.25">
      <c r="A6777" s="420"/>
      <c r="B6777" s="422"/>
      <c r="C6777" s="420"/>
      <c r="D6777" s="418"/>
      <c r="E6777" s="120" t="s">
        <v>14459</v>
      </c>
      <c r="F6777" s="133" t="s">
        <v>14460</v>
      </c>
      <c r="G6777" s="436"/>
      <c r="H6777" s="428"/>
      <c r="I6777" s="428"/>
      <c r="J6777" s="426"/>
      <c r="K6777" s="426"/>
      <c r="N6777" s="199" t="e">
        <f t="shared" si="3117"/>
        <v>#VALUE!</v>
      </c>
      <c r="O6777" s="411" t="e">
        <f t="shared" si="3123"/>
        <v>#VALUE!</v>
      </c>
      <c r="Q6777" s="232"/>
      <c r="R6777" s="411"/>
      <c r="AA6777" s="218"/>
    </row>
    <row r="6778" spans="1:27" ht="24" x14ac:dyDescent="0.25">
      <c r="A6778" s="405">
        <v>3005315</v>
      </c>
      <c r="B6778" s="406">
        <v>42675</v>
      </c>
      <c r="C6778" s="405" t="s">
        <v>327</v>
      </c>
      <c r="D6778" s="401" t="s">
        <v>14461</v>
      </c>
      <c r="E6778" s="120">
        <v>500</v>
      </c>
      <c r="F6778" s="133" t="s">
        <v>300</v>
      </c>
      <c r="G6778" s="404" t="s">
        <v>7486</v>
      </c>
      <c r="H6778" s="411">
        <v>2100</v>
      </c>
      <c r="I6778" s="410">
        <v>0</v>
      </c>
      <c r="J6778" s="90">
        <f>-((H6778*0.022)+0.3)</f>
        <v>-46.499999999999993</v>
      </c>
      <c r="K6778" s="90">
        <f>SUM(H6778:J6778)</f>
        <v>2053.5</v>
      </c>
      <c r="L6778" s="131">
        <v>2150</v>
      </c>
      <c r="M6778" s="131">
        <v>0</v>
      </c>
      <c r="N6778" s="199">
        <f t="shared" si="3117"/>
        <v>1075</v>
      </c>
      <c r="O6778" s="411">
        <f t="shared" si="3123"/>
        <v>978.5</v>
      </c>
      <c r="P6778" s="132" t="s">
        <v>52</v>
      </c>
      <c r="Q6778" s="232"/>
      <c r="R6778" s="411"/>
      <c r="T6778" s="134" t="s">
        <v>8218</v>
      </c>
      <c r="U6778" s="266" t="s">
        <v>8218</v>
      </c>
      <c r="W6778" s="153" t="s">
        <v>14462</v>
      </c>
      <c r="AA6778" s="218">
        <v>10</v>
      </c>
    </row>
    <row r="6779" spans="1:27" x14ac:dyDescent="0.25">
      <c r="A6779" s="419">
        <v>3005316</v>
      </c>
      <c r="B6779" s="421">
        <v>42675</v>
      </c>
      <c r="C6779" s="419" t="s">
        <v>56</v>
      </c>
      <c r="D6779" s="417" t="s">
        <v>57</v>
      </c>
      <c r="E6779" s="120">
        <v>1000</v>
      </c>
      <c r="F6779" s="133" t="s">
        <v>1293</v>
      </c>
      <c r="G6779" s="434" t="s">
        <v>7486</v>
      </c>
      <c r="H6779" s="427">
        <v>5410</v>
      </c>
      <c r="I6779" s="427">
        <v>0</v>
      </c>
      <c r="J6779" s="427">
        <v>0</v>
      </c>
      <c r="K6779" s="425">
        <f>SUM(H6779:J6779)</f>
        <v>5410</v>
      </c>
      <c r="L6779" s="131">
        <v>400</v>
      </c>
      <c r="M6779" s="468">
        <v>260.04000000000002</v>
      </c>
      <c r="N6779" s="199">
        <f t="shared" si="3117"/>
        <v>660.04</v>
      </c>
      <c r="O6779" s="411">
        <f t="shared" si="3123"/>
        <v>4749.96</v>
      </c>
      <c r="P6779" s="132" t="s">
        <v>52</v>
      </c>
      <c r="Q6779" s="232"/>
      <c r="R6779" s="411"/>
      <c r="T6779" s="439" t="s">
        <v>89</v>
      </c>
      <c r="U6779" s="446" t="s">
        <v>14463</v>
      </c>
      <c r="V6779" s="133" t="s">
        <v>14464</v>
      </c>
      <c r="AA6779" s="218"/>
    </row>
    <row r="6780" spans="1:27" x14ac:dyDescent="0.25">
      <c r="A6780" s="432"/>
      <c r="B6780" s="433"/>
      <c r="C6780" s="432"/>
      <c r="D6780" s="454"/>
      <c r="E6780" s="120">
        <v>1000</v>
      </c>
      <c r="F6780" s="133" t="s">
        <v>1273</v>
      </c>
      <c r="G6780" s="435"/>
      <c r="H6780" s="438"/>
      <c r="I6780" s="438"/>
      <c r="J6780" s="438"/>
      <c r="K6780" s="437"/>
      <c r="L6780" s="131">
        <v>616</v>
      </c>
      <c r="M6780" s="491"/>
      <c r="N6780" s="199">
        <f t="shared" si="3117"/>
        <v>616</v>
      </c>
      <c r="O6780" s="411">
        <f t="shared" si="3123"/>
        <v>-616</v>
      </c>
      <c r="P6780" s="132" t="s">
        <v>52</v>
      </c>
      <c r="Q6780" s="232"/>
      <c r="R6780" s="411"/>
      <c r="T6780" s="440"/>
      <c r="U6780" s="448"/>
      <c r="V6780" s="133" t="s">
        <v>55</v>
      </c>
      <c r="AA6780" s="218"/>
    </row>
    <row r="6781" spans="1:27" x14ac:dyDescent="0.25">
      <c r="A6781" s="432"/>
      <c r="B6781" s="433"/>
      <c r="C6781" s="432"/>
      <c r="D6781" s="454"/>
      <c r="E6781" s="120">
        <v>1000</v>
      </c>
      <c r="F6781" s="133" t="s">
        <v>12818</v>
      </c>
      <c r="G6781" s="435"/>
      <c r="H6781" s="438"/>
      <c r="I6781" s="438"/>
      <c r="J6781" s="438"/>
      <c r="K6781" s="437"/>
      <c r="L6781" s="131">
        <v>1540</v>
      </c>
      <c r="M6781" s="491"/>
      <c r="N6781" s="199">
        <f t="shared" si="3117"/>
        <v>1540</v>
      </c>
      <c r="O6781" s="411">
        <f t="shared" si="3123"/>
        <v>-1540</v>
      </c>
      <c r="P6781" s="132" t="s">
        <v>52</v>
      </c>
      <c r="Q6781" s="232"/>
      <c r="R6781" s="411"/>
      <c r="T6781" s="440"/>
      <c r="U6781" s="448"/>
      <c r="AA6781" s="218"/>
    </row>
    <row r="6782" spans="1:27" x14ac:dyDescent="0.25">
      <c r="A6782" s="432"/>
      <c r="B6782" s="433"/>
      <c r="C6782" s="432"/>
      <c r="D6782" s="454"/>
      <c r="E6782" s="120">
        <v>2000</v>
      </c>
      <c r="F6782" s="133" t="s">
        <v>94</v>
      </c>
      <c r="G6782" s="435"/>
      <c r="H6782" s="438"/>
      <c r="I6782" s="438"/>
      <c r="J6782" s="438"/>
      <c r="K6782" s="437"/>
      <c r="L6782" s="131">
        <v>375</v>
      </c>
      <c r="M6782" s="469"/>
      <c r="N6782" s="199">
        <f t="shared" si="3117"/>
        <v>750</v>
      </c>
      <c r="O6782" s="411">
        <f t="shared" si="3123"/>
        <v>-750</v>
      </c>
      <c r="P6782" s="132" t="s">
        <v>52</v>
      </c>
      <c r="Q6782" s="232"/>
      <c r="R6782" s="411"/>
      <c r="T6782" s="441"/>
      <c r="U6782" s="447"/>
      <c r="AA6782" s="218"/>
    </row>
    <row r="6783" spans="1:27" x14ac:dyDescent="0.25">
      <c r="A6783" s="420"/>
      <c r="B6783" s="422"/>
      <c r="C6783" s="420"/>
      <c r="D6783" s="418"/>
      <c r="E6783" s="120">
        <v>1000</v>
      </c>
      <c r="F6783" s="133" t="s">
        <v>14465</v>
      </c>
      <c r="G6783" s="436"/>
      <c r="H6783" s="428"/>
      <c r="I6783" s="428"/>
      <c r="J6783" s="428"/>
      <c r="K6783" s="426"/>
      <c r="L6783" s="187">
        <v>1040</v>
      </c>
      <c r="M6783" s="131">
        <v>0</v>
      </c>
      <c r="N6783" s="199">
        <f t="shared" ref="N6783:N6846" si="3168">((L6783)*(E6783*0.001))+M6783</f>
        <v>1040</v>
      </c>
      <c r="O6783" s="411">
        <f t="shared" si="3123"/>
        <v>-1040</v>
      </c>
      <c r="P6783" s="132" t="s">
        <v>601</v>
      </c>
      <c r="Q6783" s="232"/>
      <c r="R6783" s="411"/>
      <c r="T6783" s="134" t="s">
        <v>1346</v>
      </c>
      <c r="U6783" s="267" t="s">
        <v>14466</v>
      </c>
      <c r="V6783" s="133" t="s">
        <v>14467</v>
      </c>
      <c r="AA6783" s="218"/>
    </row>
    <row r="6784" spans="1:27" x14ac:dyDescent="0.25">
      <c r="A6784" s="405">
        <v>3005317</v>
      </c>
      <c r="B6784" s="406">
        <v>42675</v>
      </c>
      <c r="C6784" s="405" t="s">
        <v>56</v>
      </c>
      <c r="D6784" s="401" t="s">
        <v>14468</v>
      </c>
      <c r="E6784" s="120">
        <v>500</v>
      </c>
      <c r="F6784" s="133" t="s">
        <v>9954</v>
      </c>
      <c r="G6784" s="242" t="s">
        <v>7486</v>
      </c>
      <c r="H6784" s="411">
        <v>900</v>
      </c>
      <c r="I6784" s="411">
        <v>0</v>
      </c>
      <c r="J6784" s="411">
        <v>0</v>
      </c>
      <c r="K6784" s="90">
        <f>SUM(H6784:J6784)</f>
        <v>900</v>
      </c>
      <c r="L6784" s="187">
        <v>980</v>
      </c>
      <c r="M6784" s="187">
        <v>191.85</v>
      </c>
      <c r="N6784" s="199">
        <f t="shared" si="3168"/>
        <v>681.85</v>
      </c>
      <c r="O6784" s="411">
        <f t="shared" si="3123"/>
        <v>218.14999999999998</v>
      </c>
      <c r="P6784" s="132" t="s">
        <v>183</v>
      </c>
      <c r="Q6784" s="232"/>
      <c r="R6784" s="411"/>
      <c r="T6784" s="134" t="s">
        <v>1346</v>
      </c>
      <c r="U6784" s="267" t="s">
        <v>14469</v>
      </c>
      <c r="V6784" s="133" t="s">
        <v>12971</v>
      </c>
      <c r="W6784" s="153" t="s">
        <v>14470</v>
      </c>
      <c r="X6784" s="59" t="s">
        <v>14471</v>
      </c>
      <c r="AA6784" s="218"/>
    </row>
    <row r="6785" spans="1:27" x14ac:dyDescent="0.25">
      <c r="A6785" s="419">
        <v>3005318</v>
      </c>
      <c r="B6785" s="421">
        <v>42675</v>
      </c>
      <c r="C6785" s="419" t="s">
        <v>237</v>
      </c>
      <c r="D6785" s="417" t="s">
        <v>14472</v>
      </c>
      <c r="E6785" s="120">
        <v>25</v>
      </c>
      <c r="F6785" s="133" t="s">
        <v>4407</v>
      </c>
      <c r="G6785" s="434" t="s">
        <v>7486</v>
      </c>
      <c r="H6785" s="427">
        <v>159.38999999999999</v>
      </c>
      <c r="I6785" s="452">
        <f t="shared" ref="I6785" si="3169">-(H6785*0.15)</f>
        <v>-23.908499999999997</v>
      </c>
      <c r="J6785" s="425">
        <v>0</v>
      </c>
      <c r="K6785" s="425">
        <f>SUM(H6785:J6785)</f>
        <v>135.48149999999998</v>
      </c>
      <c r="L6785" s="187">
        <v>2200</v>
      </c>
      <c r="M6785" s="187">
        <v>14.65</v>
      </c>
      <c r="N6785" s="199">
        <f t="shared" si="3168"/>
        <v>69.650000000000006</v>
      </c>
      <c r="O6785" s="411">
        <f t="shared" si="3123"/>
        <v>65.831499999999977</v>
      </c>
      <c r="P6785" s="132" t="s">
        <v>601</v>
      </c>
      <c r="Q6785" s="232"/>
      <c r="R6785" s="411"/>
      <c r="T6785" s="439" t="s">
        <v>145</v>
      </c>
      <c r="U6785" s="446" t="s">
        <v>14473</v>
      </c>
      <c r="AA6785" s="218"/>
    </row>
    <row r="6786" spans="1:27" x14ac:dyDescent="0.25">
      <c r="A6786" s="420"/>
      <c r="B6786" s="422"/>
      <c r="C6786" s="420"/>
      <c r="D6786" s="418"/>
      <c r="E6786" s="120">
        <v>25</v>
      </c>
      <c r="F6786" s="133" t="s">
        <v>1507</v>
      </c>
      <c r="G6786" s="436"/>
      <c r="H6786" s="428"/>
      <c r="I6786" s="453"/>
      <c r="J6786" s="426"/>
      <c r="K6786" s="426"/>
      <c r="L6786" s="187">
        <v>2200</v>
      </c>
      <c r="M6786" s="187"/>
      <c r="N6786" s="199">
        <f t="shared" si="3168"/>
        <v>55</v>
      </c>
      <c r="O6786" s="411">
        <f t="shared" si="3123"/>
        <v>-55</v>
      </c>
      <c r="P6786" s="132" t="s">
        <v>601</v>
      </c>
      <c r="Q6786" s="232"/>
      <c r="R6786" s="411"/>
      <c r="T6786" s="441"/>
      <c r="U6786" s="447"/>
      <c r="AA6786" s="218"/>
    </row>
    <row r="6787" spans="1:27" ht="24" x14ac:dyDescent="0.25">
      <c r="A6787" s="405">
        <v>3005319</v>
      </c>
      <c r="B6787" s="406">
        <v>42675</v>
      </c>
      <c r="C6787" s="405" t="s">
        <v>237</v>
      </c>
      <c r="D6787" s="401" t="s">
        <v>14474</v>
      </c>
      <c r="E6787" s="120">
        <v>500</v>
      </c>
      <c r="F6787" s="133" t="s">
        <v>451</v>
      </c>
      <c r="G6787" s="404" t="s">
        <v>7486</v>
      </c>
      <c r="H6787" s="411">
        <v>283.14</v>
      </c>
      <c r="I6787" s="397">
        <f t="shared" ref="I6787" si="3170">-(H6787*0.15)</f>
        <v>-42.470999999999997</v>
      </c>
      <c r="J6787" s="258">
        <v>0</v>
      </c>
      <c r="K6787" s="90">
        <f>SUM(H6787:J6787)</f>
        <v>240.66899999999998</v>
      </c>
      <c r="L6787" s="131">
        <v>300</v>
      </c>
      <c r="N6787" s="199">
        <f t="shared" si="3168"/>
        <v>150</v>
      </c>
      <c r="O6787" s="411">
        <f t="shared" si="3123"/>
        <v>90.668999999999983</v>
      </c>
      <c r="P6787" s="132" t="s">
        <v>52</v>
      </c>
      <c r="Q6787" s="232"/>
      <c r="R6787" s="411"/>
      <c r="T6787" s="134" t="s">
        <v>145</v>
      </c>
      <c r="U6787" s="267" t="s">
        <v>14475</v>
      </c>
      <c r="AA6787" s="218"/>
    </row>
    <row r="6788" spans="1:27" ht="24" x14ac:dyDescent="0.25">
      <c r="A6788" s="405">
        <v>3005320</v>
      </c>
      <c r="B6788" s="406">
        <v>42675</v>
      </c>
      <c r="C6788" s="405" t="s">
        <v>42</v>
      </c>
      <c r="D6788" s="401" t="s">
        <v>14476</v>
      </c>
      <c r="E6788" s="120">
        <v>100</v>
      </c>
      <c r="F6788" s="133" t="s">
        <v>247</v>
      </c>
      <c r="G6788" s="404" t="s">
        <v>7486</v>
      </c>
      <c r="H6788" s="411">
        <v>120</v>
      </c>
      <c r="I6788" s="89">
        <f>-(H6788*0.09)</f>
        <v>-10.799999999999999</v>
      </c>
      <c r="J6788" s="361">
        <f t="shared" ref="J6788" si="3171">-((H6788*0.019)+0.3)</f>
        <v>-2.5799999999999996</v>
      </c>
      <c r="K6788" s="396">
        <f t="shared" ref="K6788" si="3172">SUM(H6788:J6788)</f>
        <v>106.62</v>
      </c>
      <c r="L6788" s="131">
        <v>424</v>
      </c>
      <c r="M6788" s="187">
        <v>30.1</v>
      </c>
      <c r="N6788" s="199">
        <f t="shared" si="3168"/>
        <v>72.5</v>
      </c>
      <c r="O6788" s="411">
        <f t="shared" ref="O6788:O6851" si="3173">K6788-N6788</f>
        <v>34.120000000000005</v>
      </c>
      <c r="P6788" s="132" t="s">
        <v>52</v>
      </c>
      <c r="Q6788" s="232"/>
      <c r="R6788" s="411"/>
      <c r="T6788" s="134" t="s">
        <v>145</v>
      </c>
      <c r="U6788" s="267" t="s">
        <v>14477</v>
      </c>
      <c r="AA6788" s="218"/>
    </row>
    <row r="6789" spans="1:27" ht="24" x14ac:dyDescent="0.25">
      <c r="A6789" s="405">
        <v>3005321</v>
      </c>
      <c r="B6789" s="406">
        <v>42675</v>
      </c>
      <c r="C6789" s="405" t="s">
        <v>237</v>
      </c>
      <c r="D6789" s="401" t="s">
        <v>14478</v>
      </c>
      <c r="E6789" s="120">
        <v>125</v>
      </c>
      <c r="F6789" s="133" t="s">
        <v>288</v>
      </c>
      <c r="G6789" s="404" t="s">
        <v>7486</v>
      </c>
      <c r="H6789" s="411">
        <v>173.4</v>
      </c>
      <c r="I6789" s="397">
        <f t="shared" ref="I6789" si="3174">-(H6789*0.15)</f>
        <v>-26.01</v>
      </c>
      <c r="J6789" s="258">
        <v>0</v>
      </c>
      <c r="K6789" s="90">
        <f>SUM(H6789:J6789)</f>
        <v>147.39000000000001</v>
      </c>
      <c r="L6789" s="131">
        <v>900</v>
      </c>
      <c r="M6789" s="187">
        <v>34.090000000000003</v>
      </c>
      <c r="N6789" s="199">
        <f t="shared" si="3168"/>
        <v>146.59</v>
      </c>
      <c r="O6789" s="411">
        <f t="shared" si="3173"/>
        <v>0.80000000000001137</v>
      </c>
      <c r="P6789" s="132" t="s">
        <v>52</v>
      </c>
      <c r="Q6789" s="232"/>
      <c r="R6789" s="411"/>
      <c r="T6789" s="134" t="s">
        <v>145</v>
      </c>
      <c r="U6789" s="267" t="s">
        <v>14479</v>
      </c>
      <c r="AA6789" s="218"/>
    </row>
    <row r="6790" spans="1:27" ht="36" x14ac:dyDescent="0.25">
      <c r="A6790" s="405">
        <v>3005322</v>
      </c>
      <c r="B6790" s="406">
        <v>42675</v>
      </c>
      <c r="C6790" s="405" t="s">
        <v>63</v>
      </c>
      <c r="D6790" s="401" t="s">
        <v>14480</v>
      </c>
      <c r="E6790" s="120">
        <v>100</v>
      </c>
      <c r="F6790" s="133" t="s">
        <v>1085</v>
      </c>
      <c r="G6790" s="404" t="s">
        <v>45</v>
      </c>
      <c r="H6790" s="411">
        <v>620</v>
      </c>
      <c r="I6790" s="410">
        <v>0</v>
      </c>
      <c r="J6790" s="90">
        <f>-((H6790*0.022)+0.3)</f>
        <v>-13.94</v>
      </c>
      <c r="K6790" s="90">
        <f>SUM(H6790:J6790)</f>
        <v>606.05999999999995</v>
      </c>
      <c r="L6790" s="187">
        <v>4640</v>
      </c>
      <c r="M6790" s="131">
        <v>0</v>
      </c>
      <c r="N6790" s="199">
        <f t="shared" si="3168"/>
        <v>464</v>
      </c>
      <c r="O6790" s="411">
        <f t="shared" si="3173"/>
        <v>142.05999999999995</v>
      </c>
      <c r="P6790" s="132" t="s">
        <v>59</v>
      </c>
      <c r="Q6790" s="232"/>
      <c r="R6790" s="411"/>
      <c r="T6790" s="134" t="s">
        <v>60</v>
      </c>
      <c r="U6790" s="267" t="s">
        <v>14481</v>
      </c>
      <c r="W6790" s="153" t="s">
        <v>14482</v>
      </c>
      <c r="AA6790" s="218"/>
    </row>
    <row r="6791" spans="1:27" x14ac:dyDescent="0.25">
      <c r="A6791" s="405">
        <v>3005323</v>
      </c>
      <c r="B6791" s="406">
        <v>42675</v>
      </c>
      <c r="C6791" s="405" t="s">
        <v>141</v>
      </c>
      <c r="D6791" s="401" t="s">
        <v>14483</v>
      </c>
      <c r="E6791" s="120">
        <v>800</v>
      </c>
      <c r="F6791" s="133" t="s">
        <v>222</v>
      </c>
      <c r="G6791" s="404" t="s">
        <v>45</v>
      </c>
      <c r="H6791" s="411">
        <v>1460.76</v>
      </c>
      <c r="I6791" s="410">
        <v>0</v>
      </c>
      <c r="J6791" s="90">
        <f>-((H6791*0.0325)+0.3)</f>
        <v>-47.774699999999996</v>
      </c>
      <c r="K6791" s="90">
        <f>SUM(H6791:J6791)</f>
        <v>1412.9853000000001</v>
      </c>
      <c r="L6791" s="187">
        <v>947</v>
      </c>
      <c r="M6791" s="131">
        <v>0</v>
      </c>
      <c r="N6791" s="199">
        <f t="shared" si="3168"/>
        <v>757.6</v>
      </c>
      <c r="O6791" s="411">
        <f t="shared" si="3173"/>
        <v>655.38530000000003</v>
      </c>
      <c r="P6791" s="132" t="s">
        <v>14484</v>
      </c>
      <c r="Q6791" s="232"/>
      <c r="R6791" s="411">
        <v>108.2</v>
      </c>
      <c r="S6791" s="133" t="s">
        <v>13220</v>
      </c>
      <c r="T6791" s="134" t="s">
        <v>314</v>
      </c>
      <c r="U6791" s="266">
        <v>3975513522</v>
      </c>
      <c r="W6791" s="153" t="s">
        <v>14485</v>
      </c>
      <c r="AA6791" s="218">
        <v>10</v>
      </c>
    </row>
    <row r="6792" spans="1:27" x14ac:dyDescent="0.25">
      <c r="A6792" s="405">
        <v>3005324</v>
      </c>
      <c r="B6792" s="406">
        <v>42675</v>
      </c>
      <c r="C6792" s="405" t="s">
        <v>56</v>
      </c>
      <c r="D6792" s="401" t="s">
        <v>14288</v>
      </c>
      <c r="E6792" s="120">
        <v>300</v>
      </c>
      <c r="F6792" s="133" t="s">
        <v>14292</v>
      </c>
      <c r="G6792" s="242" t="s">
        <v>7486</v>
      </c>
      <c r="H6792" s="411">
        <v>695.06</v>
      </c>
      <c r="I6792" s="411">
        <v>0</v>
      </c>
      <c r="J6792" s="411">
        <v>0</v>
      </c>
      <c r="K6792" s="90">
        <f>SUM(H6792:J6792)</f>
        <v>695.06</v>
      </c>
      <c r="L6792" s="187">
        <v>420</v>
      </c>
      <c r="M6792" s="187">
        <v>82.21</v>
      </c>
      <c r="N6792" s="199">
        <f t="shared" si="3168"/>
        <v>208.20999999999998</v>
      </c>
      <c r="O6792" s="411">
        <f t="shared" si="3173"/>
        <v>486.84999999999997</v>
      </c>
      <c r="P6792" s="132" t="s">
        <v>183</v>
      </c>
      <c r="Q6792" s="232"/>
      <c r="R6792" s="411"/>
      <c r="T6792" s="134" t="s">
        <v>314</v>
      </c>
      <c r="U6792" s="267" t="s">
        <v>14486</v>
      </c>
      <c r="V6792" s="133" t="s">
        <v>12971</v>
      </c>
      <c r="W6792" s="153" t="s">
        <v>14291</v>
      </c>
      <c r="AA6792" s="218"/>
    </row>
    <row r="6793" spans="1:27" ht="24" x14ac:dyDescent="0.25">
      <c r="A6793" s="405">
        <v>3005325</v>
      </c>
      <c r="B6793" s="406">
        <v>42675</v>
      </c>
      <c r="C6793" s="405" t="s">
        <v>56</v>
      </c>
      <c r="D6793" s="401" t="s">
        <v>14288</v>
      </c>
      <c r="E6793" s="120">
        <v>300</v>
      </c>
      <c r="F6793" s="133" t="s">
        <v>14292</v>
      </c>
      <c r="G6793" s="242" t="s">
        <v>7486</v>
      </c>
      <c r="H6793" s="411">
        <v>427</v>
      </c>
      <c r="I6793" s="411">
        <v>0</v>
      </c>
      <c r="J6793" s="411">
        <v>0</v>
      </c>
      <c r="K6793" s="90">
        <f>SUM(H6793:J6793)</f>
        <v>427</v>
      </c>
      <c r="L6793" s="187">
        <v>420</v>
      </c>
      <c r="M6793" s="187">
        <v>25.72</v>
      </c>
      <c r="N6793" s="199">
        <f t="shared" si="3168"/>
        <v>151.72</v>
      </c>
      <c r="O6793" s="411">
        <f t="shared" si="3173"/>
        <v>275.27999999999997</v>
      </c>
      <c r="P6793" s="132" t="s">
        <v>183</v>
      </c>
      <c r="Q6793" s="232"/>
      <c r="R6793" s="411"/>
      <c r="T6793" s="134" t="s">
        <v>145</v>
      </c>
      <c r="U6793" s="267" t="s">
        <v>14487</v>
      </c>
      <c r="V6793" s="133" t="s">
        <v>12971</v>
      </c>
      <c r="W6793" s="153" t="s">
        <v>14291</v>
      </c>
      <c r="AA6793" s="218"/>
    </row>
    <row r="6794" spans="1:27" ht="24" x14ac:dyDescent="0.25">
      <c r="A6794" s="405">
        <v>3005326</v>
      </c>
      <c r="B6794" s="406">
        <v>42675</v>
      </c>
      <c r="C6794" s="405" t="s">
        <v>56</v>
      </c>
      <c r="D6794" s="401" t="s">
        <v>14288</v>
      </c>
      <c r="E6794" s="120">
        <v>300</v>
      </c>
      <c r="F6794" s="133" t="s">
        <v>14292</v>
      </c>
      <c r="G6794" s="242" t="s">
        <v>7486</v>
      </c>
      <c r="H6794" s="411">
        <v>427</v>
      </c>
      <c r="I6794" s="411">
        <v>0</v>
      </c>
      <c r="J6794" s="411">
        <v>0</v>
      </c>
      <c r="K6794" s="90">
        <f t="shared" ref="K6794:K6797" si="3175">SUM(H6794:J6794)</f>
        <v>427</v>
      </c>
      <c r="L6794" s="187">
        <v>420</v>
      </c>
      <c r="M6794" s="187">
        <v>25.72</v>
      </c>
      <c r="N6794" s="199">
        <f t="shared" si="3168"/>
        <v>151.72</v>
      </c>
      <c r="O6794" s="411">
        <f t="shared" si="3173"/>
        <v>275.27999999999997</v>
      </c>
      <c r="P6794" s="132" t="s">
        <v>183</v>
      </c>
      <c r="Q6794" s="232"/>
      <c r="R6794" s="411"/>
      <c r="T6794" s="134" t="s">
        <v>145</v>
      </c>
      <c r="U6794" s="267" t="s">
        <v>14488</v>
      </c>
      <c r="V6794" s="133" t="s">
        <v>12971</v>
      </c>
      <c r="W6794" s="153" t="s">
        <v>14291</v>
      </c>
      <c r="AA6794" s="218"/>
    </row>
    <row r="6795" spans="1:27" ht="24" x14ac:dyDescent="0.25">
      <c r="A6795" s="405">
        <v>3005327</v>
      </c>
      <c r="B6795" s="406">
        <v>42675</v>
      </c>
      <c r="C6795" s="405" t="s">
        <v>56</v>
      </c>
      <c r="D6795" s="401" t="s">
        <v>14288</v>
      </c>
      <c r="E6795" s="120">
        <v>300</v>
      </c>
      <c r="F6795" s="133" t="s">
        <v>14292</v>
      </c>
      <c r="G6795" s="242" t="s">
        <v>7486</v>
      </c>
      <c r="H6795" s="411">
        <v>427</v>
      </c>
      <c r="I6795" s="411">
        <v>0</v>
      </c>
      <c r="J6795" s="411">
        <v>0</v>
      </c>
      <c r="K6795" s="90">
        <f t="shared" si="3175"/>
        <v>427</v>
      </c>
      <c r="L6795" s="187">
        <v>420</v>
      </c>
      <c r="M6795" s="187">
        <v>25.72</v>
      </c>
      <c r="N6795" s="199">
        <f t="shared" si="3168"/>
        <v>151.72</v>
      </c>
      <c r="O6795" s="411">
        <f t="shared" si="3173"/>
        <v>275.27999999999997</v>
      </c>
      <c r="P6795" s="132" t="s">
        <v>183</v>
      </c>
      <c r="Q6795" s="232"/>
      <c r="R6795" s="411"/>
      <c r="T6795" s="134" t="s">
        <v>145</v>
      </c>
      <c r="U6795" s="267" t="s">
        <v>14489</v>
      </c>
      <c r="V6795" s="133" t="s">
        <v>14490</v>
      </c>
      <c r="W6795" s="153" t="s">
        <v>14291</v>
      </c>
      <c r="AA6795" s="218"/>
    </row>
    <row r="6796" spans="1:27" ht="24" x14ac:dyDescent="0.25">
      <c r="A6796" s="405">
        <v>3005328</v>
      </c>
      <c r="B6796" s="406">
        <v>42675</v>
      </c>
      <c r="C6796" s="405" t="s">
        <v>56</v>
      </c>
      <c r="D6796" s="401" t="s">
        <v>14288</v>
      </c>
      <c r="E6796" s="120">
        <v>300</v>
      </c>
      <c r="F6796" s="133" t="s">
        <v>14292</v>
      </c>
      <c r="G6796" s="242" t="s">
        <v>7486</v>
      </c>
      <c r="H6796" s="411">
        <v>427</v>
      </c>
      <c r="I6796" s="411">
        <v>0</v>
      </c>
      <c r="J6796" s="411">
        <v>0</v>
      </c>
      <c r="K6796" s="90">
        <f t="shared" si="3175"/>
        <v>427</v>
      </c>
      <c r="L6796" s="187">
        <v>420</v>
      </c>
      <c r="M6796" s="187">
        <v>25.72</v>
      </c>
      <c r="N6796" s="199">
        <f t="shared" si="3168"/>
        <v>151.72</v>
      </c>
      <c r="O6796" s="411">
        <f t="shared" si="3173"/>
        <v>275.27999999999997</v>
      </c>
      <c r="P6796" s="132" t="s">
        <v>183</v>
      </c>
      <c r="Q6796" s="232"/>
      <c r="R6796" s="411"/>
      <c r="T6796" s="134" t="s">
        <v>145</v>
      </c>
      <c r="U6796" s="267" t="s">
        <v>14491</v>
      </c>
      <c r="V6796" s="133" t="s">
        <v>12971</v>
      </c>
      <c r="W6796" s="153" t="s">
        <v>14291</v>
      </c>
      <c r="AA6796" s="218"/>
    </row>
    <row r="6797" spans="1:27" ht="24" x14ac:dyDescent="0.25">
      <c r="A6797" s="405">
        <v>3005329</v>
      </c>
      <c r="B6797" s="406">
        <v>42676</v>
      </c>
      <c r="C6797" s="405" t="s">
        <v>42</v>
      </c>
      <c r="D6797" s="401" t="s">
        <v>14492</v>
      </c>
      <c r="E6797" s="120">
        <v>250</v>
      </c>
      <c r="F6797" s="119" t="s">
        <v>14493</v>
      </c>
      <c r="G6797" s="404" t="s">
        <v>45</v>
      </c>
      <c r="H6797" s="411">
        <v>159.5</v>
      </c>
      <c r="I6797" s="89">
        <f>-(H6797*0.09)</f>
        <v>-14.354999999999999</v>
      </c>
      <c r="J6797" s="361">
        <f t="shared" ref="J6797" si="3176">-((H6797*0.019)+0.3)</f>
        <v>-3.3304999999999998</v>
      </c>
      <c r="K6797" s="396">
        <f t="shared" si="3175"/>
        <v>141.81450000000001</v>
      </c>
      <c r="L6797" s="131">
        <v>370</v>
      </c>
      <c r="M6797" s="187">
        <v>7.2</v>
      </c>
      <c r="N6797" s="199">
        <f t="shared" si="3168"/>
        <v>99.7</v>
      </c>
      <c r="O6797" s="411">
        <f t="shared" si="3173"/>
        <v>42.114500000000007</v>
      </c>
      <c r="P6797" s="132" t="s">
        <v>643</v>
      </c>
      <c r="Q6797" s="232"/>
      <c r="R6797" s="411"/>
      <c r="T6797" s="134" t="s">
        <v>145</v>
      </c>
      <c r="U6797" s="267" t="s">
        <v>14494</v>
      </c>
      <c r="AA6797" s="218"/>
    </row>
    <row r="6798" spans="1:27" ht="24" x14ac:dyDescent="0.25">
      <c r="A6798" s="405">
        <v>3005330</v>
      </c>
      <c r="B6798" s="406">
        <v>42676</v>
      </c>
      <c r="C6798" s="405" t="s">
        <v>42</v>
      </c>
      <c r="D6798" s="401" t="s">
        <v>14495</v>
      </c>
      <c r="E6798" s="120">
        <v>100</v>
      </c>
      <c r="F6798" s="133" t="s">
        <v>161</v>
      </c>
      <c r="G6798" s="404" t="s">
        <v>45</v>
      </c>
      <c r="H6798" s="411">
        <v>236</v>
      </c>
      <c r="I6798" s="89">
        <f>-(H6798*0.09)</f>
        <v>-21.24</v>
      </c>
      <c r="J6798" s="361">
        <f t="shared" ref="J6798" si="3177">-((H6798*0.019)+0.3)</f>
        <v>-4.7839999999999998</v>
      </c>
      <c r="K6798" s="396">
        <f t="shared" ref="K6798" si="3178">SUM(H6798:J6798)</f>
        <v>209.976</v>
      </c>
      <c r="L6798" s="131">
        <v>1322</v>
      </c>
      <c r="M6798" s="187">
        <v>15.22</v>
      </c>
      <c r="N6798" s="199">
        <f t="shared" si="3168"/>
        <v>147.42000000000002</v>
      </c>
      <c r="O6798" s="411">
        <f t="shared" si="3173"/>
        <v>62.555999999999983</v>
      </c>
      <c r="P6798" s="132" t="s">
        <v>52</v>
      </c>
      <c r="Q6798" s="232"/>
      <c r="R6798" s="411"/>
      <c r="T6798" s="134" t="s">
        <v>145</v>
      </c>
      <c r="U6798" s="267" t="s">
        <v>14496</v>
      </c>
      <c r="AA6798" s="218"/>
    </row>
    <row r="6799" spans="1:27" x14ac:dyDescent="0.25">
      <c r="A6799" s="419">
        <v>3005331</v>
      </c>
      <c r="B6799" s="421">
        <v>42676</v>
      </c>
      <c r="C6799" s="419" t="s">
        <v>237</v>
      </c>
      <c r="D6799" s="417" t="s">
        <v>14497</v>
      </c>
      <c r="E6799" s="120">
        <v>50</v>
      </c>
      <c r="F6799" s="133" t="s">
        <v>3301</v>
      </c>
      <c r="G6799" s="434" t="s">
        <v>45</v>
      </c>
      <c r="H6799" s="427">
        <v>107.91</v>
      </c>
      <c r="I6799" s="452">
        <f t="shared" ref="I6799" si="3179">-(H6799*0.15)</f>
        <v>-16.186499999999999</v>
      </c>
      <c r="J6799" s="425">
        <v>0</v>
      </c>
      <c r="K6799" s="425">
        <f>SUM(H6799:J6799)</f>
        <v>91.723500000000001</v>
      </c>
      <c r="L6799" s="187">
        <v>754</v>
      </c>
      <c r="M6799" s="187">
        <v>10.64</v>
      </c>
      <c r="N6799" s="199">
        <f t="shared" si="3168"/>
        <v>48.34</v>
      </c>
      <c r="O6799" s="411">
        <f t="shared" si="3173"/>
        <v>43.383499999999998</v>
      </c>
      <c r="P6799" s="132" t="s">
        <v>601</v>
      </c>
      <c r="Q6799" s="232"/>
      <c r="R6799" s="411"/>
      <c r="T6799" s="439" t="s">
        <v>145</v>
      </c>
      <c r="U6799" s="446" t="s">
        <v>14498</v>
      </c>
      <c r="AA6799" s="218"/>
    </row>
    <row r="6800" spans="1:27" x14ac:dyDescent="0.25">
      <c r="A6800" s="420"/>
      <c r="B6800" s="422"/>
      <c r="C6800" s="420"/>
      <c r="D6800" s="418"/>
      <c r="E6800" s="120">
        <v>50</v>
      </c>
      <c r="F6800" s="133" t="s">
        <v>3299</v>
      </c>
      <c r="G6800" s="436"/>
      <c r="H6800" s="428"/>
      <c r="I6800" s="453"/>
      <c r="J6800" s="426"/>
      <c r="K6800" s="426"/>
      <c r="L6800" s="187">
        <v>754</v>
      </c>
      <c r="M6800" s="187"/>
      <c r="N6800" s="199">
        <f t="shared" si="3168"/>
        <v>37.700000000000003</v>
      </c>
      <c r="O6800" s="411">
        <f t="shared" si="3173"/>
        <v>-37.700000000000003</v>
      </c>
      <c r="P6800" s="132" t="s">
        <v>601</v>
      </c>
      <c r="Q6800" s="232"/>
      <c r="R6800" s="411"/>
      <c r="T6800" s="441"/>
      <c r="U6800" s="447"/>
      <c r="AA6800" s="218"/>
    </row>
    <row r="6801" spans="1:27" x14ac:dyDescent="0.25">
      <c r="A6801" s="419">
        <v>3005332</v>
      </c>
      <c r="B6801" s="421">
        <v>42676</v>
      </c>
      <c r="C6801" s="419" t="s">
        <v>237</v>
      </c>
      <c r="D6801" s="417" t="s">
        <v>14499</v>
      </c>
      <c r="E6801" s="120">
        <v>50</v>
      </c>
      <c r="F6801" s="133" t="s">
        <v>3440</v>
      </c>
      <c r="G6801" s="434" t="s">
        <v>45</v>
      </c>
      <c r="H6801" s="427">
        <v>150.47999999999999</v>
      </c>
      <c r="I6801" s="452">
        <f t="shared" ref="I6801" si="3180">-(H6801*0.15)</f>
        <v>-22.571999999999999</v>
      </c>
      <c r="J6801" s="425">
        <v>0</v>
      </c>
      <c r="K6801" s="425">
        <f>SUM(H6801:J6801)</f>
        <v>127.90799999999999</v>
      </c>
      <c r="L6801" s="187">
        <v>944</v>
      </c>
      <c r="M6801" s="187">
        <v>10.42</v>
      </c>
      <c r="N6801" s="199">
        <f t="shared" si="3168"/>
        <v>57.620000000000005</v>
      </c>
      <c r="O6801" s="411">
        <f t="shared" si="3173"/>
        <v>70.287999999999982</v>
      </c>
      <c r="P6801" s="132" t="s">
        <v>601</v>
      </c>
      <c r="Q6801" s="232"/>
      <c r="R6801" s="411"/>
      <c r="T6801" s="439" t="s">
        <v>145</v>
      </c>
      <c r="U6801" s="446" t="s">
        <v>14500</v>
      </c>
      <c r="AA6801" s="218"/>
    </row>
    <row r="6802" spans="1:27" x14ac:dyDescent="0.25">
      <c r="A6802" s="420"/>
      <c r="B6802" s="422"/>
      <c r="C6802" s="420"/>
      <c r="D6802" s="418"/>
      <c r="E6802" s="120">
        <v>50</v>
      </c>
      <c r="F6802" s="133" t="s">
        <v>3442</v>
      </c>
      <c r="G6802" s="436"/>
      <c r="H6802" s="428"/>
      <c r="I6802" s="453"/>
      <c r="J6802" s="426"/>
      <c r="K6802" s="426"/>
      <c r="L6802" s="187">
        <v>944</v>
      </c>
      <c r="M6802" s="187"/>
      <c r="N6802" s="199">
        <f t="shared" si="3168"/>
        <v>47.2</v>
      </c>
      <c r="O6802" s="411">
        <f t="shared" si="3173"/>
        <v>-47.2</v>
      </c>
      <c r="P6802" s="132" t="s">
        <v>601</v>
      </c>
      <c r="Q6802" s="232"/>
      <c r="R6802" s="411"/>
      <c r="T6802" s="441"/>
      <c r="U6802" s="447"/>
      <c r="AA6802" s="218"/>
    </row>
    <row r="6803" spans="1:27" ht="24" x14ac:dyDescent="0.25">
      <c r="A6803" s="405">
        <v>3005333</v>
      </c>
      <c r="B6803" s="406">
        <v>42676</v>
      </c>
      <c r="C6803" s="405" t="s">
        <v>237</v>
      </c>
      <c r="D6803" s="401" t="s">
        <v>14501</v>
      </c>
      <c r="E6803" s="120">
        <v>250</v>
      </c>
      <c r="F6803" s="133" t="s">
        <v>307</v>
      </c>
      <c r="G6803" s="404" t="s">
        <v>7486</v>
      </c>
      <c r="H6803" s="411">
        <v>271.66000000000003</v>
      </c>
      <c r="I6803" s="397">
        <f t="shared" ref="I6803" si="3181">-(H6803*0.15)</f>
        <v>-40.749000000000002</v>
      </c>
      <c r="J6803" s="258">
        <v>0</v>
      </c>
      <c r="K6803" s="90">
        <f>SUM(H6803:J6803)</f>
        <v>230.91100000000003</v>
      </c>
      <c r="L6803" s="131">
        <v>622.45000000000005</v>
      </c>
      <c r="M6803" s="187">
        <v>19.940000000000001</v>
      </c>
      <c r="N6803" s="199">
        <f t="shared" si="3168"/>
        <v>175.55250000000001</v>
      </c>
      <c r="O6803" s="411">
        <f t="shared" si="3173"/>
        <v>55.358500000000021</v>
      </c>
      <c r="P6803" s="132" t="s">
        <v>52</v>
      </c>
      <c r="Q6803" s="232"/>
      <c r="R6803" s="411"/>
      <c r="T6803" s="134" t="s">
        <v>145</v>
      </c>
      <c r="U6803" s="267" t="s">
        <v>14502</v>
      </c>
      <c r="AA6803" s="218"/>
    </row>
    <row r="6804" spans="1:27" ht="24" x14ac:dyDescent="0.25">
      <c r="A6804" s="405">
        <v>3005334</v>
      </c>
      <c r="B6804" s="406">
        <v>42676</v>
      </c>
      <c r="C6804" s="405" t="s">
        <v>237</v>
      </c>
      <c r="D6804" s="401" t="s">
        <v>14503</v>
      </c>
      <c r="E6804" s="120">
        <v>50</v>
      </c>
      <c r="F6804" s="133" t="s">
        <v>431</v>
      </c>
      <c r="G6804" s="404" t="s">
        <v>7486</v>
      </c>
      <c r="H6804" s="411">
        <v>116.23</v>
      </c>
      <c r="I6804" s="397">
        <f t="shared" ref="I6804" si="3182">-(H6804*0.15)</f>
        <v>-17.4345</v>
      </c>
      <c r="J6804" s="258">
        <v>0</v>
      </c>
      <c r="K6804" s="90">
        <f>SUM(H6804:J6804)</f>
        <v>98.795500000000004</v>
      </c>
      <c r="L6804" s="131">
        <v>950</v>
      </c>
      <c r="M6804" s="187">
        <v>26.57</v>
      </c>
      <c r="N6804" s="199">
        <f t="shared" si="3168"/>
        <v>74.069999999999993</v>
      </c>
      <c r="O6804" s="411">
        <f t="shared" si="3173"/>
        <v>24.725500000000011</v>
      </c>
      <c r="P6804" s="132" t="s">
        <v>52</v>
      </c>
      <c r="Q6804" s="232"/>
      <c r="R6804" s="411"/>
      <c r="T6804" s="134" t="s">
        <v>145</v>
      </c>
      <c r="U6804" s="267" t="s">
        <v>14504</v>
      </c>
      <c r="AA6804" s="218"/>
    </row>
    <row r="6805" spans="1:27" ht="24" x14ac:dyDescent="0.25">
      <c r="A6805" s="405">
        <v>3005335</v>
      </c>
      <c r="B6805" s="406">
        <v>42676</v>
      </c>
      <c r="C6805" s="405" t="s">
        <v>237</v>
      </c>
      <c r="D6805" s="401" t="s">
        <v>14505</v>
      </c>
      <c r="E6805" s="120">
        <v>175</v>
      </c>
      <c r="F6805" s="133" t="s">
        <v>247</v>
      </c>
      <c r="G6805" s="404" t="s">
        <v>7486</v>
      </c>
      <c r="H6805" s="411">
        <v>140.33000000000001</v>
      </c>
      <c r="I6805" s="397">
        <f t="shared" ref="I6805:I6806" si="3183">-(H6805*0.15)</f>
        <v>-21.049500000000002</v>
      </c>
      <c r="J6805" s="258">
        <v>0</v>
      </c>
      <c r="K6805" s="90">
        <f>SUM(H6805:J6805)</f>
        <v>119.28050000000002</v>
      </c>
      <c r="L6805" s="131">
        <v>424</v>
      </c>
      <c r="M6805" s="187">
        <v>41.14</v>
      </c>
      <c r="N6805" s="199">
        <f t="shared" si="3168"/>
        <v>115.34</v>
      </c>
      <c r="O6805" s="411">
        <f t="shared" si="3173"/>
        <v>3.9405000000000143</v>
      </c>
      <c r="P6805" s="132" t="s">
        <v>52</v>
      </c>
      <c r="Q6805" s="232"/>
      <c r="R6805" s="411"/>
      <c r="T6805" s="134" t="s">
        <v>145</v>
      </c>
      <c r="U6805" s="267" t="s">
        <v>14506</v>
      </c>
      <c r="AA6805" s="218"/>
    </row>
    <row r="6806" spans="1:27" x14ac:dyDescent="0.25">
      <c r="A6806" s="419">
        <v>3005337</v>
      </c>
      <c r="B6806" s="421">
        <v>42676</v>
      </c>
      <c r="C6806" s="419" t="s">
        <v>237</v>
      </c>
      <c r="D6806" s="417" t="s">
        <v>14507</v>
      </c>
      <c r="E6806" s="120">
        <v>15</v>
      </c>
      <c r="F6806" s="133" t="s">
        <v>4407</v>
      </c>
      <c r="G6806" s="434" t="s">
        <v>45</v>
      </c>
      <c r="H6806" s="427">
        <v>100</v>
      </c>
      <c r="I6806" s="452">
        <f t="shared" si="3183"/>
        <v>-15</v>
      </c>
      <c r="J6806" s="425">
        <v>0</v>
      </c>
      <c r="K6806" s="425">
        <f>SUM(H6806:J6806)</f>
        <v>85</v>
      </c>
      <c r="L6806" s="187">
        <v>2200</v>
      </c>
      <c r="M6806" s="187">
        <v>23.59</v>
      </c>
      <c r="N6806" s="199">
        <f t="shared" si="3168"/>
        <v>56.59</v>
      </c>
      <c r="O6806" s="411">
        <f t="shared" si="3173"/>
        <v>28.409999999999997</v>
      </c>
      <c r="P6806" s="132" t="s">
        <v>601</v>
      </c>
      <c r="Q6806" s="232"/>
      <c r="R6806" s="411"/>
      <c r="T6806" s="439" t="s">
        <v>145</v>
      </c>
      <c r="U6806" s="446" t="s">
        <v>14508</v>
      </c>
      <c r="AA6806" s="218"/>
    </row>
    <row r="6807" spans="1:27" x14ac:dyDescent="0.25">
      <c r="A6807" s="420"/>
      <c r="B6807" s="422"/>
      <c r="C6807" s="420"/>
      <c r="D6807" s="418"/>
      <c r="E6807" s="120">
        <v>15</v>
      </c>
      <c r="F6807" s="133" t="s">
        <v>1507</v>
      </c>
      <c r="G6807" s="436"/>
      <c r="H6807" s="428"/>
      <c r="I6807" s="453"/>
      <c r="J6807" s="426"/>
      <c r="K6807" s="426"/>
      <c r="L6807" s="187">
        <v>2200</v>
      </c>
      <c r="M6807" s="187"/>
      <c r="N6807" s="199">
        <f t="shared" si="3168"/>
        <v>33</v>
      </c>
      <c r="O6807" s="411">
        <f t="shared" si="3173"/>
        <v>-33</v>
      </c>
      <c r="P6807" s="132" t="s">
        <v>601</v>
      </c>
      <c r="Q6807" s="232"/>
      <c r="R6807" s="411"/>
      <c r="T6807" s="441"/>
      <c r="U6807" s="447"/>
      <c r="AA6807" s="218"/>
    </row>
    <row r="6808" spans="1:27" ht="24" x14ac:dyDescent="0.25">
      <c r="A6808" s="405">
        <v>3005338</v>
      </c>
      <c r="B6808" s="406">
        <v>42676</v>
      </c>
      <c r="C6808" s="405" t="s">
        <v>237</v>
      </c>
      <c r="D6808" s="401" t="s">
        <v>14509</v>
      </c>
      <c r="E6808" s="120">
        <v>500</v>
      </c>
      <c r="F6808" s="133" t="s">
        <v>972</v>
      </c>
      <c r="G6808" s="404" t="s">
        <v>7486</v>
      </c>
      <c r="H6808" s="411">
        <v>360</v>
      </c>
      <c r="I6808" s="397">
        <f t="shared" ref="I6808" si="3184">-(H6808*0.15)</f>
        <v>-54</v>
      </c>
      <c r="J6808" s="258">
        <v>0</v>
      </c>
      <c r="K6808" s="90">
        <f>SUM(H6808:J6808)</f>
        <v>306</v>
      </c>
      <c r="L6808" s="131">
        <v>205</v>
      </c>
      <c r="M6808" s="187">
        <v>28.54</v>
      </c>
      <c r="N6808" s="199">
        <f t="shared" si="3168"/>
        <v>131.04</v>
      </c>
      <c r="O6808" s="411">
        <f t="shared" si="3173"/>
        <v>174.96</v>
      </c>
      <c r="P6808" s="132" t="s">
        <v>52</v>
      </c>
      <c r="Q6808" s="232"/>
      <c r="R6808" s="411"/>
      <c r="T6808" s="134" t="s">
        <v>145</v>
      </c>
      <c r="U6808" s="267" t="s">
        <v>14510</v>
      </c>
      <c r="AA6808" s="218"/>
    </row>
    <row r="6809" spans="1:27" ht="36" x14ac:dyDescent="0.25">
      <c r="A6809" s="405">
        <v>3005339</v>
      </c>
      <c r="B6809" s="406">
        <v>42676</v>
      </c>
      <c r="C6809" s="405" t="s">
        <v>237</v>
      </c>
      <c r="D6809" s="401" t="s">
        <v>13148</v>
      </c>
      <c r="E6809" s="120">
        <v>1000</v>
      </c>
      <c r="F6809" s="119" t="s">
        <v>14511</v>
      </c>
      <c r="G6809" s="404" t="s">
        <v>7486</v>
      </c>
      <c r="H6809" s="411">
        <v>160.68</v>
      </c>
      <c r="I6809" s="397">
        <f t="shared" ref="I6809" si="3185">-(H6809*0.15)</f>
        <v>-24.102</v>
      </c>
      <c r="J6809" s="258">
        <v>0</v>
      </c>
      <c r="K6809" s="90">
        <f>SUM(H6809:J6809)</f>
        <v>136.578</v>
      </c>
      <c r="L6809" s="187">
        <v>127</v>
      </c>
      <c r="M6809" s="187">
        <v>20.58</v>
      </c>
      <c r="N6809" s="199">
        <f t="shared" si="3168"/>
        <v>147.57999999999998</v>
      </c>
      <c r="O6809" s="411">
        <f t="shared" si="3173"/>
        <v>-11.001999999999981</v>
      </c>
      <c r="P6809" s="132" t="s">
        <v>2846</v>
      </c>
      <c r="Q6809" s="232"/>
      <c r="R6809" s="411"/>
      <c r="T6809" s="134" t="s">
        <v>145</v>
      </c>
      <c r="U6809" s="267" t="s">
        <v>14512</v>
      </c>
      <c r="AA6809" s="218"/>
    </row>
    <row r="6810" spans="1:27" ht="84" x14ac:dyDescent="0.25">
      <c r="A6810" s="419">
        <v>3005340</v>
      </c>
      <c r="B6810" s="421">
        <v>42676</v>
      </c>
      <c r="C6810" s="419" t="s">
        <v>56</v>
      </c>
      <c r="D6810" s="417" t="s">
        <v>14513</v>
      </c>
      <c r="E6810" s="120">
        <v>21000</v>
      </c>
      <c r="F6810" s="119" t="s">
        <v>14514</v>
      </c>
      <c r="G6810" s="460" t="s">
        <v>7486</v>
      </c>
      <c r="H6810" s="427">
        <v>6400</v>
      </c>
      <c r="I6810" s="427">
        <v>0</v>
      </c>
      <c r="J6810" s="427">
        <v>0</v>
      </c>
      <c r="K6810" s="425">
        <f>SUM(H6810:J6810)</f>
        <v>6400</v>
      </c>
      <c r="M6810" s="468">
        <v>266.33999999999997</v>
      </c>
      <c r="N6810" s="199">
        <f t="shared" si="3168"/>
        <v>266.33999999999997</v>
      </c>
      <c r="O6810" s="411">
        <f t="shared" si="3173"/>
        <v>6133.66</v>
      </c>
      <c r="P6810" s="132" t="s">
        <v>5735</v>
      </c>
      <c r="Q6810" s="232"/>
      <c r="R6810" s="411"/>
      <c r="T6810" s="470" t="s">
        <v>10999</v>
      </c>
      <c r="U6810" s="481" t="s">
        <v>14515</v>
      </c>
      <c r="V6810" s="133" t="s">
        <v>14516</v>
      </c>
      <c r="W6810" s="153" t="s">
        <v>13674</v>
      </c>
      <c r="AA6810" s="218"/>
    </row>
    <row r="6811" spans="1:27" ht="84" x14ac:dyDescent="0.25">
      <c r="A6811" s="432"/>
      <c r="B6811" s="433"/>
      <c r="C6811" s="432"/>
      <c r="D6811" s="454"/>
      <c r="E6811" s="120">
        <v>24000</v>
      </c>
      <c r="F6811" s="119" t="s">
        <v>14517</v>
      </c>
      <c r="G6811" s="461"/>
      <c r="H6811" s="438"/>
      <c r="I6811" s="438"/>
      <c r="J6811" s="438"/>
      <c r="K6811" s="437"/>
      <c r="M6811" s="491"/>
      <c r="N6811" s="199">
        <f t="shared" si="3168"/>
        <v>0</v>
      </c>
      <c r="O6811" s="411">
        <f t="shared" si="3173"/>
        <v>0</v>
      </c>
      <c r="P6811" s="132" t="s">
        <v>5735</v>
      </c>
      <c r="Q6811" s="232"/>
      <c r="R6811" s="411"/>
      <c r="T6811" s="471"/>
      <c r="U6811" s="482"/>
      <c r="AA6811" s="218"/>
    </row>
    <row r="6812" spans="1:27" ht="72" x14ac:dyDescent="0.25">
      <c r="A6812" s="432"/>
      <c r="B6812" s="433"/>
      <c r="C6812" s="432"/>
      <c r="D6812" s="454"/>
      <c r="E6812" s="120">
        <v>40000</v>
      </c>
      <c r="F6812" s="119" t="s">
        <v>14518</v>
      </c>
      <c r="G6812" s="461"/>
      <c r="H6812" s="438"/>
      <c r="I6812" s="438"/>
      <c r="J6812" s="438"/>
      <c r="K6812" s="437"/>
      <c r="M6812" s="491"/>
      <c r="N6812" s="199">
        <f t="shared" si="3168"/>
        <v>0</v>
      </c>
      <c r="O6812" s="411">
        <f t="shared" si="3173"/>
        <v>0</v>
      </c>
      <c r="P6812" s="132" t="s">
        <v>5735</v>
      </c>
      <c r="Q6812" s="232"/>
      <c r="R6812" s="411"/>
      <c r="T6812" s="471"/>
      <c r="U6812" s="482"/>
      <c r="AA6812" s="218"/>
    </row>
    <row r="6813" spans="1:27" ht="84" x14ac:dyDescent="0.25">
      <c r="A6813" s="420"/>
      <c r="B6813" s="422"/>
      <c r="C6813" s="420"/>
      <c r="D6813" s="418"/>
      <c r="E6813" s="120">
        <v>11000</v>
      </c>
      <c r="F6813" s="119" t="s">
        <v>14519</v>
      </c>
      <c r="G6813" s="462"/>
      <c r="H6813" s="428"/>
      <c r="I6813" s="428"/>
      <c r="J6813" s="428"/>
      <c r="K6813" s="426"/>
      <c r="M6813" s="469"/>
      <c r="N6813" s="199">
        <f t="shared" si="3168"/>
        <v>0</v>
      </c>
      <c r="O6813" s="411">
        <f t="shared" si="3173"/>
        <v>0</v>
      </c>
      <c r="P6813" s="132" t="s">
        <v>5735</v>
      </c>
      <c r="Q6813" s="232"/>
      <c r="R6813" s="411"/>
      <c r="T6813" s="472"/>
      <c r="U6813" s="483"/>
      <c r="AA6813" s="218"/>
    </row>
    <row r="6814" spans="1:27" ht="24" x14ac:dyDescent="0.25">
      <c r="A6814" s="405">
        <v>3005341</v>
      </c>
      <c r="B6814" s="406">
        <v>42676</v>
      </c>
      <c r="C6814" s="405" t="s">
        <v>42</v>
      </c>
      <c r="D6814" s="401" t="s">
        <v>14520</v>
      </c>
      <c r="E6814" s="120">
        <v>50</v>
      </c>
      <c r="F6814" s="133" t="s">
        <v>431</v>
      </c>
      <c r="G6814" s="404" t="s">
        <v>7486</v>
      </c>
      <c r="H6814" s="411">
        <v>128.80000000000001</v>
      </c>
      <c r="I6814" s="89">
        <f>-(H6814*0.09)</f>
        <v>-11.592000000000001</v>
      </c>
      <c r="J6814" s="361">
        <f t="shared" ref="J6814" si="3186">-((H6814*0.019)+0.3)</f>
        <v>-2.7471999999999999</v>
      </c>
      <c r="K6814" s="396">
        <f t="shared" ref="K6814" si="3187">SUM(H6814:J6814)</f>
        <v>114.46080000000001</v>
      </c>
      <c r="L6814" s="131">
        <v>950</v>
      </c>
      <c r="M6814" s="187">
        <v>18.02</v>
      </c>
      <c r="N6814" s="199">
        <f t="shared" si="3168"/>
        <v>65.52</v>
      </c>
      <c r="O6814" s="411">
        <f t="shared" si="3173"/>
        <v>48.94080000000001</v>
      </c>
      <c r="P6814" s="132" t="s">
        <v>52</v>
      </c>
      <c r="Q6814" s="232"/>
      <c r="R6814" s="411"/>
      <c r="T6814" s="134" t="s">
        <v>145</v>
      </c>
      <c r="U6814" s="267" t="s">
        <v>14521</v>
      </c>
      <c r="AA6814" s="218"/>
    </row>
    <row r="6815" spans="1:27" ht="24" x14ac:dyDescent="0.25">
      <c r="A6815" s="405">
        <v>3005342</v>
      </c>
      <c r="B6815" s="406">
        <v>42676</v>
      </c>
      <c r="C6815" s="405" t="s">
        <v>42</v>
      </c>
      <c r="D6815" s="401" t="s">
        <v>14522</v>
      </c>
      <c r="E6815" s="120">
        <v>250</v>
      </c>
      <c r="F6815" s="133" t="s">
        <v>438</v>
      </c>
      <c r="G6815" s="404" t="s">
        <v>7486</v>
      </c>
      <c r="H6815" s="411">
        <v>186.11</v>
      </c>
      <c r="I6815" s="89">
        <f>-(H6815*0.09)</f>
        <v>-16.7499</v>
      </c>
      <c r="J6815" s="361">
        <f t="shared" ref="J6815" si="3188">-((H6815*0.019)+0.3)</f>
        <v>-3.83609</v>
      </c>
      <c r="K6815" s="396">
        <f t="shared" ref="K6815" si="3189">SUM(H6815:J6815)</f>
        <v>165.52401</v>
      </c>
      <c r="L6815" s="131">
        <v>168</v>
      </c>
      <c r="M6815" s="187">
        <v>30.17</v>
      </c>
      <c r="N6815" s="199">
        <f t="shared" si="3168"/>
        <v>72.17</v>
      </c>
      <c r="O6815" s="411">
        <f t="shared" si="3173"/>
        <v>93.354010000000002</v>
      </c>
      <c r="P6815" s="132" t="s">
        <v>52</v>
      </c>
      <c r="Q6815" s="232"/>
      <c r="R6815" s="411"/>
      <c r="T6815" s="134" t="s">
        <v>145</v>
      </c>
      <c r="U6815" s="267" t="s">
        <v>14523</v>
      </c>
      <c r="AA6815" s="218"/>
    </row>
    <row r="6816" spans="1:27" x14ac:dyDescent="0.25">
      <c r="A6816" s="419">
        <v>3005343</v>
      </c>
      <c r="B6816" s="421">
        <v>42676</v>
      </c>
      <c r="C6816" s="419" t="s">
        <v>141</v>
      </c>
      <c r="D6816" s="417" t="s">
        <v>10790</v>
      </c>
      <c r="E6816" s="120">
        <v>1080</v>
      </c>
      <c r="F6816" s="133" t="s">
        <v>14524</v>
      </c>
      <c r="G6816" s="434" t="s">
        <v>7486</v>
      </c>
      <c r="H6816" s="427">
        <v>5298.7</v>
      </c>
      <c r="I6816" s="427">
        <v>0</v>
      </c>
      <c r="J6816" s="425">
        <f>-((H6816*0.0325)+0.3)</f>
        <v>-172.50775000000002</v>
      </c>
      <c r="K6816" s="425">
        <f>SUM(H6816:J6816)</f>
        <v>5126.1922500000001</v>
      </c>
      <c r="M6816" s="468">
        <v>350</v>
      </c>
      <c r="N6816" s="199">
        <f t="shared" si="3168"/>
        <v>350</v>
      </c>
      <c r="O6816" s="411">
        <f t="shared" si="3173"/>
        <v>4776.1922500000001</v>
      </c>
      <c r="P6816" s="132" t="s">
        <v>52</v>
      </c>
      <c r="Q6816" s="232"/>
      <c r="R6816" s="411"/>
      <c r="T6816" s="439" t="s">
        <v>709</v>
      </c>
      <c r="U6816" s="439" t="s">
        <v>709</v>
      </c>
      <c r="W6816" s="153" t="s">
        <v>429</v>
      </c>
      <c r="AA6816" s="473">
        <v>50</v>
      </c>
    </row>
    <row r="6817" spans="1:27" x14ac:dyDescent="0.25">
      <c r="A6817" s="432"/>
      <c r="B6817" s="433"/>
      <c r="C6817" s="432"/>
      <c r="D6817" s="454"/>
      <c r="E6817" s="120">
        <v>270</v>
      </c>
      <c r="F6817" s="133" t="s">
        <v>14525</v>
      </c>
      <c r="G6817" s="435"/>
      <c r="H6817" s="438"/>
      <c r="I6817" s="438"/>
      <c r="J6817" s="437"/>
      <c r="K6817" s="437"/>
      <c r="M6817" s="469"/>
      <c r="N6817" s="199">
        <f t="shared" si="3168"/>
        <v>0</v>
      </c>
      <c r="O6817" s="411">
        <f t="shared" si="3173"/>
        <v>0</v>
      </c>
      <c r="P6817" s="132" t="s">
        <v>52</v>
      </c>
      <c r="Q6817" s="232"/>
      <c r="R6817" s="411"/>
      <c r="T6817" s="441"/>
      <c r="U6817" s="441"/>
      <c r="AA6817" s="478"/>
    </row>
    <row r="6818" spans="1:27" x14ac:dyDescent="0.25">
      <c r="A6818" s="420"/>
      <c r="B6818" s="422"/>
      <c r="C6818" s="420"/>
      <c r="D6818" s="418"/>
      <c r="E6818" s="120">
        <v>35</v>
      </c>
      <c r="F6818" s="133" t="s">
        <v>12638</v>
      </c>
      <c r="G6818" s="436"/>
      <c r="H6818" s="428"/>
      <c r="I6818" s="428"/>
      <c r="J6818" s="426"/>
      <c r="K6818" s="426"/>
      <c r="L6818" s="187">
        <v>8338</v>
      </c>
      <c r="M6818" s="187">
        <v>101.92</v>
      </c>
      <c r="N6818" s="199">
        <f t="shared" si="3168"/>
        <v>393.75000000000006</v>
      </c>
      <c r="O6818" s="411">
        <f t="shared" si="3173"/>
        <v>-393.75000000000006</v>
      </c>
      <c r="P6818" s="132" t="s">
        <v>330</v>
      </c>
      <c r="Q6818" s="232"/>
      <c r="R6818" s="411"/>
      <c r="T6818" s="134" t="s">
        <v>14526</v>
      </c>
      <c r="U6818" s="266" t="s">
        <v>14526</v>
      </c>
      <c r="V6818" s="133" t="s">
        <v>14527</v>
      </c>
      <c r="AA6818" s="474"/>
    </row>
    <row r="6819" spans="1:27" ht="48" x14ac:dyDescent="0.25">
      <c r="A6819" s="419">
        <v>3005344</v>
      </c>
      <c r="B6819" s="421">
        <v>42676</v>
      </c>
      <c r="C6819" s="419" t="s">
        <v>141</v>
      </c>
      <c r="D6819" s="417" t="s">
        <v>14528</v>
      </c>
      <c r="E6819" s="120">
        <v>672</v>
      </c>
      <c r="F6819" s="119" t="s">
        <v>14529</v>
      </c>
      <c r="G6819" s="434" t="s">
        <v>7486</v>
      </c>
      <c r="H6819" s="427">
        <v>8496.9599999999991</v>
      </c>
      <c r="I6819" s="427">
        <v>0</v>
      </c>
      <c r="J6819" s="425">
        <f>-((H6819*0.022)+0.3)</f>
        <v>-187.23311999999999</v>
      </c>
      <c r="K6819" s="425">
        <f>SUM(H6819:J6819)</f>
        <v>8309.7268799999983</v>
      </c>
      <c r="L6819" s="187">
        <v>950</v>
      </c>
      <c r="M6819" s="468">
        <f>578.59+225</f>
        <v>803.59</v>
      </c>
      <c r="N6819" s="199">
        <f t="shared" si="3168"/>
        <v>1441.9900000000002</v>
      </c>
      <c r="O6819" s="411">
        <f t="shared" si="3173"/>
        <v>6867.7368799999986</v>
      </c>
      <c r="P6819" s="132" t="s">
        <v>2895</v>
      </c>
      <c r="Q6819" s="232"/>
      <c r="R6819" s="411"/>
      <c r="T6819" s="470" t="s">
        <v>14530</v>
      </c>
      <c r="U6819" s="446" t="s">
        <v>14531</v>
      </c>
      <c r="V6819" s="133" t="s">
        <v>55</v>
      </c>
      <c r="W6819" s="153" t="s">
        <v>14532</v>
      </c>
      <c r="AA6819" s="473">
        <v>50</v>
      </c>
    </row>
    <row r="6820" spans="1:27" ht="48" x14ac:dyDescent="0.25">
      <c r="A6820" s="432"/>
      <c r="B6820" s="433"/>
      <c r="C6820" s="432"/>
      <c r="D6820" s="454"/>
      <c r="E6820" s="120">
        <v>735</v>
      </c>
      <c r="F6820" s="119" t="s">
        <v>14533</v>
      </c>
      <c r="G6820" s="435"/>
      <c r="H6820" s="438"/>
      <c r="I6820" s="438"/>
      <c r="J6820" s="437"/>
      <c r="K6820" s="437"/>
      <c r="L6820" s="187">
        <v>950</v>
      </c>
      <c r="M6820" s="491"/>
      <c r="N6820" s="199">
        <f t="shared" si="3168"/>
        <v>698.25</v>
      </c>
      <c r="O6820" s="411">
        <f t="shared" si="3173"/>
        <v>-698.25</v>
      </c>
      <c r="P6820" s="132" t="s">
        <v>2895</v>
      </c>
      <c r="Q6820" s="232"/>
      <c r="R6820" s="411"/>
      <c r="T6820" s="471"/>
      <c r="U6820" s="448"/>
      <c r="AA6820" s="478"/>
    </row>
    <row r="6821" spans="1:27" ht="72" x14ac:dyDescent="0.25">
      <c r="A6821" s="432"/>
      <c r="B6821" s="433"/>
      <c r="C6821" s="432"/>
      <c r="D6821" s="454"/>
      <c r="E6821" s="120">
        <v>1580</v>
      </c>
      <c r="F6821" s="119" t="s">
        <v>14534</v>
      </c>
      <c r="G6821" s="435"/>
      <c r="H6821" s="438"/>
      <c r="I6821" s="438"/>
      <c r="J6821" s="437"/>
      <c r="K6821" s="437"/>
      <c r="L6821" s="187">
        <v>950</v>
      </c>
      <c r="M6821" s="491"/>
      <c r="N6821" s="199">
        <f t="shared" si="3168"/>
        <v>1501</v>
      </c>
      <c r="O6821" s="411">
        <f t="shared" si="3173"/>
        <v>-1501</v>
      </c>
      <c r="P6821" s="132" t="s">
        <v>2895</v>
      </c>
      <c r="Q6821" s="232"/>
      <c r="R6821" s="411"/>
      <c r="T6821" s="472"/>
      <c r="U6821" s="447"/>
      <c r="AA6821" s="478"/>
    </row>
    <row r="6822" spans="1:27" ht="48" x14ac:dyDescent="0.25">
      <c r="A6822" s="432"/>
      <c r="B6822" s="433"/>
      <c r="C6822" s="432"/>
      <c r="D6822" s="454"/>
      <c r="E6822" s="375">
        <v>700</v>
      </c>
      <c r="F6822" s="119" t="s">
        <v>14535</v>
      </c>
      <c r="G6822" s="435"/>
      <c r="H6822" s="438"/>
      <c r="I6822" s="438"/>
      <c r="J6822" s="437"/>
      <c r="K6822" s="437"/>
      <c r="L6822" s="131">
        <v>375</v>
      </c>
      <c r="M6822" s="468">
        <v>115</v>
      </c>
      <c r="N6822" s="199">
        <f t="shared" si="3168"/>
        <v>377.5</v>
      </c>
      <c r="O6822" s="411">
        <f t="shared" si="3173"/>
        <v>-377.5</v>
      </c>
      <c r="P6822" s="132" t="s">
        <v>52</v>
      </c>
      <c r="Q6822" s="232"/>
      <c r="R6822" s="411"/>
      <c r="T6822" s="439" t="s">
        <v>3793</v>
      </c>
      <c r="U6822" s="475" t="s">
        <v>14536</v>
      </c>
      <c r="AA6822" s="478"/>
    </row>
    <row r="6823" spans="1:27" ht="48" x14ac:dyDescent="0.25">
      <c r="A6823" s="432"/>
      <c r="B6823" s="433"/>
      <c r="C6823" s="432"/>
      <c r="D6823" s="454"/>
      <c r="E6823" s="375">
        <v>900</v>
      </c>
      <c r="F6823" s="119" t="s">
        <v>14537</v>
      </c>
      <c r="G6823" s="435"/>
      <c r="H6823" s="438"/>
      <c r="I6823" s="438"/>
      <c r="J6823" s="437"/>
      <c r="K6823" s="437"/>
      <c r="L6823" s="131">
        <v>375</v>
      </c>
      <c r="M6823" s="491"/>
      <c r="N6823" s="199">
        <f t="shared" si="3168"/>
        <v>337.5</v>
      </c>
      <c r="O6823" s="411">
        <f t="shared" si="3173"/>
        <v>-337.5</v>
      </c>
      <c r="P6823" s="132" t="s">
        <v>52</v>
      </c>
      <c r="Q6823" s="232"/>
      <c r="R6823" s="411"/>
      <c r="T6823" s="440"/>
      <c r="U6823" s="476"/>
      <c r="AA6823" s="478"/>
    </row>
    <row r="6824" spans="1:27" ht="48" x14ac:dyDescent="0.25">
      <c r="A6824" s="432"/>
      <c r="B6824" s="433"/>
      <c r="C6824" s="432"/>
      <c r="D6824" s="454"/>
      <c r="E6824" s="375">
        <v>1500</v>
      </c>
      <c r="F6824" s="119" t="s">
        <v>14538</v>
      </c>
      <c r="G6824" s="435"/>
      <c r="H6824" s="438"/>
      <c r="I6824" s="438"/>
      <c r="J6824" s="437"/>
      <c r="K6824" s="437"/>
      <c r="L6824" s="131">
        <v>375</v>
      </c>
      <c r="M6824" s="491"/>
      <c r="N6824" s="199">
        <f t="shared" si="3168"/>
        <v>562.5</v>
      </c>
      <c r="O6824" s="411">
        <f t="shared" si="3173"/>
        <v>-562.5</v>
      </c>
      <c r="P6824" s="132" t="s">
        <v>52</v>
      </c>
      <c r="Q6824" s="232"/>
      <c r="R6824" s="411"/>
      <c r="T6824" s="440"/>
      <c r="U6824" s="476"/>
      <c r="AA6824" s="478"/>
    </row>
    <row r="6825" spans="1:27" ht="48" x14ac:dyDescent="0.25">
      <c r="A6825" s="432"/>
      <c r="B6825" s="433"/>
      <c r="C6825" s="432"/>
      <c r="D6825" s="454"/>
      <c r="E6825" s="375">
        <v>100</v>
      </c>
      <c r="F6825" s="119" t="s">
        <v>14539</v>
      </c>
      <c r="G6825" s="435"/>
      <c r="H6825" s="438"/>
      <c r="I6825" s="438"/>
      <c r="J6825" s="437"/>
      <c r="K6825" s="437"/>
      <c r="L6825" s="131">
        <v>375</v>
      </c>
      <c r="M6825" s="491"/>
      <c r="N6825" s="199">
        <f t="shared" si="3168"/>
        <v>37.5</v>
      </c>
      <c r="O6825" s="411">
        <f t="shared" si="3173"/>
        <v>-37.5</v>
      </c>
      <c r="P6825" s="132" t="s">
        <v>52</v>
      </c>
      <c r="Q6825" s="232"/>
      <c r="R6825" s="411"/>
      <c r="T6825" s="440"/>
      <c r="U6825" s="476"/>
      <c r="AA6825" s="478"/>
    </row>
    <row r="6826" spans="1:27" ht="48" x14ac:dyDescent="0.25">
      <c r="A6826" s="432"/>
      <c r="B6826" s="433"/>
      <c r="C6826" s="432"/>
      <c r="D6826" s="454"/>
      <c r="E6826" s="375">
        <v>960</v>
      </c>
      <c r="F6826" s="119" t="s">
        <v>14540</v>
      </c>
      <c r="G6826" s="435"/>
      <c r="H6826" s="438"/>
      <c r="I6826" s="438"/>
      <c r="J6826" s="437"/>
      <c r="K6826" s="437"/>
      <c r="L6826" s="131">
        <v>375</v>
      </c>
      <c r="M6826" s="469"/>
      <c r="N6826" s="199">
        <f t="shared" si="3168"/>
        <v>360</v>
      </c>
      <c r="O6826" s="411">
        <f t="shared" si="3173"/>
        <v>-360</v>
      </c>
      <c r="P6826" s="132" t="s">
        <v>52</v>
      </c>
      <c r="Q6826" s="232"/>
      <c r="R6826" s="411"/>
      <c r="T6826" s="441"/>
      <c r="U6826" s="477"/>
      <c r="AA6826" s="478"/>
    </row>
    <row r="6827" spans="1:27" ht="48" x14ac:dyDescent="0.25">
      <c r="A6827" s="432"/>
      <c r="B6827" s="433"/>
      <c r="C6827" s="432"/>
      <c r="D6827" s="454"/>
      <c r="E6827" s="120">
        <v>480</v>
      </c>
      <c r="F6827" s="119" t="s">
        <v>14541</v>
      </c>
      <c r="G6827" s="435"/>
      <c r="H6827" s="438"/>
      <c r="I6827" s="438"/>
      <c r="J6827" s="437"/>
      <c r="K6827" s="437"/>
      <c r="L6827" s="187">
        <v>342</v>
      </c>
      <c r="M6827" s="187">
        <v>105</v>
      </c>
      <c r="N6827" s="199">
        <f t="shared" si="3168"/>
        <v>269.15999999999997</v>
      </c>
      <c r="O6827" s="411">
        <f t="shared" si="3173"/>
        <v>-269.15999999999997</v>
      </c>
      <c r="P6827" s="132" t="s">
        <v>183</v>
      </c>
      <c r="Q6827" s="232"/>
      <c r="R6827" s="411"/>
      <c r="T6827" s="439" t="s">
        <v>717</v>
      </c>
      <c r="U6827" s="446" t="s">
        <v>14542</v>
      </c>
      <c r="AA6827" s="478"/>
    </row>
    <row r="6828" spans="1:27" ht="48" x14ac:dyDescent="0.25">
      <c r="A6828" s="420"/>
      <c r="B6828" s="422"/>
      <c r="C6828" s="420"/>
      <c r="D6828" s="418"/>
      <c r="E6828" s="120">
        <v>640</v>
      </c>
      <c r="F6828" s="119" t="s">
        <v>14543</v>
      </c>
      <c r="G6828" s="436"/>
      <c r="H6828" s="428"/>
      <c r="I6828" s="428"/>
      <c r="J6828" s="426"/>
      <c r="K6828" s="426"/>
      <c r="L6828" s="187">
        <v>289</v>
      </c>
      <c r="M6828" s="187">
        <v>200</v>
      </c>
      <c r="N6828" s="199">
        <f t="shared" si="3168"/>
        <v>384.96000000000004</v>
      </c>
      <c r="O6828" s="411">
        <f t="shared" si="3173"/>
        <v>-384.96000000000004</v>
      </c>
      <c r="P6828" s="132" t="s">
        <v>183</v>
      </c>
      <c r="Q6828" s="232"/>
      <c r="R6828" s="411"/>
      <c r="T6828" s="441"/>
      <c r="U6828" s="447"/>
      <c r="V6828" s="133" t="s">
        <v>14544</v>
      </c>
      <c r="AA6828" s="474"/>
    </row>
    <row r="6829" spans="1:27" ht="24" x14ac:dyDescent="0.25">
      <c r="A6829" s="405">
        <v>3005345</v>
      </c>
      <c r="B6829" s="406">
        <v>42677</v>
      </c>
      <c r="C6829" s="405" t="s">
        <v>78</v>
      </c>
      <c r="D6829" s="401" t="s">
        <v>9251</v>
      </c>
      <c r="E6829" s="120">
        <v>200</v>
      </c>
      <c r="F6829" s="133" t="s">
        <v>14545</v>
      </c>
      <c r="G6829" s="404" t="s">
        <v>7486</v>
      </c>
      <c r="H6829" s="411">
        <v>300</v>
      </c>
      <c r="I6829" s="411">
        <v>0</v>
      </c>
      <c r="J6829" s="361">
        <f t="shared" ref="J6829:J6830" si="3190">-((H6829*0.019)+0.3)</f>
        <v>-6</v>
      </c>
      <c r="K6829" s="396">
        <f t="shared" ref="K6829:K6830" si="3191">SUM(H6829:J6829)</f>
        <v>294</v>
      </c>
      <c r="M6829" s="187">
        <v>54.82</v>
      </c>
      <c r="N6829" s="199">
        <f t="shared" si="3168"/>
        <v>54.82</v>
      </c>
      <c r="O6829" s="411">
        <f t="shared" si="3173"/>
        <v>239.18</v>
      </c>
      <c r="P6829" s="132" t="s">
        <v>52</v>
      </c>
      <c r="Q6829" s="232"/>
      <c r="R6829" s="411"/>
      <c r="T6829" s="134" t="s">
        <v>145</v>
      </c>
      <c r="U6829" s="267" t="s">
        <v>14546</v>
      </c>
      <c r="W6829" s="153" t="s">
        <v>9254</v>
      </c>
      <c r="AA6829" s="218"/>
    </row>
    <row r="6830" spans="1:27" ht="24" x14ac:dyDescent="0.25">
      <c r="A6830" s="405">
        <v>3005346</v>
      </c>
      <c r="B6830" s="406">
        <v>42677</v>
      </c>
      <c r="C6830" s="405" t="s">
        <v>42</v>
      </c>
      <c r="D6830" s="401" t="s">
        <v>14547</v>
      </c>
      <c r="E6830" s="120">
        <v>220</v>
      </c>
      <c r="F6830" s="133" t="s">
        <v>247</v>
      </c>
      <c r="G6830" s="404" t="s">
        <v>7486</v>
      </c>
      <c r="H6830" s="411">
        <v>249.6</v>
      </c>
      <c r="I6830" s="89">
        <f t="shared" ref="I6830:I6837" si="3192">-(H6830*0.09)</f>
        <v>-22.463999999999999</v>
      </c>
      <c r="J6830" s="361">
        <f t="shared" si="3190"/>
        <v>-5.0423999999999998</v>
      </c>
      <c r="K6830" s="396">
        <f t="shared" si="3191"/>
        <v>222.09360000000001</v>
      </c>
      <c r="L6830" s="131">
        <v>424</v>
      </c>
      <c r="M6830" s="187">
        <v>42.16</v>
      </c>
      <c r="N6830" s="199">
        <f t="shared" si="3168"/>
        <v>135.44</v>
      </c>
      <c r="O6830" s="411">
        <f t="shared" si="3173"/>
        <v>86.653600000000012</v>
      </c>
      <c r="P6830" s="132" t="s">
        <v>52</v>
      </c>
      <c r="Q6830" s="232"/>
      <c r="R6830" s="411"/>
      <c r="T6830" s="134" t="s">
        <v>145</v>
      </c>
      <c r="U6830" s="267" t="s">
        <v>14548</v>
      </c>
      <c r="AA6830" s="218"/>
    </row>
    <row r="6831" spans="1:27" ht="24" x14ac:dyDescent="0.25">
      <c r="A6831" s="405">
        <v>3005347</v>
      </c>
      <c r="B6831" s="406">
        <v>42677</v>
      </c>
      <c r="C6831" s="405" t="s">
        <v>42</v>
      </c>
      <c r="D6831" s="401" t="s">
        <v>14549</v>
      </c>
      <c r="E6831" s="120">
        <v>100</v>
      </c>
      <c r="F6831" s="133" t="s">
        <v>85</v>
      </c>
      <c r="G6831" s="404" t="s">
        <v>7486</v>
      </c>
      <c r="H6831" s="411">
        <v>256.77999999999997</v>
      </c>
      <c r="I6831" s="89">
        <f t="shared" si="3192"/>
        <v>-23.110199999999995</v>
      </c>
      <c r="J6831" s="361">
        <f t="shared" ref="J6831" si="3193">-((H6831*0.019)+0.3)</f>
        <v>-5.1788199999999991</v>
      </c>
      <c r="K6831" s="396">
        <f t="shared" ref="K6831" si="3194">SUM(H6831:J6831)</f>
        <v>228.49097999999998</v>
      </c>
      <c r="L6831" s="131">
        <v>1090</v>
      </c>
      <c r="M6831" s="187">
        <v>70.5</v>
      </c>
      <c r="N6831" s="199">
        <f t="shared" si="3168"/>
        <v>179.5</v>
      </c>
      <c r="O6831" s="411">
        <f t="shared" si="3173"/>
        <v>48.990979999999979</v>
      </c>
      <c r="P6831" s="132" t="s">
        <v>52</v>
      </c>
      <c r="Q6831" s="232"/>
      <c r="R6831" s="411"/>
      <c r="T6831" s="134" t="s">
        <v>145</v>
      </c>
      <c r="U6831" s="267" t="s">
        <v>14550</v>
      </c>
      <c r="AA6831" s="218"/>
    </row>
    <row r="6832" spans="1:27" ht="24" x14ac:dyDescent="0.25">
      <c r="A6832" s="405">
        <v>3005348</v>
      </c>
      <c r="B6832" s="406">
        <v>42677</v>
      </c>
      <c r="C6832" s="405" t="s">
        <v>42</v>
      </c>
      <c r="D6832" s="401" t="s">
        <v>14551</v>
      </c>
      <c r="E6832" s="120">
        <v>100</v>
      </c>
      <c r="F6832" s="133" t="s">
        <v>431</v>
      </c>
      <c r="G6832" s="404" t="s">
        <v>7486</v>
      </c>
      <c r="H6832" s="411">
        <v>200.08</v>
      </c>
      <c r="I6832" s="89">
        <f t="shared" si="3192"/>
        <v>-18.007200000000001</v>
      </c>
      <c r="J6832" s="361">
        <f t="shared" ref="J6832" si="3195">-((H6832*0.019)+0.3)</f>
        <v>-4.1015199999999998</v>
      </c>
      <c r="K6832" s="396">
        <f t="shared" ref="K6832" si="3196">SUM(H6832:J6832)</f>
        <v>177.97128000000001</v>
      </c>
      <c r="L6832" s="131">
        <v>950</v>
      </c>
      <c r="M6832" s="187">
        <v>45.5</v>
      </c>
      <c r="N6832" s="199">
        <f t="shared" si="3168"/>
        <v>140.5</v>
      </c>
      <c r="O6832" s="411">
        <f t="shared" si="3173"/>
        <v>37.471280000000007</v>
      </c>
      <c r="P6832" s="132" t="s">
        <v>52</v>
      </c>
      <c r="Q6832" s="232"/>
      <c r="R6832" s="411"/>
      <c r="T6832" s="134" t="s">
        <v>145</v>
      </c>
      <c r="U6832" s="267" t="s">
        <v>14552</v>
      </c>
      <c r="AA6832" s="218"/>
    </row>
    <row r="6833" spans="1:27" ht="24" x14ac:dyDescent="0.25">
      <c r="A6833" s="405">
        <v>3005349</v>
      </c>
      <c r="B6833" s="406">
        <v>42677</v>
      </c>
      <c r="C6833" s="405" t="s">
        <v>42</v>
      </c>
      <c r="D6833" s="401" t="s">
        <v>14553</v>
      </c>
      <c r="E6833" s="120">
        <v>95</v>
      </c>
      <c r="F6833" s="133" t="s">
        <v>70</v>
      </c>
      <c r="G6833" s="404" t="s">
        <v>7486</v>
      </c>
      <c r="H6833" s="411">
        <v>263.75</v>
      </c>
      <c r="I6833" s="89">
        <f t="shared" si="3192"/>
        <v>-23.737500000000001</v>
      </c>
      <c r="J6833" s="361">
        <f t="shared" ref="J6833" si="3197">-((H6833*0.019)+0.3)</f>
        <v>-5.3112499999999994</v>
      </c>
      <c r="K6833" s="396">
        <f t="shared" ref="K6833" si="3198">SUM(H6833:J6833)</f>
        <v>234.70124999999999</v>
      </c>
      <c r="L6833" s="131">
        <v>1240</v>
      </c>
      <c r="M6833" s="187">
        <v>53.89</v>
      </c>
      <c r="N6833" s="199">
        <f t="shared" si="3168"/>
        <v>171.69</v>
      </c>
      <c r="O6833" s="411">
        <f t="shared" si="3173"/>
        <v>63.01124999999999</v>
      </c>
      <c r="P6833" s="132" t="s">
        <v>52</v>
      </c>
      <c r="Q6833" s="232"/>
      <c r="R6833" s="411"/>
      <c r="T6833" s="134" t="s">
        <v>145</v>
      </c>
      <c r="U6833" s="267" t="s">
        <v>14554</v>
      </c>
      <c r="AA6833" s="218"/>
    </row>
    <row r="6834" spans="1:27" ht="24" x14ac:dyDescent="0.25">
      <c r="A6834" s="405">
        <v>3005350</v>
      </c>
      <c r="B6834" s="406">
        <v>42677</v>
      </c>
      <c r="C6834" s="405" t="s">
        <v>42</v>
      </c>
      <c r="D6834" s="401" t="s">
        <v>14555</v>
      </c>
      <c r="E6834" s="120">
        <v>50</v>
      </c>
      <c r="F6834" s="133" t="s">
        <v>300</v>
      </c>
      <c r="G6834" s="404" t="s">
        <v>7486</v>
      </c>
      <c r="H6834" s="411">
        <v>213.77</v>
      </c>
      <c r="I6834" s="89">
        <f t="shared" si="3192"/>
        <v>-19.2393</v>
      </c>
      <c r="J6834" s="361">
        <f t="shared" ref="J6834" si="3199">-((H6834*0.019)+0.3)</f>
        <v>-4.3616299999999999</v>
      </c>
      <c r="K6834" s="396">
        <f t="shared" ref="K6834" si="3200">SUM(H6834:J6834)</f>
        <v>190.16907000000003</v>
      </c>
      <c r="L6834" s="131">
        <v>2150</v>
      </c>
      <c r="M6834" s="187">
        <v>22.73</v>
      </c>
      <c r="N6834" s="199">
        <f t="shared" si="3168"/>
        <v>130.22999999999999</v>
      </c>
      <c r="O6834" s="411">
        <f t="shared" si="3173"/>
        <v>59.939070000000044</v>
      </c>
      <c r="P6834" s="132" t="s">
        <v>52</v>
      </c>
      <c r="Q6834" s="232"/>
      <c r="R6834" s="411"/>
      <c r="T6834" s="134" t="s">
        <v>145</v>
      </c>
      <c r="U6834" s="267" t="s">
        <v>14556</v>
      </c>
      <c r="AA6834" s="218"/>
    </row>
    <row r="6835" spans="1:27" ht="24" x14ac:dyDescent="0.25">
      <c r="A6835" s="405">
        <v>3005351</v>
      </c>
      <c r="B6835" s="406">
        <v>42677</v>
      </c>
      <c r="C6835" s="405" t="s">
        <v>42</v>
      </c>
      <c r="D6835" s="401" t="s">
        <v>14557</v>
      </c>
      <c r="E6835" s="120">
        <v>250</v>
      </c>
      <c r="F6835" s="133" t="s">
        <v>1137</v>
      </c>
      <c r="G6835" s="404" t="s">
        <v>7486</v>
      </c>
      <c r="H6835" s="411">
        <v>133</v>
      </c>
      <c r="I6835" s="89">
        <f t="shared" si="3192"/>
        <v>-11.969999999999999</v>
      </c>
      <c r="J6835" s="361">
        <f t="shared" ref="J6835" si="3201">-((H6835*0.019)+0.3)</f>
        <v>-2.827</v>
      </c>
      <c r="K6835" s="396">
        <f t="shared" ref="K6835" si="3202">SUM(H6835:J6835)</f>
        <v>118.203</v>
      </c>
      <c r="L6835" s="131">
        <v>220</v>
      </c>
      <c r="M6835" s="187">
        <v>17.309999999999999</v>
      </c>
      <c r="N6835" s="199">
        <f t="shared" si="3168"/>
        <v>72.31</v>
      </c>
      <c r="O6835" s="411">
        <f t="shared" si="3173"/>
        <v>45.893000000000001</v>
      </c>
      <c r="P6835" s="132" t="s">
        <v>52</v>
      </c>
      <c r="Q6835" s="232"/>
      <c r="R6835" s="411"/>
      <c r="T6835" s="134" t="s">
        <v>145</v>
      </c>
      <c r="U6835" s="267" t="s">
        <v>14558</v>
      </c>
      <c r="AA6835" s="218"/>
    </row>
    <row r="6836" spans="1:27" ht="24" x14ac:dyDescent="0.25">
      <c r="A6836" s="405">
        <v>3005352</v>
      </c>
      <c r="B6836" s="406">
        <v>42677</v>
      </c>
      <c r="C6836" s="405" t="s">
        <v>42</v>
      </c>
      <c r="D6836" s="401" t="s">
        <v>14559</v>
      </c>
      <c r="E6836" s="120">
        <v>200</v>
      </c>
      <c r="F6836" s="133" t="s">
        <v>14560</v>
      </c>
      <c r="G6836" s="404" t="s">
        <v>7486</v>
      </c>
      <c r="H6836" s="411">
        <v>257.99</v>
      </c>
      <c r="I6836" s="89">
        <f t="shared" si="3192"/>
        <v>-23.219100000000001</v>
      </c>
      <c r="J6836" s="361">
        <f t="shared" ref="J6836" si="3203">-((H6836*0.019)+0.3)</f>
        <v>-5.20181</v>
      </c>
      <c r="K6836" s="396">
        <f t="shared" ref="K6836" si="3204">SUM(H6836:J6836)</f>
        <v>229.56909000000002</v>
      </c>
      <c r="L6836" s="131">
        <v>400</v>
      </c>
      <c r="M6836" s="187">
        <v>20.100000000000001</v>
      </c>
      <c r="N6836" s="199">
        <f t="shared" si="3168"/>
        <v>100.1</v>
      </c>
      <c r="O6836" s="411">
        <f t="shared" si="3173"/>
        <v>129.46909000000002</v>
      </c>
      <c r="P6836" s="132" t="s">
        <v>52</v>
      </c>
      <c r="Q6836" s="232"/>
      <c r="R6836" s="411">
        <v>19.11</v>
      </c>
      <c r="S6836" s="133" t="s">
        <v>4494</v>
      </c>
      <c r="T6836" s="134" t="s">
        <v>145</v>
      </c>
      <c r="U6836" s="267" t="s">
        <v>14561</v>
      </c>
      <c r="AA6836" s="218"/>
    </row>
    <row r="6837" spans="1:27" x14ac:dyDescent="0.25">
      <c r="A6837" s="405">
        <v>3005353</v>
      </c>
      <c r="B6837" s="406">
        <v>42677</v>
      </c>
      <c r="C6837" s="405" t="s">
        <v>42</v>
      </c>
      <c r="D6837" s="401" t="s">
        <v>7626</v>
      </c>
      <c r="E6837" s="120">
        <v>250</v>
      </c>
      <c r="F6837" s="133" t="s">
        <v>874</v>
      </c>
      <c r="G6837" s="404" t="s">
        <v>7486</v>
      </c>
      <c r="H6837" s="411">
        <v>976.64</v>
      </c>
      <c r="I6837" s="89">
        <f t="shared" si="3192"/>
        <v>-87.897599999999997</v>
      </c>
      <c r="J6837" s="361">
        <f t="shared" ref="J6837" si="3205">-((H6837*0.019)+0.3)</f>
        <v>-18.856159999999999</v>
      </c>
      <c r="K6837" s="396">
        <f t="shared" ref="K6837" si="3206">SUM(H6837:J6837)</f>
        <v>869.88623999999993</v>
      </c>
      <c r="L6837" s="131">
        <v>1795</v>
      </c>
      <c r="M6837" s="187">
        <v>176.82</v>
      </c>
      <c r="N6837" s="199">
        <f t="shared" si="3168"/>
        <v>625.56999999999994</v>
      </c>
      <c r="O6837" s="411">
        <f t="shared" si="3173"/>
        <v>244.31623999999999</v>
      </c>
      <c r="P6837" s="132" t="s">
        <v>52</v>
      </c>
      <c r="Q6837" s="232"/>
      <c r="R6837" s="411"/>
      <c r="T6837" s="134" t="s">
        <v>11100</v>
      </c>
      <c r="U6837" s="267" t="s">
        <v>14562</v>
      </c>
      <c r="V6837" s="133" t="s">
        <v>55</v>
      </c>
      <c r="AA6837" s="218"/>
    </row>
    <row r="6838" spans="1:27" ht="24" x14ac:dyDescent="0.25">
      <c r="A6838" s="405">
        <v>3005354</v>
      </c>
      <c r="B6838" s="406">
        <v>42677</v>
      </c>
      <c r="C6838" s="405" t="s">
        <v>237</v>
      </c>
      <c r="D6838" s="401" t="s">
        <v>14563</v>
      </c>
      <c r="E6838" s="120">
        <v>50</v>
      </c>
      <c r="F6838" s="133" t="s">
        <v>300</v>
      </c>
      <c r="G6838" s="404" t="s">
        <v>7486</v>
      </c>
      <c r="H6838" s="411">
        <v>168.04</v>
      </c>
      <c r="I6838" s="397">
        <f t="shared" ref="I6838" si="3207">-(H6838*0.15)</f>
        <v>-25.206</v>
      </c>
      <c r="J6838" s="258">
        <v>0</v>
      </c>
      <c r="K6838" s="90">
        <f t="shared" ref="K6838:K6843" si="3208">SUM(H6838:J6838)</f>
        <v>142.834</v>
      </c>
      <c r="L6838" s="131">
        <v>2150</v>
      </c>
      <c r="M6838" s="187">
        <v>28.89</v>
      </c>
      <c r="N6838" s="199">
        <f t="shared" si="3168"/>
        <v>136.38999999999999</v>
      </c>
      <c r="O6838" s="411">
        <f t="shared" si="3173"/>
        <v>6.4440000000000168</v>
      </c>
      <c r="P6838" s="132" t="s">
        <v>52</v>
      </c>
      <c r="Q6838" s="232"/>
      <c r="R6838" s="411"/>
      <c r="T6838" s="134" t="s">
        <v>145</v>
      </c>
      <c r="U6838" s="267" t="s">
        <v>14564</v>
      </c>
      <c r="AA6838" s="218"/>
    </row>
    <row r="6839" spans="1:27" ht="24" x14ac:dyDescent="0.25">
      <c r="A6839" s="405">
        <v>3005355</v>
      </c>
      <c r="B6839" s="406">
        <v>42677</v>
      </c>
      <c r="C6839" s="405" t="s">
        <v>237</v>
      </c>
      <c r="D6839" s="401" t="s">
        <v>14565</v>
      </c>
      <c r="E6839" s="120">
        <v>100</v>
      </c>
      <c r="F6839" s="133" t="s">
        <v>590</v>
      </c>
      <c r="G6839" s="404" t="s">
        <v>7486</v>
      </c>
      <c r="H6839" s="411">
        <v>107.91</v>
      </c>
      <c r="I6839" s="397">
        <f t="shared" ref="I6839" si="3209">-(H6839*0.15)</f>
        <v>-16.186499999999999</v>
      </c>
      <c r="J6839" s="258">
        <v>0</v>
      </c>
      <c r="K6839" s="90">
        <f t="shared" si="3208"/>
        <v>91.723500000000001</v>
      </c>
      <c r="L6839" s="131">
        <v>560</v>
      </c>
      <c r="M6839" s="187">
        <v>34.04</v>
      </c>
      <c r="N6839" s="199">
        <f t="shared" si="3168"/>
        <v>90.039999999999992</v>
      </c>
      <c r="O6839" s="411">
        <f t="shared" si="3173"/>
        <v>1.6835000000000093</v>
      </c>
      <c r="P6839" s="132" t="s">
        <v>52</v>
      </c>
      <c r="Q6839" s="232"/>
      <c r="R6839" s="411"/>
      <c r="T6839" s="134" t="s">
        <v>145</v>
      </c>
      <c r="U6839" s="267" t="s">
        <v>14566</v>
      </c>
      <c r="AA6839" s="218"/>
    </row>
    <row r="6840" spans="1:27" ht="24" x14ac:dyDescent="0.25">
      <c r="A6840" s="405">
        <v>3005356</v>
      </c>
      <c r="B6840" s="406">
        <v>42677</v>
      </c>
      <c r="C6840" s="405" t="s">
        <v>237</v>
      </c>
      <c r="D6840" s="401" t="s">
        <v>14567</v>
      </c>
      <c r="E6840" s="120">
        <v>50</v>
      </c>
      <c r="F6840" s="133" t="s">
        <v>161</v>
      </c>
      <c r="G6840" s="404" t="s">
        <v>7486</v>
      </c>
      <c r="H6840" s="411">
        <v>129.69</v>
      </c>
      <c r="I6840" s="397">
        <f t="shared" ref="I6840" si="3210">-(H6840*0.15)</f>
        <v>-19.453499999999998</v>
      </c>
      <c r="J6840" s="258">
        <v>0</v>
      </c>
      <c r="K6840" s="90">
        <f t="shared" si="3208"/>
        <v>110.23650000000001</v>
      </c>
      <c r="L6840" s="131">
        <v>1322</v>
      </c>
      <c r="M6840" s="187">
        <v>41.67</v>
      </c>
      <c r="N6840" s="199">
        <f t="shared" si="3168"/>
        <v>107.77000000000001</v>
      </c>
      <c r="O6840" s="411">
        <f t="shared" si="3173"/>
        <v>2.4664999999999964</v>
      </c>
      <c r="P6840" s="132" t="s">
        <v>52</v>
      </c>
      <c r="Q6840" s="232"/>
      <c r="R6840" s="411"/>
      <c r="T6840" s="134" t="s">
        <v>145</v>
      </c>
      <c r="U6840" s="267" t="s">
        <v>14568</v>
      </c>
      <c r="AA6840" s="218"/>
    </row>
    <row r="6841" spans="1:27" ht="24" x14ac:dyDescent="0.25">
      <c r="A6841" s="405">
        <v>3005357</v>
      </c>
      <c r="B6841" s="406">
        <v>42677</v>
      </c>
      <c r="C6841" s="405" t="s">
        <v>237</v>
      </c>
      <c r="D6841" s="401" t="s">
        <v>14569</v>
      </c>
      <c r="E6841" s="120">
        <v>100</v>
      </c>
      <c r="F6841" s="133" t="s">
        <v>341</v>
      </c>
      <c r="G6841" s="404" t="s">
        <v>7486</v>
      </c>
      <c r="H6841" s="411">
        <v>150.35</v>
      </c>
      <c r="I6841" s="397">
        <f t="shared" ref="I6841" si="3211">-(H6841*0.15)</f>
        <v>-22.552499999999998</v>
      </c>
      <c r="J6841" s="258">
        <v>0</v>
      </c>
      <c r="K6841" s="90">
        <f t="shared" si="3208"/>
        <v>127.7975</v>
      </c>
      <c r="L6841" s="131">
        <v>698</v>
      </c>
      <c r="M6841" s="187">
        <v>41.72</v>
      </c>
      <c r="N6841" s="199">
        <f t="shared" si="3168"/>
        <v>111.52</v>
      </c>
      <c r="O6841" s="411">
        <f t="shared" si="3173"/>
        <v>16.277500000000003</v>
      </c>
      <c r="P6841" s="132" t="s">
        <v>52</v>
      </c>
      <c r="Q6841" s="232"/>
      <c r="R6841" s="411"/>
      <c r="T6841" s="134" t="s">
        <v>145</v>
      </c>
      <c r="U6841" s="267" t="s">
        <v>14570</v>
      </c>
      <c r="AA6841" s="218"/>
    </row>
    <row r="6842" spans="1:27" ht="24" x14ac:dyDescent="0.25">
      <c r="A6842" s="405">
        <v>3005358</v>
      </c>
      <c r="B6842" s="406">
        <v>42677</v>
      </c>
      <c r="C6842" s="405" t="s">
        <v>237</v>
      </c>
      <c r="D6842" s="401" t="s">
        <v>14571</v>
      </c>
      <c r="E6842" s="120">
        <v>150</v>
      </c>
      <c r="F6842" s="133" t="s">
        <v>227</v>
      </c>
      <c r="G6842" s="404" t="s">
        <v>7486</v>
      </c>
      <c r="H6842" s="411">
        <v>100</v>
      </c>
      <c r="I6842" s="397">
        <f t="shared" ref="I6842" si="3212">-(H6842*0.15)</f>
        <v>-15</v>
      </c>
      <c r="J6842" s="258">
        <v>0</v>
      </c>
      <c r="K6842" s="90">
        <f t="shared" si="3208"/>
        <v>85</v>
      </c>
      <c r="L6842" s="131">
        <v>300</v>
      </c>
      <c r="M6842" s="187">
        <v>30.64</v>
      </c>
      <c r="N6842" s="199">
        <f t="shared" si="3168"/>
        <v>75.64</v>
      </c>
      <c r="O6842" s="411">
        <f t="shared" si="3173"/>
        <v>9.36</v>
      </c>
      <c r="P6842" s="132" t="s">
        <v>52</v>
      </c>
      <c r="Q6842" s="232"/>
      <c r="R6842" s="411"/>
      <c r="T6842" s="134" t="s">
        <v>145</v>
      </c>
      <c r="U6842" s="267" t="s">
        <v>14572</v>
      </c>
      <c r="AA6842" s="218"/>
    </row>
    <row r="6843" spans="1:27" ht="24" x14ac:dyDescent="0.25">
      <c r="A6843" s="405">
        <v>3005359</v>
      </c>
      <c r="B6843" s="406">
        <v>42677</v>
      </c>
      <c r="C6843" s="405" t="s">
        <v>63</v>
      </c>
      <c r="D6843" s="401" t="s">
        <v>14573</v>
      </c>
      <c r="E6843" s="120">
        <v>125</v>
      </c>
      <c r="F6843" s="133" t="s">
        <v>14574</v>
      </c>
      <c r="G6843" s="404" t="s">
        <v>7486</v>
      </c>
      <c r="H6843" s="411">
        <v>250</v>
      </c>
      <c r="I6843" s="411">
        <v>0</v>
      </c>
      <c r="J6843" s="361">
        <f>-((H6843*0.022)+0.3)</f>
        <v>-5.8</v>
      </c>
      <c r="K6843" s="90">
        <f t="shared" si="3208"/>
        <v>244.2</v>
      </c>
      <c r="L6843" s="187">
        <v>1150</v>
      </c>
      <c r="M6843" s="187">
        <f>50+25+34.5</f>
        <v>109.5</v>
      </c>
      <c r="N6843" s="199">
        <f t="shared" si="3168"/>
        <v>253.25</v>
      </c>
      <c r="O6843" s="411">
        <f t="shared" si="3173"/>
        <v>-9.0500000000000114</v>
      </c>
      <c r="P6843" s="132" t="s">
        <v>46</v>
      </c>
      <c r="Q6843" s="232"/>
      <c r="R6843" s="411"/>
      <c r="T6843" s="134" t="s">
        <v>145</v>
      </c>
      <c r="U6843" s="267" t="s">
        <v>14575</v>
      </c>
      <c r="V6843" s="133" t="s">
        <v>13347</v>
      </c>
      <c r="W6843" s="153" t="s">
        <v>14576</v>
      </c>
      <c r="AA6843" s="218"/>
    </row>
    <row r="6844" spans="1:27" ht="24" x14ac:dyDescent="0.25">
      <c r="A6844" s="405">
        <v>3005360</v>
      </c>
      <c r="B6844" s="406">
        <v>42677</v>
      </c>
      <c r="C6844" s="405" t="s">
        <v>42</v>
      </c>
      <c r="D6844" s="401" t="s">
        <v>14577</v>
      </c>
      <c r="E6844" s="120">
        <v>250</v>
      </c>
      <c r="F6844" s="133" t="s">
        <v>451</v>
      </c>
      <c r="G6844" s="404" t="s">
        <v>7486</v>
      </c>
      <c r="H6844" s="411">
        <v>168.27</v>
      </c>
      <c r="I6844" s="89">
        <f>-(H6844*0.09)</f>
        <v>-15.144300000000001</v>
      </c>
      <c r="J6844" s="361">
        <f t="shared" ref="J6844" si="3213">-((H6844*0.019)+0.3)</f>
        <v>-3.4971299999999998</v>
      </c>
      <c r="K6844" s="396">
        <f t="shared" ref="K6844" si="3214">SUM(H6844:J6844)</f>
        <v>149.62857</v>
      </c>
      <c r="L6844" s="131">
        <v>300</v>
      </c>
      <c r="M6844" s="187">
        <v>13.89</v>
      </c>
      <c r="N6844" s="199">
        <f t="shared" si="3168"/>
        <v>88.89</v>
      </c>
      <c r="O6844" s="411">
        <f t="shared" si="3173"/>
        <v>60.738569999999996</v>
      </c>
      <c r="P6844" s="132" t="s">
        <v>52</v>
      </c>
      <c r="Q6844" s="232"/>
      <c r="R6844" s="411"/>
      <c r="T6844" s="134" t="s">
        <v>145</v>
      </c>
      <c r="U6844" s="267" t="s">
        <v>14578</v>
      </c>
      <c r="AA6844" s="218"/>
    </row>
    <row r="6845" spans="1:27" ht="24" x14ac:dyDescent="0.25">
      <c r="A6845" s="405">
        <v>3005361</v>
      </c>
      <c r="B6845" s="406">
        <v>42677</v>
      </c>
      <c r="C6845" s="405" t="s">
        <v>63</v>
      </c>
      <c r="D6845" s="401" t="s">
        <v>14579</v>
      </c>
      <c r="E6845" s="120">
        <v>100</v>
      </c>
      <c r="F6845" s="133" t="s">
        <v>14580</v>
      </c>
      <c r="G6845" s="404" t="s">
        <v>7486</v>
      </c>
      <c r="H6845" s="411">
        <v>95</v>
      </c>
      <c r="I6845" s="411">
        <v>0</v>
      </c>
      <c r="J6845" s="361">
        <f>-((H6845*0.022)+0.3)</f>
        <v>-2.3899999999999997</v>
      </c>
      <c r="K6845" s="90">
        <f t="shared" ref="K6845:K6850" si="3215">SUM(H6845:J6845)</f>
        <v>92.61</v>
      </c>
      <c r="L6845" s="131">
        <v>120</v>
      </c>
      <c r="M6845" s="187">
        <v>21.52</v>
      </c>
      <c r="N6845" s="199">
        <f t="shared" si="3168"/>
        <v>33.519999999999996</v>
      </c>
      <c r="O6845" s="411">
        <f t="shared" si="3173"/>
        <v>59.09</v>
      </c>
      <c r="P6845" s="132" t="s">
        <v>52</v>
      </c>
      <c r="Q6845" s="232"/>
      <c r="R6845" s="411"/>
      <c r="T6845" s="134" t="s">
        <v>145</v>
      </c>
      <c r="U6845" s="267" t="s">
        <v>14581</v>
      </c>
      <c r="W6845" s="153" t="s">
        <v>14582</v>
      </c>
      <c r="AA6845" s="218"/>
    </row>
    <row r="6846" spans="1:27" ht="24" x14ac:dyDescent="0.25">
      <c r="A6846" s="405">
        <v>3005362</v>
      </c>
      <c r="B6846" s="406">
        <v>42677</v>
      </c>
      <c r="C6846" s="405" t="s">
        <v>63</v>
      </c>
      <c r="D6846" s="401" t="s">
        <v>14583</v>
      </c>
      <c r="E6846" s="120">
        <v>100</v>
      </c>
      <c r="F6846" s="133" t="s">
        <v>829</v>
      </c>
      <c r="G6846" s="404" t="s">
        <v>7486</v>
      </c>
      <c r="H6846" s="411">
        <v>110</v>
      </c>
      <c r="I6846" s="411">
        <v>0</v>
      </c>
      <c r="J6846" s="361">
        <f>-((H6846*0.022)+0.3)</f>
        <v>-2.7199999999999998</v>
      </c>
      <c r="K6846" s="90">
        <f t="shared" si="3215"/>
        <v>107.28</v>
      </c>
      <c r="L6846" s="131">
        <v>510</v>
      </c>
      <c r="M6846" s="187">
        <v>19.53</v>
      </c>
      <c r="N6846" s="199">
        <f t="shared" si="3168"/>
        <v>70.53</v>
      </c>
      <c r="O6846" s="411">
        <f t="shared" si="3173"/>
        <v>36.75</v>
      </c>
      <c r="P6846" s="132" t="s">
        <v>52</v>
      </c>
      <c r="Q6846" s="232"/>
      <c r="R6846" s="411"/>
      <c r="S6846" s="246"/>
      <c r="T6846" s="134" t="s">
        <v>145</v>
      </c>
      <c r="U6846" s="267" t="s">
        <v>14584</v>
      </c>
      <c r="W6846" s="153" t="s">
        <v>14585</v>
      </c>
      <c r="AA6846" s="218"/>
    </row>
    <row r="6847" spans="1:27" ht="24" x14ac:dyDescent="0.25">
      <c r="A6847" s="405">
        <v>3005363</v>
      </c>
      <c r="B6847" s="406">
        <v>42677</v>
      </c>
      <c r="C6847" s="405" t="s">
        <v>237</v>
      </c>
      <c r="D6847" s="401" t="s">
        <v>14586</v>
      </c>
      <c r="E6847" s="120">
        <v>250</v>
      </c>
      <c r="F6847" s="133" t="s">
        <v>173</v>
      </c>
      <c r="G6847" s="404" t="s">
        <v>7486</v>
      </c>
      <c r="H6847" s="411">
        <v>202.73</v>
      </c>
      <c r="I6847" s="397">
        <f t="shared" ref="I6847" si="3216">-(H6847*0.15)</f>
        <v>-30.409499999999998</v>
      </c>
      <c r="J6847" s="258">
        <v>0</v>
      </c>
      <c r="K6847" s="90">
        <f t="shared" si="3215"/>
        <v>172.32049999999998</v>
      </c>
      <c r="L6847" s="131">
        <v>409</v>
      </c>
      <c r="M6847" s="187">
        <v>47.42</v>
      </c>
      <c r="N6847" s="199">
        <f t="shared" ref="N6847:N6855" si="3217">((L6847)*(E6847*0.001))+M6847</f>
        <v>149.67000000000002</v>
      </c>
      <c r="O6847" s="411">
        <f t="shared" si="3173"/>
        <v>22.650499999999965</v>
      </c>
      <c r="P6847" s="132" t="s">
        <v>52</v>
      </c>
      <c r="Q6847" s="232"/>
      <c r="R6847" s="411"/>
      <c r="T6847" s="134" t="s">
        <v>145</v>
      </c>
      <c r="U6847" s="267" t="s">
        <v>14587</v>
      </c>
      <c r="AA6847" s="218"/>
    </row>
    <row r="6848" spans="1:27" ht="24" x14ac:dyDescent="0.25">
      <c r="A6848" s="405">
        <v>3005364</v>
      </c>
      <c r="B6848" s="406">
        <v>42677</v>
      </c>
      <c r="C6848" s="405" t="s">
        <v>237</v>
      </c>
      <c r="D6848" s="401" t="s">
        <v>14588</v>
      </c>
      <c r="E6848" s="120">
        <v>200</v>
      </c>
      <c r="F6848" s="133" t="s">
        <v>175</v>
      </c>
      <c r="G6848" s="404" t="s">
        <v>7486</v>
      </c>
      <c r="H6848" s="411">
        <v>118.39</v>
      </c>
      <c r="I6848" s="397">
        <f t="shared" ref="I6848" si="3218">-(H6848*0.15)</f>
        <v>-17.758499999999998</v>
      </c>
      <c r="J6848" s="258">
        <v>0</v>
      </c>
      <c r="K6848" s="90">
        <f t="shared" si="3215"/>
        <v>100.6315</v>
      </c>
      <c r="L6848" s="131">
        <v>250</v>
      </c>
      <c r="M6848" s="187">
        <v>22.16</v>
      </c>
      <c r="N6848" s="199">
        <f t="shared" si="3217"/>
        <v>72.16</v>
      </c>
      <c r="O6848" s="411">
        <f t="shared" si="3173"/>
        <v>28.471500000000006</v>
      </c>
      <c r="P6848" s="132" t="s">
        <v>52</v>
      </c>
      <c r="Q6848" s="232"/>
      <c r="R6848" s="411"/>
      <c r="T6848" s="134" t="s">
        <v>145</v>
      </c>
      <c r="U6848" s="267" t="s">
        <v>14589</v>
      </c>
      <c r="AA6848" s="218"/>
    </row>
    <row r="6849" spans="1:27" ht="24" x14ac:dyDescent="0.25">
      <c r="A6849" s="405">
        <v>3005365</v>
      </c>
      <c r="B6849" s="406">
        <v>42677</v>
      </c>
      <c r="C6849" s="405" t="s">
        <v>237</v>
      </c>
      <c r="D6849" s="401" t="s">
        <v>14590</v>
      </c>
      <c r="E6849" s="120">
        <v>250</v>
      </c>
      <c r="F6849" s="133" t="s">
        <v>2238</v>
      </c>
      <c r="G6849" s="404" t="s">
        <v>7486</v>
      </c>
      <c r="H6849" s="411">
        <v>115.59</v>
      </c>
      <c r="I6849" s="397">
        <f t="shared" ref="I6849" si="3219">-(H6849*0.15)</f>
        <v>-17.3385</v>
      </c>
      <c r="J6849" s="258">
        <v>0</v>
      </c>
      <c r="K6849" s="90">
        <f t="shared" si="3215"/>
        <v>98.251500000000007</v>
      </c>
      <c r="L6849" s="131">
        <v>200</v>
      </c>
      <c r="M6849" s="187">
        <v>20.37</v>
      </c>
      <c r="N6849" s="199">
        <f t="shared" si="3217"/>
        <v>70.37</v>
      </c>
      <c r="O6849" s="411">
        <f t="shared" si="3173"/>
        <v>27.881500000000003</v>
      </c>
      <c r="P6849" s="132" t="s">
        <v>52</v>
      </c>
      <c r="Q6849" s="232"/>
      <c r="R6849" s="411"/>
      <c r="T6849" s="134" t="s">
        <v>145</v>
      </c>
      <c r="U6849" s="267" t="s">
        <v>14591</v>
      </c>
      <c r="AA6849" s="218"/>
    </row>
    <row r="6850" spans="1:27" x14ac:dyDescent="0.25">
      <c r="A6850" s="419">
        <v>3005366</v>
      </c>
      <c r="B6850" s="421">
        <v>42677</v>
      </c>
      <c r="C6850" s="419" t="s">
        <v>56</v>
      </c>
      <c r="D6850" s="417" t="s">
        <v>14592</v>
      </c>
      <c r="E6850" s="120">
        <v>812</v>
      </c>
      <c r="F6850" s="133" t="s">
        <v>605</v>
      </c>
      <c r="G6850" s="460" t="s">
        <v>7486</v>
      </c>
      <c r="H6850" s="427">
        <v>1063.5</v>
      </c>
      <c r="I6850" s="427">
        <v>0</v>
      </c>
      <c r="J6850" s="427">
        <v>0</v>
      </c>
      <c r="K6850" s="425">
        <f t="shared" si="3215"/>
        <v>1063.5</v>
      </c>
      <c r="L6850" s="131">
        <v>480</v>
      </c>
      <c r="M6850" s="468">
        <v>120.09</v>
      </c>
      <c r="N6850" s="199">
        <f t="shared" si="3217"/>
        <v>509.85</v>
      </c>
      <c r="O6850" s="411">
        <f t="shared" si="3173"/>
        <v>553.65</v>
      </c>
      <c r="P6850" s="132" t="s">
        <v>86</v>
      </c>
      <c r="Q6850" s="232"/>
      <c r="R6850" s="411"/>
      <c r="T6850" s="439" t="s">
        <v>12646</v>
      </c>
      <c r="U6850" s="446" t="s">
        <v>14593</v>
      </c>
      <c r="V6850" s="133" t="s">
        <v>14490</v>
      </c>
      <c r="AA6850" s="218"/>
    </row>
    <row r="6851" spans="1:27" x14ac:dyDescent="0.25">
      <c r="A6851" s="420"/>
      <c r="B6851" s="422"/>
      <c r="C6851" s="420"/>
      <c r="D6851" s="418"/>
      <c r="E6851" s="120">
        <v>250</v>
      </c>
      <c r="F6851" s="133" t="s">
        <v>161</v>
      </c>
      <c r="G6851" s="462"/>
      <c r="H6851" s="428"/>
      <c r="I6851" s="428"/>
      <c r="J6851" s="428"/>
      <c r="K6851" s="426"/>
      <c r="L6851" s="131">
        <v>1322</v>
      </c>
      <c r="M6851" s="469"/>
      <c r="N6851" s="199">
        <f t="shared" si="3217"/>
        <v>330.5</v>
      </c>
      <c r="O6851" s="411">
        <f t="shared" si="3173"/>
        <v>-330.5</v>
      </c>
      <c r="P6851" s="132" t="s">
        <v>86</v>
      </c>
      <c r="Q6851" s="232"/>
      <c r="R6851" s="411"/>
      <c r="T6851" s="441"/>
      <c r="U6851" s="447"/>
      <c r="AA6851" s="218"/>
    </row>
    <row r="6852" spans="1:27" x14ac:dyDescent="0.25">
      <c r="A6852" s="405">
        <v>3005367</v>
      </c>
      <c r="B6852" s="406">
        <v>42677</v>
      </c>
      <c r="C6852" s="405" t="s">
        <v>63</v>
      </c>
      <c r="D6852" s="401" t="s">
        <v>14594</v>
      </c>
      <c r="E6852" s="120">
        <v>160</v>
      </c>
      <c r="F6852" s="133" t="s">
        <v>14595</v>
      </c>
      <c r="G6852" s="404" t="s">
        <v>7486</v>
      </c>
      <c r="H6852" s="411">
        <v>1331.2</v>
      </c>
      <c r="I6852" s="411">
        <v>0</v>
      </c>
      <c r="J6852" s="361">
        <f>-((H6852*0.022)+0.3)</f>
        <v>-29.586400000000001</v>
      </c>
      <c r="K6852" s="90">
        <f t="shared" ref="K6852:K6862" si="3220">SUM(H6852:J6852)</f>
        <v>1301.6136000000001</v>
      </c>
      <c r="L6852" s="187">
        <v>6658</v>
      </c>
      <c r="M6852" s="187">
        <f>30+145.04</f>
        <v>175.04</v>
      </c>
      <c r="N6852" s="199">
        <f t="shared" si="3217"/>
        <v>1240.32</v>
      </c>
      <c r="O6852" s="411">
        <f t="shared" ref="O6852:O6915" si="3221">K6852-N6852</f>
        <v>61.293600000000197</v>
      </c>
      <c r="P6852" s="132" t="s">
        <v>330</v>
      </c>
      <c r="Q6852" s="232"/>
      <c r="R6852" s="411"/>
      <c r="T6852" s="134" t="s">
        <v>314</v>
      </c>
      <c r="U6852" s="267" t="s">
        <v>14596</v>
      </c>
      <c r="V6852" s="133" t="s">
        <v>14597</v>
      </c>
      <c r="W6852" s="153" t="s">
        <v>14598</v>
      </c>
      <c r="AA6852" s="218">
        <v>10</v>
      </c>
    </row>
    <row r="6853" spans="1:27" x14ac:dyDescent="0.25">
      <c r="A6853" s="405">
        <v>3005368</v>
      </c>
      <c r="B6853" s="406">
        <v>42677</v>
      </c>
      <c r="C6853" s="405" t="s">
        <v>141</v>
      </c>
      <c r="D6853" s="401" t="s">
        <v>14599</v>
      </c>
      <c r="E6853" s="120">
        <v>1400</v>
      </c>
      <c r="F6853" s="133" t="s">
        <v>51</v>
      </c>
      <c r="G6853" s="404" t="s">
        <v>45</v>
      </c>
      <c r="H6853" s="411">
        <v>2380</v>
      </c>
      <c r="I6853" s="411">
        <v>0</v>
      </c>
      <c r="J6853" s="361">
        <f>-((H6853*0.0325)+0.3)</f>
        <v>-77.650000000000006</v>
      </c>
      <c r="K6853" s="90">
        <f t="shared" si="3220"/>
        <v>2302.35</v>
      </c>
      <c r="L6853" s="131">
        <v>1110</v>
      </c>
      <c r="M6853" s="177">
        <v>286.29000000000002</v>
      </c>
      <c r="N6853" s="199">
        <f t="shared" si="3217"/>
        <v>1840.2900000000002</v>
      </c>
      <c r="O6853" s="411">
        <f t="shared" si="3221"/>
        <v>462.05999999999972</v>
      </c>
      <c r="P6853" s="132" t="s">
        <v>14093</v>
      </c>
      <c r="Q6853" s="232"/>
      <c r="R6853" s="411"/>
      <c r="T6853" s="134" t="s">
        <v>364</v>
      </c>
      <c r="U6853" s="267" t="s">
        <v>14600</v>
      </c>
      <c r="W6853" s="153" t="s">
        <v>14601</v>
      </c>
      <c r="AA6853" s="218">
        <v>10</v>
      </c>
    </row>
    <row r="6854" spans="1:27" x14ac:dyDescent="0.25">
      <c r="A6854" s="405">
        <v>3005369</v>
      </c>
      <c r="B6854" s="406">
        <v>42677</v>
      </c>
      <c r="C6854" s="405" t="s">
        <v>141</v>
      </c>
      <c r="D6854" s="401" t="s">
        <v>7484</v>
      </c>
      <c r="E6854" s="120">
        <v>500</v>
      </c>
      <c r="F6854" s="133" t="s">
        <v>14602</v>
      </c>
      <c r="G6854" s="404" t="s">
        <v>7486</v>
      </c>
      <c r="H6854" s="411">
        <v>380</v>
      </c>
      <c r="I6854" s="411">
        <v>0</v>
      </c>
      <c r="J6854" s="361">
        <f>-((H6854*0.0325)+0.3)</f>
        <v>-12.65</v>
      </c>
      <c r="K6854" s="90">
        <f t="shared" si="3220"/>
        <v>367.35</v>
      </c>
      <c r="L6854" s="187">
        <v>507.15</v>
      </c>
      <c r="M6854" s="224">
        <v>91.05</v>
      </c>
      <c r="N6854" s="199">
        <f t="shared" si="3217"/>
        <v>344.625</v>
      </c>
      <c r="O6854" s="411">
        <f t="shared" si="3221"/>
        <v>22.725000000000023</v>
      </c>
      <c r="P6854" s="132" t="s">
        <v>926</v>
      </c>
      <c r="Q6854" s="232"/>
      <c r="R6854" s="411"/>
      <c r="T6854" s="134" t="s">
        <v>314</v>
      </c>
      <c r="U6854" s="267" t="s">
        <v>14603</v>
      </c>
      <c r="W6854" s="153" t="s">
        <v>7488</v>
      </c>
      <c r="AA6854" s="218"/>
    </row>
    <row r="6855" spans="1:27" ht="24" x14ac:dyDescent="0.25">
      <c r="A6855" s="405">
        <v>3005370</v>
      </c>
      <c r="B6855" s="406">
        <v>42677</v>
      </c>
      <c r="C6855" s="405" t="s">
        <v>78</v>
      </c>
      <c r="D6855" s="401" t="s">
        <v>14604</v>
      </c>
      <c r="E6855" s="120">
        <v>300</v>
      </c>
      <c r="F6855" s="133" t="s">
        <v>939</v>
      </c>
      <c r="G6855" s="404" t="s">
        <v>7486</v>
      </c>
      <c r="H6855" s="411">
        <v>298</v>
      </c>
      <c r="I6855" s="411">
        <v>0</v>
      </c>
      <c r="J6855" s="361">
        <f t="shared" ref="J6855" si="3222">-((H6855*0.019)+0.3)</f>
        <v>-5.9619999999999997</v>
      </c>
      <c r="K6855" s="90">
        <f t="shared" si="3220"/>
        <v>292.03800000000001</v>
      </c>
      <c r="L6855" s="131">
        <v>431</v>
      </c>
      <c r="M6855" s="187">
        <v>40.549999999999997</v>
      </c>
      <c r="N6855" s="199">
        <f t="shared" si="3217"/>
        <v>169.84999999999997</v>
      </c>
      <c r="O6855" s="411">
        <f t="shared" si="3221"/>
        <v>122.18800000000005</v>
      </c>
      <c r="P6855" s="132" t="s">
        <v>52</v>
      </c>
      <c r="Q6855" s="232"/>
      <c r="R6855" s="411"/>
      <c r="T6855" s="134" t="s">
        <v>145</v>
      </c>
      <c r="U6855" s="267" t="s">
        <v>14605</v>
      </c>
      <c r="W6855" s="153" t="s">
        <v>14606</v>
      </c>
      <c r="AA6855" s="218"/>
    </row>
    <row r="6856" spans="1:27" ht="24" x14ac:dyDescent="0.25">
      <c r="A6856" s="405">
        <v>3005371</v>
      </c>
      <c r="B6856" s="406">
        <v>42677</v>
      </c>
      <c r="C6856" s="405" t="s">
        <v>56</v>
      </c>
      <c r="D6856" s="401" t="s">
        <v>14288</v>
      </c>
      <c r="E6856" s="120">
        <v>300</v>
      </c>
      <c r="F6856" s="133" t="s">
        <v>14292</v>
      </c>
      <c r="G6856" s="242" t="s">
        <v>7486</v>
      </c>
      <c r="H6856" s="411">
        <v>844.32</v>
      </c>
      <c r="I6856" s="411">
        <v>0</v>
      </c>
      <c r="J6856" s="411">
        <v>0</v>
      </c>
      <c r="K6856" s="90">
        <f t="shared" si="3220"/>
        <v>844.32</v>
      </c>
      <c r="L6856" s="187">
        <v>420</v>
      </c>
      <c r="M6856" s="187">
        <v>143.56</v>
      </c>
      <c r="N6856" s="199">
        <f t="shared" ref="N6856:N6919" si="3223">((L6856)*(E6856*0.001))+M6856</f>
        <v>269.56</v>
      </c>
      <c r="O6856" s="411">
        <f t="shared" si="3221"/>
        <v>574.76</v>
      </c>
      <c r="P6856" s="132" t="s">
        <v>183</v>
      </c>
      <c r="Q6856" s="232"/>
      <c r="R6856" s="411"/>
      <c r="T6856" s="134" t="s">
        <v>473</v>
      </c>
      <c r="U6856" s="267" t="s">
        <v>14607</v>
      </c>
      <c r="V6856" s="133" t="s">
        <v>14490</v>
      </c>
      <c r="W6856" s="153" t="s">
        <v>14291</v>
      </c>
      <c r="AA6856" s="218"/>
    </row>
    <row r="6857" spans="1:27" ht="24" x14ac:dyDescent="0.25">
      <c r="A6857" s="405">
        <v>3005372</v>
      </c>
      <c r="B6857" s="406">
        <v>42677</v>
      </c>
      <c r="C6857" s="405" t="s">
        <v>56</v>
      </c>
      <c r="D6857" s="401" t="s">
        <v>14288</v>
      </c>
      <c r="E6857" s="120">
        <v>300</v>
      </c>
      <c r="F6857" s="133" t="s">
        <v>14292</v>
      </c>
      <c r="G6857" s="242" t="s">
        <v>7486</v>
      </c>
      <c r="H6857" s="411">
        <v>844.32</v>
      </c>
      <c r="I6857" s="411">
        <v>0</v>
      </c>
      <c r="J6857" s="411">
        <v>0</v>
      </c>
      <c r="K6857" s="90">
        <f t="shared" si="3220"/>
        <v>844.32</v>
      </c>
      <c r="L6857" s="187">
        <v>420</v>
      </c>
      <c r="M6857" s="187">
        <v>131.83000000000001</v>
      </c>
      <c r="N6857" s="199">
        <f t="shared" si="3223"/>
        <v>257.83000000000004</v>
      </c>
      <c r="O6857" s="411">
        <f t="shared" si="3221"/>
        <v>586.49</v>
      </c>
      <c r="P6857" s="132" t="s">
        <v>183</v>
      </c>
      <c r="Q6857" s="232"/>
      <c r="R6857" s="411"/>
      <c r="T6857" s="134" t="s">
        <v>473</v>
      </c>
      <c r="U6857" s="267" t="s">
        <v>14608</v>
      </c>
      <c r="V6857" s="133" t="s">
        <v>14490</v>
      </c>
      <c r="W6857" s="153" t="s">
        <v>14291</v>
      </c>
      <c r="AA6857" s="218"/>
    </row>
    <row r="6858" spans="1:27" ht="24" x14ac:dyDescent="0.25">
      <c r="A6858" s="405">
        <v>3005373</v>
      </c>
      <c r="B6858" s="406">
        <v>42677</v>
      </c>
      <c r="C6858" s="405" t="s">
        <v>56</v>
      </c>
      <c r="D6858" s="401" t="s">
        <v>14288</v>
      </c>
      <c r="E6858" s="120">
        <v>300</v>
      </c>
      <c r="F6858" s="133" t="s">
        <v>14292</v>
      </c>
      <c r="G6858" s="242" t="s">
        <v>7486</v>
      </c>
      <c r="H6858" s="411">
        <v>844.32</v>
      </c>
      <c r="I6858" s="411">
        <v>0</v>
      </c>
      <c r="J6858" s="411">
        <v>0</v>
      </c>
      <c r="K6858" s="90">
        <f t="shared" si="3220"/>
        <v>844.32</v>
      </c>
      <c r="L6858" s="187">
        <v>420</v>
      </c>
      <c r="M6858" s="187">
        <v>146.06</v>
      </c>
      <c r="N6858" s="199">
        <f t="shared" si="3223"/>
        <v>272.06</v>
      </c>
      <c r="O6858" s="411">
        <f t="shared" si="3221"/>
        <v>572.26</v>
      </c>
      <c r="P6858" s="132" t="s">
        <v>183</v>
      </c>
      <c r="Q6858" s="232"/>
      <c r="R6858" s="411"/>
      <c r="T6858" s="134" t="s">
        <v>473</v>
      </c>
      <c r="U6858" s="267" t="s">
        <v>14609</v>
      </c>
      <c r="V6858" s="133" t="s">
        <v>14490</v>
      </c>
      <c r="W6858" s="153" t="s">
        <v>14291</v>
      </c>
      <c r="AA6858" s="218"/>
    </row>
    <row r="6859" spans="1:27" ht="24" x14ac:dyDescent="0.25">
      <c r="A6859" s="405">
        <v>3005374</v>
      </c>
      <c r="B6859" s="406">
        <v>42677</v>
      </c>
      <c r="C6859" s="405" t="s">
        <v>56</v>
      </c>
      <c r="D6859" s="401" t="s">
        <v>14288</v>
      </c>
      <c r="E6859" s="120">
        <v>300</v>
      </c>
      <c r="F6859" s="133" t="s">
        <v>14292</v>
      </c>
      <c r="G6859" s="242" t="s">
        <v>7486</v>
      </c>
      <c r="H6859" s="411">
        <v>844.32</v>
      </c>
      <c r="I6859" s="411">
        <v>0</v>
      </c>
      <c r="J6859" s="411">
        <v>0</v>
      </c>
      <c r="K6859" s="90">
        <f t="shared" si="3220"/>
        <v>844.32</v>
      </c>
      <c r="L6859" s="187">
        <v>420</v>
      </c>
      <c r="M6859" s="187">
        <v>146.06</v>
      </c>
      <c r="N6859" s="199">
        <f t="shared" si="3223"/>
        <v>272.06</v>
      </c>
      <c r="O6859" s="411">
        <f t="shared" si="3221"/>
        <v>572.26</v>
      </c>
      <c r="P6859" s="132" t="s">
        <v>183</v>
      </c>
      <c r="Q6859" s="232"/>
      <c r="R6859" s="411"/>
      <c r="T6859" s="134" t="s">
        <v>473</v>
      </c>
      <c r="U6859" s="267" t="s">
        <v>14610</v>
      </c>
      <c r="V6859" s="133" t="s">
        <v>14490</v>
      </c>
      <c r="W6859" s="153" t="s">
        <v>14291</v>
      </c>
      <c r="AA6859" s="218"/>
    </row>
    <row r="6860" spans="1:27" ht="24" x14ac:dyDescent="0.25">
      <c r="A6860" s="405">
        <v>3005375</v>
      </c>
      <c r="B6860" s="406">
        <v>3</v>
      </c>
      <c r="C6860" s="405" t="s">
        <v>56</v>
      </c>
      <c r="D6860" s="401" t="s">
        <v>14288</v>
      </c>
      <c r="E6860" s="120">
        <v>300</v>
      </c>
      <c r="F6860" s="133" t="s">
        <v>14292</v>
      </c>
      <c r="G6860" s="242" t="s">
        <v>7486</v>
      </c>
      <c r="H6860" s="411">
        <v>844.32</v>
      </c>
      <c r="I6860" s="411">
        <v>0</v>
      </c>
      <c r="J6860" s="411">
        <v>0</v>
      </c>
      <c r="K6860" s="90">
        <f t="shared" si="3220"/>
        <v>844.32</v>
      </c>
      <c r="L6860" s="187">
        <v>420</v>
      </c>
      <c r="M6860" s="187">
        <v>146.06</v>
      </c>
      <c r="N6860" s="199">
        <f t="shared" si="3223"/>
        <v>272.06</v>
      </c>
      <c r="O6860" s="411">
        <f t="shared" si="3221"/>
        <v>572.26</v>
      </c>
      <c r="P6860" s="132" t="s">
        <v>183</v>
      </c>
      <c r="Q6860" s="232"/>
      <c r="R6860" s="411"/>
      <c r="T6860" s="134" t="s">
        <v>473</v>
      </c>
      <c r="U6860" s="267" t="s">
        <v>14611</v>
      </c>
      <c r="V6860" s="133" t="s">
        <v>14490</v>
      </c>
      <c r="W6860" s="153" t="s">
        <v>14291</v>
      </c>
      <c r="AA6860" s="218"/>
    </row>
    <row r="6861" spans="1:27" ht="24" x14ac:dyDescent="0.25">
      <c r="A6861" s="405">
        <v>3005376</v>
      </c>
      <c r="B6861" s="406">
        <v>42677</v>
      </c>
      <c r="C6861" s="405" t="s">
        <v>56</v>
      </c>
      <c r="D6861" s="401" t="s">
        <v>14288</v>
      </c>
      <c r="E6861" s="120">
        <v>300</v>
      </c>
      <c r="F6861" s="133" t="s">
        <v>14612</v>
      </c>
      <c r="G6861" s="242" t="s">
        <v>7486</v>
      </c>
      <c r="H6861" s="411">
        <v>1572</v>
      </c>
      <c r="I6861" s="411">
        <v>0</v>
      </c>
      <c r="J6861" s="411">
        <v>0</v>
      </c>
      <c r="K6861" s="90">
        <f t="shared" si="3220"/>
        <v>1572</v>
      </c>
      <c r="L6861" s="187">
        <v>770</v>
      </c>
      <c r="M6861" s="187">
        <v>259.39999999999998</v>
      </c>
      <c r="N6861" s="199">
        <f t="shared" si="3223"/>
        <v>490.4</v>
      </c>
      <c r="O6861" s="411">
        <f t="shared" si="3221"/>
        <v>1081.5999999999999</v>
      </c>
      <c r="P6861" s="132" t="s">
        <v>183</v>
      </c>
      <c r="Q6861" s="232"/>
      <c r="R6861" s="411"/>
      <c r="T6861" s="134" t="s">
        <v>473</v>
      </c>
      <c r="U6861" s="267" t="s">
        <v>14613</v>
      </c>
      <c r="V6861" s="133" t="s">
        <v>14490</v>
      </c>
      <c r="W6861" s="153" t="s">
        <v>14291</v>
      </c>
      <c r="AA6861" s="218"/>
    </row>
    <row r="6862" spans="1:27" ht="24" x14ac:dyDescent="0.25">
      <c r="A6862" s="405">
        <v>3005377</v>
      </c>
      <c r="B6862" s="406">
        <v>42677</v>
      </c>
      <c r="C6862" s="405" t="s">
        <v>63</v>
      </c>
      <c r="D6862" s="401" t="s">
        <v>14614</v>
      </c>
      <c r="E6862" s="120">
        <v>225</v>
      </c>
      <c r="F6862" s="133" t="s">
        <v>605</v>
      </c>
      <c r="G6862" s="404" t="s">
        <v>7486</v>
      </c>
      <c r="H6862" s="411">
        <v>213.26</v>
      </c>
      <c r="I6862" s="411">
        <v>0</v>
      </c>
      <c r="J6862" s="361">
        <f>-((H6862*0.022)+0.3)</f>
        <v>-4.991719999999999</v>
      </c>
      <c r="K6862" s="90">
        <f t="shared" si="3220"/>
        <v>208.26828</v>
      </c>
      <c r="L6862" s="131">
        <v>480</v>
      </c>
      <c r="M6862" s="187">
        <v>61.85</v>
      </c>
      <c r="N6862" s="199">
        <f t="shared" si="3223"/>
        <v>169.85</v>
      </c>
      <c r="O6862" s="411">
        <f t="shared" si="3221"/>
        <v>38.41828000000001</v>
      </c>
      <c r="P6862" s="132" t="s">
        <v>86</v>
      </c>
      <c r="Q6862" s="232"/>
      <c r="R6862" s="411"/>
      <c r="T6862" s="134" t="s">
        <v>145</v>
      </c>
      <c r="U6862" s="267" t="s">
        <v>14615</v>
      </c>
      <c r="W6862" s="153" t="s">
        <v>14616</v>
      </c>
      <c r="AA6862" s="218"/>
    </row>
    <row r="6863" spans="1:27" ht="24" x14ac:dyDescent="0.25">
      <c r="A6863" s="405">
        <v>3005378</v>
      </c>
      <c r="B6863" s="406">
        <v>42678</v>
      </c>
      <c r="C6863" s="405" t="s">
        <v>42</v>
      </c>
      <c r="D6863" s="401" t="s">
        <v>14617</v>
      </c>
      <c r="E6863" s="120">
        <v>77</v>
      </c>
      <c r="F6863" s="133" t="s">
        <v>222</v>
      </c>
      <c r="G6863" s="404" t="s">
        <v>7486</v>
      </c>
      <c r="H6863" s="411">
        <v>125.19</v>
      </c>
      <c r="I6863" s="89">
        <f t="shared" ref="I6863:I6871" si="3224">-(H6863*0.09)</f>
        <v>-11.267099999999999</v>
      </c>
      <c r="J6863" s="361">
        <f t="shared" ref="J6863" si="3225">-((H6863*0.019)+0.3)</f>
        <v>-2.6786099999999999</v>
      </c>
      <c r="K6863" s="396">
        <f t="shared" ref="K6863" si="3226">SUM(H6863:J6863)</f>
        <v>111.24428999999999</v>
      </c>
      <c r="L6863" s="131">
        <v>670</v>
      </c>
      <c r="M6863" s="187">
        <v>50.88</v>
      </c>
      <c r="N6863" s="199">
        <f t="shared" si="3223"/>
        <v>102.47</v>
      </c>
      <c r="O6863" s="411">
        <f t="shared" si="3221"/>
        <v>8.7742899999999935</v>
      </c>
      <c r="P6863" s="132" t="s">
        <v>86</v>
      </c>
      <c r="Q6863" s="232"/>
      <c r="R6863" s="411"/>
      <c r="T6863" s="134" t="s">
        <v>145</v>
      </c>
      <c r="U6863" s="267" t="s">
        <v>14618</v>
      </c>
      <c r="AA6863" s="218"/>
    </row>
    <row r="6864" spans="1:27" ht="24" x14ac:dyDescent="0.25">
      <c r="A6864" s="405">
        <v>3005379</v>
      </c>
      <c r="B6864" s="406">
        <v>42678</v>
      </c>
      <c r="C6864" s="405" t="s">
        <v>42</v>
      </c>
      <c r="D6864" s="401" t="s">
        <v>14619</v>
      </c>
      <c r="E6864" s="120">
        <v>250</v>
      </c>
      <c r="F6864" s="133" t="s">
        <v>14620</v>
      </c>
      <c r="G6864" s="404" t="s">
        <v>7486</v>
      </c>
      <c r="H6864" s="411">
        <v>394.25</v>
      </c>
      <c r="I6864" s="89">
        <f t="shared" si="3224"/>
        <v>-35.482500000000002</v>
      </c>
      <c r="J6864" s="361">
        <f t="shared" ref="J6864" si="3227">-((H6864*0.019)+0.3)</f>
        <v>-7.7907500000000001</v>
      </c>
      <c r="K6864" s="396">
        <f t="shared" ref="K6864" si="3228">SUM(H6864:J6864)</f>
        <v>350.97674999999998</v>
      </c>
      <c r="L6864" s="187">
        <v>1020</v>
      </c>
      <c r="M6864" s="177">
        <v>30</v>
      </c>
      <c r="N6864" s="199">
        <f t="shared" si="3223"/>
        <v>285</v>
      </c>
      <c r="O6864" s="411">
        <f t="shared" si="3221"/>
        <v>65.976749999999981</v>
      </c>
      <c r="P6864" s="132" t="s">
        <v>330</v>
      </c>
      <c r="Q6864" s="232"/>
      <c r="R6864" s="411"/>
      <c r="T6864" s="134" t="s">
        <v>145</v>
      </c>
      <c r="U6864" s="267" t="s">
        <v>14621</v>
      </c>
      <c r="V6864" s="133" t="s">
        <v>14597</v>
      </c>
      <c r="AA6864" s="218"/>
    </row>
    <row r="6865" spans="1:27" ht="24" x14ac:dyDescent="0.25">
      <c r="A6865" s="405">
        <v>3005380</v>
      </c>
      <c r="B6865" s="406">
        <v>42678</v>
      </c>
      <c r="C6865" s="405" t="s">
        <v>42</v>
      </c>
      <c r="D6865" s="401" t="s">
        <v>14622</v>
      </c>
      <c r="E6865" s="120">
        <v>500</v>
      </c>
      <c r="F6865" s="133" t="s">
        <v>451</v>
      </c>
      <c r="G6865" s="404" t="s">
        <v>7486</v>
      </c>
      <c r="H6865" s="411">
        <v>291.85000000000002</v>
      </c>
      <c r="I6865" s="89">
        <f t="shared" si="3224"/>
        <v>-26.266500000000001</v>
      </c>
      <c r="J6865" s="361">
        <f t="shared" ref="J6865" si="3229">-((H6865*0.019)+0.3)</f>
        <v>-5.8451500000000003</v>
      </c>
      <c r="K6865" s="396">
        <f t="shared" ref="K6865" si="3230">SUM(H6865:J6865)</f>
        <v>259.73835000000003</v>
      </c>
      <c r="L6865" s="131">
        <v>300</v>
      </c>
      <c r="M6865" s="187">
        <v>28.48</v>
      </c>
      <c r="N6865" s="199">
        <f t="shared" si="3223"/>
        <v>178.48</v>
      </c>
      <c r="O6865" s="411">
        <f t="shared" si="3221"/>
        <v>81.258350000000036</v>
      </c>
      <c r="P6865" s="132" t="s">
        <v>52</v>
      </c>
      <c r="Q6865" s="232"/>
      <c r="R6865" s="411"/>
      <c r="T6865" s="134" t="s">
        <v>145</v>
      </c>
      <c r="U6865" s="267" t="s">
        <v>14623</v>
      </c>
      <c r="AA6865" s="218"/>
    </row>
    <row r="6866" spans="1:27" ht="24" x14ac:dyDescent="0.25">
      <c r="A6866" s="405">
        <v>3005381</v>
      </c>
      <c r="B6866" s="406">
        <v>42678</v>
      </c>
      <c r="C6866" s="405" t="s">
        <v>42</v>
      </c>
      <c r="D6866" s="401" t="s">
        <v>2662</v>
      </c>
      <c r="E6866" s="120">
        <v>250</v>
      </c>
      <c r="F6866" s="133" t="s">
        <v>877</v>
      </c>
      <c r="G6866" s="404" t="s">
        <v>7486</v>
      </c>
      <c r="H6866" s="411">
        <v>182.68</v>
      </c>
      <c r="I6866" s="89">
        <f t="shared" si="3224"/>
        <v>-16.441199999999998</v>
      </c>
      <c r="J6866" s="361">
        <f t="shared" ref="J6866" si="3231">-((H6866*0.019)+0.3)</f>
        <v>-3.7709199999999998</v>
      </c>
      <c r="K6866" s="396">
        <f t="shared" ref="K6866" si="3232">SUM(H6866:J6866)</f>
        <v>162.46788000000001</v>
      </c>
      <c r="L6866" s="131">
        <v>235</v>
      </c>
      <c r="M6866" s="187">
        <v>35.33</v>
      </c>
      <c r="N6866" s="199">
        <f t="shared" si="3223"/>
        <v>94.08</v>
      </c>
      <c r="O6866" s="411">
        <f t="shared" si="3221"/>
        <v>68.38788000000001</v>
      </c>
      <c r="P6866" s="132" t="s">
        <v>52</v>
      </c>
      <c r="Q6866" s="232"/>
      <c r="R6866" s="411"/>
      <c r="T6866" s="134" t="s">
        <v>145</v>
      </c>
      <c r="U6866" s="267" t="s">
        <v>14624</v>
      </c>
      <c r="AA6866" s="218"/>
    </row>
    <row r="6867" spans="1:27" ht="24" x14ac:dyDescent="0.25">
      <c r="A6867" s="405">
        <v>3005382</v>
      </c>
      <c r="B6867" s="406">
        <v>42678</v>
      </c>
      <c r="C6867" s="405" t="s">
        <v>42</v>
      </c>
      <c r="D6867" s="401" t="s">
        <v>14625</v>
      </c>
      <c r="E6867" s="120">
        <v>150</v>
      </c>
      <c r="F6867" s="133" t="s">
        <v>247</v>
      </c>
      <c r="G6867" s="404" t="s">
        <v>7486</v>
      </c>
      <c r="H6867" s="411">
        <v>185.9</v>
      </c>
      <c r="I6867" s="89">
        <f t="shared" si="3224"/>
        <v>-16.731000000000002</v>
      </c>
      <c r="J6867" s="361">
        <f t="shared" ref="J6867" si="3233">-((H6867*0.019)+0.3)</f>
        <v>-3.8321000000000001</v>
      </c>
      <c r="K6867" s="396">
        <f t="shared" ref="K6867" si="3234">SUM(H6867:J6867)</f>
        <v>165.33690000000001</v>
      </c>
      <c r="L6867" s="131">
        <v>424</v>
      </c>
      <c r="M6867" s="187">
        <v>39.799999999999997</v>
      </c>
      <c r="N6867" s="199">
        <f t="shared" si="3223"/>
        <v>103.39999999999999</v>
      </c>
      <c r="O6867" s="411">
        <f t="shared" si="3221"/>
        <v>61.936900000000023</v>
      </c>
      <c r="P6867" s="132" t="s">
        <v>52</v>
      </c>
      <c r="Q6867" s="232"/>
      <c r="R6867" s="411"/>
      <c r="T6867" s="134" t="s">
        <v>145</v>
      </c>
      <c r="U6867" s="267" t="s">
        <v>14626</v>
      </c>
      <c r="AA6867" s="218"/>
    </row>
    <row r="6868" spans="1:27" ht="24" x14ac:dyDescent="0.25">
      <c r="A6868" s="405">
        <v>3005383</v>
      </c>
      <c r="B6868" s="406">
        <v>42678</v>
      </c>
      <c r="C6868" s="405" t="s">
        <v>42</v>
      </c>
      <c r="D6868" s="401" t="s">
        <v>14627</v>
      </c>
      <c r="E6868" s="120">
        <v>100</v>
      </c>
      <c r="F6868" s="133" t="s">
        <v>247</v>
      </c>
      <c r="G6868" s="404" t="s">
        <v>7486</v>
      </c>
      <c r="H6868" s="411">
        <v>132.62</v>
      </c>
      <c r="I6868" s="89">
        <f t="shared" si="3224"/>
        <v>-11.9358</v>
      </c>
      <c r="J6868" s="361">
        <f t="shared" ref="J6868" si="3235">-((H6868*0.019)+0.3)</f>
        <v>-2.8197799999999997</v>
      </c>
      <c r="K6868" s="396">
        <f t="shared" ref="K6868" si="3236">SUM(H6868:J6868)</f>
        <v>117.86442000000001</v>
      </c>
      <c r="L6868" s="131">
        <v>424</v>
      </c>
      <c r="M6868" s="187">
        <v>26.35</v>
      </c>
      <c r="N6868" s="199">
        <f t="shared" si="3223"/>
        <v>68.75</v>
      </c>
      <c r="O6868" s="411">
        <f t="shared" si="3221"/>
        <v>49.11442000000001</v>
      </c>
      <c r="P6868" s="132" t="s">
        <v>52</v>
      </c>
      <c r="Q6868" s="232"/>
      <c r="R6868" s="411"/>
      <c r="T6868" s="134" t="s">
        <v>145</v>
      </c>
      <c r="U6868" s="267" t="s">
        <v>14628</v>
      </c>
      <c r="AA6868" s="218"/>
    </row>
    <row r="6869" spans="1:27" ht="24" x14ac:dyDescent="0.25">
      <c r="A6869" s="405">
        <v>3005384</v>
      </c>
      <c r="B6869" s="406">
        <v>42678</v>
      </c>
      <c r="C6869" s="405" t="s">
        <v>42</v>
      </c>
      <c r="D6869" s="401" t="s">
        <v>14629</v>
      </c>
      <c r="E6869" s="120">
        <v>100</v>
      </c>
      <c r="F6869" s="133" t="s">
        <v>114</v>
      </c>
      <c r="G6869" s="404" t="s">
        <v>7486</v>
      </c>
      <c r="H6869" s="411">
        <v>389.21</v>
      </c>
      <c r="I6869" s="89">
        <f t="shared" si="3224"/>
        <v>-35.0289</v>
      </c>
      <c r="J6869" s="361">
        <f t="shared" ref="J6869" si="3237">-((H6869*0.019)+0.3)</f>
        <v>-7.6949899999999989</v>
      </c>
      <c r="K6869" s="396">
        <f t="shared" ref="K6869" si="3238">SUM(H6869:J6869)</f>
        <v>346.48610999999994</v>
      </c>
      <c r="L6869" s="131">
        <v>1540</v>
      </c>
      <c r="M6869" s="187">
        <v>43.71</v>
      </c>
      <c r="N6869" s="199">
        <f t="shared" si="3223"/>
        <v>197.71</v>
      </c>
      <c r="O6869" s="411">
        <f t="shared" si="3221"/>
        <v>148.77610999999993</v>
      </c>
      <c r="P6869" s="132" t="s">
        <v>52</v>
      </c>
      <c r="Q6869" s="232"/>
      <c r="R6869" s="411"/>
      <c r="T6869" s="134" t="s">
        <v>145</v>
      </c>
      <c r="U6869" s="267" t="s">
        <v>14630</v>
      </c>
      <c r="AA6869" s="218"/>
    </row>
    <row r="6870" spans="1:27" ht="24" x14ac:dyDescent="0.25">
      <c r="A6870" s="405">
        <v>3005385</v>
      </c>
      <c r="B6870" s="406">
        <v>42678</v>
      </c>
      <c r="C6870" s="405" t="s">
        <v>42</v>
      </c>
      <c r="D6870" s="401" t="s">
        <v>13644</v>
      </c>
      <c r="E6870" s="120">
        <v>250</v>
      </c>
      <c r="F6870" s="133" t="s">
        <v>307</v>
      </c>
      <c r="G6870" s="404" t="s">
        <v>7486</v>
      </c>
      <c r="H6870" s="411">
        <v>332.6</v>
      </c>
      <c r="I6870" s="89">
        <f t="shared" si="3224"/>
        <v>-29.934000000000001</v>
      </c>
      <c r="J6870" s="361">
        <f t="shared" ref="J6870" si="3239">-((H6870*0.019)+0.3)</f>
        <v>-6.6193999999999997</v>
      </c>
      <c r="K6870" s="396">
        <f t="shared" ref="K6870" si="3240">SUM(H6870:J6870)</f>
        <v>296.04660000000001</v>
      </c>
      <c r="L6870" s="187">
        <v>642.99</v>
      </c>
      <c r="M6870" s="187">
        <v>90.26</v>
      </c>
      <c r="N6870" s="199">
        <f t="shared" si="3223"/>
        <v>251.00749999999999</v>
      </c>
      <c r="O6870" s="411">
        <f t="shared" si="3221"/>
        <v>45.039100000000019</v>
      </c>
      <c r="P6870" s="132" t="s">
        <v>46</v>
      </c>
      <c r="Q6870" s="232"/>
      <c r="R6870" s="411"/>
      <c r="T6870" s="134" t="s">
        <v>324</v>
      </c>
      <c r="U6870" s="267" t="s">
        <v>14631</v>
      </c>
      <c r="AA6870" s="218"/>
    </row>
    <row r="6871" spans="1:27" ht="24" x14ac:dyDescent="0.25">
      <c r="A6871" s="405">
        <v>3005386</v>
      </c>
      <c r="B6871" s="406">
        <v>42678</v>
      </c>
      <c r="C6871" s="405" t="s">
        <v>42</v>
      </c>
      <c r="D6871" s="401" t="s">
        <v>14632</v>
      </c>
      <c r="E6871" s="120">
        <v>100</v>
      </c>
      <c r="F6871" s="133" t="s">
        <v>1273</v>
      </c>
      <c r="G6871" s="404" t="s">
        <v>7486</v>
      </c>
      <c r="H6871" s="411">
        <v>218.55</v>
      </c>
      <c r="I6871" s="89">
        <f t="shared" si="3224"/>
        <v>-19.669499999999999</v>
      </c>
      <c r="J6871" s="361">
        <f t="shared" ref="J6871" si="3241">-((H6871*0.019)+0.3)</f>
        <v>-4.4524499999999998</v>
      </c>
      <c r="K6871" s="396">
        <f t="shared" ref="K6871" si="3242">SUM(H6871:J6871)</f>
        <v>194.42805000000001</v>
      </c>
      <c r="L6871" s="131">
        <v>616</v>
      </c>
      <c r="M6871" s="187">
        <v>20.13</v>
      </c>
      <c r="N6871" s="199">
        <f t="shared" si="3223"/>
        <v>81.73</v>
      </c>
      <c r="O6871" s="411">
        <f t="shared" si="3221"/>
        <v>112.69805000000001</v>
      </c>
      <c r="P6871" s="132" t="s">
        <v>52</v>
      </c>
      <c r="Q6871" s="232"/>
      <c r="R6871" s="411"/>
      <c r="T6871" s="134" t="s">
        <v>145</v>
      </c>
      <c r="U6871" s="267" t="s">
        <v>14633</v>
      </c>
      <c r="AA6871" s="218"/>
    </row>
    <row r="6872" spans="1:27" ht="24" x14ac:dyDescent="0.25">
      <c r="A6872" s="405">
        <v>3005387</v>
      </c>
      <c r="B6872" s="406">
        <v>42678</v>
      </c>
      <c r="C6872" s="405" t="s">
        <v>237</v>
      </c>
      <c r="D6872" s="401" t="s">
        <v>14634</v>
      </c>
      <c r="E6872" s="120">
        <v>100</v>
      </c>
      <c r="F6872" s="133" t="s">
        <v>247</v>
      </c>
      <c r="G6872" s="404" t="s">
        <v>7486</v>
      </c>
      <c r="H6872" s="411">
        <v>100</v>
      </c>
      <c r="I6872" s="397">
        <f t="shared" ref="I6872" si="3243">-(H6872*0.15)</f>
        <v>-15</v>
      </c>
      <c r="J6872" s="258">
        <v>0</v>
      </c>
      <c r="K6872" s="90">
        <f>SUM(H6872:J6872)</f>
        <v>85</v>
      </c>
      <c r="L6872" s="131">
        <v>424</v>
      </c>
      <c r="M6872" s="187">
        <v>36.159999999999997</v>
      </c>
      <c r="N6872" s="199">
        <f t="shared" si="3223"/>
        <v>78.56</v>
      </c>
      <c r="O6872" s="411">
        <f t="shared" si="3221"/>
        <v>6.4399999999999977</v>
      </c>
      <c r="P6872" s="132" t="s">
        <v>52</v>
      </c>
      <c r="Q6872" s="232"/>
      <c r="R6872" s="411"/>
      <c r="T6872" s="134" t="s">
        <v>145</v>
      </c>
      <c r="U6872" s="267" t="s">
        <v>14635</v>
      </c>
      <c r="AA6872" s="218"/>
    </row>
    <row r="6873" spans="1:27" x14ac:dyDescent="0.25">
      <c r="A6873" s="405">
        <v>3005388</v>
      </c>
      <c r="B6873" s="406">
        <v>42678</v>
      </c>
      <c r="C6873" s="405" t="s">
        <v>56</v>
      </c>
      <c r="D6873" s="401" t="s">
        <v>10327</v>
      </c>
      <c r="E6873" s="120">
        <v>500</v>
      </c>
      <c r="F6873" s="119" t="s">
        <v>14636</v>
      </c>
      <c r="G6873" s="242" t="s">
        <v>7486</v>
      </c>
      <c r="H6873" s="411">
        <v>950</v>
      </c>
      <c r="I6873" s="411">
        <v>0</v>
      </c>
      <c r="J6873" s="411">
        <v>0</v>
      </c>
      <c r="K6873" s="90">
        <f>SUM(H6873:J6873)</f>
        <v>950</v>
      </c>
      <c r="L6873" s="187">
        <v>944.01</v>
      </c>
      <c r="M6873" s="131">
        <v>0</v>
      </c>
      <c r="N6873" s="199">
        <f t="shared" si="3223"/>
        <v>472.005</v>
      </c>
      <c r="O6873" s="411">
        <f t="shared" si="3221"/>
        <v>477.995</v>
      </c>
      <c r="P6873" s="132" t="s">
        <v>926</v>
      </c>
      <c r="Q6873" s="232"/>
      <c r="R6873" s="411"/>
      <c r="T6873" s="134" t="s">
        <v>3644</v>
      </c>
      <c r="U6873" s="267" t="s">
        <v>14637</v>
      </c>
      <c r="V6873" s="133" t="s">
        <v>14516</v>
      </c>
      <c r="W6873" s="153" t="s">
        <v>14638</v>
      </c>
      <c r="AA6873" s="218"/>
    </row>
    <row r="6874" spans="1:27" x14ac:dyDescent="0.25">
      <c r="A6874" s="405">
        <v>3005389</v>
      </c>
      <c r="B6874" s="406">
        <v>42678</v>
      </c>
      <c r="C6874" s="405" t="s">
        <v>237</v>
      </c>
      <c r="D6874" s="401" t="s">
        <v>14639</v>
      </c>
      <c r="E6874" s="120">
        <v>1000</v>
      </c>
      <c r="F6874" s="133" t="s">
        <v>2949</v>
      </c>
      <c r="G6874" s="404" t="s">
        <v>7486</v>
      </c>
      <c r="H6874" s="411">
        <v>1297.5999999999999</v>
      </c>
      <c r="I6874" s="397">
        <f t="shared" ref="I6874" si="3244">-(H6874*0.15)</f>
        <v>-194.64</v>
      </c>
      <c r="J6874" s="258">
        <v>0</v>
      </c>
      <c r="K6874" s="90">
        <f>SUM(H6874:J6874)</f>
        <v>1102.96</v>
      </c>
      <c r="L6874" s="131">
        <v>1100</v>
      </c>
      <c r="M6874" s="131">
        <v>237.99</v>
      </c>
      <c r="N6874" s="199">
        <f t="shared" si="3223"/>
        <v>1337.99</v>
      </c>
      <c r="O6874" s="411">
        <f t="shared" si="3221"/>
        <v>-235.02999999999997</v>
      </c>
      <c r="P6874" s="132" t="s">
        <v>52</v>
      </c>
      <c r="Q6874" s="232"/>
      <c r="R6874" s="411"/>
      <c r="T6874" s="134" t="s">
        <v>7260</v>
      </c>
      <c r="U6874" s="267" t="s">
        <v>14640</v>
      </c>
      <c r="V6874" s="133" t="s">
        <v>55</v>
      </c>
      <c r="AA6874" s="218"/>
    </row>
    <row r="6875" spans="1:27" ht="24" x14ac:dyDescent="0.25">
      <c r="A6875" s="405">
        <v>3005390</v>
      </c>
      <c r="B6875" s="406">
        <v>42678</v>
      </c>
      <c r="C6875" s="405" t="s">
        <v>63</v>
      </c>
      <c r="D6875" s="401" t="s">
        <v>14641</v>
      </c>
      <c r="E6875" s="120">
        <v>630</v>
      </c>
      <c r="F6875" s="119" t="s">
        <v>14642</v>
      </c>
      <c r="G6875" s="404" t="s">
        <v>7486</v>
      </c>
      <c r="H6875" s="411">
        <v>5166</v>
      </c>
      <c r="I6875" s="411">
        <v>0</v>
      </c>
      <c r="J6875" s="361">
        <f>-((H6875*0.022)+0.3)</f>
        <v>-113.95199999999998</v>
      </c>
      <c r="K6875" s="90">
        <f>SUM(H6875:J6875)</f>
        <v>5052.0479999999998</v>
      </c>
      <c r="L6875" s="187">
        <v>5891.6</v>
      </c>
      <c r="M6875" s="131">
        <v>0</v>
      </c>
      <c r="N6875" s="199">
        <f t="shared" si="3223"/>
        <v>3711.7080000000001</v>
      </c>
      <c r="O6875" s="411">
        <f t="shared" si="3221"/>
        <v>1340.3399999999997</v>
      </c>
      <c r="P6875" s="132" t="s">
        <v>59</v>
      </c>
      <c r="Q6875" s="232"/>
      <c r="R6875" s="411"/>
      <c r="T6875" s="134" t="s">
        <v>2652</v>
      </c>
      <c r="U6875" s="267" t="s">
        <v>14643</v>
      </c>
      <c r="W6875" s="153" t="s">
        <v>14644</v>
      </c>
      <c r="AA6875" s="218">
        <v>50</v>
      </c>
    </row>
    <row r="6876" spans="1:27" ht="24" x14ac:dyDescent="0.25">
      <c r="A6876" s="405">
        <v>3005391</v>
      </c>
      <c r="B6876" s="406">
        <v>42678</v>
      </c>
      <c r="C6876" s="405" t="s">
        <v>78</v>
      </c>
      <c r="D6876" s="401" t="s">
        <v>14645</v>
      </c>
      <c r="E6876" s="120">
        <v>500</v>
      </c>
      <c r="F6876" s="133" t="s">
        <v>14646</v>
      </c>
      <c r="G6876" s="404" t="s">
        <v>7486</v>
      </c>
      <c r="H6876" s="411">
        <v>575</v>
      </c>
      <c r="I6876" s="411">
        <v>0</v>
      </c>
      <c r="J6876" s="361">
        <f t="shared" ref="J6876" si="3245">-((H6876*0.019)+0.3)</f>
        <v>-11.225</v>
      </c>
      <c r="K6876" s="396">
        <f t="shared" ref="K6876" si="3246">SUM(H6876:J6876)</f>
        <v>563.77499999999998</v>
      </c>
      <c r="L6876" s="187">
        <v>607</v>
      </c>
      <c r="M6876" s="224">
        <v>32.61</v>
      </c>
      <c r="N6876" s="199">
        <f t="shared" si="3223"/>
        <v>336.11</v>
      </c>
      <c r="O6876" s="411">
        <f t="shared" si="3221"/>
        <v>227.66499999999996</v>
      </c>
      <c r="P6876" s="132" t="s">
        <v>330</v>
      </c>
      <c r="Q6876" s="232"/>
      <c r="R6876" s="411"/>
      <c r="T6876" s="134" t="s">
        <v>145</v>
      </c>
      <c r="U6876" s="267" t="s">
        <v>14647</v>
      </c>
      <c r="W6876" s="153" t="s">
        <v>14648</v>
      </c>
      <c r="AA6876" s="218"/>
    </row>
    <row r="6877" spans="1:27" ht="36" x14ac:dyDescent="0.25">
      <c r="A6877" s="405">
        <v>3005392</v>
      </c>
      <c r="B6877" s="406">
        <v>42678</v>
      </c>
      <c r="C6877" s="405" t="s">
        <v>237</v>
      </c>
      <c r="D6877" s="401" t="s">
        <v>14649</v>
      </c>
      <c r="E6877" s="120">
        <v>500</v>
      </c>
      <c r="F6877" s="119" t="s">
        <v>14650</v>
      </c>
      <c r="G6877" s="404" t="s">
        <v>7486</v>
      </c>
      <c r="H6877" s="411">
        <v>250</v>
      </c>
      <c r="I6877" s="397">
        <f t="shared" ref="I6877:I6878" si="3247">-(H6877*0.15)</f>
        <v>-37.5</v>
      </c>
      <c r="J6877" s="258">
        <v>0</v>
      </c>
      <c r="K6877" s="90">
        <f>SUM(H6877:J6877)</f>
        <v>212.5</v>
      </c>
      <c r="L6877" s="187">
        <v>195</v>
      </c>
      <c r="M6877" s="187">
        <v>21.85</v>
      </c>
      <c r="N6877" s="199">
        <f t="shared" si="3223"/>
        <v>119.35</v>
      </c>
      <c r="O6877" s="411">
        <f t="shared" si="3221"/>
        <v>93.15</v>
      </c>
      <c r="P6877" s="132" t="s">
        <v>856</v>
      </c>
      <c r="Q6877" s="232"/>
      <c r="R6877" s="411"/>
      <c r="T6877" s="134" t="s">
        <v>145</v>
      </c>
      <c r="U6877" s="267" t="s">
        <v>14651</v>
      </c>
      <c r="AA6877" s="218"/>
    </row>
    <row r="6878" spans="1:27" ht="24" x14ac:dyDescent="0.25">
      <c r="A6878" s="405">
        <v>3005393</v>
      </c>
      <c r="B6878" s="406">
        <v>42678</v>
      </c>
      <c r="C6878" s="405" t="s">
        <v>237</v>
      </c>
      <c r="D6878" s="401" t="s">
        <v>14652</v>
      </c>
      <c r="E6878" s="120">
        <v>150</v>
      </c>
      <c r="F6878" s="133" t="s">
        <v>247</v>
      </c>
      <c r="G6878" s="404" t="s">
        <v>7486</v>
      </c>
      <c r="H6878" s="411">
        <v>160.38</v>
      </c>
      <c r="I6878" s="397">
        <f t="shared" si="3247"/>
        <v>-24.056999999999999</v>
      </c>
      <c r="J6878" s="258">
        <v>0</v>
      </c>
      <c r="K6878" s="90">
        <f>SUM(H6878:J6878)</f>
        <v>136.32300000000001</v>
      </c>
      <c r="L6878" s="131">
        <v>424</v>
      </c>
      <c r="M6878" s="187">
        <v>37.11</v>
      </c>
      <c r="N6878" s="199">
        <f t="shared" si="3223"/>
        <v>100.71</v>
      </c>
      <c r="O6878" s="411">
        <f t="shared" si="3221"/>
        <v>35.613000000000014</v>
      </c>
      <c r="P6878" s="132" t="s">
        <v>52</v>
      </c>
      <c r="Q6878" s="232"/>
      <c r="R6878" s="411"/>
      <c r="T6878" s="134" t="s">
        <v>145</v>
      </c>
      <c r="U6878" s="267" t="s">
        <v>14653</v>
      </c>
      <c r="AA6878" s="218"/>
    </row>
    <row r="6879" spans="1:27" ht="24" x14ac:dyDescent="0.25">
      <c r="A6879" s="405">
        <v>3005394</v>
      </c>
      <c r="B6879" s="406">
        <v>42678</v>
      </c>
      <c r="C6879" s="405" t="s">
        <v>237</v>
      </c>
      <c r="D6879" s="401" t="s">
        <v>14654</v>
      </c>
      <c r="E6879" s="120">
        <v>250</v>
      </c>
      <c r="F6879" s="133" t="s">
        <v>14655</v>
      </c>
      <c r="G6879" s="404" t="s">
        <v>7486</v>
      </c>
      <c r="H6879" s="411">
        <v>153.82</v>
      </c>
      <c r="I6879" s="397">
        <f t="shared" ref="I6879" si="3248">-(H6879*0.15)</f>
        <v>-23.072999999999997</v>
      </c>
      <c r="J6879" s="258">
        <v>0</v>
      </c>
      <c r="K6879" s="90">
        <f>SUM(H6879:J6879)</f>
        <v>130.74699999999999</v>
      </c>
      <c r="L6879" s="131">
        <v>380</v>
      </c>
      <c r="N6879" s="199">
        <f t="shared" si="3223"/>
        <v>95</v>
      </c>
      <c r="O6879" s="411">
        <f t="shared" si="3221"/>
        <v>35.746999999999986</v>
      </c>
      <c r="P6879" s="132" t="s">
        <v>86</v>
      </c>
      <c r="Q6879" s="232"/>
      <c r="R6879" s="411"/>
      <c r="T6879" s="134" t="s">
        <v>145</v>
      </c>
      <c r="U6879" s="267" t="s">
        <v>14656</v>
      </c>
      <c r="AA6879" s="218"/>
    </row>
    <row r="6880" spans="1:27" ht="24" x14ac:dyDescent="0.25">
      <c r="A6880" s="405">
        <v>3005395</v>
      </c>
      <c r="B6880" s="406">
        <v>42678</v>
      </c>
      <c r="C6880" s="405" t="s">
        <v>42</v>
      </c>
      <c r="D6880" s="401" t="s">
        <v>14657</v>
      </c>
      <c r="E6880" s="120">
        <v>150</v>
      </c>
      <c r="F6880" s="133" t="s">
        <v>307</v>
      </c>
      <c r="G6880" s="404" t="s">
        <v>7486</v>
      </c>
      <c r="H6880" s="411">
        <v>215</v>
      </c>
      <c r="I6880" s="89">
        <f>-(H6880*0.09)</f>
        <v>-19.349999999999998</v>
      </c>
      <c r="J6880" s="361">
        <f t="shared" ref="J6880" si="3249">-((H6880*0.019)+0.3)</f>
        <v>-4.3849999999999998</v>
      </c>
      <c r="K6880" s="396">
        <f t="shared" ref="K6880" si="3250">SUM(H6880:J6880)</f>
        <v>191.26500000000001</v>
      </c>
      <c r="L6880" s="187">
        <v>781</v>
      </c>
      <c r="M6880" s="187">
        <v>17.989999999999998</v>
      </c>
      <c r="N6880" s="199">
        <f t="shared" si="3223"/>
        <v>135.13999999999999</v>
      </c>
      <c r="O6880" s="411">
        <f t="shared" si="3221"/>
        <v>56.125000000000028</v>
      </c>
      <c r="P6880" s="132" t="s">
        <v>183</v>
      </c>
      <c r="Q6880" s="232"/>
      <c r="R6880" s="411"/>
      <c r="T6880" s="134" t="s">
        <v>145</v>
      </c>
      <c r="U6880" s="267" t="s">
        <v>14658</v>
      </c>
      <c r="AA6880" s="218"/>
    </row>
    <row r="6881" spans="1:27" ht="24" x14ac:dyDescent="0.25">
      <c r="A6881" s="405">
        <v>3005396</v>
      </c>
      <c r="B6881" s="406">
        <v>42678</v>
      </c>
      <c r="C6881" s="405" t="s">
        <v>63</v>
      </c>
      <c r="D6881" s="401" t="s">
        <v>6940</v>
      </c>
      <c r="E6881" s="120">
        <v>250</v>
      </c>
      <c r="F6881" s="133" t="s">
        <v>14659</v>
      </c>
      <c r="G6881" s="404" t="s">
        <v>7486</v>
      </c>
      <c r="H6881" s="411">
        <v>500</v>
      </c>
      <c r="I6881" s="411">
        <v>0</v>
      </c>
      <c r="J6881" s="361">
        <f>-((H6881*0.022)+0.3)</f>
        <v>-11.3</v>
      </c>
      <c r="K6881" s="90">
        <f>SUM(H6881:J6881)</f>
        <v>488.7</v>
      </c>
      <c r="L6881" s="131">
        <v>1322</v>
      </c>
      <c r="M6881" s="187">
        <f>19.17+19.17</f>
        <v>38.340000000000003</v>
      </c>
      <c r="N6881" s="199">
        <f t="shared" si="3223"/>
        <v>368.84000000000003</v>
      </c>
      <c r="O6881" s="411">
        <f t="shared" si="3221"/>
        <v>119.85999999999996</v>
      </c>
      <c r="P6881" s="132" t="s">
        <v>52</v>
      </c>
      <c r="Q6881" s="232"/>
      <c r="R6881" s="411"/>
      <c r="T6881" s="134" t="s">
        <v>145</v>
      </c>
      <c r="U6881" s="266" t="s">
        <v>14660</v>
      </c>
      <c r="W6881" s="153" t="s">
        <v>14661</v>
      </c>
      <c r="AA6881" s="218"/>
    </row>
    <row r="6882" spans="1:27" x14ac:dyDescent="0.25">
      <c r="A6882" s="405">
        <v>3005397</v>
      </c>
      <c r="B6882" s="406">
        <v>42681</v>
      </c>
      <c r="C6882" s="405" t="s">
        <v>63</v>
      </c>
      <c r="D6882" s="401" t="s">
        <v>14662</v>
      </c>
      <c r="E6882" s="120">
        <v>2000</v>
      </c>
      <c r="F6882" s="133" t="s">
        <v>51</v>
      </c>
      <c r="G6882" s="404" t="s">
        <v>7486</v>
      </c>
      <c r="H6882" s="411">
        <v>2860</v>
      </c>
      <c r="I6882" s="411">
        <v>0</v>
      </c>
      <c r="J6882" s="361">
        <f>-((H6882*0.022)+0.3)</f>
        <v>-63.219999999999992</v>
      </c>
      <c r="K6882" s="90">
        <f>SUM(H6882:J6882)</f>
        <v>2796.78</v>
      </c>
      <c r="L6882" s="131">
        <v>1099</v>
      </c>
      <c r="M6882" s="224">
        <v>305.5</v>
      </c>
      <c r="N6882" s="199">
        <f t="shared" si="3223"/>
        <v>2503.5</v>
      </c>
      <c r="O6882" s="411">
        <f t="shared" si="3221"/>
        <v>293.2800000000002</v>
      </c>
      <c r="P6882" s="132" t="s">
        <v>14218</v>
      </c>
      <c r="Q6882" s="232"/>
      <c r="R6882" s="411"/>
      <c r="T6882" s="407" t="s">
        <v>244</v>
      </c>
      <c r="U6882" s="267" t="s">
        <v>14663</v>
      </c>
      <c r="V6882" s="133" t="s">
        <v>55</v>
      </c>
      <c r="W6882" s="153" t="s">
        <v>14664</v>
      </c>
      <c r="AA6882" s="218"/>
    </row>
    <row r="6883" spans="1:27" x14ac:dyDescent="0.25">
      <c r="A6883" s="419">
        <v>3005398</v>
      </c>
      <c r="B6883" s="421">
        <v>42681</v>
      </c>
      <c r="C6883" s="419" t="s">
        <v>63</v>
      </c>
      <c r="D6883" s="417" t="s">
        <v>5346</v>
      </c>
      <c r="E6883" s="120">
        <v>845</v>
      </c>
      <c r="F6883" s="133" t="s">
        <v>14665</v>
      </c>
      <c r="G6883" s="434" t="s">
        <v>7486</v>
      </c>
      <c r="H6883" s="427">
        <v>22562.74</v>
      </c>
      <c r="I6883" s="427">
        <v>0</v>
      </c>
      <c r="J6883" s="425">
        <f>-((H6883*0.022)+0.3)</f>
        <v>-496.68028000000004</v>
      </c>
      <c r="K6883" s="425">
        <f>SUM(H6883:J6883)</f>
        <v>22066.059720000001</v>
      </c>
      <c r="L6883" s="187">
        <v>10380</v>
      </c>
      <c r="N6883" s="199">
        <f t="shared" si="3223"/>
        <v>8771.1</v>
      </c>
      <c r="O6883" s="411">
        <f t="shared" si="3221"/>
        <v>13294.959720000001</v>
      </c>
      <c r="P6883" s="132" t="s">
        <v>66</v>
      </c>
      <c r="Q6883" s="232"/>
      <c r="R6883" s="411"/>
      <c r="S6883" s="184"/>
      <c r="T6883" s="371" t="s">
        <v>314</v>
      </c>
      <c r="U6883" s="372">
        <v>4236688750</v>
      </c>
      <c r="W6883" s="153" t="s">
        <v>7150</v>
      </c>
      <c r="AA6883" s="473">
        <v>100</v>
      </c>
    </row>
    <row r="6884" spans="1:27" ht="24" x14ac:dyDescent="0.25">
      <c r="A6884" s="420"/>
      <c r="B6884" s="422"/>
      <c r="C6884" s="420"/>
      <c r="D6884" s="418"/>
      <c r="E6884" s="120">
        <v>630</v>
      </c>
      <c r="F6884" s="133" t="s">
        <v>14666</v>
      </c>
      <c r="G6884" s="436"/>
      <c r="H6884" s="428"/>
      <c r="I6884" s="428"/>
      <c r="J6884" s="426"/>
      <c r="K6884" s="426"/>
      <c r="L6884" s="187">
        <v>17570</v>
      </c>
      <c r="M6884" s="131">
        <v>0</v>
      </c>
      <c r="N6884" s="199">
        <f t="shared" si="3223"/>
        <v>11069.1</v>
      </c>
      <c r="O6884" s="411">
        <f t="shared" si="3221"/>
        <v>-11069.1</v>
      </c>
      <c r="P6884" s="132" t="s">
        <v>66</v>
      </c>
      <c r="Q6884" s="232"/>
      <c r="R6884" s="411"/>
      <c r="S6884" s="184"/>
      <c r="T6884" s="134" t="s">
        <v>67</v>
      </c>
      <c r="U6884" s="372" t="s">
        <v>14667</v>
      </c>
      <c r="AA6884" s="474"/>
    </row>
    <row r="6885" spans="1:27" ht="24" x14ac:dyDescent="0.25">
      <c r="A6885" s="405">
        <v>3005399</v>
      </c>
      <c r="B6885" s="406">
        <v>42681</v>
      </c>
      <c r="C6885" s="405" t="s">
        <v>141</v>
      </c>
      <c r="D6885" s="401" t="s">
        <v>14668</v>
      </c>
      <c r="E6885" s="120">
        <v>25</v>
      </c>
      <c r="F6885" s="133" t="s">
        <v>277</v>
      </c>
      <c r="G6885" s="404" t="s">
        <v>7486</v>
      </c>
      <c r="H6885" s="411">
        <v>216.5</v>
      </c>
      <c r="I6885" s="411">
        <v>0</v>
      </c>
      <c r="J6885" s="361">
        <f>-((H6885*0.0325)+0.3)</f>
        <v>-7.3362499999999997</v>
      </c>
      <c r="K6885" s="90">
        <f>SUM(H6885:J6885)</f>
        <v>209.16374999999999</v>
      </c>
      <c r="L6885" s="187">
        <v>3460</v>
      </c>
      <c r="M6885" s="187">
        <f>18.24+10</f>
        <v>28.24</v>
      </c>
      <c r="N6885" s="199">
        <f t="shared" si="3223"/>
        <v>114.74</v>
      </c>
      <c r="O6885" s="411">
        <f t="shared" si="3221"/>
        <v>94.423749999999998</v>
      </c>
      <c r="P6885" s="132" t="s">
        <v>183</v>
      </c>
      <c r="Q6885" s="232"/>
      <c r="R6885" s="411">
        <v>16.5</v>
      </c>
      <c r="S6885" s="133" t="s">
        <v>14669</v>
      </c>
      <c r="T6885" s="409" t="s">
        <v>145</v>
      </c>
      <c r="U6885" s="267" t="s">
        <v>14670</v>
      </c>
      <c r="W6885" s="153" t="s">
        <v>14671</v>
      </c>
      <c r="AA6885" s="218"/>
    </row>
    <row r="6886" spans="1:27" ht="24" x14ac:dyDescent="0.25">
      <c r="A6886" s="405">
        <v>3005400</v>
      </c>
      <c r="B6886" s="406">
        <v>42681</v>
      </c>
      <c r="C6886" s="405" t="s">
        <v>63</v>
      </c>
      <c r="D6886" s="401" t="s">
        <v>14672</v>
      </c>
      <c r="E6886" s="120">
        <v>130</v>
      </c>
      <c r="F6886" s="133" t="s">
        <v>14673</v>
      </c>
      <c r="G6886" s="404" t="s">
        <v>7486</v>
      </c>
      <c r="H6886" s="411">
        <v>2133</v>
      </c>
      <c r="I6886" s="411">
        <v>0</v>
      </c>
      <c r="J6886" s="361">
        <f>-((H6886*0.022)+0.3)</f>
        <v>-47.225999999999992</v>
      </c>
      <c r="K6886" s="90">
        <f t="shared" ref="K6886:K6887" si="3251">SUM(H6886:J6886)</f>
        <v>2085.7739999999999</v>
      </c>
      <c r="L6886" s="187">
        <v>11360</v>
      </c>
      <c r="M6886" s="131">
        <v>0</v>
      </c>
      <c r="N6886" s="199">
        <f t="shared" si="3223"/>
        <v>1476.8</v>
      </c>
      <c r="O6886" s="411">
        <f t="shared" si="3221"/>
        <v>608.97399999999993</v>
      </c>
      <c r="P6886" s="132" t="s">
        <v>183</v>
      </c>
      <c r="Q6886" s="232"/>
      <c r="R6886" s="411"/>
      <c r="T6886" s="134" t="s">
        <v>756</v>
      </c>
      <c r="U6886" s="266" t="s">
        <v>14674</v>
      </c>
      <c r="AA6886" s="218">
        <v>10</v>
      </c>
    </row>
    <row r="6887" spans="1:27" ht="24" x14ac:dyDescent="0.25">
      <c r="A6887" s="405">
        <v>3005401</v>
      </c>
      <c r="B6887" s="406">
        <v>42681</v>
      </c>
      <c r="C6887" s="405" t="s">
        <v>78</v>
      </c>
      <c r="D6887" s="401" t="s">
        <v>14675</v>
      </c>
      <c r="E6887" s="120">
        <v>500</v>
      </c>
      <c r="F6887" s="133" t="s">
        <v>2063</v>
      </c>
      <c r="G6887" s="404" t="s">
        <v>7486</v>
      </c>
      <c r="H6887" s="411">
        <v>1250</v>
      </c>
      <c r="I6887" s="411">
        <v>0</v>
      </c>
      <c r="J6887" s="361">
        <f t="shared" ref="J6887" si="3252">-((H6887*0.019)+0.3)</f>
        <v>-24.05</v>
      </c>
      <c r="K6887" s="90">
        <f t="shared" si="3251"/>
        <v>1225.95</v>
      </c>
      <c r="L6887" s="187">
        <v>2050</v>
      </c>
      <c r="M6887" s="131">
        <v>0</v>
      </c>
      <c r="N6887" s="199">
        <f t="shared" si="3223"/>
        <v>1025</v>
      </c>
      <c r="O6887" s="411">
        <f t="shared" si="3221"/>
        <v>200.95000000000005</v>
      </c>
      <c r="P6887" s="132" t="s">
        <v>601</v>
      </c>
      <c r="Q6887" s="232"/>
      <c r="R6887" s="411"/>
      <c r="T6887" s="134" t="s">
        <v>473</v>
      </c>
      <c r="U6887" s="267" t="s">
        <v>14676</v>
      </c>
      <c r="W6887" s="153" t="s">
        <v>14677</v>
      </c>
      <c r="AA6887" s="218">
        <v>10</v>
      </c>
    </row>
    <row r="6888" spans="1:27" ht="24" x14ac:dyDescent="0.25">
      <c r="A6888" s="405">
        <v>3005402</v>
      </c>
      <c r="B6888" s="406">
        <v>42681</v>
      </c>
      <c r="C6888" s="405" t="s">
        <v>63</v>
      </c>
      <c r="D6888" s="401" t="s">
        <v>14678</v>
      </c>
      <c r="E6888" s="120">
        <v>250</v>
      </c>
      <c r="F6888" s="133" t="s">
        <v>1550</v>
      </c>
      <c r="G6888" s="404" t="s">
        <v>7486</v>
      </c>
      <c r="H6888" s="411">
        <v>286</v>
      </c>
      <c r="I6888" s="411">
        <v>0</v>
      </c>
      <c r="J6888" s="361">
        <f>-((H6888*0.022)+0.3)</f>
        <v>-6.5919999999999996</v>
      </c>
      <c r="K6888" s="90">
        <f t="shared" ref="K6888" si="3253">SUM(H6888:J6888)</f>
        <v>279.40800000000002</v>
      </c>
      <c r="M6888" s="187">
        <v>41</v>
      </c>
      <c r="N6888" s="199">
        <f t="shared" si="3223"/>
        <v>41</v>
      </c>
      <c r="O6888" s="411">
        <f t="shared" si="3221"/>
        <v>238.40800000000002</v>
      </c>
      <c r="P6888" s="132" t="s">
        <v>52</v>
      </c>
      <c r="Q6888" s="232"/>
      <c r="R6888" s="411"/>
      <c r="T6888" s="134" t="s">
        <v>145</v>
      </c>
      <c r="U6888" s="267" t="s">
        <v>14679</v>
      </c>
      <c r="W6888" s="153" t="s">
        <v>14680</v>
      </c>
      <c r="AA6888" s="218"/>
    </row>
    <row r="6889" spans="1:27" x14ac:dyDescent="0.25">
      <c r="A6889" s="419">
        <v>3005403</v>
      </c>
      <c r="B6889" s="421">
        <v>42681</v>
      </c>
      <c r="C6889" s="419" t="s">
        <v>63</v>
      </c>
      <c r="D6889" s="417" t="s">
        <v>5346</v>
      </c>
      <c r="E6889" s="120">
        <v>4000</v>
      </c>
      <c r="F6889" s="133" t="s">
        <v>14681</v>
      </c>
      <c r="G6889" s="434" t="s">
        <v>7486</v>
      </c>
      <c r="H6889" s="427">
        <v>35375</v>
      </c>
      <c r="I6889" s="427">
        <v>0</v>
      </c>
      <c r="J6889" s="425">
        <f>-((H6889*0.022)+0.3)</f>
        <v>-778.55</v>
      </c>
      <c r="K6889" s="425">
        <f t="shared" ref="K6889" si="3254">SUM(H6889:J6889)</f>
        <v>34596.449999999997</v>
      </c>
      <c r="L6889" s="187">
        <v>6634.51</v>
      </c>
      <c r="M6889" s="131">
        <v>0</v>
      </c>
      <c r="N6889" s="199">
        <f t="shared" si="3223"/>
        <v>26538.04</v>
      </c>
      <c r="O6889" s="411">
        <f t="shared" si="3221"/>
        <v>8058.4099999999962</v>
      </c>
      <c r="P6889" s="132" t="s">
        <v>46</v>
      </c>
      <c r="Q6889" s="232"/>
      <c r="R6889" s="411"/>
      <c r="T6889" s="134" t="s">
        <v>1346</v>
      </c>
      <c r="U6889" s="267" t="s">
        <v>14682</v>
      </c>
      <c r="W6889" s="153" t="s">
        <v>7150</v>
      </c>
      <c r="AA6889" s="218"/>
    </row>
    <row r="6890" spans="1:27" ht="24" x14ac:dyDescent="0.25">
      <c r="A6890" s="420"/>
      <c r="B6890" s="422"/>
      <c r="C6890" s="420"/>
      <c r="D6890" s="418"/>
      <c r="E6890" s="120">
        <v>1500</v>
      </c>
      <c r="F6890" s="119" t="s">
        <v>14683</v>
      </c>
      <c r="G6890" s="436"/>
      <c r="H6890" s="428"/>
      <c r="I6890" s="428"/>
      <c r="J6890" s="426"/>
      <c r="K6890" s="426"/>
      <c r="L6890" s="131">
        <v>3100</v>
      </c>
      <c r="N6890" s="199">
        <f t="shared" si="3223"/>
        <v>4650</v>
      </c>
      <c r="O6890" s="411">
        <f t="shared" si="3221"/>
        <v>-4650</v>
      </c>
      <c r="P6890" s="132" t="s">
        <v>2816</v>
      </c>
      <c r="Q6890" s="232"/>
      <c r="R6890" s="411"/>
      <c r="AA6890" s="218"/>
    </row>
    <row r="6891" spans="1:27" ht="24" x14ac:dyDescent="0.25">
      <c r="A6891" s="405">
        <v>3005404</v>
      </c>
      <c r="B6891" s="406">
        <v>42681</v>
      </c>
      <c r="C6891" s="405" t="s">
        <v>42</v>
      </c>
      <c r="D6891" s="401" t="s">
        <v>14684</v>
      </c>
      <c r="E6891" s="120">
        <v>150</v>
      </c>
      <c r="F6891" s="133" t="s">
        <v>877</v>
      </c>
      <c r="G6891" s="404" t="s">
        <v>7486</v>
      </c>
      <c r="H6891" s="411">
        <v>129.47</v>
      </c>
      <c r="I6891" s="89">
        <f t="shared" ref="I6891:I6902" si="3255">-(H6891*0.09)</f>
        <v>-11.6523</v>
      </c>
      <c r="J6891" s="361">
        <f t="shared" ref="J6891" si="3256">-((H6891*0.019)+0.3)</f>
        <v>-2.7599299999999998</v>
      </c>
      <c r="K6891" s="396">
        <f t="shared" ref="K6891" si="3257">SUM(H6891:J6891)</f>
        <v>115.05777</v>
      </c>
      <c r="L6891" s="131">
        <v>235</v>
      </c>
      <c r="M6891" s="187">
        <v>29.18</v>
      </c>
      <c r="N6891" s="199">
        <f t="shared" si="3223"/>
        <v>64.430000000000007</v>
      </c>
      <c r="O6891" s="411">
        <f t="shared" si="3221"/>
        <v>50.627769999999998</v>
      </c>
      <c r="P6891" s="132" t="s">
        <v>52</v>
      </c>
      <c r="Q6891" s="232"/>
      <c r="R6891" s="411"/>
      <c r="T6891" s="134" t="s">
        <v>145</v>
      </c>
      <c r="U6891" s="267" t="s">
        <v>14685</v>
      </c>
      <c r="AA6891" s="218"/>
    </row>
    <row r="6892" spans="1:27" ht="24" x14ac:dyDescent="0.25">
      <c r="A6892" s="405">
        <v>3005405</v>
      </c>
      <c r="B6892" s="406">
        <v>42681</v>
      </c>
      <c r="C6892" s="405" t="s">
        <v>42</v>
      </c>
      <c r="D6892" s="401" t="s">
        <v>14686</v>
      </c>
      <c r="E6892" s="120">
        <v>400</v>
      </c>
      <c r="F6892" s="133" t="s">
        <v>165</v>
      </c>
      <c r="G6892" s="404" t="s">
        <v>7486</v>
      </c>
      <c r="H6892" s="411">
        <v>382.96</v>
      </c>
      <c r="I6892" s="89">
        <f t="shared" si="3255"/>
        <v>-34.4664</v>
      </c>
      <c r="J6892" s="361">
        <f t="shared" ref="J6892" si="3258">-((H6892*0.019)+0.3)</f>
        <v>-7.5762399999999994</v>
      </c>
      <c r="K6892" s="396">
        <f t="shared" ref="K6892" si="3259">SUM(H6892:J6892)</f>
        <v>340.91735999999997</v>
      </c>
      <c r="L6892" s="131">
        <v>375</v>
      </c>
      <c r="M6892" s="187">
        <v>58.7</v>
      </c>
      <c r="N6892" s="199">
        <f t="shared" si="3223"/>
        <v>208.7</v>
      </c>
      <c r="O6892" s="411">
        <f t="shared" si="3221"/>
        <v>132.21735999999999</v>
      </c>
      <c r="P6892" s="132" t="s">
        <v>86</v>
      </c>
      <c r="Q6892" s="232"/>
      <c r="R6892" s="411"/>
      <c r="T6892" s="134" t="s">
        <v>145</v>
      </c>
      <c r="U6892" s="267" t="s">
        <v>14687</v>
      </c>
      <c r="AA6892" s="218"/>
    </row>
    <row r="6893" spans="1:27" ht="24" x14ac:dyDescent="0.25">
      <c r="A6893" s="405">
        <v>3005406</v>
      </c>
      <c r="B6893" s="406">
        <v>42681</v>
      </c>
      <c r="C6893" s="405" t="s">
        <v>42</v>
      </c>
      <c r="D6893" s="401" t="s">
        <v>14688</v>
      </c>
      <c r="E6893" s="120">
        <v>50</v>
      </c>
      <c r="F6893" s="133" t="s">
        <v>182</v>
      </c>
      <c r="G6893" s="404" t="s">
        <v>7486</v>
      </c>
      <c r="H6893" s="411">
        <v>173.65</v>
      </c>
      <c r="I6893" s="89">
        <f t="shared" si="3255"/>
        <v>-15.628500000000001</v>
      </c>
      <c r="J6893" s="361">
        <f t="shared" ref="J6893:J6894" si="3260">-((H6893*0.019)+0.3)</f>
        <v>-3.5993499999999998</v>
      </c>
      <c r="K6893" s="396">
        <f t="shared" ref="K6893:K6894" si="3261">SUM(H6893:J6893)</f>
        <v>154.42215000000002</v>
      </c>
      <c r="L6893" s="187">
        <v>1229</v>
      </c>
      <c r="M6893" s="187">
        <v>24.66</v>
      </c>
      <c r="N6893" s="199">
        <f t="shared" si="3223"/>
        <v>86.11</v>
      </c>
      <c r="O6893" s="411">
        <f t="shared" si="3221"/>
        <v>68.312150000000017</v>
      </c>
      <c r="P6893" s="132" t="s">
        <v>183</v>
      </c>
      <c r="Q6893" s="232"/>
      <c r="R6893" s="411"/>
      <c r="T6893" s="134" t="s">
        <v>145</v>
      </c>
      <c r="U6893" s="267" t="s">
        <v>14689</v>
      </c>
      <c r="V6893" s="133" t="s">
        <v>14690</v>
      </c>
      <c r="AA6893" s="218"/>
    </row>
    <row r="6894" spans="1:27" ht="24" x14ac:dyDescent="0.25">
      <c r="A6894" s="405">
        <v>3005407</v>
      </c>
      <c r="B6894" s="406">
        <v>42681</v>
      </c>
      <c r="C6894" s="405" t="s">
        <v>42</v>
      </c>
      <c r="D6894" s="401" t="s">
        <v>2023</v>
      </c>
      <c r="E6894" s="120">
        <v>350</v>
      </c>
      <c r="F6894" s="133" t="s">
        <v>165</v>
      </c>
      <c r="G6894" s="404" t="s">
        <v>7486</v>
      </c>
      <c r="H6894" s="411">
        <v>314.86</v>
      </c>
      <c r="I6894" s="89">
        <f t="shared" si="3255"/>
        <v>-28.337399999999999</v>
      </c>
      <c r="J6894" s="361">
        <f t="shared" si="3260"/>
        <v>-6.2823399999999996</v>
      </c>
      <c r="K6894" s="396">
        <f t="shared" si="3261"/>
        <v>280.24026000000003</v>
      </c>
      <c r="L6894" s="131">
        <v>375</v>
      </c>
      <c r="M6894" s="187">
        <v>65.14</v>
      </c>
      <c r="N6894" s="199">
        <f t="shared" si="3223"/>
        <v>196.39</v>
      </c>
      <c r="O6894" s="411">
        <f t="shared" si="3221"/>
        <v>83.850260000000048</v>
      </c>
      <c r="P6894" s="132" t="s">
        <v>86</v>
      </c>
      <c r="Q6894" s="232"/>
      <c r="R6894" s="411"/>
      <c r="T6894" s="134" t="s">
        <v>145</v>
      </c>
      <c r="U6894" s="267" t="s">
        <v>14691</v>
      </c>
      <c r="AA6894" s="218"/>
    </row>
    <row r="6895" spans="1:27" ht="24" x14ac:dyDescent="0.25">
      <c r="A6895" s="405">
        <v>3005408</v>
      </c>
      <c r="B6895" s="406">
        <v>42681</v>
      </c>
      <c r="C6895" s="405" t="s">
        <v>42</v>
      </c>
      <c r="D6895" s="401" t="s">
        <v>14692</v>
      </c>
      <c r="E6895" s="120">
        <v>250</v>
      </c>
      <c r="F6895" s="133" t="s">
        <v>2361</v>
      </c>
      <c r="G6895" s="404" t="s">
        <v>7486</v>
      </c>
      <c r="H6895" s="411">
        <v>320</v>
      </c>
      <c r="I6895" s="89">
        <f t="shared" si="3255"/>
        <v>-28.799999999999997</v>
      </c>
      <c r="J6895" s="361">
        <f t="shared" ref="J6895" si="3262">-((H6895*0.019)+0.3)</f>
        <v>-6.38</v>
      </c>
      <c r="K6895" s="396">
        <f t="shared" ref="K6895" si="3263">SUM(H6895:J6895)</f>
        <v>284.82</v>
      </c>
      <c r="L6895" s="131">
        <v>750</v>
      </c>
      <c r="M6895" s="187">
        <v>37.520000000000003</v>
      </c>
      <c r="N6895" s="199">
        <f t="shared" si="3223"/>
        <v>225.02</v>
      </c>
      <c r="O6895" s="411">
        <f t="shared" si="3221"/>
        <v>59.799999999999983</v>
      </c>
      <c r="P6895" s="132" t="s">
        <v>52</v>
      </c>
      <c r="Q6895" s="232"/>
      <c r="R6895" s="411"/>
      <c r="T6895" s="134" t="s">
        <v>145</v>
      </c>
      <c r="U6895" s="267" t="s">
        <v>14693</v>
      </c>
      <c r="AA6895" s="218"/>
    </row>
    <row r="6896" spans="1:27" ht="24" x14ac:dyDescent="0.25">
      <c r="A6896" s="405">
        <v>3005409</v>
      </c>
      <c r="B6896" s="406">
        <v>42681</v>
      </c>
      <c r="C6896" s="405" t="s">
        <v>42</v>
      </c>
      <c r="D6896" s="401" t="s">
        <v>14694</v>
      </c>
      <c r="E6896" s="120">
        <v>300</v>
      </c>
      <c r="F6896" s="133" t="s">
        <v>227</v>
      </c>
      <c r="G6896" s="404" t="s">
        <v>7486</v>
      </c>
      <c r="H6896" s="411">
        <v>267.17</v>
      </c>
      <c r="I6896" s="89">
        <f t="shared" si="3255"/>
        <v>-24.045300000000001</v>
      </c>
      <c r="J6896" s="361">
        <f t="shared" ref="J6896" si="3264">-((H6896*0.019)+0.3)</f>
        <v>-5.3762299999999996</v>
      </c>
      <c r="K6896" s="396">
        <f t="shared" ref="K6896" si="3265">SUM(H6896:J6896)</f>
        <v>237.74847000000003</v>
      </c>
      <c r="L6896" s="131">
        <v>350</v>
      </c>
      <c r="M6896" s="187">
        <v>41.46</v>
      </c>
      <c r="N6896" s="199">
        <f t="shared" si="3223"/>
        <v>146.46</v>
      </c>
      <c r="O6896" s="411">
        <f t="shared" si="3221"/>
        <v>91.288470000000018</v>
      </c>
      <c r="P6896" s="132" t="s">
        <v>52</v>
      </c>
      <c r="Q6896" s="232"/>
      <c r="R6896" s="411"/>
      <c r="T6896" s="134" t="s">
        <v>145</v>
      </c>
      <c r="U6896" s="267" t="s">
        <v>14695</v>
      </c>
      <c r="AA6896" s="218"/>
    </row>
    <row r="6897" spans="1:27" ht="24" x14ac:dyDescent="0.25">
      <c r="A6897" s="405">
        <v>3005410</v>
      </c>
      <c r="B6897" s="406">
        <v>42681</v>
      </c>
      <c r="C6897" s="405" t="s">
        <v>42</v>
      </c>
      <c r="D6897" s="401" t="s">
        <v>14696</v>
      </c>
      <c r="E6897" s="120">
        <v>100</v>
      </c>
      <c r="F6897" s="133" t="s">
        <v>939</v>
      </c>
      <c r="G6897" s="404" t="s">
        <v>7486</v>
      </c>
      <c r="H6897" s="411">
        <v>131.91</v>
      </c>
      <c r="I6897" s="89">
        <f t="shared" si="3255"/>
        <v>-11.8719</v>
      </c>
      <c r="J6897" s="361">
        <f t="shared" ref="J6897" si="3266">-((H6897*0.019)+0.3)</f>
        <v>-2.8062899999999997</v>
      </c>
      <c r="K6897" s="396">
        <f t="shared" ref="K6897" si="3267">SUM(H6897:J6897)</f>
        <v>117.23181</v>
      </c>
      <c r="L6897" s="131">
        <v>431</v>
      </c>
      <c r="M6897" s="187">
        <v>17.21</v>
      </c>
      <c r="N6897" s="199">
        <f t="shared" si="3223"/>
        <v>60.31</v>
      </c>
      <c r="O6897" s="411">
        <f t="shared" si="3221"/>
        <v>56.921809999999994</v>
      </c>
      <c r="P6897" s="132" t="s">
        <v>52</v>
      </c>
      <c r="Q6897" s="232"/>
      <c r="R6897" s="411">
        <v>9.77</v>
      </c>
      <c r="S6897" s="133" t="s">
        <v>7228</v>
      </c>
      <c r="T6897" s="134" t="s">
        <v>145</v>
      </c>
      <c r="U6897" s="267" t="s">
        <v>14697</v>
      </c>
      <c r="AA6897" s="218"/>
    </row>
    <row r="6898" spans="1:27" ht="24" x14ac:dyDescent="0.25">
      <c r="A6898" s="405">
        <v>3005411</v>
      </c>
      <c r="B6898" s="406">
        <v>42681</v>
      </c>
      <c r="C6898" s="405" t="s">
        <v>42</v>
      </c>
      <c r="D6898" s="401" t="s">
        <v>14698</v>
      </c>
      <c r="E6898" s="120">
        <v>250</v>
      </c>
      <c r="F6898" s="133" t="s">
        <v>14699</v>
      </c>
      <c r="G6898" s="404" t="s">
        <v>7486</v>
      </c>
      <c r="H6898" s="411">
        <v>350</v>
      </c>
      <c r="I6898" s="89">
        <f t="shared" si="3255"/>
        <v>-31.5</v>
      </c>
      <c r="J6898" s="361">
        <f t="shared" ref="J6898" si="3268">-((H6898*0.019)+0.3)</f>
        <v>-6.9499999999999993</v>
      </c>
      <c r="K6898" s="396">
        <f t="shared" ref="K6898" si="3269">SUM(H6898:J6898)</f>
        <v>311.55</v>
      </c>
      <c r="M6898" s="187">
        <v>41.74</v>
      </c>
      <c r="N6898" s="199">
        <f t="shared" si="3223"/>
        <v>41.74</v>
      </c>
      <c r="O6898" s="411">
        <f t="shared" si="3221"/>
        <v>269.81</v>
      </c>
      <c r="P6898" s="132" t="s">
        <v>52</v>
      </c>
      <c r="Q6898" s="232"/>
      <c r="R6898" s="411"/>
      <c r="T6898" s="134" t="s">
        <v>145</v>
      </c>
      <c r="U6898" s="267" t="s">
        <v>14700</v>
      </c>
      <c r="AA6898" s="218"/>
    </row>
    <row r="6899" spans="1:27" ht="24" x14ac:dyDescent="0.25">
      <c r="A6899" s="405">
        <v>3005412</v>
      </c>
      <c r="B6899" s="406">
        <v>42681</v>
      </c>
      <c r="C6899" s="405" t="s">
        <v>42</v>
      </c>
      <c r="D6899" s="401" t="s">
        <v>14701</v>
      </c>
      <c r="E6899" s="120">
        <v>200</v>
      </c>
      <c r="F6899" s="133" t="s">
        <v>165</v>
      </c>
      <c r="G6899" s="404" t="s">
        <v>7486</v>
      </c>
      <c r="H6899" s="411">
        <v>201.57</v>
      </c>
      <c r="I6899" s="89">
        <f t="shared" si="3255"/>
        <v>-18.141299999999998</v>
      </c>
      <c r="J6899" s="361">
        <f t="shared" ref="J6899" si="3270">-((H6899*0.019)+0.3)</f>
        <v>-4.1298300000000001</v>
      </c>
      <c r="K6899" s="396">
        <f t="shared" ref="K6899" si="3271">SUM(H6899:J6899)</f>
        <v>179.29886999999999</v>
      </c>
      <c r="L6899" s="131">
        <v>375</v>
      </c>
      <c r="N6899" s="199">
        <f t="shared" si="3223"/>
        <v>75</v>
      </c>
      <c r="O6899" s="411">
        <f t="shared" si="3221"/>
        <v>104.29886999999999</v>
      </c>
      <c r="P6899" s="132" t="s">
        <v>86</v>
      </c>
      <c r="Q6899" s="232"/>
      <c r="R6899" s="411"/>
      <c r="T6899" s="134" t="s">
        <v>145</v>
      </c>
      <c r="U6899" s="267" t="s">
        <v>14702</v>
      </c>
      <c r="AA6899" s="218"/>
    </row>
    <row r="6900" spans="1:27" ht="24" x14ac:dyDescent="0.25">
      <c r="A6900" s="405">
        <v>3005413</v>
      </c>
      <c r="B6900" s="406">
        <v>42681</v>
      </c>
      <c r="C6900" s="405" t="s">
        <v>42</v>
      </c>
      <c r="D6900" s="401" t="s">
        <v>14703</v>
      </c>
      <c r="E6900" s="120">
        <v>75</v>
      </c>
      <c r="F6900" s="133" t="s">
        <v>1273</v>
      </c>
      <c r="G6900" s="404" t="s">
        <v>7486</v>
      </c>
      <c r="H6900" s="411">
        <v>152</v>
      </c>
      <c r="I6900" s="89">
        <f t="shared" si="3255"/>
        <v>-13.68</v>
      </c>
      <c r="J6900" s="361">
        <f t="shared" ref="J6900" si="3272">-((H6900*0.019)+0.3)</f>
        <v>-3.1879999999999997</v>
      </c>
      <c r="K6900" s="396">
        <f t="shared" ref="K6900" si="3273">SUM(H6900:J6900)</f>
        <v>135.13200000000001</v>
      </c>
      <c r="L6900" s="131">
        <v>616</v>
      </c>
      <c r="M6900" s="187">
        <v>14.03</v>
      </c>
      <c r="N6900" s="199">
        <f t="shared" si="3223"/>
        <v>60.23</v>
      </c>
      <c r="O6900" s="411">
        <f t="shared" si="3221"/>
        <v>74.902000000000015</v>
      </c>
      <c r="P6900" s="132" t="s">
        <v>52</v>
      </c>
      <c r="Q6900" s="232"/>
      <c r="R6900" s="411"/>
      <c r="T6900" s="134" t="s">
        <v>145</v>
      </c>
      <c r="U6900" s="267" t="s">
        <v>14704</v>
      </c>
      <c r="AA6900" s="218"/>
    </row>
    <row r="6901" spans="1:27" ht="24" x14ac:dyDescent="0.25">
      <c r="A6901" s="405">
        <v>3005414</v>
      </c>
      <c r="B6901" s="406">
        <v>42681</v>
      </c>
      <c r="C6901" s="405" t="s">
        <v>42</v>
      </c>
      <c r="D6901" s="401" t="s">
        <v>14705</v>
      </c>
      <c r="E6901" s="120">
        <v>250</v>
      </c>
      <c r="F6901" s="133" t="s">
        <v>877</v>
      </c>
      <c r="G6901" s="404" t="s">
        <v>7486</v>
      </c>
      <c r="H6901" s="411">
        <v>182.68</v>
      </c>
      <c r="I6901" s="89">
        <f t="shared" si="3255"/>
        <v>-16.441199999999998</v>
      </c>
      <c r="J6901" s="361">
        <f t="shared" ref="J6901" si="3274">-((H6901*0.019)+0.3)</f>
        <v>-3.7709199999999998</v>
      </c>
      <c r="K6901" s="396">
        <f t="shared" ref="K6901" si="3275">SUM(H6901:J6901)</f>
        <v>162.46788000000001</v>
      </c>
      <c r="L6901" s="131">
        <v>235</v>
      </c>
      <c r="M6901" s="187">
        <v>34.25</v>
      </c>
      <c r="N6901" s="199">
        <f t="shared" si="3223"/>
        <v>93</v>
      </c>
      <c r="O6901" s="411">
        <f t="shared" si="3221"/>
        <v>69.467880000000008</v>
      </c>
      <c r="P6901" s="132" t="s">
        <v>52</v>
      </c>
      <c r="Q6901" s="232"/>
      <c r="R6901" s="411"/>
      <c r="T6901" s="134" t="s">
        <v>145</v>
      </c>
      <c r="U6901" s="267" t="s">
        <v>14706</v>
      </c>
      <c r="AA6901" s="218"/>
    </row>
    <row r="6902" spans="1:27" ht="24" customHeight="1" x14ac:dyDescent="0.25">
      <c r="A6902" s="419">
        <v>3005415</v>
      </c>
      <c r="B6902" s="421">
        <v>42681</v>
      </c>
      <c r="C6902" s="419" t="s">
        <v>42</v>
      </c>
      <c r="D6902" s="417" t="s">
        <v>14707</v>
      </c>
      <c r="E6902" s="120">
        <v>200</v>
      </c>
      <c r="F6902" s="133" t="s">
        <v>877</v>
      </c>
      <c r="G6902" s="434" t="s">
        <v>7486</v>
      </c>
      <c r="H6902" s="427">
        <v>201.12</v>
      </c>
      <c r="I6902" s="452">
        <f t="shared" si="3255"/>
        <v>-18.1008</v>
      </c>
      <c r="J6902" s="425">
        <f t="shared" ref="J6902" si="3276">-((H6902*0.019)+0.3)</f>
        <v>-4.1212799999999996</v>
      </c>
      <c r="K6902" s="425">
        <f t="shared" ref="K6902" si="3277">SUM(H6902:J6902)</f>
        <v>178.89792</v>
      </c>
      <c r="L6902" s="131">
        <v>235</v>
      </c>
      <c r="M6902" s="187">
        <v>33.51</v>
      </c>
      <c r="N6902" s="199">
        <f t="shared" si="3223"/>
        <v>80.509999999999991</v>
      </c>
      <c r="O6902" s="411">
        <f t="shared" si="3221"/>
        <v>98.387920000000008</v>
      </c>
      <c r="P6902" s="132" t="s">
        <v>52</v>
      </c>
      <c r="Q6902" s="232"/>
      <c r="R6902" s="411"/>
      <c r="T6902" s="439" t="s">
        <v>145</v>
      </c>
      <c r="U6902" s="446" t="s">
        <v>14708</v>
      </c>
      <c r="AA6902" s="218"/>
    </row>
    <row r="6903" spans="1:27" x14ac:dyDescent="0.25">
      <c r="A6903" s="420"/>
      <c r="B6903" s="422"/>
      <c r="C6903" s="420"/>
      <c r="D6903" s="418"/>
      <c r="E6903" s="120">
        <v>50</v>
      </c>
      <c r="F6903" s="133" t="s">
        <v>247</v>
      </c>
      <c r="G6903" s="436"/>
      <c r="H6903" s="428"/>
      <c r="I6903" s="453"/>
      <c r="J6903" s="426"/>
      <c r="K6903" s="426"/>
      <c r="L6903" s="131">
        <v>424</v>
      </c>
      <c r="N6903" s="199">
        <f t="shared" si="3223"/>
        <v>21.200000000000003</v>
      </c>
      <c r="O6903" s="411">
        <f t="shared" si="3221"/>
        <v>-21.200000000000003</v>
      </c>
      <c r="P6903" s="132" t="s">
        <v>52</v>
      </c>
      <c r="Q6903" s="232"/>
      <c r="R6903" s="411"/>
      <c r="T6903" s="441"/>
      <c r="U6903" s="447"/>
      <c r="AA6903" s="218"/>
    </row>
    <row r="6904" spans="1:27" ht="24" x14ac:dyDescent="0.25">
      <c r="A6904" s="405">
        <v>3005416</v>
      </c>
      <c r="B6904" s="406">
        <v>42681</v>
      </c>
      <c r="C6904" s="405" t="s">
        <v>42</v>
      </c>
      <c r="D6904" s="401" t="s">
        <v>14709</v>
      </c>
      <c r="E6904" s="120">
        <v>250</v>
      </c>
      <c r="F6904" s="133" t="s">
        <v>173</v>
      </c>
      <c r="G6904" s="404" t="s">
        <v>7486</v>
      </c>
      <c r="H6904" s="411">
        <v>225</v>
      </c>
      <c r="I6904" s="89">
        <f t="shared" ref="I6904:I6910" si="3278">-(H6904*0.09)</f>
        <v>-20.25</v>
      </c>
      <c r="J6904" s="361">
        <f t="shared" ref="J6904" si="3279">-((H6904*0.019)+0.3)</f>
        <v>-4.5749999999999993</v>
      </c>
      <c r="K6904" s="396">
        <f t="shared" ref="K6904" si="3280">SUM(H6904:J6904)</f>
        <v>200.17500000000001</v>
      </c>
      <c r="L6904" s="131">
        <v>409</v>
      </c>
      <c r="M6904" s="187">
        <v>18.190000000000001</v>
      </c>
      <c r="N6904" s="199">
        <f t="shared" si="3223"/>
        <v>120.44</v>
      </c>
      <c r="O6904" s="411">
        <f t="shared" si="3221"/>
        <v>79.735000000000014</v>
      </c>
      <c r="P6904" s="132" t="s">
        <v>52</v>
      </c>
      <c r="Q6904" s="232"/>
      <c r="R6904" s="411"/>
      <c r="T6904" s="134" t="s">
        <v>145</v>
      </c>
      <c r="U6904" s="267" t="s">
        <v>14710</v>
      </c>
      <c r="AA6904" s="218"/>
    </row>
    <row r="6905" spans="1:27" ht="24" x14ac:dyDescent="0.25">
      <c r="A6905" s="405">
        <v>3005417</v>
      </c>
      <c r="B6905" s="406">
        <v>42681</v>
      </c>
      <c r="C6905" s="405" t="s">
        <v>42</v>
      </c>
      <c r="D6905" s="401" t="s">
        <v>14711</v>
      </c>
      <c r="E6905" s="120">
        <v>250</v>
      </c>
      <c r="F6905" s="133" t="s">
        <v>14712</v>
      </c>
      <c r="G6905" s="404" t="s">
        <v>7486</v>
      </c>
      <c r="H6905" s="411">
        <v>106.52</v>
      </c>
      <c r="I6905" s="89">
        <f t="shared" si="3278"/>
        <v>-9.5867999999999984</v>
      </c>
      <c r="J6905" s="361">
        <f t="shared" ref="J6905" si="3281">-((H6905*0.019)+0.3)</f>
        <v>-2.3238799999999995</v>
      </c>
      <c r="K6905" s="396">
        <f t="shared" ref="K6905" si="3282">SUM(H6905:J6905)</f>
        <v>94.609319999999997</v>
      </c>
      <c r="L6905" s="187">
        <v>300</v>
      </c>
      <c r="N6905" s="199">
        <f t="shared" si="3223"/>
        <v>75</v>
      </c>
      <c r="O6905" s="411">
        <f t="shared" si="3221"/>
        <v>19.609319999999997</v>
      </c>
      <c r="P6905" s="132" t="s">
        <v>235</v>
      </c>
      <c r="Q6905" s="232"/>
      <c r="R6905" s="411"/>
      <c r="T6905" s="134" t="s">
        <v>145</v>
      </c>
      <c r="U6905" s="267" t="s">
        <v>14713</v>
      </c>
      <c r="AA6905" s="218"/>
    </row>
    <row r="6906" spans="1:27" ht="24" x14ac:dyDescent="0.25">
      <c r="A6906" s="405">
        <v>3005418</v>
      </c>
      <c r="B6906" s="406">
        <v>42681</v>
      </c>
      <c r="C6906" s="405" t="s">
        <v>42</v>
      </c>
      <c r="D6906" s="401" t="s">
        <v>14714</v>
      </c>
      <c r="E6906" s="120">
        <v>150</v>
      </c>
      <c r="F6906" s="133" t="s">
        <v>161</v>
      </c>
      <c r="G6906" s="404" t="s">
        <v>7486</v>
      </c>
      <c r="H6906" s="411">
        <v>341.55</v>
      </c>
      <c r="I6906" s="89">
        <f t="shared" si="3278"/>
        <v>-30.7395</v>
      </c>
      <c r="J6906" s="361">
        <f t="shared" ref="J6906" si="3283">-((H6906*0.019)+0.3)</f>
        <v>-6.7894499999999995</v>
      </c>
      <c r="K6906" s="396">
        <f t="shared" ref="K6906" si="3284">SUM(H6906:J6906)</f>
        <v>304.02105</v>
      </c>
      <c r="L6906" s="131">
        <v>1322</v>
      </c>
      <c r="M6906" s="187">
        <v>39.479999999999997</v>
      </c>
      <c r="N6906" s="199">
        <f t="shared" si="3223"/>
        <v>237.77999999999997</v>
      </c>
      <c r="O6906" s="411">
        <f t="shared" si="3221"/>
        <v>66.24105000000003</v>
      </c>
      <c r="P6906" s="132" t="s">
        <v>52</v>
      </c>
      <c r="Q6906" s="232"/>
      <c r="R6906" s="411"/>
      <c r="T6906" s="134" t="s">
        <v>145</v>
      </c>
      <c r="U6906" s="267" t="s">
        <v>14715</v>
      </c>
      <c r="AA6906" s="218"/>
    </row>
    <row r="6907" spans="1:27" ht="24" x14ac:dyDescent="0.25">
      <c r="A6907" s="405">
        <v>3005419</v>
      </c>
      <c r="B6907" s="406">
        <v>42681</v>
      </c>
      <c r="C6907" s="405" t="s">
        <v>42</v>
      </c>
      <c r="D6907" s="401" t="s">
        <v>14716</v>
      </c>
      <c r="E6907" s="120">
        <v>400</v>
      </c>
      <c r="F6907" s="133" t="s">
        <v>165</v>
      </c>
      <c r="G6907" s="404" t="s">
        <v>7486</v>
      </c>
      <c r="H6907" s="411">
        <v>382.96</v>
      </c>
      <c r="I6907" s="89">
        <f t="shared" si="3278"/>
        <v>-34.4664</v>
      </c>
      <c r="J6907" s="361">
        <f t="shared" ref="J6907" si="3285">-((H6907*0.019)+0.3)</f>
        <v>-7.5762399999999994</v>
      </c>
      <c r="K6907" s="396">
        <f t="shared" ref="K6907" si="3286">SUM(H6907:J6907)</f>
        <v>340.91735999999997</v>
      </c>
      <c r="L6907" s="131">
        <v>375</v>
      </c>
      <c r="N6907" s="199">
        <f t="shared" si="3223"/>
        <v>150</v>
      </c>
      <c r="O6907" s="411">
        <f t="shared" si="3221"/>
        <v>190.91735999999997</v>
      </c>
      <c r="P6907" s="132" t="s">
        <v>86</v>
      </c>
      <c r="Q6907" s="232"/>
      <c r="R6907" s="411"/>
      <c r="T6907" s="134" t="s">
        <v>145</v>
      </c>
      <c r="U6907" s="267" t="s">
        <v>14717</v>
      </c>
      <c r="AA6907" s="218"/>
    </row>
    <row r="6908" spans="1:27" ht="24" x14ac:dyDescent="0.25">
      <c r="A6908" s="405">
        <v>3005420</v>
      </c>
      <c r="B6908" s="406">
        <v>42681</v>
      </c>
      <c r="C6908" s="405" t="s">
        <v>42</v>
      </c>
      <c r="D6908" s="401" t="s">
        <v>14718</v>
      </c>
      <c r="E6908" s="120">
        <v>118</v>
      </c>
      <c r="F6908" s="133" t="s">
        <v>182</v>
      </c>
      <c r="G6908" s="404" t="s">
        <v>7486</v>
      </c>
      <c r="H6908" s="411">
        <v>247</v>
      </c>
      <c r="I6908" s="89">
        <f t="shared" si="3278"/>
        <v>-22.23</v>
      </c>
      <c r="J6908" s="361">
        <f t="shared" ref="J6908" si="3287">-((H6908*0.019)+0.3)</f>
        <v>-4.9929999999999994</v>
      </c>
      <c r="K6908" s="396">
        <f t="shared" ref="K6908" si="3288">SUM(H6908:J6908)</f>
        <v>219.77700000000002</v>
      </c>
      <c r="L6908" s="187">
        <v>1229</v>
      </c>
      <c r="M6908" s="187">
        <v>34.5</v>
      </c>
      <c r="N6908" s="199">
        <f t="shared" si="3223"/>
        <v>179.52200000000002</v>
      </c>
      <c r="O6908" s="411">
        <f t="shared" si="3221"/>
        <v>40.254999999999995</v>
      </c>
      <c r="P6908" s="132" t="s">
        <v>183</v>
      </c>
      <c r="Q6908" s="232"/>
      <c r="R6908" s="411"/>
      <c r="T6908" s="134" t="s">
        <v>145</v>
      </c>
      <c r="U6908" s="267" t="s">
        <v>14719</v>
      </c>
      <c r="AA6908" s="218"/>
    </row>
    <row r="6909" spans="1:27" ht="24" x14ac:dyDescent="0.25">
      <c r="A6909" s="405">
        <v>3005421</v>
      </c>
      <c r="B6909" s="406">
        <v>42681</v>
      </c>
      <c r="C6909" s="405" t="s">
        <v>42</v>
      </c>
      <c r="D6909" s="401" t="s">
        <v>14720</v>
      </c>
      <c r="E6909" s="120">
        <v>250</v>
      </c>
      <c r="F6909" s="133" t="s">
        <v>1137</v>
      </c>
      <c r="G6909" s="404" t="s">
        <v>7486</v>
      </c>
      <c r="H6909" s="411">
        <v>133</v>
      </c>
      <c r="I6909" s="89">
        <f t="shared" si="3278"/>
        <v>-11.969999999999999</v>
      </c>
      <c r="J6909" s="361">
        <f t="shared" ref="J6909" si="3289">-((H6909*0.019)+0.3)</f>
        <v>-2.827</v>
      </c>
      <c r="K6909" s="396">
        <f t="shared" ref="K6909" si="3290">SUM(H6909:J6909)</f>
        <v>118.203</v>
      </c>
      <c r="L6909" s="131">
        <v>220</v>
      </c>
      <c r="M6909" s="187">
        <v>14.39</v>
      </c>
      <c r="N6909" s="199">
        <f t="shared" si="3223"/>
        <v>69.39</v>
      </c>
      <c r="O6909" s="411">
        <f t="shared" si="3221"/>
        <v>48.813000000000002</v>
      </c>
      <c r="P6909" s="132" t="s">
        <v>52</v>
      </c>
      <c r="Q6909" s="232"/>
      <c r="R6909" s="411"/>
      <c r="T6909" s="134" t="s">
        <v>145</v>
      </c>
      <c r="U6909" s="267" t="s">
        <v>14721</v>
      </c>
      <c r="AA6909" s="218"/>
    </row>
    <row r="6910" spans="1:27" x14ac:dyDescent="0.25">
      <c r="A6910" s="419">
        <v>3005422</v>
      </c>
      <c r="B6910" s="421">
        <v>42681</v>
      </c>
      <c r="C6910" s="419" t="s">
        <v>42</v>
      </c>
      <c r="D6910" s="417" t="s">
        <v>14722</v>
      </c>
      <c r="E6910" s="120">
        <v>500</v>
      </c>
      <c r="F6910" s="133" t="s">
        <v>14723</v>
      </c>
      <c r="G6910" s="434" t="s">
        <v>7486</v>
      </c>
      <c r="H6910" s="427">
        <v>835.3</v>
      </c>
      <c r="I6910" s="452">
        <f t="shared" si="3278"/>
        <v>-75.176999999999992</v>
      </c>
      <c r="J6910" s="425">
        <f t="shared" ref="J6910" si="3291">-((H6910*0.019)+0.3)</f>
        <v>-16.1707</v>
      </c>
      <c r="K6910" s="425">
        <f t="shared" ref="K6910" si="3292">SUM(H6910:J6910)</f>
        <v>743.95229999999992</v>
      </c>
      <c r="L6910" s="187">
        <v>530</v>
      </c>
      <c r="M6910" s="187">
        <v>57.14</v>
      </c>
      <c r="N6910" s="199">
        <f t="shared" si="3223"/>
        <v>322.14</v>
      </c>
      <c r="O6910" s="411">
        <f t="shared" si="3221"/>
        <v>421.81229999999994</v>
      </c>
      <c r="P6910" s="132" t="s">
        <v>183</v>
      </c>
      <c r="Q6910" s="232"/>
      <c r="R6910" s="411"/>
      <c r="T6910" s="439" t="s">
        <v>145</v>
      </c>
      <c r="U6910" s="267" t="s">
        <v>14724</v>
      </c>
      <c r="AA6910" s="479"/>
    </row>
    <row r="6911" spans="1:27" x14ac:dyDescent="0.25">
      <c r="A6911" s="420"/>
      <c r="B6911" s="422"/>
      <c r="C6911" s="420"/>
      <c r="D6911" s="418"/>
      <c r="E6911" s="120">
        <v>500</v>
      </c>
      <c r="F6911" s="133" t="s">
        <v>5503</v>
      </c>
      <c r="G6911" s="436"/>
      <c r="H6911" s="428"/>
      <c r="I6911" s="453"/>
      <c r="J6911" s="426"/>
      <c r="K6911" s="426"/>
      <c r="L6911" s="187">
        <v>240</v>
      </c>
      <c r="M6911" s="187"/>
      <c r="N6911" s="199">
        <f t="shared" si="3223"/>
        <v>120</v>
      </c>
      <c r="O6911" s="411">
        <f t="shared" si="3221"/>
        <v>-120</v>
      </c>
      <c r="P6911" s="132" t="s">
        <v>183</v>
      </c>
      <c r="Q6911" s="232"/>
      <c r="R6911" s="411"/>
      <c r="T6911" s="441"/>
      <c r="U6911" s="267" t="s">
        <v>14725</v>
      </c>
      <c r="AA6911" s="480"/>
    </row>
    <row r="6912" spans="1:27" ht="24" x14ac:dyDescent="0.25">
      <c r="A6912" s="405">
        <v>3005423</v>
      </c>
      <c r="B6912" s="406">
        <v>42681</v>
      </c>
      <c r="C6912" s="405" t="s">
        <v>42</v>
      </c>
      <c r="D6912" s="401" t="s">
        <v>14726</v>
      </c>
      <c r="E6912" s="120">
        <v>190</v>
      </c>
      <c r="F6912" s="133" t="s">
        <v>222</v>
      </c>
      <c r="G6912" s="404" t="s">
        <v>7486</v>
      </c>
      <c r="H6912" s="411">
        <v>319.8</v>
      </c>
      <c r="I6912" s="89">
        <f>-(H6912*0.09)</f>
        <v>-28.782</v>
      </c>
      <c r="J6912" s="361">
        <f t="shared" ref="J6912" si="3293">-((H6912*0.019)+0.3)</f>
        <v>-6.3761999999999999</v>
      </c>
      <c r="K6912" s="396">
        <f t="shared" ref="K6912" si="3294">SUM(H6912:J6912)</f>
        <v>284.64180000000005</v>
      </c>
      <c r="L6912" s="131">
        <v>670</v>
      </c>
      <c r="M6912" s="187">
        <v>50.88</v>
      </c>
      <c r="N6912" s="199">
        <f t="shared" si="3223"/>
        <v>178.18</v>
      </c>
      <c r="O6912" s="411">
        <f t="shared" si="3221"/>
        <v>106.46180000000004</v>
      </c>
      <c r="P6912" s="132" t="s">
        <v>86</v>
      </c>
      <c r="Q6912" s="232"/>
      <c r="R6912" s="411"/>
      <c r="T6912" s="134" t="s">
        <v>145</v>
      </c>
      <c r="U6912" s="267" t="s">
        <v>14727</v>
      </c>
      <c r="AA6912" s="218"/>
    </row>
    <row r="6913" spans="1:27" ht="24" x14ac:dyDescent="0.25">
      <c r="A6913" s="405">
        <v>3005424</v>
      </c>
      <c r="B6913" s="406">
        <v>42681</v>
      </c>
      <c r="C6913" s="405" t="s">
        <v>42</v>
      </c>
      <c r="D6913" s="401" t="s">
        <v>14728</v>
      </c>
      <c r="E6913" s="120">
        <v>100</v>
      </c>
      <c r="F6913" s="133" t="s">
        <v>217</v>
      </c>
      <c r="G6913" s="404" t="s">
        <v>7486</v>
      </c>
      <c r="H6913" s="411">
        <v>236</v>
      </c>
      <c r="I6913" s="89">
        <f>-(H6913*0.09)</f>
        <v>-21.24</v>
      </c>
      <c r="J6913" s="361">
        <f t="shared" ref="J6913" si="3295">-((H6913*0.019)+0.3)</f>
        <v>-4.7839999999999998</v>
      </c>
      <c r="K6913" s="396">
        <f t="shared" ref="K6913" si="3296">SUM(H6913:J6913)</f>
        <v>209.976</v>
      </c>
      <c r="L6913" s="131">
        <v>1322</v>
      </c>
      <c r="N6913" s="199">
        <f t="shared" si="3223"/>
        <v>132.20000000000002</v>
      </c>
      <c r="O6913" s="411">
        <f t="shared" si="3221"/>
        <v>77.775999999999982</v>
      </c>
      <c r="P6913" s="132" t="s">
        <v>52</v>
      </c>
      <c r="Q6913" s="232"/>
      <c r="R6913" s="411"/>
      <c r="T6913" s="134" t="s">
        <v>145</v>
      </c>
      <c r="U6913" s="267" t="s">
        <v>14729</v>
      </c>
      <c r="AA6913" s="218"/>
    </row>
    <row r="6914" spans="1:27" ht="24" x14ac:dyDescent="0.25">
      <c r="A6914" s="405">
        <v>3005425</v>
      </c>
      <c r="B6914" s="406">
        <v>42681</v>
      </c>
      <c r="C6914" s="405" t="s">
        <v>42</v>
      </c>
      <c r="D6914" s="401" t="s">
        <v>14730</v>
      </c>
      <c r="E6914" s="120">
        <v>100</v>
      </c>
      <c r="F6914" s="133" t="s">
        <v>247</v>
      </c>
      <c r="G6914" s="404" t="s">
        <v>7486</v>
      </c>
      <c r="H6914" s="411">
        <v>123.94</v>
      </c>
      <c r="I6914" s="89">
        <f>-(H6914*0.09)</f>
        <v>-11.154599999999999</v>
      </c>
      <c r="J6914" s="361">
        <f t="shared" ref="J6914" si="3297">-((H6914*0.019)+0.3)</f>
        <v>-2.6548599999999998</v>
      </c>
      <c r="K6914" s="396">
        <f t="shared" ref="K6914" si="3298">SUM(H6914:J6914)</f>
        <v>110.13054</v>
      </c>
      <c r="L6914" s="131">
        <v>424</v>
      </c>
      <c r="M6914" s="187">
        <v>19.899999999999999</v>
      </c>
      <c r="N6914" s="199">
        <f t="shared" si="3223"/>
        <v>62.300000000000004</v>
      </c>
      <c r="O6914" s="411">
        <f t="shared" si="3221"/>
        <v>47.830539999999992</v>
      </c>
      <c r="P6914" s="132" t="s">
        <v>52</v>
      </c>
      <c r="Q6914" s="232"/>
      <c r="R6914" s="411"/>
      <c r="T6914" s="134" t="s">
        <v>145</v>
      </c>
      <c r="U6914" s="267" t="s">
        <v>14731</v>
      </c>
      <c r="AA6914" s="218"/>
    </row>
    <row r="6915" spans="1:27" ht="24" x14ac:dyDescent="0.25">
      <c r="A6915" s="405">
        <v>3005426</v>
      </c>
      <c r="B6915" s="406">
        <v>42681</v>
      </c>
      <c r="C6915" s="405" t="s">
        <v>42</v>
      </c>
      <c r="D6915" s="401" t="s">
        <v>14732</v>
      </c>
      <c r="E6915" s="120">
        <v>250</v>
      </c>
      <c r="F6915" s="133" t="s">
        <v>2361</v>
      </c>
      <c r="G6915" s="404" t="s">
        <v>7486</v>
      </c>
      <c r="H6915" s="411">
        <v>320</v>
      </c>
      <c r="I6915" s="89">
        <f>-(H6915*0.09)</f>
        <v>-28.799999999999997</v>
      </c>
      <c r="J6915" s="361">
        <f t="shared" ref="J6915" si="3299">-((H6915*0.019)+0.3)</f>
        <v>-6.38</v>
      </c>
      <c r="K6915" s="396">
        <f t="shared" ref="K6915" si="3300">SUM(H6915:J6915)</f>
        <v>284.82</v>
      </c>
      <c r="L6915" s="131">
        <v>750</v>
      </c>
      <c r="N6915" s="199">
        <f t="shared" si="3223"/>
        <v>187.5</v>
      </c>
      <c r="O6915" s="411">
        <f t="shared" si="3221"/>
        <v>97.32</v>
      </c>
      <c r="P6915" s="132" t="s">
        <v>52</v>
      </c>
      <c r="Q6915" s="232"/>
      <c r="R6915" s="411"/>
      <c r="T6915" s="134" t="s">
        <v>145</v>
      </c>
      <c r="U6915" s="267" t="s">
        <v>14733</v>
      </c>
      <c r="AA6915" s="218"/>
    </row>
    <row r="6916" spans="1:27" x14ac:dyDescent="0.25">
      <c r="A6916" s="405">
        <v>3005427</v>
      </c>
      <c r="B6916" s="406">
        <v>42681</v>
      </c>
      <c r="C6916" s="405" t="s">
        <v>237</v>
      </c>
      <c r="D6916" s="401" t="s">
        <v>14734</v>
      </c>
      <c r="E6916" s="120">
        <v>500</v>
      </c>
      <c r="F6916" s="133" t="s">
        <v>222</v>
      </c>
      <c r="G6916" s="404" t="s">
        <v>7486</v>
      </c>
      <c r="H6916" s="411">
        <v>683.85</v>
      </c>
      <c r="I6916" s="397">
        <f t="shared" ref="I6916" si="3301">-(H6916*0.15)</f>
        <v>-102.5775</v>
      </c>
      <c r="J6916" s="258">
        <v>0</v>
      </c>
      <c r="K6916" s="90">
        <f t="shared" ref="K6916:K6921" si="3302">SUM(H6916:J6916)</f>
        <v>581.27250000000004</v>
      </c>
      <c r="L6916" s="187">
        <v>940</v>
      </c>
      <c r="M6916" s="187">
        <v>0</v>
      </c>
      <c r="N6916" s="199">
        <f t="shared" si="3223"/>
        <v>470</v>
      </c>
      <c r="O6916" s="411">
        <f t="shared" ref="O6916:O6979" si="3303">K6916-N6916</f>
        <v>111.27250000000004</v>
      </c>
      <c r="P6916" s="132" t="s">
        <v>14735</v>
      </c>
      <c r="Q6916" s="232"/>
      <c r="R6916" s="411"/>
      <c r="T6916" s="134" t="s">
        <v>14736</v>
      </c>
      <c r="U6916" s="267" t="s">
        <v>14737</v>
      </c>
      <c r="AA6916" s="218"/>
    </row>
    <row r="6917" spans="1:27" ht="24" x14ac:dyDescent="0.25">
      <c r="A6917" s="405">
        <v>3005428</v>
      </c>
      <c r="B6917" s="406">
        <v>42681</v>
      </c>
      <c r="C6917" s="405" t="s">
        <v>237</v>
      </c>
      <c r="D6917" s="401" t="s">
        <v>14738</v>
      </c>
      <c r="E6917" s="120">
        <v>300</v>
      </c>
      <c r="F6917" s="119" t="s">
        <v>14739</v>
      </c>
      <c r="G6917" s="404" t="s">
        <v>7486</v>
      </c>
      <c r="H6917" s="411">
        <v>205.62</v>
      </c>
      <c r="I6917" s="397">
        <f t="shared" ref="I6917" si="3304">-(H6917*0.15)</f>
        <v>-30.843</v>
      </c>
      <c r="J6917" s="258">
        <v>0</v>
      </c>
      <c r="K6917" s="90">
        <f t="shared" si="3302"/>
        <v>174.77700000000002</v>
      </c>
      <c r="L6917" s="187">
        <v>265</v>
      </c>
      <c r="M6917" s="187">
        <v>17.95</v>
      </c>
      <c r="N6917" s="199">
        <f t="shared" si="3223"/>
        <v>97.45</v>
      </c>
      <c r="O6917" s="411">
        <f t="shared" si="3303"/>
        <v>77.327000000000012</v>
      </c>
      <c r="P6917" s="132" t="s">
        <v>183</v>
      </c>
      <c r="Q6917" s="232"/>
      <c r="R6917" s="411"/>
      <c r="T6917" s="134" t="s">
        <v>145</v>
      </c>
      <c r="U6917" s="267" t="s">
        <v>14740</v>
      </c>
      <c r="AA6917" s="218"/>
    </row>
    <row r="6918" spans="1:27" ht="24" x14ac:dyDescent="0.25">
      <c r="A6918" s="405">
        <v>3005429</v>
      </c>
      <c r="B6918" s="406">
        <v>42681</v>
      </c>
      <c r="C6918" s="405" t="s">
        <v>237</v>
      </c>
      <c r="D6918" s="401" t="s">
        <v>14741</v>
      </c>
      <c r="E6918" s="120">
        <v>200</v>
      </c>
      <c r="F6918" s="133" t="s">
        <v>247</v>
      </c>
      <c r="G6918" s="404" t="s">
        <v>7486</v>
      </c>
      <c r="H6918" s="411">
        <v>151.76</v>
      </c>
      <c r="I6918" s="397">
        <f t="shared" ref="I6918" si="3305">-(H6918*0.15)</f>
        <v>-22.763999999999999</v>
      </c>
      <c r="J6918" s="258">
        <v>0</v>
      </c>
      <c r="K6918" s="90">
        <f t="shared" si="3302"/>
        <v>128.99599999999998</v>
      </c>
      <c r="L6918" s="131">
        <v>424</v>
      </c>
      <c r="M6918" s="187">
        <v>39.14</v>
      </c>
      <c r="N6918" s="199">
        <f t="shared" si="3223"/>
        <v>123.94000000000001</v>
      </c>
      <c r="O6918" s="411">
        <f t="shared" si="3303"/>
        <v>5.055999999999969</v>
      </c>
      <c r="P6918" s="132" t="s">
        <v>52</v>
      </c>
      <c r="Q6918" s="232"/>
      <c r="R6918" s="411"/>
      <c r="T6918" s="134" t="s">
        <v>145</v>
      </c>
      <c r="U6918" s="267" t="s">
        <v>14742</v>
      </c>
      <c r="AA6918" s="218"/>
    </row>
    <row r="6919" spans="1:27" ht="24" x14ac:dyDescent="0.25">
      <c r="A6919" s="405">
        <v>3005430</v>
      </c>
      <c r="B6919" s="406">
        <v>42681</v>
      </c>
      <c r="C6919" s="405" t="s">
        <v>237</v>
      </c>
      <c r="D6919" s="401" t="s">
        <v>14743</v>
      </c>
      <c r="E6919" s="120">
        <v>50</v>
      </c>
      <c r="F6919" s="133" t="s">
        <v>217</v>
      </c>
      <c r="G6919" s="404" t="s">
        <v>7486</v>
      </c>
      <c r="H6919" s="411">
        <v>127.1</v>
      </c>
      <c r="I6919" s="397">
        <f t="shared" ref="I6919" si="3306">-(H6919*0.15)</f>
        <v>-19.064999999999998</v>
      </c>
      <c r="J6919" s="258">
        <v>0</v>
      </c>
      <c r="K6919" s="90">
        <f t="shared" si="3302"/>
        <v>108.035</v>
      </c>
      <c r="L6919" s="131">
        <v>1322</v>
      </c>
      <c r="M6919" s="187">
        <v>29.53</v>
      </c>
      <c r="N6919" s="199">
        <f t="shared" si="3223"/>
        <v>95.63000000000001</v>
      </c>
      <c r="O6919" s="411">
        <f t="shared" si="3303"/>
        <v>12.404999999999987</v>
      </c>
      <c r="P6919" s="132" t="s">
        <v>52</v>
      </c>
      <c r="Q6919" s="232"/>
      <c r="R6919" s="411"/>
      <c r="T6919" s="134" t="s">
        <v>145</v>
      </c>
      <c r="U6919" s="267" t="s">
        <v>14744</v>
      </c>
      <c r="AA6919" s="218"/>
    </row>
    <row r="6920" spans="1:27" ht="24" x14ac:dyDescent="0.25">
      <c r="A6920" s="405">
        <v>3005431</v>
      </c>
      <c r="B6920" s="406">
        <v>42681</v>
      </c>
      <c r="C6920" s="405" t="s">
        <v>237</v>
      </c>
      <c r="D6920" s="401" t="s">
        <v>14745</v>
      </c>
      <c r="E6920" s="120">
        <v>150</v>
      </c>
      <c r="F6920" s="133" t="s">
        <v>247</v>
      </c>
      <c r="G6920" s="404" t="s">
        <v>7486</v>
      </c>
      <c r="H6920" s="411">
        <v>160.38</v>
      </c>
      <c r="I6920" s="397">
        <f t="shared" ref="I6920" si="3307">-(H6920*0.15)</f>
        <v>-24.056999999999999</v>
      </c>
      <c r="J6920" s="258">
        <v>0</v>
      </c>
      <c r="K6920" s="90">
        <f t="shared" si="3302"/>
        <v>136.32300000000001</v>
      </c>
      <c r="L6920" s="131">
        <v>424</v>
      </c>
      <c r="M6920" s="187">
        <v>32.119999999999997</v>
      </c>
      <c r="N6920" s="199">
        <f t="shared" ref="N6920:N6983" si="3308">((L6920)*(E6920*0.001))+M6920</f>
        <v>95.72</v>
      </c>
      <c r="O6920" s="411">
        <f t="shared" si="3303"/>
        <v>40.603000000000009</v>
      </c>
      <c r="P6920" s="132" t="s">
        <v>52</v>
      </c>
      <c r="Q6920" s="232"/>
      <c r="R6920" s="411"/>
      <c r="T6920" s="134" t="s">
        <v>145</v>
      </c>
      <c r="U6920" s="267" t="s">
        <v>14746</v>
      </c>
      <c r="AA6920" s="218"/>
    </row>
    <row r="6921" spans="1:27" x14ac:dyDescent="0.25">
      <c r="A6921" s="419">
        <v>3005432</v>
      </c>
      <c r="B6921" s="421">
        <v>42681</v>
      </c>
      <c r="C6921" s="419" t="s">
        <v>237</v>
      </c>
      <c r="D6921" s="417" t="s">
        <v>14747</v>
      </c>
      <c r="E6921" s="120">
        <v>100</v>
      </c>
      <c r="F6921" s="133" t="s">
        <v>10698</v>
      </c>
      <c r="G6921" s="434" t="s">
        <v>7486</v>
      </c>
      <c r="H6921" s="427">
        <v>195.12</v>
      </c>
      <c r="I6921" s="452">
        <f t="shared" ref="I6921" si="3309">-(H6921*0.15)</f>
        <v>-29.268000000000001</v>
      </c>
      <c r="J6921" s="425">
        <v>0</v>
      </c>
      <c r="K6921" s="425">
        <f t="shared" si="3302"/>
        <v>165.852</v>
      </c>
      <c r="L6921" s="187">
        <v>461</v>
      </c>
      <c r="M6921" s="187">
        <v>56.75</v>
      </c>
      <c r="N6921" s="199">
        <f t="shared" si="3308"/>
        <v>102.85</v>
      </c>
      <c r="O6921" s="411">
        <f t="shared" si="3303"/>
        <v>63.00200000000001</v>
      </c>
      <c r="P6921" s="132" t="s">
        <v>601</v>
      </c>
      <c r="Q6921" s="232"/>
      <c r="R6921" s="411"/>
      <c r="T6921" s="439" t="s">
        <v>145</v>
      </c>
      <c r="U6921" s="446" t="s">
        <v>14748</v>
      </c>
      <c r="AA6921" s="218"/>
    </row>
    <row r="6922" spans="1:27" x14ac:dyDescent="0.25">
      <c r="A6922" s="420"/>
      <c r="B6922" s="422"/>
      <c r="C6922" s="420"/>
      <c r="D6922" s="418"/>
      <c r="E6922" s="120">
        <v>100</v>
      </c>
      <c r="F6922" s="133" t="s">
        <v>4881</v>
      </c>
      <c r="G6922" s="436"/>
      <c r="H6922" s="428"/>
      <c r="I6922" s="453"/>
      <c r="J6922" s="426"/>
      <c r="K6922" s="426"/>
      <c r="L6922" s="187">
        <v>461</v>
      </c>
      <c r="M6922" s="187"/>
      <c r="N6922" s="199">
        <f t="shared" si="3308"/>
        <v>46.1</v>
      </c>
      <c r="O6922" s="411">
        <f t="shared" si="3303"/>
        <v>-46.1</v>
      </c>
      <c r="P6922" s="132" t="s">
        <v>601</v>
      </c>
      <c r="Q6922" s="232"/>
      <c r="R6922" s="411"/>
      <c r="T6922" s="441"/>
      <c r="U6922" s="447"/>
      <c r="AA6922" s="218"/>
    </row>
    <row r="6923" spans="1:27" ht="24" x14ac:dyDescent="0.25">
      <c r="A6923" s="405">
        <v>3005433</v>
      </c>
      <c r="B6923" s="406">
        <v>42681</v>
      </c>
      <c r="C6923" s="405" t="s">
        <v>237</v>
      </c>
      <c r="D6923" s="401" t="s">
        <v>14749</v>
      </c>
      <c r="E6923" s="120">
        <v>150</v>
      </c>
      <c r="F6923" s="133" t="s">
        <v>165</v>
      </c>
      <c r="G6923" s="404" t="s">
        <v>7486</v>
      </c>
      <c r="H6923" s="411">
        <v>129.36000000000001</v>
      </c>
      <c r="I6923" s="397">
        <f t="shared" ref="I6923:I6924" si="3310">-(H6923*0.15)</f>
        <v>-19.404</v>
      </c>
      <c r="J6923" s="258">
        <v>0</v>
      </c>
      <c r="K6923" s="90">
        <f>SUM(H6923:J6923)</f>
        <v>109.95600000000002</v>
      </c>
      <c r="L6923" s="131">
        <v>300</v>
      </c>
      <c r="N6923" s="199">
        <f t="shared" si="3308"/>
        <v>45</v>
      </c>
      <c r="O6923" s="411">
        <f t="shared" si="3303"/>
        <v>64.956000000000017</v>
      </c>
      <c r="P6923" s="132" t="s">
        <v>86</v>
      </c>
      <c r="Q6923" s="232"/>
      <c r="R6923" s="411"/>
      <c r="T6923" s="134" t="s">
        <v>145</v>
      </c>
      <c r="U6923" s="267" t="s">
        <v>14750</v>
      </c>
      <c r="AA6923" s="218"/>
    </row>
    <row r="6924" spans="1:27" x14ac:dyDescent="0.25">
      <c r="A6924" s="419">
        <v>3005434</v>
      </c>
      <c r="B6924" s="421">
        <v>42681</v>
      </c>
      <c r="C6924" s="419" t="s">
        <v>237</v>
      </c>
      <c r="D6924" s="417" t="s">
        <v>14751</v>
      </c>
      <c r="E6924" s="120">
        <v>50</v>
      </c>
      <c r="F6924" s="133" t="s">
        <v>3719</v>
      </c>
      <c r="G6924" s="434" t="s">
        <v>7486</v>
      </c>
      <c r="H6924" s="427">
        <v>178</v>
      </c>
      <c r="I6924" s="452">
        <f t="shared" si="3310"/>
        <v>-26.7</v>
      </c>
      <c r="J6924" s="425">
        <v>0</v>
      </c>
      <c r="K6924" s="425">
        <f>SUM(H6924:J6924)</f>
        <v>151.30000000000001</v>
      </c>
      <c r="L6924" s="187">
        <v>1160</v>
      </c>
      <c r="M6924" s="187">
        <v>19.5</v>
      </c>
      <c r="N6924" s="199">
        <f t="shared" si="3308"/>
        <v>77.5</v>
      </c>
      <c r="O6924" s="411">
        <f t="shared" si="3303"/>
        <v>73.800000000000011</v>
      </c>
      <c r="P6924" s="132" t="s">
        <v>601</v>
      </c>
      <c r="Q6924" s="232"/>
      <c r="R6924" s="411"/>
      <c r="T6924" s="439" t="s">
        <v>145</v>
      </c>
      <c r="U6924" s="446" t="s">
        <v>14752</v>
      </c>
      <c r="AA6924" s="218"/>
    </row>
    <row r="6925" spans="1:27" x14ac:dyDescent="0.25">
      <c r="A6925" s="420"/>
      <c r="B6925" s="422"/>
      <c r="C6925" s="420"/>
      <c r="D6925" s="418"/>
      <c r="E6925" s="120">
        <v>50</v>
      </c>
      <c r="F6925" s="133" t="s">
        <v>3307</v>
      </c>
      <c r="G6925" s="436"/>
      <c r="H6925" s="428"/>
      <c r="I6925" s="453"/>
      <c r="J6925" s="426"/>
      <c r="K6925" s="426"/>
      <c r="L6925" s="187">
        <v>1160</v>
      </c>
      <c r="M6925" s="187"/>
      <c r="N6925" s="199">
        <f t="shared" si="3308"/>
        <v>58</v>
      </c>
      <c r="O6925" s="411">
        <f t="shared" si="3303"/>
        <v>-58</v>
      </c>
      <c r="P6925" s="132" t="s">
        <v>601</v>
      </c>
      <c r="Q6925" s="232"/>
      <c r="R6925" s="411"/>
      <c r="T6925" s="441"/>
      <c r="U6925" s="447"/>
      <c r="AA6925" s="218"/>
    </row>
    <row r="6926" spans="1:27" ht="24" x14ac:dyDescent="0.25">
      <c r="A6926" s="405">
        <v>3005435</v>
      </c>
      <c r="B6926" s="406">
        <v>42681</v>
      </c>
      <c r="C6926" s="405" t="s">
        <v>237</v>
      </c>
      <c r="D6926" s="401" t="s">
        <v>14753</v>
      </c>
      <c r="E6926" s="120">
        <v>100</v>
      </c>
      <c r="F6926" s="133" t="s">
        <v>176</v>
      </c>
      <c r="G6926" s="404" t="s">
        <v>7486</v>
      </c>
      <c r="H6926" s="411">
        <v>289</v>
      </c>
      <c r="I6926" s="397">
        <f t="shared" ref="I6926" si="3311">-(H6926*0.15)</f>
        <v>-43.35</v>
      </c>
      <c r="J6926" s="258">
        <v>0</v>
      </c>
      <c r="K6926" s="90">
        <f t="shared" ref="K6926:K6931" si="3312">SUM(H6926:J6926)</f>
        <v>245.65</v>
      </c>
      <c r="L6926" s="131">
        <v>1693</v>
      </c>
      <c r="N6926" s="199">
        <f t="shared" si="3308"/>
        <v>169.3</v>
      </c>
      <c r="O6926" s="411">
        <f t="shared" si="3303"/>
        <v>76.349999999999994</v>
      </c>
      <c r="P6926" s="132" t="s">
        <v>52</v>
      </c>
      <c r="Q6926" s="232"/>
      <c r="R6926" s="411"/>
      <c r="T6926" s="134" t="s">
        <v>145</v>
      </c>
      <c r="U6926" s="267" t="s">
        <v>14754</v>
      </c>
      <c r="AA6926" s="218"/>
    </row>
    <row r="6927" spans="1:27" ht="24" x14ac:dyDescent="0.25">
      <c r="A6927" s="405">
        <v>3005436</v>
      </c>
      <c r="B6927" s="406">
        <v>42681</v>
      </c>
      <c r="C6927" s="405" t="s">
        <v>237</v>
      </c>
      <c r="D6927" s="401" t="s">
        <v>14755</v>
      </c>
      <c r="E6927" s="120">
        <v>50</v>
      </c>
      <c r="F6927" s="133" t="s">
        <v>431</v>
      </c>
      <c r="G6927" s="404" t="s">
        <v>7486</v>
      </c>
      <c r="H6927" s="411">
        <v>118.6</v>
      </c>
      <c r="I6927" s="397">
        <f t="shared" ref="I6927" si="3313">-(H6927*0.15)</f>
        <v>-17.79</v>
      </c>
      <c r="J6927" s="258">
        <v>0</v>
      </c>
      <c r="K6927" s="90">
        <f t="shared" si="3312"/>
        <v>100.81</v>
      </c>
      <c r="L6927" s="131">
        <v>950</v>
      </c>
      <c r="M6927" s="187">
        <v>25.84</v>
      </c>
      <c r="N6927" s="199">
        <f t="shared" si="3308"/>
        <v>73.34</v>
      </c>
      <c r="O6927" s="411">
        <f t="shared" si="3303"/>
        <v>27.47</v>
      </c>
      <c r="P6927" s="132" t="s">
        <v>52</v>
      </c>
      <c r="Q6927" s="232"/>
      <c r="R6927" s="411"/>
      <c r="T6927" s="134" t="s">
        <v>145</v>
      </c>
      <c r="U6927" s="267" t="s">
        <v>14756</v>
      </c>
      <c r="AA6927" s="218"/>
    </row>
    <row r="6928" spans="1:27" ht="24" x14ac:dyDescent="0.25">
      <c r="A6928" s="405">
        <v>3005437</v>
      </c>
      <c r="B6928" s="406">
        <v>42681</v>
      </c>
      <c r="C6928" s="405" t="s">
        <v>237</v>
      </c>
      <c r="D6928" s="401" t="s">
        <v>14757</v>
      </c>
      <c r="E6928" s="120">
        <v>50</v>
      </c>
      <c r="F6928" s="133" t="s">
        <v>431</v>
      </c>
      <c r="G6928" s="404" t="s">
        <v>7486</v>
      </c>
      <c r="H6928" s="411">
        <v>116.23</v>
      </c>
      <c r="I6928" s="397">
        <f t="shared" ref="I6928" si="3314">-(H6928*0.15)</f>
        <v>-17.4345</v>
      </c>
      <c r="J6928" s="258">
        <v>0</v>
      </c>
      <c r="K6928" s="90">
        <f t="shared" si="3312"/>
        <v>98.795500000000004</v>
      </c>
      <c r="L6928" s="131">
        <v>950</v>
      </c>
      <c r="M6928" s="187">
        <v>32.32</v>
      </c>
      <c r="N6928" s="199">
        <f t="shared" si="3308"/>
        <v>79.819999999999993</v>
      </c>
      <c r="O6928" s="411">
        <f t="shared" si="3303"/>
        <v>18.975500000000011</v>
      </c>
      <c r="P6928" s="132" t="s">
        <v>52</v>
      </c>
      <c r="Q6928" s="232"/>
      <c r="R6928" s="411"/>
      <c r="T6928" s="134" t="s">
        <v>145</v>
      </c>
      <c r="U6928" s="267" t="s">
        <v>14758</v>
      </c>
      <c r="AA6928" s="218"/>
    </row>
    <row r="6929" spans="1:27" ht="24" x14ac:dyDescent="0.25">
      <c r="A6929" s="405">
        <v>3005438</v>
      </c>
      <c r="B6929" s="406">
        <v>42681</v>
      </c>
      <c r="C6929" s="405" t="s">
        <v>237</v>
      </c>
      <c r="D6929" s="401" t="s">
        <v>14759</v>
      </c>
      <c r="E6929" s="120">
        <v>500</v>
      </c>
      <c r="F6929" s="133" t="s">
        <v>451</v>
      </c>
      <c r="G6929" s="363" t="s">
        <v>7486</v>
      </c>
      <c r="H6929" s="258">
        <v>283.14</v>
      </c>
      <c r="I6929" s="397">
        <f t="shared" ref="I6929" si="3315">-(H6929*0.15)</f>
        <v>-42.470999999999997</v>
      </c>
      <c r="J6929" s="258">
        <v>0</v>
      </c>
      <c r="K6929" s="90">
        <f t="shared" si="3312"/>
        <v>240.66899999999998</v>
      </c>
      <c r="L6929" s="131">
        <v>300</v>
      </c>
      <c r="M6929" s="187">
        <v>25.09</v>
      </c>
      <c r="N6929" s="199">
        <f t="shared" si="3308"/>
        <v>175.09</v>
      </c>
      <c r="O6929" s="411">
        <f t="shared" si="3303"/>
        <v>65.578999999999979</v>
      </c>
      <c r="P6929" s="132" t="s">
        <v>52</v>
      </c>
      <c r="Q6929" s="232"/>
      <c r="R6929" s="411"/>
      <c r="T6929" s="134" t="s">
        <v>145</v>
      </c>
      <c r="U6929" s="267" t="s">
        <v>14760</v>
      </c>
      <c r="AA6929" s="218"/>
    </row>
    <row r="6930" spans="1:27" ht="24" x14ac:dyDescent="0.25">
      <c r="A6930" s="405">
        <v>3005439</v>
      </c>
      <c r="B6930" s="406">
        <v>42681</v>
      </c>
      <c r="C6930" s="405" t="s">
        <v>237</v>
      </c>
      <c r="D6930" s="401" t="s">
        <v>14761</v>
      </c>
      <c r="E6930" s="120">
        <v>50</v>
      </c>
      <c r="F6930" s="133" t="s">
        <v>307</v>
      </c>
      <c r="G6930" s="363" t="s">
        <v>7486</v>
      </c>
      <c r="H6930" s="411">
        <v>100</v>
      </c>
      <c r="I6930" s="397">
        <f t="shared" ref="I6930" si="3316">-(H6930*0.15)</f>
        <v>-15</v>
      </c>
      <c r="J6930" s="258">
        <v>0</v>
      </c>
      <c r="K6930" s="90">
        <f t="shared" si="3312"/>
        <v>85</v>
      </c>
      <c r="L6930" s="131">
        <v>622.45000000000005</v>
      </c>
      <c r="M6930" s="187">
        <v>22.05</v>
      </c>
      <c r="N6930" s="199">
        <f t="shared" si="3308"/>
        <v>53.172499999999999</v>
      </c>
      <c r="O6930" s="411">
        <f t="shared" si="3303"/>
        <v>31.827500000000001</v>
      </c>
      <c r="P6930" s="132" t="s">
        <v>52</v>
      </c>
      <c r="Q6930" s="232"/>
      <c r="R6930" s="411"/>
      <c r="T6930" s="134" t="s">
        <v>145</v>
      </c>
      <c r="U6930" s="267" t="s">
        <v>14762</v>
      </c>
      <c r="AA6930" s="218"/>
    </row>
    <row r="6931" spans="1:27" ht="24" x14ac:dyDescent="0.25">
      <c r="A6931" s="405">
        <v>3005440</v>
      </c>
      <c r="B6931" s="406">
        <v>42681</v>
      </c>
      <c r="C6931" s="405" t="s">
        <v>237</v>
      </c>
      <c r="D6931" s="401" t="s">
        <v>14763</v>
      </c>
      <c r="E6931" s="120">
        <v>125</v>
      </c>
      <c r="F6931" s="133" t="s">
        <v>288</v>
      </c>
      <c r="G6931" s="363" t="s">
        <v>7486</v>
      </c>
      <c r="H6931" s="411">
        <v>178.77</v>
      </c>
      <c r="I6931" s="397">
        <f t="shared" ref="I6931" si="3317">-(H6931*0.15)</f>
        <v>-26.8155</v>
      </c>
      <c r="J6931" s="258">
        <v>0</v>
      </c>
      <c r="K6931" s="90">
        <f t="shared" si="3312"/>
        <v>151.9545</v>
      </c>
      <c r="L6931" s="131">
        <v>900</v>
      </c>
      <c r="M6931" s="187">
        <v>31.67</v>
      </c>
      <c r="N6931" s="199">
        <f t="shared" si="3308"/>
        <v>144.17000000000002</v>
      </c>
      <c r="O6931" s="411">
        <f t="shared" si="3303"/>
        <v>7.78449999999998</v>
      </c>
      <c r="P6931" s="132" t="s">
        <v>52</v>
      </c>
      <c r="Q6931" s="232"/>
      <c r="R6931" s="411"/>
      <c r="T6931" s="134" t="s">
        <v>145</v>
      </c>
      <c r="U6931" s="267" t="s">
        <v>14764</v>
      </c>
      <c r="AA6931" s="218"/>
    </row>
    <row r="6932" spans="1:27" ht="24" x14ac:dyDescent="0.25">
      <c r="A6932" s="405">
        <v>3005441</v>
      </c>
      <c r="B6932" s="406">
        <v>42681</v>
      </c>
      <c r="C6932" s="405" t="s">
        <v>280</v>
      </c>
      <c r="D6932" s="401" t="s">
        <v>14765</v>
      </c>
      <c r="E6932" s="120">
        <v>150</v>
      </c>
      <c r="F6932" s="133" t="s">
        <v>247</v>
      </c>
      <c r="G6932" s="363" t="s">
        <v>7486</v>
      </c>
      <c r="H6932" s="411">
        <v>140</v>
      </c>
      <c r="I6932" s="411">
        <v>0</v>
      </c>
      <c r="J6932" s="361">
        <f>-((H6932*0.022)+0.3)</f>
        <v>-3.3799999999999994</v>
      </c>
      <c r="K6932" s="396">
        <f t="shared" ref="K6932" si="3318">SUM(H6932:J6932)</f>
        <v>136.62</v>
      </c>
      <c r="L6932" s="131">
        <v>424</v>
      </c>
      <c r="M6932" s="187">
        <v>33.340000000000003</v>
      </c>
      <c r="N6932" s="199">
        <f t="shared" si="3308"/>
        <v>96.94</v>
      </c>
      <c r="O6932" s="411">
        <f t="shared" si="3303"/>
        <v>39.680000000000007</v>
      </c>
      <c r="P6932" s="132" t="s">
        <v>52</v>
      </c>
      <c r="Q6932" s="232"/>
      <c r="R6932" s="411"/>
      <c r="T6932" s="134" t="s">
        <v>145</v>
      </c>
      <c r="U6932" s="267" t="s">
        <v>14766</v>
      </c>
      <c r="W6932" s="153" t="s">
        <v>14767</v>
      </c>
      <c r="AA6932" s="218"/>
    </row>
    <row r="6933" spans="1:27" x14ac:dyDescent="0.25">
      <c r="A6933" s="405">
        <v>3005442</v>
      </c>
      <c r="B6933" s="406">
        <v>42681</v>
      </c>
      <c r="C6933" s="405" t="s">
        <v>42</v>
      </c>
      <c r="D6933" s="401" t="s">
        <v>14768</v>
      </c>
      <c r="E6933" s="120">
        <v>500</v>
      </c>
      <c r="F6933" s="133" t="s">
        <v>14769</v>
      </c>
      <c r="G6933" s="363" t="s">
        <v>9241</v>
      </c>
      <c r="H6933" s="411">
        <v>2500</v>
      </c>
      <c r="I6933" s="89">
        <f>-(H6933*0.09)</f>
        <v>-225</v>
      </c>
      <c r="J6933" s="361">
        <f t="shared" ref="J6933" si="3319">-((H6933*0.019)+0.3)</f>
        <v>-47.8</v>
      </c>
      <c r="K6933" s="396">
        <f t="shared" ref="K6933:K6935" si="3320">SUM(H6933:J6933)</f>
        <v>2227.1999999999998</v>
      </c>
      <c r="L6933" s="187">
        <v>4090</v>
      </c>
      <c r="M6933" s="131">
        <v>0</v>
      </c>
      <c r="N6933" s="199">
        <f t="shared" si="3308"/>
        <v>2045</v>
      </c>
      <c r="O6933" s="411">
        <f t="shared" si="3303"/>
        <v>182.19999999999982</v>
      </c>
      <c r="P6933" s="132" t="s">
        <v>59</v>
      </c>
      <c r="Q6933" s="232"/>
      <c r="R6933" s="411"/>
      <c r="T6933" s="134" t="s">
        <v>2652</v>
      </c>
      <c r="U6933" s="267" t="s">
        <v>14770</v>
      </c>
      <c r="AA6933" s="218"/>
    </row>
    <row r="6934" spans="1:27" x14ac:dyDescent="0.25">
      <c r="A6934" s="405">
        <v>3005443</v>
      </c>
      <c r="B6934" s="406">
        <v>42681</v>
      </c>
      <c r="C6934" s="405" t="s">
        <v>56</v>
      </c>
      <c r="D6934" s="401" t="s">
        <v>6840</v>
      </c>
      <c r="E6934" s="120">
        <v>2500</v>
      </c>
      <c r="F6934" s="133" t="s">
        <v>1048</v>
      </c>
      <c r="G6934" s="242" t="s">
        <v>7486</v>
      </c>
      <c r="H6934" s="411">
        <v>1225</v>
      </c>
      <c r="I6934" s="411">
        <v>0</v>
      </c>
      <c r="J6934" s="411">
        <v>0</v>
      </c>
      <c r="K6934" s="396">
        <f t="shared" si="3320"/>
        <v>1225</v>
      </c>
      <c r="L6934" s="131">
        <v>300</v>
      </c>
      <c r="M6934" s="131">
        <v>128.61000000000001</v>
      </c>
      <c r="N6934" s="199">
        <f t="shared" si="3308"/>
        <v>878.61</v>
      </c>
      <c r="O6934" s="411">
        <f t="shared" si="3303"/>
        <v>346.39</v>
      </c>
      <c r="P6934" s="132" t="s">
        <v>52</v>
      </c>
      <c r="Q6934" s="232"/>
      <c r="R6934" s="411"/>
      <c r="T6934" s="134" t="s">
        <v>53</v>
      </c>
      <c r="U6934" s="267" t="s">
        <v>14771</v>
      </c>
      <c r="V6934" s="133" t="s">
        <v>14772</v>
      </c>
      <c r="W6934" s="153" t="s">
        <v>298</v>
      </c>
      <c r="AA6934" s="218"/>
    </row>
    <row r="6935" spans="1:27" ht="24" x14ac:dyDescent="0.25">
      <c r="A6935" s="405">
        <v>3005444</v>
      </c>
      <c r="B6935" s="406">
        <v>42681</v>
      </c>
      <c r="C6935" s="405" t="s">
        <v>327</v>
      </c>
      <c r="D6935" s="401" t="s">
        <v>14773</v>
      </c>
      <c r="E6935" s="120">
        <v>100</v>
      </c>
      <c r="F6935" s="133" t="s">
        <v>528</v>
      </c>
      <c r="G6935" s="363" t="s">
        <v>9241</v>
      </c>
      <c r="H6935" s="411">
        <v>221</v>
      </c>
      <c r="I6935" s="411">
        <v>0</v>
      </c>
      <c r="J6935" s="361">
        <f>-((H6935*0.022)+0.3)</f>
        <v>-5.1619999999999999</v>
      </c>
      <c r="K6935" s="396">
        <f t="shared" si="3320"/>
        <v>215.83799999999999</v>
      </c>
      <c r="L6935" s="131">
        <v>1035</v>
      </c>
      <c r="M6935" s="187">
        <v>42.21</v>
      </c>
      <c r="N6935" s="199">
        <f t="shared" si="3308"/>
        <v>145.71</v>
      </c>
      <c r="O6935" s="411">
        <f t="shared" si="3303"/>
        <v>70.127999999999986</v>
      </c>
      <c r="P6935" s="132" t="s">
        <v>52</v>
      </c>
      <c r="Q6935" s="232"/>
      <c r="R6935" s="411"/>
      <c r="T6935" s="134" t="s">
        <v>145</v>
      </c>
      <c r="U6935" s="267" t="s">
        <v>14774</v>
      </c>
      <c r="W6935" s="153" t="s">
        <v>14775</v>
      </c>
      <c r="AA6935" s="218"/>
    </row>
    <row r="6936" spans="1:27" x14ac:dyDescent="0.25">
      <c r="A6936" s="405">
        <v>3005445</v>
      </c>
      <c r="B6936" s="406">
        <v>42681</v>
      </c>
      <c r="C6936" s="405" t="s">
        <v>327</v>
      </c>
      <c r="D6936" s="401" t="s">
        <v>14776</v>
      </c>
      <c r="E6936" s="120">
        <v>2000</v>
      </c>
      <c r="F6936" s="133" t="s">
        <v>14777</v>
      </c>
      <c r="G6936" s="363" t="s">
        <v>9241</v>
      </c>
      <c r="H6936" s="411">
        <v>626</v>
      </c>
      <c r="I6936" s="411">
        <v>0</v>
      </c>
      <c r="J6936" s="361">
        <f>-((H6936*0.022)+0.3)</f>
        <v>-14.071999999999999</v>
      </c>
      <c r="K6936" s="396">
        <f t="shared" ref="K6936" si="3321">SUM(H6936:J6936)</f>
        <v>611.928</v>
      </c>
      <c r="L6936" s="187">
        <v>120</v>
      </c>
      <c r="M6936" s="187">
        <v>140.19999999999999</v>
      </c>
      <c r="N6936" s="199">
        <f t="shared" si="3308"/>
        <v>380.2</v>
      </c>
      <c r="O6936" s="411">
        <f t="shared" si="3303"/>
        <v>231.72800000000001</v>
      </c>
      <c r="P6936" s="132" t="s">
        <v>183</v>
      </c>
      <c r="Q6936" s="232"/>
      <c r="R6936" s="411"/>
      <c r="T6936" s="134" t="s">
        <v>67</v>
      </c>
      <c r="U6936" s="267" t="s">
        <v>14778</v>
      </c>
      <c r="W6936" s="153" t="s">
        <v>14779</v>
      </c>
      <c r="AA6936" s="218"/>
    </row>
    <row r="6937" spans="1:27" ht="24" x14ac:dyDescent="0.25">
      <c r="A6937" s="405">
        <v>3005446</v>
      </c>
      <c r="B6937" s="406">
        <v>42681</v>
      </c>
      <c r="C6937" s="405" t="s">
        <v>63</v>
      </c>
      <c r="D6937" s="401" t="s">
        <v>14780</v>
      </c>
      <c r="E6937" s="120">
        <v>1000</v>
      </c>
      <c r="F6937" s="133" t="s">
        <v>7802</v>
      </c>
      <c r="G6937" s="363" t="s">
        <v>9241</v>
      </c>
      <c r="H6937" s="411">
        <v>500</v>
      </c>
      <c r="I6937" s="411">
        <v>0</v>
      </c>
      <c r="J6937" s="361">
        <f>-((H6937*0.022)+0.3)</f>
        <v>-11.3</v>
      </c>
      <c r="K6937" s="396">
        <f t="shared" ref="K6937:K6938" si="3322">SUM(H6937:J6937)</f>
        <v>488.7</v>
      </c>
      <c r="L6937" s="187">
        <v>130</v>
      </c>
      <c r="M6937" s="187">
        <v>23.36</v>
      </c>
      <c r="N6937" s="199">
        <f t="shared" si="3308"/>
        <v>153.36000000000001</v>
      </c>
      <c r="O6937" s="411">
        <f t="shared" si="3303"/>
        <v>335.34</v>
      </c>
      <c r="P6937" s="132" t="s">
        <v>183</v>
      </c>
      <c r="Q6937" s="232"/>
      <c r="R6937" s="411"/>
      <c r="T6937" s="134" t="s">
        <v>145</v>
      </c>
      <c r="U6937" s="266">
        <v>700044013660</v>
      </c>
      <c r="W6937" s="153" t="s">
        <v>14781</v>
      </c>
      <c r="AA6937" s="218"/>
    </row>
    <row r="6938" spans="1:27" ht="24" x14ac:dyDescent="0.25">
      <c r="A6938" s="405">
        <v>3005447</v>
      </c>
      <c r="B6938" s="406">
        <v>42681</v>
      </c>
      <c r="C6938" s="405" t="s">
        <v>56</v>
      </c>
      <c r="D6938" s="401" t="s">
        <v>7993</v>
      </c>
      <c r="E6938" s="120">
        <v>274</v>
      </c>
      <c r="F6938" s="133" t="s">
        <v>14782</v>
      </c>
      <c r="G6938" s="242" t="s">
        <v>7486</v>
      </c>
      <c r="H6938" s="411">
        <v>260.3</v>
      </c>
      <c r="I6938" s="411">
        <v>0</v>
      </c>
      <c r="J6938" s="411">
        <v>0</v>
      </c>
      <c r="K6938" s="396">
        <f t="shared" si="3322"/>
        <v>260.3</v>
      </c>
      <c r="L6938" s="187">
        <v>474</v>
      </c>
      <c r="M6938" s="131">
        <v>0</v>
      </c>
      <c r="N6938" s="199">
        <f t="shared" si="3308"/>
        <v>129.876</v>
      </c>
      <c r="O6938" s="411">
        <f t="shared" si="3303"/>
        <v>130.42400000000001</v>
      </c>
      <c r="P6938" s="132" t="s">
        <v>183</v>
      </c>
      <c r="Q6938" s="232"/>
      <c r="R6938" s="411"/>
      <c r="T6938" s="134" t="s">
        <v>14783</v>
      </c>
      <c r="U6938" s="266" t="s">
        <v>14784</v>
      </c>
      <c r="V6938" s="133" t="s">
        <v>14785</v>
      </c>
      <c r="W6938" s="153" t="s">
        <v>266</v>
      </c>
      <c r="AA6938" s="218"/>
    </row>
    <row r="6939" spans="1:27" x14ac:dyDescent="0.25">
      <c r="A6939" s="405">
        <v>3005448</v>
      </c>
      <c r="B6939" s="406">
        <v>42681</v>
      </c>
      <c r="C6939" s="405" t="s">
        <v>56</v>
      </c>
      <c r="D6939" s="401" t="s">
        <v>14786</v>
      </c>
      <c r="E6939" s="120">
        <v>1050</v>
      </c>
      <c r="F6939" s="133" t="s">
        <v>14787</v>
      </c>
      <c r="G6939" s="404" t="s">
        <v>7486</v>
      </c>
      <c r="H6939" s="411">
        <v>4273.5</v>
      </c>
      <c r="I6939" s="411">
        <v>0</v>
      </c>
      <c r="J6939" s="411">
        <v>0</v>
      </c>
      <c r="K6939" s="396">
        <f t="shared" ref="K6939:K6940" si="3323">SUM(H6939:J6939)</f>
        <v>4273.5</v>
      </c>
      <c r="L6939" s="187">
        <v>2500</v>
      </c>
      <c r="M6939" s="177">
        <v>198.16</v>
      </c>
      <c r="N6939" s="199">
        <f t="shared" si="3308"/>
        <v>2823.16</v>
      </c>
      <c r="O6939" s="411">
        <f t="shared" si="3303"/>
        <v>1450.3400000000001</v>
      </c>
      <c r="P6939" s="132" t="s">
        <v>14119</v>
      </c>
      <c r="Q6939" s="212"/>
      <c r="R6939" s="411"/>
      <c r="T6939" s="134" t="s">
        <v>97</v>
      </c>
      <c r="U6939" s="267" t="s">
        <v>14788</v>
      </c>
      <c r="V6939" s="133" t="s">
        <v>55</v>
      </c>
      <c r="AA6939" s="218">
        <v>10</v>
      </c>
    </row>
    <row r="6940" spans="1:27" x14ac:dyDescent="0.25">
      <c r="A6940" s="405">
        <v>3005449</v>
      </c>
      <c r="B6940" s="406">
        <v>42681</v>
      </c>
      <c r="C6940" s="405" t="s">
        <v>327</v>
      </c>
      <c r="D6940" s="401" t="s">
        <v>14789</v>
      </c>
      <c r="E6940" s="120">
        <v>1000</v>
      </c>
      <c r="F6940" s="133" t="s">
        <v>4655</v>
      </c>
      <c r="G6940" s="404" t="s">
        <v>7486</v>
      </c>
      <c r="H6940" s="411">
        <v>2538.75</v>
      </c>
      <c r="I6940" s="411">
        <v>0</v>
      </c>
      <c r="J6940" s="361">
        <f>-((H6940*0.022)+0.3)</f>
        <v>-56.152499999999996</v>
      </c>
      <c r="K6940" s="396">
        <f t="shared" si="3323"/>
        <v>2482.5974999999999</v>
      </c>
      <c r="L6940" s="187">
        <v>2050</v>
      </c>
      <c r="M6940" s="224">
        <v>165.62</v>
      </c>
      <c r="N6940" s="199">
        <f t="shared" si="3308"/>
        <v>2215.62</v>
      </c>
      <c r="O6940" s="411">
        <f t="shared" si="3303"/>
        <v>266.97749999999996</v>
      </c>
      <c r="P6940" s="132" t="s">
        <v>235</v>
      </c>
      <c r="Q6940" s="232"/>
      <c r="R6940" s="411"/>
      <c r="T6940" s="134" t="s">
        <v>2652</v>
      </c>
      <c r="U6940" s="267" t="s">
        <v>14790</v>
      </c>
      <c r="V6940" s="133" t="s">
        <v>55</v>
      </c>
      <c r="W6940" s="153" t="s">
        <v>14791</v>
      </c>
      <c r="AA6940" s="218">
        <v>10</v>
      </c>
    </row>
    <row r="6941" spans="1:27" ht="48" x14ac:dyDescent="0.25">
      <c r="A6941" s="405">
        <v>3005450</v>
      </c>
      <c r="B6941" s="406">
        <v>42681</v>
      </c>
      <c r="C6941" s="405" t="s">
        <v>237</v>
      </c>
      <c r="D6941" s="401" t="s">
        <v>14792</v>
      </c>
      <c r="E6941" s="120">
        <v>1500</v>
      </c>
      <c r="F6941" s="119" t="s">
        <v>14793</v>
      </c>
      <c r="G6941" s="404" t="s">
        <v>7486</v>
      </c>
      <c r="H6941" s="411">
        <v>664.26</v>
      </c>
      <c r="I6941" s="397">
        <f t="shared" ref="I6941" si="3324">-(H6941*0.15)</f>
        <v>-99.638999999999996</v>
      </c>
      <c r="J6941" s="258">
        <v>0</v>
      </c>
      <c r="K6941" s="90">
        <f>SUM(H6941:J6941)</f>
        <v>564.62099999999998</v>
      </c>
      <c r="L6941" s="131">
        <v>225</v>
      </c>
      <c r="N6941" s="199">
        <f t="shared" si="3308"/>
        <v>337.5</v>
      </c>
      <c r="O6941" s="411">
        <f t="shared" si="3303"/>
        <v>227.12099999999998</v>
      </c>
      <c r="P6941" s="132" t="s">
        <v>643</v>
      </c>
      <c r="Q6941" s="232"/>
      <c r="R6941" s="411"/>
      <c r="T6941" s="134" t="s">
        <v>145</v>
      </c>
      <c r="U6941" s="267" t="s">
        <v>14794</v>
      </c>
      <c r="W6941" s="153"/>
      <c r="AA6941" s="218"/>
    </row>
    <row r="6942" spans="1:27" ht="60" x14ac:dyDescent="0.25">
      <c r="A6942" s="405">
        <v>3005451</v>
      </c>
      <c r="B6942" s="406">
        <v>42681</v>
      </c>
      <c r="C6942" s="405" t="s">
        <v>237</v>
      </c>
      <c r="D6942" s="401" t="s">
        <v>14795</v>
      </c>
      <c r="E6942" s="120">
        <v>100</v>
      </c>
      <c r="F6942" s="119" t="s">
        <v>14796</v>
      </c>
      <c r="G6942" s="404" t="s">
        <v>7486</v>
      </c>
      <c r="H6942" s="411">
        <v>100.7</v>
      </c>
      <c r="I6942" s="397">
        <f t="shared" ref="I6942" si="3325">-(H6942*0.15)</f>
        <v>-15.105</v>
      </c>
      <c r="J6942" s="258">
        <v>0</v>
      </c>
      <c r="K6942" s="90">
        <f>SUM(H6942:J6942)</f>
        <v>85.594999999999999</v>
      </c>
      <c r="L6942" s="187">
        <v>628</v>
      </c>
      <c r="M6942" s="187">
        <v>11.28</v>
      </c>
      <c r="N6942" s="199">
        <f t="shared" si="3308"/>
        <v>74.08</v>
      </c>
      <c r="O6942" s="411">
        <f t="shared" si="3303"/>
        <v>11.515000000000001</v>
      </c>
      <c r="P6942" s="132" t="s">
        <v>14797</v>
      </c>
      <c r="Q6942" s="232"/>
      <c r="R6942" s="411"/>
      <c r="T6942" s="134" t="s">
        <v>145</v>
      </c>
      <c r="U6942" s="267" t="s">
        <v>14798</v>
      </c>
      <c r="AA6942" s="218"/>
    </row>
    <row r="6943" spans="1:27" ht="24" x14ac:dyDescent="0.25">
      <c r="A6943" s="405">
        <v>3005452</v>
      </c>
      <c r="B6943" s="406">
        <v>42682</v>
      </c>
      <c r="C6943" s="405" t="s">
        <v>42</v>
      </c>
      <c r="D6943" s="401" t="s">
        <v>14799</v>
      </c>
      <c r="E6943" s="120">
        <v>125</v>
      </c>
      <c r="F6943" s="133" t="s">
        <v>5955</v>
      </c>
      <c r="G6943" s="404" t="s">
        <v>7486</v>
      </c>
      <c r="H6943" s="411">
        <v>278.62</v>
      </c>
      <c r="I6943" s="89">
        <f t="shared" ref="I6943:I6950" si="3326">-(H6943*0.09)</f>
        <v>-25.075800000000001</v>
      </c>
      <c r="J6943" s="361">
        <f t="shared" ref="J6943" si="3327">-((H6943*0.019)+0.3)</f>
        <v>-5.5937799999999998</v>
      </c>
      <c r="K6943" s="396">
        <f t="shared" ref="K6943" si="3328">SUM(H6943:J6943)</f>
        <v>247.95041999999998</v>
      </c>
      <c r="L6943" s="187">
        <v>1050</v>
      </c>
      <c r="N6943" s="199">
        <f t="shared" si="3308"/>
        <v>131.25</v>
      </c>
      <c r="O6943" s="411">
        <f t="shared" si="3303"/>
        <v>116.70041999999998</v>
      </c>
      <c r="P6943" s="132" t="s">
        <v>183</v>
      </c>
      <c r="Q6943" s="232"/>
      <c r="R6943" s="411"/>
      <c r="T6943" s="134" t="s">
        <v>756</v>
      </c>
      <c r="U6943" s="266" t="s">
        <v>756</v>
      </c>
      <c r="AA6943" s="218"/>
    </row>
    <row r="6944" spans="1:27" ht="24" x14ac:dyDescent="0.25">
      <c r="A6944" s="405">
        <v>3005453</v>
      </c>
      <c r="B6944" s="406">
        <v>42682</v>
      </c>
      <c r="C6944" s="405" t="s">
        <v>42</v>
      </c>
      <c r="D6944" s="401" t="s">
        <v>10819</v>
      </c>
      <c r="E6944" s="120">
        <v>25</v>
      </c>
      <c r="F6944" s="133" t="s">
        <v>247</v>
      </c>
      <c r="G6944" s="404" t="s">
        <v>7486</v>
      </c>
      <c r="H6944" s="411">
        <v>39</v>
      </c>
      <c r="I6944" s="89">
        <f t="shared" si="3326"/>
        <v>-3.51</v>
      </c>
      <c r="J6944" s="361">
        <f t="shared" ref="J6944" si="3329">-((H6944*0.019)+0.3)</f>
        <v>-1.0409999999999999</v>
      </c>
      <c r="K6944" s="396">
        <f t="shared" ref="K6944" si="3330">SUM(H6944:J6944)</f>
        <v>34.449000000000005</v>
      </c>
      <c r="L6944" s="131">
        <v>424</v>
      </c>
      <c r="N6944" s="199">
        <f t="shared" si="3308"/>
        <v>10.600000000000001</v>
      </c>
      <c r="O6944" s="411">
        <f t="shared" si="3303"/>
        <v>23.849000000000004</v>
      </c>
      <c r="P6944" s="132" t="s">
        <v>52</v>
      </c>
      <c r="Q6944" s="232"/>
      <c r="R6944" s="411"/>
      <c r="T6944" s="134" t="s">
        <v>145</v>
      </c>
      <c r="U6944" s="267" t="s">
        <v>14800</v>
      </c>
      <c r="AA6944" s="218"/>
    </row>
    <row r="6945" spans="1:27" ht="24" x14ac:dyDescent="0.25">
      <c r="A6945" s="405">
        <v>3005454</v>
      </c>
      <c r="B6945" s="406">
        <v>42682</v>
      </c>
      <c r="C6945" s="405" t="s">
        <v>42</v>
      </c>
      <c r="D6945" s="401" t="s">
        <v>14801</v>
      </c>
      <c r="E6945" s="120">
        <v>425</v>
      </c>
      <c r="F6945" s="133" t="s">
        <v>222</v>
      </c>
      <c r="G6945" s="404" t="s">
        <v>7486</v>
      </c>
      <c r="H6945" s="411">
        <v>800.86</v>
      </c>
      <c r="I6945" s="89">
        <f t="shared" si="3326"/>
        <v>-72.077399999999997</v>
      </c>
      <c r="J6945" s="361">
        <f t="shared" ref="J6945" si="3331">-((H6945*0.019)+0.3)</f>
        <v>-15.516340000000001</v>
      </c>
      <c r="K6945" s="396">
        <f t="shared" ref="K6945" si="3332">SUM(H6945:J6945)</f>
        <v>713.26625999999999</v>
      </c>
      <c r="L6945" s="187">
        <v>1000</v>
      </c>
      <c r="M6945" s="187">
        <v>0</v>
      </c>
      <c r="N6945" s="199">
        <f t="shared" si="3308"/>
        <v>425</v>
      </c>
      <c r="O6945" s="411">
        <f t="shared" si="3303"/>
        <v>288.26625999999999</v>
      </c>
      <c r="P6945" s="132" t="s">
        <v>14735</v>
      </c>
      <c r="Q6945" s="232"/>
      <c r="R6945" s="411"/>
      <c r="T6945" s="134" t="s">
        <v>260</v>
      </c>
      <c r="U6945" s="267" t="s">
        <v>14802</v>
      </c>
      <c r="AA6945" s="218"/>
    </row>
    <row r="6946" spans="1:27" ht="24" x14ac:dyDescent="0.25">
      <c r="A6946" s="405">
        <v>3005455</v>
      </c>
      <c r="B6946" s="406">
        <v>42682</v>
      </c>
      <c r="C6946" s="405" t="s">
        <v>42</v>
      </c>
      <c r="D6946" s="401" t="s">
        <v>14803</v>
      </c>
      <c r="E6946" s="120">
        <v>250</v>
      </c>
      <c r="F6946" s="133" t="s">
        <v>451</v>
      </c>
      <c r="G6946" s="404" t="s">
        <v>7486</v>
      </c>
      <c r="H6946" s="411">
        <v>168.27</v>
      </c>
      <c r="I6946" s="89">
        <f t="shared" si="3326"/>
        <v>-15.144300000000001</v>
      </c>
      <c r="J6946" s="361">
        <f t="shared" ref="J6946" si="3333">-((H6946*0.019)+0.3)</f>
        <v>-3.4971299999999998</v>
      </c>
      <c r="K6946" s="396">
        <f t="shared" ref="K6946" si="3334">SUM(H6946:J6946)</f>
        <v>149.62857</v>
      </c>
      <c r="L6946" s="131">
        <v>300</v>
      </c>
      <c r="N6946" s="199">
        <f t="shared" si="3308"/>
        <v>75</v>
      </c>
      <c r="O6946" s="411">
        <f t="shared" si="3303"/>
        <v>74.628569999999996</v>
      </c>
      <c r="P6946" s="132" t="s">
        <v>52</v>
      </c>
      <c r="Q6946" s="232"/>
      <c r="R6946" s="411"/>
      <c r="T6946" s="134" t="s">
        <v>145</v>
      </c>
      <c r="U6946" s="267" t="s">
        <v>14804</v>
      </c>
      <c r="AA6946" s="218"/>
    </row>
    <row r="6947" spans="1:27" ht="24" x14ac:dyDescent="0.25">
      <c r="A6947" s="405">
        <v>3005456</v>
      </c>
      <c r="B6947" s="406">
        <v>42682</v>
      </c>
      <c r="C6947" s="405" t="s">
        <v>42</v>
      </c>
      <c r="D6947" s="401" t="s">
        <v>14805</v>
      </c>
      <c r="E6947" s="120">
        <v>125</v>
      </c>
      <c r="F6947" s="133" t="s">
        <v>605</v>
      </c>
      <c r="G6947" s="404" t="s">
        <v>7486</v>
      </c>
      <c r="H6947" s="411">
        <v>186.52</v>
      </c>
      <c r="I6947" s="89">
        <f t="shared" si="3326"/>
        <v>-16.786799999999999</v>
      </c>
      <c r="J6947" s="361">
        <f t="shared" ref="J6947" si="3335">-((H6947*0.019)+0.3)</f>
        <v>-3.84388</v>
      </c>
      <c r="K6947" s="396">
        <f t="shared" ref="K6947" si="3336">SUM(H6947:J6947)</f>
        <v>165.88932</v>
      </c>
      <c r="L6947" s="131">
        <v>480</v>
      </c>
      <c r="N6947" s="199">
        <f t="shared" si="3308"/>
        <v>60</v>
      </c>
      <c r="O6947" s="411">
        <f t="shared" si="3303"/>
        <v>105.88932</v>
      </c>
      <c r="P6947" s="132" t="s">
        <v>52</v>
      </c>
      <c r="Q6947" s="232"/>
      <c r="R6947" s="411"/>
      <c r="T6947" s="134" t="s">
        <v>145</v>
      </c>
      <c r="U6947" s="267" t="s">
        <v>14806</v>
      </c>
      <c r="AA6947" s="218"/>
    </row>
    <row r="6948" spans="1:27" ht="24" x14ac:dyDescent="0.25">
      <c r="A6948" s="405">
        <v>3005457</v>
      </c>
      <c r="B6948" s="406">
        <v>42682</v>
      </c>
      <c r="C6948" s="405" t="s">
        <v>42</v>
      </c>
      <c r="D6948" s="401" t="s">
        <v>14807</v>
      </c>
      <c r="E6948" s="120">
        <v>175</v>
      </c>
      <c r="F6948" s="133" t="s">
        <v>605</v>
      </c>
      <c r="G6948" s="404" t="s">
        <v>7486</v>
      </c>
      <c r="H6948" s="411">
        <v>261.14</v>
      </c>
      <c r="I6948" s="89">
        <f t="shared" si="3326"/>
        <v>-23.502599999999997</v>
      </c>
      <c r="J6948" s="361">
        <f t="shared" ref="J6948" si="3337">-((H6948*0.019)+0.3)</f>
        <v>-5.2616599999999991</v>
      </c>
      <c r="K6948" s="396">
        <f t="shared" ref="K6948" si="3338">SUM(H6948:J6948)</f>
        <v>232.37573999999998</v>
      </c>
      <c r="L6948" s="131">
        <v>480</v>
      </c>
      <c r="M6948" s="187">
        <v>20.63</v>
      </c>
      <c r="N6948" s="199">
        <f t="shared" si="3308"/>
        <v>104.63000000000001</v>
      </c>
      <c r="O6948" s="411">
        <f t="shared" si="3303"/>
        <v>127.74573999999997</v>
      </c>
      <c r="P6948" s="132" t="s">
        <v>52</v>
      </c>
      <c r="Q6948" s="232"/>
      <c r="R6948" s="411"/>
      <c r="T6948" s="134" t="s">
        <v>145</v>
      </c>
      <c r="U6948" s="267" t="s">
        <v>14808</v>
      </c>
      <c r="AA6948" s="218"/>
    </row>
    <row r="6949" spans="1:27" ht="24" x14ac:dyDescent="0.25">
      <c r="A6949" s="405">
        <v>3005458</v>
      </c>
      <c r="B6949" s="406">
        <v>42682</v>
      </c>
      <c r="C6949" s="405" t="s">
        <v>42</v>
      </c>
      <c r="D6949" s="401" t="s">
        <v>1114</v>
      </c>
      <c r="E6949" s="120">
        <v>250</v>
      </c>
      <c r="F6949" s="133" t="s">
        <v>323</v>
      </c>
      <c r="G6949" s="404" t="s">
        <v>7486</v>
      </c>
      <c r="H6949" s="411">
        <v>197.99</v>
      </c>
      <c r="I6949" s="89">
        <f t="shared" si="3326"/>
        <v>-17.819099999999999</v>
      </c>
      <c r="J6949" s="361">
        <f t="shared" ref="J6949" si="3339">-((H6949*0.019)+0.3)</f>
        <v>-4.0618100000000004</v>
      </c>
      <c r="K6949" s="396">
        <f t="shared" ref="K6949" si="3340">SUM(H6949:J6949)</f>
        <v>176.10909000000001</v>
      </c>
      <c r="L6949" s="131">
        <v>395</v>
      </c>
      <c r="N6949" s="199">
        <f t="shared" si="3308"/>
        <v>98.75</v>
      </c>
      <c r="O6949" s="411">
        <f t="shared" si="3303"/>
        <v>77.359090000000009</v>
      </c>
      <c r="P6949" s="132" t="s">
        <v>52</v>
      </c>
      <c r="Q6949" s="232"/>
      <c r="R6949" s="411"/>
      <c r="T6949" s="134" t="s">
        <v>145</v>
      </c>
      <c r="U6949" s="267" t="s">
        <v>14809</v>
      </c>
      <c r="AA6949" s="218"/>
    </row>
    <row r="6950" spans="1:27" ht="24" x14ac:dyDescent="0.25">
      <c r="A6950" s="405">
        <v>3005459</v>
      </c>
      <c r="B6950" s="406">
        <v>42682</v>
      </c>
      <c r="C6950" s="405" t="s">
        <v>42</v>
      </c>
      <c r="D6950" s="401" t="s">
        <v>14810</v>
      </c>
      <c r="E6950" s="120">
        <v>100</v>
      </c>
      <c r="F6950" s="133" t="s">
        <v>247</v>
      </c>
      <c r="G6950" s="404" t="s">
        <v>7486</v>
      </c>
      <c r="H6950" s="411">
        <v>123.94</v>
      </c>
      <c r="I6950" s="89">
        <f t="shared" si="3326"/>
        <v>-11.154599999999999</v>
      </c>
      <c r="J6950" s="361">
        <f t="shared" ref="J6950" si="3341">-((H6950*0.019)+0.3)</f>
        <v>-2.6548599999999998</v>
      </c>
      <c r="K6950" s="396">
        <f t="shared" ref="K6950" si="3342">SUM(H6950:J6950)</f>
        <v>110.13054</v>
      </c>
      <c r="L6950" s="131">
        <v>424</v>
      </c>
      <c r="M6950" s="187">
        <v>30.4</v>
      </c>
      <c r="N6950" s="199">
        <f t="shared" si="3308"/>
        <v>72.800000000000011</v>
      </c>
      <c r="O6950" s="411">
        <f t="shared" si="3303"/>
        <v>37.330539999999985</v>
      </c>
      <c r="P6950" s="132" t="s">
        <v>52</v>
      </c>
      <c r="Q6950" s="232"/>
      <c r="R6950" s="411"/>
      <c r="T6950" s="134" t="s">
        <v>145</v>
      </c>
      <c r="U6950" s="267" t="s">
        <v>14811</v>
      </c>
      <c r="AA6950" s="218"/>
    </row>
    <row r="6951" spans="1:27" x14ac:dyDescent="0.25">
      <c r="A6951" s="419">
        <v>3005460</v>
      </c>
      <c r="B6951" s="421">
        <v>42682</v>
      </c>
      <c r="C6951" s="419" t="s">
        <v>237</v>
      </c>
      <c r="D6951" s="417" t="s">
        <v>14812</v>
      </c>
      <c r="E6951" s="120">
        <v>100</v>
      </c>
      <c r="F6951" s="133" t="s">
        <v>10698</v>
      </c>
      <c r="G6951" s="434" t="s">
        <v>7486</v>
      </c>
      <c r="H6951" s="427">
        <v>159</v>
      </c>
      <c r="I6951" s="452">
        <f t="shared" ref="I6951" si="3343">-(H6951*0.15)</f>
        <v>-23.849999999999998</v>
      </c>
      <c r="J6951" s="425">
        <v>0</v>
      </c>
      <c r="K6951" s="425">
        <f>SUM(H6951:J6951)</f>
        <v>135.15</v>
      </c>
      <c r="L6951" s="187">
        <v>461</v>
      </c>
      <c r="N6951" s="199">
        <f t="shared" si="3308"/>
        <v>46.1</v>
      </c>
      <c r="O6951" s="411">
        <f t="shared" si="3303"/>
        <v>89.050000000000011</v>
      </c>
      <c r="P6951" s="132" t="s">
        <v>601</v>
      </c>
      <c r="Q6951" s="232"/>
      <c r="R6951" s="411"/>
      <c r="T6951" s="439" t="s">
        <v>145</v>
      </c>
      <c r="U6951" s="446" t="s">
        <v>14813</v>
      </c>
      <c r="AA6951" s="218"/>
    </row>
    <row r="6952" spans="1:27" x14ac:dyDescent="0.25">
      <c r="A6952" s="420"/>
      <c r="B6952" s="422"/>
      <c r="C6952" s="420"/>
      <c r="D6952" s="418"/>
      <c r="E6952" s="120">
        <v>100</v>
      </c>
      <c r="F6952" s="133" t="s">
        <v>4881</v>
      </c>
      <c r="G6952" s="436"/>
      <c r="H6952" s="428"/>
      <c r="I6952" s="453"/>
      <c r="J6952" s="426"/>
      <c r="K6952" s="426"/>
      <c r="L6952" s="187">
        <v>461</v>
      </c>
      <c r="N6952" s="199">
        <f t="shared" si="3308"/>
        <v>46.1</v>
      </c>
      <c r="O6952" s="411">
        <f t="shared" si="3303"/>
        <v>-46.1</v>
      </c>
      <c r="P6952" s="132" t="s">
        <v>601</v>
      </c>
      <c r="Q6952" s="232"/>
      <c r="R6952" s="411"/>
      <c r="T6952" s="441"/>
      <c r="U6952" s="447"/>
      <c r="AA6952" s="218"/>
    </row>
    <row r="6953" spans="1:27" ht="24" x14ac:dyDescent="0.25">
      <c r="A6953" s="405">
        <v>3005461</v>
      </c>
      <c r="B6953" s="406">
        <v>42682</v>
      </c>
      <c r="C6953" s="405" t="s">
        <v>237</v>
      </c>
      <c r="D6953" s="401" t="s">
        <v>14814</v>
      </c>
      <c r="E6953" s="120">
        <v>250</v>
      </c>
      <c r="F6953" s="133" t="s">
        <v>605</v>
      </c>
      <c r="G6953" s="404" t="s">
        <v>7486</v>
      </c>
      <c r="H6953" s="411">
        <v>259.7</v>
      </c>
      <c r="I6953" s="397">
        <f t="shared" ref="I6953" si="3344">-(H6953*0.15)</f>
        <v>-38.954999999999998</v>
      </c>
      <c r="J6953" s="258">
        <v>0</v>
      </c>
      <c r="K6953" s="90">
        <f>SUM(H6953:J6953)</f>
        <v>220.745</v>
      </c>
      <c r="L6953" s="131">
        <v>480</v>
      </c>
      <c r="N6953" s="199">
        <f t="shared" si="3308"/>
        <v>120</v>
      </c>
      <c r="O6953" s="411">
        <f t="shared" si="3303"/>
        <v>100.745</v>
      </c>
      <c r="P6953" s="132" t="s">
        <v>86</v>
      </c>
      <c r="Q6953" s="232"/>
      <c r="R6953" s="411"/>
      <c r="T6953" s="134" t="s">
        <v>145</v>
      </c>
      <c r="U6953" s="267" t="s">
        <v>14815</v>
      </c>
      <c r="AA6953" s="218"/>
    </row>
    <row r="6954" spans="1:27" ht="24" x14ac:dyDescent="0.25">
      <c r="A6954" s="405">
        <v>3005462</v>
      </c>
      <c r="B6954" s="406">
        <v>42682</v>
      </c>
      <c r="C6954" s="405" t="s">
        <v>237</v>
      </c>
      <c r="D6954" s="401" t="s">
        <v>14816</v>
      </c>
      <c r="E6954" s="120">
        <v>250</v>
      </c>
      <c r="F6954" s="133" t="s">
        <v>2949</v>
      </c>
      <c r="G6954" s="404" t="s">
        <v>7486</v>
      </c>
      <c r="H6954" s="411">
        <v>534.6</v>
      </c>
      <c r="I6954" s="397">
        <f t="shared" ref="I6954" si="3345">-(H6954*0.15)</f>
        <v>-80.19</v>
      </c>
      <c r="J6954" s="258">
        <v>0</v>
      </c>
      <c r="K6954" s="90">
        <f>SUM(H6954:J6954)</f>
        <v>454.41</v>
      </c>
      <c r="L6954" s="131">
        <v>1100</v>
      </c>
      <c r="M6954" s="187">
        <v>45.71</v>
      </c>
      <c r="N6954" s="199">
        <f t="shared" si="3308"/>
        <v>320.70999999999998</v>
      </c>
      <c r="O6954" s="411">
        <f t="shared" si="3303"/>
        <v>133.70000000000005</v>
      </c>
      <c r="P6954" s="132" t="s">
        <v>52</v>
      </c>
      <c r="Q6954" s="232"/>
      <c r="R6954" s="411"/>
      <c r="T6954" s="134" t="s">
        <v>145</v>
      </c>
      <c r="U6954" s="267" t="s">
        <v>14817</v>
      </c>
      <c r="AA6954" s="218"/>
    </row>
    <row r="6955" spans="1:27" ht="24" x14ac:dyDescent="0.25">
      <c r="A6955" s="405">
        <v>3005463</v>
      </c>
      <c r="B6955" s="406">
        <v>42682</v>
      </c>
      <c r="C6955" s="405" t="s">
        <v>237</v>
      </c>
      <c r="D6955" s="401" t="s">
        <v>14818</v>
      </c>
      <c r="E6955" s="120">
        <v>100</v>
      </c>
      <c r="F6955" s="133" t="s">
        <v>288</v>
      </c>
      <c r="G6955" s="404" t="s">
        <v>7486</v>
      </c>
      <c r="H6955" s="411">
        <v>190</v>
      </c>
      <c r="I6955" s="397">
        <f t="shared" ref="I6955" si="3346">-(H6955*0.15)</f>
        <v>-28.5</v>
      </c>
      <c r="J6955" s="258">
        <v>0</v>
      </c>
      <c r="K6955" s="90">
        <f>SUM(H6955:J6955)</f>
        <v>161.5</v>
      </c>
      <c r="L6955" s="131">
        <v>900</v>
      </c>
      <c r="N6955" s="199">
        <f t="shared" si="3308"/>
        <v>90</v>
      </c>
      <c r="O6955" s="411">
        <f t="shared" si="3303"/>
        <v>71.5</v>
      </c>
      <c r="P6955" s="132" t="s">
        <v>52</v>
      </c>
      <c r="Q6955" s="232"/>
      <c r="R6955" s="411"/>
      <c r="T6955" s="134" t="s">
        <v>145</v>
      </c>
      <c r="U6955" s="267" t="s">
        <v>14819</v>
      </c>
      <c r="AA6955" s="218"/>
    </row>
    <row r="6956" spans="1:27" ht="24" x14ac:dyDescent="0.25">
      <c r="A6956" s="405">
        <v>3005464</v>
      </c>
      <c r="B6956" s="406">
        <v>42682</v>
      </c>
      <c r="C6956" s="405" t="s">
        <v>237</v>
      </c>
      <c r="D6956" s="401" t="s">
        <v>14820</v>
      </c>
      <c r="E6956" s="120">
        <v>50</v>
      </c>
      <c r="F6956" s="133" t="s">
        <v>431</v>
      </c>
      <c r="G6956" s="404" t="s">
        <v>7486</v>
      </c>
      <c r="H6956" s="411">
        <v>116.23</v>
      </c>
      <c r="I6956" s="397">
        <f t="shared" ref="I6956:I6957" si="3347">-(H6956*0.15)</f>
        <v>-17.4345</v>
      </c>
      <c r="J6956" s="258">
        <v>0</v>
      </c>
      <c r="K6956" s="90">
        <f>SUM(H6956:J6956)</f>
        <v>98.795500000000004</v>
      </c>
      <c r="L6956" s="131">
        <v>950</v>
      </c>
      <c r="M6956" s="187">
        <v>28.57</v>
      </c>
      <c r="N6956" s="199">
        <f t="shared" si="3308"/>
        <v>76.069999999999993</v>
      </c>
      <c r="O6956" s="411">
        <f t="shared" si="3303"/>
        <v>22.725500000000011</v>
      </c>
      <c r="P6956" s="132" t="s">
        <v>52</v>
      </c>
      <c r="Q6956" s="232"/>
      <c r="R6956" s="411"/>
      <c r="T6956" s="134" t="s">
        <v>145</v>
      </c>
      <c r="U6956" s="267" t="s">
        <v>14821</v>
      </c>
      <c r="AA6956" s="218"/>
    </row>
    <row r="6957" spans="1:27" x14ac:dyDescent="0.25">
      <c r="A6957" s="419">
        <v>3005465</v>
      </c>
      <c r="B6957" s="421">
        <v>42682</v>
      </c>
      <c r="C6957" s="419" t="s">
        <v>237</v>
      </c>
      <c r="D6957" s="417" t="s">
        <v>14822</v>
      </c>
      <c r="E6957" s="120">
        <v>100</v>
      </c>
      <c r="F6957" s="133" t="s">
        <v>10699</v>
      </c>
      <c r="G6957" s="434" t="s">
        <v>7486</v>
      </c>
      <c r="H6957" s="427">
        <v>115</v>
      </c>
      <c r="I6957" s="452">
        <f t="shared" si="3347"/>
        <v>-17.25</v>
      </c>
      <c r="J6957" s="425">
        <v>0</v>
      </c>
      <c r="K6957" s="425">
        <f>SUM(H6957:J6957)</f>
        <v>97.75</v>
      </c>
      <c r="L6957" s="187">
        <v>341</v>
      </c>
      <c r="M6957" s="187">
        <v>16.010000000000002</v>
      </c>
      <c r="N6957" s="199">
        <f t="shared" si="3308"/>
        <v>50.11</v>
      </c>
      <c r="O6957" s="411">
        <f t="shared" si="3303"/>
        <v>47.64</v>
      </c>
      <c r="P6957" s="132" t="s">
        <v>601</v>
      </c>
      <c r="Q6957" s="232"/>
      <c r="R6957" s="411"/>
      <c r="T6957" s="439" t="s">
        <v>145</v>
      </c>
      <c r="U6957" s="446" t="s">
        <v>14823</v>
      </c>
      <c r="AA6957" s="218"/>
    </row>
    <row r="6958" spans="1:27" x14ac:dyDescent="0.25">
      <c r="A6958" s="420"/>
      <c r="B6958" s="422"/>
      <c r="C6958" s="420"/>
      <c r="D6958" s="418"/>
      <c r="E6958" s="120">
        <v>100</v>
      </c>
      <c r="F6958" s="133" t="s">
        <v>10165</v>
      </c>
      <c r="G6958" s="436"/>
      <c r="H6958" s="428"/>
      <c r="I6958" s="453"/>
      <c r="J6958" s="426"/>
      <c r="K6958" s="426"/>
      <c r="L6958" s="187">
        <v>341</v>
      </c>
      <c r="M6958" s="187"/>
      <c r="N6958" s="199">
        <f t="shared" si="3308"/>
        <v>34.1</v>
      </c>
      <c r="O6958" s="411">
        <f t="shared" si="3303"/>
        <v>-34.1</v>
      </c>
      <c r="P6958" s="132" t="s">
        <v>601</v>
      </c>
      <c r="Q6958" s="232"/>
      <c r="R6958" s="411"/>
      <c r="T6958" s="441"/>
      <c r="U6958" s="447"/>
      <c r="AA6958" s="218"/>
    </row>
    <row r="6959" spans="1:27" ht="24" x14ac:dyDescent="0.25">
      <c r="A6959" s="405">
        <v>3005466</v>
      </c>
      <c r="B6959" s="406">
        <v>42682</v>
      </c>
      <c r="C6959" s="405" t="s">
        <v>237</v>
      </c>
      <c r="D6959" s="401" t="s">
        <v>14824</v>
      </c>
      <c r="E6959" s="120">
        <v>100</v>
      </c>
      <c r="F6959" s="133" t="s">
        <v>3719</v>
      </c>
      <c r="G6959" s="404" t="s">
        <v>7486</v>
      </c>
      <c r="H6959" s="411">
        <v>180.18</v>
      </c>
      <c r="I6959" s="397">
        <f t="shared" ref="I6959" si="3348">-(H6959*0.15)</f>
        <v>-27.027000000000001</v>
      </c>
      <c r="J6959" s="258">
        <v>0</v>
      </c>
      <c r="K6959" s="90">
        <f>SUM(H6959:J6959)</f>
        <v>153.15300000000002</v>
      </c>
      <c r="L6959" s="187">
        <v>1160</v>
      </c>
      <c r="N6959" s="199">
        <f t="shared" si="3308"/>
        <v>116</v>
      </c>
      <c r="O6959" s="411">
        <f t="shared" si="3303"/>
        <v>37.15300000000002</v>
      </c>
      <c r="P6959" s="132" t="s">
        <v>601</v>
      </c>
      <c r="Q6959" s="232"/>
      <c r="R6959" s="411"/>
      <c r="T6959" s="134" t="s">
        <v>145</v>
      </c>
      <c r="U6959" s="267" t="s">
        <v>14825</v>
      </c>
      <c r="AA6959" s="218"/>
    </row>
    <row r="6960" spans="1:27" ht="24" x14ac:dyDescent="0.25">
      <c r="A6960" s="405">
        <v>3005467</v>
      </c>
      <c r="B6960" s="406">
        <v>42682</v>
      </c>
      <c r="C6960" s="405" t="s">
        <v>327</v>
      </c>
      <c r="D6960" s="401" t="s">
        <v>14826</v>
      </c>
      <c r="E6960" s="120">
        <v>30</v>
      </c>
      <c r="F6960" s="133" t="s">
        <v>14827</v>
      </c>
      <c r="G6960" s="404" t="s">
        <v>7486</v>
      </c>
      <c r="H6960" s="411">
        <v>240</v>
      </c>
      <c r="I6960" s="411">
        <v>0</v>
      </c>
      <c r="J6960" s="361">
        <f>-((H6960*0.022)+0.3)</f>
        <v>-5.5799999999999992</v>
      </c>
      <c r="K6960" s="396">
        <f t="shared" ref="K6960" si="3349">SUM(H6960:J6960)</f>
        <v>234.42</v>
      </c>
      <c r="L6960" s="187">
        <v>3500</v>
      </c>
      <c r="M6960" s="187">
        <v>23.8</v>
      </c>
      <c r="N6960" s="199">
        <f t="shared" si="3308"/>
        <v>128.80000000000001</v>
      </c>
      <c r="O6960" s="411">
        <f t="shared" si="3303"/>
        <v>105.61999999999998</v>
      </c>
      <c r="P6960" s="132" t="s">
        <v>235</v>
      </c>
      <c r="Q6960" s="232"/>
      <c r="R6960" s="411"/>
      <c r="T6960" s="134" t="s">
        <v>145</v>
      </c>
      <c r="U6960" s="267" t="s">
        <v>14828</v>
      </c>
      <c r="W6960" s="153" t="s">
        <v>14829</v>
      </c>
      <c r="AA6960" s="218"/>
    </row>
    <row r="6961" spans="1:27" x14ac:dyDescent="0.25">
      <c r="A6961" s="419">
        <v>3005468</v>
      </c>
      <c r="B6961" s="421">
        <v>42682</v>
      </c>
      <c r="C6961" s="419" t="s">
        <v>141</v>
      </c>
      <c r="D6961" s="417" t="s">
        <v>14830</v>
      </c>
      <c r="E6961" s="120">
        <v>250</v>
      </c>
      <c r="F6961" s="133" t="s">
        <v>860</v>
      </c>
      <c r="G6961" s="434" t="s">
        <v>7486</v>
      </c>
      <c r="H6961" s="427">
        <v>3399.07</v>
      </c>
      <c r="I6961" s="427">
        <v>0</v>
      </c>
      <c r="J6961" s="425">
        <f>-((H6961*0.0325)+0.3)</f>
        <v>-110.76977500000001</v>
      </c>
      <c r="K6961" s="425">
        <f t="shared" ref="K6961" si="3350">SUM(H6961:J6961)</f>
        <v>3288.300225</v>
      </c>
      <c r="L6961" s="131">
        <v>3300</v>
      </c>
      <c r="M6961" s="468">
        <v>161.52000000000001</v>
      </c>
      <c r="N6961" s="199">
        <f t="shared" si="3308"/>
        <v>986.52</v>
      </c>
      <c r="O6961" s="411">
        <f t="shared" si="3303"/>
        <v>2301.780225</v>
      </c>
      <c r="P6961" s="132" t="s">
        <v>52</v>
      </c>
      <c r="Q6961" s="232"/>
      <c r="R6961" s="411"/>
      <c r="T6961" s="439" t="s">
        <v>11311</v>
      </c>
      <c r="U6961" s="446" t="s">
        <v>14831</v>
      </c>
      <c r="V6961" s="133" t="s">
        <v>55</v>
      </c>
      <c r="W6961" s="153" t="s">
        <v>14832</v>
      </c>
      <c r="AA6961" s="473">
        <v>10</v>
      </c>
    </row>
    <row r="6962" spans="1:27" x14ac:dyDescent="0.25">
      <c r="A6962" s="432"/>
      <c r="B6962" s="433"/>
      <c r="C6962" s="432"/>
      <c r="D6962" s="454"/>
      <c r="E6962" s="120">
        <v>350</v>
      </c>
      <c r="F6962" s="133" t="s">
        <v>300</v>
      </c>
      <c r="G6962" s="435"/>
      <c r="H6962" s="438"/>
      <c r="I6962" s="438"/>
      <c r="J6962" s="437"/>
      <c r="K6962" s="437"/>
      <c r="L6962" s="131">
        <v>2150</v>
      </c>
      <c r="M6962" s="491"/>
      <c r="N6962" s="199">
        <f t="shared" si="3308"/>
        <v>752.50000000000011</v>
      </c>
      <c r="O6962" s="411">
        <f t="shared" si="3303"/>
        <v>-752.50000000000011</v>
      </c>
      <c r="P6962" s="132" t="s">
        <v>52</v>
      </c>
      <c r="Q6962" s="232"/>
      <c r="R6962" s="411"/>
      <c r="T6962" s="440"/>
      <c r="U6962" s="448"/>
      <c r="AA6962" s="478"/>
    </row>
    <row r="6963" spans="1:27" x14ac:dyDescent="0.25">
      <c r="A6963" s="420"/>
      <c r="B6963" s="422"/>
      <c r="C6963" s="420"/>
      <c r="D6963" s="418"/>
      <c r="E6963" s="120">
        <v>500</v>
      </c>
      <c r="F6963" s="133" t="s">
        <v>217</v>
      </c>
      <c r="G6963" s="436"/>
      <c r="H6963" s="428"/>
      <c r="I6963" s="428"/>
      <c r="J6963" s="426"/>
      <c r="K6963" s="426"/>
      <c r="L6963" s="131">
        <v>1322</v>
      </c>
      <c r="M6963" s="469"/>
      <c r="N6963" s="199">
        <f t="shared" si="3308"/>
        <v>661</v>
      </c>
      <c r="O6963" s="411">
        <f t="shared" si="3303"/>
        <v>-661</v>
      </c>
      <c r="P6963" s="132" t="s">
        <v>52</v>
      </c>
      <c r="Q6963" s="232"/>
      <c r="R6963" s="411"/>
      <c r="T6963" s="441"/>
      <c r="U6963" s="447"/>
      <c r="AA6963" s="474"/>
    </row>
    <row r="6964" spans="1:27" ht="24" x14ac:dyDescent="0.25">
      <c r="A6964" s="405">
        <v>3005469</v>
      </c>
      <c r="B6964" s="406">
        <v>42682</v>
      </c>
      <c r="C6964" s="405" t="s">
        <v>141</v>
      </c>
      <c r="D6964" s="401" t="s">
        <v>5584</v>
      </c>
      <c r="E6964" s="120">
        <v>175</v>
      </c>
      <c r="F6964" s="133" t="s">
        <v>582</v>
      </c>
      <c r="G6964" s="404" t="s">
        <v>7486</v>
      </c>
      <c r="H6964" s="411">
        <v>168</v>
      </c>
      <c r="I6964" s="411">
        <v>0</v>
      </c>
      <c r="J6964" s="361">
        <f>-((H6964*0.0325)+0.3)</f>
        <v>-5.76</v>
      </c>
      <c r="K6964" s="396">
        <f t="shared" ref="K6964:K6966" si="3351">SUM(H6964:J6964)</f>
        <v>162.24</v>
      </c>
      <c r="L6964" s="131">
        <v>538.08000000000004</v>
      </c>
      <c r="N6964" s="199">
        <f t="shared" si="3308"/>
        <v>94.164000000000016</v>
      </c>
      <c r="O6964" s="411">
        <f t="shared" si="3303"/>
        <v>68.075999999999993</v>
      </c>
      <c r="P6964" s="132" t="s">
        <v>86</v>
      </c>
      <c r="Q6964" s="232"/>
      <c r="R6964" s="411"/>
      <c r="T6964" s="134" t="s">
        <v>145</v>
      </c>
      <c r="U6964" s="267" t="s">
        <v>14833</v>
      </c>
      <c r="W6964" s="153" t="s">
        <v>5587</v>
      </c>
      <c r="AA6964" s="218"/>
    </row>
    <row r="6965" spans="1:27" x14ac:dyDescent="0.25">
      <c r="A6965" s="405">
        <v>3005470</v>
      </c>
      <c r="B6965" s="406">
        <v>42682</v>
      </c>
      <c r="C6965" s="405" t="s">
        <v>63</v>
      </c>
      <c r="D6965" s="401" t="s">
        <v>14834</v>
      </c>
      <c r="E6965" s="120">
        <v>50</v>
      </c>
      <c r="F6965" s="133" t="s">
        <v>1575</v>
      </c>
      <c r="G6965" s="404" t="s">
        <v>7486</v>
      </c>
      <c r="H6965" s="411">
        <v>715</v>
      </c>
      <c r="I6965" s="411">
        <v>0</v>
      </c>
      <c r="J6965" s="361">
        <f>-((H6965*0.022)+0.3)</f>
        <v>-16.029999999999998</v>
      </c>
      <c r="K6965" s="396">
        <f t="shared" si="3351"/>
        <v>698.97</v>
      </c>
      <c r="L6965" s="187">
        <v>4500</v>
      </c>
      <c r="M6965" s="187">
        <v>202.75</v>
      </c>
      <c r="N6965" s="199">
        <f t="shared" si="3308"/>
        <v>427.75</v>
      </c>
      <c r="O6965" s="411">
        <f t="shared" si="3303"/>
        <v>271.22000000000003</v>
      </c>
      <c r="P6965" s="132" t="s">
        <v>183</v>
      </c>
      <c r="Q6965" s="232"/>
      <c r="R6965" s="411"/>
      <c r="T6965" s="134" t="s">
        <v>389</v>
      </c>
      <c r="U6965" s="267" t="s">
        <v>14835</v>
      </c>
      <c r="W6965" s="153" t="s">
        <v>14836</v>
      </c>
      <c r="AA6965" s="218"/>
    </row>
    <row r="6966" spans="1:27" x14ac:dyDescent="0.25">
      <c r="A6966" s="405">
        <v>3005471</v>
      </c>
      <c r="B6966" s="406">
        <v>42682</v>
      </c>
      <c r="C6966" s="405" t="s">
        <v>56</v>
      </c>
      <c r="D6966" s="401" t="s">
        <v>14837</v>
      </c>
      <c r="E6966" s="120">
        <v>5000</v>
      </c>
      <c r="F6966" s="133" t="s">
        <v>14838</v>
      </c>
      <c r="G6966" s="404" t="s">
        <v>7486</v>
      </c>
      <c r="H6966" s="411">
        <v>1300</v>
      </c>
      <c r="I6966" s="411">
        <v>0</v>
      </c>
      <c r="J6966" s="411">
        <v>0</v>
      </c>
      <c r="K6966" s="396">
        <f t="shared" si="3351"/>
        <v>1300</v>
      </c>
      <c r="L6966" s="187">
        <v>190</v>
      </c>
      <c r="M6966" s="187">
        <v>119.7</v>
      </c>
      <c r="N6966" s="199">
        <f t="shared" si="3308"/>
        <v>1069.7</v>
      </c>
      <c r="O6966" s="411">
        <f t="shared" si="3303"/>
        <v>230.29999999999995</v>
      </c>
      <c r="P6966" s="132" t="s">
        <v>235</v>
      </c>
      <c r="Q6966" s="232"/>
      <c r="R6966" s="411"/>
      <c r="T6966" s="134" t="s">
        <v>565</v>
      </c>
      <c r="U6966" s="267" t="s">
        <v>14839</v>
      </c>
      <c r="V6966" s="133" t="s">
        <v>13421</v>
      </c>
      <c r="AA6966" s="218"/>
    </row>
    <row r="6967" spans="1:27" ht="24" x14ac:dyDescent="0.25">
      <c r="A6967" s="405">
        <v>3005472</v>
      </c>
      <c r="B6967" s="406">
        <v>42682</v>
      </c>
      <c r="C6967" s="405" t="s">
        <v>141</v>
      </c>
      <c r="D6967" s="401" t="s">
        <v>3960</v>
      </c>
      <c r="E6967" s="120">
        <v>200</v>
      </c>
      <c r="F6967" s="133" t="s">
        <v>217</v>
      </c>
      <c r="G6967" s="404" t="s">
        <v>7486</v>
      </c>
      <c r="H6967" s="411">
        <v>450</v>
      </c>
      <c r="I6967" s="411">
        <v>0</v>
      </c>
      <c r="J6967" s="361">
        <f>-((H6967*0.0325)+0.3)</f>
        <v>-14.925000000000001</v>
      </c>
      <c r="K6967" s="396">
        <f t="shared" ref="K6967" si="3352">SUM(H6967:J6967)</f>
        <v>435.07499999999999</v>
      </c>
      <c r="L6967" s="131">
        <v>1322</v>
      </c>
      <c r="N6967" s="199">
        <f t="shared" si="3308"/>
        <v>264.40000000000003</v>
      </c>
      <c r="O6967" s="411">
        <f t="shared" si="3303"/>
        <v>170.67499999999995</v>
      </c>
      <c r="P6967" s="132" t="s">
        <v>52</v>
      </c>
      <c r="Q6967" s="232"/>
      <c r="R6967" s="411"/>
      <c r="T6967" s="134" t="s">
        <v>145</v>
      </c>
      <c r="U6967" s="267" t="s">
        <v>14840</v>
      </c>
      <c r="W6967" s="153" t="s">
        <v>3962</v>
      </c>
      <c r="AA6967" s="218"/>
    </row>
    <row r="6968" spans="1:27" ht="24" x14ac:dyDescent="0.25">
      <c r="A6968" s="405">
        <v>3005473</v>
      </c>
      <c r="B6968" s="406">
        <v>42682</v>
      </c>
      <c r="C6968" s="405" t="s">
        <v>141</v>
      </c>
      <c r="D6968" s="401" t="s">
        <v>14841</v>
      </c>
      <c r="E6968" s="120">
        <v>2000</v>
      </c>
      <c r="F6968" s="119" t="s">
        <v>14842</v>
      </c>
      <c r="G6968" s="404" t="s">
        <v>7486</v>
      </c>
      <c r="H6968" s="411">
        <v>148</v>
      </c>
      <c r="I6968" s="411">
        <v>0</v>
      </c>
      <c r="J6968" s="361">
        <f>-((H6968*0.0325)+0.3)</f>
        <v>-5.1100000000000003</v>
      </c>
      <c r="K6968" s="396">
        <f t="shared" ref="K6968:K6969" si="3353">SUM(H6968:J6968)</f>
        <v>142.88999999999999</v>
      </c>
      <c r="L6968" s="187">
        <v>37.49</v>
      </c>
      <c r="M6968" s="187">
        <v>11.92</v>
      </c>
      <c r="N6968" s="199">
        <f t="shared" si="3308"/>
        <v>86.9</v>
      </c>
      <c r="O6968" s="411">
        <f t="shared" si="3303"/>
        <v>55.989999999999981</v>
      </c>
      <c r="P6968" s="132" t="s">
        <v>76</v>
      </c>
      <c r="Q6968" s="232"/>
      <c r="R6968" s="411"/>
      <c r="T6968" s="134" t="s">
        <v>314</v>
      </c>
      <c r="U6968" s="267" t="s">
        <v>14843</v>
      </c>
      <c r="W6968" s="153" t="s">
        <v>14844</v>
      </c>
      <c r="AA6968" s="218"/>
    </row>
    <row r="6969" spans="1:27" x14ac:dyDescent="0.25">
      <c r="A6969" s="419">
        <v>3005474</v>
      </c>
      <c r="B6969" s="421">
        <v>42682</v>
      </c>
      <c r="C6969" s="419" t="s">
        <v>78</v>
      </c>
      <c r="D6969" s="417" t="s">
        <v>269</v>
      </c>
      <c r="E6969" s="120">
        <v>1000</v>
      </c>
      <c r="F6969" s="133" t="s">
        <v>207</v>
      </c>
      <c r="G6969" s="434" t="s">
        <v>7486</v>
      </c>
      <c r="H6969" s="427">
        <v>2010</v>
      </c>
      <c r="I6969" s="427">
        <v>0</v>
      </c>
      <c r="J6969" s="425">
        <f t="shared" ref="J6969" si="3354">-((H6969*0.019)+0.3)</f>
        <v>-38.489999999999995</v>
      </c>
      <c r="K6969" s="425">
        <f t="shared" si="3353"/>
        <v>1971.51</v>
      </c>
      <c r="L6969" s="131">
        <v>570</v>
      </c>
      <c r="M6969" s="187">
        <v>128.99</v>
      </c>
      <c r="N6969" s="199">
        <f t="shared" si="3308"/>
        <v>698.99</v>
      </c>
      <c r="O6969" s="411">
        <f t="shared" si="3303"/>
        <v>1272.52</v>
      </c>
      <c r="P6969" s="132" t="s">
        <v>52</v>
      </c>
      <c r="Q6969" s="232"/>
      <c r="R6969" s="411"/>
      <c r="T6969" s="134" t="s">
        <v>463</v>
      </c>
      <c r="U6969" s="267" t="s">
        <v>14845</v>
      </c>
      <c r="W6969" s="153" t="s">
        <v>271</v>
      </c>
      <c r="AA6969" s="473">
        <v>10</v>
      </c>
    </row>
    <row r="6970" spans="1:27" x14ac:dyDescent="0.25">
      <c r="A6970" s="432"/>
      <c r="B6970" s="433"/>
      <c r="C6970" s="432"/>
      <c r="D6970" s="454"/>
      <c r="E6970" s="120">
        <v>250</v>
      </c>
      <c r="F6970" s="133" t="s">
        <v>1270</v>
      </c>
      <c r="G6970" s="435"/>
      <c r="H6970" s="438"/>
      <c r="I6970" s="438"/>
      <c r="J6970" s="437"/>
      <c r="K6970" s="437"/>
      <c r="L6970" s="131">
        <v>1331.81</v>
      </c>
      <c r="M6970" s="131">
        <v>48</v>
      </c>
      <c r="N6970" s="199">
        <f t="shared" si="3308"/>
        <v>380.95249999999999</v>
      </c>
      <c r="O6970" s="411">
        <f t="shared" si="3303"/>
        <v>-380.95249999999999</v>
      </c>
      <c r="P6970" s="132" t="s">
        <v>46</v>
      </c>
      <c r="Q6970" s="232"/>
      <c r="R6970" s="411"/>
      <c r="T6970" s="134" t="s">
        <v>463</v>
      </c>
      <c r="U6970" s="267" t="s">
        <v>14846</v>
      </c>
      <c r="V6970" s="133" t="s">
        <v>14847</v>
      </c>
      <c r="AA6970" s="478"/>
    </row>
    <row r="6971" spans="1:27" x14ac:dyDescent="0.25">
      <c r="A6971" s="420"/>
      <c r="B6971" s="422"/>
      <c r="C6971" s="420"/>
      <c r="D6971" s="418"/>
      <c r="E6971" s="120">
        <v>1000</v>
      </c>
      <c r="F6971" s="133" t="s">
        <v>1622</v>
      </c>
      <c r="G6971" s="436"/>
      <c r="H6971" s="428"/>
      <c r="I6971" s="428"/>
      <c r="J6971" s="426"/>
      <c r="K6971" s="426"/>
      <c r="M6971" s="187"/>
      <c r="N6971" s="199">
        <f t="shared" si="3308"/>
        <v>0</v>
      </c>
      <c r="O6971" s="411">
        <f t="shared" si="3303"/>
        <v>0</v>
      </c>
      <c r="P6971" s="132" t="s">
        <v>52</v>
      </c>
      <c r="Q6971" s="232"/>
      <c r="R6971" s="411"/>
      <c r="T6971" s="134" t="s">
        <v>463</v>
      </c>
      <c r="U6971" s="267" t="s">
        <v>14845</v>
      </c>
      <c r="AA6971" s="474"/>
    </row>
    <row r="6972" spans="1:27" ht="36" x14ac:dyDescent="0.25">
      <c r="A6972" s="405">
        <v>3005475</v>
      </c>
      <c r="B6972" s="406">
        <v>42683</v>
      </c>
      <c r="C6972" s="405" t="s">
        <v>237</v>
      </c>
      <c r="D6972" s="401" t="s">
        <v>14848</v>
      </c>
      <c r="E6972" s="120">
        <v>500</v>
      </c>
      <c r="F6972" s="119" t="s">
        <v>14849</v>
      </c>
      <c r="G6972" s="404" t="s">
        <v>7486</v>
      </c>
      <c r="H6972" s="411">
        <v>218</v>
      </c>
      <c r="I6972" s="397">
        <f t="shared" ref="I6972" si="3355">-(H6972*0.15)</f>
        <v>-32.699999999999996</v>
      </c>
      <c r="J6972" s="258">
        <v>0</v>
      </c>
      <c r="K6972" s="90">
        <f t="shared" ref="K6972:K6979" si="3356">SUM(H6972:J6972)</f>
        <v>185.3</v>
      </c>
      <c r="L6972" s="187">
        <v>134</v>
      </c>
      <c r="M6972" s="187">
        <v>21.87</v>
      </c>
      <c r="N6972" s="199">
        <f t="shared" si="3308"/>
        <v>88.87</v>
      </c>
      <c r="O6972" s="411">
        <f t="shared" si="3303"/>
        <v>96.43</v>
      </c>
      <c r="P6972" s="132" t="s">
        <v>183</v>
      </c>
      <c r="Q6972" s="232"/>
      <c r="R6972" s="411"/>
      <c r="T6972" s="134" t="s">
        <v>145</v>
      </c>
      <c r="U6972" s="267" t="s">
        <v>14850</v>
      </c>
      <c r="AA6972" s="218"/>
    </row>
    <row r="6973" spans="1:27" ht="24" x14ac:dyDescent="0.25">
      <c r="A6973" s="405">
        <v>3005476</v>
      </c>
      <c r="B6973" s="406">
        <v>42683</v>
      </c>
      <c r="C6973" s="405" t="s">
        <v>237</v>
      </c>
      <c r="D6973" s="401" t="s">
        <v>14851</v>
      </c>
      <c r="E6973" s="120">
        <v>100</v>
      </c>
      <c r="F6973" s="133" t="s">
        <v>307</v>
      </c>
      <c r="G6973" s="404" t="s">
        <v>7486</v>
      </c>
      <c r="H6973" s="411">
        <v>172.83</v>
      </c>
      <c r="I6973" s="397">
        <f t="shared" ref="I6973" si="3357">-(H6973*0.15)</f>
        <v>-25.924500000000002</v>
      </c>
      <c r="J6973" s="258">
        <v>0</v>
      </c>
      <c r="K6973" s="90">
        <f t="shared" si="3356"/>
        <v>146.90550000000002</v>
      </c>
      <c r="N6973" s="199">
        <f t="shared" si="3308"/>
        <v>0</v>
      </c>
      <c r="O6973" s="411">
        <f t="shared" si="3303"/>
        <v>146.90550000000002</v>
      </c>
      <c r="P6973" s="132" t="s">
        <v>52</v>
      </c>
      <c r="Q6973" s="232"/>
      <c r="R6973" s="411"/>
      <c r="T6973" s="134" t="s">
        <v>145</v>
      </c>
      <c r="U6973" s="267" t="s">
        <v>14852</v>
      </c>
      <c r="AA6973" s="218"/>
    </row>
    <row r="6974" spans="1:27" ht="24" x14ac:dyDescent="0.25">
      <c r="A6974" s="405">
        <v>3005477</v>
      </c>
      <c r="B6974" s="406">
        <v>42683</v>
      </c>
      <c r="C6974" s="405" t="s">
        <v>237</v>
      </c>
      <c r="D6974" s="401" t="s">
        <v>14853</v>
      </c>
      <c r="E6974" s="120">
        <v>100</v>
      </c>
      <c r="F6974" s="133" t="s">
        <v>4183</v>
      </c>
      <c r="G6974" s="404" t="s">
        <v>7486</v>
      </c>
      <c r="H6974" s="411">
        <v>193</v>
      </c>
      <c r="I6974" s="397">
        <f t="shared" ref="I6974" si="3358">-(H6974*0.15)</f>
        <v>-28.95</v>
      </c>
      <c r="J6974" s="258">
        <v>0</v>
      </c>
      <c r="K6974" s="90">
        <f t="shared" si="3356"/>
        <v>164.05</v>
      </c>
      <c r="L6974" s="187">
        <v>1100</v>
      </c>
      <c r="M6974" s="187">
        <v>30.15</v>
      </c>
      <c r="N6974" s="199">
        <f t="shared" si="3308"/>
        <v>140.15</v>
      </c>
      <c r="O6974" s="411">
        <f t="shared" si="3303"/>
        <v>23.900000000000006</v>
      </c>
      <c r="P6974" s="132" t="s">
        <v>235</v>
      </c>
      <c r="Q6974" s="232"/>
      <c r="R6974" s="411"/>
      <c r="T6974" s="134" t="s">
        <v>145</v>
      </c>
      <c r="U6974" s="267" t="s">
        <v>14854</v>
      </c>
      <c r="AA6974" s="218"/>
    </row>
    <row r="6975" spans="1:27" ht="24" x14ac:dyDescent="0.25">
      <c r="A6975" s="405">
        <v>3005478</v>
      </c>
      <c r="B6975" s="406">
        <v>42683</v>
      </c>
      <c r="C6975" s="405" t="s">
        <v>237</v>
      </c>
      <c r="D6975" s="401" t="s">
        <v>14855</v>
      </c>
      <c r="E6975" s="120">
        <v>150</v>
      </c>
      <c r="F6975" s="133" t="s">
        <v>247</v>
      </c>
      <c r="G6975" s="404" t="s">
        <v>7486</v>
      </c>
      <c r="H6975" s="411">
        <v>160.38</v>
      </c>
      <c r="I6975" s="397">
        <f t="shared" ref="I6975" si="3359">-(H6975*0.15)</f>
        <v>-24.056999999999999</v>
      </c>
      <c r="J6975" s="258">
        <v>0</v>
      </c>
      <c r="K6975" s="90">
        <f t="shared" si="3356"/>
        <v>136.32300000000001</v>
      </c>
      <c r="L6975" s="131">
        <v>424</v>
      </c>
      <c r="N6975" s="199">
        <f t="shared" si="3308"/>
        <v>63.599999999999994</v>
      </c>
      <c r="O6975" s="411">
        <f t="shared" si="3303"/>
        <v>72.723000000000013</v>
      </c>
      <c r="P6975" s="132" t="s">
        <v>52</v>
      </c>
      <c r="Q6975" s="232"/>
      <c r="R6975" s="411"/>
      <c r="T6975" s="134" t="s">
        <v>145</v>
      </c>
      <c r="U6975" s="267" t="s">
        <v>14856</v>
      </c>
      <c r="AA6975" s="218"/>
    </row>
    <row r="6976" spans="1:27" ht="24" x14ac:dyDescent="0.25">
      <c r="A6976" s="405">
        <v>3005479</v>
      </c>
      <c r="B6976" s="406">
        <v>42683</v>
      </c>
      <c r="C6976" s="405" t="s">
        <v>237</v>
      </c>
      <c r="D6976" s="401" t="s">
        <v>14857</v>
      </c>
      <c r="E6976" s="120">
        <v>150</v>
      </c>
      <c r="F6976" s="133" t="s">
        <v>3440</v>
      </c>
      <c r="G6976" s="404" t="s">
        <v>7486</v>
      </c>
      <c r="H6976" s="411">
        <v>213.4</v>
      </c>
      <c r="I6976" s="397">
        <f t="shared" ref="I6976:I6977" si="3360">-(H6976*0.15)</f>
        <v>-32.01</v>
      </c>
      <c r="J6976" s="258">
        <v>0</v>
      </c>
      <c r="K6976" s="90">
        <f t="shared" si="3356"/>
        <v>181.39000000000001</v>
      </c>
      <c r="L6976" s="187">
        <v>940</v>
      </c>
      <c r="N6976" s="199">
        <f t="shared" si="3308"/>
        <v>141</v>
      </c>
      <c r="O6976" s="411">
        <f t="shared" si="3303"/>
        <v>40.390000000000015</v>
      </c>
      <c r="P6976" s="132" t="s">
        <v>601</v>
      </c>
      <c r="Q6976" s="232"/>
      <c r="R6976" s="411"/>
      <c r="T6976" s="134" t="s">
        <v>145</v>
      </c>
      <c r="U6976" s="267" t="s">
        <v>14858</v>
      </c>
      <c r="AA6976" s="218"/>
    </row>
    <row r="6977" spans="1:27" ht="24" x14ac:dyDescent="0.25">
      <c r="A6977" s="405">
        <v>3005480</v>
      </c>
      <c r="B6977" s="406">
        <v>42683</v>
      </c>
      <c r="C6977" s="405" t="s">
        <v>237</v>
      </c>
      <c r="D6977" s="401" t="s">
        <v>14859</v>
      </c>
      <c r="E6977" s="120">
        <v>150</v>
      </c>
      <c r="F6977" s="133" t="s">
        <v>247</v>
      </c>
      <c r="G6977" s="404" t="s">
        <v>7486</v>
      </c>
      <c r="H6977" s="411">
        <v>160.38</v>
      </c>
      <c r="I6977" s="397">
        <f t="shared" si="3360"/>
        <v>-24.056999999999999</v>
      </c>
      <c r="J6977" s="258">
        <v>0</v>
      </c>
      <c r="K6977" s="90">
        <f t="shared" si="3356"/>
        <v>136.32300000000001</v>
      </c>
      <c r="L6977" s="131">
        <v>424</v>
      </c>
      <c r="N6977" s="199">
        <f t="shared" si="3308"/>
        <v>63.599999999999994</v>
      </c>
      <c r="O6977" s="411">
        <f t="shared" si="3303"/>
        <v>72.723000000000013</v>
      </c>
      <c r="P6977" s="132" t="s">
        <v>52</v>
      </c>
      <c r="Q6977" s="232"/>
      <c r="R6977" s="411"/>
      <c r="T6977" s="134" t="s">
        <v>145</v>
      </c>
      <c r="U6977" s="267" t="s">
        <v>14860</v>
      </c>
      <c r="AA6977" s="218"/>
    </row>
    <row r="6978" spans="1:27" ht="24" x14ac:dyDescent="0.25">
      <c r="A6978" s="405">
        <v>3005481</v>
      </c>
      <c r="B6978" s="406">
        <v>42683</v>
      </c>
      <c r="C6978" s="405" t="s">
        <v>237</v>
      </c>
      <c r="D6978" s="401" t="s">
        <v>14861</v>
      </c>
      <c r="E6978" s="120">
        <v>75</v>
      </c>
      <c r="F6978" s="133" t="s">
        <v>169</v>
      </c>
      <c r="G6978" s="404" t="s">
        <v>7486</v>
      </c>
      <c r="H6978" s="411">
        <v>163.41</v>
      </c>
      <c r="I6978" s="397">
        <f t="shared" ref="I6978" si="3361">-(H6978*0.15)</f>
        <v>-24.511499999999998</v>
      </c>
      <c r="J6978" s="258">
        <v>0</v>
      </c>
      <c r="K6978" s="90">
        <f t="shared" si="3356"/>
        <v>138.89850000000001</v>
      </c>
      <c r="L6978" s="131">
        <v>950</v>
      </c>
      <c r="M6978" s="187">
        <v>18.07</v>
      </c>
      <c r="N6978" s="199">
        <f t="shared" si="3308"/>
        <v>89.32</v>
      </c>
      <c r="O6978" s="411">
        <f t="shared" si="3303"/>
        <v>49.57850000000002</v>
      </c>
      <c r="P6978" s="132" t="s">
        <v>52</v>
      </c>
      <c r="Q6978" s="232"/>
      <c r="R6978" s="411"/>
      <c r="T6978" s="134" t="s">
        <v>145</v>
      </c>
      <c r="U6978" s="267" t="s">
        <v>14862</v>
      </c>
      <c r="AA6978" s="218"/>
    </row>
    <row r="6979" spans="1:27" x14ac:dyDescent="0.25">
      <c r="A6979" s="419">
        <v>3005482</v>
      </c>
      <c r="B6979" s="421">
        <v>42683</v>
      </c>
      <c r="C6979" s="419" t="s">
        <v>237</v>
      </c>
      <c r="D6979" s="417" t="s">
        <v>14863</v>
      </c>
      <c r="E6979" s="120">
        <v>25</v>
      </c>
      <c r="F6979" s="133" t="s">
        <v>4407</v>
      </c>
      <c r="G6979" s="434" t="s">
        <v>7486</v>
      </c>
      <c r="H6979" s="427">
        <v>159.38999999999999</v>
      </c>
      <c r="I6979" s="452">
        <f t="shared" ref="I6979" si="3362">-(H6979*0.15)</f>
        <v>-23.908499999999997</v>
      </c>
      <c r="J6979" s="425">
        <v>0</v>
      </c>
      <c r="K6979" s="425">
        <f t="shared" si="3356"/>
        <v>135.48149999999998</v>
      </c>
      <c r="L6979" s="187">
        <v>2200</v>
      </c>
      <c r="N6979" s="199">
        <f t="shared" si="3308"/>
        <v>55</v>
      </c>
      <c r="O6979" s="411">
        <f t="shared" si="3303"/>
        <v>80.481499999999983</v>
      </c>
      <c r="P6979" s="132" t="s">
        <v>601</v>
      </c>
      <c r="Q6979" s="232"/>
      <c r="R6979" s="411"/>
      <c r="T6979" s="439" t="s">
        <v>145</v>
      </c>
      <c r="U6979" s="446" t="s">
        <v>14864</v>
      </c>
      <c r="AA6979" s="218"/>
    </row>
    <row r="6980" spans="1:27" x14ac:dyDescent="0.25">
      <c r="A6980" s="420"/>
      <c r="B6980" s="422"/>
      <c r="C6980" s="420"/>
      <c r="D6980" s="418"/>
      <c r="E6980" s="120">
        <v>25</v>
      </c>
      <c r="F6980" s="133" t="s">
        <v>1507</v>
      </c>
      <c r="G6980" s="436"/>
      <c r="H6980" s="428"/>
      <c r="I6980" s="453"/>
      <c r="J6980" s="426"/>
      <c r="K6980" s="426"/>
      <c r="L6980" s="187">
        <v>2200</v>
      </c>
      <c r="N6980" s="199">
        <f t="shared" si="3308"/>
        <v>55</v>
      </c>
      <c r="O6980" s="411">
        <f t="shared" ref="O6980:O7043" si="3363">K6980-N6980</f>
        <v>-55</v>
      </c>
      <c r="P6980" s="132" t="s">
        <v>601</v>
      </c>
      <c r="Q6980" s="232"/>
      <c r="R6980" s="411"/>
      <c r="T6980" s="441"/>
      <c r="U6980" s="447"/>
      <c r="AA6980" s="218"/>
    </row>
    <row r="6981" spans="1:27" ht="24" x14ac:dyDescent="0.25">
      <c r="A6981" s="405">
        <v>3005483</v>
      </c>
      <c r="B6981" s="406">
        <v>42683</v>
      </c>
      <c r="C6981" s="405" t="s">
        <v>42</v>
      </c>
      <c r="D6981" s="401" t="s">
        <v>14865</v>
      </c>
      <c r="E6981" s="120">
        <v>300</v>
      </c>
      <c r="F6981" s="133" t="s">
        <v>247</v>
      </c>
      <c r="G6981" s="404" t="s">
        <v>7486</v>
      </c>
      <c r="H6981" s="411">
        <v>349.12</v>
      </c>
      <c r="I6981" s="89">
        <f>-(H6981*0.09)</f>
        <v>-31.4208</v>
      </c>
      <c r="J6981" s="361">
        <f t="shared" ref="J6981" si="3364">-((H6981*0.019)+0.3)</f>
        <v>-6.9332799999999999</v>
      </c>
      <c r="K6981" s="396">
        <f t="shared" ref="K6981" si="3365">SUM(H6981:J6981)</f>
        <v>310.76591999999999</v>
      </c>
      <c r="L6981" s="131">
        <v>424</v>
      </c>
      <c r="N6981" s="199">
        <f t="shared" si="3308"/>
        <v>127.19999999999999</v>
      </c>
      <c r="O6981" s="411">
        <f t="shared" si="3363"/>
        <v>183.56592000000001</v>
      </c>
      <c r="P6981" s="132" t="s">
        <v>52</v>
      </c>
      <c r="Q6981" s="232"/>
      <c r="R6981" s="411"/>
      <c r="T6981" s="134" t="s">
        <v>145</v>
      </c>
      <c r="U6981" s="267" t="s">
        <v>14866</v>
      </c>
      <c r="AA6981" s="218"/>
    </row>
    <row r="6982" spans="1:27" ht="24" x14ac:dyDescent="0.25">
      <c r="A6982" s="405">
        <v>3005484</v>
      </c>
      <c r="B6982" s="406">
        <v>42683</v>
      </c>
      <c r="C6982" s="405" t="s">
        <v>42</v>
      </c>
      <c r="D6982" s="401" t="s">
        <v>14867</v>
      </c>
      <c r="E6982" s="120">
        <v>50</v>
      </c>
      <c r="F6982" s="133" t="s">
        <v>1991</v>
      </c>
      <c r="G6982" s="404" t="s">
        <v>7486</v>
      </c>
      <c r="H6982" s="411">
        <v>320</v>
      </c>
      <c r="I6982" s="89">
        <f>-(H6982*0.09)</f>
        <v>-28.799999999999997</v>
      </c>
      <c r="J6982" s="361">
        <f t="shared" ref="J6982" si="3366">-((H6982*0.019)+0.3)</f>
        <v>-6.38</v>
      </c>
      <c r="K6982" s="396">
        <f t="shared" ref="K6982" si="3367">SUM(H6982:J6982)</f>
        <v>284.82</v>
      </c>
      <c r="L6982" s="187">
        <v>3150</v>
      </c>
      <c r="M6982" s="187">
        <v>30.41</v>
      </c>
      <c r="N6982" s="199">
        <f t="shared" si="3308"/>
        <v>187.91</v>
      </c>
      <c r="O6982" s="411">
        <f t="shared" si="3363"/>
        <v>96.91</v>
      </c>
      <c r="P6982" s="132" t="s">
        <v>183</v>
      </c>
      <c r="Q6982" s="232"/>
      <c r="R6982" s="411"/>
      <c r="T6982" s="134" t="s">
        <v>145</v>
      </c>
      <c r="U6982" s="267" t="s">
        <v>14868</v>
      </c>
      <c r="AA6982" s="218"/>
    </row>
    <row r="6983" spans="1:27" ht="24" x14ac:dyDescent="0.25">
      <c r="A6983" s="405">
        <v>3005485</v>
      </c>
      <c r="B6983" s="406">
        <v>42683</v>
      </c>
      <c r="C6983" s="405" t="s">
        <v>42</v>
      </c>
      <c r="D6983" s="401" t="s">
        <v>625</v>
      </c>
      <c r="E6983" s="120">
        <v>250</v>
      </c>
      <c r="F6983" s="119" t="s">
        <v>8681</v>
      </c>
      <c r="G6983" s="404" t="s">
        <v>7486</v>
      </c>
      <c r="H6983" s="411">
        <v>109.82</v>
      </c>
      <c r="I6983" s="89">
        <f>-(H6983*0.09)</f>
        <v>-9.883799999999999</v>
      </c>
      <c r="J6983" s="361">
        <f t="shared" ref="J6983" si="3368">-((H6983*0.019)+0.3)</f>
        <v>-2.3865799999999995</v>
      </c>
      <c r="K6983" s="396">
        <f t="shared" ref="K6983" si="3369">SUM(H6983:J6983)</f>
        <v>97.549620000000004</v>
      </c>
      <c r="L6983" s="187">
        <v>229</v>
      </c>
      <c r="N6983" s="199">
        <f t="shared" si="3308"/>
        <v>57.25</v>
      </c>
      <c r="O6983" s="411">
        <f t="shared" si="3363"/>
        <v>40.299620000000004</v>
      </c>
      <c r="P6983" s="132" t="s">
        <v>313</v>
      </c>
      <c r="Q6983" s="232"/>
      <c r="R6983" s="411"/>
      <c r="T6983" s="134" t="s">
        <v>145</v>
      </c>
      <c r="U6983" s="267" t="s">
        <v>14869</v>
      </c>
      <c r="AA6983" s="218"/>
    </row>
    <row r="6984" spans="1:27" ht="24" x14ac:dyDescent="0.25">
      <c r="A6984" s="405">
        <v>3005486</v>
      </c>
      <c r="B6984" s="406">
        <v>42683</v>
      </c>
      <c r="C6984" s="405" t="s">
        <v>78</v>
      </c>
      <c r="D6984" s="401" t="s">
        <v>14870</v>
      </c>
      <c r="E6984" s="120">
        <v>200</v>
      </c>
      <c r="F6984" s="133" t="s">
        <v>14871</v>
      </c>
      <c r="G6984" s="404" t="s">
        <v>7486</v>
      </c>
      <c r="H6984" s="411">
        <v>405</v>
      </c>
      <c r="I6984" s="411">
        <v>0</v>
      </c>
      <c r="J6984" s="361">
        <f t="shared" ref="J6984" si="3370">-((H6984*0.019)+0.3)</f>
        <v>-7.9949999999999992</v>
      </c>
      <c r="K6984" s="396">
        <f t="shared" ref="K6984" si="3371">SUM(H6984:J6984)</f>
        <v>397.005</v>
      </c>
      <c r="L6984" s="187">
        <v>1406</v>
      </c>
      <c r="M6984" s="187">
        <v>68.27</v>
      </c>
      <c r="N6984" s="199">
        <f t="shared" ref="N6984:N6999" si="3372">((L6984)*(E6984*0.001))+M6984</f>
        <v>349.46999999999997</v>
      </c>
      <c r="O6984" s="411">
        <f t="shared" si="3363"/>
        <v>47.535000000000025</v>
      </c>
      <c r="P6984" s="132" t="s">
        <v>183</v>
      </c>
      <c r="Q6984" s="232"/>
      <c r="R6984" s="411"/>
      <c r="T6984" s="134" t="s">
        <v>324</v>
      </c>
      <c r="U6984" s="266" t="s">
        <v>14872</v>
      </c>
      <c r="W6984" s="153" t="s">
        <v>14873</v>
      </c>
      <c r="AA6984" s="218"/>
    </row>
    <row r="6985" spans="1:27" ht="24" x14ac:dyDescent="0.25">
      <c r="A6985" s="405">
        <v>3005487</v>
      </c>
      <c r="B6985" s="406">
        <v>42683</v>
      </c>
      <c r="C6985" s="405" t="s">
        <v>63</v>
      </c>
      <c r="D6985" s="401" t="s">
        <v>14874</v>
      </c>
      <c r="E6985" s="120">
        <v>150</v>
      </c>
      <c r="F6985" s="133" t="s">
        <v>222</v>
      </c>
      <c r="G6985" s="404" t="s">
        <v>7486</v>
      </c>
      <c r="H6985" s="411">
        <v>232.5</v>
      </c>
      <c r="I6985" s="411">
        <v>0</v>
      </c>
      <c r="J6985" s="361">
        <f>-((H6985*0.022)+0.3)</f>
        <v>-5.4149999999999991</v>
      </c>
      <c r="K6985" s="396">
        <f t="shared" ref="K6985" si="3373">SUM(H6985:J6985)</f>
        <v>227.08500000000001</v>
      </c>
      <c r="L6985" s="131">
        <v>670</v>
      </c>
      <c r="N6985" s="199">
        <f t="shared" si="3372"/>
        <v>100.5</v>
      </c>
      <c r="O6985" s="411">
        <f t="shared" si="3363"/>
        <v>126.58500000000001</v>
      </c>
      <c r="P6985" s="132" t="s">
        <v>86</v>
      </c>
      <c r="Q6985" s="232"/>
      <c r="R6985" s="411"/>
      <c r="T6985" s="134" t="s">
        <v>145</v>
      </c>
      <c r="U6985" s="267" t="s">
        <v>14875</v>
      </c>
      <c r="W6985" s="153" t="s">
        <v>14876</v>
      </c>
      <c r="AA6985" s="218"/>
    </row>
    <row r="6986" spans="1:27" ht="24" x14ac:dyDescent="0.25">
      <c r="A6986" s="405">
        <v>3005488</v>
      </c>
      <c r="B6986" s="406">
        <v>42683</v>
      </c>
      <c r="C6986" s="405" t="s">
        <v>63</v>
      </c>
      <c r="D6986" s="401" t="s">
        <v>14877</v>
      </c>
      <c r="E6986" s="120">
        <v>200</v>
      </c>
      <c r="F6986" s="133" t="s">
        <v>3719</v>
      </c>
      <c r="G6986" s="404" t="s">
        <v>7486</v>
      </c>
      <c r="H6986" s="411">
        <v>369.33</v>
      </c>
      <c r="I6986" s="411">
        <v>0</v>
      </c>
      <c r="J6986" s="361">
        <f>-((H6986*0.022)+0.3)</f>
        <v>-8.4252599999999997</v>
      </c>
      <c r="K6986" s="396">
        <f t="shared" ref="K6986" si="3374">SUM(H6986:J6986)</f>
        <v>360.90474</v>
      </c>
      <c r="L6986" s="187">
        <v>1316</v>
      </c>
      <c r="N6986" s="199">
        <f t="shared" si="3372"/>
        <v>263.2</v>
      </c>
      <c r="O6986" s="411">
        <f t="shared" si="3363"/>
        <v>97.704740000000015</v>
      </c>
      <c r="P6986" s="132" t="s">
        <v>183</v>
      </c>
      <c r="Q6986" s="232"/>
      <c r="R6986" s="411"/>
      <c r="T6986" s="134" t="s">
        <v>756</v>
      </c>
      <c r="U6986" s="266" t="s">
        <v>756</v>
      </c>
      <c r="W6986" s="153" t="s">
        <v>14878</v>
      </c>
      <c r="AA6986" s="218"/>
    </row>
    <row r="6987" spans="1:27" ht="24" x14ac:dyDescent="0.25">
      <c r="A6987" s="405">
        <v>3005489</v>
      </c>
      <c r="B6987" s="406">
        <v>42683</v>
      </c>
      <c r="C6987" s="405" t="s">
        <v>63</v>
      </c>
      <c r="D6987" s="401" t="s">
        <v>13318</v>
      </c>
      <c r="E6987" s="120">
        <v>200</v>
      </c>
      <c r="F6987" s="133" t="s">
        <v>14879</v>
      </c>
      <c r="G6987" s="404" t="s">
        <v>7486</v>
      </c>
      <c r="H6987" s="411">
        <v>155</v>
      </c>
      <c r="I6987" s="411">
        <v>0</v>
      </c>
      <c r="J6987" s="361">
        <f>-((H6987*0.022)+0.3)</f>
        <v>-3.7099999999999995</v>
      </c>
      <c r="K6987" s="396">
        <f t="shared" ref="K6987:K6989" si="3375">SUM(H6987:J6987)</f>
        <v>151.29</v>
      </c>
      <c r="L6987" s="187">
        <v>350</v>
      </c>
      <c r="M6987" s="187">
        <v>21.94</v>
      </c>
      <c r="N6987" s="199">
        <f t="shared" si="3372"/>
        <v>91.94</v>
      </c>
      <c r="O6987" s="411">
        <f t="shared" si="3363"/>
        <v>59.349999999999994</v>
      </c>
      <c r="P6987" s="132" t="s">
        <v>235</v>
      </c>
      <c r="Q6987" s="232"/>
      <c r="R6987" s="411"/>
      <c r="T6987" s="134" t="s">
        <v>145</v>
      </c>
      <c r="U6987" s="267" t="s">
        <v>14880</v>
      </c>
      <c r="W6987" s="153" t="s">
        <v>13321</v>
      </c>
      <c r="AA6987" s="369"/>
    </row>
    <row r="6988" spans="1:27" x14ac:dyDescent="0.25">
      <c r="A6988" s="405">
        <v>3005490</v>
      </c>
      <c r="B6988" s="406">
        <v>42683</v>
      </c>
      <c r="C6988" s="405" t="s">
        <v>56</v>
      </c>
      <c r="D6988" s="401" t="s">
        <v>11004</v>
      </c>
      <c r="E6988" s="120">
        <v>300</v>
      </c>
      <c r="F6988" s="133" t="s">
        <v>5635</v>
      </c>
      <c r="G6988" s="404" t="s">
        <v>7486</v>
      </c>
      <c r="H6988" s="411">
        <v>840</v>
      </c>
      <c r="I6988" s="411">
        <v>0</v>
      </c>
      <c r="J6988" s="411">
        <v>0</v>
      </c>
      <c r="K6988" s="396">
        <f t="shared" si="3375"/>
        <v>840</v>
      </c>
      <c r="L6988" s="131">
        <v>2150</v>
      </c>
      <c r="N6988" s="199">
        <f t="shared" si="3372"/>
        <v>645</v>
      </c>
      <c r="O6988" s="411">
        <f t="shared" si="3363"/>
        <v>195</v>
      </c>
      <c r="P6988" s="132" t="s">
        <v>52</v>
      </c>
      <c r="Q6988" s="232"/>
      <c r="R6988" s="411"/>
      <c r="T6988" s="134" t="s">
        <v>1229</v>
      </c>
      <c r="U6988" s="266" t="s">
        <v>1229</v>
      </c>
      <c r="V6988" s="133" t="s">
        <v>12147</v>
      </c>
      <c r="AA6988" s="218"/>
    </row>
    <row r="6989" spans="1:27" x14ac:dyDescent="0.25">
      <c r="A6989" s="405">
        <v>3005491</v>
      </c>
      <c r="B6989" s="406">
        <v>42683</v>
      </c>
      <c r="C6989" s="405" t="s">
        <v>42</v>
      </c>
      <c r="D6989" s="401" t="s">
        <v>14881</v>
      </c>
      <c r="E6989" s="120">
        <v>400</v>
      </c>
      <c r="F6989" s="133" t="s">
        <v>307</v>
      </c>
      <c r="G6989" s="404" t="s">
        <v>7486</v>
      </c>
      <c r="H6989" s="411">
        <v>522.84</v>
      </c>
      <c r="I6989" s="89">
        <f>-(H6989*0.09)</f>
        <v>-47.055599999999998</v>
      </c>
      <c r="J6989" s="361">
        <f t="shared" ref="J6989" si="3376">-((H6989*0.019)+0.3)</f>
        <v>-10.233960000000002</v>
      </c>
      <c r="K6989" s="396">
        <f t="shared" si="3375"/>
        <v>465.55043999999998</v>
      </c>
      <c r="L6989" s="131">
        <v>622</v>
      </c>
      <c r="M6989" s="187">
        <v>127.34</v>
      </c>
      <c r="N6989" s="199">
        <f t="shared" si="3372"/>
        <v>376.14</v>
      </c>
      <c r="O6989" s="411">
        <f t="shared" si="3363"/>
        <v>89.410439999999994</v>
      </c>
      <c r="P6989" s="132" t="s">
        <v>52</v>
      </c>
      <c r="Q6989" s="232"/>
      <c r="R6989" s="411">
        <v>38.729999999999997</v>
      </c>
      <c r="S6989" s="133" t="s">
        <v>502</v>
      </c>
      <c r="T6989" s="134" t="s">
        <v>53</v>
      </c>
      <c r="U6989" s="267" t="s">
        <v>14882</v>
      </c>
      <c r="AA6989" s="218"/>
    </row>
    <row r="6990" spans="1:27" ht="36" x14ac:dyDescent="0.25">
      <c r="A6990" s="405">
        <v>3005492</v>
      </c>
      <c r="B6990" s="406">
        <v>42683</v>
      </c>
      <c r="C6990" s="405" t="s">
        <v>237</v>
      </c>
      <c r="D6990" s="401" t="s">
        <v>14883</v>
      </c>
      <c r="E6990" s="120">
        <v>500</v>
      </c>
      <c r="F6990" s="119" t="s">
        <v>14884</v>
      </c>
      <c r="G6990" s="404" t="s">
        <v>7486</v>
      </c>
      <c r="H6990" s="411">
        <v>167.37</v>
      </c>
      <c r="I6990" s="397">
        <f t="shared" ref="I6990" si="3377">-(H6990*0.15)</f>
        <v>-25.105499999999999</v>
      </c>
      <c r="J6990" s="258">
        <v>0</v>
      </c>
      <c r="K6990" s="90">
        <f t="shared" ref="K6990:K6995" si="3378">SUM(H6990:J6990)</f>
        <v>142.2645</v>
      </c>
      <c r="L6990" s="187">
        <v>210</v>
      </c>
      <c r="M6990" s="187">
        <v>15.72</v>
      </c>
      <c r="N6990" s="199">
        <f t="shared" si="3372"/>
        <v>120.72</v>
      </c>
      <c r="O6990" s="411">
        <f t="shared" si="3363"/>
        <v>21.544499999999999</v>
      </c>
      <c r="P6990" s="132" t="s">
        <v>183</v>
      </c>
      <c r="Q6990" s="232"/>
      <c r="R6990" s="411"/>
      <c r="T6990" s="134" t="s">
        <v>145</v>
      </c>
      <c r="U6990" s="267" t="s">
        <v>14885</v>
      </c>
      <c r="AA6990" s="218"/>
    </row>
    <row r="6991" spans="1:27" ht="24" x14ac:dyDescent="0.25">
      <c r="A6991" s="405">
        <v>3005493</v>
      </c>
      <c r="B6991" s="406">
        <v>42683</v>
      </c>
      <c r="C6991" s="405" t="s">
        <v>237</v>
      </c>
      <c r="D6991" s="401" t="s">
        <v>14886</v>
      </c>
      <c r="E6991" s="120">
        <v>250</v>
      </c>
      <c r="F6991" s="133" t="s">
        <v>609</v>
      </c>
      <c r="G6991" s="404" t="s">
        <v>7486</v>
      </c>
      <c r="H6991" s="411">
        <v>143.56</v>
      </c>
      <c r="I6991" s="397">
        <f t="shared" ref="I6991" si="3379">-(H6991*0.15)</f>
        <v>-21.533999999999999</v>
      </c>
      <c r="J6991" s="258">
        <v>0</v>
      </c>
      <c r="K6991" s="90">
        <f t="shared" si="3378"/>
        <v>122.02600000000001</v>
      </c>
      <c r="L6991" s="131">
        <v>330</v>
      </c>
      <c r="N6991" s="199">
        <f t="shared" si="3372"/>
        <v>82.5</v>
      </c>
      <c r="O6991" s="411">
        <f t="shared" si="3363"/>
        <v>39.52600000000001</v>
      </c>
      <c r="P6991" s="132" t="s">
        <v>86</v>
      </c>
      <c r="Q6991" s="232"/>
      <c r="R6991" s="411"/>
      <c r="T6991" s="134" t="s">
        <v>145</v>
      </c>
      <c r="U6991" s="267" t="s">
        <v>14887</v>
      </c>
      <c r="AA6991" s="218"/>
    </row>
    <row r="6992" spans="1:27" ht="24" x14ac:dyDescent="0.25">
      <c r="A6992" s="405">
        <v>3005494</v>
      </c>
      <c r="B6992" s="406">
        <v>42683</v>
      </c>
      <c r="C6992" s="405" t="s">
        <v>237</v>
      </c>
      <c r="D6992" s="401" t="s">
        <v>14888</v>
      </c>
      <c r="E6992" s="120">
        <v>100</v>
      </c>
      <c r="F6992" s="133" t="s">
        <v>14889</v>
      </c>
      <c r="G6992" s="404" t="s">
        <v>7486</v>
      </c>
      <c r="H6992" s="411">
        <v>229.2</v>
      </c>
      <c r="I6992" s="397">
        <f t="shared" ref="I6992" si="3380">-(H6992*0.15)</f>
        <v>-34.379999999999995</v>
      </c>
      <c r="J6992" s="258">
        <v>0</v>
      </c>
      <c r="K6992" s="90">
        <f t="shared" si="3378"/>
        <v>194.82</v>
      </c>
      <c r="L6992" s="131">
        <v>900</v>
      </c>
      <c r="N6992" s="199">
        <f t="shared" si="3372"/>
        <v>90</v>
      </c>
      <c r="O6992" s="411">
        <f t="shared" si="3363"/>
        <v>104.82</v>
      </c>
      <c r="P6992" s="132" t="s">
        <v>52</v>
      </c>
      <c r="Q6992" s="232"/>
      <c r="R6992" s="411"/>
      <c r="T6992" s="134" t="s">
        <v>145</v>
      </c>
      <c r="U6992" s="266" t="s">
        <v>14890</v>
      </c>
      <c r="AA6992" s="218"/>
    </row>
    <row r="6993" spans="1:27" ht="24" x14ac:dyDescent="0.25">
      <c r="A6993" s="405">
        <v>3005495</v>
      </c>
      <c r="B6993" s="406">
        <v>42683</v>
      </c>
      <c r="C6993" s="405" t="s">
        <v>237</v>
      </c>
      <c r="D6993" s="401" t="s">
        <v>14891</v>
      </c>
      <c r="E6993" s="120">
        <v>150</v>
      </c>
      <c r="F6993" s="133" t="s">
        <v>1293</v>
      </c>
      <c r="G6993" s="404" t="s">
        <v>7486</v>
      </c>
      <c r="H6993" s="411">
        <v>126.1</v>
      </c>
      <c r="I6993" s="397">
        <f t="shared" ref="I6993" si="3381">-(H6993*0.15)</f>
        <v>-18.914999999999999</v>
      </c>
      <c r="J6993" s="258">
        <v>0</v>
      </c>
      <c r="K6993" s="90">
        <f t="shared" si="3378"/>
        <v>107.185</v>
      </c>
      <c r="L6993" s="131">
        <v>400</v>
      </c>
      <c r="N6993" s="199">
        <f t="shared" si="3372"/>
        <v>60</v>
      </c>
      <c r="O6993" s="411">
        <f t="shared" si="3363"/>
        <v>47.185000000000002</v>
      </c>
      <c r="P6993" s="132" t="s">
        <v>52</v>
      </c>
      <c r="Q6993" s="232"/>
      <c r="R6993" s="411"/>
      <c r="T6993" s="134" t="s">
        <v>145</v>
      </c>
      <c r="U6993" s="267" t="s">
        <v>14892</v>
      </c>
      <c r="AA6993" s="218"/>
    </row>
    <row r="6994" spans="1:27" ht="36" x14ac:dyDescent="0.25">
      <c r="A6994" s="405">
        <v>3005496</v>
      </c>
      <c r="B6994" s="406">
        <v>42683</v>
      </c>
      <c r="C6994" s="405" t="s">
        <v>237</v>
      </c>
      <c r="D6994" s="401" t="s">
        <v>14893</v>
      </c>
      <c r="E6994" s="120">
        <v>1000</v>
      </c>
      <c r="F6994" s="119" t="s">
        <v>14894</v>
      </c>
      <c r="G6994" s="404" t="s">
        <v>7486</v>
      </c>
      <c r="H6994" s="411">
        <v>296</v>
      </c>
      <c r="I6994" s="397">
        <f t="shared" ref="I6994" si="3382">-(H6994*0.15)</f>
        <v>-44.4</v>
      </c>
      <c r="J6994" s="258">
        <v>0</v>
      </c>
      <c r="K6994" s="90">
        <f t="shared" si="3378"/>
        <v>251.6</v>
      </c>
      <c r="L6994" s="187">
        <v>110</v>
      </c>
      <c r="M6994" s="187">
        <v>15.33</v>
      </c>
      <c r="N6994" s="199">
        <f t="shared" si="3372"/>
        <v>125.33</v>
      </c>
      <c r="O6994" s="411">
        <f t="shared" si="3363"/>
        <v>126.27</v>
      </c>
      <c r="P6994" s="132" t="s">
        <v>183</v>
      </c>
      <c r="Q6994" s="232"/>
      <c r="R6994" s="411"/>
      <c r="T6994" s="134" t="s">
        <v>145</v>
      </c>
      <c r="U6994" s="267" t="s">
        <v>14895</v>
      </c>
      <c r="AA6994" s="218"/>
    </row>
    <row r="6995" spans="1:27" ht="36" x14ac:dyDescent="0.25">
      <c r="A6995" s="419">
        <v>3005497</v>
      </c>
      <c r="B6995" s="421">
        <v>42684</v>
      </c>
      <c r="C6995" s="419" t="s">
        <v>78</v>
      </c>
      <c r="D6995" s="417" t="s">
        <v>4006</v>
      </c>
      <c r="E6995" s="120">
        <v>1000</v>
      </c>
      <c r="F6995" s="119" t="s">
        <v>14896</v>
      </c>
      <c r="G6995" s="434" t="s">
        <v>7486</v>
      </c>
      <c r="H6995" s="427">
        <v>16990</v>
      </c>
      <c r="I6995" s="427">
        <v>0</v>
      </c>
      <c r="J6995" s="425">
        <f t="shared" ref="J6995" si="3383">-((H6995*0.019)+0.3)</f>
        <v>-323.11</v>
      </c>
      <c r="K6995" s="425">
        <f t="shared" si="3378"/>
        <v>16666.89</v>
      </c>
      <c r="M6995" s="450">
        <v>344</v>
      </c>
      <c r="N6995" s="199">
        <f t="shared" si="3372"/>
        <v>344</v>
      </c>
      <c r="O6995" s="411">
        <f t="shared" si="3363"/>
        <v>16322.89</v>
      </c>
      <c r="P6995" s="132" t="s">
        <v>5735</v>
      </c>
      <c r="Q6995" s="232"/>
      <c r="R6995" s="411"/>
      <c r="T6995" s="470" t="s">
        <v>97</v>
      </c>
      <c r="U6995" s="475" t="s">
        <v>14897</v>
      </c>
      <c r="V6995" s="133" t="s">
        <v>55</v>
      </c>
      <c r="W6995" s="153" t="s">
        <v>4009</v>
      </c>
      <c r="AA6995" s="473">
        <v>100</v>
      </c>
    </row>
    <row r="6996" spans="1:27" ht="36" x14ac:dyDescent="0.25">
      <c r="A6996" s="432"/>
      <c r="B6996" s="433"/>
      <c r="C6996" s="432"/>
      <c r="D6996" s="454"/>
      <c r="E6996" s="120">
        <v>2000</v>
      </c>
      <c r="F6996" s="119" t="s">
        <v>14898</v>
      </c>
      <c r="G6996" s="435"/>
      <c r="H6996" s="438"/>
      <c r="I6996" s="438"/>
      <c r="J6996" s="437"/>
      <c r="K6996" s="437"/>
      <c r="M6996" s="463"/>
      <c r="N6996" s="199">
        <f t="shared" si="3372"/>
        <v>0</v>
      </c>
      <c r="O6996" s="411">
        <f t="shared" si="3363"/>
        <v>0</v>
      </c>
      <c r="P6996" s="132" t="s">
        <v>5735</v>
      </c>
      <c r="Q6996" s="232"/>
      <c r="R6996" s="411"/>
      <c r="T6996" s="471"/>
      <c r="U6996" s="476"/>
      <c r="AA6996" s="478"/>
    </row>
    <row r="6997" spans="1:27" ht="24" x14ac:dyDescent="0.25">
      <c r="A6997" s="432"/>
      <c r="B6997" s="433"/>
      <c r="C6997" s="432"/>
      <c r="D6997" s="454"/>
      <c r="E6997" s="120">
        <v>2000</v>
      </c>
      <c r="F6997" s="119" t="s">
        <v>14899</v>
      </c>
      <c r="G6997" s="435"/>
      <c r="H6997" s="438"/>
      <c r="I6997" s="438"/>
      <c r="J6997" s="437"/>
      <c r="K6997" s="437"/>
      <c r="M6997" s="463"/>
      <c r="N6997" s="199">
        <f t="shared" si="3372"/>
        <v>0</v>
      </c>
      <c r="O6997" s="411">
        <f t="shared" si="3363"/>
        <v>0</v>
      </c>
      <c r="P6997" s="132" t="s">
        <v>5735</v>
      </c>
      <c r="Q6997" s="232"/>
      <c r="R6997" s="411"/>
      <c r="T6997" s="471"/>
      <c r="U6997" s="476"/>
      <c r="AA6997" s="478"/>
    </row>
    <row r="6998" spans="1:27" ht="24" x14ac:dyDescent="0.25">
      <c r="A6998" s="432"/>
      <c r="B6998" s="433"/>
      <c r="C6998" s="432"/>
      <c r="D6998" s="454"/>
      <c r="E6998" s="120">
        <v>2000</v>
      </c>
      <c r="F6998" s="119" t="s">
        <v>14900</v>
      </c>
      <c r="G6998" s="435"/>
      <c r="H6998" s="438"/>
      <c r="I6998" s="438"/>
      <c r="J6998" s="437"/>
      <c r="K6998" s="437"/>
      <c r="M6998" s="463"/>
      <c r="N6998" s="199">
        <f t="shared" si="3372"/>
        <v>0</v>
      </c>
      <c r="O6998" s="411">
        <f t="shared" si="3363"/>
        <v>0</v>
      </c>
      <c r="P6998" s="132" t="s">
        <v>5735</v>
      </c>
      <c r="Q6998" s="232"/>
      <c r="R6998" s="411"/>
      <c r="T6998" s="471"/>
      <c r="U6998" s="476"/>
      <c r="AA6998" s="478"/>
    </row>
    <row r="6999" spans="1:27" x14ac:dyDescent="0.25">
      <c r="A6999" s="432"/>
      <c r="B6999" s="433"/>
      <c r="C6999" s="432"/>
      <c r="D6999" s="454"/>
      <c r="E6999" s="120">
        <v>1500</v>
      </c>
      <c r="F6999" s="133" t="s">
        <v>14901</v>
      </c>
      <c r="G6999" s="435"/>
      <c r="H6999" s="438"/>
      <c r="I6999" s="438"/>
      <c r="J6999" s="437"/>
      <c r="K6999" s="437"/>
      <c r="M6999" s="463"/>
      <c r="N6999" s="199">
        <f t="shared" si="3372"/>
        <v>0</v>
      </c>
      <c r="O6999" s="411">
        <f t="shared" si="3363"/>
        <v>0</v>
      </c>
      <c r="P6999" s="132" t="s">
        <v>5735</v>
      </c>
      <c r="Q6999" s="232"/>
      <c r="R6999" s="411"/>
      <c r="T6999" s="471"/>
      <c r="U6999" s="476"/>
      <c r="AA6999" s="478"/>
    </row>
    <row r="7000" spans="1:27" ht="24" x14ac:dyDescent="0.25">
      <c r="A7000" s="432"/>
      <c r="B7000" s="433"/>
      <c r="C7000" s="432"/>
      <c r="D7000" s="454"/>
      <c r="E7000" s="120">
        <v>250</v>
      </c>
      <c r="F7000" s="119" t="s">
        <v>14902</v>
      </c>
      <c r="G7000" s="435"/>
      <c r="H7000" s="438"/>
      <c r="I7000" s="438"/>
      <c r="J7000" s="437"/>
      <c r="K7000" s="437"/>
      <c r="M7000" s="463"/>
      <c r="N7000" s="199">
        <f t="shared" ref="N7000:N7064" si="3384">((L7000)*(E7000*0.001))+M7000</f>
        <v>0</v>
      </c>
      <c r="O7000" s="411">
        <f t="shared" si="3363"/>
        <v>0</v>
      </c>
      <c r="P7000" s="132" t="s">
        <v>5735</v>
      </c>
      <c r="Q7000" s="232"/>
      <c r="R7000" s="411"/>
      <c r="T7000" s="471"/>
      <c r="U7000" s="476"/>
      <c r="AA7000" s="478"/>
    </row>
    <row r="7001" spans="1:27" ht="24" x14ac:dyDescent="0.25">
      <c r="A7001" s="432"/>
      <c r="B7001" s="433"/>
      <c r="C7001" s="432"/>
      <c r="D7001" s="454"/>
      <c r="E7001" s="120">
        <v>1000</v>
      </c>
      <c r="F7001" s="119" t="s">
        <v>14903</v>
      </c>
      <c r="G7001" s="435"/>
      <c r="H7001" s="438"/>
      <c r="I7001" s="438"/>
      <c r="J7001" s="437"/>
      <c r="K7001" s="437"/>
      <c r="M7001" s="463"/>
      <c r="N7001" s="199">
        <f t="shared" si="3384"/>
        <v>0</v>
      </c>
      <c r="O7001" s="411">
        <f t="shared" si="3363"/>
        <v>0</v>
      </c>
      <c r="P7001" s="132" t="s">
        <v>5735</v>
      </c>
      <c r="Q7001" s="232"/>
      <c r="R7001" s="411"/>
      <c r="T7001" s="471"/>
      <c r="U7001" s="476"/>
      <c r="AA7001" s="478"/>
    </row>
    <row r="7002" spans="1:27" ht="24" x14ac:dyDescent="0.25">
      <c r="A7002" s="432"/>
      <c r="B7002" s="433"/>
      <c r="C7002" s="432"/>
      <c r="D7002" s="454"/>
      <c r="E7002" s="120">
        <v>250</v>
      </c>
      <c r="F7002" s="119" t="s">
        <v>14904</v>
      </c>
      <c r="G7002" s="435"/>
      <c r="H7002" s="438"/>
      <c r="I7002" s="438"/>
      <c r="J7002" s="437"/>
      <c r="K7002" s="437"/>
      <c r="M7002" s="463"/>
      <c r="N7002" s="199">
        <f t="shared" si="3384"/>
        <v>0</v>
      </c>
      <c r="O7002" s="411">
        <f t="shared" si="3363"/>
        <v>0</v>
      </c>
      <c r="P7002" s="132" t="s">
        <v>5735</v>
      </c>
      <c r="Q7002" s="232"/>
      <c r="R7002" s="411"/>
      <c r="T7002" s="471"/>
      <c r="U7002" s="476"/>
      <c r="AA7002" s="478"/>
    </row>
    <row r="7003" spans="1:27" ht="36" x14ac:dyDescent="0.25">
      <c r="A7003" s="432"/>
      <c r="B7003" s="433"/>
      <c r="C7003" s="432"/>
      <c r="D7003" s="454"/>
      <c r="E7003" s="120">
        <v>6000</v>
      </c>
      <c r="F7003" s="119" t="s">
        <v>14905</v>
      </c>
      <c r="G7003" s="435"/>
      <c r="H7003" s="438"/>
      <c r="I7003" s="438"/>
      <c r="J7003" s="437"/>
      <c r="K7003" s="437"/>
      <c r="M7003" s="463"/>
      <c r="N7003" s="199">
        <f t="shared" si="3384"/>
        <v>0</v>
      </c>
      <c r="O7003" s="411">
        <f t="shared" si="3363"/>
        <v>0</v>
      </c>
      <c r="P7003" s="132" t="s">
        <v>5735</v>
      </c>
      <c r="Q7003" s="232"/>
      <c r="R7003" s="411"/>
      <c r="T7003" s="471"/>
      <c r="U7003" s="476"/>
      <c r="AA7003" s="478"/>
    </row>
    <row r="7004" spans="1:27" ht="36" x14ac:dyDescent="0.25">
      <c r="A7004" s="432"/>
      <c r="B7004" s="433"/>
      <c r="C7004" s="432"/>
      <c r="D7004" s="454"/>
      <c r="E7004" s="120">
        <v>3000</v>
      </c>
      <c r="F7004" s="119" t="s">
        <v>14906</v>
      </c>
      <c r="G7004" s="435"/>
      <c r="H7004" s="438"/>
      <c r="I7004" s="438"/>
      <c r="J7004" s="437"/>
      <c r="K7004" s="437"/>
      <c r="M7004" s="463"/>
      <c r="N7004" s="199">
        <f t="shared" si="3384"/>
        <v>0</v>
      </c>
      <c r="O7004" s="411">
        <f t="shared" si="3363"/>
        <v>0</v>
      </c>
      <c r="P7004" s="132" t="s">
        <v>5735</v>
      </c>
      <c r="Q7004" s="232"/>
      <c r="R7004" s="411"/>
      <c r="T7004" s="471"/>
      <c r="U7004" s="476"/>
      <c r="AA7004" s="478"/>
    </row>
    <row r="7005" spans="1:27" ht="24" x14ac:dyDescent="0.25">
      <c r="A7005" s="432"/>
      <c r="B7005" s="433"/>
      <c r="C7005" s="432"/>
      <c r="D7005" s="454"/>
      <c r="E7005" s="120">
        <v>3000</v>
      </c>
      <c r="F7005" s="119" t="s">
        <v>14907</v>
      </c>
      <c r="G7005" s="435"/>
      <c r="H7005" s="438"/>
      <c r="I7005" s="438"/>
      <c r="J7005" s="437"/>
      <c r="K7005" s="437"/>
      <c r="M7005" s="463"/>
      <c r="N7005" s="199">
        <f t="shared" si="3384"/>
        <v>0</v>
      </c>
      <c r="O7005" s="411">
        <f t="shared" si="3363"/>
        <v>0</v>
      </c>
      <c r="P7005" s="132" t="s">
        <v>5735</v>
      </c>
      <c r="Q7005" s="232"/>
      <c r="R7005" s="411"/>
      <c r="T7005" s="471"/>
      <c r="U7005" s="476"/>
      <c r="AA7005" s="478"/>
    </row>
    <row r="7006" spans="1:27" ht="24" x14ac:dyDescent="0.25">
      <c r="A7006" s="432"/>
      <c r="B7006" s="433"/>
      <c r="C7006" s="432"/>
      <c r="D7006" s="454"/>
      <c r="E7006" s="120">
        <v>2000</v>
      </c>
      <c r="F7006" s="119" t="s">
        <v>14908</v>
      </c>
      <c r="G7006" s="435"/>
      <c r="H7006" s="438"/>
      <c r="I7006" s="438"/>
      <c r="J7006" s="437"/>
      <c r="K7006" s="437"/>
      <c r="M7006" s="463"/>
      <c r="N7006" s="199">
        <f t="shared" si="3384"/>
        <v>0</v>
      </c>
      <c r="O7006" s="411">
        <f t="shared" si="3363"/>
        <v>0</v>
      </c>
      <c r="P7006" s="132" t="s">
        <v>5735</v>
      </c>
      <c r="Q7006" s="232"/>
      <c r="R7006" s="411"/>
      <c r="T7006" s="471"/>
      <c r="U7006" s="476"/>
      <c r="AA7006" s="478"/>
    </row>
    <row r="7007" spans="1:27" ht="36" x14ac:dyDescent="0.25">
      <c r="A7007" s="432"/>
      <c r="B7007" s="433"/>
      <c r="C7007" s="432"/>
      <c r="D7007" s="454"/>
      <c r="E7007" s="120">
        <v>1000</v>
      </c>
      <c r="F7007" s="119" t="s">
        <v>14909</v>
      </c>
      <c r="G7007" s="435"/>
      <c r="H7007" s="438"/>
      <c r="I7007" s="438"/>
      <c r="J7007" s="437"/>
      <c r="K7007" s="437"/>
      <c r="M7007" s="463"/>
      <c r="N7007" s="199">
        <f t="shared" si="3384"/>
        <v>0</v>
      </c>
      <c r="O7007" s="411">
        <f t="shared" si="3363"/>
        <v>0</v>
      </c>
      <c r="P7007" s="132" t="s">
        <v>5735</v>
      </c>
      <c r="Q7007" s="232"/>
      <c r="R7007" s="411"/>
      <c r="T7007" s="471"/>
      <c r="U7007" s="476"/>
      <c r="AA7007" s="478"/>
    </row>
    <row r="7008" spans="1:27" ht="24" x14ac:dyDescent="0.25">
      <c r="A7008" s="432"/>
      <c r="B7008" s="433"/>
      <c r="C7008" s="432"/>
      <c r="D7008" s="454"/>
      <c r="E7008" s="120">
        <v>750</v>
      </c>
      <c r="F7008" s="119" t="s">
        <v>14910</v>
      </c>
      <c r="G7008" s="435"/>
      <c r="H7008" s="438"/>
      <c r="I7008" s="438"/>
      <c r="J7008" s="437"/>
      <c r="K7008" s="437"/>
      <c r="M7008" s="463"/>
      <c r="N7008" s="199">
        <f t="shared" si="3384"/>
        <v>0</v>
      </c>
      <c r="O7008" s="411">
        <f t="shared" si="3363"/>
        <v>0</v>
      </c>
      <c r="P7008" s="132" t="s">
        <v>5735</v>
      </c>
      <c r="Q7008" s="232"/>
      <c r="R7008" s="411"/>
      <c r="T7008" s="471"/>
      <c r="U7008" s="476"/>
      <c r="AA7008" s="478"/>
    </row>
    <row r="7009" spans="1:27" ht="36" x14ac:dyDescent="0.25">
      <c r="A7009" s="420"/>
      <c r="B7009" s="422"/>
      <c r="C7009" s="420"/>
      <c r="D7009" s="418"/>
      <c r="E7009" s="120">
        <v>1500</v>
      </c>
      <c r="F7009" s="119" t="s">
        <v>14911</v>
      </c>
      <c r="G7009" s="436"/>
      <c r="H7009" s="428"/>
      <c r="I7009" s="428"/>
      <c r="J7009" s="426"/>
      <c r="K7009" s="426"/>
      <c r="M7009" s="451"/>
      <c r="N7009" s="199">
        <f t="shared" si="3384"/>
        <v>0</v>
      </c>
      <c r="O7009" s="411">
        <f t="shared" si="3363"/>
        <v>0</v>
      </c>
      <c r="P7009" s="132" t="s">
        <v>5735</v>
      </c>
      <c r="Q7009" s="232"/>
      <c r="R7009" s="411"/>
      <c r="T7009" s="472"/>
      <c r="U7009" s="477"/>
      <c r="AA7009" s="474"/>
    </row>
    <row r="7010" spans="1:27" ht="24" x14ac:dyDescent="0.25">
      <c r="A7010" s="405">
        <v>3005498</v>
      </c>
      <c r="B7010" s="406">
        <v>42684</v>
      </c>
      <c r="C7010" s="405" t="s">
        <v>78</v>
      </c>
      <c r="D7010" s="401" t="s">
        <v>14912</v>
      </c>
      <c r="E7010" s="120">
        <v>200</v>
      </c>
      <c r="F7010" s="133" t="s">
        <v>2949</v>
      </c>
      <c r="G7010" s="404" t="s">
        <v>7486</v>
      </c>
      <c r="H7010" s="411">
        <v>400</v>
      </c>
      <c r="I7010" s="411">
        <v>0</v>
      </c>
      <c r="J7010" s="361">
        <f t="shared" ref="J7010" si="3385">-((H7010*0.019)+0.3)</f>
        <v>-7.8999999999999995</v>
      </c>
      <c r="K7010" s="90">
        <f>SUM(H7010:J7010)</f>
        <v>392.1</v>
      </c>
      <c r="L7010" s="131">
        <v>1100</v>
      </c>
      <c r="N7010" s="199">
        <f t="shared" si="3384"/>
        <v>220</v>
      </c>
      <c r="O7010" s="411">
        <f t="shared" si="3363"/>
        <v>172.10000000000002</v>
      </c>
      <c r="P7010" s="132" t="s">
        <v>52</v>
      </c>
      <c r="Q7010" s="232"/>
      <c r="R7010" s="411"/>
      <c r="T7010" s="134" t="s">
        <v>145</v>
      </c>
      <c r="U7010" s="267" t="s">
        <v>14913</v>
      </c>
      <c r="W7010" s="153" t="s">
        <v>14914</v>
      </c>
      <c r="AA7010" s="218"/>
    </row>
    <row r="7011" spans="1:27" ht="24" x14ac:dyDescent="0.25">
      <c r="A7011" s="405">
        <v>3005499</v>
      </c>
      <c r="B7011" s="406">
        <v>42684</v>
      </c>
      <c r="C7011" s="405" t="s">
        <v>237</v>
      </c>
      <c r="D7011" s="401" t="s">
        <v>14915</v>
      </c>
      <c r="E7011" s="120">
        <v>100</v>
      </c>
      <c r="F7011" s="133" t="s">
        <v>247</v>
      </c>
      <c r="G7011" s="404" t="s">
        <v>7486</v>
      </c>
      <c r="H7011" s="411">
        <v>110</v>
      </c>
      <c r="I7011" s="397">
        <f t="shared" ref="I7011" si="3386">-(H7011*0.15)</f>
        <v>-16.5</v>
      </c>
      <c r="J7011" s="258">
        <v>0</v>
      </c>
      <c r="K7011" s="90">
        <f>SUM(H7011:J7011)</f>
        <v>93.5</v>
      </c>
      <c r="L7011" s="131">
        <v>424</v>
      </c>
      <c r="N7011" s="199">
        <f t="shared" si="3384"/>
        <v>42.400000000000006</v>
      </c>
      <c r="O7011" s="411">
        <f t="shared" si="3363"/>
        <v>51.099999999999994</v>
      </c>
      <c r="P7011" s="132" t="s">
        <v>52</v>
      </c>
      <c r="Q7011" s="232"/>
      <c r="R7011" s="411"/>
      <c r="T7011" s="134" t="s">
        <v>145</v>
      </c>
      <c r="U7011" s="267" t="s">
        <v>14916</v>
      </c>
      <c r="AA7011" s="218"/>
    </row>
    <row r="7012" spans="1:27" ht="36" x14ac:dyDescent="0.25">
      <c r="A7012" s="405">
        <v>3005500</v>
      </c>
      <c r="B7012" s="406">
        <v>42684</v>
      </c>
      <c r="C7012" s="405" t="s">
        <v>237</v>
      </c>
      <c r="D7012" s="401" t="s">
        <v>14917</v>
      </c>
      <c r="E7012" s="120">
        <v>500</v>
      </c>
      <c r="F7012" s="119" t="s">
        <v>14918</v>
      </c>
      <c r="G7012" s="404" t="s">
        <v>7486</v>
      </c>
      <c r="H7012" s="411">
        <v>185.36</v>
      </c>
      <c r="I7012" s="397">
        <f t="shared" ref="I7012" si="3387">-(H7012*0.15)</f>
        <v>-27.804000000000002</v>
      </c>
      <c r="J7012" s="258">
        <v>0</v>
      </c>
      <c r="K7012" s="90">
        <f>SUM(H7012:J7012)</f>
        <v>157.55600000000001</v>
      </c>
      <c r="L7012" s="187">
        <v>140</v>
      </c>
      <c r="N7012" s="199">
        <f t="shared" si="3384"/>
        <v>70</v>
      </c>
      <c r="O7012" s="411">
        <f t="shared" si="3363"/>
        <v>87.556000000000012</v>
      </c>
      <c r="P7012" s="132" t="s">
        <v>856</v>
      </c>
      <c r="Q7012" s="232"/>
      <c r="R7012" s="411"/>
      <c r="T7012" s="134" t="s">
        <v>145</v>
      </c>
      <c r="U7012" s="267" t="s">
        <v>14919</v>
      </c>
      <c r="AA7012" s="218"/>
    </row>
    <row r="7013" spans="1:27" ht="24" x14ac:dyDescent="0.25">
      <c r="A7013" s="405">
        <v>3005501</v>
      </c>
      <c r="B7013" s="406">
        <v>42684</v>
      </c>
      <c r="C7013" s="405" t="s">
        <v>237</v>
      </c>
      <c r="D7013" s="401" t="s">
        <v>14920</v>
      </c>
      <c r="E7013" s="120">
        <v>40</v>
      </c>
      <c r="F7013" s="133" t="s">
        <v>288</v>
      </c>
      <c r="G7013" s="404" t="s">
        <v>7486</v>
      </c>
      <c r="H7013" s="411">
        <v>100</v>
      </c>
      <c r="I7013" s="397">
        <f t="shared" ref="I7013" si="3388">-(H7013*0.15)</f>
        <v>-15</v>
      </c>
      <c r="J7013" s="258">
        <v>0</v>
      </c>
      <c r="K7013" s="90">
        <f>SUM(H7013:J7013)</f>
        <v>85</v>
      </c>
      <c r="L7013" s="131">
        <v>900</v>
      </c>
      <c r="N7013" s="199">
        <f t="shared" si="3384"/>
        <v>36</v>
      </c>
      <c r="O7013" s="411">
        <f t="shared" si="3363"/>
        <v>49</v>
      </c>
      <c r="P7013" s="132" t="s">
        <v>52</v>
      </c>
      <c r="Q7013" s="232"/>
      <c r="R7013" s="411"/>
      <c r="T7013" s="134" t="s">
        <v>145</v>
      </c>
      <c r="U7013" s="267" t="s">
        <v>14921</v>
      </c>
      <c r="AA7013" s="218"/>
    </row>
    <row r="7014" spans="1:27" ht="24" x14ac:dyDescent="0.25">
      <c r="A7014" s="405">
        <v>3005502</v>
      </c>
      <c r="B7014" s="406">
        <v>42684</v>
      </c>
      <c r="C7014" s="405" t="s">
        <v>42</v>
      </c>
      <c r="D7014" s="401" t="s">
        <v>14922</v>
      </c>
      <c r="E7014" s="120">
        <v>50</v>
      </c>
      <c r="F7014" s="133" t="s">
        <v>14923</v>
      </c>
      <c r="G7014" s="404" t="s">
        <v>7486</v>
      </c>
      <c r="H7014" s="411">
        <v>101.12</v>
      </c>
      <c r="I7014" s="89">
        <f>-(H7014*0.09)</f>
        <v>-9.1007999999999996</v>
      </c>
      <c r="J7014" s="361">
        <f t="shared" ref="J7014" si="3389">-((H7014*0.019)+0.3)</f>
        <v>-2.2212800000000001</v>
      </c>
      <c r="K7014" s="396">
        <f t="shared" ref="K7014" si="3390">SUM(H7014:J7014)</f>
        <v>89.797920000000005</v>
      </c>
      <c r="L7014" s="187">
        <v>1180</v>
      </c>
      <c r="N7014" s="199">
        <f t="shared" si="3384"/>
        <v>59</v>
      </c>
      <c r="O7014" s="411">
        <f t="shared" si="3363"/>
        <v>30.797920000000005</v>
      </c>
      <c r="P7014" s="132" t="s">
        <v>601</v>
      </c>
      <c r="Q7014" s="232"/>
      <c r="R7014" s="411"/>
      <c r="T7014" s="134" t="s">
        <v>145</v>
      </c>
      <c r="U7014" s="267" t="s">
        <v>14924</v>
      </c>
      <c r="AA7014" s="218"/>
    </row>
    <row r="7015" spans="1:27" ht="24" x14ac:dyDescent="0.25">
      <c r="A7015" s="405">
        <v>3005503</v>
      </c>
      <c r="B7015" s="406">
        <v>42684</v>
      </c>
      <c r="C7015" s="405" t="s">
        <v>42</v>
      </c>
      <c r="D7015" s="401" t="s">
        <v>14925</v>
      </c>
      <c r="E7015" s="120">
        <v>500</v>
      </c>
      <c r="F7015" s="119" t="s">
        <v>14926</v>
      </c>
      <c r="G7015" s="404" t="s">
        <v>7486</v>
      </c>
      <c r="H7015" s="411">
        <v>105</v>
      </c>
      <c r="I7015" s="89">
        <f>-(H7015*0.09)</f>
        <v>-9.4499999999999993</v>
      </c>
      <c r="J7015" s="361">
        <f t="shared" ref="J7015" si="3391">-((H7015*0.019)+0.3)</f>
        <v>-2.2949999999999999</v>
      </c>
      <c r="K7015" s="396">
        <f t="shared" ref="K7015" si="3392">SUM(H7015:J7015)</f>
        <v>93.254999999999995</v>
      </c>
      <c r="L7015" s="131">
        <v>47</v>
      </c>
      <c r="N7015" s="199">
        <f t="shared" si="3384"/>
        <v>23.5</v>
      </c>
      <c r="O7015" s="411">
        <f t="shared" si="3363"/>
        <v>69.754999999999995</v>
      </c>
      <c r="P7015" s="132" t="s">
        <v>4514</v>
      </c>
      <c r="Q7015" s="232"/>
      <c r="R7015" s="411"/>
      <c r="T7015" s="134" t="s">
        <v>145</v>
      </c>
      <c r="U7015" s="267" t="s">
        <v>14927</v>
      </c>
      <c r="AA7015" s="218"/>
    </row>
    <row r="7016" spans="1:27" ht="24" x14ac:dyDescent="0.25">
      <c r="A7016" s="405">
        <v>3005504</v>
      </c>
      <c r="B7016" s="406">
        <v>42684</v>
      </c>
      <c r="C7016" s="405" t="s">
        <v>42</v>
      </c>
      <c r="D7016" s="401" t="s">
        <v>14928</v>
      </c>
      <c r="E7016" s="120">
        <v>250</v>
      </c>
      <c r="F7016" s="133" t="s">
        <v>2361</v>
      </c>
      <c r="G7016" s="404" t="s">
        <v>7486</v>
      </c>
      <c r="H7016" s="411">
        <v>320</v>
      </c>
      <c r="I7016" s="89">
        <f>-(H7016*0.09)</f>
        <v>-28.799999999999997</v>
      </c>
      <c r="J7016" s="361">
        <f t="shared" ref="J7016" si="3393">-((H7016*0.019)+0.3)</f>
        <v>-6.38</v>
      </c>
      <c r="K7016" s="396">
        <f t="shared" ref="K7016" si="3394">SUM(H7016:J7016)</f>
        <v>284.82</v>
      </c>
      <c r="L7016" s="131">
        <v>750</v>
      </c>
      <c r="N7016" s="199">
        <f t="shared" si="3384"/>
        <v>187.5</v>
      </c>
      <c r="O7016" s="411">
        <f t="shared" si="3363"/>
        <v>97.32</v>
      </c>
      <c r="P7016" s="132" t="s">
        <v>52</v>
      </c>
      <c r="Q7016" s="232"/>
      <c r="R7016" s="411"/>
      <c r="T7016" s="134" t="s">
        <v>145</v>
      </c>
      <c r="U7016" s="267" t="s">
        <v>14929</v>
      </c>
      <c r="AA7016" s="218"/>
    </row>
    <row r="7017" spans="1:27" x14ac:dyDescent="0.25">
      <c r="A7017" s="419">
        <v>3005505</v>
      </c>
      <c r="B7017" s="421">
        <v>42684</v>
      </c>
      <c r="C7017" s="419" t="s">
        <v>42</v>
      </c>
      <c r="D7017" s="417" t="s">
        <v>14930</v>
      </c>
      <c r="E7017" s="120">
        <v>500</v>
      </c>
      <c r="F7017" s="133" t="s">
        <v>3719</v>
      </c>
      <c r="G7017" s="434" t="s">
        <v>7486</v>
      </c>
      <c r="H7017" s="427">
        <v>1730</v>
      </c>
      <c r="I7017" s="452">
        <f>-(H7017*0.09)</f>
        <v>-155.69999999999999</v>
      </c>
      <c r="J7017" s="425">
        <f t="shared" ref="J7017" si="3395">-((H7017*0.019)+0.3)</f>
        <v>-33.169999999999995</v>
      </c>
      <c r="K7017" s="425">
        <f t="shared" ref="K7017" si="3396">SUM(H7017:J7017)</f>
        <v>1541.1299999999999</v>
      </c>
      <c r="L7017" s="187">
        <v>1100</v>
      </c>
      <c r="M7017" s="131">
        <v>0</v>
      </c>
      <c r="N7017" s="199">
        <f t="shared" si="3384"/>
        <v>550</v>
      </c>
      <c r="O7017" s="411">
        <f t="shared" si="3363"/>
        <v>991.12999999999988</v>
      </c>
      <c r="P7017" s="132" t="s">
        <v>601</v>
      </c>
      <c r="Q7017" s="232"/>
      <c r="R7017" s="411"/>
      <c r="T7017" s="439" t="s">
        <v>473</v>
      </c>
      <c r="U7017" s="446" t="s">
        <v>14931</v>
      </c>
      <c r="AA7017" s="218"/>
    </row>
    <row r="7018" spans="1:27" x14ac:dyDescent="0.25">
      <c r="A7018" s="420"/>
      <c r="B7018" s="422"/>
      <c r="C7018" s="420"/>
      <c r="D7018" s="418"/>
      <c r="E7018" s="120">
        <v>500</v>
      </c>
      <c r="F7018" s="133" t="s">
        <v>3307</v>
      </c>
      <c r="G7018" s="436"/>
      <c r="H7018" s="428"/>
      <c r="I7018" s="453"/>
      <c r="J7018" s="426"/>
      <c r="K7018" s="426"/>
      <c r="L7018" s="187">
        <v>1100</v>
      </c>
      <c r="N7018" s="199">
        <f t="shared" si="3384"/>
        <v>550</v>
      </c>
      <c r="O7018" s="411">
        <f t="shared" si="3363"/>
        <v>-550</v>
      </c>
      <c r="P7018" s="132" t="s">
        <v>12241</v>
      </c>
      <c r="Q7018" s="232"/>
      <c r="R7018" s="411"/>
      <c r="T7018" s="441"/>
      <c r="U7018" s="447"/>
      <c r="AA7018" s="218"/>
    </row>
    <row r="7019" spans="1:27" ht="24" x14ac:dyDescent="0.25">
      <c r="A7019" s="405">
        <v>3005506</v>
      </c>
      <c r="B7019" s="406">
        <v>42684</v>
      </c>
      <c r="C7019" s="405" t="s">
        <v>42</v>
      </c>
      <c r="D7019" s="401" t="s">
        <v>14932</v>
      </c>
      <c r="E7019" s="120">
        <v>500</v>
      </c>
      <c r="F7019" s="133" t="s">
        <v>451</v>
      </c>
      <c r="G7019" s="404" t="s">
        <v>7486</v>
      </c>
      <c r="H7019" s="411">
        <v>291.85000000000002</v>
      </c>
      <c r="I7019" s="89">
        <f t="shared" ref="I7019:I7025" si="3397">-(H7019*0.09)</f>
        <v>-26.266500000000001</v>
      </c>
      <c r="J7019" s="361">
        <f t="shared" ref="J7019" si="3398">-((H7019*0.019)+0.3)</f>
        <v>-5.8451500000000003</v>
      </c>
      <c r="K7019" s="396">
        <f t="shared" ref="K7019" si="3399">SUM(H7019:J7019)</f>
        <v>259.73835000000003</v>
      </c>
      <c r="L7019" s="131">
        <v>300</v>
      </c>
      <c r="N7019" s="199">
        <f t="shared" si="3384"/>
        <v>150</v>
      </c>
      <c r="O7019" s="411">
        <f t="shared" si="3363"/>
        <v>109.73835000000003</v>
      </c>
      <c r="P7019" s="132" t="s">
        <v>52</v>
      </c>
      <c r="Q7019" s="232"/>
      <c r="R7019" s="411"/>
      <c r="T7019" s="134" t="s">
        <v>145</v>
      </c>
      <c r="U7019" s="267" t="s">
        <v>14933</v>
      </c>
      <c r="AA7019" s="218"/>
    </row>
    <row r="7020" spans="1:27" ht="24" x14ac:dyDescent="0.25">
      <c r="A7020" s="405">
        <v>3005507</v>
      </c>
      <c r="B7020" s="406">
        <v>42684</v>
      </c>
      <c r="C7020" s="405" t="s">
        <v>42</v>
      </c>
      <c r="D7020" s="401" t="s">
        <v>14934</v>
      </c>
      <c r="E7020" s="120">
        <v>250</v>
      </c>
      <c r="F7020" s="133" t="s">
        <v>1293</v>
      </c>
      <c r="G7020" s="404" t="s">
        <v>7486</v>
      </c>
      <c r="H7020" s="411">
        <v>254</v>
      </c>
      <c r="I7020" s="89">
        <f t="shared" si="3397"/>
        <v>-22.86</v>
      </c>
      <c r="J7020" s="361">
        <f t="shared" ref="J7020" si="3400">-((H7020*0.019)+0.3)</f>
        <v>-5.1259999999999994</v>
      </c>
      <c r="K7020" s="396">
        <f t="shared" ref="K7020" si="3401">SUM(H7020:J7020)</f>
        <v>226.01399999999998</v>
      </c>
      <c r="L7020" s="131">
        <v>400</v>
      </c>
      <c r="N7020" s="199">
        <f t="shared" si="3384"/>
        <v>100</v>
      </c>
      <c r="O7020" s="411">
        <f t="shared" si="3363"/>
        <v>126.01399999999998</v>
      </c>
      <c r="P7020" s="132" t="s">
        <v>52</v>
      </c>
      <c r="Q7020" s="232"/>
      <c r="R7020" s="411"/>
      <c r="T7020" s="134" t="s">
        <v>145</v>
      </c>
      <c r="U7020" s="267" t="s">
        <v>14935</v>
      </c>
      <c r="AA7020" s="218"/>
    </row>
    <row r="7021" spans="1:27" ht="24" x14ac:dyDescent="0.25">
      <c r="A7021" s="405">
        <v>3005508</v>
      </c>
      <c r="B7021" s="406">
        <v>42684</v>
      </c>
      <c r="C7021" s="405" t="s">
        <v>42</v>
      </c>
      <c r="D7021" s="401" t="s">
        <v>14936</v>
      </c>
      <c r="E7021" s="120">
        <v>250</v>
      </c>
      <c r="F7021" s="133" t="s">
        <v>1550</v>
      </c>
      <c r="G7021" s="404" t="s">
        <v>7486</v>
      </c>
      <c r="H7021" s="411">
        <v>334.62</v>
      </c>
      <c r="I7021" s="89">
        <f t="shared" si="3397"/>
        <v>-30.1158</v>
      </c>
      <c r="J7021" s="361">
        <f t="shared" ref="J7021" si="3402">-((H7021*0.019)+0.3)</f>
        <v>-6.6577799999999998</v>
      </c>
      <c r="K7021" s="396">
        <f t="shared" ref="K7021" si="3403">SUM(H7021:J7021)</f>
        <v>297.84642000000002</v>
      </c>
      <c r="N7021" s="199">
        <f t="shared" si="3384"/>
        <v>0</v>
      </c>
      <c r="O7021" s="411">
        <f t="shared" si="3363"/>
        <v>297.84642000000002</v>
      </c>
      <c r="P7021" s="132" t="s">
        <v>52</v>
      </c>
      <c r="Q7021" s="232"/>
      <c r="R7021" s="411"/>
      <c r="T7021" s="134" t="s">
        <v>145</v>
      </c>
      <c r="U7021" s="267" t="s">
        <v>14937</v>
      </c>
      <c r="AA7021" s="218"/>
    </row>
    <row r="7022" spans="1:27" ht="24" x14ac:dyDescent="0.25">
      <c r="A7022" s="405">
        <v>3005509</v>
      </c>
      <c r="B7022" s="406">
        <v>42684</v>
      </c>
      <c r="C7022" s="405" t="s">
        <v>42</v>
      </c>
      <c r="D7022" s="401" t="s">
        <v>14938</v>
      </c>
      <c r="E7022" s="120">
        <v>80</v>
      </c>
      <c r="F7022" s="133" t="s">
        <v>247</v>
      </c>
      <c r="G7022" s="404" t="s">
        <v>7486</v>
      </c>
      <c r="H7022" s="411">
        <v>98.4</v>
      </c>
      <c r="I7022" s="89">
        <f t="shared" si="3397"/>
        <v>-8.8559999999999999</v>
      </c>
      <c r="J7022" s="361">
        <f t="shared" ref="J7022" si="3404">-((H7022*0.019)+0.3)</f>
        <v>-2.1696</v>
      </c>
      <c r="K7022" s="396">
        <f t="shared" ref="K7022" si="3405">SUM(H7022:J7022)</f>
        <v>87.374400000000009</v>
      </c>
      <c r="L7022" s="131">
        <v>424</v>
      </c>
      <c r="N7022" s="199">
        <f t="shared" si="3384"/>
        <v>33.92</v>
      </c>
      <c r="O7022" s="411">
        <f t="shared" si="3363"/>
        <v>53.454400000000007</v>
      </c>
      <c r="P7022" s="132" t="s">
        <v>52</v>
      </c>
      <c r="Q7022" s="232"/>
      <c r="R7022" s="411"/>
      <c r="T7022" s="134" t="s">
        <v>145</v>
      </c>
      <c r="U7022" s="267" t="s">
        <v>14939</v>
      </c>
      <c r="AA7022" s="218"/>
    </row>
    <row r="7023" spans="1:27" ht="24" x14ac:dyDescent="0.25">
      <c r="A7023" s="405">
        <v>3005510</v>
      </c>
      <c r="B7023" s="406">
        <v>42684</v>
      </c>
      <c r="C7023" s="405" t="s">
        <v>42</v>
      </c>
      <c r="D7023" s="401" t="s">
        <v>14940</v>
      </c>
      <c r="E7023" s="120">
        <v>400</v>
      </c>
      <c r="F7023" s="133" t="s">
        <v>7586</v>
      </c>
      <c r="G7023" s="404" t="s">
        <v>7486</v>
      </c>
      <c r="H7023" s="411">
        <v>286.7</v>
      </c>
      <c r="I7023" s="89">
        <f t="shared" si="3397"/>
        <v>-25.802999999999997</v>
      </c>
      <c r="J7023" s="361">
        <f t="shared" ref="J7023" si="3406">-((H7023*0.019)+0.3)</f>
        <v>-5.7472999999999992</v>
      </c>
      <c r="K7023" s="396">
        <f t="shared" ref="K7023" si="3407">SUM(H7023:J7023)</f>
        <v>255.1497</v>
      </c>
      <c r="L7023" s="187">
        <v>442.03</v>
      </c>
      <c r="N7023" s="199">
        <f t="shared" si="3384"/>
        <v>176.81200000000001</v>
      </c>
      <c r="O7023" s="411">
        <f t="shared" si="3363"/>
        <v>78.337699999999984</v>
      </c>
      <c r="P7023" s="132" t="s">
        <v>86</v>
      </c>
      <c r="Q7023" s="232"/>
      <c r="R7023" s="411"/>
      <c r="T7023" s="134" t="s">
        <v>145</v>
      </c>
      <c r="U7023" s="267" t="s">
        <v>14941</v>
      </c>
      <c r="AA7023" s="218"/>
    </row>
    <row r="7024" spans="1:27" ht="24" x14ac:dyDescent="0.25">
      <c r="A7024" s="405">
        <v>3005511</v>
      </c>
      <c r="B7024" s="406">
        <v>42684</v>
      </c>
      <c r="C7024" s="405" t="s">
        <v>42</v>
      </c>
      <c r="D7024" s="401" t="s">
        <v>14942</v>
      </c>
      <c r="E7024" s="120">
        <v>100</v>
      </c>
      <c r="F7024" s="133" t="s">
        <v>431</v>
      </c>
      <c r="G7024" s="404" t="s">
        <v>7486</v>
      </c>
      <c r="H7024" s="411">
        <v>200.08</v>
      </c>
      <c r="I7024" s="89">
        <f t="shared" si="3397"/>
        <v>-18.007200000000001</v>
      </c>
      <c r="J7024" s="361">
        <f t="shared" ref="J7024" si="3408">-((H7024*0.019)+0.3)</f>
        <v>-4.1015199999999998</v>
      </c>
      <c r="K7024" s="396">
        <f t="shared" ref="K7024" si="3409">SUM(H7024:J7024)</f>
        <v>177.97128000000001</v>
      </c>
      <c r="L7024" s="131">
        <v>950</v>
      </c>
      <c r="N7024" s="199">
        <f t="shared" si="3384"/>
        <v>95</v>
      </c>
      <c r="O7024" s="411">
        <f t="shared" si="3363"/>
        <v>82.971280000000007</v>
      </c>
      <c r="P7024" s="132" t="s">
        <v>52</v>
      </c>
      <c r="Q7024" s="232"/>
      <c r="R7024" s="411"/>
      <c r="T7024" s="134" t="s">
        <v>145</v>
      </c>
      <c r="U7024" s="267" t="s">
        <v>14943</v>
      </c>
      <c r="AA7024" s="218"/>
    </row>
    <row r="7025" spans="1:27" ht="24" x14ac:dyDescent="0.25">
      <c r="A7025" s="405">
        <v>3005512</v>
      </c>
      <c r="B7025" s="406">
        <v>42684</v>
      </c>
      <c r="C7025" s="405" t="s">
        <v>42</v>
      </c>
      <c r="D7025" s="401" t="s">
        <v>14944</v>
      </c>
      <c r="E7025" s="120">
        <v>150</v>
      </c>
      <c r="F7025" s="133" t="s">
        <v>3307</v>
      </c>
      <c r="G7025" s="404" t="s">
        <v>7486</v>
      </c>
      <c r="H7025" s="411">
        <v>280.67</v>
      </c>
      <c r="I7025" s="89">
        <f t="shared" si="3397"/>
        <v>-25.260300000000001</v>
      </c>
      <c r="J7025" s="361">
        <f t="shared" ref="J7025" si="3410">-((H7025*0.019)+0.3)</f>
        <v>-5.6327299999999996</v>
      </c>
      <c r="K7025" s="396">
        <f t="shared" ref="K7025" si="3411">SUM(H7025:J7025)</f>
        <v>249.77697000000001</v>
      </c>
      <c r="L7025" s="187">
        <v>1160</v>
      </c>
      <c r="N7025" s="199">
        <f t="shared" si="3384"/>
        <v>174</v>
      </c>
      <c r="O7025" s="411">
        <f t="shared" si="3363"/>
        <v>75.776970000000006</v>
      </c>
      <c r="P7025" s="132" t="s">
        <v>601</v>
      </c>
      <c r="Q7025" s="232"/>
      <c r="R7025" s="411"/>
      <c r="T7025" s="134" t="s">
        <v>145</v>
      </c>
      <c r="U7025" s="267" t="s">
        <v>14945</v>
      </c>
      <c r="AA7025" s="218"/>
    </row>
    <row r="7026" spans="1:27" x14ac:dyDescent="0.25">
      <c r="A7026" s="419">
        <v>3005513</v>
      </c>
      <c r="B7026" s="421">
        <v>42684</v>
      </c>
      <c r="C7026" s="419" t="s">
        <v>237</v>
      </c>
      <c r="D7026" s="417" t="s">
        <v>14946</v>
      </c>
      <c r="E7026" s="120">
        <v>25</v>
      </c>
      <c r="F7026" s="133" t="s">
        <v>4407</v>
      </c>
      <c r="G7026" s="434" t="s">
        <v>7486</v>
      </c>
      <c r="H7026" s="427">
        <v>159.38999999999999</v>
      </c>
      <c r="I7026" s="452">
        <f t="shared" ref="I7026" si="3412">-(H7026*0.15)</f>
        <v>-23.908499999999997</v>
      </c>
      <c r="J7026" s="425">
        <v>0</v>
      </c>
      <c r="K7026" s="425">
        <f>SUM(H7026:J7026)</f>
        <v>135.48149999999998</v>
      </c>
      <c r="L7026" s="187">
        <v>2200</v>
      </c>
      <c r="N7026" s="199">
        <f t="shared" si="3384"/>
        <v>55</v>
      </c>
      <c r="O7026" s="411">
        <f t="shared" si="3363"/>
        <v>80.481499999999983</v>
      </c>
      <c r="P7026" s="132" t="s">
        <v>601</v>
      </c>
      <c r="Q7026" s="232"/>
      <c r="R7026" s="411"/>
      <c r="T7026" s="439" t="s">
        <v>145</v>
      </c>
      <c r="U7026" s="446" t="s">
        <v>14947</v>
      </c>
      <c r="AA7026" s="218"/>
    </row>
    <row r="7027" spans="1:27" x14ac:dyDescent="0.25">
      <c r="A7027" s="420"/>
      <c r="B7027" s="422"/>
      <c r="C7027" s="420"/>
      <c r="D7027" s="418"/>
      <c r="E7027" s="120">
        <v>25</v>
      </c>
      <c r="F7027" s="133" t="s">
        <v>1507</v>
      </c>
      <c r="G7027" s="436"/>
      <c r="H7027" s="428"/>
      <c r="I7027" s="453"/>
      <c r="J7027" s="426"/>
      <c r="K7027" s="426"/>
      <c r="L7027" s="187">
        <v>2200</v>
      </c>
      <c r="N7027" s="199">
        <f t="shared" si="3384"/>
        <v>55</v>
      </c>
      <c r="O7027" s="411">
        <f t="shared" si="3363"/>
        <v>-55</v>
      </c>
      <c r="P7027" s="132" t="s">
        <v>601</v>
      </c>
      <c r="Q7027" s="232"/>
      <c r="R7027" s="411"/>
      <c r="T7027" s="441"/>
      <c r="U7027" s="447"/>
      <c r="AA7027" s="218"/>
    </row>
    <row r="7028" spans="1:27" ht="24" x14ac:dyDescent="0.25">
      <c r="A7028" s="419">
        <v>3005514</v>
      </c>
      <c r="B7028" s="421">
        <v>42684</v>
      </c>
      <c r="C7028" s="419" t="s">
        <v>141</v>
      </c>
      <c r="D7028" s="417" t="s">
        <v>5888</v>
      </c>
      <c r="E7028" s="120">
        <v>150</v>
      </c>
      <c r="F7028" s="133" t="s">
        <v>161</v>
      </c>
      <c r="G7028" s="434" t="s">
        <v>7486</v>
      </c>
      <c r="H7028" s="427">
        <v>1227.5</v>
      </c>
      <c r="I7028" s="427">
        <v>0</v>
      </c>
      <c r="J7028" s="425">
        <f>-((H7028*0.0325)+0.3)</f>
        <v>-40.193750000000001</v>
      </c>
      <c r="K7028" s="425">
        <f t="shared" ref="K7028" si="3413">SUM(H7028:J7028)</f>
        <v>1187.3062500000001</v>
      </c>
      <c r="L7028" s="131">
        <v>1322</v>
      </c>
      <c r="N7028" s="199">
        <f t="shared" si="3384"/>
        <v>198.29999999999998</v>
      </c>
      <c r="O7028" s="411">
        <f t="shared" si="3363"/>
        <v>989.00625000000014</v>
      </c>
      <c r="P7028" s="132" t="s">
        <v>86</v>
      </c>
      <c r="Q7028" s="232"/>
      <c r="R7028" s="411"/>
      <c r="T7028" s="134" t="s">
        <v>145</v>
      </c>
      <c r="U7028" s="267" t="s">
        <v>14948</v>
      </c>
      <c r="W7028" s="153" t="s">
        <v>14949</v>
      </c>
      <c r="AA7028" s="473">
        <v>10</v>
      </c>
    </row>
    <row r="7029" spans="1:27" ht="36" x14ac:dyDescent="0.25">
      <c r="A7029" s="420"/>
      <c r="B7029" s="422"/>
      <c r="C7029" s="420"/>
      <c r="D7029" s="418"/>
      <c r="E7029" s="120">
        <v>500</v>
      </c>
      <c r="F7029" s="133" t="s">
        <v>14950</v>
      </c>
      <c r="G7029" s="436"/>
      <c r="H7029" s="428"/>
      <c r="I7029" s="428"/>
      <c r="J7029" s="426"/>
      <c r="K7029" s="426"/>
      <c r="L7029" s="187">
        <v>1065</v>
      </c>
      <c r="M7029" s="187">
        <v>87</v>
      </c>
      <c r="N7029" s="199">
        <f t="shared" si="3384"/>
        <v>619.5</v>
      </c>
      <c r="O7029" s="411">
        <f t="shared" si="3363"/>
        <v>-619.5</v>
      </c>
      <c r="P7029" s="132" t="s">
        <v>46</v>
      </c>
      <c r="Q7029" s="232"/>
      <c r="R7029" s="411"/>
      <c r="T7029" s="134" t="s">
        <v>60</v>
      </c>
      <c r="U7029" s="267" t="s">
        <v>14951</v>
      </c>
      <c r="V7029" s="133" t="s">
        <v>14952</v>
      </c>
      <c r="AA7029" s="474"/>
    </row>
    <row r="7030" spans="1:27" x14ac:dyDescent="0.25">
      <c r="A7030" s="419">
        <v>3005515</v>
      </c>
      <c r="B7030" s="421">
        <v>42684</v>
      </c>
      <c r="C7030" s="419" t="s">
        <v>56</v>
      </c>
      <c r="D7030" s="417" t="s">
        <v>3595</v>
      </c>
      <c r="E7030" s="120">
        <v>5000</v>
      </c>
      <c r="F7030" s="133" t="s">
        <v>3596</v>
      </c>
      <c r="G7030" s="460" t="s">
        <v>7486</v>
      </c>
      <c r="H7030" s="427">
        <v>3630</v>
      </c>
      <c r="I7030" s="427">
        <v>0</v>
      </c>
      <c r="J7030" s="427">
        <v>0</v>
      </c>
      <c r="K7030" s="425">
        <f t="shared" ref="K7030" si="3414">SUM(H7030:J7030)</f>
        <v>3630</v>
      </c>
      <c r="L7030" s="187">
        <v>165</v>
      </c>
      <c r="N7030" s="199">
        <f t="shared" si="3384"/>
        <v>825</v>
      </c>
      <c r="O7030" s="411">
        <f t="shared" si="3363"/>
        <v>2805</v>
      </c>
      <c r="P7030" s="132" t="s">
        <v>3597</v>
      </c>
      <c r="Q7030" s="232"/>
      <c r="R7030" s="411"/>
      <c r="T7030" s="439" t="s">
        <v>12969</v>
      </c>
      <c r="U7030" s="446" t="s">
        <v>14953</v>
      </c>
      <c r="V7030" s="133" t="s">
        <v>14772</v>
      </c>
      <c r="W7030" s="153" t="s">
        <v>298</v>
      </c>
      <c r="AA7030" s="218"/>
    </row>
    <row r="7031" spans="1:27" x14ac:dyDescent="0.25">
      <c r="A7031" s="432"/>
      <c r="B7031" s="433"/>
      <c r="C7031" s="432"/>
      <c r="D7031" s="454"/>
      <c r="E7031" s="120">
        <v>5000</v>
      </c>
      <c r="F7031" s="133" t="s">
        <v>3603</v>
      </c>
      <c r="G7031" s="461"/>
      <c r="H7031" s="438"/>
      <c r="I7031" s="438"/>
      <c r="J7031" s="438"/>
      <c r="K7031" s="437"/>
      <c r="L7031" s="187">
        <v>165</v>
      </c>
      <c r="M7031" s="131">
        <v>0</v>
      </c>
      <c r="N7031" s="199">
        <f t="shared" si="3384"/>
        <v>825</v>
      </c>
      <c r="O7031" s="411">
        <f t="shared" si="3363"/>
        <v>-825</v>
      </c>
      <c r="P7031" s="132" t="s">
        <v>3597</v>
      </c>
      <c r="Q7031" s="232"/>
      <c r="R7031" s="411"/>
      <c r="T7031" s="440"/>
      <c r="U7031" s="448"/>
      <c r="AA7031" s="218"/>
    </row>
    <row r="7032" spans="1:27" x14ac:dyDescent="0.25">
      <c r="A7032" s="420"/>
      <c r="B7032" s="422"/>
      <c r="C7032" s="420"/>
      <c r="D7032" s="418"/>
      <c r="E7032" s="120">
        <v>5000</v>
      </c>
      <c r="F7032" s="133" t="s">
        <v>3602</v>
      </c>
      <c r="G7032" s="462"/>
      <c r="H7032" s="428"/>
      <c r="I7032" s="428"/>
      <c r="J7032" s="428"/>
      <c r="K7032" s="426"/>
      <c r="L7032" s="187">
        <v>165</v>
      </c>
      <c r="N7032" s="199">
        <f t="shared" si="3384"/>
        <v>825</v>
      </c>
      <c r="O7032" s="411">
        <f t="shared" si="3363"/>
        <v>-825</v>
      </c>
      <c r="P7032" s="132" t="s">
        <v>3597</v>
      </c>
      <c r="Q7032" s="232"/>
      <c r="R7032" s="411"/>
      <c r="T7032" s="441"/>
      <c r="U7032" s="447"/>
      <c r="AA7032" s="218"/>
    </row>
    <row r="7033" spans="1:27" x14ac:dyDescent="0.25">
      <c r="A7033" s="405">
        <v>3005516</v>
      </c>
      <c r="B7033" s="406">
        <v>42684</v>
      </c>
      <c r="C7033" s="405" t="s">
        <v>56</v>
      </c>
      <c r="D7033" s="401" t="s">
        <v>8209</v>
      </c>
      <c r="E7033" s="120">
        <v>1140</v>
      </c>
      <c r="F7033" s="133" t="s">
        <v>14954</v>
      </c>
      <c r="G7033" s="193" t="s">
        <v>7486</v>
      </c>
      <c r="H7033" s="411">
        <v>0</v>
      </c>
      <c r="I7033" s="411">
        <v>0</v>
      </c>
      <c r="J7033" s="411">
        <v>0</v>
      </c>
      <c r="K7033" s="396">
        <f t="shared" ref="K7033:K7034" si="3415">SUM(H7033:J7033)</f>
        <v>0</v>
      </c>
      <c r="L7033" s="131">
        <v>950</v>
      </c>
      <c r="M7033" s="131">
        <v>0</v>
      </c>
      <c r="N7033" s="199">
        <f t="shared" si="3384"/>
        <v>1083.0000000000002</v>
      </c>
      <c r="O7033" s="411">
        <f t="shared" si="3363"/>
        <v>-1083.0000000000002</v>
      </c>
      <c r="P7033" s="132" t="s">
        <v>11830</v>
      </c>
      <c r="Q7033" s="232"/>
      <c r="R7033" s="411"/>
      <c r="T7033" s="134"/>
      <c r="U7033" s="266"/>
      <c r="AA7033" s="218"/>
    </row>
    <row r="7034" spans="1:27" ht="24" x14ac:dyDescent="0.25">
      <c r="A7034" s="405">
        <v>3005517</v>
      </c>
      <c r="B7034" s="406">
        <v>42684</v>
      </c>
      <c r="C7034" s="405" t="s">
        <v>42</v>
      </c>
      <c r="D7034" s="401" t="s">
        <v>14955</v>
      </c>
      <c r="E7034" s="120">
        <v>100</v>
      </c>
      <c r="F7034" s="133" t="s">
        <v>593</v>
      </c>
      <c r="G7034" s="404" t="s">
        <v>7486</v>
      </c>
      <c r="H7034" s="411">
        <v>155.03</v>
      </c>
      <c r="I7034" s="89">
        <f>-(H7034*0.09)</f>
        <v>-13.9527</v>
      </c>
      <c r="J7034" s="361">
        <f t="shared" ref="J7034" si="3416">-((H7034*0.019)+0.3)</f>
        <v>-3.2455699999999998</v>
      </c>
      <c r="K7034" s="396">
        <f t="shared" si="3415"/>
        <v>137.83173000000002</v>
      </c>
      <c r="L7034" s="131">
        <v>648</v>
      </c>
      <c r="N7034" s="199">
        <f t="shared" si="3384"/>
        <v>64.8</v>
      </c>
      <c r="O7034" s="411">
        <f t="shared" si="3363"/>
        <v>73.031730000000024</v>
      </c>
      <c r="P7034" s="132" t="s">
        <v>52</v>
      </c>
      <c r="Q7034" s="232"/>
      <c r="R7034" s="411">
        <v>11.48</v>
      </c>
      <c r="S7034" s="133" t="s">
        <v>4608</v>
      </c>
      <c r="T7034" s="134" t="s">
        <v>145</v>
      </c>
      <c r="U7034" s="267" t="s">
        <v>14956</v>
      </c>
      <c r="AA7034" s="218"/>
    </row>
    <row r="7035" spans="1:27" x14ac:dyDescent="0.25">
      <c r="A7035" s="419">
        <v>3005518</v>
      </c>
      <c r="B7035" s="421">
        <v>42684</v>
      </c>
      <c r="C7035" s="419" t="s">
        <v>237</v>
      </c>
      <c r="D7035" s="417" t="s">
        <v>14957</v>
      </c>
      <c r="E7035" s="120">
        <v>50</v>
      </c>
      <c r="F7035" s="133" t="s">
        <v>3301</v>
      </c>
      <c r="G7035" s="434" t="s">
        <v>7486</v>
      </c>
      <c r="H7035" s="427">
        <v>130</v>
      </c>
      <c r="I7035" s="452">
        <f t="shared" ref="I7035" si="3417">-(H7035*0.15)</f>
        <v>-19.5</v>
      </c>
      <c r="J7035" s="425">
        <v>0</v>
      </c>
      <c r="K7035" s="425">
        <f>SUM(H7035:J7035)</f>
        <v>110.5</v>
      </c>
      <c r="L7035" s="187">
        <v>754</v>
      </c>
      <c r="N7035" s="199">
        <f t="shared" si="3384"/>
        <v>37.700000000000003</v>
      </c>
      <c r="O7035" s="411">
        <f t="shared" si="3363"/>
        <v>72.8</v>
      </c>
      <c r="P7035" s="132" t="s">
        <v>601</v>
      </c>
      <c r="Q7035" s="232"/>
      <c r="R7035" s="411"/>
      <c r="T7035" s="439" t="s">
        <v>145</v>
      </c>
      <c r="U7035" s="446" t="s">
        <v>14958</v>
      </c>
      <c r="AA7035" s="218"/>
    </row>
    <row r="7036" spans="1:27" x14ac:dyDescent="0.25">
      <c r="A7036" s="420"/>
      <c r="B7036" s="422"/>
      <c r="C7036" s="420"/>
      <c r="D7036" s="418"/>
      <c r="E7036" s="120">
        <v>50</v>
      </c>
      <c r="F7036" s="133" t="s">
        <v>3299</v>
      </c>
      <c r="G7036" s="436"/>
      <c r="H7036" s="428"/>
      <c r="I7036" s="453"/>
      <c r="J7036" s="426"/>
      <c r="K7036" s="426"/>
      <c r="L7036" s="187">
        <v>754</v>
      </c>
      <c r="N7036" s="199">
        <f t="shared" si="3384"/>
        <v>37.700000000000003</v>
      </c>
      <c r="O7036" s="411">
        <f t="shared" si="3363"/>
        <v>-37.700000000000003</v>
      </c>
      <c r="P7036" s="132" t="s">
        <v>601</v>
      </c>
      <c r="Q7036" s="232"/>
      <c r="R7036" s="411"/>
      <c r="T7036" s="441"/>
      <c r="U7036" s="447"/>
      <c r="AA7036" s="218"/>
    </row>
    <row r="7037" spans="1:27" ht="24" x14ac:dyDescent="0.25">
      <c r="A7037" s="405">
        <v>3005519</v>
      </c>
      <c r="B7037" s="406">
        <v>42684</v>
      </c>
      <c r="C7037" s="405" t="s">
        <v>280</v>
      </c>
      <c r="D7037" s="401" t="s">
        <v>14959</v>
      </c>
      <c r="E7037" s="120">
        <v>125</v>
      </c>
      <c r="F7037" s="133" t="s">
        <v>874</v>
      </c>
      <c r="G7037" s="404" t="s">
        <v>7486</v>
      </c>
      <c r="H7037" s="411">
        <v>402.5</v>
      </c>
      <c r="I7037" s="411">
        <v>0</v>
      </c>
      <c r="J7037" s="361">
        <f>-((H7037*0.022)+0.3)</f>
        <v>-9.1549999999999994</v>
      </c>
      <c r="K7037" s="90">
        <f>SUM(H7037:J7037)</f>
        <v>393.34500000000003</v>
      </c>
      <c r="L7037" s="131">
        <v>1795</v>
      </c>
      <c r="N7037" s="199">
        <f t="shared" si="3384"/>
        <v>224.375</v>
      </c>
      <c r="O7037" s="411">
        <f t="shared" si="3363"/>
        <v>168.97000000000003</v>
      </c>
      <c r="P7037" s="132" t="s">
        <v>52</v>
      </c>
      <c r="Q7037" s="232"/>
      <c r="R7037" s="411"/>
      <c r="T7037" s="134" t="s">
        <v>145</v>
      </c>
      <c r="U7037" s="267" t="s">
        <v>14960</v>
      </c>
      <c r="W7037" s="153" t="s">
        <v>14961</v>
      </c>
      <c r="AA7037" s="218"/>
    </row>
    <row r="7038" spans="1:27" x14ac:dyDescent="0.25">
      <c r="A7038" s="419">
        <v>3005520</v>
      </c>
      <c r="B7038" s="421">
        <v>42684</v>
      </c>
      <c r="C7038" s="419" t="s">
        <v>63</v>
      </c>
      <c r="D7038" s="417" t="s">
        <v>3220</v>
      </c>
      <c r="E7038" s="120">
        <v>300</v>
      </c>
      <c r="F7038" s="133" t="s">
        <v>11370</v>
      </c>
      <c r="G7038" s="434" t="s">
        <v>7486</v>
      </c>
      <c r="H7038" s="427">
        <v>2405</v>
      </c>
      <c r="I7038" s="427">
        <v>0</v>
      </c>
      <c r="J7038" s="425">
        <f>-((H7038*0.022)+0.3)</f>
        <v>-53.209999999999994</v>
      </c>
      <c r="K7038" s="425">
        <f>SUM(H7038:J7038)</f>
        <v>2351.79</v>
      </c>
      <c r="M7038" s="187">
        <v>139.32</v>
      </c>
      <c r="N7038" s="199">
        <f t="shared" si="3384"/>
        <v>139.32</v>
      </c>
      <c r="O7038" s="411">
        <f t="shared" si="3363"/>
        <v>2212.4699999999998</v>
      </c>
      <c r="P7038" s="132" t="s">
        <v>52</v>
      </c>
      <c r="Q7038" s="232"/>
      <c r="R7038" s="411"/>
      <c r="T7038" s="134" t="s">
        <v>97</v>
      </c>
      <c r="U7038" s="267" t="s">
        <v>14962</v>
      </c>
      <c r="W7038" s="153" t="s">
        <v>5164</v>
      </c>
      <c r="AA7038" s="473">
        <v>10</v>
      </c>
    </row>
    <row r="7039" spans="1:27" ht="24" x14ac:dyDescent="0.25">
      <c r="A7039" s="420"/>
      <c r="B7039" s="422"/>
      <c r="C7039" s="420"/>
      <c r="D7039" s="418"/>
      <c r="E7039" s="120">
        <v>2000</v>
      </c>
      <c r="F7039" s="119" t="s">
        <v>14963</v>
      </c>
      <c r="G7039" s="436"/>
      <c r="H7039" s="428"/>
      <c r="I7039" s="428"/>
      <c r="J7039" s="426"/>
      <c r="K7039" s="426"/>
      <c r="L7039" s="187">
        <v>170</v>
      </c>
      <c r="M7039" s="187">
        <v>47.02</v>
      </c>
      <c r="N7039" s="199">
        <f t="shared" si="3384"/>
        <v>387.02</v>
      </c>
      <c r="O7039" s="411">
        <f t="shared" si="3363"/>
        <v>-387.02</v>
      </c>
      <c r="P7039" s="132" t="s">
        <v>183</v>
      </c>
      <c r="Q7039" s="232"/>
      <c r="R7039" s="411"/>
      <c r="T7039" s="134" t="s">
        <v>145</v>
      </c>
      <c r="U7039" s="266" t="s">
        <v>14964</v>
      </c>
      <c r="V7039" s="133" t="s">
        <v>14965</v>
      </c>
      <c r="AA7039" s="474"/>
    </row>
    <row r="7040" spans="1:27" ht="24" x14ac:dyDescent="0.25">
      <c r="A7040" s="405">
        <v>3005521</v>
      </c>
      <c r="B7040" s="406">
        <v>42684</v>
      </c>
      <c r="C7040" s="405" t="s">
        <v>42</v>
      </c>
      <c r="D7040" s="401" t="s">
        <v>14966</v>
      </c>
      <c r="E7040" s="120">
        <v>125</v>
      </c>
      <c r="F7040" s="133" t="s">
        <v>227</v>
      </c>
      <c r="G7040" s="404" t="s">
        <v>7486</v>
      </c>
      <c r="H7040" s="411">
        <v>111.31</v>
      </c>
      <c r="I7040" s="89">
        <f>-(H7040*0.09)</f>
        <v>-10.017899999999999</v>
      </c>
      <c r="J7040" s="361">
        <f t="shared" ref="J7040" si="3418">-((H7040*0.019)+0.3)</f>
        <v>-2.4148899999999998</v>
      </c>
      <c r="K7040" s="396">
        <f t="shared" ref="K7040" si="3419">SUM(H7040:J7040)</f>
        <v>98.877210000000005</v>
      </c>
      <c r="L7040" s="131">
        <v>300</v>
      </c>
      <c r="N7040" s="199">
        <f t="shared" si="3384"/>
        <v>37.5</v>
      </c>
      <c r="O7040" s="411">
        <f t="shared" si="3363"/>
        <v>61.377210000000005</v>
      </c>
      <c r="P7040" s="132" t="s">
        <v>52</v>
      </c>
      <c r="Q7040" s="232"/>
      <c r="R7040" s="411"/>
      <c r="T7040" s="134" t="s">
        <v>145</v>
      </c>
      <c r="U7040" s="267" t="s">
        <v>14967</v>
      </c>
      <c r="AA7040" s="218"/>
    </row>
    <row r="7041" spans="1:27" ht="60" x14ac:dyDescent="0.25">
      <c r="A7041" s="405">
        <v>3005522</v>
      </c>
      <c r="B7041" s="406">
        <v>42684</v>
      </c>
      <c r="C7041" s="405" t="s">
        <v>237</v>
      </c>
      <c r="D7041" s="401" t="s">
        <v>14968</v>
      </c>
      <c r="E7041" s="120">
        <v>60</v>
      </c>
      <c r="F7041" s="119" t="s">
        <v>12404</v>
      </c>
      <c r="G7041" s="404" t="s">
        <v>7486</v>
      </c>
      <c r="H7041" s="411">
        <v>100</v>
      </c>
      <c r="I7041" s="397">
        <f t="shared" ref="I7041" si="3420">-(H7041*0.15)</f>
        <v>-15</v>
      </c>
      <c r="J7041" s="258">
        <v>0</v>
      </c>
      <c r="K7041" s="90">
        <f>SUM(H7041:J7041)</f>
        <v>85</v>
      </c>
      <c r="L7041" s="131">
        <v>850</v>
      </c>
      <c r="N7041" s="199">
        <f t="shared" si="3384"/>
        <v>51</v>
      </c>
      <c r="O7041" s="411">
        <f t="shared" si="3363"/>
        <v>34</v>
      </c>
      <c r="P7041" s="132" t="s">
        <v>643</v>
      </c>
      <c r="Q7041" s="232"/>
      <c r="R7041" s="411"/>
      <c r="T7041" s="134" t="s">
        <v>145</v>
      </c>
      <c r="U7041" s="267" t="s">
        <v>14969</v>
      </c>
      <c r="AA7041" s="218"/>
    </row>
    <row r="7042" spans="1:27" x14ac:dyDescent="0.25">
      <c r="A7042" s="405">
        <v>3005523</v>
      </c>
      <c r="B7042" s="406">
        <v>42684</v>
      </c>
      <c r="C7042" s="405" t="s">
        <v>63</v>
      </c>
      <c r="D7042" s="401" t="s">
        <v>14970</v>
      </c>
      <c r="E7042" s="120">
        <v>220</v>
      </c>
      <c r="F7042" s="133" t="s">
        <v>70</v>
      </c>
      <c r="G7042" s="404" t="s">
        <v>7486</v>
      </c>
      <c r="H7042" s="411">
        <v>580</v>
      </c>
      <c r="I7042" s="411">
        <v>0</v>
      </c>
      <c r="J7042" s="361">
        <f>-((H7042*0.022)+0.3)</f>
        <v>-13.06</v>
      </c>
      <c r="K7042" s="90">
        <f>SUM(H7042:J7042)</f>
        <v>566.94000000000005</v>
      </c>
      <c r="L7042" s="131">
        <v>1240</v>
      </c>
      <c r="M7042" s="187">
        <v>102.23</v>
      </c>
      <c r="N7042" s="199">
        <f t="shared" si="3384"/>
        <v>375.03000000000003</v>
      </c>
      <c r="O7042" s="411">
        <f t="shared" si="3363"/>
        <v>191.91000000000003</v>
      </c>
      <c r="P7042" s="132" t="s">
        <v>52</v>
      </c>
      <c r="Q7042" s="232"/>
      <c r="R7042" s="411"/>
      <c r="T7042" s="134" t="s">
        <v>7260</v>
      </c>
      <c r="U7042" s="267" t="s">
        <v>14971</v>
      </c>
      <c r="V7042" s="133" t="s">
        <v>55</v>
      </c>
      <c r="W7042" s="153" t="s">
        <v>14972</v>
      </c>
      <c r="AA7042" s="218"/>
    </row>
    <row r="7043" spans="1:27" x14ac:dyDescent="0.25">
      <c r="A7043" s="405">
        <v>3005524</v>
      </c>
      <c r="B7043" s="406">
        <v>42684</v>
      </c>
      <c r="C7043" s="405" t="s">
        <v>141</v>
      </c>
      <c r="D7043" s="401" t="s">
        <v>678</v>
      </c>
      <c r="E7043" s="120">
        <v>3000</v>
      </c>
      <c r="F7043" s="133" t="s">
        <v>14973</v>
      </c>
      <c r="G7043" s="404" t="s">
        <v>7486</v>
      </c>
      <c r="H7043" s="411">
        <v>3450</v>
      </c>
      <c r="I7043" s="411">
        <v>0</v>
      </c>
      <c r="J7043" s="361">
        <f>-((H7043*0.0325)+0.3)</f>
        <v>-112.425</v>
      </c>
      <c r="K7043" s="90">
        <f>SUM(H7043:J7043)</f>
        <v>3337.5749999999998</v>
      </c>
      <c r="L7043" s="187">
        <v>695</v>
      </c>
      <c r="M7043" s="131">
        <v>0</v>
      </c>
      <c r="N7043" s="199">
        <f t="shared" si="3384"/>
        <v>2085</v>
      </c>
      <c r="O7043" s="411">
        <f t="shared" si="3363"/>
        <v>1252.5749999999998</v>
      </c>
      <c r="P7043" s="132" t="s">
        <v>66</v>
      </c>
      <c r="Q7043" s="232"/>
      <c r="R7043" s="411"/>
      <c r="T7043" s="134" t="s">
        <v>1027</v>
      </c>
      <c r="U7043" s="266">
        <v>5464115650</v>
      </c>
      <c r="W7043" s="153" t="s">
        <v>14306</v>
      </c>
      <c r="AA7043" s="218">
        <v>50</v>
      </c>
    </row>
    <row r="7044" spans="1:27" x14ac:dyDescent="0.25">
      <c r="A7044" s="419">
        <v>3005525</v>
      </c>
      <c r="B7044" s="421">
        <v>42684</v>
      </c>
      <c r="C7044" s="419" t="s">
        <v>141</v>
      </c>
      <c r="D7044" s="417" t="s">
        <v>678</v>
      </c>
      <c r="E7044" s="120">
        <v>2000</v>
      </c>
      <c r="F7044" s="133" t="s">
        <v>4207</v>
      </c>
      <c r="G7044" s="434" t="s">
        <v>7486</v>
      </c>
      <c r="H7044" s="427">
        <v>5260</v>
      </c>
      <c r="I7044" s="427">
        <v>0</v>
      </c>
      <c r="J7044" s="425">
        <f>-((H7044*0.0325)+0.3)</f>
        <v>-171.25000000000003</v>
      </c>
      <c r="K7044" s="425">
        <f>SUM(H7044:J7044)</f>
        <v>5088.75</v>
      </c>
      <c r="L7044" s="131">
        <v>1322</v>
      </c>
      <c r="M7044" s="187">
        <v>155.99</v>
      </c>
      <c r="N7044" s="199">
        <f t="shared" si="3384"/>
        <v>2799.99</v>
      </c>
      <c r="O7044" s="411">
        <f t="shared" ref="O7044:O7107" si="3421">K7044-N7044</f>
        <v>2288.7600000000002</v>
      </c>
      <c r="P7044" s="132" t="s">
        <v>52</v>
      </c>
      <c r="Q7044" s="232"/>
      <c r="R7044" s="411"/>
      <c r="T7044" s="439" t="s">
        <v>984</v>
      </c>
      <c r="U7044" s="446" t="s">
        <v>14974</v>
      </c>
      <c r="W7044" s="153" t="s">
        <v>14306</v>
      </c>
      <c r="AA7044" s="218"/>
    </row>
    <row r="7045" spans="1:27" x14ac:dyDescent="0.25">
      <c r="A7045" s="420"/>
      <c r="B7045" s="422"/>
      <c r="C7045" s="420"/>
      <c r="D7045" s="418"/>
      <c r="E7045" s="120">
        <v>1000</v>
      </c>
      <c r="F7045" s="133" t="s">
        <v>207</v>
      </c>
      <c r="G7045" s="436"/>
      <c r="H7045" s="428"/>
      <c r="I7045" s="428"/>
      <c r="J7045" s="426"/>
      <c r="K7045" s="426"/>
      <c r="M7045" s="187"/>
      <c r="N7045" s="199">
        <f t="shared" si="3384"/>
        <v>0</v>
      </c>
      <c r="O7045" s="411">
        <f t="shared" si="3421"/>
        <v>0</v>
      </c>
      <c r="P7045" s="132" t="s">
        <v>52</v>
      </c>
      <c r="Q7045" s="232"/>
      <c r="R7045" s="411"/>
      <c r="T7045" s="441"/>
      <c r="U7045" s="447"/>
      <c r="AA7045" s="218"/>
    </row>
    <row r="7046" spans="1:27" ht="24" x14ac:dyDescent="0.25">
      <c r="A7046" s="405">
        <v>3005526</v>
      </c>
      <c r="B7046" s="406">
        <v>42684</v>
      </c>
      <c r="C7046" s="405" t="s">
        <v>327</v>
      </c>
      <c r="D7046" s="401" t="s">
        <v>14975</v>
      </c>
      <c r="E7046" s="120">
        <v>300</v>
      </c>
      <c r="F7046" s="133" t="s">
        <v>247</v>
      </c>
      <c r="G7046" s="404" t="s">
        <v>7486</v>
      </c>
      <c r="H7046" s="411">
        <v>338</v>
      </c>
      <c r="I7046" s="411">
        <v>0</v>
      </c>
      <c r="J7046" s="361">
        <f>-((H7046*0.022)+0.3)</f>
        <v>-7.7359999999999998</v>
      </c>
      <c r="K7046" s="90">
        <f>SUM(H7046:J7046)</f>
        <v>330.26400000000001</v>
      </c>
      <c r="L7046" s="131">
        <v>424</v>
      </c>
      <c r="N7046" s="199">
        <f t="shared" si="3384"/>
        <v>127.19999999999999</v>
      </c>
      <c r="O7046" s="411">
        <f t="shared" si="3421"/>
        <v>203.06400000000002</v>
      </c>
      <c r="P7046" s="132" t="s">
        <v>52</v>
      </c>
      <c r="Q7046" s="232"/>
      <c r="R7046" s="411"/>
      <c r="T7046" s="134" t="s">
        <v>145</v>
      </c>
      <c r="U7046" s="267" t="s">
        <v>14976</v>
      </c>
      <c r="W7046" s="153" t="s">
        <v>14977</v>
      </c>
      <c r="AA7046" s="218"/>
    </row>
    <row r="7047" spans="1:27" ht="24" x14ac:dyDescent="0.25">
      <c r="A7047" s="405">
        <v>3005527</v>
      </c>
      <c r="B7047" s="406">
        <v>42684</v>
      </c>
      <c r="C7047" s="405" t="s">
        <v>63</v>
      </c>
      <c r="D7047" s="401" t="s">
        <v>14978</v>
      </c>
      <c r="E7047" s="120">
        <v>120</v>
      </c>
      <c r="F7047" s="133" t="s">
        <v>14979</v>
      </c>
      <c r="G7047" s="404" t="s">
        <v>7486</v>
      </c>
      <c r="H7047" s="411">
        <v>210</v>
      </c>
      <c r="I7047" s="411">
        <v>0</v>
      </c>
      <c r="J7047" s="361">
        <f>-((H7047*0.022)+0.3)</f>
        <v>-4.92</v>
      </c>
      <c r="K7047" s="90">
        <f>SUM(H7047:J7047)</f>
        <v>205.08</v>
      </c>
      <c r="L7047" s="187">
        <v>900</v>
      </c>
      <c r="N7047" s="199">
        <f t="shared" si="3384"/>
        <v>108</v>
      </c>
      <c r="O7047" s="411">
        <f t="shared" si="3421"/>
        <v>97.080000000000013</v>
      </c>
      <c r="P7047" s="132" t="s">
        <v>235</v>
      </c>
      <c r="Q7047" s="232"/>
      <c r="R7047" s="411"/>
      <c r="T7047" s="134" t="s">
        <v>145</v>
      </c>
      <c r="U7047" s="267" t="s">
        <v>14980</v>
      </c>
      <c r="W7047" s="153" t="s">
        <v>14981</v>
      </c>
      <c r="AA7047" s="218"/>
    </row>
    <row r="7048" spans="1:27" ht="24" x14ac:dyDescent="0.25">
      <c r="A7048" s="405">
        <v>3005528</v>
      </c>
      <c r="B7048" s="406">
        <v>42684</v>
      </c>
      <c r="C7048" s="405" t="s">
        <v>42</v>
      </c>
      <c r="D7048" s="401" t="s">
        <v>14982</v>
      </c>
      <c r="E7048" s="120">
        <v>250</v>
      </c>
      <c r="F7048" s="133" t="s">
        <v>445</v>
      </c>
      <c r="G7048" s="404" t="s">
        <v>7486</v>
      </c>
      <c r="H7048" s="411">
        <v>550.19000000000005</v>
      </c>
      <c r="I7048" s="89">
        <f>-(H7048*0.09)</f>
        <v>-49.517100000000006</v>
      </c>
      <c r="J7048" s="361">
        <f t="shared" ref="J7048" si="3422">-((H7048*0.019)+0.3)</f>
        <v>-10.753610000000002</v>
      </c>
      <c r="K7048" s="396">
        <f t="shared" ref="K7048" si="3423">SUM(H7048:J7048)</f>
        <v>489.91929000000005</v>
      </c>
      <c r="L7048" s="187">
        <v>1600</v>
      </c>
      <c r="M7048" s="131">
        <v>0</v>
      </c>
      <c r="N7048" s="199">
        <f t="shared" si="3384"/>
        <v>400</v>
      </c>
      <c r="O7048" s="411">
        <f t="shared" si="3421"/>
        <v>89.919290000000046</v>
      </c>
      <c r="P7048" s="132" t="s">
        <v>601</v>
      </c>
      <c r="Q7048" s="232"/>
      <c r="R7048" s="411"/>
      <c r="T7048" s="134" t="s">
        <v>324</v>
      </c>
      <c r="U7048" s="267" t="s">
        <v>14983</v>
      </c>
      <c r="AA7048" s="218"/>
    </row>
    <row r="7049" spans="1:27" ht="24" x14ac:dyDescent="0.25">
      <c r="A7049" s="405">
        <v>3005529</v>
      </c>
      <c r="B7049" s="406">
        <v>42684</v>
      </c>
      <c r="C7049" s="405" t="s">
        <v>42</v>
      </c>
      <c r="D7049" s="401" t="s">
        <v>14984</v>
      </c>
      <c r="E7049" s="120">
        <v>125</v>
      </c>
      <c r="F7049" s="133" t="s">
        <v>247</v>
      </c>
      <c r="G7049" s="404" t="s">
        <v>7486</v>
      </c>
      <c r="H7049" s="411">
        <v>147</v>
      </c>
      <c r="I7049" s="89">
        <f>-(H7049*0.09)</f>
        <v>-13.229999999999999</v>
      </c>
      <c r="J7049" s="361">
        <f t="shared" ref="J7049" si="3424">-((H7049*0.019)+0.3)</f>
        <v>-3.093</v>
      </c>
      <c r="K7049" s="396">
        <f t="shared" ref="K7049" si="3425">SUM(H7049:J7049)</f>
        <v>130.67700000000002</v>
      </c>
      <c r="L7049" s="131">
        <v>424</v>
      </c>
      <c r="N7049" s="199">
        <f t="shared" si="3384"/>
        <v>53</v>
      </c>
      <c r="O7049" s="411">
        <f t="shared" si="3421"/>
        <v>77.677000000000021</v>
      </c>
      <c r="P7049" s="132" t="s">
        <v>52</v>
      </c>
      <c r="Q7049" s="232"/>
      <c r="R7049" s="411"/>
      <c r="T7049" s="134" t="s">
        <v>145</v>
      </c>
      <c r="U7049" s="267" t="s">
        <v>14985</v>
      </c>
      <c r="AA7049" s="218"/>
    </row>
    <row r="7050" spans="1:27" ht="24" x14ac:dyDescent="0.25">
      <c r="A7050" s="405">
        <v>3005530</v>
      </c>
      <c r="B7050" s="406">
        <v>42684</v>
      </c>
      <c r="C7050" s="405" t="s">
        <v>237</v>
      </c>
      <c r="D7050" s="401" t="s">
        <v>14986</v>
      </c>
      <c r="E7050" s="120">
        <v>150</v>
      </c>
      <c r="F7050" s="133" t="s">
        <v>247</v>
      </c>
      <c r="G7050" s="404" t="s">
        <v>7486</v>
      </c>
      <c r="H7050" s="411">
        <v>160.38</v>
      </c>
      <c r="I7050" s="397">
        <f t="shared" ref="I7050" si="3426">-(H7050*0.15)</f>
        <v>-24.056999999999999</v>
      </c>
      <c r="J7050" s="258">
        <v>0</v>
      </c>
      <c r="K7050" s="90">
        <f>SUM(H7050:J7050)</f>
        <v>136.32300000000001</v>
      </c>
      <c r="L7050" s="131">
        <v>424</v>
      </c>
      <c r="N7050" s="199">
        <f t="shared" si="3384"/>
        <v>63.599999999999994</v>
      </c>
      <c r="O7050" s="411">
        <f t="shared" si="3421"/>
        <v>72.723000000000013</v>
      </c>
      <c r="P7050" s="132" t="s">
        <v>52</v>
      </c>
      <c r="Q7050" s="232"/>
      <c r="R7050" s="411"/>
      <c r="T7050" s="134" t="s">
        <v>145</v>
      </c>
      <c r="U7050" s="267" t="s">
        <v>14987</v>
      </c>
      <c r="AA7050" s="218"/>
    </row>
    <row r="7051" spans="1:27" ht="24" x14ac:dyDescent="0.25">
      <c r="A7051" s="405">
        <v>3005531</v>
      </c>
      <c r="B7051" s="406">
        <v>42684</v>
      </c>
      <c r="C7051" s="405" t="s">
        <v>237</v>
      </c>
      <c r="D7051" s="401" t="s">
        <v>14988</v>
      </c>
      <c r="E7051" s="120">
        <v>50</v>
      </c>
      <c r="F7051" s="133" t="s">
        <v>431</v>
      </c>
      <c r="G7051" s="404" t="s">
        <v>7486</v>
      </c>
      <c r="H7051" s="411">
        <v>132.9</v>
      </c>
      <c r="I7051" s="397">
        <f t="shared" ref="I7051" si="3427">-(H7051*0.15)</f>
        <v>-19.934999999999999</v>
      </c>
      <c r="J7051" s="258">
        <v>0</v>
      </c>
      <c r="K7051" s="90">
        <f>SUM(H7051:J7051)</f>
        <v>112.965</v>
      </c>
      <c r="L7051" s="131">
        <v>950</v>
      </c>
      <c r="N7051" s="199">
        <f t="shared" si="3384"/>
        <v>47.5</v>
      </c>
      <c r="O7051" s="411">
        <f t="shared" si="3421"/>
        <v>65.465000000000003</v>
      </c>
      <c r="P7051" s="132" t="s">
        <v>52</v>
      </c>
      <c r="Q7051" s="232"/>
      <c r="R7051" s="411"/>
      <c r="T7051" s="134" t="s">
        <v>145</v>
      </c>
      <c r="U7051" s="267" t="s">
        <v>14989</v>
      </c>
      <c r="AA7051" s="218"/>
    </row>
    <row r="7052" spans="1:27" x14ac:dyDescent="0.25">
      <c r="A7052" s="419">
        <v>3005532</v>
      </c>
      <c r="B7052" s="421">
        <v>42685</v>
      </c>
      <c r="C7052" s="419" t="s">
        <v>56</v>
      </c>
      <c r="D7052" s="417" t="s">
        <v>6470</v>
      </c>
      <c r="E7052" s="120">
        <v>1000</v>
      </c>
      <c r="F7052" s="133" t="s">
        <v>51</v>
      </c>
      <c r="G7052" s="460" t="s">
        <v>7486</v>
      </c>
      <c r="H7052" s="427">
        <v>3218.35</v>
      </c>
      <c r="I7052" s="427">
        <v>0</v>
      </c>
      <c r="J7052" s="427">
        <v>0</v>
      </c>
      <c r="K7052" s="425">
        <f>SUM(H7052:J7052)</f>
        <v>3218.35</v>
      </c>
      <c r="L7052" s="131">
        <v>909</v>
      </c>
      <c r="M7052" s="468">
        <v>240.24</v>
      </c>
      <c r="N7052" s="199">
        <f t="shared" si="3384"/>
        <v>1149.24</v>
      </c>
      <c r="O7052" s="411">
        <f t="shared" si="3421"/>
        <v>2069.1099999999997</v>
      </c>
      <c r="P7052" s="132" t="s">
        <v>52</v>
      </c>
      <c r="Q7052" s="232"/>
      <c r="R7052" s="411"/>
      <c r="T7052" s="439" t="s">
        <v>89</v>
      </c>
      <c r="U7052" s="505">
        <v>272141043</v>
      </c>
      <c r="V7052" s="133" t="s">
        <v>55</v>
      </c>
      <c r="AA7052" s="218"/>
    </row>
    <row r="7053" spans="1:27" x14ac:dyDescent="0.25">
      <c r="A7053" s="432"/>
      <c r="B7053" s="433"/>
      <c r="C7053" s="432"/>
      <c r="D7053" s="454"/>
      <c r="E7053" s="120">
        <v>500</v>
      </c>
      <c r="F7053" s="133" t="s">
        <v>70</v>
      </c>
      <c r="G7053" s="461"/>
      <c r="H7053" s="438"/>
      <c r="I7053" s="438"/>
      <c r="J7053" s="438"/>
      <c r="K7053" s="437"/>
      <c r="L7053" s="131">
        <v>1240</v>
      </c>
      <c r="M7053" s="491"/>
      <c r="N7053" s="199">
        <f t="shared" si="3384"/>
        <v>620</v>
      </c>
      <c r="O7053" s="411">
        <f t="shared" si="3421"/>
        <v>-620</v>
      </c>
      <c r="P7053" s="132" t="s">
        <v>52</v>
      </c>
      <c r="Q7053" s="232"/>
      <c r="R7053" s="411"/>
      <c r="T7053" s="440"/>
      <c r="U7053" s="506"/>
      <c r="V7053" s="133" t="s">
        <v>14772</v>
      </c>
      <c r="AA7053" s="218"/>
    </row>
    <row r="7054" spans="1:27" x14ac:dyDescent="0.25">
      <c r="A7054" s="432"/>
      <c r="B7054" s="433"/>
      <c r="C7054" s="432"/>
      <c r="D7054" s="454"/>
      <c r="E7054" s="120">
        <v>500</v>
      </c>
      <c r="F7054" s="133" t="s">
        <v>165</v>
      </c>
      <c r="G7054" s="461"/>
      <c r="H7054" s="438"/>
      <c r="I7054" s="438"/>
      <c r="J7054" s="438"/>
      <c r="K7054" s="437"/>
      <c r="L7054" s="131">
        <v>375</v>
      </c>
      <c r="M7054" s="491"/>
      <c r="N7054" s="199">
        <f t="shared" si="3384"/>
        <v>187.5</v>
      </c>
      <c r="O7054" s="411">
        <f t="shared" si="3421"/>
        <v>-187.5</v>
      </c>
      <c r="P7054" s="132" t="s">
        <v>52</v>
      </c>
      <c r="Q7054" s="232"/>
      <c r="R7054" s="411"/>
      <c r="T7054" s="440"/>
      <c r="U7054" s="506"/>
      <c r="AA7054" s="218"/>
    </row>
    <row r="7055" spans="1:27" x14ac:dyDescent="0.25">
      <c r="A7055" s="432"/>
      <c r="B7055" s="433"/>
      <c r="C7055" s="432"/>
      <c r="D7055" s="454"/>
      <c r="E7055" s="120">
        <v>500</v>
      </c>
      <c r="F7055" s="133" t="s">
        <v>247</v>
      </c>
      <c r="G7055" s="461"/>
      <c r="H7055" s="438"/>
      <c r="I7055" s="438"/>
      <c r="J7055" s="438"/>
      <c r="K7055" s="437"/>
      <c r="L7055" s="131">
        <v>424</v>
      </c>
      <c r="M7055" s="491"/>
      <c r="N7055" s="199">
        <f t="shared" si="3384"/>
        <v>212</v>
      </c>
      <c r="O7055" s="411">
        <f t="shared" si="3421"/>
        <v>-212</v>
      </c>
      <c r="P7055" s="132" t="s">
        <v>52</v>
      </c>
      <c r="Q7055" s="232"/>
      <c r="R7055" s="411"/>
      <c r="T7055" s="440"/>
      <c r="U7055" s="506"/>
      <c r="AA7055" s="218"/>
    </row>
    <row r="7056" spans="1:27" x14ac:dyDescent="0.25">
      <c r="A7056" s="420"/>
      <c r="B7056" s="422"/>
      <c r="C7056" s="420"/>
      <c r="D7056" s="418"/>
      <c r="E7056" s="120">
        <v>1000</v>
      </c>
      <c r="F7056" s="133" t="s">
        <v>14990</v>
      </c>
      <c r="G7056" s="462"/>
      <c r="H7056" s="428"/>
      <c r="I7056" s="428"/>
      <c r="J7056" s="428"/>
      <c r="K7056" s="426"/>
      <c r="M7056" s="469"/>
      <c r="N7056" s="199"/>
      <c r="O7056" s="411">
        <f t="shared" si="3421"/>
        <v>0</v>
      </c>
      <c r="P7056" s="132" t="s">
        <v>52</v>
      </c>
      <c r="Q7056" s="232"/>
      <c r="R7056" s="411"/>
      <c r="T7056" s="441"/>
      <c r="U7056" s="490"/>
      <c r="AA7056" s="218"/>
    </row>
    <row r="7057" spans="1:27" ht="36" x14ac:dyDescent="0.25">
      <c r="A7057" s="405">
        <v>3005533</v>
      </c>
      <c r="B7057" s="406">
        <v>42685</v>
      </c>
      <c r="C7057" s="405" t="s">
        <v>555</v>
      </c>
      <c r="D7057" s="401" t="s">
        <v>14991</v>
      </c>
      <c r="E7057" s="120">
        <v>3757</v>
      </c>
      <c r="F7057" s="119" t="s">
        <v>14992</v>
      </c>
      <c r="G7057" s="404" t="s">
        <v>7486</v>
      </c>
      <c r="H7057" s="411">
        <v>1683.15</v>
      </c>
      <c r="I7057" s="411">
        <v>0</v>
      </c>
      <c r="J7057" s="411">
        <v>0</v>
      </c>
      <c r="K7057" s="90">
        <f>SUM(H7057:J7057)</f>
        <v>1683.15</v>
      </c>
      <c r="L7057" s="187">
        <v>325</v>
      </c>
      <c r="M7057" s="187">
        <v>152.99</v>
      </c>
      <c r="N7057" s="199">
        <f t="shared" si="3384"/>
        <v>1374.0150000000001</v>
      </c>
      <c r="O7057" s="411">
        <f t="shared" si="3421"/>
        <v>309.13499999999999</v>
      </c>
      <c r="P7057" s="132" t="s">
        <v>183</v>
      </c>
      <c r="Q7057" s="232"/>
      <c r="R7057" s="411"/>
      <c r="T7057" s="134" t="s">
        <v>576</v>
      </c>
      <c r="U7057" s="267" t="s">
        <v>14993</v>
      </c>
      <c r="W7057" s="153" t="s">
        <v>6066</v>
      </c>
      <c r="AA7057" s="218"/>
    </row>
    <row r="7058" spans="1:27" ht="24" x14ac:dyDescent="0.25">
      <c r="A7058" s="405">
        <v>3005534</v>
      </c>
      <c r="B7058" s="406">
        <v>42685</v>
      </c>
      <c r="C7058" s="405" t="s">
        <v>42</v>
      </c>
      <c r="D7058" s="401" t="s">
        <v>14994</v>
      </c>
      <c r="E7058" s="120">
        <v>80</v>
      </c>
      <c r="F7058" s="133" t="s">
        <v>877</v>
      </c>
      <c r="G7058" s="404" t="s">
        <v>7486</v>
      </c>
      <c r="H7058" s="411">
        <v>95.2</v>
      </c>
      <c r="I7058" s="89">
        <f>-(H7058*0.09)</f>
        <v>-8.5679999999999996</v>
      </c>
      <c r="J7058" s="361">
        <f t="shared" ref="J7058" si="3428">-((H7058*0.019)+0.3)</f>
        <v>-2.1088</v>
      </c>
      <c r="K7058" s="396">
        <f t="shared" ref="K7058" si="3429">SUM(H7058:J7058)</f>
        <v>84.523200000000003</v>
      </c>
      <c r="L7058" s="131">
        <v>235</v>
      </c>
      <c r="N7058" s="199">
        <f t="shared" si="3384"/>
        <v>18.8</v>
      </c>
      <c r="O7058" s="411">
        <f t="shared" si="3421"/>
        <v>65.723200000000006</v>
      </c>
      <c r="P7058" s="132" t="s">
        <v>52</v>
      </c>
      <c r="Q7058" s="232"/>
      <c r="R7058" s="411"/>
      <c r="T7058" s="134" t="s">
        <v>145</v>
      </c>
      <c r="U7058" s="267" t="s">
        <v>14995</v>
      </c>
      <c r="AA7058" s="218"/>
    </row>
    <row r="7059" spans="1:27" ht="24" x14ac:dyDescent="0.25">
      <c r="A7059" s="405">
        <v>3005535</v>
      </c>
      <c r="B7059" s="406">
        <v>42685</v>
      </c>
      <c r="C7059" s="405" t="s">
        <v>42</v>
      </c>
      <c r="D7059" s="401" t="s">
        <v>14996</v>
      </c>
      <c r="E7059" s="120">
        <v>150</v>
      </c>
      <c r="F7059" s="133" t="s">
        <v>1547</v>
      </c>
      <c r="G7059" s="404" t="s">
        <v>7486</v>
      </c>
      <c r="H7059" s="411">
        <v>156.24</v>
      </c>
      <c r="I7059" s="89">
        <f>-(H7059*0.09)</f>
        <v>-14.0616</v>
      </c>
      <c r="J7059" s="361">
        <f t="shared" ref="J7059" si="3430">-((H7059*0.019)+0.3)</f>
        <v>-3.2685599999999999</v>
      </c>
      <c r="K7059" s="396">
        <f t="shared" ref="K7059" si="3431">SUM(H7059:J7059)</f>
        <v>138.90984</v>
      </c>
      <c r="L7059" s="131">
        <v>330</v>
      </c>
      <c r="N7059" s="199">
        <f t="shared" si="3384"/>
        <v>49.5</v>
      </c>
      <c r="O7059" s="411">
        <f t="shared" si="3421"/>
        <v>89.409840000000003</v>
      </c>
      <c r="P7059" s="132" t="s">
        <v>52</v>
      </c>
      <c r="Q7059" s="232"/>
      <c r="R7059" s="411"/>
      <c r="T7059" s="134" t="s">
        <v>145</v>
      </c>
      <c r="U7059" s="267" t="s">
        <v>14997</v>
      </c>
      <c r="AA7059" s="218"/>
    </row>
    <row r="7060" spans="1:27" ht="24" x14ac:dyDescent="0.25">
      <c r="A7060" s="405">
        <v>3005536</v>
      </c>
      <c r="B7060" s="406">
        <v>42685</v>
      </c>
      <c r="C7060" s="405" t="s">
        <v>42</v>
      </c>
      <c r="D7060" s="401" t="s">
        <v>14998</v>
      </c>
      <c r="E7060" s="120">
        <v>100</v>
      </c>
      <c r="F7060" s="133" t="s">
        <v>161</v>
      </c>
      <c r="G7060" s="404" t="s">
        <v>7486</v>
      </c>
      <c r="H7060" s="411">
        <v>236</v>
      </c>
      <c r="I7060" s="89">
        <f>-(H7060*0.09)</f>
        <v>-21.24</v>
      </c>
      <c r="J7060" s="361">
        <f t="shared" ref="J7060" si="3432">-((H7060*0.019)+0.3)</f>
        <v>-4.7839999999999998</v>
      </c>
      <c r="K7060" s="396">
        <f t="shared" ref="K7060" si="3433">SUM(H7060:J7060)</f>
        <v>209.976</v>
      </c>
      <c r="L7060" s="131">
        <v>1322</v>
      </c>
      <c r="N7060" s="199">
        <f t="shared" si="3384"/>
        <v>132.20000000000002</v>
      </c>
      <c r="O7060" s="411">
        <f t="shared" si="3421"/>
        <v>77.775999999999982</v>
      </c>
      <c r="P7060" s="132" t="s">
        <v>52</v>
      </c>
      <c r="Q7060" s="232"/>
      <c r="R7060" s="411"/>
      <c r="T7060" s="134" t="s">
        <v>145</v>
      </c>
      <c r="U7060" s="267" t="s">
        <v>14999</v>
      </c>
      <c r="AA7060" s="218"/>
    </row>
    <row r="7061" spans="1:27" x14ac:dyDescent="0.25">
      <c r="A7061" s="419">
        <v>3005537</v>
      </c>
      <c r="B7061" s="421">
        <v>42685</v>
      </c>
      <c r="C7061" s="419" t="s">
        <v>237</v>
      </c>
      <c r="D7061" s="417" t="s">
        <v>15000</v>
      </c>
      <c r="E7061" s="120">
        <v>50</v>
      </c>
      <c r="F7061" s="133" t="s">
        <v>3301</v>
      </c>
      <c r="G7061" s="434" t="s">
        <v>7486</v>
      </c>
      <c r="H7061" s="427">
        <v>130</v>
      </c>
      <c r="I7061" s="452">
        <f t="shared" ref="I7061" si="3434">-(H7061*0.15)</f>
        <v>-19.5</v>
      </c>
      <c r="J7061" s="425">
        <v>0</v>
      </c>
      <c r="K7061" s="425">
        <f>SUM(H7061:J7061)</f>
        <v>110.5</v>
      </c>
      <c r="L7061" s="187">
        <v>754</v>
      </c>
      <c r="N7061" s="199">
        <f t="shared" si="3384"/>
        <v>37.700000000000003</v>
      </c>
      <c r="O7061" s="411">
        <f t="shared" si="3421"/>
        <v>72.8</v>
      </c>
      <c r="P7061" s="132" t="s">
        <v>601</v>
      </c>
      <c r="Q7061" s="232"/>
      <c r="R7061" s="411"/>
      <c r="T7061" s="439" t="s">
        <v>145</v>
      </c>
      <c r="U7061" s="446" t="s">
        <v>15001</v>
      </c>
      <c r="AA7061" s="218"/>
    </row>
    <row r="7062" spans="1:27" x14ac:dyDescent="0.25">
      <c r="A7062" s="420"/>
      <c r="B7062" s="422"/>
      <c r="C7062" s="420"/>
      <c r="D7062" s="418"/>
      <c r="E7062" s="120">
        <v>50</v>
      </c>
      <c r="F7062" s="133" t="s">
        <v>3299</v>
      </c>
      <c r="G7062" s="436"/>
      <c r="H7062" s="428"/>
      <c r="I7062" s="453"/>
      <c r="J7062" s="426"/>
      <c r="K7062" s="426"/>
      <c r="L7062" s="187">
        <v>754</v>
      </c>
      <c r="N7062" s="199">
        <f t="shared" si="3384"/>
        <v>37.700000000000003</v>
      </c>
      <c r="O7062" s="411">
        <f t="shared" si="3421"/>
        <v>-37.700000000000003</v>
      </c>
      <c r="P7062" s="132" t="s">
        <v>601</v>
      </c>
      <c r="Q7062" s="232"/>
      <c r="R7062" s="411"/>
      <c r="T7062" s="441"/>
      <c r="U7062" s="447"/>
      <c r="AA7062" s="218"/>
    </row>
    <row r="7063" spans="1:27" x14ac:dyDescent="0.25">
      <c r="A7063" s="419">
        <v>3005538</v>
      </c>
      <c r="B7063" s="421">
        <v>42685</v>
      </c>
      <c r="C7063" s="419" t="s">
        <v>237</v>
      </c>
      <c r="D7063" s="417" t="s">
        <v>15002</v>
      </c>
      <c r="E7063" s="120">
        <v>50</v>
      </c>
      <c r="F7063" s="133" t="s">
        <v>3301</v>
      </c>
      <c r="G7063" s="434" t="s">
        <v>7486</v>
      </c>
      <c r="H7063" s="427">
        <v>130</v>
      </c>
      <c r="I7063" s="452">
        <f t="shared" ref="I7063" si="3435">-(H7063*0.15)</f>
        <v>-19.5</v>
      </c>
      <c r="J7063" s="425">
        <v>0</v>
      </c>
      <c r="K7063" s="425">
        <f>SUM(H7063:J7063)</f>
        <v>110.5</v>
      </c>
      <c r="L7063" s="187">
        <v>754</v>
      </c>
      <c r="N7063" s="199">
        <f t="shared" si="3384"/>
        <v>37.700000000000003</v>
      </c>
      <c r="O7063" s="411">
        <f t="shared" si="3421"/>
        <v>72.8</v>
      </c>
      <c r="P7063" s="132" t="s">
        <v>601</v>
      </c>
      <c r="Q7063" s="232"/>
      <c r="R7063" s="411"/>
      <c r="T7063" s="439" t="s">
        <v>145</v>
      </c>
      <c r="U7063" s="446" t="s">
        <v>15003</v>
      </c>
      <c r="AA7063" s="218"/>
    </row>
    <row r="7064" spans="1:27" x14ac:dyDescent="0.25">
      <c r="A7064" s="420"/>
      <c r="B7064" s="422"/>
      <c r="C7064" s="420"/>
      <c r="D7064" s="418"/>
      <c r="E7064" s="120">
        <v>50</v>
      </c>
      <c r="F7064" s="133" t="s">
        <v>3299</v>
      </c>
      <c r="G7064" s="436"/>
      <c r="H7064" s="428"/>
      <c r="I7064" s="453"/>
      <c r="J7064" s="426"/>
      <c r="K7064" s="426"/>
      <c r="L7064" s="187">
        <v>754</v>
      </c>
      <c r="N7064" s="199">
        <f t="shared" si="3384"/>
        <v>37.700000000000003</v>
      </c>
      <c r="O7064" s="411">
        <f t="shared" si="3421"/>
        <v>-37.700000000000003</v>
      </c>
      <c r="P7064" s="132" t="s">
        <v>601</v>
      </c>
      <c r="Q7064" s="232"/>
      <c r="R7064" s="411"/>
      <c r="T7064" s="441"/>
      <c r="U7064" s="447"/>
      <c r="AA7064" s="218"/>
    </row>
    <row r="7065" spans="1:27" ht="24" x14ac:dyDescent="0.25">
      <c r="A7065" s="405">
        <v>3005539</v>
      </c>
      <c r="B7065" s="406">
        <v>42685</v>
      </c>
      <c r="C7065" s="405" t="s">
        <v>237</v>
      </c>
      <c r="D7065" s="401" t="s">
        <v>15004</v>
      </c>
      <c r="E7065" s="120">
        <v>35</v>
      </c>
      <c r="F7065" s="133" t="s">
        <v>4407</v>
      </c>
      <c r="G7065" s="404" t="s">
        <v>7486</v>
      </c>
      <c r="H7065" s="411">
        <v>115</v>
      </c>
      <c r="I7065" s="397">
        <f t="shared" ref="I7065" si="3436">-(H7065*0.15)</f>
        <v>-17.25</v>
      </c>
      <c r="J7065" s="258">
        <v>0</v>
      </c>
      <c r="K7065" s="90">
        <f>SUM(H7065:J7065)</f>
        <v>97.75</v>
      </c>
      <c r="L7065" s="187">
        <v>2200</v>
      </c>
      <c r="N7065" s="199">
        <f t="shared" ref="N7065:N7081" si="3437">((L7065)*(E7065*0.001))+M7065</f>
        <v>77.000000000000014</v>
      </c>
      <c r="O7065" s="411">
        <f t="shared" si="3421"/>
        <v>20.749999999999986</v>
      </c>
      <c r="P7065" s="132" t="s">
        <v>601</v>
      </c>
      <c r="Q7065" s="232"/>
      <c r="R7065" s="411"/>
      <c r="T7065" s="134" t="s">
        <v>145</v>
      </c>
      <c r="U7065" s="267" t="s">
        <v>15005</v>
      </c>
      <c r="AA7065" s="218"/>
    </row>
    <row r="7066" spans="1:27" ht="48" x14ac:dyDescent="0.25">
      <c r="A7066" s="405">
        <v>3005540</v>
      </c>
      <c r="B7066" s="406">
        <v>42685</v>
      </c>
      <c r="C7066" s="405" t="s">
        <v>237</v>
      </c>
      <c r="D7066" s="401" t="s">
        <v>15006</v>
      </c>
      <c r="E7066" s="120">
        <v>500</v>
      </c>
      <c r="F7066" s="133" t="s">
        <v>15007</v>
      </c>
      <c r="G7066" s="404" t="s">
        <v>7486</v>
      </c>
      <c r="H7066" s="411">
        <v>588</v>
      </c>
      <c r="I7066" s="397">
        <f t="shared" ref="I7066:I7067" si="3438">-(H7066*0.15)</f>
        <v>-88.2</v>
      </c>
      <c r="J7066" s="258">
        <v>0</v>
      </c>
      <c r="K7066" s="90">
        <f>SUM(H7066:J7066)</f>
        <v>499.8</v>
      </c>
      <c r="L7066" s="131">
        <v>622.45000000000005</v>
      </c>
      <c r="N7066" s="199">
        <f t="shared" si="3437"/>
        <v>311.22500000000002</v>
      </c>
      <c r="O7066" s="411">
        <f t="shared" si="3421"/>
        <v>188.57499999999999</v>
      </c>
      <c r="P7066" s="132" t="s">
        <v>52</v>
      </c>
      <c r="Q7066" s="232"/>
      <c r="R7066" s="411"/>
      <c r="T7066" s="134" t="s">
        <v>145</v>
      </c>
      <c r="U7066" s="266" t="s">
        <v>15008</v>
      </c>
      <c r="AA7066" s="218"/>
    </row>
    <row r="7067" spans="1:27" x14ac:dyDescent="0.25">
      <c r="A7067" s="419">
        <v>3005541</v>
      </c>
      <c r="B7067" s="421">
        <v>42685</v>
      </c>
      <c r="C7067" s="419" t="s">
        <v>237</v>
      </c>
      <c r="D7067" s="417" t="s">
        <v>15009</v>
      </c>
      <c r="E7067" s="120">
        <v>50</v>
      </c>
      <c r="F7067" s="133" t="s">
        <v>3301</v>
      </c>
      <c r="G7067" s="434" t="s">
        <v>7486</v>
      </c>
      <c r="H7067" s="427">
        <v>130</v>
      </c>
      <c r="I7067" s="452">
        <f t="shared" si="3438"/>
        <v>-19.5</v>
      </c>
      <c r="J7067" s="425">
        <v>0</v>
      </c>
      <c r="K7067" s="425">
        <f>SUM(H7067:J7067)</f>
        <v>110.5</v>
      </c>
      <c r="L7067" s="187">
        <v>754</v>
      </c>
      <c r="N7067" s="199">
        <f t="shared" si="3437"/>
        <v>37.700000000000003</v>
      </c>
      <c r="O7067" s="411">
        <f t="shared" si="3421"/>
        <v>72.8</v>
      </c>
      <c r="P7067" s="132" t="s">
        <v>601</v>
      </c>
      <c r="Q7067" s="232"/>
      <c r="R7067" s="411"/>
      <c r="T7067" s="439" t="s">
        <v>145</v>
      </c>
      <c r="U7067" s="446" t="s">
        <v>15010</v>
      </c>
      <c r="AA7067" s="218"/>
    </row>
    <row r="7068" spans="1:27" x14ac:dyDescent="0.25">
      <c r="A7068" s="420"/>
      <c r="B7068" s="422"/>
      <c r="C7068" s="420"/>
      <c r="D7068" s="418"/>
      <c r="E7068" s="120">
        <v>50</v>
      </c>
      <c r="F7068" s="133" t="s">
        <v>3299</v>
      </c>
      <c r="G7068" s="436"/>
      <c r="H7068" s="428"/>
      <c r="I7068" s="453"/>
      <c r="J7068" s="426"/>
      <c r="K7068" s="426"/>
      <c r="L7068" s="187">
        <v>754</v>
      </c>
      <c r="N7068" s="199">
        <f t="shared" si="3437"/>
        <v>37.700000000000003</v>
      </c>
      <c r="O7068" s="411">
        <f t="shared" si="3421"/>
        <v>-37.700000000000003</v>
      </c>
      <c r="P7068" s="132" t="s">
        <v>601</v>
      </c>
      <c r="Q7068" s="232"/>
      <c r="R7068" s="411"/>
      <c r="T7068" s="441"/>
      <c r="U7068" s="447"/>
      <c r="AA7068" s="218"/>
    </row>
    <row r="7069" spans="1:27" ht="24" x14ac:dyDescent="0.25">
      <c r="A7069" s="405">
        <v>3005542</v>
      </c>
      <c r="B7069" s="406">
        <v>42685</v>
      </c>
      <c r="C7069" s="405" t="s">
        <v>237</v>
      </c>
      <c r="D7069" s="401" t="s">
        <v>15011</v>
      </c>
      <c r="E7069" s="120">
        <v>500</v>
      </c>
      <c r="F7069" s="133" t="s">
        <v>972</v>
      </c>
      <c r="G7069" s="404" t="s">
        <v>7486</v>
      </c>
      <c r="H7069" s="411">
        <v>159.63</v>
      </c>
      <c r="I7069" s="397">
        <f t="shared" ref="I7069" si="3439">-(H7069*0.15)</f>
        <v>-23.944499999999998</v>
      </c>
      <c r="J7069" s="258">
        <v>0</v>
      </c>
      <c r="K7069" s="90">
        <f>SUM(H7069:J7069)</f>
        <v>135.68549999999999</v>
      </c>
      <c r="L7069" s="131">
        <v>205</v>
      </c>
      <c r="M7069" s="187">
        <v>81.03</v>
      </c>
      <c r="N7069" s="199">
        <f t="shared" si="3437"/>
        <v>183.53</v>
      </c>
      <c r="O7069" s="411">
        <f t="shared" si="3421"/>
        <v>-47.844500000000011</v>
      </c>
      <c r="P7069" s="132" t="s">
        <v>52</v>
      </c>
      <c r="Q7069" s="232"/>
      <c r="R7069" s="411"/>
      <c r="T7069" s="134" t="s">
        <v>145</v>
      </c>
      <c r="U7069" s="267" t="s">
        <v>15012</v>
      </c>
      <c r="AA7069" s="218"/>
    </row>
    <row r="7070" spans="1:27" ht="24" x14ac:dyDescent="0.25">
      <c r="A7070" s="405">
        <v>3005543</v>
      </c>
      <c r="B7070" s="406">
        <v>42685</v>
      </c>
      <c r="C7070" s="405" t="s">
        <v>42</v>
      </c>
      <c r="D7070" s="401" t="s">
        <v>1561</v>
      </c>
      <c r="E7070" s="120">
        <v>250</v>
      </c>
      <c r="F7070" s="133" t="s">
        <v>288</v>
      </c>
      <c r="G7070" s="404" t="s">
        <v>7486</v>
      </c>
      <c r="H7070" s="411">
        <v>423.62</v>
      </c>
      <c r="I7070" s="89">
        <f>-(H7070*0.09)</f>
        <v>-38.125799999999998</v>
      </c>
      <c r="J7070" s="361">
        <f t="shared" ref="J7070" si="3440">-((H7070*0.019)+0.3)</f>
        <v>-8.3487800000000014</v>
      </c>
      <c r="K7070" s="396">
        <f t="shared" ref="K7070:K7071" si="3441">SUM(H7070:J7070)</f>
        <v>377.14542</v>
      </c>
      <c r="L7070" s="131">
        <v>900</v>
      </c>
      <c r="N7070" s="199">
        <f t="shared" si="3437"/>
        <v>225</v>
      </c>
      <c r="O7070" s="411">
        <f t="shared" si="3421"/>
        <v>152.14542</v>
      </c>
      <c r="P7070" s="132" t="s">
        <v>52</v>
      </c>
      <c r="Q7070" s="232"/>
      <c r="R7070" s="411"/>
      <c r="T7070" s="134" t="s">
        <v>145</v>
      </c>
      <c r="U7070" s="267" t="s">
        <v>15013</v>
      </c>
      <c r="AA7070" s="218"/>
    </row>
    <row r="7071" spans="1:27" ht="24" x14ac:dyDescent="0.25">
      <c r="A7071" s="405">
        <v>3005544</v>
      </c>
      <c r="B7071" s="406">
        <v>42685</v>
      </c>
      <c r="C7071" s="405" t="s">
        <v>56</v>
      </c>
      <c r="D7071" s="401" t="s">
        <v>8815</v>
      </c>
      <c r="E7071" s="120">
        <v>1000</v>
      </c>
      <c r="F7071" s="133" t="s">
        <v>222</v>
      </c>
      <c r="G7071" s="242" t="s">
        <v>7486</v>
      </c>
      <c r="H7071" s="411">
        <v>1150</v>
      </c>
      <c r="I7071" s="411">
        <v>0</v>
      </c>
      <c r="J7071" s="411">
        <v>0</v>
      </c>
      <c r="K7071" s="396">
        <f t="shared" si="3441"/>
        <v>1150</v>
      </c>
      <c r="L7071" s="131">
        <v>950</v>
      </c>
      <c r="M7071" s="131">
        <v>0</v>
      </c>
      <c r="N7071" s="199">
        <f t="shared" si="3437"/>
        <v>950</v>
      </c>
      <c r="O7071" s="411">
        <f t="shared" si="3421"/>
        <v>200</v>
      </c>
      <c r="P7071" s="132" t="s">
        <v>14218</v>
      </c>
      <c r="Q7071" s="232"/>
      <c r="R7071" s="411"/>
      <c r="T7071" s="134" t="s">
        <v>15014</v>
      </c>
      <c r="U7071" s="267" t="s">
        <v>15015</v>
      </c>
      <c r="V7071" s="133" t="s">
        <v>15016</v>
      </c>
      <c r="AA7071" s="218"/>
    </row>
    <row r="7072" spans="1:27" ht="24" x14ac:dyDescent="0.25">
      <c r="A7072" s="405">
        <v>3005545</v>
      </c>
      <c r="B7072" s="406">
        <v>42685</v>
      </c>
      <c r="C7072" s="405" t="s">
        <v>141</v>
      </c>
      <c r="D7072" s="401" t="s">
        <v>15017</v>
      </c>
      <c r="E7072" s="120">
        <v>145</v>
      </c>
      <c r="F7072" s="133" t="s">
        <v>2949</v>
      </c>
      <c r="G7072" s="404" t="s">
        <v>7486</v>
      </c>
      <c r="H7072" s="411">
        <v>295</v>
      </c>
      <c r="I7072" s="411">
        <v>0</v>
      </c>
      <c r="J7072" s="361">
        <f>-((H7072*0.0325)+0.3)</f>
        <v>-9.8875000000000011</v>
      </c>
      <c r="K7072" s="90">
        <f>SUM(H7072:J7072)</f>
        <v>285.11250000000001</v>
      </c>
      <c r="L7072" s="131">
        <v>1100</v>
      </c>
      <c r="N7072" s="199">
        <f t="shared" si="3437"/>
        <v>159.5</v>
      </c>
      <c r="O7072" s="411">
        <f t="shared" si="3421"/>
        <v>125.61250000000001</v>
      </c>
      <c r="P7072" s="132" t="s">
        <v>52</v>
      </c>
      <c r="Q7072" s="232"/>
      <c r="R7072" s="411"/>
      <c r="T7072" s="134" t="s">
        <v>145</v>
      </c>
      <c r="U7072" s="267" t="s">
        <v>15018</v>
      </c>
      <c r="W7072" s="153" t="s">
        <v>15019</v>
      </c>
      <c r="AA7072" s="218"/>
    </row>
    <row r="7073" spans="1:27" x14ac:dyDescent="0.25">
      <c r="A7073" s="419">
        <v>3005546</v>
      </c>
      <c r="B7073" s="421">
        <v>42685</v>
      </c>
      <c r="C7073" s="419" t="s">
        <v>63</v>
      </c>
      <c r="D7073" s="417" t="s">
        <v>15020</v>
      </c>
      <c r="E7073" s="120">
        <v>250</v>
      </c>
      <c r="F7073" s="133" t="s">
        <v>3440</v>
      </c>
      <c r="G7073" s="434" t="s">
        <v>7486</v>
      </c>
      <c r="H7073" s="427">
        <v>910</v>
      </c>
      <c r="I7073" s="427">
        <v>0</v>
      </c>
      <c r="J7073" s="425">
        <f>-((H7073*0.022)+0.3)</f>
        <v>-20.32</v>
      </c>
      <c r="K7073" s="425">
        <f>SUM(H7073:J7073)</f>
        <v>889.68</v>
      </c>
      <c r="L7073" s="187">
        <v>944</v>
      </c>
      <c r="M7073" s="131">
        <v>0</v>
      </c>
      <c r="N7073" s="199">
        <f t="shared" si="3437"/>
        <v>236</v>
      </c>
      <c r="O7073" s="411">
        <f t="shared" si="3421"/>
        <v>653.67999999999995</v>
      </c>
      <c r="P7073" s="132" t="s">
        <v>601</v>
      </c>
      <c r="Q7073" s="232"/>
      <c r="R7073" s="411"/>
      <c r="T7073" s="439" t="s">
        <v>3644</v>
      </c>
      <c r="U7073" s="446" t="s">
        <v>15021</v>
      </c>
      <c r="W7073" s="153" t="s">
        <v>15022</v>
      </c>
      <c r="AA7073" s="218"/>
    </row>
    <row r="7074" spans="1:27" x14ac:dyDescent="0.25">
      <c r="A7074" s="420"/>
      <c r="B7074" s="422"/>
      <c r="C7074" s="420"/>
      <c r="D7074" s="418"/>
      <c r="E7074" s="120">
        <v>250</v>
      </c>
      <c r="F7074" s="133" t="s">
        <v>3442</v>
      </c>
      <c r="G7074" s="436"/>
      <c r="H7074" s="428"/>
      <c r="I7074" s="428"/>
      <c r="J7074" s="426"/>
      <c r="K7074" s="426"/>
      <c r="L7074" s="187">
        <v>944</v>
      </c>
      <c r="N7074" s="199">
        <f t="shared" si="3437"/>
        <v>236</v>
      </c>
      <c r="O7074" s="411">
        <f t="shared" si="3421"/>
        <v>-236</v>
      </c>
      <c r="P7074" s="132" t="s">
        <v>601</v>
      </c>
      <c r="Q7074" s="232"/>
      <c r="R7074" s="411"/>
      <c r="T7074" s="441"/>
      <c r="U7074" s="447"/>
      <c r="AA7074" s="218"/>
    </row>
    <row r="7075" spans="1:27" x14ac:dyDescent="0.25">
      <c r="A7075" s="419">
        <v>3005547</v>
      </c>
      <c r="B7075" s="421">
        <v>42685</v>
      </c>
      <c r="C7075" s="419" t="s">
        <v>63</v>
      </c>
      <c r="D7075" s="417" t="s">
        <v>15023</v>
      </c>
      <c r="E7075" s="120">
        <v>250</v>
      </c>
      <c r="F7075" s="133" t="s">
        <v>874</v>
      </c>
      <c r="G7075" s="434" t="s">
        <v>7486</v>
      </c>
      <c r="H7075" s="427">
        <v>1080</v>
      </c>
      <c r="I7075" s="427">
        <v>0</v>
      </c>
      <c r="J7075" s="425">
        <f>-((H7075*0.022)+0.3)</f>
        <v>-24.06</v>
      </c>
      <c r="K7075" s="425">
        <f>SUM(H7075:J7075)</f>
        <v>1055.94</v>
      </c>
      <c r="L7075" s="131">
        <v>1795</v>
      </c>
      <c r="M7075" s="201">
        <v>89.99</v>
      </c>
      <c r="N7075" s="199">
        <f t="shared" si="3437"/>
        <v>538.74</v>
      </c>
      <c r="O7075" s="411">
        <f t="shared" si="3421"/>
        <v>517.20000000000005</v>
      </c>
      <c r="P7075" s="132" t="s">
        <v>52</v>
      </c>
      <c r="Q7075" s="232"/>
      <c r="R7075" s="411"/>
      <c r="T7075" s="407" t="s">
        <v>875</v>
      </c>
      <c r="U7075" s="308" t="s">
        <v>15024</v>
      </c>
      <c r="V7075" s="133" t="s">
        <v>55</v>
      </c>
      <c r="W7075" s="153" t="s">
        <v>15025</v>
      </c>
      <c r="AA7075" s="473">
        <v>10</v>
      </c>
    </row>
    <row r="7076" spans="1:27" ht="24" x14ac:dyDescent="0.25">
      <c r="A7076" s="420"/>
      <c r="B7076" s="422"/>
      <c r="C7076" s="420"/>
      <c r="D7076" s="418"/>
      <c r="E7076" s="120">
        <v>250</v>
      </c>
      <c r="F7076" s="133" t="s">
        <v>5288</v>
      </c>
      <c r="G7076" s="436"/>
      <c r="H7076" s="428"/>
      <c r="I7076" s="428"/>
      <c r="J7076" s="426"/>
      <c r="K7076" s="426"/>
      <c r="L7076" s="187">
        <v>770</v>
      </c>
      <c r="M7076" s="202">
        <v>42.25</v>
      </c>
      <c r="N7076" s="199">
        <f t="shared" si="3437"/>
        <v>234.75</v>
      </c>
      <c r="O7076" s="411">
        <f t="shared" si="3421"/>
        <v>-234.75</v>
      </c>
      <c r="P7076" s="132" t="s">
        <v>183</v>
      </c>
      <c r="Q7076" s="232"/>
      <c r="R7076" s="411"/>
      <c r="T7076" s="409" t="s">
        <v>145</v>
      </c>
      <c r="U7076" s="309" t="s">
        <v>15026</v>
      </c>
      <c r="V7076" s="133" t="s">
        <v>15027</v>
      </c>
      <c r="AA7076" s="474"/>
    </row>
    <row r="7077" spans="1:27" ht="24" x14ac:dyDescent="0.25">
      <c r="A7077" s="405">
        <v>3005548</v>
      </c>
      <c r="B7077" s="406">
        <v>42685</v>
      </c>
      <c r="C7077" s="405" t="s">
        <v>237</v>
      </c>
      <c r="D7077" s="401" t="s">
        <v>15028</v>
      </c>
      <c r="E7077" s="120">
        <v>100</v>
      </c>
      <c r="F7077" s="133" t="s">
        <v>288</v>
      </c>
      <c r="G7077" s="404" t="s">
        <v>7486</v>
      </c>
      <c r="H7077" s="411">
        <v>210</v>
      </c>
      <c r="I7077" s="397">
        <f t="shared" ref="I7077" si="3442">-(H7077*0.15)</f>
        <v>-31.5</v>
      </c>
      <c r="J7077" s="258">
        <v>0</v>
      </c>
      <c r="K7077" s="90">
        <f>SUM(H7077:J7077)</f>
        <v>178.5</v>
      </c>
      <c r="L7077" s="131">
        <v>900</v>
      </c>
      <c r="N7077" s="199">
        <f t="shared" si="3437"/>
        <v>90</v>
      </c>
      <c r="O7077" s="411">
        <f t="shared" si="3421"/>
        <v>88.5</v>
      </c>
      <c r="P7077" s="132" t="s">
        <v>52</v>
      </c>
      <c r="Q7077" s="232"/>
      <c r="R7077" s="411"/>
      <c r="T7077" s="134" t="s">
        <v>145</v>
      </c>
      <c r="U7077" s="267" t="s">
        <v>15029</v>
      </c>
      <c r="AA7077" s="218"/>
    </row>
    <row r="7078" spans="1:27" ht="24" x14ac:dyDescent="0.25">
      <c r="A7078" s="419">
        <v>3005549</v>
      </c>
      <c r="B7078" s="421">
        <v>42688</v>
      </c>
      <c r="C7078" s="419" t="s">
        <v>555</v>
      </c>
      <c r="D7078" s="429" t="s">
        <v>15030</v>
      </c>
      <c r="E7078" s="592">
        <v>3198</v>
      </c>
      <c r="F7078" s="429" t="s">
        <v>15031</v>
      </c>
      <c r="G7078" s="434" t="s">
        <v>7486</v>
      </c>
      <c r="H7078" s="427">
        <v>7255.6</v>
      </c>
      <c r="I7078" s="427">
        <v>0</v>
      </c>
      <c r="J7078" s="427">
        <v>0</v>
      </c>
      <c r="K7078" s="425">
        <f>SUM(H7078:J7078)</f>
        <v>7255.6</v>
      </c>
      <c r="L7078" s="510">
        <v>1800</v>
      </c>
      <c r="M7078" s="622">
        <v>0</v>
      </c>
      <c r="N7078" s="620">
        <f t="shared" si="3437"/>
        <v>5756.4</v>
      </c>
      <c r="O7078" s="411">
        <f t="shared" si="3421"/>
        <v>1499.2000000000007</v>
      </c>
      <c r="P7078" s="419" t="s">
        <v>1732</v>
      </c>
      <c r="Q7078" s="232"/>
      <c r="R7078" s="411"/>
      <c r="T7078" s="134" t="s">
        <v>473</v>
      </c>
      <c r="U7078" s="267" t="s">
        <v>15032</v>
      </c>
      <c r="V7078" s="133" t="s">
        <v>15033</v>
      </c>
      <c r="W7078" s="153" t="s">
        <v>15034</v>
      </c>
      <c r="AA7078" s="218">
        <v>50</v>
      </c>
    </row>
    <row r="7079" spans="1:27" x14ac:dyDescent="0.25">
      <c r="A7079" s="420"/>
      <c r="B7079" s="422"/>
      <c r="C7079" s="420"/>
      <c r="D7079" s="431"/>
      <c r="E7079" s="594"/>
      <c r="F7079" s="431"/>
      <c r="G7079" s="436"/>
      <c r="H7079" s="428"/>
      <c r="I7079" s="428"/>
      <c r="J7079" s="428"/>
      <c r="K7079" s="426"/>
      <c r="L7079" s="512"/>
      <c r="M7079" s="623"/>
      <c r="N7079" s="621"/>
      <c r="O7079" s="411">
        <f t="shared" si="3421"/>
        <v>0</v>
      </c>
      <c r="P7079" s="420"/>
      <c r="Q7079" s="232"/>
      <c r="R7079" s="411"/>
      <c r="T7079" s="134"/>
      <c r="U7079" s="266"/>
      <c r="V7079" s="133" t="s">
        <v>15035</v>
      </c>
      <c r="W7079" s="153"/>
      <c r="AA7079" s="218"/>
    </row>
    <row r="7080" spans="1:27" ht="24" x14ac:dyDescent="0.25">
      <c r="A7080" s="405">
        <v>3005550</v>
      </c>
      <c r="B7080" s="406">
        <v>42688</v>
      </c>
      <c r="C7080" s="405" t="s">
        <v>42</v>
      </c>
      <c r="D7080" s="401" t="s">
        <v>13057</v>
      </c>
      <c r="E7080" s="120">
        <v>100</v>
      </c>
      <c r="F7080" s="133" t="s">
        <v>1270</v>
      </c>
      <c r="G7080" s="404" t="s">
        <v>7486</v>
      </c>
      <c r="H7080" s="411">
        <v>300</v>
      </c>
      <c r="I7080" s="89">
        <f>-(H7080*0.09)</f>
        <v>-27</v>
      </c>
      <c r="J7080" s="361">
        <f t="shared" ref="J7080" si="3443">-((H7080*0.019)+0.3)</f>
        <v>-6</v>
      </c>
      <c r="K7080" s="396">
        <f t="shared" ref="K7080:K7081" si="3444">SUM(H7080:J7080)</f>
        <v>267</v>
      </c>
      <c r="L7080" s="131">
        <v>1241.08</v>
      </c>
      <c r="N7080" s="199">
        <f t="shared" si="3437"/>
        <v>124.108</v>
      </c>
      <c r="O7080" s="411">
        <f t="shared" si="3421"/>
        <v>142.892</v>
      </c>
      <c r="P7080" s="132" t="s">
        <v>52</v>
      </c>
      <c r="Q7080" s="232"/>
      <c r="R7080" s="411"/>
      <c r="T7080" s="134" t="s">
        <v>145</v>
      </c>
      <c r="U7080" s="267" t="s">
        <v>15036</v>
      </c>
      <c r="AA7080" s="218"/>
    </row>
    <row r="7081" spans="1:27" x14ac:dyDescent="0.25">
      <c r="A7081" s="419">
        <v>3005551</v>
      </c>
      <c r="B7081" s="421">
        <v>42688</v>
      </c>
      <c r="C7081" s="419" t="s">
        <v>56</v>
      </c>
      <c r="D7081" s="417" t="s">
        <v>10250</v>
      </c>
      <c r="E7081" s="120">
        <v>250</v>
      </c>
      <c r="F7081" s="133" t="s">
        <v>2631</v>
      </c>
      <c r="G7081" s="460" t="s">
        <v>7486</v>
      </c>
      <c r="H7081" s="427">
        <v>502.54</v>
      </c>
      <c r="I7081" s="427">
        <v>0</v>
      </c>
      <c r="J7081" s="427">
        <v>0</v>
      </c>
      <c r="K7081" s="425">
        <f t="shared" si="3444"/>
        <v>502.54</v>
      </c>
      <c r="L7081" s="187">
        <v>575</v>
      </c>
      <c r="N7081" s="199">
        <f t="shared" si="3437"/>
        <v>143.75</v>
      </c>
      <c r="O7081" s="411">
        <f t="shared" si="3421"/>
        <v>358.79</v>
      </c>
      <c r="P7081" s="132" t="s">
        <v>235</v>
      </c>
      <c r="Q7081" s="232"/>
      <c r="R7081" s="411"/>
      <c r="T7081" s="439" t="s">
        <v>145</v>
      </c>
      <c r="U7081" s="267" t="s">
        <v>15037</v>
      </c>
      <c r="V7081" s="133" t="s">
        <v>14772</v>
      </c>
      <c r="W7081" s="153" t="s">
        <v>1796</v>
      </c>
      <c r="AA7081" s="218"/>
    </row>
    <row r="7082" spans="1:27" x14ac:dyDescent="0.25">
      <c r="A7082" s="432"/>
      <c r="B7082" s="433"/>
      <c r="C7082" s="432"/>
      <c r="D7082" s="454"/>
      <c r="E7082" s="120">
        <v>1000</v>
      </c>
      <c r="F7082" s="133" t="s">
        <v>15038</v>
      </c>
      <c r="G7082" s="461"/>
      <c r="H7082" s="438"/>
      <c r="I7082" s="438"/>
      <c r="J7082" s="438"/>
      <c r="K7082" s="437"/>
      <c r="L7082" s="187">
        <v>155</v>
      </c>
      <c r="N7082" s="199">
        <f t="shared" ref="N7082:N7101" si="3445">((L7082)*(E7082*0.001))+M7082</f>
        <v>155</v>
      </c>
      <c r="O7082" s="411">
        <f t="shared" si="3421"/>
        <v>-155</v>
      </c>
      <c r="P7082" s="132" t="s">
        <v>235</v>
      </c>
      <c r="Q7082" s="232"/>
      <c r="R7082" s="411"/>
      <c r="T7082" s="441"/>
      <c r="U7082" s="267" t="s">
        <v>15039</v>
      </c>
      <c r="AA7082" s="218"/>
    </row>
    <row r="7083" spans="1:27" ht="24" x14ac:dyDescent="0.25">
      <c r="A7083" s="420"/>
      <c r="B7083" s="422"/>
      <c r="C7083" s="420"/>
      <c r="D7083" s="418"/>
      <c r="E7083" s="120">
        <v>1000</v>
      </c>
      <c r="F7083" s="133" t="s">
        <v>15040</v>
      </c>
      <c r="G7083" s="462"/>
      <c r="H7083" s="428"/>
      <c r="I7083" s="428"/>
      <c r="J7083" s="428"/>
      <c r="K7083" s="426"/>
      <c r="L7083" s="187">
        <v>40</v>
      </c>
      <c r="N7083" s="199">
        <f t="shared" si="3445"/>
        <v>40</v>
      </c>
      <c r="O7083" s="411">
        <f t="shared" si="3421"/>
        <v>-40</v>
      </c>
      <c r="P7083" s="132" t="s">
        <v>313</v>
      </c>
      <c r="Q7083" s="232"/>
      <c r="R7083" s="411"/>
      <c r="T7083" s="134" t="s">
        <v>145</v>
      </c>
      <c r="U7083" s="267" t="s">
        <v>15041</v>
      </c>
      <c r="V7083" s="133" t="s">
        <v>15042</v>
      </c>
      <c r="AA7083" s="218"/>
    </row>
    <row r="7084" spans="1:27" ht="24" x14ac:dyDescent="0.25">
      <c r="A7084" s="405">
        <v>3005552</v>
      </c>
      <c r="B7084" s="406">
        <v>42688</v>
      </c>
      <c r="C7084" s="405" t="s">
        <v>327</v>
      </c>
      <c r="D7084" s="401" t="s">
        <v>6596</v>
      </c>
      <c r="E7084" s="120">
        <v>500</v>
      </c>
      <c r="F7084" s="133" t="s">
        <v>15043</v>
      </c>
      <c r="G7084" s="404" t="s">
        <v>7486</v>
      </c>
      <c r="H7084" s="411">
        <v>1700</v>
      </c>
      <c r="I7084" s="411">
        <v>0</v>
      </c>
      <c r="J7084" s="361">
        <f>-((H7084*0.022)+0.3)</f>
        <v>-37.699999999999996</v>
      </c>
      <c r="K7084" s="90">
        <f>SUM(H7084:J7084)</f>
        <v>1662.3</v>
      </c>
      <c r="L7084" s="187">
        <v>1750</v>
      </c>
      <c r="M7084" s="131">
        <v>0</v>
      </c>
      <c r="N7084" s="199">
        <f t="shared" si="3445"/>
        <v>875</v>
      </c>
      <c r="O7084" s="411">
        <f t="shared" si="3421"/>
        <v>787.3</v>
      </c>
      <c r="P7084" s="132" t="s">
        <v>601</v>
      </c>
      <c r="Q7084" s="232"/>
      <c r="R7084" s="411"/>
      <c r="T7084" s="134" t="s">
        <v>473</v>
      </c>
      <c r="U7084" s="267" t="s">
        <v>15044</v>
      </c>
      <c r="W7084" s="153" t="s">
        <v>15045</v>
      </c>
      <c r="AA7084" s="218">
        <v>10</v>
      </c>
    </row>
    <row r="7085" spans="1:27" ht="24" x14ac:dyDescent="0.25">
      <c r="A7085" s="405">
        <v>3005553</v>
      </c>
      <c r="B7085" s="406">
        <v>42688</v>
      </c>
      <c r="C7085" s="405" t="s">
        <v>78</v>
      </c>
      <c r="D7085" s="401" t="s">
        <v>15046</v>
      </c>
      <c r="E7085" s="120">
        <v>250</v>
      </c>
      <c r="F7085" s="133" t="s">
        <v>8711</v>
      </c>
      <c r="G7085" s="404" t="s">
        <v>7486</v>
      </c>
      <c r="H7085" s="411">
        <v>800</v>
      </c>
      <c r="I7085" s="411">
        <v>0</v>
      </c>
      <c r="J7085" s="361">
        <f t="shared" ref="J7085:J7086" si="3446">-((H7085*0.019)+0.3)</f>
        <v>-15.5</v>
      </c>
      <c r="K7085" s="396">
        <f t="shared" ref="K7085:K7086" si="3447">SUM(H7085:J7085)</f>
        <v>784.5</v>
      </c>
      <c r="L7085" s="187">
        <v>1628</v>
      </c>
      <c r="M7085" s="131">
        <v>0</v>
      </c>
      <c r="N7085" s="199">
        <f t="shared" si="3445"/>
        <v>407</v>
      </c>
      <c r="O7085" s="411">
        <f t="shared" si="3421"/>
        <v>377.5</v>
      </c>
      <c r="P7085" s="132" t="s">
        <v>926</v>
      </c>
      <c r="Q7085" s="232"/>
      <c r="R7085" s="411"/>
      <c r="T7085" s="134" t="s">
        <v>331</v>
      </c>
      <c r="U7085" s="266" t="s">
        <v>15047</v>
      </c>
      <c r="W7085" s="153" t="s">
        <v>15048</v>
      </c>
      <c r="AA7085" s="218"/>
    </row>
    <row r="7086" spans="1:27" x14ac:dyDescent="0.25">
      <c r="A7086" s="405">
        <v>3005554</v>
      </c>
      <c r="B7086" s="406">
        <v>42688</v>
      </c>
      <c r="C7086" s="405" t="s">
        <v>42</v>
      </c>
      <c r="D7086" s="401" t="s">
        <v>15049</v>
      </c>
      <c r="E7086" s="120">
        <v>250</v>
      </c>
      <c r="F7086" s="133" t="s">
        <v>1362</v>
      </c>
      <c r="G7086" s="404" t="s">
        <v>7486</v>
      </c>
      <c r="H7086" s="411">
        <v>800</v>
      </c>
      <c r="I7086" s="89">
        <f t="shared" ref="I7086:I7100" si="3448">-(H7086*0.09)</f>
        <v>-72</v>
      </c>
      <c r="J7086" s="361">
        <f t="shared" si="3446"/>
        <v>-15.5</v>
      </c>
      <c r="K7086" s="396">
        <f t="shared" si="3447"/>
        <v>712.5</v>
      </c>
      <c r="L7086" s="131">
        <v>1776</v>
      </c>
      <c r="M7086" s="131">
        <v>0</v>
      </c>
      <c r="N7086" s="199">
        <f t="shared" si="3445"/>
        <v>444</v>
      </c>
      <c r="O7086" s="411">
        <f t="shared" si="3421"/>
        <v>268.5</v>
      </c>
      <c r="P7086" s="132" t="s">
        <v>14218</v>
      </c>
      <c r="Q7086" s="232"/>
      <c r="R7086" s="411"/>
      <c r="T7086" s="134" t="s">
        <v>565</v>
      </c>
      <c r="U7086" s="267" t="s">
        <v>15050</v>
      </c>
      <c r="AA7086" s="218"/>
    </row>
    <row r="7087" spans="1:27" ht="24" x14ac:dyDescent="0.25">
      <c r="A7087" s="405">
        <v>3005555</v>
      </c>
      <c r="B7087" s="406">
        <v>42688</v>
      </c>
      <c r="C7087" s="405" t="s">
        <v>42</v>
      </c>
      <c r="D7087" s="401" t="s">
        <v>15051</v>
      </c>
      <c r="E7087" s="120">
        <v>400</v>
      </c>
      <c r="F7087" s="133" t="s">
        <v>292</v>
      </c>
      <c r="G7087" s="404" t="s">
        <v>7486</v>
      </c>
      <c r="H7087" s="411">
        <v>293.44</v>
      </c>
      <c r="I7087" s="89">
        <f t="shared" si="3448"/>
        <v>-26.409599999999998</v>
      </c>
      <c r="J7087" s="361">
        <f t="shared" ref="J7087" si="3449">-((H7087*0.019)+0.3)</f>
        <v>-5.8753599999999997</v>
      </c>
      <c r="K7087" s="396">
        <f t="shared" ref="K7087" si="3450">SUM(H7087:J7087)</f>
        <v>261.15503999999999</v>
      </c>
      <c r="L7087" s="131">
        <v>375</v>
      </c>
      <c r="N7087" s="199">
        <f t="shared" si="3445"/>
        <v>150</v>
      </c>
      <c r="O7087" s="411">
        <f t="shared" si="3421"/>
        <v>111.15503999999999</v>
      </c>
      <c r="P7087" s="132" t="s">
        <v>52</v>
      </c>
      <c r="Q7087" s="232"/>
      <c r="R7087" s="411"/>
      <c r="T7087" s="134" t="s">
        <v>145</v>
      </c>
      <c r="U7087" s="267" t="s">
        <v>15052</v>
      </c>
      <c r="AA7087" s="218"/>
    </row>
    <row r="7088" spans="1:27" ht="24" x14ac:dyDescent="0.25">
      <c r="A7088" s="405">
        <v>3005556</v>
      </c>
      <c r="B7088" s="406">
        <v>42688</v>
      </c>
      <c r="C7088" s="405" t="s">
        <v>42</v>
      </c>
      <c r="D7088" s="401" t="s">
        <v>15053</v>
      </c>
      <c r="E7088" s="120">
        <v>100</v>
      </c>
      <c r="F7088" s="133" t="s">
        <v>829</v>
      </c>
      <c r="G7088" s="404" t="s">
        <v>7486</v>
      </c>
      <c r="H7088" s="411">
        <v>112.63</v>
      </c>
      <c r="I7088" s="89">
        <f t="shared" si="3448"/>
        <v>-10.136699999999999</v>
      </c>
      <c r="J7088" s="361">
        <f t="shared" ref="J7088" si="3451">-((H7088*0.019)+0.3)</f>
        <v>-2.4399699999999998</v>
      </c>
      <c r="K7088" s="396">
        <f t="shared" ref="K7088" si="3452">SUM(H7088:J7088)</f>
        <v>100.05332999999999</v>
      </c>
      <c r="L7088" s="131">
        <v>510</v>
      </c>
      <c r="N7088" s="199">
        <f t="shared" si="3445"/>
        <v>51</v>
      </c>
      <c r="O7088" s="411">
        <f t="shared" si="3421"/>
        <v>49.053329999999988</v>
      </c>
      <c r="P7088" s="132" t="s">
        <v>52</v>
      </c>
      <c r="Q7088" s="232"/>
      <c r="R7088" s="411"/>
      <c r="T7088" s="134" t="s">
        <v>145</v>
      </c>
      <c r="U7088" s="267" t="s">
        <v>15054</v>
      </c>
      <c r="AA7088" s="218"/>
    </row>
    <row r="7089" spans="1:27" ht="24" x14ac:dyDescent="0.25">
      <c r="A7089" s="405">
        <v>3005557</v>
      </c>
      <c r="B7089" s="406">
        <v>42688</v>
      </c>
      <c r="C7089" s="405" t="s">
        <v>42</v>
      </c>
      <c r="D7089" s="401" t="s">
        <v>15055</v>
      </c>
      <c r="E7089" s="120">
        <v>85</v>
      </c>
      <c r="F7089" s="133" t="s">
        <v>528</v>
      </c>
      <c r="G7089" s="404" t="s">
        <v>7486</v>
      </c>
      <c r="H7089" s="411">
        <v>205.8</v>
      </c>
      <c r="I7089" s="89">
        <f t="shared" si="3448"/>
        <v>-18.522000000000002</v>
      </c>
      <c r="J7089" s="361">
        <f t="shared" ref="J7089" si="3453">-((H7089*0.019)+0.3)</f>
        <v>-4.2102000000000004</v>
      </c>
      <c r="K7089" s="396">
        <f t="shared" ref="K7089" si="3454">SUM(H7089:J7089)</f>
        <v>183.06780000000003</v>
      </c>
      <c r="L7089" s="131">
        <v>1035</v>
      </c>
      <c r="N7089" s="199">
        <f t="shared" si="3445"/>
        <v>87.975000000000009</v>
      </c>
      <c r="O7089" s="411">
        <f t="shared" si="3421"/>
        <v>95.092800000000025</v>
      </c>
      <c r="P7089" s="132" t="s">
        <v>52</v>
      </c>
      <c r="Q7089" s="232"/>
      <c r="R7089" s="411"/>
      <c r="T7089" s="134" t="s">
        <v>145</v>
      </c>
      <c r="U7089" s="267" t="s">
        <v>15056</v>
      </c>
      <c r="AA7089" s="218"/>
    </row>
    <row r="7090" spans="1:27" ht="24" x14ac:dyDescent="0.25">
      <c r="A7090" s="405">
        <v>3005558</v>
      </c>
      <c r="B7090" s="406">
        <v>42688</v>
      </c>
      <c r="C7090" s="405" t="s">
        <v>42</v>
      </c>
      <c r="D7090" s="401" t="s">
        <v>15057</v>
      </c>
      <c r="E7090" s="120">
        <v>35</v>
      </c>
      <c r="F7090" s="133" t="s">
        <v>247</v>
      </c>
      <c r="G7090" s="404" t="s">
        <v>7486</v>
      </c>
      <c r="H7090" s="411">
        <v>49.8</v>
      </c>
      <c r="I7090" s="89">
        <f t="shared" si="3448"/>
        <v>-4.4819999999999993</v>
      </c>
      <c r="J7090" s="361">
        <f t="shared" ref="J7090" si="3455">-((H7090*0.019)+0.3)</f>
        <v>-1.2462</v>
      </c>
      <c r="K7090" s="396">
        <f t="shared" ref="K7090" si="3456">SUM(H7090:J7090)</f>
        <v>44.071799999999996</v>
      </c>
      <c r="L7090" s="131">
        <v>424</v>
      </c>
      <c r="N7090" s="199">
        <f t="shared" si="3445"/>
        <v>14.840000000000002</v>
      </c>
      <c r="O7090" s="411">
        <f t="shared" si="3421"/>
        <v>29.231799999999993</v>
      </c>
      <c r="P7090" s="132" t="s">
        <v>52</v>
      </c>
      <c r="Q7090" s="232"/>
      <c r="R7090" s="411"/>
      <c r="T7090" s="134" t="s">
        <v>145</v>
      </c>
      <c r="U7090" s="267" t="s">
        <v>15058</v>
      </c>
      <c r="AA7090" s="218"/>
    </row>
    <row r="7091" spans="1:27" ht="24" x14ac:dyDescent="0.25">
      <c r="A7091" s="405">
        <v>3005559</v>
      </c>
      <c r="B7091" s="406">
        <v>42688</v>
      </c>
      <c r="C7091" s="405" t="s">
        <v>42</v>
      </c>
      <c r="D7091" s="401" t="s">
        <v>15059</v>
      </c>
      <c r="E7091" s="120">
        <v>100</v>
      </c>
      <c r="F7091" s="133" t="s">
        <v>1547</v>
      </c>
      <c r="G7091" s="404" t="s">
        <v>7486</v>
      </c>
      <c r="H7091" s="411">
        <v>104.16</v>
      </c>
      <c r="I7091" s="89">
        <f t="shared" si="3448"/>
        <v>-9.3743999999999996</v>
      </c>
      <c r="J7091" s="361">
        <f t="shared" ref="J7091" si="3457">-((H7091*0.019)+0.3)</f>
        <v>-2.2790399999999997</v>
      </c>
      <c r="K7091" s="396">
        <f t="shared" ref="K7091" si="3458">SUM(H7091:J7091)</f>
        <v>92.506560000000007</v>
      </c>
      <c r="L7091" s="131">
        <v>330</v>
      </c>
      <c r="N7091" s="199">
        <f t="shared" si="3445"/>
        <v>33</v>
      </c>
      <c r="O7091" s="411">
        <f t="shared" si="3421"/>
        <v>59.506560000000007</v>
      </c>
      <c r="P7091" s="132" t="s">
        <v>52</v>
      </c>
      <c r="Q7091" s="232"/>
      <c r="R7091" s="411"/>
      <c r="T7091" s="134" t="s">
        <v>145</v>
      </c>
      <c r="U7091" s="267" t="s">
        <v>15060</v>
      </c>
      <c r="AA7091" s="218"/>
    </row>
    <row r="7092" spans="1:27" ht="24" x14ac:dyDescent="0.25">
      <c r="A7092" s="405">
        <v>3005560</v>
      </c>
      <c r="B7092" s="406">
        <v>42688</v>
      </c>
      <c r="C7092" s="405" t="s">
        <v>42</v>
      </c>
      <c r="D7092" s="401" t="s">
        <v>15061</v>
      </c>
      <c r="E7092" s="120">
        <v>250</v>
      </c>
      <c r="F7092" s="133" t="s">
        <v>438</v>
      </c>
      <c r="G7092" s="404" t="s">
        <v>7486</v>
      </c>
      <c r="H7092" s="411">
        <v>186.11</v>
      </c>
      <c r="I7092" s="89">
        <f t="shared" si="3448"/>
        <v>-16.7499</v>
      </c>
      <c r="J7092" s="361">
        <f t="shared" ref="J7092" si="3459">-((H7092*0.019)+0.3)</f>
        <v>-3.83609</v>
      </c>
      <c r="K7092" s="396">
        <f t="shared" ref="K7092" si="3460">SUM(H7092:J7092)</f>
        <v>165.52401</v>
      </c>
      <c r="L7092" s="131">
        <v>168</v>
      </c>
      <c r="N7092" s="199">
        <f t="shared" si="3445"/>
        <v>42</v>
      </c>
      <c r="O7092" s="411">
        <f t="shared" si="3421"/>
        <v>123.52401</v>
      </c>
      <c r="P7092" s="132" t="s">
        <v>52</v>
      </c>
      <c r="Q7092" s="232"/>
      <c r="R7092" s="411"/>
      <c r="T7092" s="134" t="s">
        <v>145</v>
      </c>
      <c r="U7092" s="267" t="s">
        <v>15062</v>
      </c>
      <c r="AA7092" s="218"/>
    </row>
    <row r="7093" spans="1:27" ht="24" x14ac:dyDescent="0.25">
      <c r="A7093" s="405">
        <v>3005561</v>
      </c>
      <c r="B7093" s="406">
        <v>42688</v>
      </c>
      <c r="C7093" s="405" t="s">
        <v>42</v>
      </c>
      <c r="D7093" s="401" t="s">
        <v>9230</v>
      </c>
      <c r="E7093" s="120">
        <v>250</v>
      </c>
      <c r="F7093" s="133" t="s">
        <v>877</v>
      </c>
      <c r="G7093" s="404" t="s">
        <v>7486</v>
      </c>
      <c r="H7093" s="411">
        <v>182.68</v>
      </c>
      <c r="I7093" s="89">
        <f t="shared" si="3448"/>
        <v>-16.441199999999998</v>
      </c>
      <c r="J7093" s="361">
        <f t="shared" ref="J7093" si="3461">-((H7093*0.019)+0.3)</f>
        <v>-3.7709199999999998</v>
      </c>
      <c r="K7093" s="396">
        <f t="shared" ref="K7093" si="3462">SUM(H7093:J7093)</f>
        <v>162.46788000000001</v>
      </c>
      <c r="L7093" s="131">
        <v>235</v>
      </c>
      <c r="N7093" s="199">
        <f t="shared" si="3445"/>
        <v>58.75</v>
      </c>
      <c r="O7093" s="411">
        <f t="shared" si="3421"/>
        <v>103.71788000000001</v>
      </c>
      <c r="P7093" s="132" t="s">
        <v>52</v>
      </c>
      <c r="Q7093" s="232"/>
      <c r="R7093" s="411"/>
      <c r="T7093" s="134" t="s">
        <v>145</v>
      </c>
      <c r="U7093" s="267" t="s">
        <v>15063</v>
      </c>
      <c r="AA7093" s="218"/>
    </row>
    <row r="7094" spans="1:27" ht="24" x14ac:dyDescent="0.25">
      <c r="A7094" s="405">
        <v>3005562</v>
      </c>
      <c r="B7094" s="406">
        <v>42688</v>
      </c>
      <c r="C7094" s="405" t="s">
        <v>42</v>
      </c>
      <c r="D7094" s="401" t="s">
        <v>15064</v>
      </c>
      <c r="E7094" s="120">
        <v>25</v>
      </c>
      <c r="F7094" s="133" t="s">
        <v>247</v>
      </c>
      <c r="G7094" s="404" t="s">
        <v>7486</v>
      </c>
      <c r="H7094" s="411">
        <v>39</v>
      </c>
      <c r="I7094" s="89">
        <f t="shared" si="3448"/>
        <v>-3.51</v>
      </c>
      <c r="J7094" s="361">
        <f t="shared" ref="J7094" si="3463">-((H7094*0.019)+0.3)</f>
        <v>-1.0409999999999999</v>
      </c>
      <c r="K7094" s="396">
        <f t="shared" ref="K7094" si="3464">SUM(H7094:J7094)</f>
        <v>34.449000000000005</v>
      </c>
      <c r="L7094" s="131">
        <v>424</v>
      </c>
      <c r="N7094" s="199">
        <f t="shared" si="3445"/>
        <v>10.600000000000001</v>
      </c>
      <c r="O7094" s="411">
        <f t="shared" si="3421"/>
        <v>23.849000000000004</v>
      </c>
      <c r="P7094" s="132" t="s">
        <v>52</v>
      </c>
      <c r="Q7094" s="232"/>
      <c r="R7094" s="411"/>
      <c r="T7094" s="134" t="s">
        <v>145</v>
      </c>
      <c r="U7094" s="267" t="s">
        <v>15065</v>
      </c>
      <c r="AA7094" s="218"/>
    </row>
    <row r="7095" spans="1:27" ht="24" x14ac:dyDescent="0.25">
      <c r="A7095" s="405">
        <v>3005563</v>
      </c>
      <c r="B7095" s="406">
        <v>42688</v>
      </c>
      <c r="C7095" s="405" t="s">
        <v>42</v>
      </c>
      <c r="D7095" s="401" t="s">
        <v>15066</v>
      </c>
      <c r="E7095" s="120">
        <v>225</v>
      </c>
      <c r="F7095" s="133" t="s">
        <v>247</v>
      </c>
      <c r="G7095" s="404" t="s">
        <v>7486</v>
      </c>
      <c r="H7095" s="411">
        <v>301.13</v>
      </c>
      <c r="I7095" s="89">
        <f t="shared" si="3448"/>
        <v>-27.101699999999997</v>
      </c>
      <c r="J7095" s="361">
        <f t="shared" ref="J7095" si="3465">-((H7095*0.019)+0.3)</f>
        <v>-6.0214699999999999</v>
      </c>
      <c r="K7095" s="396">
        <f t="shared" ref="K7095" si="3466">SUM(H7095:J7095)</f>
        <v>268.00682999999998</v>
      </c>
      <c r="L7095" s="131">
        <v>424</v>
      </c>
      <c r="N7095" s="199">
        <f t="shared" si="3445"/>
        <v>95.4</v>
      </c>
      <c r="O7095" s="411">
        <f t="shared" si="3421"/>
        <v>172.60682999999997</v>
      </c>
      <c r="P7095" s="132" t="s">
        <v>52</v>
      </c>
      <c r="Q7095" s="232"/>
      <c r="R7095" s="411">
        <v>22.31</v>
      </c>
      <c r="S7095" s="133" t="s">
        <v>10730</v>
      </c>
      <c r="T7095" s="134" t="s">
        <v>145</v>
      </c>
      <c r="U7095" s="267" t="s">
        <v>15067</v>
      </c>
      <c r="AA7095" s="218"/>
    </row>
    <row r="7096" spans="1:27" ht="24" x14ac:dyDescent="0.25">
      <c r="A7096" s="405">
        <v>3005564</v>
      </c>
      <c r="B7096" s="406">
        <v>42688</v>
      </c>
      <c r="C7096" s="405" t="s">
        <v>42</v>
      </c>
      <c r="D7096" s="401" t="s">
        <v>15068</v>
      </c>
      <c r="E7096" s="120">
        <v>500</v>
      </c>
      <c r="F7096" s="133" t="s">
        <v>438</v>
      </c>
      <c r="G7096" s="404" t="s">
        <v>7486</v>
      </c>
      <c r="H7096" s="411">
        <v>291.83</v>
      </c>
      <c r="I7096" s="89">
        <f t="shared" si="3448"/>
        <v>-26.264699999999998</v>
      </c>
      <c r="J7096" s="361">
        <f t="shared" ref="J7096" si="3467">-((H7096*0.019)+0.3)</f>
        <v>-5.8447699999999996</v>
      </c>
      <c r="K7096" s="396">
        <f t="shared" ref="K7096" si="3468">SUM(H7096:J7096)</f>
        <v>259.72053</v>
      </c>
      <c r="L7096" s="131">
        <v>168</v>
      </c>
      <c r="N7096" s="199">
        <f t="shared" si="3445"/>
        <v>84</v>
      </c>
      <c r="O7096" s="411">
        <f t="shared" si="3421"/>
        <v>175.72053</v>
      </c>
      <c r="P7096" s="132" t="s">
        <v>52</v>
      </c>
      <c r="Q7096" s="232"/>
      <c r="R7096" s="411"/>
      <c r="T7096" s="134" t="s">
        <v>145</v>
      </c>
      <c r="U7096" s="267" t="s">
        <v>15069</v>
      </c>
      <c r="AA7096" s="218"/>
    </row>
    <row r="7097" spans="1:27" ht="24" x14ac:dyDescent="0.25">
      <c r="A7097" s="405">
        <v>3005565</v>
      </c>
      <c r="B7097" s="406">
        <v>42688</v>
      </c>
      <c r="C7097" s="405" t="s">
        <v>42</v>
      </c>
      <c r="D7097" s="401" t="s">
        <v>15070</v>
      </c>
      <c r="E7097" s="120">
        <v>100</v>
      </c>
      <c r="F7097" s="133" t="s">
        <v>829</v>
      </c>
      <c r="G7097" s="404" t="s">
        <v>7486</v>
      </c>
      <c r="H7097" s="411">
        <v>112.63</v>
      </c>
      <c r="I7097" s="89">
        <f t="shared" si="3448"/>
        <v>-10.136699999999999</v>
      </c>
      <c r="J7097" s="361">
        <f t="shared" ref="J7097" si="3469">-((H7097*0.019)+0.3)</f>
        <v>-2.4399699999999998</v>
      </c>
      <c r="K7097" s="396">
        <f t="shared" ref="K7097" si="3470">SUM(H7097:J7097)</f>
        <v>100.05332999999999</v>
      </c>
      <c r="L7097" s="131">
        <v>510</v>
      </c>
      <c r="N7097" s="199">
        <f t="shared" si="3445"/>
        <v>51</v>
      </c>
      <c r="O7097" s="411">
        <f t="shared" si="3421"/>
        <v>49.053329999999988</v>
      </c>
      <c r="P7097" s="132" t="s">
        <v>52</v>
      </c>
      <c r="Q7097" s="232"/>
      <c r="R7097" s="411"/>
      <c r="T7097" s="134" t="s">
        <v>145</v>
      </c>
      <c r="U7097" s="267" t="s">
        <v>15071</v>
      </c>
      <c r="AA7097" s="218"/>
    </row>
    <row r="7098" spans="1:27" ht="24" x14ac:dyDescent="0.25">
      <c r="A7098" s="405">
        <v>3005566</v>
      </c>
      <c r="B7098" s="406">
        <v>42688</v>
      </c>
      <c r="C7098" s="405" t="s">
        <v>42</v>
      </c>
      <c r="D7098" s="401" t="s">
        <v>15072</v>
      </c>
      <c r="E7098" s="120">
        <v>100</v>
      </c>
      <c r="F7098" s="133" t="s">
        <v>431</v>
      </c>
      <c r="G7098" s="404" t="s">
        <v>7486</v>
      </c>
      <c r="H7098" s="411">
        <v>200.08</v>
      </c>
      <c r="I7098" s="89">
        <f t="shared" si="3448"/>
        <v>-18.007200000000001</v>
      </c>
      <c r="J7098" s="361">
        <f t="shared" ref="J7098" si="3471">-((H7098*0.019)+0.3)</f>
        <v>-4.1015199999999998</v>
      </c>
      <c r="K7098" s="396">
        <f t="shared" ref="K7098" si="3472">SUM(H7098:J7098)</f>
        <v>177.97128000000001</v>
      </c>
      <c r="L7098" s="131">
        <v>950</v>
      </c>
      <c r="N7098" s="199">
        <f t="shared" si="3445"/>
        <v>95</v>
      </c>
      <c r="O7098" s="411">
        <f t="shared" si="3421"/>
        <v>82.971280000000007</v>
      </c>
      <c r="P7098" s="132" t="s">
        <v>52</v>
      </c>
      <c r="Q7098" s="232"/>
      <c r="R7098" s="411"/>
      <c r="T7098" s="134" t="s">
        <v>145</v>
      </c>
      <c r="U7098" s="267" t="s">
        <v>15073</v>
      </c>
      <c r="AA7098" s="218"/>
    </row>
    <row r="7099" spans="1:27" ht="24" x14ac:dyDescent="0.25">
      <c r="A7099" s="405">
        <v>3005567</v>
      </c>
      <c r="B7099" s="406">
        <v>42688</v>
      </c>
      <c r="C7099" s="405" t="s">
        <v>42</v>
      </c>
      <c r="D7099" s="401" t="s">
        <v>15074</v>
      </c>
      <c r="E7099" s="120">
        <v>25</v>
      </c>
      <c r="F7099" s="133" t="s">
        <v>528</v>
      </c>
      <c r="G7099" s="404" t="s">
        <v>7486</v>
      </c>
      <c r="H7099" s="411">
        <v>69</v>
      </c>
      <c r="I7099" s="89">
        <f t="shared" si="3448"/>
        <v>-6.21</v>
      </c>
      <c r="J7099" s="361">
        <f t="shared" ref="J7099" si="3473">-((H7099*0.019)+0.3)</f>
        <v>-1.611</v>
      </c>
      <c r="K7099" s="396">
        <f t="shared" ref="K7099" si="3474">SUM(H7099:J7099)</f>
        <v>61.179000000000002</v>
      </c>
      <c r="L7099" s="131">
        <v>1035</v>
      </c>
      <c r="N7099" s="199">
        <f t="shared" si="3445"/>
        <v>25.875</v>
      </c>
      <c r="O7099" s="411">
        <f t="shared" si="3421"/>
        <v>35.304000000000002</v>
      </c>
      <c r="P7099" s="132" t="s">
        <v>52</v>
      </c>
      <c r="Q7099" s="232"/>
      <c r="R7099" s="411"/>
      <c r="T7099" s="134" t="s">
        <v>145</v>
      </c>
      <c r="U7099" s="267" t="s">
        <v>15075</v>
      </c>
      <c r="AA7099" s="218"/>
    </row>
    <row r="7100" spans="1:27" ht="24" x14ac:dyDescent="0.25">
      <c r="A7100" s="405">
        <v>3005568</v>
      </c>
      <c r="B7100" s="406">
        <v>42688</v>
      </c>
      <c r="C7100" s="405" t="s">
        <v>42</v>
      </c>
      <c r="D7100" s="401" t="s">
        <v>15076</v>
      </c>
      <c r="E7100" s="120">
        <v>140</v>
      </c>
      <c r="F7100" s="133" t="s">
        <v>222</v>
      </c>
      <c r="G7100" s="404" t="s">
        <v>7486</v>
      </c>
      <c r="H7100" s="411">
        <v>238.8</v>
      </c>
      <c r="I7100" s="89">
        <f t="shared" si="3448"/>
        <v>-21.492000000000001</v>
      </c>
      <c r="J7100" s="361">
        <f t="shared" ref="J7100" si="3475">-((H7100*0.019)+0.3)</f>
        <v>-4.8372000000000002</v>
      </c>
      <c r="K7100" s="396">
        <f t="shared" ref="K7100" si="3476">SUM(H7100:J7100)</f>
        <v>212.47080000000003</v>
      </c>
      <c r="L7100" s="131">
        <v>670</v>
      </c>
      <c r="N7100" s="199">
        <f t="shared" si="3445"/>
        <v>93.800000000000011</v>
      </c>
      <c r="O7100" s="411">
        <f t="shared" si="3421"/>
        <v>118.67080000000001</v>
      </c>
      <c r="P7100" s="132" t="s">
        <v>86</v>
      </c>
      <c r="Q7100" s="232"/>
      <c r="R7100" s="411"/>
      <c r="T7100" s="134" t="s">
        <v>145</v>
      </c>
      <c r="U7100" s="267" t="s">
        <v>15077</v>
      </c>
      <c r="AA7100" s="218"/>
    </row>
    <row r="7101" spans="1:27" ht="24" x14ac:dyDescent="0.25">
      <c r="A7101" s="405">
        <v>3005569</v>
      </c>
      <c r="B7101" s="406">
        <v>42688</v>
      </c>
      <c r="C7101" s="405" t="s">
        <v>237</v>
      </c>
      <c r="D7101" s="401" t="s">
        <v>15078</v>
      </c>
      <c r="E7101" s="120">
        <v>250</v>
      </c>
      <c r="F7101" s="133" t="s">
        <v>609</v>
      </c>
      <c r="G7101" s="404" t="s">
        <v>7486</v>
      </c>
      <c r="H7101" s="411">
        <v>139.24</v>
      </c>
      <c r="I7101" s="397">
        <f t="shared" ref="I7101" si="3477">-(H7101*0.15)</f>
        <v>-20.885999999999999</v>
      </c>
      <c r="J7101" s="258">
        <v>0</v>
      </c>
      <c r="K7101" s="90">
        <f>SUM(H7101:J7101)</f>
        <v>118.35400000000001</v>
      </c>
      <c r="L7101" s="131">
        <v>330</v>
      </c>
      <c r="N7101" s="199">
        <f t="shared" si="3445"/>
        <v>82.5</v>
      </c>
      <c r="O7101" s="411">
        <f t="shared" si="3421"/>
        <v>35.854000000000013</v>
      </c>
      <c r="P7101" s="132" t="s">
        <v>86</v>
      </c>
      <c r="Q7101" s="232"/>
      <c r="R7101" s="411"/>
      <c r="T7101" s="134" t="s">
        <v>145</v>
      </c>
      <c r="U7101" s="267" t="s">
        <v>15079</v>
      </c>
      <c r="AA7101" s="218"/>
    </row>
    <row r="7102" spans="1:27" ht="24" x14ac:dyDescent="0.25">
      <c r="A7102" s="405">
        <v>3005570</v>
      </c>
      <c r="B7102" s="406">
        <v>42688</v>
      </c>
      <c r="C7102" s="405" t="s">
        <v>237</v>
      </c>
      <c r="D7102" s="401" t="s">
        <v>15080</v>
      </c>
      <c r="E7102" s="120">
        <v>100</v>
      </c>
      <c r="F7102" s="133" t="s">
        <v>3301</v>
      </c>
      <c r="G7102" s="404" t="s">
        <v>7486</v>
      </c>
      <c r="H7102" s="411">
        <v>130</v>
      </c>
      <c r="I7102" s="397">
        <f t="shared" ref="I7102" si="3478">-(H7102*0.15)</f>
        <v>-19.5</v>
      </c>
      <c r="J7102" s="258">
        <v>0</v>
      </c>
      <c r="K7102" s="90">
        <f>SUM(H7102:J7102)</f>
        <v>110.5</v>
      </c>
      <c r="L7102" s="187">
        <v>754</v>
      </c>
      <c r="N7102" s="199">
        <f t="shared" ref="N7102:N7165" si="3479">((L7102)*(E7102*0.001))+M7102</f>
        <v>75.400000000000006</v>
      </c>
      <c r="O7102" s="411">
        <f t="shared" si="3421"/>
        <v>35.099999999999994</v>
      </c>
      <c r="P7102" s="132" t="s">
        <v>601</v>
      </c>
      <c r="Q7102" s="232"/>
      <c r="R7102" s="411"/>
      <c r="T7102" s="134" t="s">
        <v>145</v>
      </c>
      <c r="U7102" s="267" t="s">
        <v>15081</v>
      </c>
      <c r="AA7102" s="218"/>
    </row>
    <row r="7103" spans="1:27" ht="24" x14ac:dyDescent="0.25">
      <c r="A7103" s="405">
        <v>3005571</v>
      </c>
      <c r="B7103" s="406">
        <v>42688</v>
      </c>
      <c r="C7103" s="405" t="s">
        <v>237</v>
      </c>
      <c r="D7103" s="401" t="s">
        <v>15082</v>
      </c>
      <c r="E7103" s="120">
        <v>50</v>
      </c>
      <c r="F7103" s="133" t="s">
        <v>307</v>
      </c>
      <c r="G7103" s="404" t="s">
        <v>7486</v>
      </c>
      <c r="H7103" s="411">
        <v>100</v>
      </c>
      <c r="I7103" s="397">
        <f t="shared" ref="I7103" si="3480">-(H7103*0.15)</f>
        <v>-15</v>
      </c>
      <c r="J7103" s="258">
        <v>0</v>
      </c>
      <c r="K7103" s="90">
        <f>SUM(H7103:J7103)</f>
        <v>85</v>
      </c>
      <c r="L7103" s="131">
        <v>622.45000000000005</v>
      </c>
      <c r="N7103" s="199">
        <f t="shared" si="3479"/>
        <v>31.122500000000002</v>
      </c>
      <c r="O7103" s="411">
        <f t="shared" si="3421"/>
        <v>53.877499999999998</v>
      </c>
      <c r="P7103" s="132" t="s">
        <v>52</v>
      </c>
      <c r="Q7103" s="232"/>
      <c r="R7103" s="411"/>
      <c r="T7103" s="134" t="s">
        <v>145</v>
      </c>
      <c r="U7103" s="267" t="s">
        <v>15083</v>
      </c>
      <c r="AA7103" s="218"/>
    </row>
    <row r="7104" spans="1:27" x14ac:dyDescent="0.25">
      <c r="A7104" s="419">
        <v>3005572</v>
      </c>
      <c r="B7104" s="421">
        <v>42688</v>
      </c>
      <c r="C7104" s="419" t="s">
        <v>237</v>
      </c>
      <c r="D7104" s="417" t="s">
        <v>15084</v>
      </c>
      <c r="E7104" s="120">
        <v>100</v>
      </c>
      <c r="F7104" s="133" t="s">
        <v>10699</v>
      </c>
      <c r="G7104" s="434" t="s">
        <v>7486</v>
      </c>
      <c r="H7104" s="427">
        <v>115</v>
      </c>
      <c r="I7104" s="452">
        <f t="shared" ref="I7104" si="3481">-(H7104*0.15)</f>
        <v>-17.25</v>
      </c>
      <c r="J7104" s="425">
        <v>0</v>
      </c>
      <c r="K7104" s="425">
        <f>SUM(H7104:J7104)</f>
        <v>97.75</v>
      </c>
      <c r="L7104" s="187">
        <v>341</v>
      </c>
      <c r="N7104" s="199">
        <f t="shared" si="3479"/>
        <v>34.1</v>
      </c>
      <c r="O7104" s="411">
        <f t="shared" si="3421"/>
        <v>63.65</v>
      </c>
      <c r="P7104" s="132" t="s">
        <v>601</v>
      </c>
      <c r="Q7104" s="232"/>
      <c r="R7104" s="411"/>
      <c r="T7104" s="439" t="s">
        <v>145</v>
      </c>
      <c r="U7104" s="446" t="s">
        <v>15085</v>
      </c>
      <c r="AA7104" s="218"/>
    </row>
    <row r="7105" spans="1:27" x14ac:dyDescent="0.25">
      <c r="A7105" s="420"/>
      <c r="B7105" s="422"/>
      <c r="C7105" s="420"/>
      <c r="D7105" s="418"/>
      <c r="E7105" s="120">
        <v>100</v>
      </c>
      <c r="F7105" s="133" t="s">
        <v>10165</v>
      </c>
      <c r="G7105" s="436"/>
      <c r="H7105" s="428"/>
      <c r="I7105" s="453"/>
      <c r="J7105" s="426"/>
      <c r="K7105" s="426"/>
      <c r="L7105" s="187">
        <v>341</v>
      </c>
      <c r="N7105" s="199">
        <f t="shared" si="3479"/>
        <v>34.1</v>
      </c>
      <c r="O7105" s="411">
        <f t="shared" si="3421"/>
        <v>-34.1</v>
      </c>
      <c r="P7105" s="132" t="s">
        <v>601</v>
      </c>
      <c r="Q7105" s="232"/>
      <c r="R7105" s="411"/>
      <c r="T7105" s="441"/>
      <c r="U7105" s="447"/>
      <c r="AA7105" s="218"/>
    </row>
    <row r="7106" spans="1:27" ht="24" x14ac:dyDescent="0.25">
      <c r="A7106" s="405">
        <v>3005573</v>
      </c>
      <c r="B7106" s="406">
        <v>42688</v>
      </c>
      <c r="C7106" s="405" t="s">
        <v>237</v>
      </c>
      <c r="D7106" s="401" t="s">
        <v>15086</v>
      </c>
      <c r="E7106" s="120">
        <v>35</v>
      </c>
      <c r="F7106" s="133" t="s">
        <v>1507</v>
      </c>
      <c r="G7106" s="404" t="s">
        <v>7486</v>
      </c>
      <c r="H7106" s="411">
        <v>115</v>
      </c>
      <c r="I7106" s="397">
        <f t="shared" ref="I7106:I7107" si="3482">-(H7106*0.15)</f>
        <v>-17.25</v>
      </c>
      <c r="J7106" s="258">
        <v>0</v>
      </c>
      <c r="K7106" s="90">
        <f>SUM(H7106:J7106)</f>
        <v>97.75</v>
      </c>
      <c r="L7106" s="187">
        <v>2200</v>
      </c>
      <c r="N7106" s="199">
        <f t="shared" si="3479"/>
        <v>77.000000000000014</v>
      </c>
      <c r="O7106" s="411">
        <f t="shared" si="3421"/>
        <v>20.749999999999986</v>
      </c>
      <c r="P7106" s="132" t="s">
        <v>601</v>
      </c>
      <c r="Q7106" s="232"/>
      <c r="R7106" s="411"/>
      <c r="T7106" s="134" t="s">
        <v>145</v>
      </c>
      <c r="U7106" s="267" t="s">
        <v>15087</v>
      </c>
      <c r="AA7106" s="218"/>
    </row>
    <row r="7107" spans="1:27" x14ac:dyDescent="0.25">
      <c r="A7107" s="419">
        <v>3005574</v>
      </c>
      <c r="B7107" s="421">
        <v>42688</v>
      </c>
      <c r="C7107" s="419" t="s">
        <v>237</v>
      </c>
      <c r="D7107" s="417" t="s">
        <v>11632</v>
      </c>
      <c r="E7107" s="120">
        <v>100</v>
      </c>
      <c r="F7107" s="133" t="s">
        <v>3719</v>
      </c>
      <c r="G7107" s="434" t="s">
        <v>7486</v>
      </c>
      <c r="H7107" s="427">
        <v>360.36</v>
      </c>
      <c r="I7107" s="452">
        <f t="shared" si="3482"/>
        <v>-54.054000000000002</v>
      </c>
      <c r="J7107" s="425">
        <v>0</v>
      </c>
      <c r="K7107" s="425">
        <f>SUM(H7107:J7107)</f>
        <v>306.30600000000004</v>
      </c>
      <c r="L7107" s="187">
        <v>1164</v>
      </c>
      <c r="N7107" s="199">
        <f t="shared" si="3479"/>
        <v>116.4</v>
      </c>
      <c r="O7107" s="411">
        <f t="shared" si="3421"/>
        <v>189.90600000000003</v>
      </c>
      <c r="P7107" s="132" t="s">
        <v>601</v>
      </c>
      <c r="Q7107" s="232"/>
      <c r="R7107" s="411"/>
      <c r="T7107" s="439" t="s">
        <v>145</v>
      </c>
      <c r="U7107" s="446" t="s">
        <v>15088</v>
      </c>
      <c r="AA7107" s="218"/>
    </row>
    <row r="7108" spans="1:27" x14ac:dyDescent="0.25">
      <c r="A7108" s="420"/>
      <c r="B7108" s="422"/>
      <c r="C7108" s="420"/>
      <c r="D7108" s="418"/>
      <c r="E7108" s="120">
        <v>100</v>
      </c>
      <c r="F7108" s="133" t="s">
        <v>3307</v>
      </c>
      <c r="G7108" s="436"/>
      <c r="H7108" s="428"/>
      <c r="I7108" s="453"/>
      <c r="J7108" s="426"/>
      <c r="K7108" s="426"/>
      <c r="L7108" s="187">
        <v>1180</v>
      </c>
      <c r="N7108" s="199">
        <f t="shared" si="3479"/>
        <v>118</v>
      </c>
      <c r="O7108" s="411">
        <f t="shared" ref="O7108:O7171" si="3483">K7108-N7108</f>
        <v>-118</v>
      </c>
      <c r="P7108" s="132" t="s">
        <v>601</v>
      </c>
      <c r="Q7108" s="232"/>
      <c r="R7108" s="411"/>
      <c r="T7108" s="441"/>
      <c r="U7108" s="447"/>
      <c r="AA7108" s="218"/>
    </row>
    <row r="7109" spans="1:27" ht="24" x14ac:dyDescent="0.25">
      <c r="A7109" s="405">
        <v>3005575</v>
      </c>
      <c r="B7109" s="406">
        <v>42688</v>
      </c>
      <c r="C7109" s="405" t="s">
        <v>237</v>
      </c>
      <c r="D7109" s="401" t="s">
        <v>15089</v>
      </c>
      <c r="E7109" s="120">
        <v>100</v>
      </c>
      <c r="F7109" s="133" t="s">
        <v>590</v>
      </c>
      <c r="G7109" s="404" t="s">
        <v>7486</v>
      </c>
      <c r="H7109" s="411">
        <v>110.08</v>
      </c>
      <c r="I7109" s="397">
        <f t="shared" ref="I7109" si="3484">-(H7109*0.15)</f>
        <v>-16.512</v>
      </c>
      <c r="J7109" s="258">
        <v>0</v>
      </c>
      <c r="K7109" s="90">
        <f>SUM(H7109:J7109)</f>
        <v>93.567999999999998</v>
      </c>
      <c r="L7109" s="131">
        <v>560</v>
      </c>
      <c r="N7109" s="199">
        <f t="shared" si="3479"/>
        <v>56</v>
      </c>
      <c r="O7109" s="411">
        <f t="shared" si="3483"/>
        <v>37.567999999999998</v>
      </c>
      <c r="P7109" s="132" t="s">
        <v>52</v>
      </c>
      <c r="Q7109" s="232"/>
      <c r="R7109" s="411"/>
      <c r="T7109" s="134" t="s">
        <v>145</v>
      </c>
      <c r="U7109" s="267" t="s">
        <v>15090</v>
      </c>
      <c r="AA7109" s="218"/>
    </row>
    <row r="7110" spans="1:27" ht="24" x14ac:dyDescent="0.25">
      <c r="A7110" s="405">
        <v>3005576</v>
      </c>
      <c r="B7110" s="406">
        <v>42688</v>
      </c>
      <c r="C7110" s="405" t="s">
        <v>237</v>
      </c>
      <c r="D7110" s="401" t="s">
        <v>15091</v>
      </c>
      <c r="E7110" s="120">
        <v>100</v>
      </c>
      <c r="F7110" s="133" t="s">
        <v>860</v>
      </c>
      <c r="G7110" s="404" t="s">
        <v>7486</v>
      </c>
      <c r="H7110" s="411">
        <v>594.96</v>
      </c>
      <c r="I7110" s="397">
        <f t="shared" ref="I7110" si="3485">-(H7110*0.15)</f>
        <v>-89.244</v>
      </c>
      <c r="J7110" s="258">
        <v>0</v>
      </c>
      <c r="K7110" s="90">
        <f>SUM(H7110:J7110)</f>
        <v>505.71600000000001</v>
      </c>
      <c r="L7110" s="131">
        <v>3300</v>
      </c>
      <c r="N7110" s="199">
        <f t="shared" si="3479"/>
        <v>330</v>
      </c>
      <c r="O7110" s="411">
        <f t="shared" si="3483"/>
        <v>175.71600000000001</v>
      </c>
      <c r="P7110" s="132" t="s">
        <v>52</v>
      </c>
      <c r="Q7110" s="232"/>
      <c r="R7110" s="411"/>
      <c r="T7110" s="134" t="s">
        <v>145</v>
      </c>
      <c r="U7110" s="267" t="s">
        <v>15092</v>
      </c>
      <c r="AA7110" s="218"/>
    </row>
    <row r="7111" spans="1:27" ht="24" x14ac:dyDescent="0.25">
      <c r="A7111" s="405">
        <v>3005577</v>
      </c>
      <c r="B7111" s="406">
        <v>42688</v>
      </c>
      <c r="C7111" s="405" t="s">
        <v>237</v>
      </c>
      <c r="D7111" s="401" t="s">
        <v>15093</v>
      </c>
      <c r="E7111" s="120">
        <v>500</v>
      </c>
      <c r="F7111" s="133" t="s">
        <v>3301</v>
      </c>
      <c r="G7111" s="404" t="s">
        <v>7486</v>
      </c>
      <c r="H7111" s="411">
        <v>572.29999999999995</v>
      </c>
      <c r="I7111" s="397">
        <f t="shared" ref="I7111" si="3486">-(H7111*0.15)</f>
        <v>-85.844999999999985</v>
      </c>
      <c r="J7111" s="258">
        <v>0</v>
      </c>
      <c r="K7111" s="90">
        <f>SUM(H7111:J7111)</f>
        <v>486.45499999999998</v>
      </c>
      <c r="L7111" s="187">
        <v>800</v>
      </c>
      <c r="M7111" s="131">
        <v>0</v>
      </c>
      <c r="N7111" s="199">
        <f t="shared" si="3479"/>
        <v>400</v>
      </c>
      <c r="O7111" s="411">
        <f t="shared" si="3483"/>
        <v>86.454999999999984</v>
      </c>
      <c r="P7111" s="132" t="s">
        <v>601</v>
      </c>
      <c r="Q7111" s="232"/>
      <c r="R7111" s="411"/>
      <c r="T7111" s="134" t="s">
        <v>145</v>
      </c>
      <c r="U7111" s="267" t="s">
        <v>15094</v>
      </c>
      <c r="AA7111" s="218"/>
    </row>
    <row r="7112" spans="1:27" ht="60" x14ac:dyDescent="0.25">
      <c r="A7112" s="405">
        <v>3005578</v>
      </c>
      <c r="B7112" s="406">
        <v>42688</v>
      </c>
      <c r="C7112" s="405" t="s">
        <v>237</v>
      </c>
      <c r="D7112" s="401" t="s">
        <v>15095</v>
      </c>
      <c r="E7112" s="120">
        <v>60</v>
      </c>
      <c r="F7112" s="119" t="s">
        <v>15096</v>
      </c>
      <c r="G7112" s="404" t="s">
        <v>7486</v>
      </c>
      <c r="H7112" s="411">
        <v>100</v>
      </c>
      <c r="I7112" s="397">
        <f t="shared" ref="I7112:I7113" si="3487">-(H7112*0.15)</f>
        <v>-15</v>
      </c>
      <c r="J7112" s="258">
        <v>0</v>
      </c>
      <c r="K7112" s="90">
        <f>SUM(H7112:J7112)</f>
        <v>85</v>
      </c>
      <c r="L7112" s="131">
        <v>850</v>
      </c>
      <c r="N7112" s="199">
        <f t="shared" si="3479"/>
        <v>51</v>
      </c>
      <c r="O7112" s="411">
        <f t="shared" si="3483"/>
        <v>34</v>
      </c>
      <c r="P7112" s="132" t="s">
        <v>643</v>
      </c>
      <c r="Q7112" s="232"/>
      <c r="R7112" s="411"/>
      <c r="T7112" s="134" t="s">
        <v>145</v>
      </c>
      <c r="U7112" s="267" t="s">
        <v>15097</v>
      </c>
      <c r="AA7112" s="218"/>
    </row>
    <row r="7113" spans="1:27" x14ac:dyDescent="0.25">
      <c r="A7113" s="419">
        <v>3005579</v>
      </c>
      <c r="B7113" s="421">
        <v>42688</v>
      </c>
      <c r="C7113" s="419" t="s">
        <v>237</v>
      </c>
      <c r="D7113" s="417" t="s">
        <v>15098</v>
      </c>
      <c r="E7113" s="120">
        <v>25</v>
      </c>
      <c r="F7113" s="133" t="s">
        <v>3719</v>
      </c>
      <c r="G7113" s="434" t="s">
        <v>7486</v>
      </c>
      <c r="H7113" s="427">
        <v>100</v>
      </c>
      <c r="I7113" s="452">
        <f t="shared" si="3487"/>
        <v>-15</v>
      </c>
      <c r="J7113" s="425">
        <v>0</v>
      </c>
      <c r="K7113" s="425">
        <f>SUM(H7113:J7113)</f>
        <v>85</v>
      </c>
      <c r="L7113" s="187">
        <v>1164</v>
      </c>
      <c r="N7113" s="199">
        <f t="shared" si="3479"/>
        <v>29.1</v>
      </c>
      <c r="O7113" s="411">
        <f t="shared" si="3483"/>
        <v>55.9</v>
      </c>
      <c r="P7113" s="132" t="s">
        <v>601</v>
      </c>
      <c r="Q7113" s="232"/>
      <c r="R7113" s="411"/>
      <c r="T7113" s="439" t="s">
        <v>145</v>
      </c>
      <c r="U7113" s="446" t="s">
        <v>15099</v>
      </c>
      <c r="AA7113" s="218"/>
    </row>
    <row r="7114" spans="1:27" x14ac:dyDescent="0.25">
      <c r="A7114" s="420"/>
      <c r="B7114" s="422"/>
      <c r="C7114" s="420"/>
      <c r="D7114" s="418"/>
      <c r="E7114" s="120">
        <v>25</v>
      </c>
      <c r="F7114" s="133" t="s">
        <v>3307</v>
      </c>
      <c r="G7114" s="436"/>
      <c r="H7114" s="428"/>
      <c r="I7114" s="453"/>
      <c r="J7114" s="426"/>
      <c r="K7114" s="426"/>
      <c r="L7114" s="187">
        <v>1180</v>
      </c>
      <c r="N7114" s="199">
        <f t="shared" si="3479"/>
        <v>29.5</v>
      </c>
      <c r="O7114" s="411">
        <f t="shared" si="3483"/>
        <v>-29.5</v>
      </c>
      <c r="P7114" s="132" t="s">
        <v>601</v>
      </c>
      <c r="Q7114" s="232"/>
      <c r="R7114" s="411"/>
      <c r="T7114" s="441"/>
      <c r="U7114" s="447"/>
      <c r="AA7114" s="218"/>
    </row>
    <row r="7115" spans="1:27" ht="24" x14ac:dyDescent="0.25">
      <c r="A7115" s="405">
        <v>3005580</v>
      </c>
      <c r="B7115" s="406">
        <v>42688</v>
      </c>
      <c r="C7115" s="405" t="s">
        <v>237</v>
      </c>
      <c r="D7115" s="401" t="s">
        <v>15100</v>
      </c>
      <c r="E7115" s="120">
        <v>300</v>
      </c>
      <c r="F7115" s="133" t="s">
        <v>247</v>
      </c>
      <c r="G7115" s="404" t="s">
        <v>7486</v>
      </c>
      <c r="H7115" s="411">
        <v>306.72000000000003</v>
      </c>
      <c r="I7115" s="397">
        <f t="shared" ref="I7115:I7116" si="3488">-(H7115*0.15)</f>
        <v>-46.008000000000003</v>
      </c>
      <c r="J7115" s="258">
        <v>0</v>
      </c>
      <c r="K7115" s="90">
        <f>SUM(H7115:J7115)</f>
        <v>260.71200000000005</v>
      </c>
      <c r="L7115" s="131">
        <v>424</v>
      </c>
      <c r="N7115" s="199">
        <f t="shared" si="3479"/>
        <v>127.19999999999999</v>
      </c>
      <c r="O7115" s="411">
        <f t="shared" si="3483"/>
        <v>133.51200000000006</v>
      </c>
      <c r="P7115" s="132" t="s">
        <v>52</v>
      </c>
      <c r="Q7115" s="232"/>
      <c r="R7115" s="411"/>
      <c r="T7115" s="134" t="s">
        <v>145</v>
      </c>
      <c r="U7115" s="267" t="s">
        <v>15101</v>
      </c>
      <c r="AA7115" s="218"/>
    </row>
    <row r="7116" spans="1:27" ht="36" x14ac:dyDescent="0.25">
      <c r="A7116" s="419">
        <v>3005581</v>
      </c>
      <c r="B7116" s="421">
        <v>42688</v>
      </c>
      <c r="C7116" s="419" t="s">
        <v>237</v>
      </c>
      <c r="D7116" s="417" t="s">
        <v>15102</v>
      </c>
      <c r="E7116" s="120">
        <v>250</v>
      </c>
      <c r="F7116" s="119" t="s">
        <v>13235</v>
      </c>
      <c r="G7116" s="434" t="s">
        <v>7486</v>
      </c>
      <c r="H7116" s="427">
        <v>253.58</v>
      </c>
      <c r="I7116" s="452">
        <f t="shared" si="3488"/>
        <v>-38.036999999999999</v>
      </c>
      <c r="J7116" s="425">
        <v>0</v>
      </c>
      <c r="K7116" s="425">
        <f>SUM(H7116:J7116)</f>
        <v>215.54300000000001</v>
      </c>
      <c r="L7116" s="131">
        <v>198</v>
      </c>
      <c r="N7116" s="199">
        <f t="shared" si="3479"/>
        <v>49.5</v>
      </c>
      <c r="O7116" s="411">
        <f t="shared" si="3483"/>
        <v>166.04300000000001</v>
      </c>
      <c r="P7116" s="132" t="s">
        <v>643</v>
      </c>
      <c r="Q7116" s="232"/>
      <c r="R7116" s="411"/>
      <c r="T7116" s="439" t="s">
        <v>145</v>
      </c>
      <c r="U7116" s="446" t="s">
        <v>14969</v>
      </c>
      <c r="AA7116" s="218"/>
    </row>
    <row r="7117" spans="1:27" ht="36" x14ac:dyDescent="0.25">
      <c r="A7117" s="420"/>
      <c r="B7117" s="422"/>
      <c r="C7117" s="420"/>
      <c r="D7117" s="418"/>
      <c r="E7117" s="120">
        <v>250</v>
      </c>
      <c r="F7117" s="119" t="s">
        <v>15103</v>
      </c>
      <c r="G7117" s="436"/>
      <c r="H7117" s="428"/>
      <c r="I7117" s="453"/>
      <c r="J7117" s="426"/>
      <c r="K7117" s="426"/>
      <c r="L7117" s="131">
        <v>300</v>
      </c>
      <c r="N7117" s="199">
        <f t="shared" si="3479"/>
        <v>75</v>
      </c>
      <c r="O7117" s="411">
        <f t="shared" si="3483"/>
        <v>-75</v>
      </c>
      <c r="P7117" s="132" t="s">
        <v>643</v>
      </c>
      <c r="Q7117" s="232"/>
      <c r="R7117" s="411"/>
      <c r="T7117" s="441"/>
      <c r="U7117" s="447"/>
      <c r="AA7117" s="218"/>
    </row>
    <row r="7118" spans="1:27" ht="24" x14ac:dyDescent="0.25">
      <c r="A7118" s="405">
        <v>3005582</v>
      </c>
      <c r="B7118" s="406">
        <v>42688</v>
      </c>
      <c r="C7118" s="405" t="s">
        <v>237</v>
      </c>
      <c r="D7118" s="401" t="s">
        <v>15104</v>
      </c>
      <c r="E7118" s="120">
        <v>75</v>
      </c>
      <c r="F7118" s="133" t="s">
        <v>341</v>
      </c>
      <c r="G7118" s="404" t="s">
        <v>7486</v>
      </c>
      <c r="H7118" s="411">
        <v>98.56</v>
      </c>
      <c r="I7118" s="397">
        <f t="shared" ref="I7118" si="3489">-(H7118*0.15)</f>
        <v>-14.783999999999999</v>
      </c>
      <c r="J7118" s="258">
        <v>0</v>
      </c>
      <c r="K7118" s="90">
        <f t="shared" ref="K7118:K7123" si="3490">SUM(H7118:J7118)</f>
        <v>83.77600000000001</v>
      </c>
      <c r="L7118" s="131">
        <v>698</v>
      </c>
      <c r="N7118" s="199">
        <f t="shared" si="3479"/>
        <v>52.35</v>
      </c>
      <c r="O7118" s="411">
        <f t="shared" si="3483"/>
        <v>31.426000000000009</v>
      </c>
      <c r="P7118" s="132" t="s">
        <v>52</v>
      </c>
      <c r="Q7118" s="232"/>
      <c r="R7118" s="411"/>
      <c r="T7118" s="134" t="s">
        <v>145</v>
      </c>
      <c r="U7118" s="267" t="s">
        <v>15105</v>
      </c>
      <c r="AA7118" s="218"/>
    </row>
    <row r="7119" spans="1:27" ht="24" x14ac:dyDescent="0.25">
      <c r="A7119" s="405">
        <v>3005583</v>
      </c>
      <c r="B7119" s="406">
        <v>42688</v>
      </c>
      <c r="C7119" s="405" t="s">
        <v>237</v>
      </c>
      <c r="D7119" s="401" t="s">
        <v>15106</v>
      </c>
      <c r="E7119" s="120">
        <v>100</v>
      </c>
      <c r="F7119" s="133" t="s">
        <v>247</v>
      </c>
      <c r="G7119" s="404" t="s">
        <v>7486</v>
      </c>
      <c r="H7119" s="411">
        <v>110</v>
      </c>
      <c r="I7119" s="397">
        <f t="shared" ref="I7119" si="3491">-(H7119*0.15)</f>
        <v>-16.5</v>
      </c>
      <c r="J7119" s="258">
        <v>0</v>
      </c>
      <c r="K7119" s="90">
        <f t="shared" si="3490"/>
        <v>93.5</v>
      </c>
      <c r="L7119" s="131">
        <v>424</v>
      </c>
      <c r="N7119" s="199">
        <f t="shared" si="3479"/>
        <v>42.400000000000006</v>
      </c>
      <c r="O7119" s="411">
        <f t="shared" si="3483"/>
        <v>51.099999999999994</v>
      </c>
      <c r="P7119" s="132" t="s">
        <v>52</v>
      </c>
      <c r="Q7119" s="232"/>
      <c r="R7119" s="411"/>
      <c r="T7119" s="134" t="s">
        <v>145</v>
      </c>
      <c r="U7119" s="267" t="s">
        <v>15107</v>
      </c>
      <c r="AA7119" s="218"/>
    </row>
    <row r="7120" spans="1:27" ht="24" x14ac:dyDescent="0.25">
      <c r="A7120" s="405">
        <v>3005584</v>
      </c>
      <c r="B7120" s="406">
        <v>42688</v>
      </c>
      <c r="C7120" s="405" t="s">
        <v>237</v>
      </c>
      <c r="D7120" s="401" t="s">
        <v>15108</v>
      </c>
      <c r="E7120" s="120">
        <v>150</v>
      </c>
      <c r="F7120" s="133" t="s">
        <v>590</v>
      </c>
      <c r="G7120" s="404" t="s">
        <v>7486</v>
      </c>
      <c r="H7120" s="411">
        <v>155.93</v>
      </c>
      <c r="I7120" s="397">
        <f t="shared" ref="I7120" si="3492">-(H7120*0.15)</f>
        <v>-23.389500000000002</v>
      </c>
      <c r="J7120" s="258">
        <v>0</v>
      </c>
      <c r="K7120" s="90">
        <f t="shared" si="3490"/>
        <v>132.54050000000001</v>
      </c>
      <c r="L7120" s="131">
        <v>560</v>
      </c>
      <c r="N7120" s="199">
        <f t="shared" si="3479"/>
        <v>84</v>
      </c>
      <c r="O7120" s="411">
        <f t="shared" si="3483"/>
        <v>48.540500000000009</v>
      </c>
      <c r="P7120" s="132" t="s">
        <v>52</v>
      </c>
      <c r="Q7120" s="232"/>
      <c r="R7120" s="411"/>
      <c r="T7120" s="134" t="s">
        <v>145</v>
      </c>
      <c r="U7120" s="267" t="s">
        <v>15109</v>
      </c>
      <c r="AA7120" s="218"/>
    </row>
    <row r="7121" spans="1:27" ht="24" x14ac:dyDescent="0.25">
      <c r="A7121" s="405">
        <v>3005585</v>
      </c>
      <c r="B7121" s="406">
        <v>42688</v>
      </c>
      <c r="C7121" s="405" t="s">
        <v>237</v>
      </c>
      <c r="D7121" s="401" t="s">
        <v>15110</v>
      </c>
      <c r="E7121" s="120">
        <v>50</v>
      </c>
      <c r="F7121" s="133" t="s">
        <v>4407</v>
      </c>
      <c r="G7121" s="404" t="s">
        <v>7486</v>
      </c>
      <c r="H7121" s="411">
        <v>157</v>
      </c>
      <c r="I7121" s="397">
        <f t="shared" ref="I7121" si="3493">-(H7121*0.15)</f>
        <v>-23.55</v>
      </c>
      <c r="J7121" s="258">
        <v>0</v>
      </c>
      <c r="K7121" s="90">
        <f t="shared" si="3490"/>
        <v>133.44999999999999</v>
      </c>
      <c r="L7121" s="187">
        <v>2200</v>
      </c>
      <c r="N7121" s="199">
        <f t="shared" si="3479"/>
        <v>110</v>
      </c>
      <c r="O7121" s="411">
        <f t="shared" si="3483"/>
        <v>23.449999999999989</v>
      </c>
      <c r="P7121" s="132" t="s">
        <v>601</v>
      </c>
      <c r="Q7121" s="232"/>
      <c r="R7121" s="411"/>
      <c r="T7121" s="134" t="s">
        <v>145</v>
      </c>
      <c r="U7121" s="267" t="s">
        <v>15111</v>
      </c>
      <c r="AA7121" s="218"/>
    </row>
    <row r="7122" spans="1:27" ht="24" x14ac:dyDescent="0.25">
      <c r="A7122" s="405">
        <v>3005586</v>
      </c>
      <c r="B7122" s="406">
        <v>42688</v>
      </c>
      <c r="C7122" s="405" t="s">
        <v>237</v>
      </c>
      <c r="D7122" s="401" t="s">
        <v>15112</v>
      </c>
      <c r="E7122" s="120">
        <v>100</v>
      </c>
      <c r="F7122" s="133" t="s">
        <v>288</v>
      </c>
      <c r="G7122" s="404" t="s">
        <v>7486</v>
      </c>
      <c r="H7122" s="411">
        <v>157</v>
      </c>
      <c r="I7122" s="397">
        <f t="shared" ref="I7122:I7123" si="3494">-(H7122*0.15)</f>
        <v>-23.55</v>
      </c>
      <c r="J7122" s="258">
        <v>0</v>
      </c>
      <c r="K7122" s="90">
        <f t="shared" si="3490"/>
        <v>133.44999999999999</v>
      </c>
      <c r="L7122" s="131">
        <v>900</v>
      </c>
      <c r="N7122" s="199">
        <f t="shared" si="3479"/>
        <v>90</v>
      </c>
      <c r="O7122" s="411">
        <f t="shared" si="3483"/>
        <v>43.449999999999989</v>
      </c>
      <c r="P7122" s="132" t="s">
        <v>52</v>
      </c>
      <c r="Q7122" s="232"/>
      <c r="R7122" s="411"/>
      <c r="T7122" s="134" t="s">
        <v>145</v>
      </c>
      <c r="U7122" s="267" t="s">
        <v>15113</v>
      </c>
      <c r="AA7122" s="218"/>
    </row>
    <row r="7123" spans="1:27" x14ac:dyDescent="0.25">
      <c r="A7123" s="419">
        <v>3005587</v>
      </c>
      <c r="B7123" s="421">
        <v>42688</v>
      </c>
      <c r="C7123" s="419" t="s">
        <v>237</v>
      </c>
      <c r="D7123" s="417" t="s">
        <v>15114</v>
      </c>
      <c r="E7123" s="120">
        <v>100</v>
      </c>
      <c r="F7123" s="133" t="s">
        <v>10698</v>
      </c>
      <c r="G7123" s="434" t="s">
        <v>7486</v>
      </c>
      <c r="H7123" s="427">
        <v>159</v>
      </c>
      <c r="I7123" s="452">
        <f t="shared" si="3494"/>
        <v>-23.849999999999998</v>
      </c>
      <c r="J7123" s="425">
        <v>0</v>
      </c>
      <c r="K7123" s="425">
        <f t="shared" si="3490"/>
        <v>135.15</v>
      </c>
      <c r="L7123" s="187">
        <v>461</v>
      </c>
      <c r="N7123" s="199">
        <f t="shared" si="3479"/>
        <v>46.1</v>
      </c>
      <c r="O7123" s="411">
        <f t="shared" si="3483"/>
        <v>89.050000000000011</v>
      </c>
      <c r="P7123" s="132" t="s">
        <v>601</v>
      </c>
      <c r="Q7123" s="232"/>
      <c r="R7123" s="411"/>
      <c r="T7123" s="439" t="s">
        <v>145</v>
      </c>
      <c r="U7123" s="446" t="s">
        <v>15115</v>
      </c>
      <c r="AA7123" s="218"/>
    </row>
    <row r="7124" spans="1:27" x14ac:dyDescent="0.25">
      <c r="A7124" s="420"/>
      <c r="B7124" s="422"/>
      <c r="C7124" s="420"/>
      <c r="D7124" s="418"/>
      <c r="E7124" s="120">
        <v>100</v>
      </c>
      <c r="F7124" s="133" t="s">
        <v>4881</v>
      </c>
      <c r="G7124" s="436"/>
      <c r="H7124" s="428"/>
      <c r="I7124" s="453"/>
      <c r="J7124" s="426"/>
      <c r="K7124" s="426"/>
      <c r="L7124" s="187">
        <v>471</v>
      </c>
      <c r="N7124" s="199">
        <f t="shared" si="3479"/>
        <v>47.1</v>
      </c>
      <c r="O7124" s="411">
        <f t="shared" si="3483"/>
        <v>-47.1</v>
      </c>
      <c r="P7124" s="132" t="s">
        <v>601</v>
      </c>
      <c r="Q7124" s="232"/>
      <c r="R7124" s="411"/>
      <c r="T7124" s="441"/>
      <c r="U7124" s="447"/>
      <c r="AA7124" s="218"/>
    </row>
    <row r="7125" spans="1:27" x14ac:dyDescent="0.25">
      <c r="A7125" s="419">
        <v>3005588</v>
      </c>
      <c r="B7125" s="421">
        <v>42688</v>
      </c>
      <c r="C7125" s="419" t="s">
        <v>237</v>
      </c>
      <c r="D7125" s="417" t="s">
        <v>15116</v>
      </c>
      <c r="E7125" s="120">
        <v>75</v>
      </c>
      <c r="F7125" s="133" t="s">
        <v>10698</v>
      </c>
      <c r="G7125" s="434" t="s">
        <v>7486</v>
      </c>
      <c r="H7125" s="427">
        <v>132</v>
      </c>
      <c r="I7125" s="452">
        <f t="shared" ref="I7125" si="3495">-(H7125*0.15)</f>
        <v>-19.8</v>
      </c>
      <c r="J7125" s="425">
        <v>0</v>
      </c>
      <c r="K7125" s="425">
        <f>SUM(H7125:J7125)</f>
        <v>112.2</v>
      </c>
      <c r="L7125" s="187">
        <v>461</v>
      </c>
      <c r="N7125" s="199">
        <f t="shared" si="3479"/>
        <v>34.574999999999996</v>
      </c>
      <c r="O7125" s="411">
        <f t="shared" si="3483"/>
        <v>77.625</v>
      </c>
      <c r="P7125" s="132" t="s">
        <v>601</v>
      </c>
      <c r="Q7125" s="232"/>
      <c r="R7125" s="411"/>
      <c r="T7125" s="439" t="s">
        <v>145</v>
      </c>
      <c r="U7125" s="446" t="s">
        <v>15117</v>
      </c>
      <c r="AA7125" s="218"/>
    </row>
    <row r="7126" spans="1:27" x14ac:dyDescent="0.25">
      <c r="A7126" s="420"/>
      <c r="B7126" s="422"/>
      <c r="C7126" s="420"/>
      <c r="D7126" s="418"/>
      <c r="E7126" s="120">
        <v>75</v>
      </c>
      <c r="F7126" s="133" t="s">
        <v>4881</v>
      </c>
      <c r="G7126" s="436"/>
      <c r="H7126" s="428"/>
      <c r="I7126" s="453"/>
      <c r="J7126" s="426"/>
      <c r="K7126" s="426"/>
      <c r="L7126" s="187">
        <v>471</v>
      </c>
      <c r="N7126" s="199">
        <f t="shared" si="3479"/>
        <v>35.324999999999996</v>
      </c>
      <c r="O7126" s="411">
        <f t="shared" si="3483"/>
        <v>-35.324999999999996</v>
      </c>
      <c r="P7126" s="132" t="s">
        <v>601</v>
      </c>
      <c r="Q7126" s="232"/>
      <c r="R7126" s="411"/>
      <c r="T7126" s="441"/>
      <c r="U7126" s="447"/>
      <c r="AA7126" s="218"/>
    </row>
    <row r="7127" spans="1:27" ht="36" x14ac:dyDescent="0.25">
      <c r="A7127" s="405">
        <v>3005589</v>
      </c>
      <c r="B7127" s="406">
        <v>42688</v>
      </c>
      <c r="C7127" s="405" t="s">
        <v>237</v>
      </c>
      <c r="D7127" s="401" t="s">
        <v>15118</v>
      </c>
      <c r="E7127" s="120">
        <v>150</v>
      </c>
      <c r="F7127" s="119" t="s">
        <v>15119</v>
      </c>
      <c r="G7127" s="404" t="s">
        <v>7486</v>
      </c>
      <c r="H7127" s="411">
        <v>141.46</v>
      </c>
      <c r="I7127" s="397">
        <f t="shared" ref="I7127" si="3496">-(H7127*0.15)</f>
        <v>-21.219000000000001</v>
      </c>
      <c r="J7127" s="258">
        <v>0</v>
      </c>
      <c r="K7127" s="90">
        <f>SUM(H7127:J7127)</f>
        <v>120.24100000000001</v>
      </c>
      <c r="L7127" s="131">
        <v>510</v>
      </c>
      <c r="N7127" s="199">
        <f t="shared" si="3479"/>
        <v>76.5</v>
      </c>
      <c r="O7127" s="411">
        <f t="shared" si="3483"/>
        <v>43.741000000000014</v>
      </c>
      <c r="P7127" s="132" t="s">
        <v>643</v>
      </c>
      <c r="Q7127" s="232"/>
      <c r="R7127" s="411"/>
      <c r="T7127" s="134" t="s">
        <v>145</v>
      </c>
      <c r="U7127" s="267" t="s">
        <v>15120</v>
      </c>
      <c r="AA7127" s="218"/>
    </row>
    <row r="7128" spans="1:27" ht="24" x14ac:dyDescent="0.25">
      <c r="A7128" s="405">
        <v>3005590</v>
      </c>
      <c r="B7128" s="406">
        <v>42688</v>
      </c>
      <c r="C7128" s="405" t="s">
        <v>237</v>
      </c>
      <c r="D7128" s="401" t="s">
        <v>15121</v>
      </c>
      <c r="E7128" s="120">
        <v>30</v>
      </c>
      <c r="F7128" s="119" t="s">
        <v>15122</v>
      </c>
      <c r="G7128" s="404" t="s">
        <v>7486</v>
      </c>
      <c r="H7128" s="411">
        <v>141.46</v>
      </c>
      <c r="I7128" s="397">
        <f t="shared" ref="I7128" si="3497">-(H7128*0.15)</f>
        <v>-21.219000000000001</v>
      </c>
      <c r="J7128" s="258">
        <v>0</v>
      </c>
      <c r="K7128" s="90">
        <f>SUM(H7128:J7128)</f>
        <v>120.24100000000001</v>
      </c>
      <c r="L7128" s="131">
        <v>1950</v>
      </c>
      <c r="N7128" s="199">
        <f t="shared" si="3479"/>
        <v>58.5</v>
      </c>
      <c r="O7128" s="411">
        <f t="shared" si="3483"/>
        <v>61.741000000000014</v>
      </c>
      <c r="P7128" s="132" t="s">
        <v>643</v>
      </c>
      <c r="Q7128" s="232"/>
      <c r="R7128" s="411"/>
      <c r="T7128" s="134" t="s">
        <v>145</v>
      </c>
      <c r="U7128" s="267" t="s">
        <v>15123</v>
      </c>
      <c r="AA7128" s="218"/>
    </row>
    <row r="7129" spans="1:27" x14ac:dyDescent="0.25">
      <c r="A7129" s="405">
        <v>3005591</v>
      </c>
      <c r="B7129" s="406">
        <v>42688</v>
      </c>
      <c r="C7129" s="405" t="s">
        <v>42</v>
      </c>
      <c r="D7129" s="401" t="s">
        <v>15124</v>
      </c>
      <c r="E7129" s="120">
        <v>500</v>
      </c>
      <c r="F7129" s="133" t="s">
        <v>1293</v>
      </c>
      <c r="G7129" s="404" t="s">
        <v>7486</v>
      </c>
      <c r="H7129" s="411">
        <v>472.23</v>
      </c>
      <c r="I7129" s="89">
        <f>-(H7129*0.09)</f>
        <v>-42.500700000000002</v>
      </c>
      <c r="J7129" s="361">
        <f t="shared" ref="J7129" si="3498">-((H7129*0.019)+0.3)</f>
        <v>-9.2723700000000004</v>
      </c>
      <c r="K7129" s="396">
        <f t="shared" ref="K7129:K7130" si="3499">SUM(H7129:J7129)</f>
        <v>420.45693</v>
      </c>
      <c r="L7129" s="131">
        <v>504</v>
      </c>
      <c r="M7129" s="131">
        <v>123.25</v>
      </c>
      <c r="N7129" s="199">
        <f t="shared" si="3479"/>
        <v>375.25</v>
      </c>
      <c r="O7129" s="411">
        <f t="shared" si="3483"/>
        <v>45.20693</v>
      </c>
      <c r="P7129" s="132" t="s">
        <v>52</v>
      </c>
      <c r="Q7129" s="232"/>
      <c r="R7129" s="411"/>
      <c r="T7129" s="134" t="s">
        <v>12646</v>
      </c>
      <c r="U7129" s="267" t="s">
        <v>15125</v>
      </c>
      <c r="V7129" s="133" t="s">
        <v>55</v>
      </c>
      <c r="AA7129" s="218"/>
    </row>
    <row r="7130" spans="1:27" ht="24" customHeight="1" x14ac:dyDescent="0.25">
      <c r="A7130" s="419">
        <v>3005592</v>
      </c>
      <c r="B7130" s="421">
        <v>42688</v>
      </c>
      <c r="C7130" s="419" t="s">
        <v>63</v>
      </c>
      <c r="D7130" s="429" t="s">
        <v>3220</v>
      </c>
      <c r="E7130" s="120">
        <v>1000</v>
      </c>
      <c r="F7130" s="133" t="s">
        <v>15126</v>
      </c>
      <c r="G7130" s="434" t="s">
        <v>7486</v>
      </c>
      <c r="H7130" s="427">
        <v>2780</v>
      </c>
      <c r="I7130" s="427">
        <v>0</v>
      </c>
      <c r="J7130" s="425">
        <f>-((H7130*0.022)+0.3)</f>
        <v>-61.459999999999994</v>
      </c>
      <c r="K7130" s="425">
        <f t="shared" si="3499"/>
        <v>2718.54</v>
      </c>
      <c r="L7130" s="187">
        <v>963</v>
      </c>
      <c r="M7130" s="187">
        <v>151.71</v>
      </c>
      <c r="N7130" s="199">
        <f t="shared" si="3479"/>
        <v>1114.71</v>
      </c>
      <c r="O7130" s="411">
        <f t="shared" si="3483"/>
        <v>1603.83</v>
      </c>
      <c r="P7130" s="132" t="s">
        <v>183</v>
      </c>
      <c r="Q7130" s="232"/>
      <c r="R7130" s="411"/>
      <c r="T7130" s="470" t="s">
        <v>473</v>
      </c>
      <c r="U7130" s="481" t="s">
        <v>15127</v>
      </c>
      <c r="W7130" s="153" t="s">
        <v>5164</v>
      </c>
      <c r="AA7130" s="473">
        <v>20</v>
      </c>
    </row>
    <row r="7131" spans="1:27" x14ac:dyDescent="0.25">
      <c r="A7131" s="432"/>
      <c r="B7131" s="433"/>
      <c r="C7131" s="432"/>
      <c r="D7131" s="430"/>
      <c r="E7131" s="120">
        <v>2000</v>
      </c>
      <c r="F7131" s="133" t="s">
        <v>12081</v>
      </c>
      <c r="G7131" s="435"/>
      <c r="H7131" s="438"/>
      <c r="I7131" s="438"/>
      <c r="J7131" s="437"/>
      <c r="K7131" s="437"/>
      <c r="L7131" s="187">
        <v>310</v>
      </c>
      <c r="M7131" s="187"/>
      <c r="N7131" s="199">
        <f t="shared" si="3479"/>
        <v>620</v>
      </c>
      <c r="O7131" s="411">
        <f t="shared" si="3483"/>
        <v>-620</v>
      </c>
      <c r="P7131" s="132" t="s">
        <v>183</v>
      </c>
      <c r="Q7131" s="232"/>
      <c r="R7131" s="411"/>
      <c r="T7131" s="471"/>
      <c r="U7131" s="482"/>
      <c r="AA7131" s="478"/>
    </row>
    <row r="7132" spans="1:27" x14ac:dyDescent="0.25">
      <c r="A7132" s="420"/>
      <c r="B7132" s="422"/>
      <c r="C7132" s="420"/>
      <c r="D7132" s="431"/>
      <c r="E7132" s="120">
        <v>1000</v>
      </c>
      <c r="F7132" s="133" t="s">
        <v>15128</v>
      </c>
      <c r="G7132" s="436"/>
      <c r="H7132" s="428"/>
      <c r="I7132" s="428"/>
      <c r="J7132" s="426"/>
      <c r="K7132" s="426"/>
      <c r="L7132" s="187">
        <v>500</v>
      </c>
      <c r="M7132" s="187"/>
      <c r="N7132" s="199">
        <f t="shared" si="3479"/>
        <v>500</v>
      </c>
      <c r="O7132" s="411">
        <f t="shared" si="3483"/>
        <v>-500</v>
      </c>
      <c r="P7132" s="132" t="s">
        <v>183</v>
      </c>
      <c r="Q7132" s="232"/>
      <c r="R7132" s="411"/>
      <c r="T7132" s="472"/>
      <c r="U7132" s="483"/>
      <c r="AA7132" s="474"/>
    </row>
    <row r="7133" spans="1:27" ht="24" x14ac:dyDescent="0.25">
      <c r="A7133" s="405">
        <v>3005593</v>
      </c>
      <c r="B7133" s="406">
        <v>42688</v>
      </c>
      <c r="C7133" s="405" t="s">
        <v>327</v>
      </c>
      <c r="D7133" s="401" t="s">
        <v>15129</v>
      </c>
      <c r="E7133" s="120">
        <v>250</v>
      </c>
      <c r="F7133" s="133" t="s">
        <v>422</v>
      </c>
      <c r="G7133" s="404" t="s">
        <v>7486</v>
      </c>
      <c r="H7133" s="411">
        <v>376.94</v>
      </c>
      <c r="I7133" s="411">
        <v>0</v>
      </c>
      <c r="J7133" s="361">
        <f>-((H7133*0.022)+0.3)</f>
        <v>-8.5926799999999997</v>
      </c>
      <c r="K7133" s="396">
        <f t="shared" ref="K7133" si="3500">SUM(H7133:J7133)</f>
        <v>368.34732000000002</v>
      </c>
      <c r="L7133" s="131">
        <v>640</v>
      </c>
      <c r="N7133" s="199">
        <f t="shared" si="3479"/>
        <v>160</v>
      </c>
      <c r="O7133" s="411">
        <f t="shared" si="3483"/>
        <v>208.34732000000002</v>
      </c>
      <c r="P7133" s="132" t="s">
        <v>52</v>
      </c>
      <c r="Q7133" s="232"/>
      <c r="R7133" s="411"/>
      <c r="T7133" s="134" t="s">
        <v>145</v>
      </c>
      <c r="U7133" s="267" t="s">
        <v>15130</v>
      </c>
      <c r="W7133" s="154" t="s">
        <v>15131</v>
      </c>
      <c r="AA7133" s="218"/>
    </row>
    <row r="7134" spans="1:27" x14ac:dyDescent="0.25">
      <c r="A7134" s="405">
        <v>3005594</v>
      </c>
      <c r="B7134" s="406">
        <v>42688</v>
      </c>
      <c r="C7134" s="405" t="s">
        <v>63</v>
      </c>
      <c r="D7134" s="401" t="s">
        <v>15132</v>
      </c>
      <c r="E7134" s="120">
        <v>1200</v>
      </c>
      <c r="F7134" s="133" t="s">
        <v>874</v>
      </c>
      <c r="G7134" s="404" t="s">
        <v>7486</v>
      </c>
      <c r="H7134" s="411">
        <v>3670.8</v>
      </c>
      <c r="I7134" s="411">
        <v>0</v>
      </c>
      <c r="J7134" s="361">
        <f>-((H7134*0.022)+0.3)</f>
        <v>-81.057599999999994</v>
      </c>
      <c r="K7134" s="396">
        <f t="shared" ref="K7134:K7135" si="3501">SUM(H7134:J7134)</f>
        <v>3589.7424000000001</v>
      </c>
      <c r="L7134" s="131">
        <v>1795</v>
      </c>
      <c r="M7134" s="187">
        <v>364.42</v>
      </c>
      <c r="N7134" s="199">
        <f t="shared" si="3479"/>
        <v>2518.42</v>
      </c>
      <c r="O7134" s="411">
        <f t="shared" si="3483"/>
        <v>1071.3224</v>
      </c>
      <c r="P7134" s="132" t="s">
        <v>52</v>
      </c>
      <c r="Q7134" s="232"/>
      <c r="R7134" s="411"/>
      <c r="T7134" s="134" t="s">
        <v>1467</v>
      </c>
      <c r="U7134" s="267" t="s">
        <v>15133</v>
      </c>
      <c r="V7134" s="133" t="s">
        <v>55</v>
      </c>
      <c r="W7134" s="153" t="s">
        <v>15134</v>
      </c>
      <c r="AA7134" s="218">
        <v>10</v>
      </c>
    </row>
    <row r="7135" spans="1:27" ht="24" x14ac:dyDescent="0.25">
      <c r="A7135" s="405">
        <v>3005595</v>
      </c>
      <c r="B7135" s="406">
        <v>42688</v>
      </c>
      <c r="C7135" s="405" t="s">
        <v>555</v>
      </c>
      <c r="D7135" s="401" t="s">
        <v>15135</v>
      </c>
      <c r="E7135" s="120">
        <v>1260</v>
      </c>
      <c r="F7135" s="133" t="s">
        <v>15136</v>
      </c>
      <c r="G7135" s="404" t="s">
        <v>7486</v>
      </c>
      <c r="H7135" s="411">
        <v>3528</v>
      </c>
      <c r="I7135" s="411">
        <v>0</v>
      </c>
      <c r="J7135" s="411">
        <v>0</v>
      </c>
      <c r="K7135" s="396">
        <f t="shared" si="3501"/>
        <v>3528</v>
      </c>
      <c r="L7135" s="187">
        <v>840</v>
      </c>
      <c r="M7135" s="187">
        <v>0</v>
      </c>
      <c r="N7135" s="199">
        <f t="shared" si="3479"/>
        <v>1058.4000000000001</v>
      </c>
      <c r="O7135" s="411">
        <f t="shared" si="3483"/>
        <v>2469.6</v>
      </c>
      <c r="P7135" s="132" t="s">
        <v>183</v>
      </c>
      <c r="Q7135" s="232"/>
      <c r="R7135" s="411"/>
      <c r="T7135" s="134" t="s">
        <v>8218</v>
      </c>
      <c r="U7135" s="266" t="s">
        <v>8218</v>
      </c>
      <c r="V7135" s="133">
        <v>3005995</v>
      </c>
      <c r="W7135" s="153" t="s">
        <v>15137</v>
      </c>
      <c r="AA7135" s="218">
        <v>10</v>
      </c>
    </row>
    <row r="7136" spans="1:27" ht="24" x14ac:dyDescent="0.25">
      <c r="A7136" s="405">
        <v>3005596</v>
      </c>
      <c r="B7136" s="406">
        <v>42688</v>
      </c>
      <c r="C7136" s="405" t="s">
        <v>327</v>
      </c>
      <c r="D7136" s="401" t="s">
        <v>849</v>
      </c>
      <c r="E7136" s="120">
        <v>1000</v>
      </c>
      <c r="F7136" s="133" t="s">
        <v>850</v>
      </c>
      <c r="G7136" s="404" t="s">
        <v>45</v>
      </c>
      <c r="H7136" s="411">
        <v>1100</v>
      </c>
      <c r="I7136" s="411">
        <v>0</v>
      </c>
      <c r="J7136" s="361">
        <f>-((H7136*0.022)+0.3)</f>
        <v>-24.5</v>
      </c>
      <c r="K7136" s="396">
        <f t="shared" ref="K7136" si="3502">SUM(H7136:J7136)</f>
        <v>1075.5</v>
      </c>
      <c r="L7136" s="187">
        <v>593.9</v>
      </c>
      <c r="M7136" s="187">
        <v>151.72</v>
      </c>
      <c r="N7136" s="199">
        <f t="shared" si="3479"/>
        <v>745.62</v>
      </c>
      <c r="O7136" s="411">
        <f t="shared" si="3483"/>
        <v>329.88</v>
      </c>
      <c r="P7136" s="132" t="s">
        <v>46</v>
      </c>
      <c r="Q7136" s="232"/>
      <c r="R7136" s="411"/>
      <c r="T7136" s="134" t="s">
        <v>260</v>
      </c>
      <c r="U7136" s="267" t="s">
        <v>15138</v>
      </c>
      <c r="W7136" s="153" t="s">
        <v>853</v>
      </c>
      <c r="AA7136" s="218">
        <v>10</v>
      </c>
    </row>
    <row r="7137" spans="1:27" x14ac:dyDescent="0.25">
      <c r="A7137" s="419">
        <v>3005597</v>
      </c>
      <c r="B7137" s="421">
        <v>42688</v>
      </c>
      <c r="C7137" s="419" t="s">
        <v>63</v>
      </c>
      <c r="D7137" s="417" t="s">
        <v>3220</v>
      </c>
      <c r="E7137" s="120">
        <v>600</v>
      </c>
      <c r="F7137" s="133" t="s">
        <v>3946</v>
      </c>
      <c r="G7137" s="434" t="s">
        <v>45</v>
      </c>
      <c r="H7137" s="427">
        <v>1627</v>
      </c>
      <c r="I7137" s="427">
        <v>0</v>
      </c>
      <c r="J7137" s="425">
        <f>-((H7137*0.022)+0.3)</f>
        <v>-36.093999999999994</v>
      </c>
      <c r="K7137" s="425">
        <f t="shared" ref="K7137" si="3503">SUM(H7137:J7137)</f>
        <v>1590.9059999999999</v>
      </c>
      <c r="L7137" s="187">
        <v>1100</v>
      </c>
      <c r="M7137" s="131">
        <v>128.07</v>
      </c>
      <c r="N7137" s="199">
        <f t="shared" si="3479"/>
        <v>788.06999999999994</v>
      </c>
      <c r="O7137" s="411">
        <f t="shared" si="3483"/>
        <v>802.83600000000001</v>
      </c>
      <c r="P7137" s="132" t="s">
        <v>2895</v>
      </c>
      <c r="Q7137" s="232"/>
      <c r="R7137" s="411"/>
      <c r="T7137" s="134" t="s">
        <v>97</v>
      </c>
      <c r="U7137" s="266" t="s">
        <v>15139</v>
      </c>
      <c r="V7137" s="133" t="s">
        <v>55</v>
      </c>
      <c r="W7137" s="153" t="s">
        <v>5164</v>
      </c>
      <c r="AA7137" s="218"/>
    </row>
    <row r="7138" spans="1:27" ht="24" x14ac:dyDescent="0.25">
      <c r="A7138" s="420"/>
      <c r="B7138" s="422"/>
      <c r="C7138" s="420"/>
      <c r="D7138" s="418"/>
      <c r="E7138" s="120">
        <v>200</v>
      </c>
      <c r="F7138" s="119" t="s">
        <v>15140</v>
      </c>
      <c r="G7138" s="436"/>
      <c r="H7138" s="428"/>
      <c r="I7138" s="428"/>
      <c r="J7138" s="426"/>
      <c r="K7138" s="426"/>
      <c r="L7138" s="187">
        <v>2350</v>
      </c>
      <c r="M7138" s="187">
        <v>47</v>
      </c>
      <c r="N7138" s="199">
        <f t="shared" si="3479"/>
        <v>517</v>
      </c>
      <c r="O7138" s="411">
        <f t="shared" si="3483"/>
        <v>-517</v>
      </c>
      <c r="P7138" s="179" t="s">
        <v>15141</v>
      </c>
      <c r="Q7138" s="232"/>
      <c r="R7138" s="411"/>
      <c r="T7138" s="134" t="s">
        <v>204</v>
      </c>
      <c r="U7138" s="267" t="s">
        <v>15142</v>
      </c>
      <c r="V7138" s="133" t="s">
        <v>15143</v>
      </c>
      <c r="AA7138" s="218"/>
    </row>
    <row r="7139" spans="1:27" ht="24" x14ac:dyDescent="0.25">
      <c r="A7139" s="405">
        <v>3005598</v>
      </c>
      <c r="B7139" s="406">
        <v>42688</v>
      </c>
      <c r="C7139" s="405" t="s">
        <v>63</v>
      </c>
      <c r="D7139" s="401" t="s">
        <v>7538</v>
      </c>
      <c r="E7139" s="120">
        <v>3000</v>
      </c>
      <c r="F7139" s="133" t="s">
        <v>15144</v>
      </c>
      <c r="G7139" s="404" t="s">
        <v>7486</v>
      </c>
      <c r="H7139" s="411">
        <v>4500</v>
      </c>
      <c r="I7139" s="411">
        <v>0</v>
      </c>
      <c r="J7139" s="361">
        <f>-((H7139*0.022)+0.3)</f>
        <v>-99.3</v>
      </c>
      <c r="K7139" s="396">
        <f t="shared" ref="K7139:K7140" si="3504">SUM(H7139:J7139)</f>
        <v>4400.7</v>
      </c>
      <c r="L7139" s="187">
        <v>850</v>
      </c>
      <c r="M7139" s="177">
        <v>366.11</v>
      </c>
      <c r="N7139" s="199">
        <f t="shared" si="3479"/>
        <v>2916.11</v>
      </c>
      <c r="O7139" s="411">
        <f t="shared" si="3483"/>
        <v>1484.5899999999997</v>
      </c>
      <c r="P7139" s="132" t="s">
        <v>15145</v>
      </c>
      <c r="Q7139" s="232"/>
      <c r="R7139" s="411"/>
      <c r="T7139" s="134" t="s">
        <v>11311</v>
      </c>
      <c r="U7139" s="267" t="s">
        <v>15146</v>
      </c>
      <c r="V7139" s="133" t="s">
        <v>55</v>
      </c>
      <c r="W7139" s="153" t="s">
        <v>7540</v>
      </c>
      <c r="AA7139" s="218">
        <v>10</v>
      </c>
    </row>
    <row r="7140" spans="1:27" ht="24" x14ac:dyDescent="0.25">
      <c r="A7140" s="405">
        <v>3005599</v>
      </c>
      <c r="B7140" s="406">
        <v>42689</v>
      </c>
      <c r="C7140" s="405" t="s">
        <v>42</v>
      </c>
      <c r="D7140" s="401" t="s">
        <v>6448</v>
      </c>
      <c r="E7140" s="120">
        <v>200</v>
      </c>
      <c r="F7140" s="133" t="s">
        <v>451</v>
      </c>
      <c r="G7140" s="404" t="s">
        <v>7486</v>
      </c>
      <c r="H7140" s="411">
        <v>140.30000000000001</v>
      </c>
      <c r="I7140" s="89">
        <f t="shared" ref="I7140:I7151" si="3505">-(H7140*0.09)</f>
        <v>-12.627000000000001</v>
      </c>
      <c r="J7140" s="361">
        <f t="shared" ref="J7140" si="3506">-((H7140*0.019)+0.3)</f>
        <v>-2.9657</v>
      </c>
      <c r="K7140" s="396">
        <f t="shared" si="3504"/>
        <v>124.70730000000002</v>
      </c>
      <c r="L7140" s="131">
        <v>300</v>
      </c>
      <c r="N7140" s="199">
        <f t="shared" si="3479"/>
        <v>60</v>
      </c>
      <c r="O7140" s="411">
        <f t="shared" si="3483"/>
        <v>64.707300000000018</v>
      </c>
      <c r="P7140" s="132" t="s">
        <v>52</v>
      </c>
      <c r="Q7140" s="232"/>
      <c r="R7140" s="411"/>
      <c r="T7140" s="134" t="s">
        <v>145</v>
      </c>
      <c r="U7140" s="267" t="s">
        <v>15147</v>
      </c>
      <c r="AA7140" s="218"/>
    </row>
    <row r="7141" spans="1:27" ht="24" x14ac:dyDescent="0.25">
      <c r="A7141" s="405">
        <v>3005600</v>
      </c>
      <c r="B7141" s="406">
        <v>42689</v>
      </c>
      <c r="C7141" s="405" t="s">
        <v>42</v>
      </c>
      <c r="D7141" s="401" t="s">
        <v>15148</v>
      </c>
      <c r="E7141" s="120">
        <v>230</v>
      </c>
      <c r="F7141" s="133" t="s">
        <v>165</v>
      </c>
      <c r="G7141" s="404" t="s">
        <v>7486</v>
      </c>
      <c r="H7141" s="411">
        <v>248.9</v>
      </c>
      <c r="I7141" s="89">
        <f t="shared" si="3505"/>
        <v>-22.401</v>
      </c>
      <c r="J7141" s="361">
        <f t="shared" ref="J7141" si="3507">-((H7141*0.019)+0.3)</f>
        <v>-5.0290999999999997</v>
      </c>
      <c r="K7141" s="396">
        <f t="shared" ref="K7141" si="3508">SUM(H7141:J7141)</f>
        <v>221.4699</v>
      </c>
      <c r="L7141" s="131">
        <v>375</v>
      </c>
      <c r="N7141" s="199">
        <f t="shared" si="3479"/>
        <v>86.25</v>
      </c>
      <c r="O7141" s="411">
        <f t="shared" si="3483"/>
        <v>135.2199</v>
      </c>
      <c r="P7141" s="132" t="s">
        <v>86</v>
      </c>
      <c r="Q7141" s="232"/>
      <c r="R7141" s="411"/>
      <c r="T7141" s="134" t="s">
        <v>145</v>
      </c>
      <c r="U7141" s="267" t="s">
        <v>15149</v>
      </c>
      <c r="AA7141" s="218"/>
    </row>
    <row r="7142" spans="1:27" ht="24" x14ac:dyDescent="0.25">
      <c r="A7142" s="405">
        <v>3005601</v>
      </c>
      <c r="B7142" s="406">
        <v>42689</v>
      </c>
      <c r="C7142" s="405" t="s">
        <v>42</v>
      </c>
      <c r="D7142" s="401" t="s">
        <v>15150</v>
      </c>
      <c r="E7142" s="120">
        <v>50</v>
      </c>
      <c r="F7142" s="133" t="s">
        <v>288</v>
      </c>
      <c r="G7142" s="404" t="s">
        <v>7486</v>
      </c>
      <c r="H7142" s="411">
        <v>99</v>
      </c>
      <c r="I7142" s="89">
        <f t="shared" si="3505"/>
        <v>-8.91</v>
      </c>
      <c r="J7142" s="361">
        <f t="shared" ref="J7142" si="3509">-((H7142*0.019)+0.3)</f>
        <v>-2.181</v>
      </c>
      <c r="K7142" s="396">
        <f t="shared" ref="K7142" si="3510">SUM(H7142:J7142)</f>
        <v>87.909000000000006</v>
      </c>
      <c r="L7142" s="131">
        <v>900</v>
      </c>
      <c r="N7142" s="199">
        <f t="shared" si="3479"/>
        <v>45</v>
      </c>
      <c r="O7142" s="411">
        <f t="shared" si="3483"/>
        <v>42.909000000000006</v>
      </c>
      <c r="P7142" s="132" t="s">
        <v>52</v>
      </c>
      <c r="Q7142" s="232"/>
      <c r="R7142" s="411"/>
      <c r="T7142" s="134" t="s">
        <v>145</v>
      </c>
      <c r="U7142" s="267" t="s">
        <v>15151</v>
      </c>
      <c r="AA7142" s="218"/>
    </row>
    <row r="7143" spans="1:27" ht="24" x14ac:dyDescent="0.25">
      <c r="A7143" s="405">
        <v>3005602</v>
      </c>
      <c r="B7143" s="406">
        <v>42689</v>
      </c>
      <c r="C7143" s="405" t="s">
        <v>42</v>
      </c>
      <c r="D7143" s="401" t="s">
        <v>15152</v>
      </c>
      <c r="E7143" s="120">
        <v>50</v>
      </c>
      <c r="F7143" s="133" t="s">
        <v>925</v>
      </c>
      <c r="G7143" s="404" t="s">
        <v>7486</v>
      </c>
      <c r="H7143" s="411">
        <v>91.08</v>
      </c>
      <c r="I7143" s="89">
        <f t="shared" si="3505"/>
        <v>-8.1971999999999987</v>
      </c>
      <c r="J7143" s="361">
        <f t="shared" ref="J7143" si="3511">-((H7143*0.019)+0.3)</f>
        <v>-2.0305199999999997</v>
      </c>
      <c r="K7143" s="396">
        <f t="shared" ref="K7143" si="3512">SUM(H7143:J7143)</f>
        <v>80.852280000000007</v>
      </c>
      <c r="L7143" s="187">
        <v>1246</v>
      </c>
      <c r="N7143" s="199">
        <f t="shared" si="3479"/>
        <v>62.300000000000004</v>
      </c>
      <c r="O7143" s="411">
        <f t="shared" si="3483"/>
        <v>18.552280000000003</v>
      </c>
      <c r="P7143" s="132" t="s">
        <v>601</v>
      </c>
      <c r="Q7143" s="232"/>
      <c r="R7143" s="411"/>
      <c r="T7143" s="134" t="s">
        <v>145</v>
      </c>
      <c r="U7143" s="267" t="s">
        <v>15153</v>
      </c>
      <c r="AA7143" s="218"/>
    </row>
    <row r="7144" spans="1:27" ht="24" x14ac:dyDescent="0.25">
      <c r="A7144" s="405">
        <v>3005603</v>
      </c>
      <c r="B7144" s="406">
        <v>42689</v>
      </c>
      <c r="C7144" s="405" t="s">
        <v>42</v>
      </c>
      <c r="D7144" s="401" t="s">
        <v>15154</v>
      </c>
      <c r="E7144" s="120">
        <v>100</v>
      </c>
      <c r="F7144" s="133" t="s">
        <v>161</v>
      </c>
      <c r="G7144" s="404" t="s">
        <v>7486</v>
      </c>
      <c r="H7144" s="411">
        <v>236</v>
      </c>
      <c r="I7144" s="89">
        <f t="shared" si="3505"/>
        <v>-21.24</v>
      </c>
      <c r="J7144" s="361">
        <f t="shared" ref="J7144" si="3513">-((H7144*0.019)+0.3)</f>
        <v>-4.7839999999999998</v>
      </c>
      <c r="K7144" s="396">
        <f t="shared" ref="K7144" si="3514">SUM(H7144:J7144)</f>
        <v>209.976</v>
      </c>
      <c r="L7144" s="131">
        <v>1322</v>
      </c>
      <c r="N7144" s="199">
        <f t="shared" si="3479"/>
        <v>132.20000000000002</v>
      </c>
      <c r="O7144" s="411">
        <f t="shared" si="3483"/>
        <v>77.775999999999982</v>
      </c>
      <c r="P7144" s="132" t="s">
        <v>52</v>
      </c>
      <c r="Q7144" s="232"/>
      <c r="R7144" s="411"/>
      <c r="T7144" s="134" t="s">
        <v>145</v>
      </c>
      <c r="U7144" s="267" t="s">
        <v>15155</v>
      </c>
      <c r="AA7144" s="218"/>
    </row>
    <row r="7145" spans="1:27" ht="24" x14ac:dyDescent="0.25">
      <c r="A7145" s="405">
        <v>3005604</v>
      </c>
      <c r="B7145" s="406">
        <v>42689</v>
      </c>
      <c r="C7145" s="405" t="s">
        <v>42</v>
      </c>
      <c r="D7145" s="401" t="s">
        <v>15156</v>
      </c>
      <c r="E7145" s="120">
        <v>250</v>
      </c>
      <c r="F7145" s="133" t="s">
        <v>173</v>
      </c>
      <c r="G7145" s="404" t="s">
        <v>7486</v>
      </c>
      <c r="H7145" s="411">
        <v>225</v>
      </c>
      <c r="I7145" s="89">
        <f t="shared" si="3505"/>
        <v>-20.25</v>
      </c>
      <c r="J7145" s="361">
        <f t="shared" ref="J7145" si="3515">-((H7145*0.019)+0.3)</f>
        <v>-4.5749999999999993</v>
      </c>
      <c r="K7145" s="396">
        <f t="shared" ref="K7145" si="3516">SUM(H7145:J7145)</f>
        <v>200.17500000000001</v>
      </c>
      <c r="L7145" s="131">
        <v>409</v>
      </c>
      <c r="N7145" s="199">
        <f t="shared" si="3479"/>
        <v>102.25</v>
      </c>
      <c r="O7145" s="411">
        <f t="shared" si="3483"/>
        <v>97.925000000000011</v>
      </c>
      <c r="P7145" s="132" t="s">
        <v>52</v>
      </c>
      <c r="Q7145" s="232"/>
      <c r="R7145" s="411"/>
      <c r="T7145" s="134" t="s">
        <v>145</v>
      </c>
      <c r="U7145" s="267" t="s">
        <v>15157</v>
      </c>
      <c r="AA7145" s="218"/>
    </row>
    <row r="7146" spans="1:27" ht="24" x14ac:dyDescent="0.25">
      <c r="A7146" s="405">
        <v>3005605</v>
      </c>
      <c r="B7146" s="406">
        <v>42689</v>
      </c>
      <c r="C7146" s="405" t="s">
        <v>42</v>
      </c>
      <c r="D7146" s="401" t="s">
        <v>13057</v>
      </c>
      <c r="E7146" s="120">
        <v>100</v>
      </c>
      <c r="F7146" s="133" t="s">
        <v>626</v>
      </c>
      <c r="G7146" s="404" t="s">
        <v>7486</v>
      </c>
      <c r="H7146" s="411">
        <v>340.86</v>
      </c>
      <c r="I7146" s="89">
        <f t="shared" si="3505"/>
        <v>-30.677399999999999</v>
      </c>
      <c r="J7146" s="361">
        <f t="shared" ref="J7146" si="3517">-((H7146*0.019)+0.3)</f>
        <v>-6.7763400000000003</v>
      </c>
      <c r="K7146" s="396">
        <f t="shared" ref="K7146" si="3518">SUM(H7146:J7146)</f>
        <v>303.40626000000003</v>
      </c>
      <c r="L7146" s="131">
        <v>1800</v>
      </c>
      <c r="N7146" s="199">
        <f t="shared" si="3479"/>
        <v>180</v>
      </c>
      <c r="O7146" s="411">
        <f t="shared" si="3483"/>
        <v>123.40626000000003</v>
      </c>
      <c r="P7146" s="132" t="s">
        <v>52</v>
      </c>
      <c r="Q7146" s="232"/>
      <c r="R7146" s="411"/>
      <c r="T7146" s="134" t="s">
        <v>145</v>
      </c>
      <c r="U7146" s="267" t="s">
        <v>15158</v>
      </c>
      <c r="AA7146" s="218"/>
    </row>
    <row r="7147" spans="1:27" ht="24" x14ac:dyDescent="0.25">
      <c r="A7147" s="405">
        <v>3005606</v>
      </c>
      <c r="B7147" s="406">
        <v>42689</v>
      </c>
      <c r="C7147" s="405" t="s">
        <v>42</v>
      </c>
      <c r="D7147" s="401" t="s">
        <v>15159</v>
      </c>
      <c r="E7147" s="120">
        <v>500</v>
      </c>
      <c r="F7147" s="133" t="s">
        <v>877</v>
      </c>
      <c r="G7147" s="404" t="s">
        <v>7486</v>
      </c>
      <c r="H7147" s="411">
        <v>330.39</v>
      </c>
      <c r="I7147" s="89">
        <f t="shared" si="3505"/>
        <v>-29.735099999999999</v>
      </c>
      <c r="J7147" s="361">
        <f t="shared" ref="J7147" si="3519">-((H7147*0.019)+0.3)</f>
        <v>-6.5774099999999995</v>
      </c>
      <c r="K7147" s="396">
        <f t="shared" ref="K7147" si="3520">SUM(H7147:J7147)</f>
        <v>294.07749000000001</v>
      </c>
      <c r="L7147" s="131">
        <v>174</v>
      </c>
      <c r="N7147" s="199">
        <f t="shared" si="3479"/>
        <v>87</v>
      </c>
      <c r="O7147" s="411">
        <f t="shared" si="3483"/>
        <v>207.07749000000001</v>
      </c>
      <c r="P7147" s="132" t="s">
        <v>86</v>
      </c>
      <c r="Q7147" s="232"/>
      <c r="R7147" s="411"/>
      <c r="T7147" s="134" t="s">
        <v>145</v>
      </c>
      <c r="U7147" s="267" t="s">
        <v>15160</v>
      </c>
      <c r="AA7147" s="218"/>
    </row>
    <row r="7148" spans="1:27" ht="24" x14ac:dyDescent="0.25">
      <c r="A7148" s="405">
        <v>3005607</v>
      </c>
      <c r="B7148" s="406">
        <v>42689</v>
      </c>
      <c r="C7148" s="405" t="s">
        <v>42</v>
      </c>
      <c r="D7148" s="401" t="s">
        <v>15161</v>
      </c>
      <c r="E7148" s="120">
        <v>110</v>
      </c>
      <c r="F7148" s="133" t="s">
        <v>247</v>
      </c>
      <c r="G7148" s="404" t="s">
        <v>7486</v>
      </c>
      <c r="H7148" s="411">
        <v>130.80000000000001</v>
      </c>
      <c r="I7148" s="89">
        <f t="shared" si="3505"/>
        <v>-11.772</v>
      </c>
      <c r="J7148" s="361">
        <f t="shared" ref="J7148" si="3521">-((H7148*0.019)+0.3)</f>
        <v>-2.7852000000000001</v>
      </c>
      <c r="K7148" s="396">
        <f t="shared" ref="K7148" si="3522">SUM(H7148:J7148)</f>
        <v>116.2428</v>
      </c>
      <c r="L7148" s="131">
        <v>424</v>
      </c>
      <c r="N7148" s="199">
        <f t="shared" si="3479"/>
        <v>46.64</v>
      </c>
      <c r="O7148" s="411">
        <f t="shared" si="3483"/>
        <v>69.602800000000002</v>
      </c>
      <c r="P7148" s="132" t="s">
        <v>52</v>
      </c>
      <c r="Q7148" s="232"/>
      <c r="R7148" s="411"/>
      <c r="T7148" s="134" t="s">
        <v>145</v>
      </c>
      <c r="U7148" s="267" t="s">
        <v>15162</v>
      </c>
      <c r="AA7148" s="218"/>
    </row>
    <row r="7149" spans="1:27" ht="24" x14ac:dyDescent="0.25">
      <c r="A7149" s="405">
        <v>3005608</v>
      </c>
      <c r="B7149" s="406">
        <v>42689</v>
      </c>
      <c r="C7149" s="405" t="s">
        <v>42</v>
      </c>
      <c r="D7149" s="401" t="s">
        <v>15163</v>
      </c>
      <c r="E7149" s="120">
        <v>175</v>
      </c>
      <c r="F7149" s="133" t="s">
        <v>829</v>
      </c>
      <c r="G7149" s="404" t="s">
        <v>7486</v>
      </c>
      <c r="H7149" s="411">
        <v>182.27</v>
      </c>
      <c r="I7149" s="89">
        <f t="shared" si="3505"/>
        <v>-16.404299999999999</v>
      </c>
      <c r="J7149" s="361">
        <f t="shared" ref="J7149" si="3523">-((H7149*0.019)+0.3)</f>
        <v>-3.7631299999999999</v>
      </c>
      <c r="K7149" s="396">
        <f t="shared" ref="K7149" si="3524">SUM(H7149:J7149)</f>
        <v>162.10257000000001</v>
      </c>
      <c r="L7149" s="131">
        <v>510</v>
      </c>
      <c r="N7149" s="199">
        <f t="shared" si="3479"/>
        <v>89.250000000000014</v>
      </c>
      <c r="O7149" s="411">
        <f t="shared" si="3483"/>
        <v>72.85257</v>
      </c>
      <c r="P7149" s="132" t="s">
        <v>52</v>
      </c>
      <c r="Q7149" s="232"/>
      <c r="R7149" s="411"/>
      <c r="T7149" s="134" t="s">
        <v>145</v>
      </c>
      <c r="U7149" s="267" t="s">
        <v>15164</v>
      </c>
      <c r="AA7149" s="218"/>
    </row>
    <row r="7150" spans="1:27" ht="24" x14ac:dyDescent="0.25">
      <c r="A7150" s="405">
        <v>3005609</v>
      </c>
      <c r="B7150" s="406">
        <v>42689</v>
      </c>
      <c r="C7150" s="405" t="s">
        <v>42</v>
      </c>
      <c r="D7150" s="401" t="s">
        <v>14922</v>
      </c>
      <c r="E7150" s="120">
        <v>50</v>
      </c>
      <c r="F7150" s="133" t="s">
        <v>3719</v>
      </c>
      <c r="G7150" s="404" t="s">
        <v>7486</v>
      </c>
      <c r="H7150" s="411">
        <v>93.56</v>
      </c>
      <c r="I7150" s="89">
        <f t="shared" si="3505"/>
        <v>-8.4204000000000008</v>
      </c>
      <c r="J7150" s="361">
        <f t="shared" ref="J7150" si="3525">-((H7150*0.019)+0.3)</f>
        <v>-2.0776400000000002</v>
      </c>
      <c r="K7150" s="396">
        <f t="shared" ref="K7150" si="3526">SUM(H7150:J7150)</f>
        <v>83.061959999999999</v>
      </c>
      <c r="L7150" s="187">
        <v>1160</v>
      </c>
      <c r="N7150" s="199">
        <f t="shared" si="3479"/>
        <v>58</v>
      </c>
      <c r="O7150" s="411">
        <f t="shared" si="3483"/>
        <v>25.061959999999999</v>
      </c>
      <c r="P7150" s="132" t="s">
        <v>601</v>
      </c>
      <c r="Q7150" s="232"/>
      <c r="R7150" s="411"/>
      <c r="T7150" s="134" t="s">
        <v>145</v>
      </c>
      <c r="U7150" s="267" t="s">
        <v>15165</v>
      </c>
      <c r="AA7150" s="218"/>
    </row>
    <row r="7151" spans="1:27" ht="24" x14ac:dyDescent="0.25">
      <c r="A7151" s="405">
        <v>3005610</v>
      </c>
      <c r="B7151" s="406">
        <v>42689</v>
      </c>
      <c r="C7151" s="405" t="s">
        <v>42</v>
      </c>
      <c r="D7151" s="401" t="s">
        <v>15166</v>
      </c>
      <c r="E7151" s="120">
        <v>150</v>
      </c>
      <c r="F7151" s="133" t="s">
        <v>247</v>
      </c>
      <c r="G7151" s="404" t="s">
        <v>7486</v>
      </c>
      <c r="H7151" s="411">
        <v>185.9</v>
      </c>
      <c r="I7151" s="89">
        <f t="shared" si="3505"/>
        <v>-16.731000000000002</v>
      </c>
      <c r="J7151" s="361">
        <f t="shared" ref="J7151" si="3527">-((H7151*0.019)+0.3)</f>
        <v>-3.8321000000000001</v>
      </c>
      <c r="K7151" s="396">
        <f t="shared" ref="K7151" si="3528">SUM(H7151:J7151)</f>
        <v>165.33690000000001</v>
      </c>
      <c r="L7151" s="131">
        <v>424</v>
      </c>
      <c r="N7151" s="199">
        <f t="shared" si="3479"/>
        <v>63.599999999999994</v>
      </c>
      <c r="O7151" s="411">
        <f t="shared" si="3483"/>
        <v>101.73690000000002</v>
      </c>
      <c r="P7151" s="132" t="s">
        <v>52</v>
      </c>
      <c r="Q7151" s="232"/>
      <c r="R7151" s="411"/>
      <c r="T7151" s="134" t="s">
        <v>145</v>
      </c>
      <c r="U7151" s="267" t="s">
        <v>15167</v>
      </c>
      <c r="AA7151" s="218"/>
    </row>
    <row r="7152" spans="1:27" ht="24" x14ac:dyDescent="0.25">
      <c r="A7152" s="405">
        <v>3005611</v>
      </c>
      <c r="B7152" s="406">
        <v>42689</v>
      </c>
      <c r="C7152" s="405" t="s">
        <v>237</v>
      </c>
      <c r="D7152" s="401" t="s">
        <v>15168</v>
      </c>
      <c r="E7152" s="120">
        <v>400</v>
      </c>
      <c r="F7152" s="133" t="s">
        <v>247</v>
      </c>
      <c r="G7152" s="404" t="s">
        <v>7486</v>
      </c>
      <c r="H7152" s="411">
        <v>406.46</v>
      </c>
      <c r="I7152" s="397">
        <f t="shared" ref="I7152" si="3529">-(H7152*0.15)</f>
        <v>-60.968999999999994</v>
      </c>
      <c r="J7152" s="258">
        <v>0</v>
      </c>
      <c r="K7152" s="90">
        <f>SUM(H7152:J7152)</f>
        <v>345.49099999999999</v>
      </c>
      <c r="L7152" s="131">
        <v>424</v>
      </c>
      <c r="N7152" s="199">
        <f t="shared" si="3479"/>
        <v>169.60000000000002</v>
      </c>
      <c r="O7152" s="411">
        <f t="shared" si="3483"/>
        <v>175.89099999999996</v>
      </c>
      <c r="P7152" s="132" t="s">
        <v>52</v>
      </c>
      <c r="Q7152" s="232"/>
      <c r="R7152" s="411"/>
      <c r="T7152" s="134" t="s">
        <v>145</v>
      </c>
      <c r="U7152" s="267" t="s">
        <v>15169</v>
      </c>
      <c r="AA7152" s="218"/>
    </row>
    <row r="7153" spans="1:27" ht="24" x14ac:dyDescent="0.25">
      <c r="A7153" s="405">
        <v>3005612</v>
      </c>
      <c r="B7153" s="406">
        <v>42689</v>
      </c>
      <c r="C7153" s="405" t="s">
        <v>237</v>
      </c>
      <c r="D7153" s="401" t="s">
        <v>15170</v>
      </c>
      <c r="E7153" s="120">
        <v>50</v>
      </c>
      <c r="F7153" s="133" t="s">
        <v>288</v>
      </c>
      <c r="G7153" s="404" t="s">
        <v>7486</v>
      </c>
      <c r="H7153" s="411">
        <v>100</v>
      </c>
      <c r="I7153" s="397">
        <f t="shared" ref="I7153" si="3530">-(H7153*0.15)</f>
        <v>-15</v>
      </c>
      <c r="J7153" s="258">
        <v>0</v>
      </c>
      <c r="K7153" s="90">
        <f>SUM(H7153:J7153)</f>
        <v>85</v>
      </c>
      <c r="L7153" s="131">
        <v>900</v>
      </c>
      <c r="N7153" s="199">
        <f t="shared" si="3479"/>
        <v>45</v>
      </c>
      <c r="O7153" s="411">
        <f t="shared" si="3483"/>
        <v>40</v>
      </c>
      <c r="P7153" s="132" t="s">
        <v>52</v>
      </c>
      <c r="Q7153" s="232"/>
      <c r="R7153" s="411"/>
      <c r="T7153" s="134" t="s">
        <v>145</v>
      </c>
      <c r="U7153" s="267" t="s">
        <v>15171</v>
      </c>
      <c r="AA7153" s="218"/>
    </row>
    <row r="7154" spans="1:27" ht="24" x14ac:dyDescent="0.25">
      <c r="A7154" s="405">
        <v>3005613</v>
      </c>
      <c r="B7154" s="406">
        <v>42689</v>
      </c>
      <c r="C7154" s="405" t="s">
        <v>237</v>
      </c>
      <c r="D7154" s="401" t="s">
        <v>15172</v>
      </c>
      <c r="E7154" s="120">
        <v>250</v>
      </c>
      <c r="F7154" s="133" t="s">
        <v>1522</v>
      </c>
      <c r="G7154" s="404" t="s">
        <v>7486</v>
      </c>
      <c r="H7154" s="411">
        <v>279</v>
      </c>
      <c r="I7154" s="397">
        <f t="shared" ref="I7154" si="3531">-(H7154*0.15)</f>
        <v>-41.85</v>
      </c>
      <c r="J7154" s="258">
        <v>0</v>
      </c>
      <c r="K7154" s="90">
        <f>SUM(H7154:J7154)</f>
        <v>237.15</v>
      </c>
      <c r="L7154" s="131">
        <v>716</v>
      </c>
      <c r="N7154" s="199">
        <f t="shared" si="3479"/>
        <v>179</v>
      </c>
      <c r="O7154" s="411">
        <f t="shared" si="3483"/>
        <v>58.150000000000006</v>
      </c>
      <c r="P7154" s="132" t="s">
        <v>52</v>
      </c>
      <c r="Q7154" s="232"/>
      <c r="R7154" s="411"/>
      <c r="T7154" s="134" t="s">
        <v>145</v>
      </c>
      <c r="U7154" s="267" t="s">
        <v>15173</v>
      </c>
      <c r="AA7154" s="218"/>
    </row>
    <row r="7155" spans="1:27" ht="24" x14ac:dyDescent="0.25">
      <c r="A7155" s="405">
        <v>3005614</v>
      </c>
      <c r="B7155" s="406">
        <v>42689</v>
      </c>
      <c r="C7155" s="405" t="s">
        <v>42</v>
      </c>
      <c r="D7155" s="401" t="s">
        <v>15174</v>
      </c>
      <c r="E7155" s="120">
        <v>90</v>
      </c>
      <c r="F7155" s="133" t="s">
        <v>247</v>
      </c>
      <c r="G7155" s="404" t="s">
        <v>7486</v>
      </c>
      <c r="H7155" s="411">
        <v>116</v>
      </c>
      <c r="I7155" s="89">
        <f>-(H7155*0.09)</f>
        <v>-10.44</v>
      </c>
      <c r="J7155" s="361">
        <f t="shared" ref="J7155" si="3532">-((H7155*0.019)+0.3)</f>
        <v>-2.5039999999999996</v>
      </c>
      <c r="K7155" s="396">
        <f t="shared" ref="K7155:K7157" si="3533">SUM(H7155:J7155)</f>
        <v>103.056</v>
      </c>
      <c r="L7155" s="131">
        <v>424</v>
      </c>
      <c r="N7155" s="199">
        <f t="shared" si="3479"/>
        <v>38.159999999999997</v>
      </c>
      <c r="O7155" s="411">
        <f t="shared" si="3483"/>
        <v>64.896000000000001</v>
      </c>
      <c r="P7155" s="132" t="s">
        <v>52</v>
      </c>
      <c r="Q7155" s="232"/>
      <c r="R7155" s="411"/>
      <c r="T7155" s="134" t="s">
        <v>145</v>
      </c>
      <c r="U7155" s="267" t="s">
        <v>15175</v>
      </c>
      <c r="AA7155" s="218"/>
    </row>
    <row r="7156" spans="1:27" ht="48" x14ac:dyDescent="0.25">
      <c r="A7156" s="405">
        <v>3005615</v>
      </c>
      <c r="B7156" s="406">
        <v>42689</v>
      </c>
      <c r="C7156" s="405" t="s">
        <v>555</v>
      </c>
      <c r="D7156" s="401" t="s">
        <v>15176</v>
      </c>
      <c r="E7156" s="120">
        <v>300</v>
      </c>
      <c r="F7156" s="119" t="s">
        <v>15177</v>
      </c>
      <c r="G7156" s="404" t="s">
        <v>7486</v>
      </c>
      <c r="H7156" s="411">
        <v>529.20000000000005</v>
      </c>
      <c r="I7156" s="411">
        <v>0</v>
      </c>
      <c r="J7156" s="411">
        <v>0</v>
      </c>
      <c r="K7156" s="396">
        <f t="shared" si="3533"/>
        <v>529.20000000000005</v>
      </c>
      <c r="L7156" s="187">
        <v>680</v>
      </c>
      <c r="M7156" s="187">
        <v>35</v>
      </c>
      <c r="N7156" s="199">
        <f t="shared" si="3479"/>
        <v>239</v>
      </c>
      <c r="O7156" s="411">
        <f t="shared" si="3483"/>
        <v>290.20000000000005</v>
      </c>
      <c r="P7156" s="132" t="s">
        <v>10964</v>
      </c>
      <c r="Q7156" s="232"/>
      <c r="R7156" s="411"/>
      <c r="T7156" s="134" t="s">
        <v>204</v>
      </c>
      <c r="U7156" s="266" t="s">
        <v>15178</v>
      </c>
      <c r="W7156" s="153" t="s">
        <v>15179</v>
      </c>
      <c r="AA7156" s="218"/>
    </row>
    <row r="7157" spans="1:27" ht="36" customHeight="1" x14ac:dyDescent="0.25">
      <c r="A7157" s="419">
        <v>3005616</v>
      </c>
      <c r="B7157" s="421">
        <v>42689</v>
      </c>
      <c r="C7157" s="419" t="s">
        <v>327</v>
      </c>
      <c r="D7157" s="417" t="s">
        <v>15180</v>
      </c>
      <c r="E7157" s="120">
        <v>500</v>
      </c>
      <c r="F7157" s="133" t="s">
        <v>15181</v>
      </c>
      <c r="G7157" s="434" t="s">
        <v>7486</v>
      </c>
      <c r="H7157" s="427">
        <v>1465</v>
      </c>
      <c r="I7157" s="411">
        <v>0</v>
      </c>
      <c r="J7157" s="425">
        <f t="shared" ref="J7157" si="3534">-((H7157*0.022)+0.3)</f>
        <v>-32.529999999999994</v>
      </c>
      <c r="K7157" s="425">
        <f t="shared" si="3533"/>
        <v>1432.47</v>
      </c>
      <c r="L7157" s="187">
        <v>120</v>
      </c>
      <c r="N7157" s="199">
        <f t="shared" si="3479"/>
        <v>60</v>
      </c>
      <c r="O7157" s="411">
        <f t="shared" si="3483"/>
        <v>1372.47</v>
      </c>
      <c r="P7157" s="132" t="s">
        <v>1732</v>
      </c>
      <c r="Q7157" s="232"/>
      <c r="R7157" s="411"/>
      <c r="T7157" s="439" t="s">
        <v>145</v>
      </c>
      <c r="U7157" s="446" t="s">
        <v>15182</v>
      </c>
      <c r="AA7157" s="218"/>
    </row>
    <row r="7158" spans="1:27" x14ac:dyDescent="0.25">
      <c r="A7158" s="432"/>
      <c r="B7158" s="433"/>
      <c r="C7158" s="432"/>
      <c r="D7158" s="454"/>
      <c r="E7158" s="120">
        <v>1500</v>
      </c>
      <c r="F7158" s="133" t="s">
        <v>15183</v>
      </c>
      <c r="G7158" s="435"/>
      <c r="H7158" s="438"/>
      <c r="I7158" s="411">
        <v>0</v>
      </c>
      <c r="J7158" s="437"/>
      <c r="K7158" s="437"/>
      <c r="L7158" s="187">
        <v>120</v>
      </c>
      <c r="N7158" s="199">
        <f t="shared" si="3479"/>
        <v>180</v>
      </c>
      <c r="O7158" s="411">
        <f t="shared" si="3483"/>
        <v>-180</v>
      </c>
      <c r="P7158" s="132" t="s">
        <v>1732</v>
      </c>
      <c r="Q7158" s="232"/>
      <c r="R7158" s="411"/>
      <c r="T7158" s="440"/>
      <c r="U7158" s="448"/>
      <c r="AA7158" s="218"/>
    </row>
    <row r="7159" spans="1:27" x14ac:dyDescent="0.25">
      <c r="A7159" s="432"/>
      <c r="B7159" s="433"/>
      <c r="C7159" s="432"/>
      <c r="D7159" s="454"/>
      <c r="E7159" s="120">
        <v>2500</v>
      </c>
      <c r="F7159" s="133" t="s">
        <v>15184</v>
      </c>
      <c r="G7159" s="435"/>
      <c r="H7159" s="438"/>
      <c r="I7159" s="411">
        <v>0</v>
      </c>
      <c r="J7159" s="437"/>
      <c r="K7159" s="437"/>
      <c r="L7159" s="187">
        <v>75</v>
      </c>
      <c r="N7159" s="199">
        <f t="shared" si="3479"/>
        <v>187.5</v>
      </c>
      <c r="O7159" s="411">
        <f t="shared" si="3483"/>
        <v>-187.5</v>
      </c>
      <c r="P7159" s="132" t="s">
        <v>1732</v>
      </c>
      <c r="Q7159" s="232"/>
      <c r="R7159" s="411"/>
      <c r="T7159" s="440"/>
      <c r="U7159" s="448"/>
      <c r="AA7159" s="218"/>
    </row>
    <row r="7160" spans="1:27" x14ac:dyDescent="0.25">
      <c r="A7160" s="432"/>
      <c r="B7160" s="433"/>
      <c r="C7160" s="432"/>
      <c r="D7160" s="454"/>
      <c r="E7160" s="120">
        <v>5000</v>
      </c>
      <c r="F7160" s="133" t="s">
        <v>15185</v>
      </c>
      <c r="G7160" s="435"/>
      <c r="H7160" s="438"/>
      <c r="I7160" s="411">
        <v>0</v>
      </c>
      <c r="J7160" s="437"/>
      <c r="K7160" s="437"/>
      <c r="L7160" s="187">
        <v>38</v>
      </c>
      <c r="N7160" s="199">
        <f t="shared" si="3479"/>
        <v>190</v>
      </c>
      <c r="O7160" s="411">
        <f t="shared" si="3483"/>
        <v>-190</v>
      </c>
      <c r="P7160" s="132" t="s">
        <v>1732</v>
      </c>
      <c r="Q7160" s="232"/>
      <c r="R7160" s="411"/>
      <c r="T7160" s="441"/>
      <c r="U7160" s="447"/>
      <c r="AA7160" s="218"/>
    </row>
    <row r="7161" spans="1:27" ht="24" customHeight="1" x14ac:dyDescent="0.25">
      <c r="A7161" s="432"/>
      <c r="B7161" s="433"/>
      <c r="C7161" s="432"/>
      <c r="D7161" s="454"/>
      <c r="E7161" s="120">
        <v>500</v>
      </c>
      <c r="F7161" s="133" t="s">
        <v>666</v>
      </c>
      <c r="G7161" s="435"/>
      <c r="H7161" s="438"/>
      <c r="I7161" s="411">
        <v>0</v>
      </c>
      <c r="J7161" s="437"/>
      <c r="K7161" s="437"/>
      <c r="L7161" s="131">
        <v>400</v>
      </c>
      <c r="N7161" s="199">
        <f t="shared" si="3479"/>
        <v>200</v>
      </c>
      <c r="O7161" s="411">
        <f t="shared" si="3483"/>
        <v>-200</v>
      </c>
      <c r="P7161" s="132" t="s">
        <v>52</v>
      </c>
      <c r="Q7161" s="232"/>
      <c r="R7161" s="411"/>
      <c r="T7161" s="470" t="s">
        <v>145</v>
      </c>
      <c r="U7161" s="505" t="s">
        <v>15186</v>
      </c>
      <c r="V7161" s="133" t="s">
        <v>15187</v>
      </c>
      <c r="AA7161" s="218"/>
    </row>
    <row r="7162" spans="1:27" x14ac:dyDescent="0.25">
      <c r="A7162" s="432"/>
      <c r="B7162" s="433"/>
      <c r="C7162" s="432"/>
      <c r="D7162" s="454"/>
      <c r="E7162" s="120">
        <v>500</v>
      </c>
      <c r="F7162" s="133" t="s">
        <v>15188</v>
      </c>
      <c r="G7162" s="435"/>
      <c r="H7162" s="438"/>
      <c r="I7162" s="411">
        <v>0</v>
      </c>
      <c r="J7162" s="437"/>
      <c r="K7162" s="437"/>
      <c r="L7162" s="131">
        <v>205</v>
      </c>
      <c r="N7162" s="199">
        <f t="shared" si="3479"/>
        <v>102.5</v>
      </c>
      <c r="O7162" s="411">
        <f t="shared" si="3483"/>
        <v>-102.5</v>
      </c>
      <c r="P7162" s="132" t="s">
        <v>52</v>
      </c>
      <c r="Q7162" s="232"/>
      <c r="R7162" s="411"/>
      <c r="T7162" s="472"/>
      <c r="U7162" s="490"/>
      <c r="V7162" s="133" t="s">
        <v>15187</v>
      </c>
      <c r="AA7162" s="218"/>
    </row>
    <row r="7163" spans="1:27" ht="24" x14ac:dyDescent="0.25">
      <c r="A7163" s="420"/>
      <c r="B7163" s="422"/>
      <c r="C7163" s="420"/>
      <c r="D7163" s="418"/>
      <c r="E7163" s="120">
        <v>100</v>
      </c>
      <c r="F7163" s="133" t="s">
        <v>15189</v>
      </c>
      <c r="G7163" s="436"/>
      <c r="H7163" s="428"/>
      <c r="I7163" s="411">
        <v>0</v>
      </c>
      <c r="J7163" s="426"/>
      <c r="K7163" s="426"/>
      <c r="L7163" s="187">
        <v>450</v>
      </c>
      <c r="N7163" s="199">
        <f t="shared" si="3479"/>
        <v>45</v>
      </c>
      <c r="O7163" s="411">
        <f t="shared" si="3483"/>
        <v>-45</v>
      </c>
      <c r="P7163" s="132" t="s">
        <v>1732</v>
      </c>
      <c r="Q7163" s="232"/>
      <c r="R7163" s="411"/>
      <c r="T7163" s="134" t="s">
        <v>145</v>
      </c>
      <c r="U7163" s="267" t="s">
        <v>15190</v>
      </c>
      <c r="AA7163" s="218"/>
    </row>
    <row r="7164" spans="1:27" ht="24" x14ac:dyDescent="0.25">
      <c r="A7164" s="405">
        <v>3005617</v>
      </c>
      <c r="B7164" s="406">
        <v>42689</v>
      </c>
      <c r="C7164" s="405" t="s">
        <v>63</v>
      </c>
      <c r="D7164" s="401" t="s">
        <v>14579</v>
      </c>
      <c r="E7164" s="120">
        <v>248</v>
      </c>
      <c r="F7164" s="133" t="s">
        <v>15191</v>
      </c>
      <c r="G7164" s="404" t="s">
        <v>7486</v>
      </c>
      <c r="H7164" s="411">
        <v>30</v>
      </c>
      <c r="I7164" s="411">
        <v>0</v>
      </c>
      <c r="J7164" s="361">
        <f>-((H7164*0.022)+0.3)</f>
        <v>-0.96</v>
      </c>
      <c r="K7164" s="396">
        <f t="shared" ref="K7164:K7165" si="3535">SUM(H7164:J7164)</f>
        <v>29.04</v>
      </c>
      <c r="L7164" s="187">
        <v>200</v>
      </c>
      <c r="N7164" s="199">
        <f t="shared" si="3479"/>
        <v>49.6</v>
      </c>
      <c r="O7164" s="411">
        <f t="shared" si="3483"/>
        <v>-20.560000000000002</v>
      </c>
      <c r="P7164" s="132" t="s">
        <v>235</v>
      </c>
      <c r="Q7164" s="232"/>
      <c r="R7164" s="411"/>
      <c r="T7164" s="134" t="s">
        <v>145</v>
      </c>
      <c r="U7164" s="267" t="s">
        <v>15192</v>
      </c>
      <c r="W7164" s="153" t="s">
        <v>14582</v>
      </c>
      <c r="AA7164" s="218"/>
    </row>
    <row r="7165" spans="1:27" x14ac:dyDescent="0.25">
      <c r="A7165" s="405">
        <v>3005618</v>
      </c>
      <c r="B7165" s="406">
        <v>42689</v>
      </c>
      <c r="C7165" s="405" t="s">
        <v>141</v>
      </c>
      <c r="D7165" s="401" t="s">
        <v>15193</v>
      </c>
      <c r="E7165" s="120">
        <v>550</v>
      </c>
      <c r="F7165" s="133" t="s">
        <v>708</v>
      </c>
      <c r="G7165" s="404" t="s">
        <v>7486</v>
      </c>
      <c r="H7165" s="411">
        <v>2238.5</v>
      </c>
      <c r="I7165" s="411">
        <v>0</v>
      </c>
      <c r="J7165" s="361">
        <f>-((H7165*0.0325)+0.3)</f>
        <v>-73.051249999999996</v>
      </c>
      <c r="K7165" s="396">
        <f t="shared" si="3535"/>
        <v>2165.44875</v>
      </c>
      <c r="L7165" s="131">
        <v>2015</v>
      </c>
      <c r="M7165" s="187">
        <v>122.23</v>
      </c>
      <c r="N7165" s="199">
        <f t="shared" si="3479"/>
        <v>1230.48</v>
      </c>
      <c r="O7165" s="411">
        <f t="shared" si="3483"/>
        <v>934.96875</v>
      </c>
      <c r="P7165" s="132" t="s">
        <v>52</v>
      </c>
      <c r="Q7165" s="232"/>
      <c r="R7165" s="411"/>
      <c r="T7165" s="134" t="s">
        <v>1467</v>
      </c>
      <c r="U7165" s="267" t="s">
        <v>15194</v>
      </c>
      <c r="V7165" s="133" t="s">
        <v>55</v>
      </c>
      <c r="W7165" s="153" t="s">
        <v>15195</v>
      </c>
      <c r="AA7165" s="219">
        <v>10</v>
      </c>
    </row>
    <row r="7166" spans="1:27" ht="24" x14ac:dyDescent="0.25">
      <c r="A7166" s="405">
        <v>3005619</v>
      </c>
      <c r="B7166" s="406">
        <v>42689</v>
      </c>
      <c r="C7166" s="405" t="s">
        <v>63</v>
      </c>
      <c r="D7166" s="401" t="s">
        <v>1525</v>
      </c>
      <c r="E7166" s="120">
        <v>1000</v>
      </c>
      <c r="F7166" s="133" t="s">
        <v>15196</v>
      </c>
      <c r="G7166" s="404" t="s">
        <v>7486</v>
      </c>
      <c r="H7166" s="411">
        <v>1290</v>
      </c>
      <c r="I7166" s="411">
        <v>0</v>
      </c>
      <c r="J7166" s="361">
        <f>-((H7166*0.022)+0.3)</f>
        <v>-28.68</v>
      </c>
      <c r="K7166" s="396">
        <f t="shared" ref="K7166:K7167" si="3536">SUM(H7166:J7166)</f>
        <v>1261.32</v>
      </c>
      <c r="L7166" s="187">
        <v>900</v>
      </c>
      <c r="M7166" s="224">
        <v>160</v>
      </c>
      <c r="N7166" s="199">
        <f t="shared" ref="N7166:N7229" si="3537">((L7166)*(E7166*0.001))+M7166</f>
        <v>1060</v>
      </c>
      <c r="O7166" s="411">
        <f t="shared" si="3483"/>
        <v>201.31999999999994</v>
      </c>
      <c r="P7166" s="132" t="s">
        <v>183</v>
      </c>
      <c r="Q7166" s="232"/>
      <c r="R7166" s="411"/>
      <c r="T7166" s="134" t="s">
        <v>473</v>
      </c>
      <c r="U7166" s="267" t="s">
        <v>15197</v>
      </c>
      <c r="W7166" s="153" t="s">
        <v>8636</v>
      </c>
      <c r="AA7166" s="219">
        <v>10</v>
      </c>
    </row>
    <row r="7167" spans="1:27" ht="24" x14ac:dyDescent="0.25">
      <c r="A7167" s="405">
        <v>3005620</v>
      </c>
      <c r="B7167" s="406">
        <v>42689</v>
      </c>
      <c r="C7167" s="405" t="s">
        <v>56</v>
      </c>
      <c r="D7167" s="401" t="s">
        <v>8815</v>
      </c>
      <c r="E7167" s="120">
        <v>6000</v>
      </c>
      <c r="F7167" s="119" t="s">
        <v>15198</v>
      </c>
      <c r="G7167" s="230" t="s">
        <v>7486</v>
      </c>
      <c r="H7167" s="411">
        <v>5160</v>
      </c>
      <c r="I7167" s="411">
        <v>0</v>
      </c>
      <c r="J7167" s="411">
        <v>0</v>
      </c>
      <c r="K7167" s="396">
        <f t="shared" si="3536"/>
        <v>5160</v>
      </c>
      <c r="L7167" s="131">
        <v>600</v>
      </c>
      <c r="M7167" s="177" t="s">
        <v>15199</v>
      </c>
      <c r="N7167" s="199" t="e">
        <f t="shared" si="3537"/>
        <v>#VALUE!</v>
      </c>
      <c r="O7167" s="411" t="e">
        <f t="shared" si="3483"/>
        <v>#VALUE!</v>
      </c>
      <c r="P7167" s="132" t="s">
        <v>46</v>
      </c>
      <c r="Q7167" s="232"/>
      <c r="R7167" s="411"/>
      <c r="T7167" s="135" t="s">
        <v>15200</v>
      </c>
      <c r="V7167" s="133" t="s">
        <v>8237</v>
      </c>
      <c r="AA7167" s="218"/>
    </row>
    <row r="7168" spans="1:27" x14ac:dyDescent="0.25">
      <c r="A7168" s="419">
        <v>3005621</v>
      </c>
      <c r="B7168" s="421">
        <v>42689</v>
      </c>
      <c r="C7168" s="419" t="s">
        <v>327</v>
      </c>
      <c r="D7168" s="417" t="s">
        <v>15201</v>
      </c>
      <c r="E7168" s="120">
        <v>150</v>
      </c>
      <c r="F7168" s="133" t="s">
        <v>2361</v>
      </c>
      <c r="G7168" s="434" t="s">
        <v>7486</v>
      </c>
      <c r="H7168" s="427">
        <v>613</v>
      </c>
      <c r="I7168" s="427">
        <v>0</v>
      </c>
      <c r="J7168" s="425">
        <f>-((H7168*0.022)+0.3)</f>
        <v>-13.786</v>
      </c>
      <c r="K7168" s="425">
        <f t="shared" ref="K7168" si="3538">SUM(H7168:J7168)</f>
        <v>599.21400000000006</v>
      </c>
      <c r="N7168" s="199">
        <f t="shared" si="3537"/>
        <v>0</v>
      </c>
      <c r="O7168" s="411">
        <f t="shared" si="3483"/>
        <v>599.21400000000006</v>
      </c>
      <c r="P7168" s="132" t="s">
        <v>52</v>
      </c>
      <c r="Q7168" s="232"/>
      <c r="R7168" s="411"/>
      <c r="T7168" s="439" t="s">
        <v>145</v>
      </c>
      <c r="U7168" s="267" t="s">
        <v>15202</v>
      </c>
      <c r="AA7168" s="218"/>
    </row>
    <row r="7169" spans="1:27" x14ac:dyDescent="0.25">
      <c r="A7169" s="420"/>
      <c r="B7169" s="422"/>
      <c r="C7169" s="420"/>
      <c r="D7169" s="418"/>
      <c r="E7169" s="120">
        <v>150</v>
      </c>
      <c r="F7169" s="133" t="s">
        <v>7253</v>
      </c>
      <c r="G7169" s="436"/>
      <c r="H7169" s="428"/>
      <c r="I7169" s="428"/>
      <c r="J7169" s="426"/>
      <c r="K7169" s="426"/>
      <c r="M7169" s="177"/>
      <c r="N7169" s="199">
        <f t="shared" si="3537"/>
        <v>0</v>
      </c>
      <c r="O7169" s="411">
        <f t="shared" si="3483"/>
        <v>0</v>
      </c>
      <c r="P7169" s="132" t="s">
        <v>52</v>
      </c>
      <c r="Q7169" s="232"/>
      <c r="R7169" s="411"/>
      <c r="T7169" s="441"/>
      <c r="U7169" s="267" t="s">
        <v>15203</v>
      </c>
      <c r="AA7169" s="218"/>
    </row>
    <row r="7170" spans="1:27" ht="24" x14ac:dyDescent="0.25">
      <c r="A7170" s="405">
        <v>3005622</v>
      </c>
      <c r="B7170" s="406">
        <v>42689</v>
      </c>
      <c r="C7170" s="405" t="s">
        <v>42</v>
      </c>
      <c r="D7170" s="401" t="s">
        <v>15204</v>
      </c>
      <c r="E7170" s="120">
        <v>250</v>
      </c>
      <c r="F7170" s="133" t="s">
        <v>580</v>
      </c>
      <c r="G7170" s="404" t="s">
        <v>7486</v>
      </c>
      <c r="H7170" s="411">
        <v>118.75</v>
      </c>
      <c r="I7170" s="89">
        <f>-(H7170*0.09)</f>
        <v>-10.6875</v>
      </c>
      <c r="J7170" s="361">
        <f t="shared" ref="J7170" si="3539">-((H7170*0.019)+0.3)</f>
        <v>-2.5562499999999999</v>
      </c>
      <c r="K7170" s="396">
        <f t="shared" ref="K7170" si="3540">SUM(H7170:J7170)</f>
        <v>105.50624999999999</v>
      </c>
      <c r="L7170" s="131">
        <v>139</v>
      </c>
      <c r="N7170" s="199">
        <f t="shared" si="3537"/>
        <v>34.75</v>
      </c>
      <c r="O7170" s="411">
        <f t="shared" si="3483"/>
        <v>70.756249999999994</v>
      </c>
      <c r="P7170" s="132" t="s">
        <v>52</v>
      </c>
      <c r="Q7170" s="232"/>
      <c r="R7170" s="411"/>
      <c r="T7170" s="134" t="s">
        <v>145</v>
      </c>
      <c r="U7170" s="267" t="s">
        <v>15205</v>
      </c>
      <c r="AA7170" s="218"/>
    </row>
    <row r="7171" spans="1:27" ht="24" x14ac:dyDescent="0.25">
      <c r="A7171" s="405">
        <v>3005623</v>
      </c>
      <c r="B7171" s="406">
        <v>42689</v>
      </c>
      <c r="C7171" s="405" t="s">
        <v>237</v>
      </c>
      <c r="D7171" s="401" t="s">
        <v>15206</v>
      </c>
      <c r="E7171" s="120">
        <v>100</v>
      </c>
      <c r="F7171" s="133" t="s">
        <v>307</v>
      </c>
      <c r="G7171" s="404" t="s">
        <v>7486</v>
      </c>
      <c r="H7171" s="411">
        <v>125</v>
      </c>
      <c r="I7171" s="397">
        <f t="shared" ref="I7171" si="3541">-(H7171*0.15)</f>
        <v>-18.75</v>
      </c>
      <c r="J7171" s="258">
        <v>0</v>
      </c>
      <c r="K7171" s="90">
        <f>SUM(H7171:J7171)</f>
        <v>106.25</v>
      </c>
      <c r="L7171" s="131">
        <v>622.45000000000005</v>
      </c>
      <c r="N7171" s="199">
        <f t="shared" si="3537"/>
        <v>62.245000000000005</v>
      </c>
      <c r="O7171" s="411">
        <f t="shared" si="3483"/>
        <v>44.004999999999995</v>
      </c>
      <c r="P7171" s="132" t="s">
        <v>52</v>
      </c>
      <c r="Q7171" s="232"/>
      <c r="R7171" s="411"/>
      <c r="T7171" s="134" t="s">
        <v>145</v>
      </c>
      <c r="U7171" s="267" t="s">
        <v>15207</v>
      </c>
      <c r="AA7171" s="218"/>
    </row>
    <row r="7172" spans="1:27" x14ac:dyDescent="0.25">
      <c r="A7172" s="405">
        <v>3005624</v>
      </c>
      <c r="B7172" s="406">
        <v>42689</v>
      </c>
      <c r="C7172" s="405" t="s">
        <v>237</v>
      </c>
      <c r="D7172" s="401" t="s">
        <v>15208</v>
      </c>
      <c r="E7172" s="120">
        <v>200</v>
      </c>
      <c r="F7172" s="133" t="s">
        <v>51</v>
      </c>
      <c r="G7172" s="404" t="s">
        <v>7486</v>
      </c>
      <c r="H7172" s="411">
        <v>351</v>
      </c>
      <c r="I7172" s="397">
        <f t="shared" ref="I7172" si="3542">-(H7172*0.15)</f>
        <v>-52.65</v>
      </c>
      <c r="J7172" s="258">
        <v>0</v>
      </c>
      <c r="K7172" s="90">
        <f>SUM(H7172:J7172)</f>
        <v>298.35000000000002</v>
      </c>
      <c r="N7172" s="199">
        <f t="shared" si="3537"/>
        <v>0</v>
      </c>
      <c r="O7172" s="411">
        <f t="shared" ref="O7172:O7235" si="3543">K7172-N7172</f>
        <v>298.35000000000002</v>
      </c>
      <c r="P7172" s="132" t="s">
        <v>15209</v>
      </c>
      <c r="Q7172" s="232"/>
      <c r="R7172" s="411"/>
      <c r="T7172" s="134" t="s">
        <v>314</v>
      </c>
      <c r="U7172" s="267" t="s">
        <v>15210</v>
      </c>
      <c r="AA7172" s="218"/>
    </row>
    <row r="7173" spans="1:27" ht="24" x14ac:dyDescent="0.25">
      <c r="A7173" s="405">
        <v>3005625</v>
      </c>
      <c r="B7173" s="406">
        <v>42689</v>
      </c>
      <c r="C7173" s="405" t="s">
        <v>42</v>
      </c>
      <c r="D7173" s="401" t="s">
        <v>15211</v>
      </c>
      <c r="E7173" s="120">
        <v>250</v>
      </c>
      <c r="F7173" s="133" t="s">
        <v>609</v>
      </c>
      <c r="G7173" s="404" t="s">
        <v>7486</v>
      </c>
      <c r="H7173" s="411">
        <v>166.59</v>
      </c>
      <c r="I7173" s="89">
        <f>-(H7173*0.09)</f>
        <v>-14.9931</v>
      </c>
      <c r="J7173" s="361">
        <f t="shared" ref="J7173" si="3544">-((H7173*0.019)+0.3)</f>
        <v>-3.4652099999999999</v>
      </c>
      <c r="K7173" s="396">
        <f t="shared" ref="K7173:K7177" si="3545">SUM(H7173:J7173)</f>
        <v>148.13168999999999</v>
      </c>
      <c r="L7173" s="131">
        <v>330</v>
      </c>
      <c r="N7173" s="199">
        <f t="shared" si="3537"/>
        <v>82.5</v>
      </c>
      <c r="O7173" s="411">
        <f t="shared" si="3543"/>
        <v>65.631689999999992</v>
      </c>
      <c r="P7173" s="132" t="s">
        <v>86</v>
      </c>
      <c r="Q7173" s="232"/>
      <c r="R7173" s="411"/>
      <c r="T7173" s="134" t="s">
        <v>145</v>
      </c>
      <c r="U7173" s="267" t="s">
        <v>15212</v>
      </c>
      <c r="AA7173" s="218"/>
    </row>
    <row r="7174" spans="1:27" ht="24" x14ac:dyDescent="0.25">
      <c r="A7174" s="405">
        <v>3005626</v>
      </c>
      <c r="B7174" s="406">
        <v>42689</v>
      </c>
      <c r="C7174" s="405" t="s">
        <v>327</v>
      </c>
      <c r="D7174" s="401" t="s">
        <v>1521</v>
      </c>
      <c r="E7174" s="120">
        <v>150</v>
      </c>
      <c r="F7174" s="133" t="s">
        <v>114</v>
      </c>
      <c r="G7174" s="404" t="s">
        <v>7486</v>
      </c>
      <c r="H7174" s="411">
        <v>543.15</v>
      </c>
      <c r="I7174" s="411">
        <v>0</v>
      </c>
      <c r="J7174" s="361">
        <f>-((H7174*0.022)+0.3)</f>
        <v>-12.2493</v>
      </c>
      <c r="K7174" s="396">
        <f t="shared" si="3545"/>
        <v>530.90070000000003</v>
      </c>
      <c r="L7174" s="131">
        <v>1540</v>
      </c>
      <c r="N7174" s="199">
        <f t="shared" si="3537"/>
        <v>231</v>
      </c>
      <c r="O7174" s="411">
        <f t="shared" si="3543"/>
        <v>299.90070000000003</v>
      </c>
      <c r="P7174" s="132" t="s">
        <v>52</v>
      </c>
      <c r="Q7174" s="232"/>
      <c r="R7174" s="411">
        <v>43.15</v>
      </c>
      <c r="S7174" s="133" t="s">
        <v>52</v>
      </c>
      <c r="T7174" s="134" t="s">
        <v>145</v>
      </c>
      <c r="U7174" s="267" t="s">
        <v>15213</v>
      </c>
      <c r="W7174" s="153" t="s">
        <v>1524</v>
      </c>
      <c r="AA7174" s="218"/>
    </row>
    <row r="7175" spans="1:27" x14ac:dyDescent="0.25">
      <c r="A7175" s="419">
        <v>3005627</v>
      </c>
      <c r="B7175" s="421">
        <v>42689</v>
      </c>
      <c r="C7175" s="419" t="s">
        <v>327</v>
      </c>
      <c r="D7175" s="417" t="s">
        <v>15214</v>
      </c>
      <c r="E7175" s="120">
        <v>160</v>
      </c>
      <c r="F7175" s="133" t="s">
        <v>15215</v>
      </c>
      <c r="G7175" s="434" t="s">
        <v>7486</v>
      </c>
      <c r="H7175" s="427">
        <v>3050</v>
      </c>
      <c r="I7175" s="427">
        <v>0</v>
      </c>
      <c r="J7175" s="425">
        <f>-((H7175*0.022)+0.3)</f>
        <v>-67.399999999999991</v>
      </c>
      <c r="K7175" s="425">
        <f t="shared" si="3545"/>
        <v>2982.6</v>
      </c>
      <c r="L7175" s="187">
        <v>10230</v>
      </c>
      <c r="M7175" s="187">
        <f>30+82.67</f>
        <v>112.67</v>
      </c>
      <c r="N7175" s="199">
        <f t="shared" si="3537"/>
        <v>1749.47</v>
      </c>
      <c r="O7175" s="411">
        <f t="shared" si="3543"/>
        <v>1233.1299999999999</v>
      </c>
      <c r="P7175" s="132" t="s">
        <v>330</v>
      </c>
      <c r="Q7175" s="232"/>
      <c r="R7175" s="411"/>
      <c r="T7175" s="439" t="s">
        <v>331</v>
      </c>
      <c r="U7175" s="446" t="s">
        <v>15216</v>
      </c>
      <c r="W7175" s="153" t="s">
        <v>15217</v>
      </c>
      <c r="AA7175" s="219">
        <v>10</v>
      </c>
    </row>
    <row r="7176" spans="1:27" x14ac:dyDescent="0.25">
      <c r="A7176" s="420"/>
      <c r="B7176" s="422"/>
      <c r="C7176" s="420"/>
      <c r="D7176" s="418"/>
      <c r="E7176" s="120">
        <v>200</v>
      </c>
      <c r="F7176" s="133" t="s">
        <v>15218</v>
      </c>
      <c r="G7176" s="436"/>
      <c r="H7176" s="428"/>
      <c r="I7176" s="428"/>
      <c r="J7176" s="426"/>
      <c r="K7176" s="426"/>
      <c r="L7176" s="187">
        <v>2192</v>
      </c>
      <c r="M7176" s="187">
        <v>30</v>
      </c>
      <c r="N7176" s="199">
        <f t="shared" si="3537"/>
        <v>468.40000000000003</v>
      </c>
      <c r="O7176" s="411">
        <f t="shared" si="3543"/>
        <v>-468.40000000000003</v>
      </c>
      <c r="P7176" s="132" t="s">
        <v>330</v>
      </c>
      <c r="Q7176" s="232"/>
      <c r="R7176" s="411"/>
      <c r="T7176" s="441"/>
      <c r="U7176" s="447"/>
      <c r="AA7176" s="218"/>
    </row>
    <row r="7177" spans="1:27" ht="24" x14ac:dyDescent="0.25">
      <c r="A7177" s="419">
        <v>3005628</v>
      </c>
      <c r="B7177" s="421">
        <v>42690</v>
      </c>
      <c r="C7177" s="419" t="s">
        <v>56</v>
      </c>
      <c r="D7177" s="417" t="s">
        <v>15219</v>
      </c>
      <c r="E7177" s="120">
        <v>20</v>
      </c>
      <c r="F7177" s="133" t="s">
        <v>51</v>
      </c>
      <c r="G7177" s="460" t="s">
        <v>7486</v>
      </c>
      <c r="H7177" s="427">
        <v>280</v>
      </c>
      <c r="I7177" s="427">
        <v>0</v>
      </c>
      <c r="J7177" s="427">
        <v>0</v>
      </c>
      <c r="K7177" s="425">
        <f t="shared" si="3545"/>
        <v>280</v>
      </c>
      <c r="L7177" s="187">
        <v>1500</v>
      </c>
      <c r="M7177" s="187">
        <v>16.13</v>
      </c>
      <c r="N7177" s="199">
        <f t="shared" si="3537"/>
        <v>46.129999999999995</v>
      </c>
      <c r="O7177" s="411">
        <f t="shared" si="3543"/>
        <v>233.87</v>
      </c>
      <c r="P7177" s="132" t="s">
        <v>183</v>
      </c>
      <c r="Q7177" s="232"/>
      <c r="R7177" s="411"/>
      <c r="T7177" s="134" t="s">
        <v>145</v>
      </c>
      <c r="U7177" s="267" t="s">
        <v>15220</v>
      </c>
      <c r="V7177" s="133" t="s">
        <v>15221</v>
      </c>
      <c r="AA7177" s="218"/>
    </row>
    <row r="7178" spans="1:27" ht="24" x14ac:dyDescent="0.25">
      <c r="A7178" s="420"/>
      <c r="B7178" s="422"/>
      <c r="C7178" s="420"/>
      <c r="D7178" s="418"/>
      <c r="E7178" s="120">
        <v>60</v>
      </c>
      <c r="F7178" s="133" t="s">
        <v>51</v>
      </c>
      <c r="G7178" s="462"/>
      <c r="H7178" s="428"/>
      <c r="I7178" s="428"/>
      <c r="J7178" s="428"/>
      <c r="K7178" s="426"/>
      <c r="L7178" s="187">
        <v>1666</v>
      </c>
      <c r="M7178" s="131">
        <v>18</v>
      </c>
      <c r="N7178" s="199">
        <f t="shared" si="3537"/>
        <v>117.96</v>
      </c>
      <c r="O7178" s="411">
        <f t="shared" si="3543"/>
        <v>-117.96</v>
      </c>
      <c r="P7178" s="132" t="s">
        <v>3359</v>
      </c>
      <c r="Q7178" s="232"/>
      <c r="R7178" s="411"/>
      <c r="T7178" s="134" t="s">
        <v>145</v>
      </c>
      <c r="U7178" s="267" t="s">
        <v>15222</v>
      </c>
      <c r="V7178" s="133" t="s">
        <v>15223</v>
      </c>
      <c r="AA7178" s="218"/>
    </row>
    <row r="7179" spans="1:27" ht="24" x14ac:dyDescent="0.25">
      <c r="A7179" s="405">
        <v>3005629</v>
      </c>
      <c r="B7179" s="406">
        <v>42690</v>
      </c>
      <c r="C7179" s="405" t="s">
        <v>42</v>
      </c>
      <c r="D7179" s="401" t="s">
        <v>15224</v>
      </c>
      <c r="E7179" s="120">
        <v>200</v>
      </c>
      <c r="F7179" s="133" t="s">
        <v>323</v>
      </c>
      <c r="G7179" s="404" t="s">
        <v>7486</v>
      </c>
      <c r="H7179" s="411">
        <v>162.36000000000001</v>
      </c>
      <c r="I7179" s="89">
        <f>-(H7179*0.09)</f>
        <v>-14.612400000000001</v>
      </c>
      <c r="J7179" s="361">
        <f t="shared" ref="J7179" si="3546">-((H7179*0.019)+0.3)</f>
        <v>-3.3848400000000001</v>
      </c>
      <c r="K7179" s="396">
        <f t="shared" ref="K7179" si="3547">SUM(H7179:J7179)</f>
        <v>144.36276000000001</v>
      </c>
      <c r="L7179" s="131">
        <v>395</v>
      </c>
      <c r="N7179" s="199">
        <f t="shared" si="3537"/>
        <v>79</v>
      </c>
      <c r="O7179" s="411">
        <f t="shared" si="3543"/>
        <v>65.362760000000009</v>
      </c>
      <c r="P7179" s="132" t="s">
        <v>52</v>
      </c>
      <c r="Q7179" s="232"/>
      <c r="R7179" s="411"/>
      <c r="T7179" s="134" t="s">
        <v>145</v>
      </c>
      <c r="U7179" s="267" t="s">
        <v>15225</v>
      </c>
      <c r="AA7179" s="218"/>
    </row>
    <row r="7180" spans="1:27" ht="24" x14ac:dyDescent="0.25">
      <c r="A7180" s="405">
        <v>3005630</v>
      </c>
      <c r="B7180" s="406">
        <v>42690</v>
      </c>
      <c r="C7180" s="405" t="s">
        <v>42</v>
      </c>
      <c r="D7180" s="401" t="s">
        <v>15226</v>
      </c>
      <c r="E7180" s="120">
        <v>250</v>
      </c>
      <c r="F7180" s="133" t="s">
        <v>877</v>
      </c>
      <c r="G7180" s="404" t="s">
        <v>7486</v>
      </c>
      <c r="H7180" s="411">
        <v>182.68</v>
      </c>
      <c r="I7180" s="89">
        <f>-(H7180*0.09)</f>
        <v>-16.441199999999998</v>
      </c>
      <c r="J7180" s="361">
        <f t="shared" ref="J7180" si="3548">-((H7180*0.019)+0.3)</f>
        <v>-3.7709199999999998</v>
      </c>
      <c r="K7180" s="396">
        <f t="shared" ref="K7180" si="3549">SUM(H7180:J7180)</f>
        <v>162.46788000000001</v>
      </c>
      <c r="L7180" s="131">
        <v>174</v>
      </c>
      <c r="N7180" s="199">
        <f t="shared" si="3537"/>
        <v>43.5</v>
      </c>
      <c r="O7180" s="411">
        <f t="shared" si="3543"/>
        <v>118.96788000000001</v>
      </c>
      <c r="P7180" s="132" t="s">
        <v>86</v>
      </c>
      <c r="Q7180" s="232"/>
      <c r="R7180" s="411"/>
      <c r="T7180" s="134" t="s">
        <v>145</v>
      </c>
      <c r="U7180" s="267" t="s">
        <v>15227</v>
      </c>
      <c r="AA7180" s="218"/>
    </row>
    <row r="7181" spans="1:27" ht="24" x14ac:dyDescent="0.25">
      <c r="A7181" s="405">
        <v>3005631</v>
      </c>
      <c r="B7181" s="406">
        <v>42690</v>
      </c>
      <c r="C7181" s="405" t="s">
        <v>42</v>
      </c>
      <c r="D7181" s="401" t="s">
        <v>15228</v>
      </c>
      <c r="E7181" s="120">
        <v>100</v>
      </c>
      <c r="F7181" s="133" t="s">
        <v>4407</v>
      </c>
      <c r="G7181" s="404" t="s">
        <v>7486</v>
      </c>
      <c r="H7181" s="411">
        <v>318.5</v>
      </c>
      <c r="I7181" s="89">
        <f>-(H7181*0.09)</f>
        <v>-28.664999999999999</v>
      </c>
      <c r="J7181" s="361">
        <f t="shared" ref="J7181" si="3550">-((H7181*0.019)+0.3)</f>
        <v>-6.3514999999999997</v>
      </c>
      <c r="K7181" s="396">
        <f t="shared" ref="K7181" si="3551">SUM(H7181:J7181)</f>
        <v>283.48349999999999</v>
      </c>
      <c r="L7181" s="187">
        <v>2200</v>
      </c>
      <c r="N7181" s="199">
        <f t="shared" si="3537"/>
        <v>220</v>
      </c>
      <c r="O7181" s="411">
        <f t="shared" si="3543"/>
        <v>63.483499999999992</v>
      </c>
      <c r="P7181" s="132" t="s">
        <v>601</v>
      </c>
      <c r="Q7181" s="232"/>
      <c r="R7181" s="411"/>
      <c r="T7181" s="134" t="s">
        <v>145</v>
      </c>
      <c r="U7181" s="267" t="s">
        <v>15229</v>
      </c>
      <c r="AA7181" s="218"/>
    </row>
    <row r="7182" spans="1:27" ht="24" x14ac:dyDescent="0.25">
      <c r="A7182" s="405">
        <v>3005632</v>
      </c>
      <c r="B7182" s="406">
        <v>42690</v>
      </c>
      <c r="C7182" s="405" t="s">
        <v>42</v>
      </c>
      <c r="D7182" s="401" t="s">
        <v>15230</v>
      </c>
      <c r="E7182" s="120">
        <v>50</v>
      </c>
      <c r="F7182" s="133" t="s">
        <v>2483</v>
      </c>
      <c r="G7182" s="404" t="s">
        <v>7486</v>
      </c>
      <c r="H7182" s="411">
        <v>137.6</v>
      </c>
      <c r="I7182" s="89">
        <f>-(H7182*0.09)</f>
        <v>-12.383999999999999</v>
      </c>
      <c r="J7182" s="361">
        <f t="shared" ref="J7182" si="3552">-((H7182*0.019)+0.3)</f>
        <v>-2.9143999999999997</v>
      </c>
      <c r="K7182" s="396">
        <f t="shared" ref="K7182" si="3553">SUM(H7182:J7182)</f>
        <v>122.30159999999999</v>
      </c>
      <c r="N7182" s="199">
        <f t="shared" si="3537"/>
        <v>0</v>
      </c>
      <c r="O7182" s="411">
        <f t="shared" si="3543"/>
        <v>122.30159999999999</v>
      </c>
      <c r="P7182" s="132" t="s">
        <v>52</v>
      </c>
      <c r="Q7182" s="232"/>
      <c r="R7182" s="411"/>
      <c r="T7182" s="134" t="s">
        <v>145</v>
      </c>
      <c r="U7182" s="267" t="s">
        <v>15231</v>
      </c>
      <c r="AA7182" s="218"/>
    </row>
    <row r="7183" spans="1:27" ht="24" x14ac:dyDescent="0.25">
      <c r="A7183" s="405">
        <v>3005633</v>
      </c>
      <c r="B7183" s="406">
        <v>42690</v>
      </c>
      <c r="C7183" s="405" t="s">
        <v>42</v>
      </c>
      <c r="D7183" s="401" t="s">
        <v>14955</v>
      </c>
      <c r="E7183" s="120">
        <v>100</v>
      </c>
      <c r="F7183" s="133" t="s">
        <v>593</v>
      </c>
      <c r="G7183" s="404" t="s">
        <v>7486</v>
      </c>
      <c r="H7183" s="411">
        <v>155.03</v>
      </c>
      <c r="I7183" s="89">
        <f>-(H7183*0.09)</f>
        <v>-13.9527</v>
      </c>
      <c r="J7183" s="361">
        <f t="shared" ref="J7183" si="3554">-((H7183*0.019)+0.3)</f>
        <v>-3.2455699999999998</v>
      </c>
      <c r="K7183" s="396">
        <f t="shared" ref="K7183" si="3555">SUM(H7183:J7183)</f>
        <v>137.83173000000002</v>
      </c>
      <c r="L7183" s="131">
        <v>610.51</v>
      </c>
      <c r="N7183" s="199">
        <f t="shared" si="3537"/>
        <v>61.051000000000002</v>
      </c>
      <c r="O7183" s="411">
        <f t="shared" si="3543"/>
        <v>76.78073000000002</v>
      </c>
      <c r="P7183" s="132" t="s">
        <v>52</v>
      </c>
      <c r="Q7183" s="232"/>
      <c r="R7183" s="411">
        <v>11.48</v>
      </c>
      <c r="S7183" s="133" t="s">
        <v>4608</v>
      </c>
      <c r="T7183" s="134" t="s">
        <v>145</v>
      </c>
      <c r="U7183" s="267" t="s">
        <v>15232</v>
      </c>
      <c r="AA7183" s="218"/>
    </row>
    <row r="7184" spans="1:27" ht="24" x14ac:dyDescent="0.25">
      <c r="A7184" s="405">
        <v>3005634</v>
      </c>
      <c r="B7184" s="406">
        <v>42690</v>
      </c>
      <c r="C7184" s="405" t="s">
        <v>237</v>
      </c>
      <c r="D7184" s="401" t="s">
        <v>15233</v>
      </c>
      <c r="E7184" s="120">
        <v>100</v>
      </c>
      <c r="F7184" s="133" t="s">
        <v>341</v>
      </c>
      <c r="G7184" s="404" t="s">
        <v>7486</v>
      </c>
      <c r="H7184" s="411">
        <v>130</v>
      </c>
      <c r="I7184" s="397">
        <f t="shared" ref="I7184" si="3556">-(H7184*0.15)</f>
        <v>-19.5</v>
      </c>
      <c r="J7184" s="258">
        <v>0</v>
      </c>
      <c r="K7184" s="90">
        <f>SUM(H7184:J7184)</f>
        <v>110.5</v>
      </c>
      <c r="L7184" s="131">
        <v>698</v>
      </c>
      <c r="N7184" s="199">
        <f t="shared" si="3537"/>
        <v>69.8</v>
      </c>
      <c r="O7184" s="411">
        <f t="shared" si="3543"/>
        <v>40.700000000000003</v>
      </c>
      <c r="P7184" s="132" t="s">
        <v>52</v>
      </c>
      <c r="Q7184" s="232"/>
      <c r="R7184" s="411"/>
      <c r="T7184" s="134" t="s">
        <v>145</v>
      </c>
      <c r="U7184" s="267" t="s">
        <v>15234</v>
      </c>
      <c r="AA7184" s="218"/>
    </row>
    <row r="7185" spans="1:27" x14ac:dyDescent="0.25">
      <c r="A7185" s="405">
        <v>3005635</v>
      </c>
      <c r="B7185" s="406">
        <v>42690</v>
      </c>
      <c r="C7185" s="405" t="s">
        <v>237</v>
      </c>
      <c r="D7185" s="401" t="s">
        <v>15235</v>
      </c>
      <c r="E7185" s="120">
        <v>250</v>
      </c>
      <c r="F7185" s="133" t="s">
        <v>15236</v>
      </c>
      <c r="G7185" s="404" t="s">
        <v>7486</v>
      </c>
      <c r="H7185" s="411">
        <v>650</v>
      </c>
      <c r="I7185" s="397">
        <f t="shared" ref="I7185" si="3557">-(H7185*0.15)</f>
        <v>-97.5</v>
      </c>
      <c r="J7185" s="258">
        <v>0</v>
      </c>
      <c r="K7185" s="90">
        <f>SUM(H7185:J7185)</f>
        <v>552.5</v>
      </c>
      <c r="N7185" s="199">
        <f t="shared" si="3537"/>
        <v>0</v>
      </c>
      <c r="O7185" s="411">
        <f t="shared" si="3543"/>
        <v>552.5</v>
      </c>
      <c r="P7185" s="132" t="s">
        <v>15209</v>
      </c>
      <c r="Q7185" s="232"/>
      <c r="R7185" s="411"/>
      <c r="T7185" s="134" t="s">
        <v>314</v>
      </c>
      <c r="U7185" s="267" t="s">
        <v>15237</v>
      </c>
      <c r="AA7185" s="218"/>
    </row>
    <row r="7186" spans="1:27" ht="24" x14ac:dyDescent="0.25">
      <c r="A7186" s="405">
        <v>3005636</v>
      </c>
      <c r="B7186" s="406">
        <v>42690</v>
      </c>
      <c r="C7186" s="405" t="s">
        <v>237</v>
      </c>
      <c r="D7186" s="401" t="s">
        <v>15238</v>
      </c>
      <c r="E7186" s="120">
        <v>150</v>
      </c>
      <c r="F7186" s="133" t="s">
        <v>247</v>
      </c>
      <c r="G7186" s="404" t="s">
        <v>7486</v>
      </c>
      <c r="H7186" s="411">
        <v>135</v>
      </c>
      <c r="I7186" s="397">
        <f t="shared" ref="I7186" si="3558">-(H7186*0.15)</f>
        <v>-20.25</v>
      </c>
      <c r="J7186" s="258">
        <v>0</v>
      </c>
      <c r="K7186" s="90">
        <f>SUM(H7186:J7186)</f>
        <v>114.75</v>
      </c>
      <c r="L7186" s="131">
        <v>424</v>
      </c>
      <c r="N7186" s="199">
        <f t="shared" si="3537"/>
        <v>63.599999999999994</v>
      </c>
      <c r="O7186" s="411">
        <f t="shared" si="3543"/>
        <v>51.150000000000006</v>
      </c>
      <c r="P7186" s="132" t="s">
        <v>52</v>
      </c>
      <c r="Q7186" s="232"/>
      <c r="R7186" s="411"/>
      <c r="T7186" s="134" t="s">
        <v>145</v>
      </c>
      <c r="U7186" s="267" t="s">
        <v>15239</v>
      </c>
      <c r="AA7186" s="218"/>
    </row>
    <row r="7187" spans="1:27" x14ac:dyDescent="0.25">
      <c r="A7187" s="405">
        <v>3005637</v>
      </c>
      <c r="B7187" s="406">
        <v>42690</v>
      </c>
      <c r="C7187" s="405" t="s">
        <v>327</v>
      </c>
      <c r="D7187" s="401" t="s">
        <v>1949</v>
      </c>
      <c r="E7187" s="120">
        <v>500</v>
      </c>
      <c r="F7187" s="133" t="s">
        <v>300</v>
      </c>
      <c r="G7187" s="404" t="s">
        <v>7486</v>
      </c>
      <c r="H7187" s="411">
        <v>1850</v>
      </c>
      <c r="I7187" s="411">
        <v>0</v>
      </c>
      <c r="J7187" s="361">
        <f>-((H7187*0.022)+0.3)</f>
        <v>-40.999999999999993</v>
      </c>
      <c r="K7187" s="396">
        <f t="shared" ref="K7187" si="3559">SUM(H7187:J7187)</f>
        <v>1809</v>
      </c>
      <c r="L7187" s="131">
        <v>2150</v>
      </c>
      <c r="M7187" s="131">
        <v>244.1</v>
      </c>
      <c r="N7187" s="199">
        <f t="shared" si="3537"/>
        <v>1319.1</v>
      </c>
      <c r="O7187" s="411">
        <f t="shared" si="3543"/>
        <v>489.90000000000009</v>
      </c>
      <c r="P7187" s="132" t="s">
        <v>46</v>
      </c>
      <c r="Q7187" s="232"/>
      <c r="R7187" s="411"/>
      <c r="T7187" s="134" t="s">
        <v>97</v>
      </c>
      <c r="U7187" s="267" t="s">
        <v>15240</v>
      </c>
      <c r="V7187" s="133" t="s">
        <v>55</v>
      </c>
      <c r="W7187" s="153" t="s">
        <v>15241</v>
      </c>
      <c r="AA7187" s="218"/>
    </row>
    <row r="7188" spans="1:27" ht="24" x14ac:dyDescent="0.25">
      <c r="A7188" s="405">
        <v>3005638</v>
      </c>
      <c r="B7188" s="406">
        <v>42690</v>
      </c>
      <c r="C7188" s="405" t="s">
        <v>141</v>
      </c>
      <c r="D7188" s="401" t="s">
        <v>15242</v>
      </c>
      <c r="E7188" s="120">
        <v>50</v>
      </c>
      <c r="F7188" s="133" t="s">
        <v>161</v>
      </c>
      <c r="G7188" s="404" t="s">
        <v>7486</v>
      </c>
      <c r="H7188" s="411">
        <v>138.4</v>
      </c>
      <c r="I7188" s="411">
        <v>0</v>
      </c>
      <c r="J7188" s="361">
        <f>-((H7188*0.0325)+0.3)</f>
        <v>-4.798</v>
      </c>
      <c r="K7188" s="396">
        <f t="shared" ref="K7188:K7190" si="3560">SUM(H7188:J7188)</f>
        <v>133.602</v>
      </c>
      <c r="L7188" s="131">
        <v>1322</v>
      </c>
      <c r="N7188" s="199">
        <f t="shared" si="3537"/>
        <v>66.100000000000009</v>
      </c>
      <c r="O7188" s="411">
        <f t="shared" si="3543"/>
        <v>67.501999999999995</v>
      </c>
      <c r="P7188" s="132" t="s">
        <v>52</v>
      </c>
      <c r="Q7188" s="232"/>
      <c r="R7188" s="411">
        <v>10.4</v>
      </c>
      <c r="S7188" s="133" t="s">
        <v>5642</v>
      </c>
      <c r="T7188" s="134" t="s">
        <v>145</v>
      </c>
      <c r="U7188" s="267" t="s">
        <v>15243</v>
      </c>
      <c r="W7188" s="153" t="s">
        <v>15244</v>
      </c>
      <c r="AA7188" s="218"/>
    </row>
    <row r="7189" spans="1:27" ht="24" x14ac:dyDescent="0.25">
      <c r="A7189" s="405">
        <v>3005639</v>
      </c>
      <c r="B7189" s="406">
        <v>42690</v>
      </c>
      <c r="C7189" s="405" t="s">
        <v>78</v>
      </c>
      <c r="D7189" s="401" t="s">
        <v>15245</v>
      </c>
      <c r="E7189" s="120">
        <v>100</v>
      </c>
      <c r="F7189" s="133" t="s">
        <v>9252</v>
      </c>
      <c r="G7189" s="404" t="s">
        <v>7486</v>
      </c>
      <c r="H7189" s="411">
        <v>260</v>
      </c>
      <c r="I7189" s="411">
        <v>0</v>
      </c>
      <c r="J7189" s="361">
        <f t="shared" ref="J7189" si="3561">-((H7189*0.019)+0.3)</f>
        <v>-5.2399999999999993</v>
      </c>
      <c r="K7189" s="396">
        <f t="shared" si="3560"/>
        <v>254.76</v>
      </c>
      <c r="L7189" s="187">
        <v>1650</v>
      </c>
      <c r="N7189" s="199">
        <f t="shared" si="3537"/>
        <v>165</v>
      </c>
      <c r="O7189" s="411">
        <f t="shared" si="3543"/>
        <v>89.759999999999991</v>
      </c>
      <c r="P7189" s="132" t="s">
        <v>235</v>
      </c>
      <c r="Q7189" s="232"/>
      <c r="R7189" s="411"/>
      <c r="T7189" s="134" t="s">
        <v>145</v>
      </c>
      <c r="U7189" s="267" t="s">
        <v>15246</v>
      </c>
      <c r="W7189" s="153" t="s">
        <v>15247</v>
      </c>
      <c r="AA7189" s="218"/>
    </row>
    <row r="7190" spans="1:27" ht="24" x14ac:dyDescent="0.25">
      <c r="A7190" s="405">
        <v>3005640</v>
      </c>
      <c r="B7190" s="406">
        <v>42690</v>
      </c>
      <c r="C7190" s="405" t="s">
        <v>63</v>
      </c>
      <c r="D7190" s="401" t="s">
        <v>14082</v>
      </c>
      <c r="E7190" s="120">
        <v>20</v>
      </c>
      <c r="F7190" s="133" t="s">
        <v>14083</v>
      </c>
      <c r="G7190" s="404" t="s">
        <v>7486</v>
      </c>
      <c r="H7190" s="411">
        <v>840</v>
      </c>
      <c r="I7190" s="411">
        <v>0</v>
      </c>
      <c r="J7190" s="361">
        <f>-((H7190*0.022)+0.3)</f>
        <v>-18.78</v>
      </c>
      <c r="K7190" s="396">
        <f t="shared" si="3560"/>
        <v>821.22</v>
      </c>
      <c r="L7190" s="187">
        <v>8150</v>
      </c>
      <c r="M7190" s="224">
        <v>115</v>
      </c>
      <c r="N7190" s="199">
        <f t="shared" si="3537"/>
        <v>278</v>
      </c>
      <c r="O7190" s="411">
        <f t="shared" si="3543"/>
        <v>543.22</v>
      </c>
      <c r="P7190" s="132" t="s">
        <v>183</v>
      </c>
      <c r="Q7190" s="232"/>
      <c r="R7190" s="411"/>
      <c r="T7190" s="134" t="s">
        <v>756</v>
      </c>
      <c r="U7190" s="266" t="s">
        <v>756</v>
      </c>
      <c r="W7190" s="153" t="s">
        <v>15248</v>
      </c>
      <c r="AA7190" s="219">
        <v>10</v>
      </c>
    </row>
    <row r="7191" spans="1:27" ht="24" x14ac:dyDescent="0.25">
      <c r="A7191" s="405">
        <v>3005641</v>
      </c>
      <c r="B7191" s="406">
        <v>42690</v>
      </c>
      <c r="C7191" s="405" t="s">
        <v>63</v>
      </c>
      <c r="D7191" s="401" t="s">
        <v>15249</v>
      </c>
      <c r="E7191" s="120">
        <v>53</v>
      </c>
      <c r="F7191" s="133" t="s">
        <v>288</v>
      </c>
      <c r="G7191" s="404" t="s">
        <v>7486</v>
      </c>
      <c r="H7191" s="411">
        <v>160</v>
      </c>
      <c r="I7191" s="411">
        <v>0</v>
      </c>
      <c r="J7191" s="361">
        <f>-((H7191*0.022)+0.3)</f>
        <v>-3.8199999999999994</v>
      </c>
      <c r="K7191" s="396">
        <f t="shared" ref="K7191" si="3562">SUM(H7191:J7191)</f>
        <v>156.18</v>
      </c>
      <c r="L7191" s="187">
        <v>1300</v>
      </c>
      <c r="M7191" s="187">
        <v>20.64</v>
      </c>
      <c r="N7191" s="199">
        <f t="shared" si="3537"/>
        <v>89.539999999999992</v>
      </c>
      <c r="O7191" s="411">
        <f t="shared" si="3543"/>
        <v>66.640000000000015</v>
      </c>
      <c r="P7191" s="132" t="s">
        <v>183</v>
      </c>
      <c r="Q7191" s="232"/>
      <c r="R7191" s="411"/>
      <c r="T7191" s="134" t="s">
        <v>324</v>
      </c>
      <c r="U7191" s="266" t="s">
        <v>15250</v>
      </c>
      <c r="W7191" s="153" t="s">
        <v>15251</v>
      </c>
      <c r="AA7191" s="218"/>
    </row>
    <row r="7192" spans="1:27" ht="24" x14ac:dyDescent="0.25">
      <c r="A7192" s="405">
        <v>3005642</v>
      </c>
      <c r="B7192" s="406">
        <v>42690</v>
      </c>
      <c r="C7192" s="405" t="s">
        <v>327</v>
      </c>
      <c r="D7192" s="401" t="s">
        <v>15252</v>
      </c>
      <c r="E7192" s="120">
        <v>100</v>
      </c>
      <c r="F7192" s="133" t="s">
        <v>15253</v>
      </c>
      <c r="G7192" s="404" t="s">
        <v>7486</v>
      </c>
      <c r="H7192" s="411">
        <v>481.8</v>
      </c>
      <c r="I7192" s="411">
        <v>0</v>
      </c>
      <c r="J7192" s="361">
        <f>-((H7192*0.022)+0.3)</f>
        <v>-10.8996</v>
      </c>
      <c r="K7192" s="396">
        <f t="shared" ref="K7192" si="3563">SUM(H7192:J7192)</f>
        <v>470.90039999999999</v>
      </c>
      <c r="L7192" s="187">
        <v>2626.2</v>
      </c>
      <c r="N7192" s="199">
        <f t="shared" si="3537"/>
        <v>262.62</v>
      </c>
      <c r="O7192" s="411">
        <f t="shared" si="3543"/>
        <v>208.28039999999999</v>
      </c>
      <c r="P7192" s="132" t="s">
        <v>46</v>
      </c>
      <c r="Q7192" s="232"/>
      <c r="R7192" s="411"/>
      <c r="T7192" s="134" t="s">
        <v>145</v>
      </c>
      <c r="U7192" s="266">
        <v>675157532407</v>
      </c>
      <c r="W7192" s="153" t="s">
        <v>15254</v>
      </c>
      <c r="AA7192" s="218"/>
    </row>
    <row r="7193" spans="1:27" ht="36" x14ac:dyDescent="0.25">
      <c r="A7193" s="405">
        <v>3005643</v>
      </c>
      <c r="B7193" s="406">
        <v>42690</v>
      </c>
      <c r="C7193" s="405" t="s">
        <v>63</v>
      </c>
      <c r="D7193" s="401" t="s">
        <v>15255</v>
      </c>
      <c r="E7193" s="120">
        <v>1200</v>
      </c>
      <c r="F7193" s="119" t="s">
        <v>15256</v>
      </c>
      <c r="G7193" s="404" t="s">
        <v>7486</v>
      </c>
      <c r="H7193" s="411">
        <v>5630.96</v>
      </c>
      <c r="I7193" s="411">
        <v>0</v>
      </c>
      <c r="J7193" s="361">
        <f>-((H7193*0.022)+0.3)</f>
        <v>-124.18111999999999</v>
      </c>
      <c r="K7193" s="396">
        <f t="shared" ref="K7193:K7194" si="3564">SUM(H7193:J7193)</f>
        <v>5506.7788799999998</v>
      </c>
      <c r="L7193" s="224">
        <v>3902</v>
      </c>
      <c r="M7193" s="187">
        <f>75+196.89</f>
        <v>271.89</v>
      </c>
      <c r="N7193" s="199">
        <f t="shared" si="3537"/>
        <v>4954.29</v>
      </c>
      <c r="O7193" s="411">
        <f t="shared" si="3543"/>
        <v>552.48887999999988</v>
      </c>
      <c r="P7193" s="132" t="s">
        <v>330</v>
      </c>
      <c r="Q7193" s="232"/>
      <c r="R7193" s="411"/>
      <c r="T7193" s="134" t="s">
        <v>1027</v>
      </c>
      <c r="U7193" s="267" t="s">
        <v>15257</v>
      </c>
      <c r="V7193" s="133" t="s">
        <v>15258</v>
      </c>
      <c r="W7193" s="153" t="s">
        <v>15259</v>
      </c>
      <c r="AA7193" s="219">
        <v>50</v>
      </c>
    </row>
    <row r="7194" spans="1:27" ht="24" x14ac:dyDescent="0.25">
      <c r="A7194" s="405">
        <v>3005644</v>
      </c>
      <c r="B7194" s="406">
        <v>42690</v>
      </c>
      <c r="C7194" s="405" t="s">
        <v>42</v>
      </c>
      <c r="D7194" s="401" t="s">
        <v>15260</v>
      </c>
      <c r="E7194" s="120">
        <v>150</v>
      </c>
      <c r="F7194" s="133" t="s">
        <v>4315</v>
      </c>
      <c r="G7194" s="404" t="s">
        <v>9241</v>
      </c>
      <c r="H7194" s="411">
        <v>311.75</v>
      </c>
      <c r="I7194" s="89">
        <f>-(H7194*0.09)</f>
        <v>-28.057499999999997</v>
      </c>
      <c r="J7194" s="361">
        <f t="shared" ref="J7194" si="3565">-((H7194*0.019)+0.3)</f>
        <v>-6.2232499999999993</v>
      </c>
      <c r="K7194" s="396">
        <f t="shared" si="3564"/>
        <v>277.46924999999999</v>
      </c>
      <c r="L7194" s="187">
        <v>923.18</v>
      </c>
      <c r="N7194" s="199">
        <f t="shared" si="3537"/>
        <v>138.47699999999998</v>
      </c>
      <c r="O7194" s="411">
        <f t="shared" si="3543"/>
        <v>138.99225000000001</v>
      </c>
      <c r="P7194" s="132" t="s">
        <v>926</v>
      </c>
      <c r="Q7194" s="232"/>
      <c r="R7194" s="411"/>
      <c r="T7194" s="134" t="s">
        <v>145</v>
      </c>
      <c r="U7194" s="267" t="s">
        <v>15261</v>
      </c>
      <c r="AA7194" s="218"/>
    </row>
    <row r="7195" spans="1:27" ht="24" x14ac:dyDescent="0.25">
      <c r="A7195" s="405">
        <v>3005645</v>
      </c>
      <c r="B7195" s="406">
        <v>42690</v>
      </c>
      <c r="C7195" s="405" t="s">
        <v>237</v>
      </c>
      <c r="D7195" s="401" t="s">
        <v>15262</v>
      </c>
      <c r="E7195" s="120">
        <v>250</v>
      </c>
      <c r="F7195" s="133" t="s">
        <v>2949</v>
      </c>
      <c r="G7195" s="404" t="s">
        <v>7486</v>
      </c>
      <c r="H7195" s="411">
        <v>533.98</v>
      </c>
      <c r="I7195" s="397">
        <f t="shared" ref="I7195" si="3566">-(H7195*0.15)</f>
        <v>-80.096999999999994</v>
      </c>
      <c r="J7195" s="258">
        <v>0</v>
      </c>
      <c r="K7195" s="90">
        <f>SUM(H7195:J7195)</f>
        <v>453.88300000000004</v>
      </c>
      <c r="N7195" s="199">
        <f t="shared" si="3537"/>
        <v>0</v>
      </c>
      <c r="O7195" s="411">
        <f t="shared" si="3543"/>
        <v>453.88300000000004</v>
      </c>
      <c r="P7195" s="132" t="s">
        <v>52</v>
      </c>
      <c r="Q7195" s="232"/>
      <c r="R7195" s="411"/>
      <c r="T7195" s="134" t="s">
        <v>145</v>
      </c>
      <c r="U7195" s="267" t="s">
        <v>15263</v>
      </c>
      <c r="AA7195" s="218"/>
    </row>
    <row r="7196" spans="1:27" ht="24" x14ac:dyDescent="0.25">
      <c r="A7196" s="405">
        <v>3005646</v>
      </c>
      <c r="B7196" s="406">
        <v>42690</v>
      </c>
      <c r="C7196" s="405" t="s">
        <v>42</v>
      </c>
      <c r="D7196" s="401" t="s">
        <v>15264</v>
      </c>
      <c r="E7196" s="120">
        <v>250</v>
      </c>
      <c r="F7196" s="133" t="s">
        <v>1042</v>
      </c>
      <c r="G7196" s="404" t="s">
        <v>7486</v>
      </c>
      <c r="H7196" s="411">
        <v>95</v>
      </c>
      <c r="I7196" s="89">
        <f>-(H7196*0.09)</f>
        <v>-8.5499999999999989</v>
      </c>
      <c r="J7196" s="361">
        <f t="shared" ref="J7196" si="3567">-((H7196*0.019)+0.3)</f>
        <v>-2.105</v>
      </c>
      <c r="K7196" s="396">
        <f t="shared" ref="K7196:K7197" si="3568">SUM(H7196:J7196)</f>
        <v>84.344999999999999</v>
      </c>
      <c r="L7196" s="131">
        <v>150</v>
      </c>
      <c r="N7196" s="199">
        <f t="shared" si="3537"/>
        <v>37.5</v>
      </c>
      <c r="O7196" s="411">
        <f t="shared" si="3543"/>
        <v>46.844999999999999</v>
      </c>
      <c r="P7196" s="132" t="s">
        <v>52</v>
      </c>
      <c r="Q7196" s="232"/>
      <c r="R7196" s="411"/>
      <c r="T7196" s="134" t="s">
        <v>145</v>
      </c>
      <c r="U7196" s="267" t="s">
        <v>15265</v>
      </c>
      <c r="AA7196" s="218"/>
    </row>
    <row r="7197" spans="1:27" ht="24" x14ac:dyDescent="0.25">
      <c r="A7197" s="405">
        <v>3005647</v>
      </c>
      <c r="B7197" s="406">
        <v>42690</v>
      </c>
      <c r="C7197" s="405" t="s">
        <v>63</v>
      </c>
      <c r="D7197" s="401" t="s">
        <v>15266</v>
      </c>
      <c r="E7197" s="120">
        <v>75</v>
      </c>
      <c r="F7197" s="133" t="s">
        <v>176</v>
      </c>
      <c r="G7197" s="404" t="s">
        <v>7486</v>
      </c>
      <c r="H7197" s="411">
        <v>257</v>
      </c>
      <c r="I7197" s="411">
        <v>0</v>
      </c>
      <c r="J7197" s="361">
        <f>-((H7197*0.022)+0.3)</f>
        <v>-5.9539999999999997</v>
      </c>
      <c r="K7197" s="396">
        <f t="shared" si="3568"/>
        <v>251.04599999999999</v>
      </c>
      <c r="L7197" s="131">
        <v>1693</v>
      </c>
      <c r="N7197" s="199">
        <f t="shared" si="3537"/>
        <v>126.97499999999999</v>
      </c>
      <c r="O7197" s="411">
        <f t="shared" si="3543"/>
        <v>124.071</v>
      </c>
      <c r="P7197" s="132" t="s">
        <v>52</v>
      </c>
      <c r="Q7197" s="232"/>
      <c r="R7197" s="411"/>
      <c r="T7197" s="134" t="s">
        <v>145</v>
      </c>
      <c r="U7197" s="267" t="s">
        <v>15267</v>
      </c>
      <c r="W7197" s="153" t="s">
        <v>15268</v>
      </c>
      <c r="AA7197" s="218"/>
    </row>
    <row r="7198" spans="1:27" x14ac:dyDescent="0.25">
      <c r="A7198" s="405">
        <v>3005648</v>
      </c>
      <c r="B7198" s="406">
        <v>42690</v>
      </c>
      <c r="C7198" s="405" t="s">
        <v>63</v>
      </c>
      <c r="D7198" s="401" t="s">
        <v>15269</v>
      </c>
      <c r="E7198" s="120">
        <v>11000</v>
      </c>
      <c r="F7198" s="133" t="s">
        <v>15270</v>
      </c>
      <c r="G7198" s="404" t="s">
        <v>7486</v>
      </c>
      <c r="H7198" s="411">
        <v>5500</v>
      </c>
      <c r="I7198" s="411">
        <v>0</v>
      </c>
      <c r="J7198" s="361">
        <f>-((H7198*0.022)+0.3)</f>
        <v>-121.3</v>
      </c>
      <c r="K7198" s="396">
        <f t="shared" ref="K7198" si="3569">SUM(H7198:J7198)</f>
        <v>5378.7</v>
      </c>
      <c r="L7198" s="187">
        <v>235</v>
      </c>
      <c r="M7198" s="187">
        <v>0</v>
      </c>
      <c r="N7198" s="199">
        <f t="shared" si="3537"/>
        <v>2585</v>
      </c>
      <c r="O7198" s="411">
        <f t="shared" si="3543"/>
        <v>2793.7</v>
      </c>
      <c r="P7198" s="132" t="s">
        <v>3597</v>
      </c>
      <c r="Q7198" s="232"/>
      <c r="R7198" s="411"/>
      <c r="T7198" s="134" t="s">
        <v>399</v>
      </c>
      <c r="U7198" s="267" t="s">
        <v>15271</v>
      </c>
      <c r="W7198" s="153" t="s">
        <v>15272</v>
      </c>
      <c r="AA7198" s="219">
        <v>50</v>
      </c>
    </row>
    <row r="7199" spans="1:27" ht="24" x14ac:dyDescent="0.25">
      <c r="A7199" s="419">
        <v>3005649</v>
      </c>
      <c r="B7199" s="421">
        <v>42690</v>
      </c>
      <c r="C7199" s="419" t="s">
        <v>327</v>
      </c>
      <c r="D7199" s="417" t="s">
        <v>15273</v>
      </c>
      <c r="E7199" s="120">
        <v>500</v>
      </c>
      <c r="F7199" s="119" t="s">
        <v>15274</v>
      </c>
      <c r="G7199" s="434" t="s">
        <v>7486</v>
      </c>
      <c r="H7199" s="427">
        <v>4190</v>
      </c>
      <c r="I7199" s="427">
        <v>0</v>
      </c>
      <c r="J7199" s="425">
        <f>-((H7199*0.022)+0.3)</f>
        <v>-92.47999999999999</v>
      </c>
      <c r="K7199" s="425">
        <f t="shared" ref="K7199" si="3570">SUM(H7199:J7199)</f>
        <v>4097.5200000000004</v>
      </c>
      <c r="L7199" s="187">
        <v>1200</v>
      </c>
      <c r="M7199" s="187">
        <v>37.15</v>
      </c>
      <c r="N7199" s="199">
        <f t="shared" si="3537"/>
        <v>637.15</v>
      </c>
      <c r="O7199" s="411">
        <f t="shared" si="3543"/>
        <v>3460.3700000000003</v>
      </c>
      <c r="P7199" s="132" t="s">
        <v>183</v>
      </c>
      <c r="Q7199" s="232"/>
      <c r="R7199" s="411"/>
      <c r="T7199" s="134" t="s">
        <v>145</v>
      </c>
      <c r="U7199" s="267" t="s">
        <v>15275</v>
      </c>
      <c r="W7199" s="153" t="s">
        <v>15276</v>
      </c>
      <c r="AA7199" s="547">
        <v>10</v>
      </c>
    </row>
    <row r="7200" spans="1:27" ht="24" x14ac:dyDescent="0.25">
      <c r="A7200" s="432"/>
      <c r="B7200" s="433"/>
      <c r="C7200" s="432"/>
      <c r="D7200" s="454"/>
      <c r="E7200" s="120">
        <v>509</v>
      </c>
      <c r="F7200" s="119" t="s">
        <v>15277</v>
      </c>
      <c r="G7200" s="435"/>
      <c r="H7200" s="438"/>
      <c r="I7200" s="438"/>
      <c r="J7200" s="437"/>
      <c r="K7200" s="437"/>
      <c r="L7200" s="187">
        <v>1000</v>
      </c>
      <c r="M7200" s="224"/>
      <c r="N7200" s="199">
        <f t="shared" si="3537"/>
        <v>509</v>
      </c>
      <c r="O7200" s="411">
        <f t="shared" si="3543"/>
        <v>-509</v>
      </c>
      <c r="P7200" s="132" t="s">
        <v>2895</v>
      </c>
      <c r="Q7200" s="232"/>
      <c r="R7200" s="411"/>
      <c r="T7200" s="439" t="s">
        <v>204</v>
      </c>
      <c r="U7200" s="299" t="s">
        <v>15278</v>
      </c>
      <c r="AA7200" s="619"/>
    </row>
    <row r="7201" spans="1:27" ht="24" x14ac:dyDescent="0.25">
      <c r="A7201" s="420"/>
      <c r="B7201" s="422"/>
      <c r="C7201" s="420"/>
      <c r="D7201" s="418"/>
      <c r="E7201" s="120">
        <v>509</v>
      </c>
      <c r="F7201" s="119" t="s">
        <v>15277</v>
      </c>
      <c r="G7201" s="436"/>
      <c r="H7201" s="428"/>
      <c r="I7201" s="428"/>
      <c r="J7201" s="426"/>
      <c r="K7201" s="426"/>
      <c r="L7201" s="187">
        <v>1000</v>
      </c>
      <c r="M7201" s="224">
        <v>133.88999999999999</v>
      </c>
      <c r="N7201" s="199">
        <f t="shared" si="3537"/>
        <v>642.89</v>
      </c>
      <c r="O7201" s="411">
        <f t="shared" si="3543"/>
        <v>-642.89</v>
      </c>
      <c r="P7201" s="132" t="s">
        <v>2895</v>
      </c>
      <c r="Q7201" s="232"/>
      <c r="R7201" s="411"/>
      <c r="T7201" s="441"/>
      <c r="U7201" s="339" t="s">
        <v>15279</v>
      </c>
      <c r="AA7201" s="548"/>
    </row>
    <row r="7202" spans="1:27" ht="24" x14ac:dyDescent="0.25">
      <c r="A7202" s="405">
        <v>3005650</v>
      </c>
      <c r="B7202" s="406">
        <v>42690</v>
      </c>
      <c r="C7202" s="405" t="s">
        <v>237</v>
      </c>
      <c r="D7202" s="401" t="s">
        <v>15280</v>
      </c>
      <c r="E7202" s="120">
        <v>200</v>
      </c>
      <c r="F7202" s="133" t="s">
        <v>51</v>
      </c>
      <c r="G7202" s="404" t="s">
        <v>7486</v>
      </c>
      <c r="H7202" s="411">
        <v>351</v>
      </c>
      <c r="I7202" s="397">
        <f t="shared" ref="I7202" si="3571">-(H7202*0.15)</f>
        <v>-52.65</v>
      </c>
      <c r="J7202" s="258">
        <v>0</v>
      </c>
      <c r="K7202" s="90">
        <f>SUM(H7202:J7202)</f>
        <v>298.35000000000002</v>
      </c>
      <c r="L7202" s="131">
        <v>1383</v>
      </c>
      <c r="M7202" s="131">
        <v>0</v>
      </c>
      <c r="N7202" s="199">
        <f t="shared" si="3537"/>
        <v>276.60000000000002</v>
      </c>
      <c r="O7202" s="411">
        <f t="shared" si="3543"/>
        <v>21.75</v>
      </c>
      <c r="P7202" s="132" t="s">
        <v>14218</v>
      </c>
      <c r="Q7202" s="232"/>
      <c r="R7202" s="411"/>
      <c r="T7202" s="134" t="s">
        <v>260</v>
      </c>
      <c r="U7202" s="267" t="s">
        <v>15281</v>
      </c>
      <c r="AA7202" s="218"/>
    </row>
    <row r="7203" spans="1:27" ht="24" x14ac:dyDescent="0.25">
      <c r="A7203" s="405">
        <v>3005651</v>
      </c>
      <c r="B7203" s="406">
        <v>42691</v>
      </c>
      <c r="C7203" s="405" t="s">
        <v>42</v>
      </c>
      <c r="D7203" s="401" t="s">
        <v>15282</v>
      </c>
      <c r="E7203" s="120">
        <v>325</v>
      </c>
      <c r="F7203" s="133" t="s">
        <v>829</v>
      </c>
      <c r="G7203" s="404" t="s">
        <v>7486</v>
      </c>
      <c r="H7203" s="411">
        <v>308.8</v>
      </c>
      <c r="I7203" s="89">
        <f t="shared" ref="I7203:I7209" si="3572">-(H7203*0.09)</f>
        <v>-27.792000000000002</v>
      </c>
      <c r="J7203" s="361">
        <f t="shared" ref="J7203" si="3573">-((H7203*0.019)+0.3)</f>
        <v>-6.1672000000000002</v>
      </c>
      <c r="K7203" s="396">
        <f t="shared" ref="K7203" si="3574">SUM(H7203:J7203)</f>
        <v>274.84080000000006</v>
      </c>
      <c r="L7203" s="131">
        <v>510</v>
      </c>
      <c r="N7203" s="199">
        <f t="shared" si="3537"/>
        <v>165.75</v>
      </c>
      <c r="O7203" s="411">
        <f t="shared" si="3543"/>
        <v>109.09080000000006</v>
      </c>
      <c r="P7203" s="132" t="s">
        <v>52</v>
      </c>
      <c r="Q7203" s="232"/>
      <c r="R7203" s="411"/>
      <c r="T7203" s="134" t="s">
        <v>145</v>
      </c>
      <c r="U7203" s="267" t="s">
        <v>15283</v>
      </c>
      <c r="AA7203" s="218"/>
    </row>
    <row r="7204" spans="1:27" ht="24" x14ac:dyDescent="0.25">
      <c r="A7204" s="405">
        <v>3005652</v>
      </c>
      <c r="B7204" s="406">
        <v>42691</v>
      </c>
      <c r="C7204" s="405" t="s">
        <v>42</v>
      </c>
      <c r="D7204" s="401" t="s">
        <v>15284</v>
      </c>
      <c r="E7204" s="120">
        <v>200</v>
      </c>
      <c r="F7204" s="133" t="s">
        <v>451</v>
      </c>
      <c r="G7204" s="404" t="s">
        <v>7486</v>
      </c>
      <c r="H7204" s="411">
        <v>140.30000000000001</v>
      </c>
      <c r="I7204" s="89">
        <f t="shared" si="3572"/>
        <v>-12.627000000000001</v>
      </c>
      <c r="J7204" s="361">
        <f t="shared" ref="J7204" si="3575">-((H7204*0.019)+0.3)</f>
        <v>-2.9657</v>
      </c>
      <c r="K7204" s="396">
        <f t="shared" ref="K7204" si="3576">SUM(H7204:J7204)</f>
        <v>124.70730000000002</v>
      </c>
      <c r="L7204" s="131">
        <v>300</v>
      </c>
      <c r="N7204" s="199">
        <f t="shared" si="3537"/>
        <v>60</v>
      </c>
      <c r="O7204" s="411">
        <f t="shared" si="3543"/>
        <v>64.707300000000018</v>
      </c>
      <c r="P7204" s="132" t="s">
        <v>52</v>
      </c>
      <c r="Q7204" s="232"/>
      <c r="R7204" s="411"/>
      <c r="T7204" s="134" t="s">
        <v>145</v>
      </c>
      <c r="U7204" s="267" t="s">
        <v>15285</v>
      </c>
      <c r="AA7204" s="218"/>
    </row>
    <row r="7205" spans="1:27" ht="24" x14ac:dyDescent="0.25">
      <c r="A7205" s="405">
        <v>3005653</v>
      </c>
      <c r="B7205" s="406">
        <v>42691</v>
      </c>
      <c r="C7205" s="405" t="s">
        <v>42</v>
      </c>
      <c r="D7205" s="401" t="s">
        <v>3326</v>
      </c>
      <c r="E7205" s="120">
        <v>500</v>
      </c>
      <c r="F7205" s="133" t="s">
        <v>1137</v>
      </c>
      <c r="G7205" s="404" t="s">
        <v>7486</v>
      </c>
      <c r="H7205" s="411">
        <v>230</v>
      </c>
      <c r="I7205" s="89">
        <f t="shared" si="3572"/>
        <v>-20.7</v>
      </c>
      <c r="J7205" s="361">
        <f t="shared" ref="J7205" si="3577">-((H7205*0.019)+0.3)</f>
        <v>-4.67</v>
      </c>
      <c r="K7205" s="396">
        <f t="shared" ref="K7205" si="3578">SUM(H7205:J7205)</f>
        <v>204.63000000000002</v>
      </c>
      <c r="L7205" s="131">
        <v>220</v>
      </c>
      <c r="N7205" s="199">
        <f t="shared" si="3537"/>
        <v>110</v>
      </c>
      <c r="O7205" s="411">
        <f t="shared" si="3543"/>
        <v>94.630000000000024</v>
      </c>
      <c r="P7205" s="132" t="s">
        <v>52</v>
      </c>
      <c r="Q7205" s="232"/>
      <c r="R7205" s="411"/>
      <c r="T7205" s="134" t="s">
        <v>145</v>
      </c>
      <c r="U7205" s="267" t="s">
        <v>15286</v>
      </c>
      <c r="AA7205" s="218"/>
    </row>
    <row r="7206" spans="1:27" ht="24" x14ac:dyDescent="0.25">
      <c r="A7206" s="405">
        <v>3005654</v>
      </c>
      <c r="B7206" s="406">
        <v>42691</v>
      </c>
      <c r="C7206" s="405" t="s">
        <v>42</v>
      </c>
      <c r="D7206" s="401" t="s">
        <v>15287</v>
      </c>
      <c r="E7206" s="120">
        <v>100</v>
      </c>
      <c r="F7206" s="133" t="s">
        <v>300</v>
      </c>
      <c r="G7206" s="404" t="s">
        <v>7486</v>
      </c>
      <c r="H7206" s="411">
        <v>450</v>
      </c>
      <c r="I7206" s="89">
        <f t="shared" si="3572"/>
        <v>-40.5</v>
      </c>
      <c r="J7206" s="361">
        <f t="shared" ref="J7206" si="3579">-((H7206*0.019)+0.3)</f>
        <v>-8.85</v>
      </c>
      <c r="K7206" s="396">
        <f t="shared" ref="K7206" si="3580">SUM(H7206:J7206)</f>
        <v>400.65</v>
      </c>
      <c r="L7206" s="131">
        <v>2150</v>
      </c>
      <c r="N7206" s="199">
        <f t="shared" si="3537"/>
        <v>215</v>
      </c>
      <c r="O7206" s="411">
        <f t="shared" si="3543"/>
        <v>185.64999999999998</v>
      </c>
      <c r="P7206" s="132" t="s">
        <v>52</v>
      </c>
      <c r="Q7206" s="232"/>
      <c r="R7206" s="411"/>
      <c r="T7206" s="134" t="s">
        <v>145</v>
      </c>
      <c r="U7206" s="267" t="s">
        <v>15288</v>
      </c>
      <c r="AA7206" s="218"/>
    </row>
    <row r="7207" spans="1:27" ht="24" x14ac:dyDescent="0.25">
      <c r="A7207" s="405">
        <v>3005655</v>
      </c>
      <c r="B7207" s="406">
        <v>42691</v>
      </c>
      <c r="C7207" s="405" t="s">
        <v>42</v>
      </c>
      <c r="D7207" s="401" t="s">
        <v>5513</v>
      </c>
      <c r="E7207" s="120">
        <v>50</v>
      </c>
      <c r="F7207" s="133" t="s">
        <v>860</v>
      </c>
      <c r="G7207" s="404" t="s">
        <v>7486</v>
      </c>
      <c r="H7207" s="411">
        <v>370</v>
      </c>
      <c r="I7207" s="89">
        <f t="shared" si="3572"/>
        <v>-33.299999999999997</v>
      </c>
      <c r="J7207" s="361">
        <f t="shared" ref="J7207" si="3581">-((H7207*0.019)+0.3)</f>
        <v>-7.33</v>
      </c>
      <c r="K7207" s="396">
        <f t="shared" ref="K7207" si="3582">SUM(H7207:J7207)</f>
        <v>329.37</v>
      </c>
      <c r="L7207" s="131">
        <v>3300</v>
      </c>
      <c r="N7207" s="199">
        <f t="shared" si="3537"/>
        <v>165</v>
      </c>
      <c r="O7207" s="411">
        <f t="shared" si="3543"/>
        <v>164.37</v>
      </c>
      <c r="P7207" s="132" t="s">
        <v>52</v>
      </c>
      <c r="Q7207" s="232"/>
      <c r="R7207" s="411"/>
      <c r="T7207" s="134" t="s">
        <v>145</v>
      </c>
      <c r="U7207" s="267" t="s">
        <v>15289</v>
      </c>
      <c r="AA7207" s="218"/>
    </row>
    <row r="7208" spans="1:27" ht="24" x14ac:dyDescent="0.25">
      <c r="A7208" s="405">
        <v>3005656</v>
      </c>
      <c r="B7208" s="406">
        <v>42691</v>
      </c>
      <c r="C7208" s="405" t="s">
        <v>42</v>
      </c>
      <c r="D7208" s="401" t="s">
        <v>15290</v>
      </c>
      <c r="E7208" s="120">
        <v>100</v>
      </c>
      <c r="F7208" s="133" t="s">
        <v>431</v>
      </c>
      <c r="G7208" s="404" t="s">
        <v>7486</v>
      </c>
      <c r="H7208" s="411">
        <v>216.09</v>
      </c>
      <c r="I7208" s="89">
        <f t="shared" si="3572"/>
        <v>-19.4481</v>
      </c>
      <c r="J7208" s="361">
        <f t="shared" ref="J7208" si="3583">-((H7208*0.019)+0.3)</f>
        <v>-4.40571</v>
      </c>
      <c r="K7208" s="396">
        <f t="shared" ref="K7208" si="3584">SUM(H7208:J7208)</f>
        <v>192.23618999999999</v>
      </c>
      <c r="L7208" s="131">
        <v>950</v>
      </c>
      <c r="N7208" s="199">
        <f t="shared" si="3537"/>
        <v>95</v>
      </c>
      <c r="O7208" s="411">
        <f t="shared" si="3543"/>
        <v>97.236189999999993</v>
      </c>
      <c r="P7208" s="132" t="s">
        <v>52</v>
      </c>
      <c r="Q7208" s="232"/>
      <c r="R7208" s="411">
        <v>16.010000000000002</v>
      </c>
      <c r="S7208" s="133" t="s">
        <v>7228</v>
      </c>
      <c r="T7208" s="134" t="s">
        <v>145</v>
      </c>
      <c r="U7208" s="267" t="s">
        <v>15291</v>
      </c>
      <c r="AA7208" s="218"/>
    </row>
    <row r="7209" spans="1:27" ht="24" x14ac:dyDescent="0.25">
      <c r="A7209" s="405">
        <v>3005657</v>
      </c>
      <c r="B7209" s="406">
        <v>42691</v>
      </c>
      <c r="C7209" s="405" t="s">
        <v>42</v>
      </c>
      <c r="D7209" s="401" t="s">
        <v>15292</v>
      </c>
      <c r="E7209" s="120">
        <v>200</v>
      </c>
      <c r="F7209" s="133" t="s">
        <v>15293</v>
      </c>
      <c r="G7209" s="404" t="s">
        <v>7486</v>
      </c>
      <c r="H7209" s="411">
        <v>147.12</v>
      </c>
      <c r="I7209" s="89">
        <f t="shared" si="3572"/>
        <v>-13.2408</v>
      </c>
      <c r="J7209" s="361">
        <f t="shared" ref="J7209" si="3585">-((H7209*0.019)+0.3)</f>
        <v>-3.0952799999999998</v>
      </c>
      <c r="K7209" s="396">
        <f t="shared" ref="K7209" si="3586">SUM(H7209:J7209)</f>
        <v>130.78391999999999</v>
      </c>
      <c r="L7209" s="131">
        <v>235</v>
      </c>
      <c r="N7209" s="199">
        <f t="shared" si="3537"/>
        <v>47</v>
      </c>
      <c r="O7209" s="411">
        <f t="shared" si="3543"/>
        <v>83.783919999999995</v>
      </c>
      <c r="P7209" s="132" t="s">
        <v>52</v>
      </c>
      <c r="Q7209" s="232"/>
      <c r="R7209" s="411"/>
      <c r="T7209" s="134" t="s">
        <v>145</v>
      </c>
      <c r="U7209" s="267" t="s">
        <v>15294</v>
      </c>
      <c r="AA7209" s="218"/>
    </row>
    <row r="7210" spans="1:27" ht="24" x14ac:dyDescent="0.25">
      <c r="A7210" s="405">
        <v>3005658</v>
      </c>
      <c r="B7210" s="406">
        <v>42691</v>
      </c>
      <c r="C7210" s="405" t="s">
        <v>237</v>
      </c>
      <c r="D7210" s="401" t="s">
        <v>413</v>
      </c>
      <c r="E7210" s="120">
        <v>500</v>
      </c>
      <c r="F7210" s="133" t="s">
        <v>972</v>
      </c>
      <c r="G7210" s="404" t="s">
        <v>7486</v>
      </c>
      <c r="H7210" s="411">
        <v>186</v>
      </c>
      <c r="I7210" s="397">
        <f t="shared" ref="I7210" si="3587">-(H7210*0.15)</f>
        <v>-27.9</v>
      </c>
      <c r="J7210" s="258">
        <v>0</v>
      </c>
      <c r="K7210" s="90">
        <f>SUM(H7210:J7210)</f>
        <v>158.1</v>
      </c>
      <c r="L7210" s="131">
        <v>205</v>
      </c>
      <c r="N7210" s="199">
        <f t="shared" si="3537"/>
        <v>102.5</v>
      </c>
      <c r="O7210" s="411">
        <f t="shared" si="3543"/>
        <v>55.599999999999994</v>
      </c>
      <c r="P7210" s="132" t="s">
        <v>52</v>
      </c>
      <c r="Q7210" s="232"/>
      <c r="R7210" s="411"/>
      <c r="T7210" s="134" t="s">
        <v>145</v>
      </c>
      <c r="U7210" s="267" t="s">
        <v>15295</v>
      </c>
      <c r="AA7210" s="218"/>
    </row>
    <row r="7211" spans="1:27" ht="24" x14ac:dyDescent="0.25">
      <c r="A7211" s="405">
        <v>3005659</v>
      </c>
      <c r="B7211" s="406">
        <v>42691</v>
      </c>
      <c r="C7211" s="405" t="s">
        <v>237</v>
      </c>
      <c r="D7211" s="401" t="s">
        <v>15296</v>
      </c>
      <c r="E7211" s="120">
        <v>100</v>
      </c>
      <c r="F7211" s="133" t="s">
        <v>247</v>
      </c>
      <c r="G7211" s="404" t="s">
        <v>7486</v>
      </c>
      <c r="H7211" s="411">
        <v>110</v>
      </c>
      <c r="I7211" s="397">
        <f t="shared" ref="I7211" si="3588">-(H7211*0.15)</f>
        <v>-16.5</v>
      </c>
      <c r="J7211" s="258">
        <v>0</v>
      </c>
      <c r="K7211" s="90">
        <f>SUM(H7211:J7211)</f>
        <v>93.5</v>
      </c>
      <c r="L7211" s="131">
        <v>424</v>
      </c>
      <c r="N7211" s="199">
        <f t="shared" si="3537"/>
        <v>42.400000000000006</v>
      </c>
      <c r="O7211" s="411">
        <f t="shared" si="3543"/>
        <v>51.099999999999994</v>
      </c>
      <c r="P7211" s="132" t="s">
        <v>52</v>
      </c>
      <c r="Q7211" s="232"/>
      <c r="R7211" s="411"/>
      <c r="T7211" s="134" t="s">
        <v>145</v>
      </c>
      <c r="U7211" s="267" t="s">
        <v>15297</v>
      </c>
      <c r="AA7211" s="218"/>
    </row>
    <row r="7212" spans="1:27" ht="16.5" customHeight="1" x14ac:dyDescent="0.25">
      <c r="A7212" s="419">
        <v>3005660</v>
      </c>
      <c r="B7212" s="421">
        <v>42691</v>
      </c>
      <c r="C7212" s="419" t="s">
        <v>56</v>
      </c>
      <c r="D7212" s="417" t="s">
        <v>3179</v>
      </c>
      <c r="E7212" s="120">
        <v>500</v>
      </c>
      <c r="F7212" s="133" t="s">
        <v>708</v>
      </c>
      <c r="G7212" s="460" t="s">
        <v>7486</v>
      </c>
      <c r="H7212" s="427">
        <v>3744</v>
      </c>
      <c r="I7212" s="427">
        <v>0</v>
      </c>
      <c r="J7212" s="427">
        <v>0</v>
      </c>
      <c r="K7212" s="425">
        <f>SUM(H7212:J7212)</f>
        <v>3744</v>
      </c>
      <c r="L7212" s="131">
        <v>2015</v>
      </c>
      <c r="M7212" s="485">
        <v>242.76</v>
      </c>
      <c r="N7212" s="199">
        <f t="shared" si="3537"/>
        <v>1250.26</v>
      </c>
      <c r="O7212" s="411">
        <f t="shared" si="3543"/>
        <v>2493.7399999999998</v>
      </c>
      <c r="P7212" s="132" t="s">
        <v>52</v>
      </c>
      <c r="Q7212" s="232"/>
      <c r="R7212" s="411"/>
      <c r="T7212" s="439" t="s">
        <v>1467</v>
      </c>
      <c r="U7212" s="446" t="s">
        <v>15298</v>
      </c>
      <c r="V7212" s="133" t="s">
        <v>55</v>
      </c>
      <c r="AA7212" s="218"/>
    </row>
    <row r="7213" spans="1:27" x14ac:dyDescent="0.25">
      <c r="A7213" s="432"/>
      <c r="B7213" s="433"/>
      <c r="C7213" s="432"/>
      <c r="D7213" s="454"/>
      <c r="E7213" s="120">
        <v>500</v>
      </c>
      <c r="F7213" s="133" t="s">
        <v>939</v>
      </c>
      <c r="G7213" s="461"/>
      <c r="H7213" s="438"/>
      <c r="I7213" s="438"/>
      <c r="J7213" s="438"/>
      <c r="K7213" s="437"/>
      <c r="L7213" s="131">
        <v>431</v>
      </c>
      <c r="M7213" s="486"/>
      <c r="N7213" s="199">
        <f t="shared" si="3537"/>
        <v>215.5</v>
      </c>
      <c r="O7213" s="411">
        <f t="shared" si="3543"/>
        <v>-215.5</v>
      </c>
      <c r="P7213" s="132" t="s">
        <v>52</v>
      </c>
      <c r="Q7213" s="232"/>
      <c r="R7213" s="411"/>
      <c r="T7213" s="440"/>
      <c r="U7213" s="448"/>
      <c r="V7213" s="133" t="s">
        <v>15299</v>
      </c>
      <c r="AA7213" s="218"/>
    </row>
    <row r="7214" spans="1:27" x14ac:dyDescent="0.25">
      <c r="A7214" s="432"/>
      <c r="B7214" s="433"/>
      <c r="C7214" s="432"/>
      <c r="D7214" s="454"/>
      <c r="E7214" s="120">
        <v>1000</v>
      </c>
      <c r="F7214" s="133" t="s">
        <v>51</v>
      </c>
      <c r="G7214" s="461"/>
      <c r="H7214" s="438"/>
      <c r="I7214" s="438"/>
      <c r="J7214" s="438"/>
      <c r="K7214" s="437"/>
      <c r="L7214" s="131">
        <v>909</v>
      </c>
      <c r="M7214" s="486"/>
      <c r="N7214" s="199">
        <f t="shared" si="3537"/>
        <v>909</v>
      </c>
      <c r="O7214" s="411">
        <f t="shared" si="3543"/>
        <v>-909</v>
      </c>
      <c r="P7214" s="132" t="s">
        <v>52</v>
      </c>
      <c r="Q7214" s="232"/>
      <c r="R7214" s="411"/>
      <c r="T7214" s="440"/>
      <c r="U7214" s="448"/>
      <c r="AA7214" s="218"/>
    </row>
    <row r="7215" spans="1:27" x14ac:dyDescent="0.25">
      <c r="A7215" s="420"/>
      <c r="B7215" s="422"/>
      <c r="C7215" s="420"/>
      <c r="D7215" s="418"/>
      <c r="E7215" s="120">
        <v>1000</v>
      </c>
      <c r="F7215" s="133" t="s">
        <v>1273</v>
      </c>
      <c r="G7215" s="462"/>
      <c r="H7215" s="428"/>
      <c r="I7215" s="428"/>
      <c r="J7215" s="428"/>
      <c r="K7215" s="426"/>
      <c r="L7215" s="131">
        <v>616</v>
      </c>
      <c r="M7215" s="487"/>
      <c r="N7215" s="199">
        <f t="shared" si="3537"/>
        <v>616</v>
      </c>
      <c r="O7215" s="411">
        <f t="shared" si="3543"/>
        <v>-616</v>
      </c>
      <c r="P7215" s="132" t="s">
        <v>52</v>
      </c>
      <c r="Q7215" s="232"/>
      <c r="R7215" s="411"/>
      <c r="T7215" s="441"/>
      <c r="U7215" s="447"/>
      <c r="AA7215" s="218"/>
    </row>
    <row r="7216" spans="1:27" x14ac:dyDescent="0.25">
      <c r="A7216" s="405">
        <v>3005661</v>
      </c>
      <c r="B7216" s="406">
        <v>42691</v>
      </c>
      <c r="C7216" s="405" t="s">
        <v>63</v>
      </c>
      <c r="D7216" s="401" t="s">
        <v>15300</v>
      </c>
      <c r="E7216" s="120">
        <v>220</v>
      </c>
      <c r="F7216" s="133" t="s">
        <v>182</v>
      </c>
      <c r="G7216" s="404" t="s">
        <v>45</v>
      </c>
      <c r="H7216" s="411">
        <v>370</v>
      </c>
      <c r="I7216" s="411">
        <v>0</v>
      </c>
      <c r="J7216" s="361">
        <f>-((H7216*0.022)+0.3)</f>
        <v>-8.44</v>
      </c>
      <c r="K7216" s="90">
        <f>SUM(H7216:J7216)</f>
        <v>361.56</v>
      </c>
      <c r="L7216" s="187">
        <v>1340</v>
      </c>
      <c r="M7216" s="187">
        <v>105</v>
      </c>
      <c r="N7216" s="199">
        <f t="shared" si="3537"/>
        <v>399.8</v>
      </c>
      <c r="O7216" s="411">
        <f t="shared" si="3543"/>
        <v>-38.240000000000009</v>
      </c>
      <c r="P7216" s="132" t="s">
        <v>183</v>
      </c>
      <c r="Q7216" s="232"/>
      <c r="R7216" s="411"/>
      <c r="T7216" s="134" t="s">
        <v>760</v>
      </c>
      <c r="U7216" s="267" t="s">
        <v>15301</v>
      </c>
      <c r="W7216" s="153" t="s">
        <v>15302</v>
      </c>
      <c r="AA7216" s="218"/>
    </row>
    <row r="7217" spans="1:27" ht="24" x14ac:dyDescent="0.25">
      <c r="A7217" s="405">
        <v>3005662</v>
      </c>
      <c r="B7217" s="406">
        <v>42691</v>
      </c>
      <c r="C7217" s="405" t="s">
        <v>42</v>
      </c>
      <c r="D7217" s="401" t="s">
        <v>15303</v>
      </c>
      <c r="E7217" s="120">
        <v>250</v>
      </c>
      <c r="F7217" s="133" t="s">
        <v>288</v>
      </c>
      <c r="G7217" s="404" t="s">
        <v>45</v>
      </c>
      <c r="H7217" s="411">
        <v>450.62</v>
      </c>
      <c r="I7217" s="89">
        <f>-(H7217*0.09)</f>
        <v>-40.555799999999998</v>
      </c>
      <c r="J7217" s="361">
        <f t="shared" ref="J7217" si="3589">-((H7217*0.019)+0.3)</f>
        <v>-8.8617800000000013</v>
      </c>
      <c r="K7217" s="396">
        <f t="shared" ref="K7217" si="3590">SUM(H7217:J7217)</f>
        <v>401.20242000000002</v>
      </c>
      <c r="L7217" s="131">
        <v>900</v>
      </c>
      <c r="N7217" s="199">
        <f t="shared" si="3537"/>
        <v>225</v>
      </c>
      <c r="O7217" s="411">
        <f t="shared" si="3543"/>
        <v>176.20242000000002</v>
      </c>
      <c r="P7217" s="132" t="s">
        <v>52</v>
      </c>
      <c r="Q7217" s="232"/>
      <c r="R7217" s="411"/>
      <c r="T7217" s="134" t="s">
        <v>145</v>
      </c>
      <c r="U7217" s="267" t="s">
        <v>15304</v>
      </c>
      <c r="AA7217" s="218"/>
    </row>
    <row r="7218" spans="1:27" ht="24" x14ac:dyDescent="0.25">
      <c r="A7218" s="405">
        <v>3005663</v>
      </c>
      <c r="B7218" s="406">
        <v>42691</v>
      </c>
      <c r="C7218" s="405" t="s">
        <v>141</v>
      </c>
      <c r="D7218" s="401" t="s">
        <v>15305</v>
      </c>
      <c r="E7218" s="120">
        <v>250</v>
      </c>
      <c r="F7218" s="119" t="s">
        <v>15306</v>
      </c>
      <c r="G7218" s="404" t="s">
        <v>45</v>
      </c>
      <c r="H7218" s="411">
        <v>1885</v>
      </c>
      <c r="I7218" s="411">
        <v>0</v>
      </c>
      <c r="J7218" s="361">
        <f>-((H7218*0.0325)+0.3)</f>
        <v>-61.5625</v>
      </c>
      <c r="K7218" s="90">
        <f>SUM(H7218:J7218)</f>
        <v>1823.4375</v>
      </c>
      <c r="L7218" s="187">
        <v>4845.82</v>
      </c>
      <c r="M7218" s="187">
        <f>181.54+40</f>
        <v>221.54</v>
      </c>
      <c r="N7218" s="199">
        <f t="shared" si="3537"/>
        <v>1432.9949999999999</v>
      </c>
      <c r="O7218" s="411">
        <f t="shared" si="3543"/>
        <v>390.44250000000011</v>
      </c>
      <c r="P7218" s="132" t="s">
        <v>46</v>
      </c>
      <c r="Q7218" s="232"/>
      <c r="R7218" s="411"/>
      <c r="T7218" s="134" t="s">
        <v>639</v>
      </c>
      <c r="U7218" s="266">
        <v>340398741</v>
      </c>
      <c r="V7218" s="133" t="s">
        <v>15307</v>
      </c>
      <c r="W7218" s="153" t="s">
        <v>15308</v>
      </c>
      <c r="AA7218" s="219">
        <v>10</v>
      </c>
    </row>
    <row r="7219" spans="1:27" ht="24" x14ac:dyDescent="0.25">
      <c r="A7219" s="405">
        <v>3005664</v>
      </c>
      <c r="B7219" s="406">
        <v>42691</v>
      </c>
      <c r="C7219" s="405" t="s">
        <v>42</v>
      </c>
      <c r="D7219" s="401" t="s">
        <v>15309</v>
      </c>
      <c r="E7219" s="120">
        <v>85</v>
      </c>
      <c r="F7219" s="133" t="s">
        <v>5955</v>
      </c>
      <c r="G7219" s="404" t="s">
        <v>45</v>
      </c>
      <c r="H7219" s="411">
        <v>200.7</v>
      </c>
      <c r="I7219" s="89">
        <f>-(H7219*0.09)</f>
        <v>-18.062999999999999</v>
      </c>
      <c r="J7219" s="361">
        <f t="shared" ref="J7219" si="3591">-((H7219*0.019)+0.3)</f>
        <v>-4.1132999999999997</v>
      </c>
      <c r="K7219" s="396">
        <f t="shared" ref="K7219" si="3592">SUM(H7219:J7219)</f>
        <v>178.52369999999999</v>
      </c>
      <c r="L7219" s="187">
        <v>1050</v>
      </c>
      <c r="M7219" s="187">
        <v>22.72</v>
      </c>
      <c r="N7219" s="199">
        <f t="shared" si="3537"/>
        <v>111.97</v>
      </c>
      <c r="O7219" s="411">
        <f t="shared" si="3543"/>
        <v>66.553699999999992</v>
      </c>
      <c r="P7219" s="132" t="s">
        <v>183</v>
      </c>
      <c r="Q7219" s="232"/>
      <c r="R7219" s="411"/>
      <c r="T7219" s="134" t="s">
        <v>145</v>
      </c>
      <c r="U7219" s="267" t="s">
        <v>15310</v>
      </c>
      <c r="AA7219" s="218"/>
    </row>
    <row r="7220" spans="1:27" ht="24" x14ac:dyDescent="0.25">
      <c r="A7220" s="405">
        <v>3005665</v>
      </c>
      <c r="B7220" s="406">
        <v>42691</v>
      </c>
      <c r="C7220" s="405" t="s">
        <v>141</v>
      </c>
      <c r="D7220" s="401" t="s">
        <v>13074</v>
      </c>
      <c r="E7220" s="120">
        <v>500</v>
      </c>
      <c r="F7220" s="133" t="s">
        <v>1547</v>
      </c>
      <c r="G7220" s="404" t="s">
        <v>45</v>
      </c>
      <c r="H7220" s="411">
        <v>503</v>
      </c>
      <c r="I7220" s="411">
        <v>0</v>
      </c>
      <c r="J7220" s="361">
        <f>-((H7220*0.0325)+0.3)</f>
        <v>-16.647500000000001</v>
      </c>
      <c r="K7220" s="90">
        <f>SUM(H7220:J7220)</f>
        <v>486.35250000000002</v>
      </c>
      <c r="L7220" s="131">
        <v>330</v>
      </c>
      <c r="N7220" s="199">
        <f t="shared" si="3537"/>
        <v>165</v>
      </c>
      <c r="O7220" s="411">
        <f t="shared" si="3543"/>
        <v>321.35250000000002</v>
      </c>
      <c r="P7220" s="132" t="s">
        <v>52</v>
      </c>
      <c r="Q7220" s="232"/>
      <c r="R7220" s="411"/>
      <c r="T7220" s="134" t="s">
        <v>145</v>
      </c>
      <c r="U7220" s="267" t="s">
        <v>15311</v>
      </c>
      <c r="W7220" s="153" t="s">
        <v>13076</v>
      </c>
      <c r="AA7220" s="218"/>
    </row>
    <row r="7221" spans="1:27" ht="24" x14ac:dyDescent="0.25">
      <c r="A7221" s="405">
        <v>3005666</v>
      </c>
      <c r="B7221" s="406">
        <v>42691</v>
      </c>
      <c r="C7221" s="405" t="s">
        <v>237</v>
      </c>
      <c r="D7221" s="401" t="s">
        <v>15312</v>
      </c>
      <c r="E7221" s="120">
        <v>250</v>
      </c>
      <c r="F7221" s="133" t="s">
        <v>247</v>
      </c>
      <c r="G7221" s="404" t="s">
        <v>7486</v>
      </c>
      <c r="H7221" s="411">
        <v>250</v>
      </c>
      <c r="I7221" s="397">
        <f t="shared" ref="I7221" si="3593">-(H7221*0.15)</f>
        <v>-37.5</v>
      </c>
      <c r="J7221" s="258">
        <v>0</v>
      </c>
      <c r="K7221" s="90">
        <f>SUM(H7221:J7221)</f>
        <v>212.5</v>
      </c>
      <c r="L7221" s="131">
        <v>424</v>
      </c>
      <c r="N7221" s="199">
        <f t="shared" si="3537"/>
        <v>106</v>
      </c>
      <c r="O7221" s="411">
        <f t="shared" si="3543"/>
        <v>106.5</v>
      </c>
      <c r="P7221" s="132" t="s">
        <v>52</v>
      </c>
      <c r="Q7221" s="232"/>
      <c r="R7221" s="411"/>
      <c r="T7221" s="134" t="s">
        <v>145</v>
      </c>
      <c r="U7221" s="267" t="s">
        <v>15313</v>
      </c>
      <c r="AA7221" s="218"/>
    </row>
    <row r="7222" spans="1:27" ht="24" customHeight="1" x14ac:dyDescent="0.25">
      <c r="A7222" s="419">
        <v>3005667</v>
      </c>
      <c r="B7222" s="421">
        <v>42691</v>
      </c>
      <c r="C7222" s="419" t="s">
        <v>237</v>
      </c>
      <c r="D7222" s="417" t="s">
        <v>15314</v>
      </c>
      <c r="E7222" s="120">
        <v>250</v>
      </c>
      <c r="F7222" s="133" t="s">
        <v>590</v>
      </c>
      <c r="G7222" s="434" t="s">
        <v>7486</v>
      </c>
      <c r="H7222" s="427">
        <v>496.1</v>
      </c>
      <c r="I7222" s="452">
        <f t="shared" ref="I7222" si="3594">-(H7222*0.15)</f>
        <v>-74.415000000000006</v>
      </c>
      <c r="J7222" s="425">
        <v>0</v>
      </c>
      <c r="K7222" s="425">
        <f>SUM(H7222:J7222)</f>
        <v>421.685</v>
      </c>
      <c r="L7222" s="131">
        <v>560</v>
      </c>
      <c r="N7222" s="199">
        <f t="shared" si="3537"/>
        <v>140</v>
      </c>
      <c r="O7222" s="411">
        <f t="shared" si="3543"/>
        <v>281.685</v>
      </c>
      <c r="P7222" s="132" t="s">
        <v>52</v>
      </c>
      <c r="Q7222" s="232"/>
      <c r="R7222" s="411"/>
      <c r="T7222" s="439" t="s">
        <v>145</v>
      </c>
      <c r="U7222" s="267" t="s">
        <v>15315</v>
      </c>
      <c r="AA7222" s="218"/>
    </row>
    <row r="7223" spans="1:27" x14ac:dyDescent="0.25">
      <c r="A7223" s="420"/>
      <c r="B7223" s="422"/>
      <c r="C7223" s="420"/>
      <c r="D7223" s="418"/>
      <c r="E7223" s="120">
        <v>250</v>
      </c>
      <c r="F7223" s="133" t="s">
        <v>173</v>
      </c>
      <c r="G7223" s="436"/>
      <c r="H7223" s="428"/>
      <c r="I7223" s="453"/>
      <c r="J7223" s="426"/>
      <c r="K7223" s="426"/>
      <c r="L7223" s="131">
        <v>400</v>
      </c>
      <c r="N7223" s="199">
        <f t="shared" si="3537"/>
        <v>100</v>
      </c>
      <c r="O7223" s="411">
        <f t="shared" si="3543"/>
        <v>-100</v>
      </c>
      <c r="P7223" s="132" t="s">
        <v>52</v>
      </c>
      <c r="Q7223" s="232"/>
      <c r="R7223" s="411"/>
      <c r="T7223" s="441"/>
      <c r="U7223" s="267" t="s">
        <v>15316</v>
      </c>
      <c r="AA7223" s="218"/>
    </row>
    <row r="7224" spans="1:27" ht="24" x14ac:dyDescent="0.25">
      <c r="A7224" s="405">
        <v>3005668</v>
      </c>
      <c r="B7224" s="406">
        <v>42691</v>
      </c>
      <c r="C7224" s="405" t="s">
        <v>237</v>
      </c>
      <c r="D7224" s="401" t="s">
        <v>15317</v>
      </c>
      <c r="E7224" s="120">
        <v>100</v>
      </c>
      <c r="F7224" s="133" t="s">
        <v>288</v>
      </c>
      <c r="G7224" s="404" t="s">
        <v>7486</v>
      </c>
      <c r="H7224" s="411">
        <v>189.14</v>
      </c>
      <c r="I7224" s="397">
        <f t="shared" ref="I7224" si="3595">-(H7224*0.15)</f>
        <v>-28.370999999999999</v>
      </c>
      <c r="J7224" s="258">
        <v>0</v>
      </c>
      <c r="K7224" s="90">
        <f>SUM(H7224:J7224)</f>
        <v>160.76899999999998</v>
      </c>
      <c r="L7224" s="131">
        <v>900</v>
      </c>
      <c r="N7224" s="199">
        <f t="shared" si="3537"/>
        <v>90</v>
      </c>
      <c r="O7224" s="411">
        <f t="shared" si="3543"/>
        <v>70.768999999999977</v>
      </c>
      <c r="P7224" s="132" t="s">
        <v>52</v>
      </c>
      <c r="Q7224" s="232"/>
      <c r="R7224" s="411"/>
      <c r="T7224" s="134" t="s">
        <v>145</v>
      </c>
      <c r="U7224" s="267" t="s">
        <v>15318</v>
      </c>
      <c r="AA7224" s="218"/>
    </row>
    <row r="7225" spans="1:27" x14ac:dyDescent="0.25">
      <c r="A7225" s="419">
        <v>3005669</v>
      </c>
      <c r="B7225" s="421">
        <v>42691</v>
      </c>
      <c r="C7225" s="419" t="s">
        <v>141</v>
      </c>
      <c r="D7225" s="417" t="s">
        <v>4308</v>
      </c>
      <c r="E7225" s="120">
        <v>1000</v>
      </c>
      <c r="F7225" s="133" t="s">
        <v>161</v>
      </c>
      <c r="G7225" s="434" t="s">
        <v>7486</v>
      </c>
      <c r="H7225" s="427">
        <v>3750</v>
      </c>
      <c r="I7225" s="427">
        <v>0</v>
      </c>
      <c r="J7225" s="425">
        <f>-((H7225*0.0325)+0.3)</f>
        <v>-122.175</v>
      </c>
      <c r="K7225" s="425">
        <f>SUM(H7225:J7225)</f>
        <v>3627.8249999999998</v>
      </c>
      <c r="L7225" s="187">
        <v>1581.33</v>
      </c>
      <c r="M7225" s="177"/>
      <c r="N7225" s="199">
        <f t="shared" si="3537"/>
        <v>1581.33</v>
      </c>
      <c r="O7225" s="411">
        <f t="shared" si="3543"/>
        <v>2046.4949999999999</v>
      </c>
      <c r="P7225" s="132" t="s">
        <v>46</v>
      </c>
      <c r="Q7225" s="232"/>
      <c r="R7225" s="411"/>
      <c r="T7225" s="439" t="s">
        <v>260</v>
      </c>
      <c r="U7225" s="444">
        <v>3947846851</v>
      </c>
      <c r="W7225" s="153" t="s">
        <v>4310</v>
      </c>
      <c r="AA7225" s="547">
        <v>10</v>
      </c>
    </row>
    <row r="7226" spans="1:27" x14ac:dyDescent="0.25">
      <c r="A7226" s="420"/>
      <c r="B7226" s="422"/>
      <c r="C7226" s="420"/>
      <c r="D7226" s="418"/>
      <c r="E7226" s="120">
        <v>1000</v>
      </c>
      <c r="F7226" s="133" t="s">
        <v>431</v>
      </c>
      <c r="G7226" s="436"/>
      <c r="H7226" s="428"/>
      <c r="I7226" s="428"/>
      <c r="J7226" s="426"/>
      <c r="K7226" s="426"/>
      <c r="L7226" s="187">
        <v>1244.83</v>
      </c>
      <c r="M7226" s="177"/>
      <c r="N7226" s="199">
        <f t="shared" si="3537"/>
        <v>1244.83</v>
      </c>
      <c r="O7226" s="411">
        <f t="shared" si="3543"/>
        <v>-1244.83</v>
      </c>
      <c r="P7226" s="132" t="s">
        <v>46</v>
      </c>
      <c r="Q7226" s="232"/>
      <c r="R7226" s="411"/>
      <c r="T7226" s="441"/>
      <c r="U7226" s="445"/>
      <c r="AA7226" s="548"/>
    </row>
    <row r="7227" spans="1:27" ht="24" x14ac:dyDescent="0.25">
      <c r="A7227" s="405">
        <v>3005670</v>
      </c>
      <c r="B7227" s="406">
        <v>42692</v>
      </c>
      <c r="C7227" s="405" t="s">
        <v>1229</v>
      </c>
      <c r="D7227" s="401" t="s">
        <v>15319</v>
      </c>
      <c r="E7227" s="120">
        <v>250</v>
      </c>
      <c r="F7227" s="133" t="s">
        <v>451</v>
      </c>
      <c r="G7227" s="404" t="s">
        <v>7486</v>
      </c>
      <c r="H7227" s="411">
        <v>0</v>
      </c>
      <c r="I7227" s="411">
        <v>0</v>
      </c>
      <c r="J7227" s="411">
        <v>0</v>
      </c>
      <c r="K7227" s="411">
        <v>0</v>
      </c>
      <c r="L7227" s="131">
        <v>300</v>
      </c>
      <c r="N7227" s="199">
        <f t="shared" si="3537"/>
        <v>75</v>
      </c>
      <c r="O7227" s="411">
        <f t="shared" si="3543"/>
        <v>-75</v>
      </c>
      <c r="P7227" s="132" t="s">
        <v>52</v>
      </c>
      <c r="Q7227" s="232"/>
      <c r="R7227" s="411"/>
      <c r="T7227" s="134" t="s">
        <v>145</v>
      </c>
      <c r="U7227" s="267" t="s">
        <v>15320</v>
      </c>
      <c r="W7227" s="153" t="s">
        <v>14135</v>
      </c>
    </row>
    <row r="7228" spans="1:27" ht="24" x14ac:dyDescent="0.25">
      <c r="A7228" s="405">
        <v>3005671</v>
      </c>
      <c r="B7228" s="406">
        <v>42692</v>
      </c>
      <c r="C7228" s="405" t="s">
        <v>42</v>
      </c>
      <c r="D7228" s="401" t="s">
        <v>15321</v>
      </c>
      <c r="E7228" s="120">
        <v>1000</v>
      </c>
      <c r="F7228" s="119" t="s">
        <v>15322</v>
      </c>
      <c r="G7228" s="404" t="s">
        <v>7486</v>
      </c>
      <c r="H7228" s="411">
        <v>270</v>
      </c>
      <c r="I7228" s="89">
        <f>-(H7228*0.09)</f>
        <v>-24.3</v>
      </c>
      <c r="J7228" s="361">
        <f t="shared" ref="J7228" si="3596">-((H7228*0.019)+0.3)</f>
        <v>-5.43</v>
      </c>
      <c r="K7228" s="396">
        <f t="shared" ref="K7228" si="3597">SUM(H7228:J7228)</f>
        <v>240.26999999999998</v>
      </c>
      <c r="L7228" s="187">
        <v>140</v>
      </c>
      <c r="M7228" s="187">
        <v>14.73</v>
      </c>
      <c r="N7228" s="199">
        <f t="shared" si="3537"/>
        <v>154.72999999999999</v>
      </c>
      <c r="O7228" s="411">
        <f t="shared" si="3543"/>
        <v>85.539999999999992</v>
      </c>
      <c r="P7228" s="132" t="s">
        <v>183</v>
      </c>
      <c r="Q7228" s="232"/>
      <c r="R7228" s="411"/>
      <c r="T7228" s="134" t="s">
        <v>145</v>
      </c>
      <c r="U7228" s="267" t="s">
        <v>15323</v>
      </c>
      <c r="AA7228" s="218"/>
    </row>
    <row r="7229" spans="1:27" x14ac:dyDescent="0.25">
      <c r="A7229" s="405">
        <v>3005672</v>
      </c>
      <c r="B7229" s="406">
        <v>42692</v>
      </c>
      <c r="C7229" s="405" t="s">
        <v>42</v>
      </c>
      <c r="D7229" s="401" t="s">
        <v>13137</v>
      </c>
      <c r="E7229" s="120">
        <v>300</v>
      </c>
      <c r="F7229" s="133" t="s">
        <v>528</v>
      </c>
      <c r="G7229" s="404" t="s">
        <v>7486</v>
      </c>
      <c r="H7229" s="411">
        <v>747.21</v>
      </c>
      <c r="I7229" s="89">
        <f>-(H7229*0.09)</f>
        <v>-67.248900000000006</v>
      </c>
      <c r="J7229" s="361">
        <f t="shared" ref="J7229" si="3598">-((H7229*0.019)+0.3)</f>
        <v>-14.49699</v>
      </c>
      <c r="K7229" s="396">
        <f t="shared" ref="K7229" si="3599">SUM(H7229:J7229)</f>
        <v>665.46411000000001</v>
      </c>
      <c r="L7229" s="131">
        <v>1035</v>
      </c>
      <c r="M7229" s="187">
        <v>128.99</v>
      </c>
      <c r="N7229" s="199">
        <f t="shared" si="3537"/>
        <v>439.49</v>
      </c>
      <c r="O7229" s="411">
        <f t="shared" si="3543"/>
        <v>225.97411</v>
      </c>
      <c r="P7229" s="132" t="s">
        <v>52</v>
      </c>
      <c r="Q7229" s="232"/>
      <c r="R7229" s="411"/>
      <c r="T7229" s="134" t="s">
        <v>270</v>
      </c>
      <c r="U7229" s="267" t="s">
        <v>15324</v>
      </c>
      <c r="AA7229" s="218"/>
    </row>
    <row r="7230" spans="1:27" ht="36" x14ac:dyDescent="0.25">
      <c r="A7230" s="405">
        <v>3005673</v>
      </c>
      <c r="B7230" s="406">
        <v>42692</v>
      </c>
      <c r="C7230" s="405" t="s">
        <v>42</v>
      </c>
      <c r="D7230" s="401" t="s">
        <v>14492</v>
      </c>
      <c r="E7230" s="120">
        <v>250</v>
      </c>
      <c r="F7230" s="119" t="s">
        <v>15325</v>
      </c>
      <c r="G7230" s="404" t="s">
        <v>7486</v>
      </c>
      <c r="H7230" s="411">
        <v>319</v>
      </c>
      <c r="I7230" s="89">
        <f>-(H7230*0.09)</f>
        <v>-28.709999999999997</v>
      </c>
      <c r="J7230" s="361">
        <f t="shared" ref="J7230" si="3600">-((H7230*0.019)+0.3)</f>
        <v>-6.3609999999999998</v>
      </c>
      <c r="K7230" s="396">
        <f t="shared" ref="K7230" si="3601">SUM(H7230:J7230)</f>
        <v>283.92900000000003</v>
      </c>
      <c r="L7230" s="131">
        <v>740</v>
      </c>
      <c r="N7230" s="199">
        <f t="shared" ref="N7230:N7293" si="3602">((L7230)*(E7230*0.001))+M7230</f>
        <v>185</v>
      </c>
      <c r="O7230" s="411">
        <f t="shared" si="3543"/>
        <v>98.92900000000003</v>
      </c>
      <c r="P7230" s="132" t="s">
        <v>643</v>
      </c>
      <c r="Q7230" s="232"/>
      <c r="R7230" s="411"/>
      <c r="T7230" s="134" t="s">
        <v>324</v>
      </c>
      <c r="U7230" s="267" t="s">
        <v>15326</v>
      </c>
      <c r="AA7230" s="218"/>
    </row>
    <row r="7231" spans="1:27" ht="24" x14ac:dyDescent="0.25">
      <c r="A7231" s="405">
        <v>3005674</v>
      </c>
      <c r="B7231" s="406">
        <v>42692</v>
      </c>
      <c r="C7231" s="405" t="s">
        <v>42</v>
      </c>
      <c r="D7231" s="401" t="s">
        <v>15327</v>
      </c>
      <c r="E7231" s="120">
        <v>100</v>
      </c>
      <c r="F7231" s="133" t="s">
        <v>593</v>
      </c>
      <c r="G7231" s="404" t="s">
        <v>7486</v>
      </c>
      <c r="H7231" s="411">
        <v>143.55000000000001</v>
      </c>
      <c r="I7231" s="89">
        <f>-(H7231*0.09)</f>
        <v>-12.919500000000001</v>
      </c>
      <c r="J7231" s="361">
        <f t="shared" ref="J7231" si="3603">-((H7231*0.019)+0.3)</f>
        <v>-3.02745</v>
      </c>
      <c r="K7231" s="396">
        <f t="shared" ref="K7231" si="3604">SUM(H7231:J7231)</f>
        <v>127.60305000000001</v>
      </c>
      <c r="L7231" s="131">
        <v>622</v>
      </c>
      <c r="N7231" s="199">
        <f t="shared" si="3602"/>
        <v>62.2</v>
      </c>
      <c r="O7231" s="411">
        <f t="shared" si="3543"/>
        <v>65.403050000000007</v>
      </c>
      <c r="P7231" s="132" t="s">
        <v>52</v>
      </c>
      <c r="Q7231" s="232"/>
      <c r="R7231" s="411"/>
      <c r="T7231" s="134" t="s">
        <v>145</v>
      </c>
      <c r="U7231" s="267" t="s">
        <v>15328</v>
      </c>
      <c r="AA7231" s="218"/>
    </row>
    <row r="7232" spans="1:27" x14ac:dyDescent="0.25">
      <c r="A7232" s="405">
        <v>3005675</v>
      </c>
      <c r="B7232" s="406">
        <v>42692</v>
      </c>
      <c r="C7232" s="405" t="s">
        <v>141</v>
      </c>
      <c r="D7232" s="401" t="s">
        <v>8946</v>
      </c>
      <c r="E7232" s="120">
        <v>400</v>
      </c>
      <c r="F7232" s="133" t="s">
        <v>528</v>
      </c>
      <c r="G7232" s="404" t="s">
        <v>7486</v>
      </c>
      <c r="H7232" s="411">
        <v>846.6</v>
      </c>
      <c r="I7232" s="411">
        <v>0</v>
      </c>
      <c r="J7232" s="361">
        <f>-((H7232*0.0325)+0.3)</f>
        <v>-27.814500000000002</v>
      </c>
      <c r="K7232" s="90">
        <f>SUM(H7232:J7232)</f>
        <v>818.78550000000007</v>
      </c>
      <c r="L7232" s="131">
        <v>1035</v>
      </c>
      <c r="M7232" s="187">
        <v>135.99</v>
      </c>
      <c r="N7232" s="199">
        <f t="shared" si="3602"/>
        <v>549.99</v>
      </c>
      <c r="O7232" s="411">
        <f t="shared" si="3543"/>
        <v>268.79550000000006</v>
      </c>
      <c r="P7232" s="132" t="s">
        <v>52</v>
      </c>
      <c r="Q7232" s="232"/>
      <c r="R7232" s="411"/>
      <c r="T7232" s="134" t="s">
        <v>270</v>
      </c>
      <c r="U7232" s="267" t="s">
        <v>15329</v>
      </c>
      <c r="W7232" s="153" t="s">
        <v>8948</v>
      </c>
      <c r="AA7232" s="218"/>
    </row>
    <row r="7233" spans="1:27" ht="24" x14ac:dyDescent="0.25">
      <c r="A7233" s="405">
        <v>3005676</v>
      </c>
      <c r="B7233" s="406">
        <v>42692</v>
      </c>
      <c r="C7233" s="405" t="s">
        <v>42</v>
      </c>
      <c r="D7233" s="401" t="s">
        <v>15330</v>
      </c>
      <c r="E7233" s="120">
        <v>500</v>
      </c>
      <c r="F7233" s="119" t="s">
        <v>15331</v>
      </c>
      <c r="G7233" s="404" t="s">
        <v>7486</v>
      </c>
      <c r="H7233" s="411">
        <v>205</v>
      </c>
      <c r="I7233" s="89">
        <f>-(H7233*0.09)</f>
        <v>-18.45</v>
      </c>
      <c r="J7233" s="361">
        <f t="shared" ref="J7233" si="3605">-((H7233*0.019)+0.3)</f>
        <v>-4.1950000000000003</v>
      </c>
      <c r="K7233" s="396">
        <f t="shared" ref="K7233" si="3606">SUM(H7233:J7233)</f>
        <v>182.35500000000002</v>
      </c>
      <c r="L7233" s="187">
        <v>150</v>
      </c>
      <c r="M7233" s="187">
        <v>22.72</v>
      </c>
      <c r="N7233" s="199">
        <f t="shared" si="3602"/>
        <v>97.72</v>
      </c>
      <c r="O7233" s="411">
        <f t="shared" si="3543"/>
        <v>84.635000000000019</v>
      </c>
      <c r="P7233" s="132" t="s">
        <v>1505</v>
      </c>
      <c r="Q7233" s="232"/>
      <c r="R7233" s="411"/>
      <c r="T7233" s="134" t="s">
        <v>145</v>
      </c>
      <c r="U7233" s="267" t="s">
        <v>15332</v>
      </c>
      <c r="AA7233" s="218"/>
    </row>
    <row r="7234" spans="1:27" ht="24" x14ac:dyDescent="0.25">
      <c r="A7234" s="405">
        <v>3005677</v>
      </c>
      <c r="B7234" s="406">
        <v>42692</v>
      </c>
      <c r="C7234" s="405" t="s">
        <v>42</v>
      </c>
      <c r="D7234" s="401" t="s">
        <v>15333</v>
      </c>
      <c r="E7234" s="120">
        <v>75</v>
      </c>
      <c r="F7234" s="133" t="s">
        <v>161</v>
      </c>
      <c r="G7234" s="404" t="s">
        <v>7486</v>
      </c>
      <c r="H7234" s="411">
        <v>193</v>
      </c>
      <c r="I7234" s="89">
        <f>-(H7234*0.09)</f>
        <v>-17.37</v>
      </c>
      <c r="J7234" s="361">
        <f t="shared" ref="J7234" si="3607">-((H7234*0.019)+0.3)</f>
        <v>-3.9669999999999996</v>
      </c>
      <c r="K7234" s="396">
        <f t="shared" ref="K7234" si="3608">SUM(H7234:J7234)</f>
        <v>171.66299999999998</v>
      </c>
      <c r="L7234" s="131">
        <v>1322</v>
      </c>
      <c r="N7234" s="199">
        <f t="shared" si="3602"/>
        <v>99.149999999999991</v>
      </c>
      <c r="O7234" s="411">
        <f t="shared" si="3543"/>
        <v>72.512999999999991</v>
      </c>
      <c r="P7234" s="132" t="s">
        <v>52</v>
      </c>
      <c r="Q7234" s="232"/>
      <c r="R7234" s="411"/>
      <c r="T7234" s="134" t="s">
        <v>145</v>
      </c>
      <c r="U7234" s="267" t="s">
        <v>15334</v>
      </c>
      <c r="AA7234" s="218"/>
    </row>
    <row r="7235" spans="1:27" ht="24" x14ac:dyDescent="0.25">
      <c r="A7235" s="405">
        <v>3005678</v>
      </c>
      <c r="B7235" s="406">
        <v>42692</v>
      </c>
      <c r="C7235" s="405" t="s">
        <v>42</v>
      </c>
      <c r="D7235" s="401" t="s">
        <v>15335</v>
      </c>
      <c r="E7235" s="120">
        <v>500</v>
      </c>
      <c r="F7235" s="119" t="s">
        <v>15336</v>
      </c>
      <c r="G7235" s="404" t="s">
        <v>7486</v>
      </c>
      <c r="H7235" s="411">
        <v>168</v>
      </c>
      <c r="I7235" s="89">
        <f>-(H7235*0.09)</f>
        <v>-15.12</v>
      </c>
      <c r="J7235" s="361">
        <f t="shared" ref="J7235" si="3609">-((H7235*0.019)+0.3)</f>
        <v>-3.4919999999999995</v>
      </c>
      <c r="K7235" s="396">
        <f t="shared" ref="K7235" si="3610">SUM(H7235:J7235)</f>
        <v>149.38800000000001</v>
      </c>
      <c r="L7235" s="187">
        <v>163</v>
      </c>
      <c r="M7235" s="187">
        <v>15.72</v>
      </c>
      <c r="N7235" s="199">
        <f t="shared" si="3602"/>
        <v>97.22</v>
      </c>
      <c r="O7235" s="411">
        <f t="shared" si="3543"/>
        <v>52.168000000000006</v>
      </c>
      <c r="P7235" s="132" t="s">
        <v>183</v>
      </c>
      <c r="Q7235" s="232"/>
      <c r="R7235" s="411"/>
      <c r="T7235" s="134" t="s">
        <v>145</v>
      </c>
      <c r="U7235" s="267" t="s">
        <v>15337</v>
      </c>
      <c r="AA7235" s="218"/>
    </row>
    <row r="7236" spans="1:27" ht="24" x14ac:dyDescent="0.25">
      <c r="A7236" s="405">
        <v>3005679</v>
      </c>
      <c r="B7236" s="406">
        <v>42692</v>
      </c>
      <c r="C7236" s="405" t="s">
        <v>237</v>
      </c>
      <c r="D7236" s="401" t="s">
        <v>15338</v>
      </c>
      <c r="E7236" s="120">
        <v>175</v>
      </c>
      <c r="F7236" s="133" t="s">
        <v>247</v>
      </c>
      <c r="G7236" s="404" t="s">
        <v>7486</v>
      </c>
      <c r="H7236" s="411">
        <v>160</v>
      </c>
      <c r="I7236" s="397">
        <f t="shared" ref="I7236" si="3611">-(H7236*0.15)</f>
        <v>-24</v>
      </c>
      <c r="J7236" s="258">
        <v>0</v>
      </c>
      <c r="K7236" s="90">
        <f>SUM(H7236:J7236)</f>
        <v>136</v>
      </c>
      <c r="L7236" s="131">
        <v>424</v>
      </c>
      <c r="N7236" s="199">
        <f t="shared" si="3602"/>
        <v>74.2</v>
      </c>
      <c r="O7236" s="411">
        <f t="shared" ref="O7236:O7299" si="3612">K7236-N7236</f>
        <v>61.8</v>
      </c>
      <c r="P7236" s="132" t="s">
        <v>52</v>
      </c>
      <c r="Q7236" s="232"/>
      <c r="R7236" s="411"/>
      <c r="T7236" s="134" t="s">
        <v>145</v>
      </c>
      <c r="U7236" s="267" t="s">
        <v>15339</v>
      </c>
      <c r="AA7236" s="218"/>
    </row>
    <row r="7237" spans="1:27" ht="24" x14ac:dyDescent="0.25">
      <c r="A7237" s="405">
        <v>3005680</v>
      </c>
      <c r="B7237" s="406">
        <v>42692</v>
      </c>
      <c r="C7237" s="405" t="s">
        <v>237</v>
      </c>
      <c r="D7237" s="401" t="s">
        <v>15340</v>
      </c>
      <c r="E7237" s="120">
        <v>100</v>
      </c>
      <c r="F7237" s="133" t="s">
        <v>247</v>
      </c>
      <c r="G7237" s="404" t="s">
        <v>7486</v>
      </c>
      <c r="H7237" s="411">
        <v>100</v>
      </c>
      <c r="I7237" s="397">
        <f t="shared" ref="I7237" si="3613">-(H7237*0.15)</f>
        <v>-15</v>
      </c>
      <c r="J7237" s="258">
        <v>0</v>
      </c>
      <c r="K7237" s="90">
        <f>SUM(H7237:J7237)</f>
        <v>85</v>
      </c>
      <c r="L7237" s="131">
        <v>424</v>
      </c>
      <c r="N7237" s="199">
        <f t="shared" si="3602"/>
        <v>42.400000000000006</v>
      </c>
      <c r="O7237" s="411">
        <f t="shared" si="3612"/>
        <v>42.599999999999994</v>
      </c>
      <c r="P7237" s="132" t="s">
        <v>52</v>
      </c>
      <c r="Q7237" s="232"/>
      <c r="R7237" s="411"/>
      <c r="T7237" s="134" t="s">
        <v>145</v>
      </c>
      <c r="U7237" s="267" t="s">
        <v>15341</v>
      </c>
      <c r="AA7237" s="218"/>
    </row>
    <row r="7238" spans="1:27" ht="24" x14ac:dyDescent="0.25">
      <c r="A7238" s="405">
        <v>3005681</v>
      </c>
      <c r="B7238" s="406">
        <v>42692</v>
      </c>
      <c r="C7238" s="405" t="s">
        <v>42</v>
      </c>
      <c r="D7238" s="401" t="s">
        <v>15342</v>
      </c>
      <c r="E7238" s="120">
        <v>50</v>
      </c>
      <c r="F7238" s="133" t="s">
        <v>1991</v>
      </c>
      <c r="G7238" s="404" t="s">
        <v>7486</v>
      </c>
      <c r="H7238" s="411">
        <v>320</v>
      </c>
      <c r="I7238" s="89">
        <f>-(H7238*0.09)</f>
        <v>-28.799999999999997</v>
      </c>
      <c r="J7238" s="361">
        <f t="shared" ref="J7238" si="3614">-((H7238*0.019)+0.3)</f>
        <v>-6.38</v>
      </c>
      <c r="K7238" s="396">
        <f t="shared" ref="K7238" si="3615">SUM(H7238:J7238)</f>
        <v>284.82</v>
      </c>
      <c r="L7238" s="187">
        <v>3248</v>
      </c>
      <c r="M7238" s="187">
        <f>34.63+10</f>
        <v>44.63</v>
      </c>
      <c r="N7238" s="199">
        <f t="shared" si="3602"/>
        <v>207.03</v>
      </c>
      <c r="O7238" s="411">
        <f t="shared" si="3612"/>
        <v>77.789999999999992</v>
      </c>
      <c r="P7238" s="132" t="s">
        <v>183</v>
      </c>
      <c r="Q7238" s="232"/>
      <c r="R7238" s="411"/>
      <c r="T7238" s="134" t="s">
        <v>145</v>
      </c>
      <c r="U7238" s="267" t="s">
        <v>15343</v>
      </c>
      <c r="V7238" s="133" t="s">
        <v>9187</v>
      </c>
      <c r="AA7238" s="218"/>
    </row>
    <row r="7239" spans="1:27" ht="24" x14ac:dyDescent="0.25">
      <c r="A7239" s="405">
        <v>3005682</v>
      </c>
      <c r="B7239" s="406">
        <v>42692</v>
      </c>
      <c r="C7239" s="405" t="s">
        <v>42</v>
      </c>
      <c r="D7239" s="401" t="s">
        <v>15344</v>
      </c>
      <c r="E7239" s="120">
        <v>100</v>
      </c>
      <c r="F7239" s="133" t="s">
        <v>1547</v>
      </c>
      <c r="G7239" s="404" t="s">
        <v>7486</v>
      </c>
      <c r="H7239" s="411">
        <v>104.16</v>
      </c>
      <c r="I7239" s="388">
        <f>-(H7239*0.09)</f>
        <v>-9.3743999999999996</v>
      </c>
      <c r="J7239" s="361">
        <f t="shared" ref="J7239" si="3616">-((H7239*0.019)+0.3)</f>
        <v>-2.2790399999999997</v>
      </c>
      <c r="K7239" s="396">
        <f t="shared" ref="K7239" si="3617">SUM(H7239:J7239)</f>
        <v>92.506560000000007</v>
      </c>
      <c r="L7239" s="142">
        <v>330</v>
      </c>
      <c r="M7239" s="142"/>
      <c r="N7239" s="374">
        <f t="shared" si="3602"/>
        <v>33</v>
      </c>
      <c r="O7239" s="411">
        <f t="shared" si="3612"/>
        <v>59.506560000000007</v>
      </c>
      <c r="P7239" s="132" t="s">
        <v>52</v>
      </c>
      <c r="Q7239" s="232"/>
      <c r="R7239" s="411"/>
      <c r="T7239" s="134" t="s">
        <v>145</v>
      </c>
      <c r="U7239" s="267" t="s">
        <v>15345</v>
      </c>
      <c r="AA7239" s="218"/>
    </row>
    <row r="7240" spans="1:27" ht="36" x14ac:dyDescent="0.25">
      <c r="A7240" s="405">
        <v>3005683</v>
      </c>
      <c r="B7240" s="406">
        <v>42692</v>
      </c>
      <c r="C7240" s="405" t="s">
        <v>237</v>
      </c>
      <c r="D7240" s="401" t="s">
        <v>15346</v>
      </c>
      <c r="E7240" s="120">
        <v>200</v>
      </c>
      <c r="F7240" s="119" t="s">
        <v>15347</v>
      </c>
      <c r="G7240" s="404" t="s">
        <v>7486</v>
      </c>
      <c r="H7240" s="206">
        <v>161</v>
      </c>
      <c r="I7240" s="94">
        <f t="shared" ref="I7240" si="3618">-(H7240*0.15)</f>
        <v>-24.15</v>
      </c>
      <c r="J7240" s="391">
        <v>0</v>
      </c>
      <c r="K7240" s="90">
        <f>SUM(H7240:J7240)</f>
        <v>136.85</v>
      </c>
      <c r="L7240" s="187">
        <v>250</v>
      </c>
      <c r="M7240" s="187">
        <v>18.68</v>
      </c>
      <c r="N7240" s="91">
        <f t="shared" si="3602"/>
        <v>68.680000000000007</v>
      </c>
      <c r="O7240" s="411">
        <f t="shared" si="3612"/>
        <v>68.169999999999987</v>
      </c>
      <c r="P7240" s="132" t="s">
        <v>183</v>
      </c>
      <c r="Q7240" s="232"/>
      <c r="R7240" s="411"/>
      <c r="T7240" s="134" t="s">
        <v>145</v>
      </c>
      <c r="U7240" s="267" t="s">
        <v>15348</v>
      </c>
      <c r="AA7240" s="218"/>
    </row>
    <row r="7241" spans="1:27" ht="24" customHeight="1" x14ac:dyDescent="0.25">
      <c r="A7241" s="419">
        <v>3005684</v>
      </c>
      <c r="B7241" s="421">
        <v>42692</v>
      </c>
      <c r="C7241" s="419" t="s">
        <v>63</v>
      </c>
      <c r="D7241" s="417" t="s">
        <v>12129</v>
      </c>
      <c r="E7241" s="120">
        <v>130</v>
      </c>
      <c r="F7241" s="133" t="s">
        <v>178</v>
      </c>
      <c r="G7241" s="434" t="s">
        <v>7486</v>
      </c>
      <c r="H7241" s="466">
        <v>400</v>
      </c>
      <c r="I7241" s="465">
        <v>0</v>
      </c>
      <c r="J7241" s="464">
        <f>-((H7241*0.022)+0.3)</f>
        <v>-9.1</v>
      </c>
      <c r="K7241" s="464">
        <f>SUM(H7241:J7241)</f>
        <v>390.9</v>
      </c>
      <c r="L7241" s="187">
        <v>1330</v>
      </c>
      <c r="M7241" s="187">
        <v>52.19</v>
      </c>
      <c r="N7241" s="91">
        <f t="shared" si="3602"/>
        <v>225.09</v>
      </c>
      <c r="O7241" s="411">
        <f t="shared" si="3612"/>
        <v>165.80999999999997</v>
      </c>
      <c r="P7241" s="132" t="s">
        <v>183</v>
      </c>
      <c r="Q7241" s="232"/>
      <c r="R7241" s="411"/>
      <c r="T7241" s="439" t="s">
        <v>145</v>
      </c>
      <c r="U7241" s="267" t="s">
        <v>15349</v>
      </c>
      <c r="W7241" s="153" t="s">
        <v>12131</v>
      </c>
      <c r="AA7241" s="218"/>
    </row>
    <row r="7242" spans="1:27" x14ac:dyDescent="0.25">
      <c r="A7242" s="420"/>
      <c r="B7242" s="422"/>
      <c r="C7242" s="420"/>
      <c r="D7242" s="418"/>
      <c r="E7242" s="120">
        <v>55</v>
      </c>
      <c r="F7242" s="133" t="s">
        <v>222</v>
      </c>
      <c r="G7242" s="436"/>
      <c r="H7242" s="467"/>
      <c r="I7242" s="465"/>
      <c r="J7242" s="464"/>
      <c r="K7242" s="464"/>
      <c r="L7242" s="187">
        <v>1130</v>
      </c>
      <c r="M7242" s="357"/>
      <c r="N7242" s="91">
        <f t="shared" si="3602"/>
        <v>62.15</v>
      </c>
      <c r="O7242" s="411">
        <f t="shared" si="3612"/>
        <v>-62.15</v>
      </c>
      <c r="P7242" s="132" t="s">
        <v>183</v>
      </c>
      <c r="Q7242" s="232"/>
      <c r="R7242" s="411"/>
      <c r="T7242" s="441"/>
      <c r="U7242" s="267" t="s">
        <v>15350</v>
      </c>
      <c r="AA7242" s="218"/>
    </row>
    <row r="7243" spans="1:27" ht="24" x14ac:dyDescent="0.25">
      <c r="A7243" s="405">
        <v>3005685</v>
      </c>
      <c r="B7243" s="406">
        <v>42692</v>
      </c>
      <c r="C7243" s="405" t="s">
        <v>42</v>
      </c>
      <c r="D7243" s="401" t="s">
        <v>15351</v>
      </c>
      <c r="E7243" s="120">
        <v>250</v>
      </c>
      <c r="F7243" s="133" t="s">
        <v>3121</v>
      </c>
      <c r="G7243" s="404" t="s">
        <v>7486</v>
      </c>
      <c r="H7243" s="206">
        <v>155.32</v>
      </c>
      <c r="I7243" s="89">
        <f>-(H7243*0.09)</f>
        <v>-13.9788</v>
      </c>
      <c r="J7243" s="391">
        <f t="shared" ref="J7243" si="3619">-((H7243*0.019)+0.3)</f>
        <v>-3.2510799999999995</v>
      </c>
      <c r="K7243" s="90">
        <f t="shared" ref="K7243" si="3620">SUM(H7243:J7243)</f>
        <v>138.09011999999998</v>
      </c>
      <c r="L7243" s="187">
        <v>225</v>
      </c>
      <c r="N7243" s="91">
        <f t="shared" si="3602"/>
        <v>56.25</v>
      </c>
      <c r="O7243" s="411">
        <f t="shared" si="3612"/>
        <v>81.840119999999985</v>
      </c>
      <c r="P7243" s="132" t="s">
        <v>313</v>
      </c>
      <c r="Q7243" s="232"/>
      <c r="R7243" s="411"/>
      <c r="T7243" s="134" t="s">
        <v>145</v>
      </c>
      <c r="U7243" s="267" t="s">
        <v>15352</v>
      </c>
      <c r="AA7243" s="218"/>
    </row>
    <row r="7244" spans="1:27" ht="24" x14ac:dyDescent="0.25">
      <c r="A7244" s="405">
        <v>3005686</v>
      </c>
      <c r="B7244" s="406">
        <v>42692</v>
      </c>
      <c r="C7244" s="405" t="s">
        <v>141</v>
      </c>
      <c r="D7244" s="401" t="s">
        <v>7484</v>
      </c>
      <c r="E7244" s="120">
        <v>500</v>
      </c>
      <c r="F7244" s="133" t="s">
        <v>15353</v>
      </c>
      <c r="G7244" s="404" t="s">
        <v>7486</v>
      </c>
      <c r="H7244" s="206">
        <v>292</v>
      </c>
      <c r="I7244" s="411">
        <v>0</v>
      </c>
      <c r="J7244" s="391">
        <f>-((H7244*0.0325)+0.3)</f>
        <v>-9.7900000000000009</v>
      </c>
      <c r="K7244" s="90">
        <f>SUM(H7244:J7244)</f>
        <v>282.20999999999998</v>
      </c>
      <c r="L7244" s="131">
        <v>393</v>
      </c>
      <c r="N7244" s="91">
        <f t="shared" si="3602"/>
        <v>196.5</v>
      </c>
      <c r="O7244" s="411">
        <f t="shared" si="3612"/>
        <v>85.70999999999998</v>
      </c>
      <c r="P7244" s="132" t="s">
        <v>15354</v>
      </c>
      <c r="Q7244" s="232"/>
      <c r="R7244" s="411"/>
      <c r="T7244" s="134" t="s">
        <v>324</v>
      </c>
      <c r="U7244" s="266" t="s">
        <v>15355</v>
      </c>
      <c r="W7244" s="153" t="s">
        <v>7488</v>
      </c>
      <c r="AA7244" s="218"/>
    </row>
    <row r="7245" spans="1:27" ht="24" x14ac:dyDescent="0.25">
      <c r="A7245" s="405">
        <v>3005687</v>
      </c>
      <c r="B7245" s="406">
        <v>42692</v>
      </c>
      <c r="C7245" s="405" t="s">
        <v>63</v>
      </c>
      <c r="D7245" s="401" t="s">
        <v>15356</v>
      </c>
      <c r="E7245" s="120">
        <v>524</v>
      </c>
      <c r="F7245" s="133" t="s">
        <v>15357</v>
      </c>
      <c r="G7245" s="404" t="s">
        <v>7486</v>
      </c>
      <c r="H7245" s="206">
        <v>1444.8</v>
      </c>
      <c r="I7245" s="411">
        <v>0</v>
      </c>
      <c r="J7245" s="90">
        <f>-((H7245*0.022)+0.3)</f>
        <v>-32.085599999999999</v>
      </c>
      <c r="K7245" s="90">
        <f>SUM(H7245:J7245)</f>
        <v>1412.7143999999998</v>
      </c>
      <c r="L7245" s="187">
        <v>1400</v>
      </c>
      <c r="N7245" s="91">
        <f t="shared" si="3602"/>
        <v>733.6</v>
      </c>
      <c r="O7245" s="411">
        <f t="shared" si="3612"/>
        <v>679.11439999999982</v>
      </c>
      <c r="P7245" s="132" t="s">
        <v>15358</v>
      </c>
      <c r="Q7245" s="232"/>
      <c r="R7245" s="411"/>
      <c r="T7245" s="134" t="s">
        <v>756</v>
      </c>
      <c r="U7245" s="266" t="s">
        <v>756</v>
      </c>
      <c r="W7245" s="153" t="s">
        <v>15359</v>
      </c>
      <c r="AA7245" s="219">
        <v>10</v>
      </c>
    </row>
    <row r="7246" spans="1:27" x14ac:dyDescent="0.25">
      <c r="A7246" s="405">
        <v>3005688</v>
      </c>
      <c r="B7246" s="406">
        <v>42695</v>
      </c>
      <c r="C7246" s="405" t="s">
        <v>327</v>
      </c>
      <c r="D7246" s="401" t="s">
        <v>15360</v>
      </c>
      <c r="E7246" s="120">
        <v>800</v>
      </c>
      <c r="F7246" s="133" t="s">
        <v>5347</v>
      </c>
      <c r="G7246" s="404" t="s">
        <v>45</v>
      </c>
      <c r="H7246" s="411">
        <v>11480</v>
      </c>
      <c r="I7246" s="411">
        <v>0</v>
      </c>
      <c r="J7246" s="90">
        <f>-((H7246*0.022)+0.3)</f>
        <v>-252.85999999999999</v>
      </c>
      <c r="K7246" s="90">
        <f>SUM(H7246:J7246)</f>
        <v>11227.14</v>
      </c>
      <c r="L7246" s="202">
        <v>11640</v>
      </c>
      <c r="M7246" s="202">
        <v>30</v>
      </c>
      <c r="N7246" s="91">
        <f t="shared" si="3602"/>
        <v>9342</v>
      </c>
      <c r="O7246" s="411">
        <f t="shared" si="3612"/>
        <v>1885.1399999999994</v>
      </c>
      <c r="P7246" s="132" t="s">
        <v>10398</v>
      </c>
      <c r="Q7246" s="232"/>
      <c r="R7246" s="411"/>
      <c r="T7246" s="134" t="s">
        <v>15361</v>
      </c>
      <c r="U7246" s="267" t="s">
        <v>15362</v>
      </c>
      <c r="V7246" s="133" t="s">
        <v>14597</v>
      </c>
      <c r="W7246" s="153" t="s">
        <v>15363</v>
      </c>
      <c r="AA7246" s="219">
        <v>100</v>
      </c>
    </row>
    <row r="7247" spans="1:27" ht="24" x14ac:dyDescent="0.25">
      <c r="A7247" s="405">
        <v>3005689</v>
      </c>
      <c r="B7247" s="406">
        <v>42695</v>
      </c>
      <c r="C7247" s="405" t="s">
        <v>78</v>
      </c>
      <c r="D7247" s="401" t="s">
        <v>15364</v>
      </c>
      <c r="E7247" s="120">
        <v>1200</v>
      </c>
      <c r="F7247" s="119" t="s">
        <v>15365</v>
      </c>
      <c r="G7247" s="404" t="s">
        <v>7486</v>
      </c>
      <c r="H7247" s="411">
        <v>684</v>
      </c>
      <c r="I7247" s="411">
        <v>0</v>
      </c>
      <c r="J7247" s="391">
        <f t="shared" ref="J7247" si="3621">-((H7247*0.019)+0.3)</f>
        <v>-13.296000000000001</v>
      </c>
      <c r="K7247" s="90">
        <f t="shared" ref="K7247" si="3622">SUM(H7247:J7247)</f>
        <v>670.70399999999995</v>
      </c>
      <c r="L7247" s="131">
        <v>382</v>
      </c>
      <c r="M7247" s="131">
        <v>105</v>
      </c>
      <c r="N7247" s="91">
        <f t="shared" si="3602"/>
        <v>563.4</v>
      </c>
      <c r="O7247" s="411">
        <f t="shared" si="3612"/>
        <v>107.30399999999997</v>
      </c>
      <c r="P7247" s="132" t="s">
        <v>183</v>
      </c>
      <c r="Q7247" s="232"/>
      <c r="R7247" s="411"/>
      <c r="T7247" s="134" t="s">
        <v>558</v>
      </c>
      <c r="U7247" s="267" t="s">
        <v>15366</v>
      </c>
      <c r="W7247" s="153" t="s">
        <v>15367</v>
      </c>
      <c r="AA7247" s="218"/>
    </row>
    <row r="7248" spans="1:27" ht="24" x14ac:dyDescent="0.25">
      <c r="A7248" s="405">
        <v>3005690</v>
      </c>
      <c r="B7248" s="406">
        <v>42695</v>
      </c>
      <c r="C7248" s="405" t="s">
        <v>159</v>
      </c>
      <c r="D7248" s="401" t="s">
        <v>15368</v>
      </c>
      <c r="E7248" s="120">
        <v>30</v>
      </c>
      <c r="F7248" s="133" t="s">
        <v>1991</v>
      </c>
      <c r="G7248" s="404" t="s">
        <v>7486</v>
      </c>
      <c r="H7248" s="411">
        <v>151.5</v>
      </c>
      <c r="I7248" s="411">
        <v>0</v>
      </c>
      <c r="J7248" s="391">
        <f t="shared" ref="J7248:J7249" si="3623">-((H7248*0.019)+0.3)</f>
        <v>-3.1784999999999997</v>
      </c>
      <c r="K7248" s="90">
        <f t="shared" ref="K7248:K7249" si="3624">SUM(H7248:J7248)</f>
        <v>148.32150000000001</v>
      </c>
      <c r="L7248" s="187">
        <v>3150</v>
      </c>
      <c r="M7248" s="187">
        <v>28.52</v>
      </c>
      <c r="N7248" s="91">
        <f t="shared" si="3602"/>
        <v>123.02</v>
      </c>
      <c r="O7248" s="411">
        <f t="shared" si="3612"/>
        <v>25.301500000000019</v>
      </c>
      <c r="P7248" s="132" t="s">
        <v>183</v>
      </c>
      <c r="Q7248" s="232"/>
      <c r="R7248" s="411"/>
      <c r="T7248" s="134" t="s">
        <v>145</v>
      </c>
      <c r="U7248" s="267" t="s">
        <v>15369</v>
      </c>
      <c r="V7248" s="133" t="s">
        <v>9187</v>
      </c>
      <c r="W7248" s="153" t="s">
        <v>15370</v>
      </c>
      <c r="AA7248" s="218"/>
    </row>
    <row r="7249" spans="1:27" ht="24" x14ac:dyDescent="0.25">
      <c r="A7249" s="405">
        <v>3005691</v>
      </c>
      <c r="B7249" s="406">
        <v>42695</v>
      </c>
      <c r="C7249" s="405" t="s">
        <v>42</v>
      </c>
      <c r="D7249" s="401" t="s">
        <v>15371</v>
      </c>
      <c r="E7249" s="120">
        <v>200</v>
      </c>
      <c r="F7249" s="133" t="s">
        <v>182</v>
      </c>
      <c r="G7249" s="404" t="s">
        <v>7486</v>
      </c>
      <c r="H7249" s="411">
        <v>390.45</v>
      </c>
      <c r="I7249" s="89">
        <f t="shared" ref="I7249:I7261" si="3625">-(H7249*0.09)</f>
        <v>-35.140499999999996</v>
      </c>
      <c r="J7249" s="391">
        <f t="shared" si="3623"/>
        <v>-7.7185499999999996</v>
      </c>
      <c r="K7249" s="90">
        <f t="shared" si="3624"/>
        <v>347.59095000000002</v>
      </c>
      <c r="L7249" s="131">
        <v>1444</v>
      </c>
      <c r="M7249" s="131">
        <v>0</v>
      </c>
      <c r="N7249" s="91">
        <f t="shared" si="3602"/>
        <v>288.8</v>
      </c>
      <c r="O7249" s="411">
        <f t="shared" si="3612"/>
        <v>58.790950000000009</v>
      </c>
      <c r="P7249" s="132" t="s">
        <v>14218</v>
      </c>
      <c r="Q7249" s="232"/>
      <c r="R7249" s="411"/>
      <c r="T7249" s="134" t="s">
        <v>260</v>
      </c>
      <c r="U7249" s="266">
        <v>3956266193</v>
      </c>
      <c r="AA7249" s="218"/>
    </row>
    <row r="7250" spans="1:27" ht="24" x14ac:dyDescent="0.25">
      <c r="A7250" s="405">
        <v>3005692</v>
      </c>
      <c r="B7250" s="406">
        <v>42695</v>
      </c>
      <c r="C7250" s="405" t="s">
        <v>42</v>
      </c>
      <c r="D7250" s="401" t="s">
        <v>15372</v>
      </c>
      <c r="E7250" s="120">
        <v>50</v>
      </c>
      <c r="F7250" s="133" t="s">
        <v>3345</v>
      </c>
      <c r="G7250" s="404" t="s">
        <v>7486</v>
      </c>
      <c r="H7250" s="411">
        <v>122.5</v>
      </c>
      <c r="I7250" s="89">
        <f t="shared" si="3625"/>
        <v>-11.025</v>
      </c>
      <c r="J7250" s="391">
        <f t="shared" ref="J7250" si="3626">-((H7250*0.019)+0.3)</f>
        <v>-2.6274999999999999</v>
      </c>
      <c r="K7250" s="90">
        <f t="shared" ref="K7250" si="3627">SUM(H7250:J7250)</f>
        <v>108.8475</v>
      </c>
      <c r="L7250" s="187">
        <v>1450</v>
      </c>
      <c r="N7250" s="91">
        <f t="shared" si="3602"/>
        <v>72.5</v>
      </c>
      <c r="O7250" s="411">
        <f t="shared" si="3612"/>
        <v>36.347499999999997</v>
      </c>
      <c r="P7250" s="132" t="s">
        <v>601</v>
      </c>
      <c r="Q7250" s="232"/>
      <c r="R7250" s="411"/>
      <c r="T7250" s="134" t="s">
        <v>145</v>
      </c>
      <c r="U7250" s="267" t="s">
        <v>15373</v>
      </c>
      <c r="AA7250" s="218"/>
    </row>
    <row r="7251" spans="1:27" ht="24" x14ac:dyDescent="0.25">
      <c r="A7251" s="405">
        <v>3005693</v>
      </c>
      <c r="B7251" s="406">
        <v>42695</v>
      </c>
      <c r="C7251" s="405" t="s">
        <v>42</v>
      </c>
      <c r="D7251" s="401" t="s">
        <v>15351</v>
      </c>
      <c r="E7251" s="120">
        <v>250</v>
      </c>
      <c r="F7251" s="133" t="s">
        <v>438</v>
      </c>
      <c r="G7251" s="404" t="s">
        <v>7486</v>
      </c>
      <c r="H7251" s="411">
        <v>186.11</v>
      </c>
      <c r="I7251" s="89">
        <f t="shared" si="3625"/>
        <v>-16.7499</v>
      </c>
      <c r="J7251" s="391">
        <f t="shared" ref="J7251" si="3628">-((H7251*0.019)+0.3)</f>
        <v>-3.83609</v>
      </c>
      <c r="K7251" s="90">
        <f t="shared" ref="K7251" si="3629">SUM(H7251:J7251)</f>
        <v>165.52401</v>
      </c>
      <c r="L7251" s="131">
        <v>168</v>
      </c>
      <c r="N7251" s="91">
        <f t="shared" si="3602"/>
        <v>42</v>
      </c>
      <c r="O7251" s="411">
        <f t="shared" si="3612"/>
        <v>123.52401</v>
      </c>
      <c r="P7251" s="132" t="s">
        <v>52</v>
      </c>
      <c r="Q7251" s="232"/>
      <c r="R7251" s="411"/>
      <c r="T7251" s="134" t="s">
        <v>145</v>
      </c>
      <c r="U7251" s="267" t="s">
        <v>15374</v>
      </c>
      <c r="AA7251" s="218"/>
    </row>
    <row r="7252" spans="1:27" ht="24" x14ac:dyDescent="0.25">
      <c r="A7252" s="405">
        <v>3005694</v>
      </c>
      <c r="B7252" s="406">
        <v>42695</v>
      </c>
      <c r="C7252" s="405" t="s">
        <v>42</v>
      </c>
      <c r="D7252" s="401" t="s">
        <v>15375</v>
      </c>
      <c r="E7252" s="120">
        <v>100</v>
      </c>
      <c r="F7252" s="133" t="s">
        <v>431</v>
      </c>
      <c r="G7252" s="404" t="s">
        <v>7486</v>
      </c>
      <c r="H7252" s="411">
        <v>200.08</v>
      </c>
      <c r="I7252" s="89">
        <f t="shared" si="3625"/>
        <v>-18.007200000000001</v>
      </c>
      <c r="J7252" s="391">
        <f t="shared" ref="J7252" si="3630">-((H7252*0.019)+0.3)</f>
        <v>-4.1015199999999998</v>
      </c>
      <c r="K7252" s="90">
        <f t="shared" ref="K7252" si="3631">SUM(H7252:J7252)</f>
        <v>177.97128000000001</v>
      </c>
      <c r="L7252" s="131">
        <v>950</v>
      </c>
      <c r="N7252" s="91">
        <f t="shared" si="3602"/>
        <v>95</v>
      </c>
      <c r="O7252" s="411">
        <f t="shared" si="3612"/>
        <v>82.971280000000007</v>
      </c>
      <c r="P7252" s="132" t="s">
        <v>52</v>
      </c>
      <c r="Q7252" s="232"/>
      <c r="R7252" s="411"/>
      <c r="T7252" s="134" t="s">
        <v>145</v>
      </c>
      <c r="U7252" s="267" t="s">
        <v>15376</v>
      </c>
      <c r="AA7252" s="218"/>
    </row>
    <row r="7253" spans="1:27" ht="24" x14ac:dyDescent="0.25">
      <c r="A7253" s="405">
        <v>3005695</v>
      </c>
      <c r="B7253" s="406">
        <v>42695</v>
      </c>
      <c r="C7253" s="405" t="s">
        <v>42</v>
      </c>
      <c r="D7253" s="401" t="s">
        <v>15377</v>
      </c>
      <c r="E7253" s="120">
        <v>125</v>
      </c>
      <c r="F7253" s="133" t="s">
        <v>247</v>
      </c>
      <c r="G7253" s="404" t="s">
        <v>7486</v>
      </c>
      <c r="H7253" s="411">
        <v>163.05000000000001</v>
      </c>
      <c r="I7253" s="89">
        <f t="shared" si="3625"/>
        <v>-14.6745</v>
      </c>
      <c r="J7253" s="391">
        <f t="shared" ref="J7253" si="3632">-((H7253*0.019)+0.3)</f>
        <v>-3.3979499999999998</v>
      </c>
      <c r="K7253" s="90">
        <f t="shared" ref="K7253" si="3633">SUM(H7253:J7253)</f>
        <v>144.97755000000001</v>
      </c>
      <c r="L7253" s="131">
        <v>424</v>
      </c>
      <c r="N7253" s="91">
        <f t="shared" si="3602"/>
        <v>53</v>
      </c>
      <c r="O7253" s="411">
        <f t="shared" si="3612"/>
        <v>91.977550000000008</v>
      </c>
      <c r="P7253" s="132" t="s">
        <v>52</v>
      </c>
      <c r="Q7253" s="232"/>
      <c r="R7253" s="411"/>
      <c r="T7253" s="134" t="s">
        <v>145</v>
      </c>
      <c r="U7253" s="267" t="s">
        <v>15378</v>
      </c>
      <c r="AA7253" s="218"/>
    </row>
    <row r="7254" spans="1:27" ht="24" x14ac:dyDescent="0.25">
      <c r="A7254" s="405">
        <v>3005696</v>
      </c>
      <c r="B7254" s="406">
        <v>42695</v>
      </c>
      <c r="C7254" s="405" t="s">
        <v>42</v>
      </c>
      <c r="D7254" s="401" t="s">
        <v>15379</v>
      </c>
      <c r="E7254" s="120">
        <v>500</v>
      </c>
      <c r="F7254" s="133" t="s">
        <v>15380</v>
      </c>
      <c r="G7254" s="404" t="s">
        <v>7486</v>
      </c>
      <c r="H7254" s="411">
        <v>336.54</v>
      </c>
      <c r="I7254" s="89">
        <f t="shared" si="3625"/>
        <v>-30.288600000000002</v>
      </c>
      <c r="J7254" s="391">
        <f t="shared" ref="J7254" si="3634">-((H7254*0.019)+0.3)</f>
        <v>-6.6942599999999999</v>
      </c>
      <c r="K7254" s="90">
        <f t="shared" ref="K7254" si="3635">SUM(H7254:J7254)</f>
        <v>299.55714</v>
      </c>
      <c r="L7254" s="131">
        <v>300</v>
      </c>
      <c r="N7254" s="91">
        <f t="shared" si="3602"/>
        <v>150</v>
      </c>
      <c r="O7254" s="411">
        <f t="shared" si="3612"/>
        <v>149.55714</v>
      </c>
      <c r="P7254" s="132" t="s">
        <v>52</v>
      </c>
      <c r="Q7254" s="232"/>
      <c r="R7254" s="411"/>
      <c r="T7254" s="134" t="s">
        <v>145</v>
      </c>
      <c r="U7254" s="267" t="s">
        <v>15381</v>
      </c>
      <c r="AA7254" s="218"/>
    </row>
    <row r="7255" spans="1:27" ht="24" x14ac:dyDescent="0.25">
      <c r="A7255" s="405">
        <v>3005697</v>
      </c>
      <c r="B7255" s="406">
        <v>42695</v>
      </c>
      <c r="C7255" s="405" t="s">
        <v>42</v>
      </c>
      <c r="D7255" s="401" t="s">
        <v>13081</v>
      </c>
      <c r="E7255" s="120">
        <v>100</v>
      </c>
      <c r="F7255" s="133" t="s">
        <v>431</v>
      </c>
      <c r="G7255" s="404" t="s">
        <v>7486</v>
      </c>
      <c r="H7255" s="411">
        <v>200.08</v>
      </c>
      <c r="I7255" s="89">
        <f t="shared" si="3625"/>
        <v>-18.007200000000001</v>
      </c>
      <c r="J7255" s="391">
        <f t="shared" ref="J7255" si="3636">-((H7255*0.019)+0.3)</f>
        <v>-4.1015199999999998</v>
      </c>
      <c r="K7255" s="90">
        <f t="shared" ref="K7255" si="3637">SUM(H7255:J7255)</f>
        <v>177.97128000000001</v>
      </c>
      <c r="L7255" s="131">
        <v>950</v>
      </c>
      <c r="N7255" s="91">
        <f t="shared" si="3602"/>
        <v>95</v>
      </c>
      <c r="O7255" s="411">
        <f t="shared" si="3612"/>
        <v>82.971280000000007</v>
      </c>
      <c r="P7255" s="132" t="s">
        <v>52</v>
      </c>
      <c r="Q7255" s="232"/>
      <c r="R7255" s="411"/>
      <c r="T7255" s="134" t="s">
        <v>145</v>
      </c>
      <c r="U7255" s="267" t="s">
        <v>15382</v>
      </c>
      <c r="AA7255" s="218"/>
    </row>
    <row r="7256" spans="1:27" ht="24" x14ac:dyDescent="0.25">
      <c r="A7256" s="405">
        <v>3005698</v>
      </c>
      <c r="B7256" s="406">
        <v>42695</v>
      </c>
      <c r="C7256" s="405" t="s">
        <v>42</v>
      </c>
      <c r="D7256" s="401" t="s">
        <v>14955</v>
      </c>
      <c r="E7256" s="120">
        <v>200</v>
      </c>
      <c r="F7256" s="133" t="s">
        <v>15383</v>
      </c>
      <c r="G7256" s="404" t="s">
        <v>7486</v>
      </c>
      <c r="H7256" s="411">
        <v>310.07</v>
      </c>
      <c r="I7256" s="89">
        <f t="shared" si="3625"/>
        <v>-27.906299999999998</v>
      </c>
      <c r="J7256" s="391">
        <f t="shared" ref="J7256" si="3638">-((H7256*0.019)+0.3)</f>
        <v>-6.1913299999999998</v>
      </c>
      <c r="K7256" s="90">
        <f t="shared" ref="K7256" si="3639">SUM(H7256:J7256)</f>
        <v>275.97237000000001</v>
      </c>
      <c r="L7256" s="131">
        <v>622</v>
      </c>
      <c r="N7256" s="91">
        <f t="shared" si="3602"/>
        <v>124.4</v>
      </c>
      <c r="O7256" s="411">
        <f t="shared" si="3612"/>
        <v>151.57237000000001</v>
      </c>
      <c r="P7256" s="132" t="s">
        <v>52</v>
      </c>
      <c r="Q7256" s="232"/>
      <c r="R7256" s="411">
        <v>22.97</v>
      </c>
      <c r="S7256" s="133" t="s">
        <v>4608</v>
      </c>
      <c r="T7256" s="134" t="s">
        <v>145</v>
      </c>
      <c r="U7256" s="266" t="s">
        <v>15384</v>
      </c>
      <c r="AA7256" s="218"/>
    </row>
    <row r="7257" spans="1:27" ht="24" x14ac:dyDescent="0.25">
      <c r="A7257" s="405">
        <v>3005699</v>
      </c>
      <c r="B7257" s="406">
        <v>42695</v>
      </c>
      <c r="C7257" s="405" t="s">
        <v>42</v>
      </c>
      <c r="D7257" s="401" t="s">
        <v>15385</v>
      </c>
      <c r="E7257" s="120">
        <v>80</v>
      </c>
      <c r="F7257" s="133" t="s">
        <v>422</v>
      </c>
      <c r="G7257" s="404" t="s">
        <v>7486</v>
      </c>
      <c r="H7257" s="411">
        <v>136.80000000000001</v>
      </c>
      <c r="I7257" s="89">
        <f t="shared" si="3625"/>
        <v>-12.312000000000001</v>
      </c>
      <c r="J7257" s="391">
        <f t="shared" ref="J7257" si="3640">-((H7257*0.019)+0.3)</f>
        <v>-2.8992</v>
      </c>
      <c r="K7257" s="90">
        <f t="shared" ref="K7257" si="3641">SUM(H7257:J7257)</f>
        <v>121.58880000000002</v>
      </c>
      <c r="L7257" s="131">
        <v>640</v>
      </c>
      <c r="N7257" s="91">
        <f t="shared" si="3602"/>
        <v>51.2</v>
      </c>
      <c r="O7257" s="411">
        <f t="shared" si="3612"/>
        <v>70.388800000000018</v>
      </c>
      <c r="P7257" s="132" t="s">
        <v>52</v>
      </c>
      <c r="Q7257" s="232"/>
      <c r="R7257" s="411"/>
      <c r="T7257" s="134" t="s">
        <v>145</v>
      </c>
      <c r="U7257" s="267" t="s">
        <v>15386</v>
      </c>
      <c r="AA7257" s="218"/>
    </row>
    <row r="7258" spans="1:27" ht="36" x14ac:dyDescent="0.25">
      <c r="A7258" s="405">
        <v>3005700</v>
      </c>
      <c r="B7258" s="406">
        <v>42695</v>
      </c>
      <c r="C7258" s="405" t="s">
        <v>42</v>
      </c>
      <c r="D7258" s="401" t="s">
        <v>15387</v>
      </c>
      <c r="E7258" s="120">
        <v>250</v>
      </c>
      <c r="F7258" s="119" t="s">
        <v>15388</v>
      </c>
      <c r="G7258" s="404" t="s">
        <v>7486</v>
      </c>
      <c r="H7258" s="411">
        <v>159.5</v>
      </c>
      <c r="I7258" s="89">
        <f t="shared" si="3625"/>
        <v>-14.354999999999999</v>
      </c>
      <c r="J7258" s="391">
        <f t="shared" ref="J7258" si="3642">-((H7258*0.019)+0.3)</f>
        <v>-3.3304999999999998</v>
      </c>
      <c r="K7258" s="90">
        <f t="shared" ref="K7258" si="3643">SUM(H7258:J7258)</f>
        <v>141.81450000000001</v>
      </c>
      <c r="L7258" s="131">
        <v>370</v>
      </c>
      <c r="N7258" s="91">
        <f t="shared" si="3602"/>
        <v>92.5</v>
      </c>
      <c r="O7258" s="411">
        <f t="shared" si="3612"/>
        <v>49.31450000000001</v>
      </c>
      <c r="P7258" s="132" t="s">
        <v>643</v>
      </c>
      <c r="Q7258" s="232"/>
      <c r="R7258" s="411"/>
      <c r="T7258" s="134" t="s">
        <v>145</v>
      </c>
      <c r="U7258" s="267" t="s">
        <v>15389</v>
      </c>
      <c r="AA7258" s="218"/>
    </row>
    <row r="7259" spans="1:27" ht="24" x14ac:dyDescent="0.25">
      <c r="A7259" s="405">
        <v>3005701</v>
      </c>
      <c r="B7259" s="406">
        <v>42695</v>
      </c>
      <c r="C7259" s="405" t="s">
        <v>42</v>
      </c>
      <c r="D7259" s="401" t="s">
        <v>15390</v>
      </c>
      <c r="E7259" s="120">
        <v>100</v>
      </c>
      <c r="F7259" s="133" t="s">
        <v>15391</v>
      </c>
      <c r="G7259" s="404" t="s">
        <v>7486</v>
      </c>
      <c r="H7259" s="411">
        <v>146.21</v>
      </c>
      <c r="I7259" s="89">
        <f t="shared" si="3625"/>
        <v>-13.158900000000001</v>
      </c>
      <c r="J7259" s="391">
        <f t="shared" ref="J7259" si="3644">-((H7259*0.019)+0.3)</f>
        <v>-3.0779899999999998</v>
      </c>
      <c r="K7259" s="90">
        <f t="shared" ref="K7259" si="3645">SUM(H7259:J7259)</f>
        <v>129.97311000000002</v>
      </c>
      <c r="L7259" s="131">
        <v>622</v>
      </c>
      <c r="N7259" s="91">
        <f t="shared" si="3602"/>
        <v>62.2</v>
      </c>
      <c r="O7259" s="411">
        <f t="shared" si="3612"/>
        <v>67.773110000000017</v>
      </c>
      <c r="P7259" s="132" t="s">
        <v>52</v>
      </c>
      <c r="Q7259" s="232"/>
      <c r="R7259" s="411"/>
      <c r="T7259" s="134" t="s">
        <v>145</v>
      </c>
      <c r="U7259" s="267" t="s">
        <v>15392</v>
      </c>
      <c r="AA7259" s="218"/>
    </row>
    <row r="7260" spans="1:27" ht="24" x14ac:dyDescent="0.25">
      <c r="A7260" s="405">
        <v>3005702</v>
      </c>
      <c r="B7260" s="406">
        <v>42695</v>
      </c>
      <c r="C7260" s="405" t="s">
        <v>42</v>
      </c>
      <c r="D7260" s="401" t="s">
        <v>15393</v>
      </c>
      <c r="E7260" s="120">
        <v>50</v>
      </c>
      <c r="F7260" s="133" t="s">
        <v>1991</v>
      </c>
      <c r="G7260" s="404" t="s">
        <v>7486</v>
      </c>
      <c r="H7260" s="411">
        <v>336.84</v>
      </c>
      <c r="I7260" s="89">
        <f t="shared" si="3625"/>
        <v>-30.315599999999996</v>
      </c>
      <c r="J7260" s="391">
        <f t="shared" ref="J7260" si="3646">-((H7260*0.019)+0.3)</f>
        <v>-6.699959999999999</v>
      </c>
      <c r="K7260" s="90">
        <f t="shared" ref="K7260" si="3647">SUM(H7260:J7260)</f>
        <v>299.82443999999998</v>
      </c>
      <c r="L7260" s="187">
        <v>3150</v>
      </c>
      <c r="M7260" s="187">
        <f>20.37+10</f>
        <v>30.37</v>
      </c>
      <c r="N7260" s="91">
        <f t="shared" si="3602"/>
        <v>187.87</v>
      </c>
      <c r="O7260" s="411">
        <f t="shared" si="3612"/>
        <v>111.95443999999998</v>
      </c>
      <c r="P7260" s="132" t="s">
        <v>183</v>
      </c>
      <c r="Q7260" s="232"/>
      <c r="R7260" s="411"/>
      <c r="T7260" s="134" t="s">
        <v>145</v>
      </c>
      <c r="U7260" s="267" t="s">
        <v>15394</v>
      </c>
      <c r="V7260" s="133" t="s">
        <v>9187</v>
      </c>
      <c r="AA7260" s="218"/>
    </row>
    <row r="7261" spans="1:27" ht="24" x14ac:dyDescent="0.25">
      <c r="A7261" s="405">
        <v>3005703</v>
      </c>
      <c r="B7261" s="406">
        <v>42695</v>
      </c>
      <c r="C7261" s="405" t="s">
        <v>42</v>
      </c>
      <c r="D7261" s="401" t="s">
        <v>15395</v>
      </c>
      <c r="E7261" s="120">
        <v>100</v>
      </c>
      <c r="F7261" s="133" t="s">
        <v>247</v>
      </c>
      <c r="G7261" s="404" t="s">
        <v>7486</v>
      </c>
      <c r="H7261" s="411">
        <v>120</v>
      </c>
      <c r="I7261" s="89">
        <f t="shared" si="3625"/>
        <v>-10.799999999999999</v>
      </c>
      <c r="J7261" s="391">
        <f t="shared" ref="J7261" si="3648">-((H7261*0.019)+0.3)</f>
        <v>-2.5799999999999996</v>
      </c>
      <c r="K7261" s="90">
        <f t="shared" ref="K7261" si="3649">SUM(H7261:J7261)</f>
        <v>106.62</v>
      </c>
      <c r="L7261" s="131">
        <v>424</v>
      </c>
      <c r="N7261" s="91">
        <f t="shared" si="3602"/>
        <v>42.400000000000006</v>
      </c>
      <c r="O7261" s="411">
        <f t="shared" si="3612"/>
        <v>64.22</v>
      </c>
      <c r="P7261" s="132" t="s">
        <v>52</v>
      </c>
      <c r="Q7261" s="232"/>
      <c r="R7261" s="411"/>
      <c r="T7261" s="134" t="s">
        <v>145</v>
      </c>
      <c r="U7261" s="267" t="s">
        <v>15396</v>
      </c>
      <c r="AA7261" s="218"/>
    </row>
    <row r="7262" spans="1:27" ht="24" x14ac:dyDescent="0.25">
      <c r="A7262" s="405">
        <v>3005704</v>
      </c>
      <c r="B7262" s="406">
        <v>42695</v>
      </c>
      <c r="C7262" s="405" t="s">
        <v>237</v>
      </c>
      <c r="D7262" s="401" t="s">
        <v>15397</v>
      </c>
      <c r="E7262" s="120">
        <v>200</v>
      </c>
      <c r="F7262" s="133" t="s">
        <v>175</v>
      </c>
      <c r="G7262" s="404" t="s">
        <v>7486</v>
      </c>
      <c r="H7262" s="411">
        <v>110</v>
      </c>
      <c r="I7262" s="94">
        <f t="shared" ref="I7262" si="3650">-(H7262*0.15)</f>
        <v>-16.5</v>
      </c>
      <c r="J7262" s="391">
        <v>0</v>
      </c>
      <c r="K7262" s="90">
        <f t="shared" ref="K7262:K7271" si="3651">SUM(H7262:J7262)</f>
        <v>93.5</v>
      </c>
      <c r="L7262" s="131">
        <v>250</v>
      </c>
      <c r="N7262" s="91">
        <f t="shared" si="3602"/>
        <v>50</v>
      </c>
      <c r="O7262" s="411">
        <f t="shared" si="3612"/>
        <v>43.5</v>
      </c>
      <c r="P7262" s="132" t="s">
        <v>52</v>
      </c>
      <c r="Q7262" s="232"/>
      <c r="R7262" s="411"/>
      <c r="T7262" s="134" t="s">
        <v>145</v>
      </c>
      <c r="U7262" s="267" t="s">
        <v>15398</v>
      </c>
      <c r="AA7262" s="218"/>
    </row>
    <row r="7263" spans="1:27" ht="24" x14ac:dyDescent="0.25">
      <c r="A7263" s="405">
        <v>3005705</v>
      </c>
      <c r="B7263" s="406">
        <v>42695</v>
      </c>
      <c r="C7263" s="405" t="s">
        <v>237</v>
      </c>
      <c r="D7263" s="401" t="s">
        <v>15399</v>
      </c>
      <c r="E7263" s="120">
        <v>100</v>
      </c>
      <c r="F7263" s="133" t="s">
        <v>307</v>
      </c>
      <c r="G7263" s="404" t="s">
        <v>7486</v>
      </c>
      <c r="H7263" s="411">
        <v>169.75</v>
      </c>
      <c r="I7263" s="94">
        <f t="shared" ref="I7263" si="3652">-(H7263*0.15)</f>
        <v>-25.462499999999999</v>
      </c>
      <c r="J7263" s="391">
        <v>0</v>
      </c>
      <c r="K7263" s="90">
        <f t="shared" si="3651"/>
        <v>144.28749999999999</v>
      </c>
      <c r="L7263" s="131">
        <v>642.99</v>
      </c>
      <c r="N7263" s="91">
        <f t="shared" si="3602"/>
        <v>64.299000000000007</v>
      </c>
      <c r="O7263" s="411">
        <f t="shared" si="3612"/>
        <v>79.988499999999988</v>
      </c>
      <c r="P7263" s="132" t="s">
        <v>52</v>
      </c>
      <c r="Q7263" s="232"/>
      <c r="R7263" s="411"/>
      <c r="T7263" s="134" t="s">
        <v>145</v>
      </c>
      <c r="U7263" s="267" t="s">
        <v>15400</v>
      </c>
      <c r="AA7263" s="218"/>
    </row>
    <row r="7264" spans="1:27" ht="24" x14ac:dyDescent="0.25">
      <c r="A7264" s="405">
        <v>3005706</v>
      </c>
      <c r="B7264" s="406">
        <v>42695</v>
      </c>
      <c r="C7264" s="405" t="s">
        <v>237</v>
      </c>
      <c r="D7264" s="401" t="s">
        <v>15401</v>
      </c>
      <c r="E7264" s="120">
        <v>200</v>
      </c>
      <c r="F7264" s="133" t="s">
        <v>175</v>
      </c>
      <c r="G7264" s="404" t="s">
        <v>7486</v>
      </c>
      <c r="H7264" s="411">
        <v>82.15</v>
      </c>
      <c r="I7264" s="94">
        <f t="shared" ref="I7264" si="3653">-(H7264*0.15)</f>
        <v>-12.3225</v>
      </c>
      <c r="J7264" s="391">
        <v>0</v>
      </c>
      <c r="K7264" s="90">
        <f t="shared" si="3651"/>
        <v>69.827500000000001</v>
      </c>
      <c r="L7264" s="131">
        <v>250</v>
      </c>
      <c r="N7264" s="91">
        <f t="shared" si="3602"/>
        <v>50</v>
      </c>
      <c r="O7264" s="411">
        <f t="shared" si="3612"/>
        <v>19.827500000000001</v>
      </c>
      <c r="P7264" s="132" t="s">
        <v>52</v>
      </c>
      <c r="Q7264" s="232"/>
      <c r="R7264" s="411"/>
      <c r="T7264" s="134" t="s">
        <v>145</v>
      </c>
      <c r="U7264" s="267" t="s">
        <v>15402</v>
      </c>
      <c r="AA7264" s="218"/>
    </row>
    <row r="7265" spans="1:27" ht="24" x14ac:dyDescent="0.25">
      <c r="A7265" s="405">
        <v>3005707</v>
      </c>
      <c r="B7265" s="406">
        <v>42695</v>
      </c>
      <c r="C7265" s="405" t="s">
        <v>237</v>
      </c>
      <c r="D7265" s="401" t="s">
        <v>15403</v>
      </c>
      <c r="E7265" s="120">
        <v>50</v>
      </c>
      <c r="F7265" s="133" t="s">
        <v>288</v>
      </c>
      <c r="G7265" s="404" t="s">
        <v>7486</v>
      </c>
      <c r="H7265" s="411">
        <v>100</v>
      </c>
      <c r="I7265" s="94">
        <f t="shared" ref="I7265" si="3654">-(H7265*0.15)</f>
        <v>-15</v>
      </c>
      <c r="J7265" s="391">
        <v>0</v>
      </c>
      <c r="K7265" s="90">
        <f t="shared" si="3651"/>
        <v>85</v>
      </c>
      <c r="L7265" s="131">
        <v>900</v>
      </c>
      <c r="N7265" s="91">
        <f t="shared" si="3602"/>
        <v>45</v>
      </c>
      <c r="O7265" s="411">
        <f t="shared" si="3612"/>
        <v>40</v>
      </c>
      <c r="P7265" s="132" t="s">
        <v>52</v>
      </c>
      <c r="Q7265" s="232"/>
      <c r="R7265" s="411"/>
      <c r="T7265" s="134" t="s">
        <v>145</v>
      </c>
      <c r="U7265" s="267" t="s">
        <v>15404</v>
      </c>
      <c r="AA7265" s="218"/>
    </row>
    <row r="7266" spans="1:27" ht="24" x14ac:dyDescent="0.25">
      <c r="A7266" s="405">
        <v>3005708</v>
      </c>
      <c r="B7266" s="406">
        <v>42695</v>
      </c>
      <c r="C7266" s="405" t="s">
        <v>237</v>
      </c>
      <c r="D7266" s="401" t="s">
        <v>15405</v>
      </c>
      <c r="E7266" s="120">
        <v>50</v>
      </c>
      <c r="F7266" s="133" t="s">
        <v>288</v>
      </c>
      <c r="G7266" s="404" t="s">
        <v>7486</v>
      </c>
      <c r="H7266" s="411">
        <v>100</v>
      </c>
      <c r="I7266" s="94">
        <f t="shared" ref="I7266" si="3655">-(H7266*0.15)</f>
        <v>-15</v>
      </c>
      <c r="J7266" s="391">
        <v>0</v>
      </c>
      <c r="K7266" s="90">
        <f t="shared" si="3651"/>
        <v>85</v>
      </c>
      <c r="L7266" s="131">
        <v>900</v>
      </c>
      <c r="N7266" s="91">
        <f t="shared" si="3602"/>
        <v>45</v>
      </c>
      <c r="O7266" s="411">
        <f t="shared" si="3612"/>
        <v>40</v>
      </c>
      <c r="P7266" s="132" t="s">
        <v>52</v>
      </c>
      <c r="Q7266" s="232"/>
      <c r="R7266" s="411"/>
      <c r="T7266" s="134" t="s">
        <v>145</v>
      </c>
      <c r="U7266" s="267" t="s">
        <v>15406</v>
      </c>
      <c r="AA7266" s="218"/>
    </row>
    <row r="7267" spans="1:27" ht="24" x14ac:dyDescent="0.25">
      <c r="A7267" s="405">
        <v>3005709</v>
      </c>
      <c r="B7267" s="406">
        <v>42695</v>
      </c>
      <c r="C7267" s="405" t="s">
        <v>237</v>
      </c>
      <c r="D7267" s="401" t="s">
        <v>15407</v>
      </c>
      <c r="E7267" s="120">
        <v>500</v>
      </c>
      <c r="F7267" s="133" t="s">
        <v>451</v>
      </c>
      <c r="G7267" s="404" t="s">
        <v>7486</v>
      </c>
      <c r="H7267" s="411">
        <v>297.79000000000002</v>
      </c>
      <c r="I7267" s="94">
        <f t="shared" ref="I7267" si="3656">-(H7267*0.15)</f>
        <v>-44.668500000000002</v>
      </c>
      <c r="J7267" s="391">
        <v>0</v>
      </c>
      <c r="K7267" s="90">
        <f t="shared" si="3651"/>
        <v>253.12150000000003</v>
      </c>
      <c r="L7267" s="131">
        <v>300</v>
      </c>
      <c r="N7267" s="91">
        <f t="shared" si="3602"/>
        <v>150</v>
      </c>
      <c r="O7267" s="411">
        <f t="shared" si="3612"/>
        <v>103.12150000000003</v>
      </c>
      <c r="P7267" s="132" t="s">
        <v>52</v>
      </c>
      <c r="Q7267" s="232"/>
      <c r="R7267" s="411"/>
      <c r="T7267" s="134" t="s">
        <v>145</v>
      </c>
      <c r="U7267" s="267" t="s">
        <v>15408</v>
      </c>
      <c r="AA7267" s="218"/>
    </row>
    <row r="7268" spans="1:27" ht="24" x14ac:dyDescent="0.25">
      <c r="A7268" s="405">
        <v>3005710</v>
      </c>
      <c r="B7268" s="406">
        <v>42695</v>
      </c>
      <c r="C7268" s="405" t="s">
        <v>237</v>
      </c>
      <c r="D7268" s="401" t="s">
        <v>15409</v>
      </c>
      <c r="E7268" s="120">
        <v>100</v>
      </c>
      <c r="F7268" s="133" t="s">
        <v>307</v>
      </c>
      <c r="G7268" s="404" t="s">
        <v>7486</v>
      </c>
      <c r="H7268" s="411">
        <v>169.75</v>
      </c>
      <c r="I7268" s="94">
        <f t="shared" ref="I7268" si="3657">-(H7268*0.15)</f>
        <v>-25.462499999999999</v>
      </c>
      <c r="J7268" s="391">
        <v>0</v>
      </c>
      <c r="K7268" s="90">
        <f t="shared" si="3651"/>
        <v>144.28749999999999</v>
      </c>
      <c r="L7268" s="131">
        <v>642.99</v>
      </c>
      <c r="N7268" s="91">
        <f t="shared" si="3602"/>
        <v>64.299000000000007</v>
      </c>
      <c r="O7268" s="411">
        <f t="shared" si="3612"/>
        <v>79.988499999999988</v>
      </c>
      <c r="P7268" s="132" t="s">
        <v>52</v>
      </c>
      <c r="Q7268" s="232"/>
      <c r="R7268" s="411"/>
      <c r="T7268" s="134" t="s">
        <v>145</v>
      </c>
      <c r="U7268" s="267" t="s">
        <v>15410</v>
      </c>
      <c r="AA7268" s="218"/>
    </row>
    <row r="7269" spans="1:27" ht="24" x14ac:dyDescent="0.25">
      <c r="A7269" s="405">
        <v>3005711</v>
      </c>
      <c r="B7269" s="406">
        <v>42695</v>
      </c>
      <c r="C7269" s="405" t="s">
        <v>237</v>
      </c>
      <c r="D7269" s="401" t="s">
        <v>15411</v>
      </c>
      <c r="E7269" s="120">
        <v>175</v>
      </c>
      <c r="F7269" s="133" t="s">
        <v>247</v>
      </c>
      <c r="G7269" s="404" t="s">
        <v>7486</v>
      </c>
      <c r="H7269" s="411">
        <v>160</v>
      </c>
      <c r="I7269" s="94">
        <f t="shared" ref="I7269:I7270" si="3658">-(H7269*0.15)</f>
        <v>-24</v>
      </c>
      <c r="J7269" s="391">
        <v>0</v>
      </c>
      <c r="K7269" s="90">
        <f t="shared" si="3651"/>
        <v>136</v>
      </c>
      <c r="L7269" s="131">
        <v>424</v>
      </c>
      <c r="N7269" s="91">
        <f t="shared" si="3602"/>
        <v>74.2</v>
      </c>
      <c r="O7269" s="411">
        <f t="shared" si="3612"/>
        <v>61.8</v>
      </c>
      <c r="P7269" s="132" t="s">
        <v>52</v>
      </c>
      <c r="Q7269" s="232"/>
      <c r="R7269" s="411"/>
      <c r="T7269" s="134" t="s">
        <v>145</v>
      </c>
      <c r="U7269" s="267" t="s">
        <v>15412</v>
      </c>
      <c r="AA7269" s="218"/>
    </row>
    <row r="7270" spans="1:27" ht="24" x14ac:dyDescent="0.25">
      <c r="A7270" s="405">
        <v>3005712</v>
      </c>
      <c r="B7270" s="406">
        <v>42695</v>
      </c>
      <c r="C7270" s="405" t="s">
        <v>237</v>
      </c>
      <c r="D7270" s="401" t="s">
        <v>15413</v>
      </c>
      <c r="E7270" s="120">
        <v>75</v>
      </c>
      <c r="F7270" s="133" t="s">
        <v>307</v>
      </c>
      <c r="G7270" s="404" t="s">
        <v>7486</v>
      </c>
      <c r="H7270" s="411">
        <v>106</v>
      </c>
      <c r="I7270" s="94">
        <f t="shared" si="3658"/>
        <v>-15.899999999999999</v>
      </c>
      <c r="J7270" s="391">
        <v>0</v>
      </c>
      <c r="K7270" s="90">
        <f t="shared" si="3651"/>
        <v>90.1</v>
      </c>
      <c r="L7270" s="131">
        <v>642.99</v>
      </c>
      <c r="N7270" s="91">
        <f t="shared" si="3602"/>
        <v>48.224249999999998</v>
      </c>
      <c r="O7270" s="411">
        <f t="shared" si="3612"/>
        <v>41.875749999999996</v>
      </c>
      <c r="P7270" s="132" t="s">
        <v>52</v>
      </c>
      <c r="Q7270" s="232"/>
      <c r="R7270" s="411"/>
      <c r="T7270" s="134" t="s">
        <v>145</v>
      </c>
      <c r="U7270" s="267" t="s">
        <v>15414</v>
      </c>
      <c r="AA7270" s="218"/>
    </row>
    <row r="7271" spans="1:27" ht="24" x14ac:dyDescent="0.25">
      <c r="A7271" s="405">
        <v>3005713</v>
      </c>
      <c r="B7271" s="406">
        <v>42695</v>
      </c>
      <c r="C7271" s="405" t="s">
        <v>237</v>
      </c>
      <c r="D7271" s="401" t="s">
        <v>15415</v>
      </c>
      <c r="E7271" s="120">
        <v>225</v>
      </c>
      <c r="F7271" s="133" t="s">
        <v>605</v>
      </c>
      <c r="G7271" s="404" t="s">
        <v>7486</v>
      </c>
      <c r="H7271" s="411">
        <v>225</v>
      </c>
      <c r="I7271" s="94">
        <f t="shared" ref="I7271" si="3659">-(H7271*0.15)</f>
        <v>-33.75</v>
      </c>
      <c r="J7271" s="391">
        <v>0</v>
      </c>
      <c r="K7271" s="90">
        <f t="shared" si="3651"/>
        <v>191.25</v>
      </c>
      <c r="L7271" s="131">
        <v>595</v>
      </c>
      <c r="N7271" s="91">
        <f t="shared" si="3602"/>
        <v>133.875</v>
      </c>
      <c r="O7271" s="411">
        <f t="shared" si="3612"/>
        <v>57.375</v>
      </c>
      <c r="P7271" s="132" t="s">
        <v>52</v>
      </c>
      <c r="Q7271" s="232"/>
      <c r="R7271" s="411"/>
      <c r="T7271" s="134" t="s">
        <v>145</v>
      </c>
      <c r="U7271" s="267" t="s">
        <v>15416</v>
      </c>
      <c r="AA7271" s="218"/>
    </row>
    <row r="7272" spans="1:27" ht="24" x14ac:dyDescent="0.25">
      <c r="A7272" s="405">
        <v>3005714</v>
      </c>
      <c r="B7272" s="406">
        <v>42695</v>
      </c>
      <c r="C7272" s="405" t="s">
        <v>42</v>
      </c>
      <c r="D7272" s="401" t="s">
        <v>15417</v>
      </c>
      <c r="E7272" s="120">
        <v>300</v>
      </c>
      <c r="F7272" s="133" t="s">
        <v>2949</v>
      </c>
      <c r="G7272" s="404" t="s">
        <v>7486</v>
      </c>
      <c r="H7272" s="411">
        <v>661.2</v>
      </c>
      <c r="I7272" s="89">
        <f>-(H7272*0.09)</f>
        <v>-59.508000000000003</v>
      </c>
      <c r="J7272" s="391">
        <f t="shared" ref="J7272" si="3660">-((H7272*0.019)+0.3)</f>
        <v>-12.862800000000002</v>
      </c>
      <c r="K7272" s="90">
        <f t="shared" ref="K7272" si="3661">SUM(H7272:J7272)</f>
        <v>588.82920000000001</v>
      </c>
      <c r="L7272" s="131">
        <v>1100</v>
      </c>
      <c r="N7272" s="91">
        <f t="shared" si="3602"/>
        <v>330</v>
      </c>
      <c r="O7272" s="411">
        <f t="shared" si="3612"/>
        <v>258.82920000000001</v>
      </c>
      <c r="P7272" s="132" t="s">
        <v>52</v>
      </c>
      <c r="Q7272" s="232"/>
      <c r="R7272" s="411"/>
      <c r="T7272" s="134" t="s">
        <v>145</v>
      </c>
      <c r="U7272" s="267" t="s">
        <v>15418</v>
      </c>
      <c r="AA7272" s="218"/>
    </row>
    <row r="7273" spans="1:27" ht="36" x14ac:dyDescent="0.25">
      <c r="A7273" s="405">
        <v>3005715</v>
      </c>
      <c r="B7273" s="406">
        <v>42695</v>
      </c>
      <c r="C7273" s="405" t="s">
        <v>237</v>
      </c>
      <c r="D7273" s="401" t="s">
        <v>15419</v>
      </c>
      <c r="E7273" s="120">
        <v>500</v>
      </c>
      <c r="F7273" s="119" t="s">
        <v>15420</v>
      </c>
      <c r="G7273" s="404" t="s">
        <v>7486</v>
      </c>
      <c r="H7273" s="411">
        <v>100</v>
      </c>
      <c r="I7273" s="94">
        <f t="shared" ref="I7273:I7274" si="3662">-(H7273*0.15)</f>
        <v>-15</v>
      </c>
      <c r="J7273" s="391">
        <v>0</v>
      </c>
      <c r="K7273" s="90">
        <f>SUM(H7273:J7273)</f>
        <v>85</v>
      </c>
      <c r="L7273" s="187">
        <v>180</v>
      </c>
      <c r="M7273" s="187">
        <v>16.13</v>
      </c>
      <c r="N7273" s="91">
        <f t="shared" si="3602"/>
        <v>106.13</v>
      </c>
      <c r="O7273" s="411">
        <f t="shared" si="3612"/>
        <v>-21.129999999999995</v>
      </c>
      <c r="P7273" s="132" t="s">
        <v>183</v>
      </c>
      <c r="Q7273" s="232"/>
      <c r="R7273" s="411"/>
      <c r="T7273" s="134" t="s">
        <v>145</v>
      </c>
      <c r="U7273" s="267">
        <v>616712878475</v>
      </c>
      <c r="AA7273" s="218"/>
    </row>
    <row r="7274" spans="1:27" x14ac:dyDescent="0.25">
      <c r="A7274" s="419">
        <v>3005716</v>
      </c>
      <c r="B7274" s="421">
        <v>42695</v>
      </c>
      <c r="C7274" s="419" t="s">
        <v>237</v>
      </c>
      <c r="D7274" s="417" t="s">
        <v>15421</v>
      </c>
      <c r="E7274" s="120">
        <v>50</v>
      </c>
      <c r="F7274" s="133" t="s">
        <v>3719</v>
      </c>
      <c r="G7274" s="434" t="s">
        <v>7486</v>
      </c>
      <c r="H7274" s="427">
        <v>176.54</v>
      </c>
      <c r="I7274" s="452">
        <f t="shared" si="3662"/>
        <v>-26.480999999999998</v>
      </c>
      <c r="J7274" s="425">
        <v>0</v>
      </c>
      <c r="K7274" s="425">
        <f>SUM(H7274:J7274)</f>
        <v>150.059</v>
      </c>
      <c r="L7274" s="187">
        <v>1180</v>
      </c>
      <c r="N7274" s="91">
        <f t="shared" si="3602"/>
        <v>59</v>
      </c>
      <c r="O7274" s="411">
        <f t="shared" si="3612"/>
        <v>91.058999999999997</v>
      </c>
      <c r="P7274" s="132" t="s">
        <v>601</v>
      </c>
      <c r="Q7274" s="232"/>
      <c r="R7274" s="411"/>
      <c r="T7274" s="439" t="s">
        <v>755</v>
      </c>
      <c r="U7274" s="446"/>
      <c r="AA7274" s="218"/>
    </row>
    <row r="7275" spans="1:27" x14ac:dyDescent="0.25">
      <c r="A7275" s="420"/>
      <c r="B7275" s="422"/>
      <c r="C7275" s="420"/>
      <c r="D7275" s="418"/>
      <c r="E7275" s="120">
        <v>50</v>
      </c>
      <c r="F7275" s="133" t="s">
        <v>3307</v>
      </c>
      <c r="G7275" s="436"/>
      <c r="H7275" s="428"/>
      <c r="I7275" s="453"/>
      <c r="J7275" s="426"/>
      <c r="K7275" s="426"/>
      <c r="L7275" s="187">
        <v>1180</v>
      </c>
      <c r="N7275" s="91">
        <f t="shared" si="3602"/>
        <v>59</v>
      </c>
      <c r="O7275" s="411">
        <f t="shared" si="3612"/>
        <v>-59</v>
      </c>
      <c r="P7275" s="132" t="s">
        <v>601</v>
      </c>
      <c r="Q7275" s="232"/>
      <c r="R7275" s="411"/>
      <c r="T7275" s="441"/>
      <c r="U7275" s="447"/>
      <c r="AA7275" s="218"/>
    </row>
    <row r="7276" spans="1:27" x14ac:dyDescent="0.25">
      <c r="A7276" s="419">
        <v>3005717</v>
      </c>
      <c r="B7276" s="421">
        <v>42695</v>
      </c>
      <c r="C7276" s="419" t="s">
        <v>56</v>
      </c>
      <c r="D7276" s="429" t="s">
        <v>1046</v>
      </c>
      <c r="E7276" s="120">
        <v>500</v>
      </c>
      <c r="F7276" s="133" t="s">
        <v>15422</v>
      </c>
      <c r="G7276" s="460" t="s">
        <v>7486</v>
      </c>
      <c r="H7276" s="427">
        <v>2685</v>
      </c>
      <c r="I7276" s="427">
        <v>0</v>
      </c>
      <c r="J7276" s="427">
        <v>0</v>
      </c>
      <c r="K7276" s="425">
        <f>SUM(H7276:J7276)</f>
        <v>2685</v>
      </c>
      <c r="M7276" s="450">
        <v>130.57</v>
      </c>
      <c r="N7276" s="91">
        <f t="shared" si="3602"/>
        <v>130.57</v>
      </c>
      <c r="O7276" s="411">
        <f t="shared" si="3612"/>
        <v>2554.4299999999998</v>
      </c>
      <c r="P7276" s="132" t="s">
        <v>52</v>
      </c>
      <c r="Q7276" s="232"/>
      <c r="R7276" s="411"/>
      <c r="T7276" s="470" t="s">
        <v>1467</v>
      </c>
      <c r="U7276" s="446" t="s">
        <v>15423</v>
      </c>
      <c r="V7276" s="133" t="s">
        <v>15221</v>
      </c>
      <c r="AA7276" s="218"/>
    </row>
    <row r="7277" spans="1:27" x14ac:dyDescent="0.25">
      <c r="A7277" s="432"/>
      <c r="B7277" s="433"/>
      <c r="C7277" s="432"/>
      <c r="D7277" s="430"/>
      <c r="E7277" s="120">
        <v>750</v>
      </c>
      <c r="F7277" s="133" t="s">
        <v>15424</v>
      </c>
      <c r="G7277" s="461"/>
      <c r="H7277" s="438"/>
      <c r="I7277" s="438"/>
      <c r="J7277" s="438"/>
      <c r="K7277" s="437"/>
      <c r="M7277" s="463"/>
      <c r="N7277" s="91">
        <f t="shared" si="3602"/>
        <v>0</v>
      </c>
      <c r="O7277" s="411">
        <f t="shared" si="3612"/>
        <v>0</v>
      </c>
      <c r="P7277" s="132" t="s">
        <v>52</v>
      </c>
      <c r="Q7277" s="232"/>
      <c r="R7277" s="411"/>
      <c r="T7277" s="471"/>
      <c r="U7277" s="448"/>
      <c r="V7277" s="133" t="s">
        <v>55</v>
      </c>
      <c r="AA7277" s="218"/>
    </row>
    <row r="7278" spans="1:27" x14ac:dyDescent="0.25">
      <c r="A7278" s="432"/>
      <c r="B7278" s="433"/>
      <c r="C7278" s="432"/>
      <c r="D7278" s="430"/>
      <c r="E7278" s="120">
        <v>1250</v>
      </c>
      <c r="F7278" s="133" t="s">
        <v>15425</v>
      </c>
      <c r="G7278" s="461"/>
      <c r="H7278" s="438"/>
      <c r="I7278" s="438"/>
      <c r="J7278" s="438"/>
      <c r="K7278" s="437"/>
      <c r="M7278" s="451"/>
      <c r="N7278" s="91">
        <f t="shared" si="3602"/>
        <v>0</v>
      </c>
      <c r="O7278" s="411">
        <f t="shared" si="3612"/>
        <v>0</v>
      </c>
      <c r="P7278" s="132" t="s">
        <v>52</v>
      </c>
      <c r="Q7278" s="232"/>
      <c r="R7278" s="411"/>
      <c r="T7278" s="472"/>
      <c r="U7278" s="447"/>
      <c r="AA7278" s="218"/>
    </row>
    <row r="7279" spans="1:27" x14ac:dyDescent="0.25">
      <c r="A7279" s="432"/>
      <c r="B7279" s="433"/>
      <c r="C7279" s="432"/>
      <c r="D7279" s="430"/>
      <c r="E7279" s="120">
        <v>500</v>
      </c>
      <c r="F7279" s="133" t="s">
        <v>15188</v>
      </c>
      <c r="G7279" s="461"/>
      <c r="H7279" s="438"/>
      <c r="I7279" s="438"/>
      <c r="J7279" s="438"/>
      <c r="K7279" s="437"/>
      <c r="L7279" s="187">
        <v>155.27000000000001</v>
      </c>
      <c r="M7279" s="468">
        <v>47.54</v>
      </c>
      <c r="N7279" s="91">
        <f t="shared" si="3602"/>
        <v>125.17500000000001</v>
      </c>
      <c r="O7279" s="411">
        <f t="shared" si="3612"/>
        <v>-125.17500000000001</v>
      </c>
      <c r="P7279" s="132" t="s">
        <v>46</v>
      </c>
      <c r="Q7279" s="232"/>
      <c r="R7279" s="411"/>
      <c r="T7279" s="439" t="s">
        <v>324</v>
      </c>
      <c r="U7279" s="444" t="s">
        <v>15426</v>
      </c>
      <c r="AA7279" s="218"/>
    </row>
    <row r="7280" spans="1:27" x14ac:dyDescent="0.25">
      <c r="A7280" s="432"/>
      <c r="B7280" s="433"/>
      <c r="C7280" s="432"/>
      <c r="D7280" s="430"/>
      <c r="E7280" s="120">
        <v>500</v>
      </c>
      <c r="F7280" s="133" t="s">
        <v>2667</v>
      </c>
      <c r="G7280" s="461"/>
      <c r="H7280" s="438"/>
      <c r="I7280" s="438"/>
      <c r="J7280" s="438"/>
      <c r="K7280" s="437"/>
      <c r="L7280" s="187">
        <v>195.29</v>
      </c>
      <c r="M7280" s="469"/>
      <c r="N7280" s="91">
        <f t="shared" si="3602"/>
        <v>97.644999999999996</v>
      </c>
      <c r="O7280" s="411">
        <f t="shared" si="3612"/>
        <v>-97.644999999999996</v>
      </c>
      <c r="P7280" s="132" t="s">
        <v>46</v>
      </c>
      <c r="Q7280" s="232"/>
      <c r="R7280" s="411"/>
      <c r="T7280" s="441"/>
      <c r="U7280" s="445"/>
      <c r="AA7280" s="218"/>
    </row>
    <row r="7281" spans="1:27" x14ac:dyDescent="0.25">
      <c r="A7281" s="432"/>
      <c r="B7281" s="433"/>
      <c r="C7281" s="432"/>
      <c r="D7281" s="430"/>
      <c r="E7281" s="120">
        <v>250</v>
      </c>
      <c r="F7281" s="133" t="s">
        <v>431</v>
      </c>
      <c r="G7281" s="461"/>
      <c r="H7281" s="438"/>
      <c r="I7281" s="438"/>
      <c r="J7281" s="438"/>
      <c r="K7281" s="437"/>
      <c r="M7281" s="450"/>
      <c r="N7281" s="91">
        <f t="shared" si="3602"/>
        <v>0</v>
      </c>
      <c r="O7281" s="411">
        <f t="shared" si="3612"/>
        <v>0</v>
      </c>
      <c r="P7281" s="132" t="s">
        <v>52</v>
      </c>
      <c r="Q7281" s="232"/>
      <c r="R7281" s="411"/>
      <c r="T7281" s="470" t="s">
        <v>1467</v>
      </c>
      <c r="U7281" s="446" t="s">
        <v>15423</v>
      </c>
      <c r="AA7281" s="218"/>
    </row>
    <row r="7282" spans="1:27" x14ac:dyDescent="0.25">
      <c r="A7282" s="420"/>
      <c r="B7282" s="422"/>
      <c r="C7282" s="420"/>
      <c r="D7282" s="431"/>
      <c r="E7282" s="120">
        <v>250</v>
      </c>
      <c r="F7282" s="133" t="s">
        <v>161</v>
      </c>
      <c r="G7282" s="462"/>
      <c r="H7282" s="428"/>
      <c r="I7282" s="428"/>
      <c r="J7282" s="428"/>
      <c r="K7282" s="426"/>
      <c r="M7282" s="451"/>
      <c r="N7282" s="91">
        <f t="shared" si="3602"/>
        <v>0</v>
      </c>
      <c r="O7282" s="411">
        <f t="shared" si="3612"/>
        <v>0</v>
      </c>
      <c r="P7282" s="132" t="s">
        <v>52</v>
      </c>
      <c r="Q7282" s="232"/>
      <c r="R7282" s="411"/>
      <c r="T7282" s="472"/>
      <c r="U7282" s="447"/>
      <c r="AA7282" s="218"/>
    </row>
    <row r="7283" spans="1:27" x14ac:dyDescent="0.25">
      <c r="A7283" s="419">
        <v>3005718</v>
      </c>
      <c r="B7283" s="421">
        <v>42695</v>
      </c>
      <c r="C7283" s="419" t="s">
        <v>63</v>
      </c>
      <c r="D7283" s="417" t="s">
        <v>15427</v>
      </c>
      <c r="E7283" s="120">
        <v>2695</v>
      </c>
      <c r="F7283" s="133" t="s">
        <v>15428</v>
      </c>
      <c r="G7283" s="434" t="s">
        <v>7486</v>
      </c>
      <c r="H7283" s="427">
        <v>26402.5</v>
      </c>
      <c r="I7283" s="427">
        <v>0</v>
      </c>
      <c r="J7283" s="425">
        <f>-((H7283*0.022)+0.3)</f>
        <v>-581.15499999999997</v>
      </c>
      <c r="K7283" s="425">
        <f>SUM(H7283:J7283)</f>
        <v>25821.345000000001</v>
      </c>
      <c r="L7283" s="131">
        <v>7700</v>
      </c>
      <c r="M7283" s="131">
        <v>0</v>
      </c>
      <c r="N7283" s="91">
        <f t="shared" si="3602"/>
        <v>20751.5</v>
      </c>
      <c r="O7283" s="411">
        <f t="shared" si="3612"/>
        <v>5069.8450000000012</v>
      </c>
      <c r="P7283" s="132" t="s">
        <v>46</v>
      </c>
      <c r="Q7283" s="232"/>
      <c r="R7283" s="411"/>
      <c r="T7283" s="134" t="s">
        <v>1346</v>
      </c>
      <c r="U7283" s="266"/>
      <c r="AA7283" s="547">
        <v>100</v>
      </c>
    </row>
    <row r="7284" spans="1:27" ht="36" x14ac:dyDescent="0.25">
      <c r="A7284" s="420"/>
      <c r="B7284" s="422"/>
      <c r="C7284" s="420"/>
      <c r="D7284" s="418"/>
      <c r="E7284" s="120">
        <v>1</v>
      </c>
      <c r="F7284" s="119" t="s">
        <v>15429</v>
      </c>
      <c r="G7284" s="436"/>
      <c r="H7284" s="428"/>
      <c r="I7284" s="428"/>
      <c r="J7284" s="426"/>
      <c r="K7284" s="426"/>
      <c r="L7284" s="131">
        <v>539000</v>
      </c>
      <c r="N7284" s="91">
        <f t="shared" si="3602"/>
        <v>539</v>
      </c>
      <c r="O7284" s="411">
        <f t="shared" si="3612"/>
        <v>-539</v>
      </c>
      <c r="P7284" s="132" t="s">
        <v>601</v>
      </c>
      <c r="Q7284" s="232"/>
      <c r="R7284" s="411"/>
      <c r="T7284" s="135" t="s">
        <v>755</v>
      </c>
      <c r="AA7284" s="548"/>
    </row>
    <row r="7285" spans="1:27" x14ac:dyDescent="0.25">
      <c r="A7285" s="405">
        <v>3005719</v>
      </c>
      <c r="B7285" s="406">
        <v>42696</v>
      </c>
      <c r="C7285" s="405" t="s">
        <v>42</v>
      </c>
      <c r="D7285" s="401" t="s">
        <v>15430</v>
      </c>
      <c r="E7285" s="120">
        <v>500</v>
      </c>
      <c r="F7285" s="133" t="s">
        <v>3719</v>
      </c>
      <c r="G7285" s="404" t="s">
        <v>7486</v>
      </c>
      <c r="H7285" s="411">
        <v>800</v>
      </c>
      <c r="I7285" s="89">
        <f t="shared" ref="I7285:I7290" si="3663">-(H7285*0.09)</f>
        <v>-72</v>
      </c>
      <c r="J7285" s="391">
        <f t="shared" ref="J7285" si="3664">-((H7285*0.019)+0.3)</f>
        <v>-15.5</v>
      </c>
      <c r="K7285" s="90">
        <f t="shared" ref="K7285" si="3665">SUM(H7285:J7285)</f>
        <v>712.5</v>
      </c>
      <c r="L7285" s="187">
        <v>1197</v>
      </c>
      <c r="M7285" s="224">
        <v>0</v>
      </c>
      <c r="N7285" s="91">
        <f t="shared" si="3602"/>
        <v>598.5</v>
      </c>
      <c r="O7285" s="411">
        <f t="shared" si="3612"/>
        <v>114</v>
      </c>
      <c r="P7285" s="132" t="s">
        <v>601</v>
      </c>
      <c r="Q7285" s="232"/>
      <c r="R7285" s="411"/>
      <c r="T7285" s="134" t="s">
        <v>399</v>
      </c>
      <c r="U7285" s="267" t="s">
        <v>15431</v>
      </c>
      <c r="AA7285" s="218"/>
    </row>
    <row r="7286" spans="1:27" ht="24" x14ac:dyDescent="0.25">
      <c r="A7286" s="405">
        <v>3005720</v>
      </c>
      <c r="B7286" s="406">
        <v>42696</v>
      </c>
      <c r="C7286" s="405" t="s">
        <v>42</v>
      </c>
      <c r="D7286" s="401" t="s">
        <v>15432</v>
      </c>
      <c r="E7286" s="120">
        <v>100</v>
      </c>
      <c r="F7286" s="133" t="s">
        <v>247</v>
      </c>
      <c r="G7286" s="404" t="s">
        <v>7486</v>
      </c>
      <c r="H7286" s="411">
        <v>120</v>
      </c>
      <c r="I7286" s="89">
        <f t="shared" si="3663"/>
        <v>-10.799999999999999</v>
      </c>
      <c r="J7286" s="391">
        <f t="shared" ref="J7286" si="3666">-((H7286*0.019)+0.3)</f>
        <v>-2.5799999999999996</v>
      </c>
      <c r="K7286" s="90">
        <f t="shared" ref="K7286" si="3667">SUM(H7286:J7286)</f>
        <v>106.62</v>
      </c>
      <c r="L7286" s="131">
        <v>424</v>
      </c>
      <c r="N7286" s="91">
        <f t="shared" si="3602"/>
        <v>42.400000000000006</v>
      </c>
      <c r="O7286" s="411">
        <f t="shared" si="3612"/>
        <v>64.22</v>
      </c>
      <c r="P7286" s="132" t="s">
        <v>52</v>
      </c>
      <c r="Q7286" s="232"/>
      <c r="R7286" s="411"/>
      <c r="T7286" s="134" t="s">
        <v>145</v>
      </c>
      <c r="U7286" s="266">
        <v>702723293141</v>
      </c>
      <c r="AA7286" s="218"/>
    </row>
    <row r="7287" spans="1:27" ht="24" x14ac:dyDescent="0.25">
      <c r="A7287" s="405">
        <v>3005721</v>
      </c>
      <c r="B7287" s="406">
        <v>42696</v>
      </c>
      <c r="C7287" s="405" t="s">
        <v>42</v>
      </c>
      <c r="D7287" s="401" t="s">
        <v>15433</v>
      </c>
      <c r="E7287" s="120">
        <v>40</v>
      </c>
      <c r="F7287" s="133" t="s">
        <v>300</v>
      </c>
      <c r="G7287" s="404" t="s">
        <v>7486</v>
      </c>
      <c r="H7287" s="411">
        <v>157.79</v>
      </c>
      <c r="I7287" s="89">
        <f t="shared" si="3663"/>
        <v>-14.201099999999999</v>
      </c>
      <c r="J7287" s="391">
        <f t="shared" ref="J7287" si="3668">-((H7287*0.019)+0.3)</f>
        <v>-3.2980099999999997</v>
      </c>
      <c r="K7287" s="90">
        <f t="shared" ref="K7287" si="3669">SUM(H7287:J7287)</f>
        <v>140.29088999999999</v>
      </c>
      <c r="L7287" s="131">
        <v>2150</v>
      </c>
      <c r="N7287" s="91">
        <f t="shared" si="3602"/>
        <v>86</v>
      </c>
      <c r="O7287" s="411">
        <f t="shared" si="3612"/>
        <v>54.29088999999999</v>
      </c>
      <c r="P7287" s="132" t="s">
        <v>52</v>
      </c>
      <c r="Q7287" s="232"/>
      <c r="R7287" s="411"/>
      <c r="T7287" s="134" t="s">
        <v>145</v>
      </c>
      <c r="U7287" s="266">
        <v>702723293119</v>
      </c>
      <c r="AA7287" s="218"/>
    </row>
    <row r="7288" spans="1:27" ht="24" x14ac:dyDescent="0.25">
      <c r="A7288" s="405">
        <v>3005722</v>
      </c>
      <c r="B7288" s="406">
        <v>42696</v>
      </c>
      <c r="C7288" s="405" t="s">
        <v>42</v>
      </c>
      <c r="D7288" s="401" t="s">
        <v>15434</v>
      </c>
      <c r="E7288" s="120">
        <v>50</v>
      </c>
      <c r="F7288" s="133" t="s">
        <v>1522</v>
      </c>
      <c r="G7288" s="404" t="s">
        <v>7486</v>
      </c>
      <c r="H7288" s="411">
        <v>134</v>
      </c>
      <c r="I7288" s="89">
        <f t="shared" si="3663"/>
        <v>-12.059999999999999</v>
      </c>
      <c r="J7288" s="391">
        <f t="shared" ref="J7288" si="3670">-((H7288*0.019)+0.3)</f>
        <v>-2.8459999999999996</v>
      </c>
      <c r="K7288" s="90">
        <f t="shared" ref="K7288" si="3671">SUM(H7288:J7288)</f>
        <v>119.09399999999999</v>
      </c>
      <c r="L7288" s="131">
        <v>716</v>
      </c>
      <c r="N7288" s="91">
        <f t="shared" si="3602"/>
        <v>35.800000000000004</v>
      </c>
      <c r="O7288" s="411">
        <f t="shared" si="3612"/>
        <v>83.293999999999983</v>
      </c>
      <c r="P7288" s="132" t="s">
        <v>52</v>
      </c>
      <c r="Q7288" s="232"/>
      <c r="R7288" s="411"/>
      <c r="T7288" s="134" t="s">
        <v>145</v>
      </c>
      <c r="U7288" s="266">
        <v>702723293120</v>
      </c>
      <c r="AA7288" s="218"/>
    </row>
    <row r="7289" spans="1:27" ht="24" x14ac:dyDescent="0.25">
      <c r="A7289" s="405">
        <v>3005723</v>
      </c>
      <c r="B7289" s="406">
        <v>42696</v>
      </c>
      <c r="C7289" s="405" t="s">
        <v>42</v>
      </c>
      <c r="D7289" s="401" t="s">
        <v>15435</v>
      </c>
      <c r="E7289" s="120">
        <v>150</v>
      </c>
      <c r="F7289" s="133" t="s">
        <v>161</v>
      </c>
      <c r="G7289" s="404" t="s">
        <v>7486</v>
      </c>
      <c r="H7289" s="411">
        <v>341.55</v>
      </c>
      <c r="I7289" s="89">
        <f t="shared" si="3663"/>
        <v>-30.7395</v>
      </c>
      <c r="J7289" s="391">
        <f t="shared" ref="J7289" si="3672">-((H7289*0.019)+0.3)</f>
        <v>-6.7894499999999995</v>
      </c>
      <c r="K7289" s="90">
        <f t="shared" ref="K7289" si="3673">SUM(H7289:J7289)</f>
        <v>304.02105</v>
      </c>
      <c r="L7289" s="131">
        <v>1322</v>
      </c>
      <c r="N7289" s="91">
        <f t="shared" si="3602"/>
        <v>198.29999999999998</v>
      </c>
      <c r="O7289" s="411">
        <f t="shared" si="3612"/>
        <v>105.72105000000002</v>
      </c>
      <c r="P7289" s="132" t="s">
        <v>52</v>
      </c>
      <c r="Q7289" s="232"/>
      <c r="R7289" s="411"/>
      <c r="T7289" s="134" t="s">
        <v>145</v>
      </c>
      <c r="U7289" s="266">
        <v>702723293130</v>
      </c>
      <c r="AA7289" s="218"/>
    </row>
    <row r="7290" spans="1:27" ht="36" x14ac:dyDescent="0.25">
      <c r="A7290" s="405">
        <v>3005724</v>
      </c>
      <c r="B7290" s="406">
        <v>42696</v>
      </c>
      <c r="C7290" s="405" t="s">
        <v>42</v>
      </c>
      <c r="D7290" s="401" t="s">
        <v>15436</v>
      </c>
      <c r="E7290" s="120">
        <v>1000</v>
      </c>
      <c r="F7290" s="119" t="s">
        <v>15437</v>
      </c>
      <c r="G7290" s="404" t="s">
        <v>7486</v>
      </c>
      <c r="H7290" s="411">
        <v>380</v>
      </c>
      <c r="I7290" s="89">
        <f t="shared" si="3663"/>
        <v>-34.199999999999996</v>
      </c>
      <c r="J7290" s="391">
        <f t="shared" ref="J7290" si="3674">-((H7290*0.019)+0.3)</f>
        <v>-7.52</v>
      </c>
      <c r="K7290" s="90">
        <f t="shared" ref="K7290" si="3675">SUM(H7290:J7290)</f>
        <v>338.28000000000003</v>
      </c>
      <c r="L7290" s="131">
        <v>190</v>
      </c>
      <c r="M7290" s="177"/>
      <c r="N7290" s="91">
        <f t="shared" si="3602"/>
        <v>190</v>
      </c>
      <c r="O7290" s="411">
        <f t="shared" si="3612"/>
        <v>148.28000000000003</v>
      </c>
      <c r="P7290" s="132" t="s">
        <v>1505</v>
      </c>
      <c r="Q7290" s="232"/>
      <c r="R7290" s="411"/>
      <c r="T7290" s="134" t="s">
        <v>145</v>
      </c>
      <c r="U7290" s="267" t="s">
        <v>15438</v>
      </c>
      <c r="AA7290" s="218"/>
    </row>
    <row r="7291" spans="1:27" x14ac:dyDescent="0.25">
      <c r="A7291" s="419">
        <v>3005725</v>
      </c>
      <c r="B7291" s="421">
        <v>42696</v>
      </c>
      <c r="C7291" s="419" t="s">
        <v>237</v>
      </c>
      <c r="D7291" s="417" t="s">
        <v>15439</v>
      </c>
      <c r="E7291" s="120">
        <v>50</v>
      </c>
      <c r="F7291" s="133" t="s">
        <v>3440</v>
      </c>
      <c r="G7291" s="434" t="s">
        <v>7486</v>
      </c>
      <c r="H7291" s="427">
        <v>147.44</v>
      </c>
      <c r="I7291" s="452">
        <f t="shared" ref="I7291" si="3676">-(H7291*0.15)</f>
        <v>-22.116</v>
      </c>
      <c r="J7291" s="425">
        <v>0</v>
      </c>
      <c r="K7291" s="425">
        <f>SUM(H7291:J7291)</f>
        <v>125.324</v>
      </c>
      <c r="L7291" s="131">
        <v>944</v>
      </c>
      <c r="N7291" s="91">
        <f t="shared" si="3602"/>
        <v>47.2</v>
      </c>
      <c r="O7291" s="411">
        <f t="shared" si="3612"/>
        <v>78.123999999999995</v>
      </c>
      <c r="P7291" s="132" t="s">
        <v>601</v>
      </c>
      <c r="Q7291" s="232"/>
      <c r="R7291" s="411"/>
      <c r="T7291" s="439" t="s">
        <v>145</v>
      </c>
      <c r="U7291" s="446" t="s">
        <v>15440</v>
      </c>
      <c r="AA7291" s="218"/>
    </row>
    <row r="7292" spans="1:27" x14ac:dyDescent="0.25">
      <c r="A7292" s="420"/>
      <c r="B7292" s="422"/>
      <c r="C7292" s="420"/>
      <c r="D7292" s="418"/>
      <c r="E7292" s="120">
        <v>50</v>
      </c>
      <c r="F7292" s="133" t="s">
        <v>3442</v>
      </c>
      <c r="G7292" s="436"/>
      <c r="H7292" s="428"/>
      <c r="I7292" s="453"/>
      <c r="J7292" s="426"/>
      <c r="K7292" s="426"/>
      <c r="L7292" s="131">
        <v>946</v>
      </c>
      <c r="N7292" s="91">
        <f t="shared" si="3602"/>
        <v>47.300000000000004</v>
      </c>
      <c r="O7292" s="411">
        <f t="shared" si="3612"/>
        <v>-47.300000000000004</v>
      </c>
      <c r="P7292" s="132" t="s">
        <v>601</v>
      </c>
      <c r="Q7292" s="232"/>
      <c r="R7292" s="411"/>
      <c r="T7292" s="441"/>
      <c r="U7292" s="447"/>
      <c r="AA7292" s="218"/>
    </row>
    <row r="7293" spans="1:27" ht="24" x14ac:dyDescent="0.25">
      <c r="A7293" s="405">
        <v>3005726</v>
      </c>
      <c r="B7293" s="406">
        <v>42696</v>
      </c>
      <c r="C7293" s="405" t="s">
        <v>237</v>
      </c>
      <c r="D7293" s="401" t="s">
        <v>15441</v>
      </c>
      <c r="E7293" s="120">
        <v>150</v>
      </c>
      <c r="F7293" s="133" t="s">
        <v>165</v>
      </c>
      <c r="G7293" s="404" t="s">
        <v>7486</v>
      </c>
      <c r="H7293" s="411">
        <v>120</v>
      </c>
      <c r="I7293" s="94">
        <f t="shared" ref="I7293" si="3677">-(H7293*0.15)</f>
        <v>-18</v>
      </c>
      <c r="J7293" s="90">
        <v>0</v>
      </c>
      <c r="K7293" s="90">
        <f>SUM(H7293:J7293)</f>
        <v>102</v>
      </c>
      <c r="L7293" s="131">
        <v>375</v>
      </c>
      <c r="N7293" s="91">
        <f t="shared" si="3602"/>
        <v>56.25</v>
      </c>
      <c r="O7293" s="411">
        <f t="shared" si="3612"/>
        <v>45.75</v>
      </c>
      <c r="P7293" s="132" t="s">
        <v>52</v>
      </c>
      <c r="Q7293" s="232"/>
      <c r="R7293" s="411"/>
      <c r="T7293" s="134" t="s">
        <v>145</v>
      </c>
      <c r="U7293" s="266">
        <v>702723293152</v>
      </c>
      <c r="AA7293" s="218"/>
    </row>
    <row r="7294" spans="1:27" x14ac:dyDescent="0.25">
      <c r="A7294" s="405">
        <v>3005727</v>
      </c>
      <c r="B7294" s="406">
        <v>42696</v>
      </c>
      <c r="C7294" s="405" t="s">
        <v>237</v>
      </c>
      <c r="D7294" s="401" t="s">
        <v>15442</v>
      </c>
      <c r="E7294" s="120">
        <v>350</v>
      </c>
      <c r="F7294" s="133" t="s">
        <v>165</v>
      </c>
      <c r="G7294" s="193" t="s">
        <v>6199</v>
      </c>
      <c r="H7294" s="411">
        <v>262</v>
      </c>
      <c r="I7294" s="94">
        <f t="shared" ref="I7294" si="3678">-(H7294*0.15)</f>
        <v>-39.299999999999997</v>
      </c>
      <c r="J7294" s="90">
        <v>0</v>
      </c>
      <c r="K7294" s="90">
        <f>SUM(H7294:J7294)</f>
        <v>222.7</v>
      </c>
      <c r="L7294" s="131">
        <v>375</v>
      </c>
      <c r="N7294" s="91">
        <f t="shared" ref="N7294:N7358" si="3679">((L7294)*(E7294*0.001))+M7294</f>
        <v>131.25</v>
      </c>
      <c r="O7294" s="411">
        <f t="shared" si="3612"/>
        <v>91.449999999999989</v>
      </c>
      <c r="P7294" s="132" t="s">
        <v>86</v>
      </c>
      <c r="Q7294" s="232"/>
      <c r="R7294" s="411"/>
      <c r="T7294" s="134"/>
      <c r="U7294" s="266"/>
      <c r="AA7294" s="218"/>
    </row>
    <row r="7295" spans="1:27" ht="24" x14ac:dyDescent="0.25">
      <c r="A7295" s="405">
        <v>3005728</v>
      </c>
      <c r="B7295" s="406">
        <v>42696</v>
      </c>
      <c r="C7295" s="405" t="s">
        <v>42</v>
      </c>
      <c r="D7295" s="401" t="s">
        <v>15443</v>
      </c>
      <c r="E7295" s="120">
        <v>325</v>
      </c>
      <c r="F7295" s="133" t="s">
        <v>877</v>
      </c>
      <c r="G7295" s="404" t="s">
        <v>7486</v>
      </c>
      <c r="H7295" s="411">
        <v>184.14</v>
      </c>
      <c r="I7295" s="89">
        <f>-(H7295*0.09)</f>
        <v>-16.572599999999998</v>
      </c>
      <c r="J7295" s="391">
        <f t="shared" ref="J7295" si="3680">-((H7295*0.019)+0.3)</f>
        <v>-3.7986599999999995</v>
      </c>
      <c r="K7295" s="90">
        <f t="shared" ref="K7295" si="3681">SUM(H7295:J7295)</f>
        <v>163.76873999999998</v>
      </c>
      <c r="L7295" s="131">
        <v>174</v>
      </c>
      <c r="N7295" s="91">
        <f t="shared" si="3679"/>
        <v>56.550000000000004</v>
      </c>
      <c r="O7295" s="411">
        <f t="shared" si="3612"/>
        <v>107.21873999999997</v>
      </c>
      <c r="P7295" s="132" t="s">
        <v>86</v>
      </c>
      <c r="Q7295" s="232"/>
      <c r="R7295" s="411"/>
      <c r="T7295" s="134" t="s">
        <v>145</v>
      </c>
      <c r="U7295" s="267" t="s">
        <v>15444</v>
      </c>
      <c r="AA7295" s="218"/>
    </row>
    <row r="7296" spans="1:27" ht="24" x14ac:dyDescent="0.25">
      <c r="A7296" s="405">
        <v>3005729</v>
      </c>
      <c r="B7296" s="406">
        <v>42696</v>
      </c>
      <c r="C7296" s="405" t="s">
        <v>42</v>
      </c>
      <c r="D7296" s="401" t="s">
        <v>15445</v>
      </c>
      <c r="E7296" s="120">
        <v>100</v>
      </c>
      <c r="F7296" s="133" t="s">
        <v>247</v>
      </c>
      <c r="G7296" s="404" t="s">
        <v>7486</v>
      </c>
      <c r="H7296" s="411">
        <v>130.46</v>
      </c>
      <c r="I7296" s="89">
        <f>-(H7296*0.09)</f>
        <v>-11.741400000000001</v>
      </c>
      <c r="J7296" s="391">
        <f t="shared" ref="J7296" si="3682">-((H7296*0.019)+0.3)</f>
        <v>-2.77874</v>
      </c>
      <c r="K7296" s="90">
        <f t="shared" ref="K7296:K7297" si="3683">SUM(H7296:J7296)</f>
        <v>115.93986000000001</v>
      </c>
      <c r="L7296" s="131">
        <v>424</v>
      </c>
      <c r="N7296" s="91">
        <f t="shared" si="3679"/>
        <v>42.400000000000006</v>
      </c>
      <c r="O7296" s="411">
        <f t="shared" si="3612"/>
        <v>73.539860000000004</v>
      </c>
      <c r="P7296" s="132" t="s">
        <v>52</v>
      </c>
      <c r="Q7296" s="232"/>
      <c r="R7296" s="411"/>
      <c r="T7296" s="134" t="s">
        <v>145</v>
      </c>
      <c r="U7296" s="266">
        <v>702723293174</v>
      </c>
      <c r="AA7296" s="218"/>
    </row>
    <row r="7297" spans="1:27" ht="24" x14ac:dyDescent="0.25">
      <c r="A7297" s="405">
        <v>3005730</v>
      </c>
      <c r="B7297" s="406">
        <v>42696</v>
      </c>
      <c r="C7297" s="405" t="s">
        <v>63</v>
      </c>
      <c r="D7297" s="401" t="s">
        <v>5621</v>
      </c>
      <c r="E7297" s="120">
        <v>150</v>
      </c>
      <c r="F7297" s="133" t="s">
        <v>431</v>
      </c>
      <c r="G7297" s="404" t="s">
        <v>7486</v>
      </c>
      <c r="H7297" s="411">
        <v>267.75</v>
      </c>
      <c r="I7297" s="411">
        <v>0</v>
      </c>
      <c r="J7297" s="391">
        <f>-((H7297*0.022)+0.3)</f>
        <v>-6.1904999999999992</v>
      </c>
      <c r="K7297" s="90">
        <f t="shared" si="3683"/>
        <v>261.55950000000001</v>
      </c>
      <c r="L7297" s="131">
        <v>950</v>
      </c>
      <c r="N7297" s="91">
        <f t="shared" si="3679"/>
        <v>142.5</v>
      </c>
      <c r="O7297" s="411">
        <f t="shared" si="3612"/>
        <v>119.05950000000001</v>
      </c>
      <c r="P7297" s="132" t="s">
        <v>52</v>
      </c>
      <c r="Q7297" s="232"/>
      <c r="R7297" s="411"/>
      <c r="T7297" s="134" t="s">
        <v>145</v>
      </c>
      <c r="U7297" s="266">
        <v>702723293163</v>
      </c>
      <c r="W7297" s="153" t="s">
        <v>5624</v>
      </c>
      <c r="AA7297" s="218"/>
    </row>
    <row r="7298" spans="1:27" ht="24" x14ac:dyDescent="0.25">
      <c r="A7298" s="405">
        <v>3005731</v>
      </c>
      <c r="B7298" s="406">
        <v>42696</v>
      </c>
      <c r="C7298" s="405" t="s">
        <v>327</v>
      </c>
      <c r="D7298" s="401" t="s">
        <v>15446</v>
      </c>
      <c r="E7298" s="120">
        <v>250</v>
      </c>
      <c r="F7298" s="133" t="s">
        <v>15447</v>
      </c>
      <c r="G7298" s="404" t="s">
        <v>7486</v>
      </c>
      <c r="H7298" s="411">
        <v>186.71</v>
      </c>
      <c r="I7298" s="411">
        <v>0</v>
      </c>
      <c r="J7298" s="391">
        <f>-((H7298*0.022)+0.3)</f>
        <v>-4.4076199999999996</v>
      </c>
      <c r="K7298" s="90">
        <f t="shared" ref="K7298" si="3684">SUM(H7298:J7298)</f>
        <v>182.30238</v>
      </c>
      <c r="L7298" s="177">
        <v>360</v>
      </c>
      <c r="M7298" s="131">
        <v>41.61</v>
      </c>
      <c r="N7298" s="91">
        <f t="shared" si="3679"/>
        <v>131.61000000000001</v>
      </c>
      <c r="O7298" s="411">
        <f t="shared" si="3612"/>
        <v>50.692379999999986</v>
      </c>
      <c r="P7298" s="132" t="s">
        <v>183</v>
      </c>
      <c r="Q7298" s="232"/>
      <c r="R7298" s="411"/>
      <c r="T7298" s="134" t="s">
        <v>145</v>
      </c>
      <c r="U7298" s="267" t="s">
        <v>15448</v>
      </c>
      <c r="W7298" s="153" t="s">
        <v>15449</v>
      </c>
      <c r="AA7298" s="218"/>
    </row>
    <row r="7299" spans="1:27" ht="24" x14ac:dyDescent="0.25">
      <c r="A7299" s="405">
        <v>3005732</v>
      </c>
      <c r="B7299" s="406">
        <v>42696</v>
      </c>
      <c r="C7299" s="405" t="s">
        <v>237</v>
      </c>
      <c r="D7299" s="401" t="s">
        <v>15450</v>
      </c>
      <c r="E7299" s="120">
        <v>225</v>
      </c>
      <c r="F7299" s="133" t="s">
        <v>605</v>
      </c>
      <c r="G7299" s="404" t="s">
        <v>7486</v>
      </c>
      <c r="H7299" s="411">
        <v>225</v>
      </c>
      <c r="I7299" s="94">
        <f t="shared" ref="I7299" si="3685">-(H7299*0.15)</f>
        <v>-33.75</v>
      </c>
      <c r="J7299" s="90">
        <v>0</v>
      </c>
      <c r="K7299" s="90">
        <f>SUM(H7299:J7299)</f>
        <v>191.25</v>
      </c>
      <c r="L7299" s="131">
        <v>480</v>
      </c>
      <c r="N7299" s="91">
        <f t="shared" si="3679"/>
        <v>108</v>
      </c>
      <c r="O7299" s="411">
        <f t="shared" si="3612"/>
        <v>83.25</v>
      </c>
      <c r="P7299" s="132" t="s">
        <v>86</v>
      </c>
      <c r="Q7299" s="232"/>
      <c r="R7299" s="411"/>
      <c r="T7299" s="134" t="s">
        <v>145</v>
      </c>
      <c r="U7299" s="267" t="s">
        <v>15451</v>
      </c>
      <c r="AA7299" s="218"/>
    </row>
    <row r="7300" spans="1:27" ht="24" x14ac:dyDescent="0.25">
      <c r="A7300" s="405">
        <v>3005733</v>
      </c>
      <c r="B7300" s="406">
        <v>42696</v>
      </c>
      <c r="C7300" s="405" t="s">
        <v>237</v>
      </c>
      <c r="D7300" s="401" t="s">
        <v>10652</v>
      </c>
      <c r="E7300" s="120">
        <v>500</v>
      </c>
      <c r="F7300" s="133" t="s">
        <v>4466</v>
      </c>
      <c r="G7300" s="404" t="s">
        <v>7486</v>
      </c>
      <c r="H7300" s="411">
        <v>161.97</v>
      </c>
      <c r="I7300" s="94">
        <f t="shared" ref="I7300" si="3686">-(H7300*0.15)</f>
        <v>-24.295500000000001</v>
      </c>
      <c r="J7300" s="90">
        <v>0</v>
      </c>
      <c r="K7300" s="90">
        <f>SUM(H7300:J7300)</f>
        <v>137.67449999999999</v>
      </c>
      <c r="L7300" s="131">
        <v>360</v>
      </c>
      <c r="N7300" s="91">
        <f t="shared" si="3679"/>
        <v>180</v>
      </c>
      <c r="O7300" s="411">
        <f t="shared" ref="O7300:O7362" si="3687">K7300-N7300</f>
        <v>-42.325500000000005</v>
      </c>
      <c r="P7300" s="132" t="s">
        <v>235</v>
      </c>
      <c r="Q7300" s="232"/>
      <c r="R7300" s="411"/>
      <c r="T7300" s="134" t="s">
        <v>145</v>
      </c>
      <c r="U7300" s="267" t="s">
        <v>15452</v>
      </c>
      <c r="AA7300" s="218"/>
    </row>
    <row r="7301" spans="1:27" ht="24" x14ac:dyDescent="0.25">
      <c r="A7301" s="405">
        <v>3005734</v>
      </c>
      <c r="B7301" s="406">
        <v>42696</v>
      </c>
      <c r="C7301" s="405" t="s">
        <v>327</v>
      </c>
      <c r="D7301" s="401" t="s">
        <v>15453</v>
      </c>
      <c r="E7301" s="120">
        <v>1500</v>
      </c>
      <c r="F7301" s="119" t="s">
        <v>15454</v>
      </c>
      <c r="G7301" s="404" t="s">
        <v>7486</v>
      </c>
      <c r="H7301" s="411">
        <v>825</v>
      </c>
      <c r="I7301" s="411">
        <v>0</v>
      </c>
      <c r="J7301" s="391">
        <f>-((H7301*0.022)+0.3)</f>
        <v>-18.45</v>
      </c>
      <c r="K7301" s="90">
        <f t="shared" ref="K7301:K7307" si="3688">SUM(H7301:J7301)</f>
        <v>806.55</v>
      </c>
      <c r="L7301" s="131">
        <v>390</v>
      </c>
      <c r="N7301" s="91">
        <f t="shared" si="3679"/>
        <v>585</v>
      </c>
      <c r="O7301" s="411">
        <f t="shared" si="3687"/>
        <v>221.54999999999995</v>
      </c>
      <c r="P7301" s="132" t="s">
        <v>46</v>
      </c>
      <c r="Q7301" s="232"/>
      <c r="R7301" s="411"/>
      <c r="T7301" s="134" t="s">
        <v>473</v>
      </c>
      <c r="U7301" s="267" t="s">
        <v>15455</v>
      </c>
      <c r="W7301" s="153" t="s">
        <v>15456</v>
      </c>
      <c r="AA7301" s="218"/>
    </row>
    <row r="7302" spans="1:27" ht="24" x14ac:dyDescent="0.25">
      <c r="A7302" s="405">
        <v>3005735</v>
      </c>
      <c r="B7302" s="406">
        <v>42697</v>
      </c>
      <c r="C7302" s="405" t="s">
        <v>42</v>
      </c>
      <c r="D7302" s="401" t="s">
        <v>15457</v>
      </c>
      <c r="E7302" s="120">
        <v>200</v>
      </c>
      <c r="F7302" s="133" t="s">
        <v>877</v>
      </c>
      <c r="G7302" s="404" t="s">
        <v>45</v>
      </c>
      <c r="H7302" s="411">
        <v>148</v>
      </c>
      <c r="I7302" s="89">
        <f t="shared" ref="I7302:I7306" si="3689">-(H7302*0.09)</f>
        <v>-13.32</v>
      </c>
      <c r="J7302" s="391">
        <f t="shared" ref="J7302:J7304" si="3690">-((H7302*0.019)+0.3)</f>
        <v>-3.1119999999999997</v>
      </c>
      <c r="K7302" s="90">
        <f t="shared" si="3688"/>
        <v>131.56800000000001</v>
      </c>
      <c r="L7302" s="131">
        <v>174</v>
      </c>
      <c r="N7302" s="91">
        <f t="shared" si="3679"/>
        <v>34.800000000000004</v>
      </c>
      <c r="O7302" s="411">
        <f t="shared" si="3687"/>
        <v>96.768000000000001</v>
      </c>
      <c r="P7302" s="132" t="s">
        <v>86</v>
      </c>
      <c r="Q7302" s="232"/>
      <c r="R7302" s="411"/>
      <c r="T7302" s="134" t="s">
        <v>145</v>
      </c>
      <c r="U7302" s="267" t="s">
        <v>15458</v>
      </c>
      <c r="AA7302" s="218"/>
    </row>
    <row r="7303" spans="1:27" ht="24" x14ac:dyDescent="0.25">
      <c r="A7303" s="405">
        <v>3005736</v>
      </c>
      <c r="B7303" s="406">
        <v>42697</v>
      </c>
      <c r="C7303" s="405" t="s">
        <v>42</v>
      </c>
      <c r="D7303" s="401" t="s">
        <v>15459</v>
      </c>
      <c r="E7303" s="120">
        <v>250</v>
      </c>
      <c r="F7303" s="133" t="s">
        <v>605</v>
      </c>
      <c r="G7303" s="404" t="s">
        <v>45</v>
      </c>
      <c r="H7303" s="411">
        <v>262.35000000000002</v>
      </c>
      <c r="I7303" s="89">
        <f t="shared" si="3689"/>
        <v>-23.611499999999999</v>
      </c>
      <c r="J7303" s="391">
        <f t="shared" si="3690"/>
        <v>-5.2846500000000001</v>
      </c>
      <c r="K7303" s="90">
        <f t="shared" si="3688"/>
        <v>233.45385000000002</v>
      </c>
      <c r="L7303" s="131">
        <v>480</v>
      </c>
      <c r="N7303" s="91">
        <f t="shared" si="3679"/>
        <v>120</v>
      </c>
      <c r="O7303" s="411">
        <f t="shared" si="3687"/>
        <v>113.45385000000002</v>
      </c>
      <c r="P7303" s="132" t="s">
        <v>86</v>
      </c>
      <c r="Q7303" s="232"/>
      <c r="R7303" s="411"/>
      <c r="T7303" s="134" t="s">
        <v>145</v>
      </c>
      <c r="U7303" s="267" t="s">
        <v>15460</v>
      </c>
      <c r="AA7303" s="218"/>
    </row>
    <row r="7304" spans="1:27" ht="24" x14ac:dyDescent="0.25">
      <c r="A7304" s="405">
        <v>3005737</v>
      </c>
      <c r="B7304" s="406">
        <v>42697</v>
      </c>
      <c r="C7304" s="405" t="s">
        <v>42</v>
      </c>
      <c r="D7304" s="401" t="s">
        <v>15461</v>
      </c>
      <c r="E7304" s="120">
        <v>250</v>
      </c>
      <c r="F7304" s="133" t="s">
        <v>15462</v>
      </c>
      <c r="G7304" s="404" t="s">
        <v>45</v>
      </c>
      <c r="H7304" s="411">
        <v>222.5</v>
      </c>
      <c r="I7304" s="89">
        <f t="shared" si="3689"/>
        <v>-20.024999999999999</v>
      </c>
      <c r="J7304" s="391">
        <f t="shared" si="3690"/>
        <v>-4.5274999999999999</v>
      </c>
      <c r="K7304" s="90">
        <f t="shared" si="3688"/>
        <v>197.94749999999999</v>
      </c>
      <c r="L7304" s="131">
        <v>370</v>
      </c>
      <c r="M7304" s="131">
        <v>30.91</v>
      </c>
      <c r="N7304" s="91">
        <f t="shared" si="3679"/>
        <v>123.41</v>
      </c>
      <c r="O7304" s="411">
        <f t="shared" si="3687"/>
        <v>74.537499999999994</v>
      </c>
      <c r="P7304" s="132" t="s">
        <v>183</v>
      </c>
      <c r="Q7304" s="232"/>
      <c r="R7304" s="411"/>
      <c r="T7304" s="134" t="s">
        <v>145</v>
      </c>
      <c r="U7304" s="267" t="s">
        <v>15463</v>
      </c>
      <c r="AA7304" s="218"/>
    </row>
    <row r="7305" spans="1:27" ht="24" x14ac:dyDescent="0.25">
      <c r="A7305" s="405">
        <v>3005738</v>
      </c>
      <c r="B7305" s="406">
        <v>42697</v>
      </c>
      <c r="C7305" s="405" t="s">
        <v>42</v>
      </c>
      <c r="D7305" s="401" t="s">
        <v>15464</v>
      </c>
      <c r="E7305" s="120">
        <v>100</v>
      </c>
      <c r="F7305" s="133" t="s">
        <v>431</v>
      </c>
      <c r="G7305" s="404" t="s">
        <v>45</v>
      </c>
      <c r="H7305" s="411">
        <v>200.08</v>
      </c>
      <c r="I7305" s="89">
        <f t="shared" si="3689"/>
        <v>-18.007200000000001</v>
      </c>
      <c r="J7305" s="391">
        <f t="shared" ref="J7305:J7306" si="3691">-((H7305*0.019)+0.3)</f>
        <v>-4.1015199999999998</v>
      </c>
      <c r="K7305" s="90">
        <f t="shared" ref="K7305:K7306" si="3692">SUM(H7305:J7305)</f>
        <v>177.97128000000001</v>
      </c>
      <c r="L7305" s="131">
        <v>950</v>
      </c>
      <c r="N7305" s="91">
        <f t="shared" si="3679"/>
        <v>95</v>
      </c>
      <c r="O7305" s="411">
        <f t="shared" si="3687"/>
        <v>82.971280000000007</v>
      </c>
      <c r="P7305" s="132" t="s">
        <v>52</v>
      </c>
      <c r="Q7305" s="232"/>
      <c r="R7305" s="411"/>
      <c r="T7305" s="134" t="s">
        <v>145</v>
      </c>
      <c r="U7305" s="267" t="s">
        <v>15465</v>
      </c>
      <c r="AA7305" s="218"/>
    </row>
    <row r="7306" spans="1:27" ht="24" x14ac:dyDescent="0.25">
      <c r="A7306" s="405">
        <v>3005739</v>
      </c>
      <c r="B7306" s="406">
        <v>42697</v>
      </c>
      <c r="C7306" s="405" t="s">
        <v>42</v>
      </c>
      <c r="D7306" s="401" t="s">
        <v>15466</v>
      </c>
      <c r="E7306" s="120">
        <v>4000</v>
      </c>
      <c r="F7306" s="119" t="s">
        <v>15467</v>
      </c>
      <c r="G7306" s="404" t="s">
        <v>45</v>
      </c>
      <c r="H7306" s="411">
        <v>512</v>
      </c>
      <c r="I7306" s="89">
        <f t="shared" si="3689"/>
        <v>-46.08</v>
      </c>
      <c r="J7306" s="391">
        <f t="shared" si="3691"/>
        <v>-10.028</v>
      </c>
      <c r="K7306" s="90">
        <f t="shared" si="3692"/>
        <v>455.892</v>
      </c>
      <c r="L7306" s="131">
        <v>49</v>
      </c>
      <c r="N7306" s="91">
        <f t="shared" si="3679"/>
        <v>196</v>
      </c>
      <c r="O7306" s="411">
        <f t="shared" si="3687"/>
        <v>259.892</v>
      </c>
      <c r="P7306" s="132" t="s">
        <v>3597</v>
      </c>
      <c r="Q7306" s="232"/>
      <c r="R7306" s="411"/>
      <c r="T7306" s="134" t="s">
        <v>145</v>
      </c>
      <c r="U7306" s="267" t="s">
        <v>15468</v>
      </c>
      <c r="AA7306" s="218"/>
    </row>
    <row r="7307" spans="1:27" x14ac:dyDescent="0.25">
      <c r="A7307" s="419">
        <v>3005740</v>
      </c>
      <c r="B7307" s="421">
        <v>42697</v>
      </c>
      <c r="C7307" s="419" t="s">
        <v>237</v>
      </c>
      <c r="D7307" s="417" t="s">
        <v>15469</v>
      </c>
      <c r="E7307" s="120">
        <v>25</v>
      </c>
      <c r="F7307" s="133" t="s">
        <v>2483</v>
      </c>
      <c r="G7307" s="434" t="s">
        <v>45</v>
      </c>
      <c r="H7307" s="427">
        <v>118.34</v>
      </c>
      <c r="I7307" s="452">
        <f t="shared" ref="I7307" si="3693">-(H7307*0.15)</f>
        <v>-17.751000000000001</v>
      </c>
      <c r="J7307" s="425">
        <v>0</v>
      </c>
      <c r="K7307" s="425">
        <f t="shared" si="3688"/>
        <v>100.589</v>
      </c>
      <c r="L7307" s="131">
        <v>1460</v>
      </c>
      <c r="N7307" s="91">
        <f t="shared" si="3679"/>
        <v>36.5</v>
      </c>
      <c r="O7307" s="411">
        <f t="shared" si="3687"/>
        <v>64.088999999999999</v>
      </c>
      <c r="P7307" s="132" t="s">
        <v>601</v>
      </c>
      <c r="Q7307" s="232"/>
      <c r="R7307" s="411"/>
      <c r="T7307" s="439" t="s">
        <v>145</v>
      </c>
      <c r="U7307" s="446" t="s">
        <v>15470</v>
      </c>
      <c r="AA7307" s="218"/>
    </row>
    <row r="7308" spans="1:27" x14ac:dyDescent="0.25">
      <c r="A7308" s="420"/>
      <c r="B7308" s="422"/>
      <c r="C7308" s="420"/>
      <c r="D7308" s="418"/>
      <c r="E7308" s="120">
        <v>25</v>
      </c>
      <c r="F7308" s="133" t="s">
        <v>3345</v>
      </c>
      <c r="G7308" s="436"/>
      <c r="H7308" s="428"/>
      <c r="I7308" s="453"/>
      <c r="J7308" s="426"/>
      <c r="K7308" s="426"/>
      <c r="L7308" s="131">
        <v>1480</v>
      </c>
      <c r="N7308" s="91">
        <f t="shared" si="3679"/>
        <v>37</v>
      </c>
      <c r="O7308" s="411">
        <f t="shared" si="3687"/>
        <v>-37</v>
      </c>
      <c r="P7308" s="132" t="s">
        <v>601</v>
      </c>
      <c r="Q7308" s="232"/>
      <c r="R7308" s="411"/>
      <c r="T7308" s="441"/>
      <c r="U7308" s="447"/>
      <c r="AA7308" s="218"/>
    </row>
    <row r="7309" spans="1:27" ht="24" x14ac:dyDescent="0.25">
      <c r="A7309" s="405">
        <v>3005741</v>
      </c>
      <c r="B7309" s="406">
        <v>42697</v>
      </c>
      <c r="C7309" s="405" t="s">
        <v>237</v>
      </c>
      <c r="D7309" s="401" t="s">
        <v>15471</v>
      </c>
      <c r="E7309" s="120">
        <v>50</v>
      </c>
      <c r="F7309" s="133" t="s">
        <v>288</v>
      </c>
      <c r="G7309" s="404" t="s">
        <v>45</v>
      </c>
      <c r="H7309" s="411">
        <v>100</v>
      </c>
      <c r="I7309" s="94">
        <f t="shared" ref="I7309:I7311" si="3694">-(H7309*0.15)</f>
        <v>-15</v>
      </c>
      <c r="J7309" s="90">
        <v>0</v>
      </c>
      <c r="K7309" s="90">
        <f t="shared" ref="K7309:K7312" si="3695">SUM(H7309:J7309)</f>
        <v>85</v>
      </c>
      <c r="L7309" s="131">
        <v>900</v>
      </c>
      <c r="N7309" s="91">
        <f t="shared" si="3679"/>
        <v>45</v>
      </c>
      <c r="O7309" s="411">
        <f t="shared" si="3687"/>
        <v>40</v>
      </c>
      <c r="P7309" s="132" t="s">
        <v>52</v>
      </c>
      <c r="Q7309" s="232"/>
      <c r="R7309" s="411"/>
      <c r="T7309" s="134" t="s">
        <v>145</v>
      </c>
      <c r="U7309" s="267" t="s">
        <v>15472</v>
      </c>
      <c r="AA7309" s="218"/>
    </row>
    <row r="7310" spans="1:27" ht="24" x14ac:dyDescent="0.25">
      <c r="A7310" s="405">
        <v>3005742</v>
      </c>
      <c r="B7310" s="406">
        <v>42697</v>
      </c>
      <c r="C7310" s="405" t="s">
        <v>237</v>
      </c>
      <c r="D7310" s="401" t="s">
        <v>15473</v>
      </c>
      <c r="E7310" s="120">
        <v>75</v>
      </c>
      <c r="F7310" s="133" t="s">
        <v>161</v>
      </c>
      <c r="G7310" s="404" t="s">
        <v>45</v>
      </c>
      <c r="H7310" s="411">
        <v>116.09</v>
      </c>
      <c r="I7310" s="94">
        <f t="shared" si="3694"/>
        <v>-17.413499999999999</v>
      </c>
      <c r="J7310" s="90">
        <v>0</v>
      </c>
      <c r="K7310" s="90">
        <f t="shared" si="3695"/>
        <v>98.676500000000004</v>
      </c>
      <c r="L7310" s="131">
        <v>1322</v>
      </c>
      <c r="N7310" s="91">
        <f t="shared" si="3679"/>
        <v>99.149999999999991</v>
      </c>
      <c r="O7310" s="411">
        <f t="shared" si="3687"/>
        <v>-0.47349999999998715</v>
      </c>
      <c r="P7310" s="132" t="s">
        <v>52</v>
      </c>
      <c r="Q7310" s="232"/>
      <c r="R7310" s="411"/>
      <c r="T7310" s="134" t="s">
        <v>145</v>
      </c>
      <c r="U7310" s="267" t="s">
        <v>15474</v>
      </c>
      <c r="AA7310" s="218"/>
    </row>
    <row r="7311" spans="1:27" ht="24" x14ac:dyDescent="0.25">
      <c r="A7311" s="405">
        <v>3005743</v>
      </c>
      <c r="B7311" s="406">
        <v>42697</v>
      </c>
      <c r="C7311" s="405" t="s">
        <v>237</v>
      </c>
      <c r="D7311" s="401" t="s">
        <v>15475</v>
      </c>
      <c r="E7311" s="120">
        <v>30</v>
      </c>
      <c r="F7311" s="133" t="s">
        <v>860</v>
      </c>
      <c r="G7311" s="404" t="s">
        <v>45</v>
      </c>
      <c r="H7311" s="411">
        <v>251.23</v>
      </c>
      <c r="I7311" s="94">
        <f t="shared" si="3694"/>
        <v>-37.6845</v>
      </c>
      <c r="J7311" s="90">
        <v>0</v>
      </c>
      <c r="K7311" s="90">
        <f t="shared" si="3695"/>
        <v>213.5455</v>
      </c>
      <c r="L7311" s="131">
        <v>3300</v>
      </c>
      <c r="N7311" s="91">
        <f t="shared" si="3679"/>
        <v>99</v>
      </c>
      <c r="O7311" s="411">
        <f t="shared" si="3687"/>
        <v>114.5455</v>
      </c>
      <c r="P7311" s="132" t="s">
        <v>52</v>
      </c>
      <c r="Q7311" s="232"/>
      <c r="R7311" s="411"/>
      <c r="T7311" s="134" t="s">
        <v>145</v>
      </c>
      <c r="U7311" s="267" t="s">
        <v>15476</v>
      </c>
      <c r="AA7311" s="218"/>
    </row>
    <row r="7312" spans="1:27" x14ac:dyDescent="0.25">
      <c r="A7312" s="405">
        <v>3005744</v>
      </c>
      <c r="B7312" s="406">
        <v>42697</v>
      </c>
      <c r="C7312" s="405" t="s">
        <v>56</v>
      </c>
      <c r="D7312" s="401" t="s">
        <v>87</v>
      </c>
      <c r="E7312" s="120">
        <v>2000</v>
      </c>
      <c r="F7312" s="133" t="s">
        <v>15477</v>
      </c>
      <c r="G7312" s="242" t="s">
        <v>7486</v>
      </c>
      <c r="H7312" s="411">
        <v>1060</v>
      </c>
      <c r="I7312" s="411">
        <v>0</v>
      </c>
      <c r="J7312" s="411">
        <v>0</v>
      </c>
      <c r="K7312" s="90">
        <f t="shared" si="3695"/>
        <v>1060</v>
      </c>
      <c r="L7312" s="131">
        <v>380</v>
      </c>
      <c r="M7312" s="131">
        <v>110.66</v>
      </c>
      <c r="N7312" s="91">
        <f t="shared" si="3679"/>
        <v>870.66</v>
      </c>
      <c r="O7312" s="411">
        <f t="shared" si="3687"/>
        <v>189.34000000000003</v>
      </c>
      <c r="P7312" s="132" t="s">
        <v>14218</v>
      </c>
      <c r="Q7312" s="232"/>
      <c r="R7312" s="411"/>
      <c r="T7312" s="134" t="s">
        <v>7260</v>
      </c>
      <c r="U7312" s="267" t="s">
        <v>15478</v>
      </c>
      <c r="V7312" s="133" t="s">
        <v>15221</v>
      </c>
      <c r="AA7312" s="218"/>
    </row>
    <row r="7313" spans="1:27" ht="24" x14ac:dyDescent="0.25">
      <c r="A7313" s="405">
        <v>3005745</v>
      </c>
      <c r="B7313" s="406">
        <v>42697</v>
      </c>
      <c r="C7313" s="405" t="s">
        <v>56</v>
      </c>
      <c r="D7313" s="401" t="s">
        <v>13431</v>
      </c>
      <c r="E7313" s="120">
        <v>500</v>
      </c>
      <c r="F7313" s="133" t="s">
        <v>15479</v>
      </c>
      <c r="G7313" s="242" t="s">
        <v>7486</v>
      </c>
      <c r="H7313" s="411">
        <v>650</v>
      </c>
      <c r="I7313" s="411">
        <v>0</v>
      </c>
      <c r="J7313" s="411">
        <v>0</v>
      </c>
      <c r="K7313" s="90">
        <f t="shared" ref="K7313:K7316" si="3696">SUM(H7313:J7313)</f>
        <v>650</v>
      </c>
      <c r="L7313" s="131">
        <v>749</v>
      </c>
      <c r="M7313" s="221"/>
      <c r="N7313" s="91">
        <f t="shared" si="3679"/>
        <v>374.5</v>
      </c>
      <c r="O7313" s="411">
        <f t="shared" si="3687"/>
        <v>275.5</v>
      </c>
      <c r="P7313" s="132" t="s">
        <v>183</v>
      </c>
      <c r="Q7313" s="232"/>
      <c r="R7313" s="411"/>
      <c r="T7313" s="134" t="s">
        <v>145</v>
      </c>
      <c r="U7313" s="266" t="s">
        <v>15480</v>
      </c>
      <c r="V7313" s="133" t="s">
        <v>15481</v>
      </c>
      <c r="W7313" s="153" t="s">
        <v>298</v>
      </c>
      <c r="AA7313" s="218"/>
    </row>
    <row r="7314" spans="1:27" ht="24" x14ac:dyDescent="0.25">
      <c r="A7314" s="405">
        <v>3005746</v>
      </c>
      <c r="B7314" s="406">
        <v>42697</v>
      </c>
      <c r="C7314" s="405" t="s">
        <v>327</v>
      </c>
      <c r="D7314" s="401" t="s">
        <v>15482</v>
      </c>
      <c r="E7314" s="120">
        <v>160</v>
      </c>
      <c r="F7314" s="133" t="s">
        <v>51</v>
      </c>
      <c r="G7314" s="404" t="s">
        <v>7486</v>
      </c>
      <c r="H7314" s="411">
        <v>337.21</v>
      </c>
      <c r="I7314" s="411">
        <v>0</v>
      </c>
      <c r="J7314" s="391">
        <f>-((H7314*0.022)+0.3)</f>
        <v>-7.7186199999999987</v>
      </c>
      <c r="K7314" s="90">
        <f t="shared" si="3696"/>
        <v>329.49137999999999</v>
      </c>
      <c r="L7314" s="131">
        <v>900</v>
      </c>
      <c r="N7314" s="91">
        <f t="shared" si="3679"/>
        <v>144</v>
      </c>
      <c r="O7314" s="411">
        <f t="shared" si="3687"/>
        <v>185.49137999999999</v>
      </c>
      <c r="P7314" s="132" t="s">
        <v>52</v>
      </c>
      <c r="Q7314" s="232"/>
      <c r="R7314" s="411"/>
      <c r="T7314" s="134" t="s">
        <v>145</v>
      </c>
      <c r="U7314" s="267" t="s">
        <v>15483</v>
      </c>
      <c r="W7314" s="153" t="s">
        <v>15484</v>
      </c>
      <c r="AA7314" s="218"/>
    </row>
    <row r="7315" spans="1:27" ht="24" x14ac:dyDescent="0.25">
      <c r="A7315" s="405">
        <v>3005747</v>
      </c>
      <c r="B7315" s="406">
        <v>42702</v>
      </c>
      <c r="C7315" s="405" t="s">
        <v>555</v>
      </c>
      <c r="D7315" s="401" t="s">
        <v>15485</v>
      </c>
      <c r="E7315" s="120">
        <v>5000</v>
      </c>
      <c r="F7315" s="119" t="s">
        <v>15486</v>
      </c>
      <c r="G7315" s="404" t="s">
        <v>45</v>
      </c>
      <c r="H7315" s="411">
        <v>3000</v>
      </c>
      <c r="I7315" s="411">
        <v>0</v>
      </c>
      <c r="J7315" s="411">
        <v>0</v>
      </c>
      <c r="K7315" s="90">
        <f t="shared" si="3696"/>
        <v>3000</v>
      </c>
      <c r="L7315" s="131">
        <v>345</v>
      </c>
      <c r="M7315" s="131">
        <v>166.93</v>
      </c>
      <c r="N7315" s="91">
        <f t="shared" si="3679"/>
        <v>1891.93</v>
      </c>
      <c r="O7315" s="411">
        <f t="shared" si="3687"/>
        <v>1108.07</v>
      </c>
      <c r="P7315" s="132" t="s">
        <v>183</v>
      </c>
      <c r="Q7315" s="232"/>
      <c r="R7315" s="411"/>
      <c r="T7315" s="134" t="s">
        <v>67</v>
      </c>
      <c r="U7315" s="267" t="s">
        <v>15487</v>
      </c>
      <c r="AA7315" s="219">
        <v>10</v>
      </c>
    </row>
    <row r="7316" spans="1:27" ht="24" x14ac:dyDescent="0.25">
      <c r="A7316" s="405">
        <v>3005748</v>
      </c>
      <c r="B7316" s="406">
        <v>42702</v>
      </c>
      <c r="C7316" s="405" t="s">
        <v>42</v>
      </c>
      <c r="D7316" s="401" t="s">
        <v>15488</v>
      </c>
      <c r="E7316" s="120">
        <v>150</v>
      </c>
      <c r="F7316" s="133" t="s">
        <v>1273</v>
      </c>
      <c r="G7316" s="404" t="s">
        <v>7486</v>
      </c>
      <c r="H7316" s="411">
        <v>525</v>
      </c>
      <c r="I7316" s="89">
        <f t="shared" ref="I7316" si="3697">-(H7316*0.09)</f>
        <v>-47.25</v>
      </c>
      <c r="J7316" s="391">
        <f t="shared" ref="J7316" si="3698">-((H7316*0.019)+0.3)</f>
        <v>-10.275</v>
      </c>
      <c r="K7316" s="90">
        <f t="shared" si="3696"/>
        <v>467.47500000000002</v>
      </c>
      <c r="L7316" s="131">
        <v>616</v>
      </c>
      <c r="N7316" s="91">
        <f t="shared" si="3679"/>
        <v>92.399999999999991</v>
      </c>
      <c r="O7316" s="411">
        <f t="shared" si="3687"/>
        <v>375.07500000000005</v>
      </c>
      <c r="P7316" s="132" t="s">
        <v>52</v>
      </c>
      <c r="Q7316" s="232"/>
      <c r="R7316" s="411"/>
      <c r="T7316" s="134" t="s">
        <v>145</v>
      </c>
      <c r="U7316" s="267" t="s">
        <v>15489</v>
      </c>
      <c r="AA7316" s="218"/>
    </row>
    <row r="7317" spans="1:27" ht="24" x14ac:dyDescent="0.25">
      <c r="A7317" s="405">
        <v>3005749</v>
      </c>
      <c r="B7317" s="406">
        <v>42702</v>
      </c>
      <c r="C7317" s="405" t="s">
        <v>42</v>
      </c>
      <c r="D7317" s="401" t="s">
        <v>15490</v>
      </c>
      <c r="E7317" s="120">
        <v>100</v>
      </c>
      <c r="F7317" s="133" t="s">
        <v>829</v>
      </c>
      <c r="G7317" s="404" t="s">
        <v>7486</v>
      </c>
      <c r="H7317" s="411">
        <v>118.56</v>
      </c>
      <c r="I7317" s="89">
        <f t="shared" ref="I7317" si="3699">-(H7317*0.09)</f>
        <v>-10.670399999999999</v>
      </c>
      <c r="J7317" s="391">
        <f t="shared" ref="J7317" si="3700">-((H7317*0.019)+0.3)</f>
        <v>-2.5526399999999998</v>
      </c>
      <c r="K7317" s="90">
        <f t="shared" ref="K7317" si="3701">SUM(H7317:J7317)</f>
        <v>105.33696</v>
      </c>
      <c r="L7317" s="131">
        <v>510</v>
      </c>
      <c r="N7317" s="91">
        <f t="shared" si="3679"/>
        <v>51</v>
      </c>
      <c r="O7317" s="411">
        <f t="shared" si="3687"/>
        <v>54.336960000000005</v>
      </c>
      <c r="P7317" s="132" t="s">
        <v>52</v>
      </c>
      <c r="Q7317" s="232"/>
      <c r="R7317" s="411"/>
      <c r="T7317" s="134" t="s">
        <v>145</v>
      </c>
      <c r="U7317" s="267" t="s">
        <v>15491</v>
      </c>
      <c r="AA7317" s="218"/>
    </row>
    <row r="7318" spans="1:27" ht="24" x14ac:dyDescent="0.25">
      <c r="A7318" s="405">
        <v>3005750</v>
      </c>
      <c r="B7318" s="406">
        <v>42702</v>
      </c>
      <c r="C7318" s="405" t="s">
        <v>42</v>
      </c>
      <c r="D7318" s="401" t="s">
        <v>15492</v>
      </c>
      <c r="E7318" s="120">
        <v>300</v>
      </c>
      <c r="F7318" s="133" t="s">
        <v>451</v>
      </c>
      <c r="G7318" s="404" t="s">
        <v>7486</v>
      </c>
      <c r="H7318" s="411">
        <v>210.63</v>
      </c>
      <c r="I7318" s="89">
        <f t="shared" ref="I7318" si="3702">-(H7318*0.09)</f>
        <v>-18.956699999999998</v>
      </c>
      <c r="J7318" s="391">
        <f t="shared" ref="J7318" si="3703">-((H7318*0.019)+0.3)</f>
        <v>-4.3019699999999998</v>
      </c>
      <c r="K7318" s="90">
        <f t="shared" ref="K7318" si="3704">SUM(H7318:J7318)</f>
        <v>187.37132999999997</v>
      </c>
      <c r="L7318" s="131">
        <v>300</v>
      </c>
      <c r="N7318" s="91">
        <f t="shared" si="3679"/>
        <v>90</v>
      </c>
      <c r="O7318" s="411">
        <f t="shared" si="3687"/>
        <v>97.371329999999972</v>
      </c>
      <c r="P7318" s="132" t="s">
        <v>52</v>
      </c>
      <c r="Q7318" s="232"/>
      <c r="R7318" s="411">
        <v>15.6</v>
      </c>
      <c r="S7318" s="133" t="s">
        <v>502</v>
      </c>
      <c r="T7318" s="134" t="s">
        <v>145</v>
      </c>
      <c r="U7318" s="267" t="s">
        <v>15493</v>
      </c>
      <c r="AA7318" s="218"/>
    </row>
    <row r="7319" spans="1:27" ht="24" x14ac:dyDescent="0.25">
      <c r="A7319" s="405">
        <v>3005751</v>
      </c>
      <c r="B7319" s="406">
        <v>42702</v>
      </c>
      <c r="C7319" s="405" t="s">
        <v>42</v>
      </c>
      <c r="D7319" s="401" t="s">
        <v>15494</v>
      </c>
      <c r="E7319" s="120">
        <v>100</v>
      </c>
      <c r="F7319" s="133" t="s">
        <v>590</v>
      </c>
      <c r="G7319" s="404" t="s">
        <v>7486</v>
      </c>
      <c r="H7319" s="411">
        <v>135</v>
      </c>
      <c r="I7319" s="89">
        <f t="shared" ref="I7319" si="3705">-(H7319*0.09)</f>
        <v>-12.15</v>
      </c>
      <c r="J7319" s="391">
        <f t="shared" ref="J7319" si="3706">-((H7319*0.019)+0.3)</f>
        <v>-2.8649999999999998</v>
      </c>
      <c r="K7319" s="90">
        <f t="shared" ref="K7319" si="3707">SUM(H7319:J7319)</f>
        <v>119.985</v>
      </c>
      <c r="L7319" s="131">
        <v>560</v>
      </c>
      <c r="N7319" s="91">
        <f t="shared" si="3679"/>
        <v>56</v>
      </c>
      <c r="O7319" s="411">
        <f t="shared" si="3687"/>
        <v>63.984999999999999</v>
      </c>
      <c r="P7319" s="132" t="s">
        <v>52</v>
      </c>
      <c r="Q7319" s="232"/>
      <c r="R7319" s="411"/>
      <c r="T7319" s="134" t="s">
        <v>145</v>
      </c>
      <c r="U7319" s="267" t="s">
        <v>15495</v>
      </c>
      <c r="AA7319" s="218"/>
    </row>
    <row r="7320" spans="1:27" ht="24" x14ac:dyDescent="0.25">
      <c r="A7320" s="405">
        <v>3005752</v>
      </c>
      <c r="B7320" s="406">
        <v>42702</v>
      </c>
      <c r="C7320" s="405" t="s">
        <v>42</v>
      </c>
      <c r="D7320" s="401" t="s">
        <v>15496</v>
      </c>
      <c r="E7320" s="120">
        <v>125</v>
      </c>
      <c r="F7320" s="133" t="s">
        <v>227</v>
      </c>
      <c r="G7320" s="404" t="s">
        <v>7486</v>
      </c>
      <c r="H7320" s="411">
        <v>117.17</v>
      </c>
      <c r="I7320" s="89">
        <f t="shared" ref="I7320" si="3708">-(H7320*0.09)</f>
        <v>-10.545299999999999</v>
      </c>
      <c r="J7320" s="391">
        <f t="shared" ref="J7320" si="3709">-((H7320*0.019)+0.3)</f>
        <v>-2.52623</v>
      </c>
      <c r="K7320" s="90">
        <f t="shared" ref="K7320" si="3710">SUM(H7320:J7320)</f>
        <v>104.09847000000001</v>
      </c>
      <c r="L7320" s="131">
        <v>300</v>
      </c>
      <c r="N7320" s="91">
        <f t="shared" si="3679"/>
        <v>37.5</v>
      </c>
      <c r="O7320" s="411">
        <f t="shared" si="3687"/>
        <v>66.598470000000006</v>
      </c>
      <c r="P7320" s="132" t="s">
        <v>52</v>
      </c>
      <c r="Q7320" s="232"/>
      <c r="R7320" s="411"/>
      <c r="T7320" s="134" t="s">
        <v>145</v>
      </c>
      <c r="U7320" s="267" t="s">
        <v>15497</v>
      </c>
      <c r="AA7320" s="218"/>
    </row>
    <row r="7321" spans="1:27" ht="24" x14ac:dyDescent="0.25">
      <c r="A7321" s="405">
        <v>3005753</v>
      </c>
      <c r="B7321" s="406">
        <v>42702</v>
      </c>
      <c r="C7321" s="405" t="s">
        <v>42</v>
      </c>
      <c r="D7321" s="401" t="s">
        <v>15498</v>
      </c>
      <c r="E7321" s="120">
        <v>400</v>
      </c>
      <c r="F7321" s="133" t="s">
        <v>165</v>
      </c>
      <c r="G7321" s="404" t="s">
        <v>7486</v>
      </c>
      <c r="H7321" s="411">
        <v>349.47</v>
      </c>
      <c r="I7321" s="89">
        <f t="shared" ref="I7321" si="3711">-(H7321*0.09)</f>
        <v>-31.452300000000001</v>
      </c>
      <c r="J7321" s="391">
        <f t="shared" ref="J7321" si="3712">-((H7321*0.019)+0.3)</f>
        <v>-6.9399300000000004</v>
      </c>
      <c r="K7321" s="90">
        <f t="shared" ref="K7321" si="3713">SUM(H7321:J7321)</f>
        <v>311.07777000000004</v>
      </c>
      <c r="L7321" s="131">
        <v>375</v>
      </c>
      <c r="N7321" s="91">
        <f t="shared" si="3679"/>
        <v>150</v>
      </c>
      <c r="O7321" s="411">
        <f t="shared" si="3687"/>
        <v>161.07777000000004</v>
      </c>
      <c r="P7321" s="132" t="s">
        <v>86</v>
      </c>
      <c r="Q7321" s="232"/>
      <c r="R7321" s="411"/>
      <c r="T7321" s="134" t="s">
        <v>145</v>
      </c>
      <c r="U7321" s="267" t="s">
        <v>15499</v>
      </c>
      <c r="AA7321" s="218"/>
    </row>
    <row r="7322" spans="1:27" ht="24" x14ac:dyDescent="0.25">
      <c r="A7322" s="405">
        <v>3005754</v>
      </c>
      <c r="B7322" s="406">
        <v>42702</v>
      </c>
      <c r="C7322" s="405" t="s">
        <v>42</v>
      </c>
      <c r="D7322" s="401" t="s">
        <v>15500</v>
      </c>
      <c r="E7322" s="120">
        <v>170</v>
      </c>
      <c r="F7322" s="133" t="s">
        <v>288</v>
      </c>
      <c r="G7322" s="404" t="s">
        <v>7486</v>
      </c>
      <c r="H7322" s="411">
        <v>337.99</v>
      </c>
      <c r="I7322" s="89">
        <f t="shared" ref="I7322" si="3714">-(H7322*0.09)</f>
        <v>-30.4191</v>
      </c>
      <c r="J7322" s="391">
        <f t="shared" ref="J7322" si="3715">-((H7322*0.019)+0.3)</f>
        <v>-6.7218099999999996</v>
      </c>
      <c r="K7322" s="90">
        <f t="shared" ref="K7322" si="3716">SUM(H7322:J7322)</f>
        <v>300.84908999999999</v>
      </c>
      <c r="L7322" s="131">
        <v>900</v>
      </c>
      <c r="N7322" s="91">
        <f t="shared" si="3679"/>
        <v>153</v>
      </c>
      <c r="O7322" s="411">
        <f t="shared" si="3687"/>
        <v>147.84908999999999</v>
      </c>
      <c r="P7322" s="132" t="s">
        <v>52</v>
      </c>
      <c r="Q7322" s="232"/>
      <c r="R7322" s="411">
        <v>25.04</v>
      </c>
      <c r="S7322" s="133" t="s">
        <v>1518</v>
      </c>
      <c r="T7322" s="134" t="s">
        <v>145</v>
      </c>
      <c r="U7322" s="267" t="s">
        <v>15501</v>
      </c>
      <c r="W7322" s="376"/>
      <c r="AA7322" s="218"/>
    </row>
    <row r="7323" spans="1:27" ht="36" x14ac:dyDescent="0.25">
      <c r="A7323" s="405">
        <v>3005755</v>
      </c>
      <c r="B7323" s="406">
        <v>42702</v>
      </c>
      <c r="C7323" s="405" t="s">
        <v>42</v>
      </c>
      <c r="D7323" s="401" t="s">
        <v>15502</v>
      </c>
      <c r="E7323" s="120">
        <v>750</v>
      </c>
      <c r="F7323" s="119" t="s">
        <v>15503</v>
      </c>
      <c r="G7323" s="404" t="s">
        <v>7486</v>
      </c>
      <c r="H7323" s="411">
        <v>861.3</v>
      </c>
      <c r="I7323" s="89">
        <f t="shared" ref="I7323" si="3717">-(H7323*0.09)</f>
        <v>-77.516999999999996</v>
      </c>
      <c r="J7323" s="391">
        <f t="shared" ref="J7323" si="3718">-((H7323*0.019)+0.3)</f>
        <v>-16.6647</v>
      </c>
      <c r="K7323" s="90">
        <f t="shared" ref="K7323" si="3719">SUM(H7323:J7323)</f>
        <v>767.11829999999986</v>
      </c>
      <c r="L7323" s="131">
        <v>525</v>
      </c>
      <c r="N7323" s="91">
        <f t="shared" si="3679"/>
        <v>393.75</v>
      </c>
      <c r="O7323" s="411">
        <f t="shared" si="3687"/>
        <v>373.36829999999986</v>
      </c>
      <c r="P7323" s="132" t="s">
        <v>643</v>
      </c>
      <c r="Q7323" s="232"/>
      <c r="R7323" s="411"/>
      <c r="T7323" s="134" t="s">
        <v>145</v>
      </c>
      <c r="U7323" s="267" t="s">
        <v>15504</v>
      </c>
      <c r="AA7323" s="218"/>
    </row>
    <row r="7324" spans="1:27" ht="24" x14ac:dyDescent="0.25">
      <c r="A7324" s="405">
        <v>3005756</v>
      </c>
      <c r="B7324" s="406">
        <v>42702</v>
      </c>
      <c r="C7324" s="405" t="s">
        <v>42</v>
      </c>
      <c r="D7324" s="401" t="s">
        <v>15505</v>
      </c>
      <c r="E7324" s="120">
        <v>95</v>
      </c>
      <c r="F7324" s="133" t="s">
        <v>422</v>
      </c>
      <c r="G7324" s="404" t="s">
        <v>7486</v>
      </c>
      <c r="H7324" s="411">
        <v>160.19999999999999</v>
      </c>
      <c r="I7324" s="89">
        <f t="shared" ref="I7324" si="3720">-(H7324*0.09)</f>
        <v>-14.417999999999999</v>
      </c>
      <c r="J7324" s="391">
        <f t="shared" ref="J7324" si="3721">-((H7324*0.019)+0.3)</f>
        <v>-3.3437999999999994</v>
      </c>
      <c r="K7324" s="90">
        <f t="shared" ref="K7324" si="3722">SUM(H7324:J7324)</f>
        <v>142.43819999999999</v>
      </c>
      <c r="L7324" s="131">
        <v>640</v>
      </c>
      <c r="N7324" s="91">
        <f t="shared" si="3679"/>
        <v>60.8</v>
      </c>
      <c r="O7324" s="411">
        <f t="shared" si="3687"/>
        <v>81.638199999999998</v>
      </c>
      <c r="P7324" s="132" t="s">
        <v>52</v>
      </c>
      <c r="Q7324" s="232"/>
      <c r="R7324" s="411"/>
      <c r="T7324" s="134" t="s">
        <v>145</v>
      </c>
      <c r="U7324" s="267" t="s">
        <v>15506</v>
      </c>
      <c r="AA7324" s="218"/>
    </row>
    <row r="7325" spans="1:27" ht="24" x14ac:dyDescent="0.25">
      <c r="A7325" s="405">
        <v>3005757</v>
      </c>
      <c r="B7325" s="406">
        <v>42702</v>
      </c>
      <c r="C7325" s="405" t="s">
        <v>42</v>
      </c>
      <c r="D7325" s="401" t="s">
        <v>15507</v>
      </c>
      <c r="E7325" s="120">
        <v>300</v>
      </c>
      <c r="F7325" s="133" t="s">
        <v>227</v>
      </c>
      <c r="G7325" s="404" t="s">
        <v>7486</v>
      </c>
      <c r="H7325" s="411">
        <v>135.28</v>
      </c>
      <c r="I7325" s="89">
        <f t="shared" ref="I7325" si="3723">-(H7325*0.09)</f>
        <v>-12.1752</v>
      </c>
      <c r="J7325" s="391">
        <f t="shared" ref="J7325" si="3724">-((H7325*0.019)+0.3)</f>
        <v>-2.87032</v>
      </c>
      <c r="K7325" s="90">
        <f t="shared" ref="K7325" si="3725">SUM(H7325:J7325)</f>
        <v>120.23447999999999</v>
      </c>
      <c r="L7325" s="131">
        <v>235</v>
      </c>
      <c r="N7325" s="91">
        <f t="shared" si="3679"/>
        <v>70.5</v>
      </c>
      <c r="O7325" s="411">
        <f t="shared" si="3687"/>
        <v>49.734479999999991</v>
      </c>
      <c r="P7325" s="132" t="s">
        <v>52</v>
      </c>
      <c r="Q7325" s="232"/>
      <c r="R7325" s="411"/>
      <c r="T7325" s="134" t="s">
        <v>145</v>
      </c>
      <c r="U7325" s="267" t="s">
        <v>15508</v>
      </c>
      <c r="AA7325" s="218"/>
    </row>
    <row r="7326" spans="1:27" ht="24" x14ac:dyDescent="0.25">
      <c r="A7326" s="405">
        <v>3005758</v>
      </c>
      <c r="B7326" s="406">
        <v>42702</v>
      </c>
      <c r="C7326" s="405" t="s">
        <v>42</v>
      </c>
      <c r="D7326" s="401" t="s">
        <v>15509</v>
      </c>
      <c r="E7326" s="120">
        <v>100</v>
      </c>
      <c r="F7326" s="133" t="s">
        <v>431</v>
      </c>
      <c r="G7326" s="404" t="s">
        <v>7486</v>
      </c>
      <c r="H7326" s="411">
        <v>216.09</v>
      </c>
      <c r="I7326" s="89">
        <f t="shared" ref="I7326" si="3726">-(H7326*0.09)</f>
        <v>-19.4481</v>
      </c>
      <c r="J7326" s="391">
        <f t="shared" ref="J7326" si="3727">-((H7326*0.019)+0.3)</f>
        <v>-4.40571</v>
      </c>
      <c r="K7326" s="90">
        <f t="shared" ref="K7326" si="3728">SUM(H7326:J7326)</f>
        <v>192.23618999999999</v>
      </c>
      <c r="L7326" s="131">
        <v>1450</v>
      </c>
      <c r="M7326" s="177">
        <v>17.420000000000002</v>
      </c>
      <c r="N7326" s="91">
        <f t="shared" si="3679"/>
        <v>162.42000000000002</v>
      </c>
      <c r="O7326" s="411">
        <f t="shared" si="3687"/>
        <v>29.816189999999978</v>
      </c>
      <c r="P7326" s="132" t="s">
        <v>183</v>
      </c>
      <c r="Q7326" s="232"/>
      <c r="R7326" s="411">
        <v>16.010000000000002</v>
      </c>
      <c r="S7326" s="133" t="s">
        <v>502</v>
      </c>
      <c r="T7326" s="134" t="s">
        <v>145</v>
      </c>
      <c r="U7326" s="267" t="s">
        <v>15510</v>
      </c>
      <c r="AA7326" s="218"/>
    </row>
    <row r="7327" spans="1:27" ht="24" x14ac:dyDescent="0.25">
      <c r="A7327" s="405">
        <v>3005759</v>
      </c>
      <c r="B7327" s="406">
        <v>42702</v>
      </c>
      <c r="C7327" s="405" t="s">
        <v>42</v>
      </c>
      <c r="D7327" s="401" t="s">
        <v>15511</v>
      </c>
      <c r="E7327" s="120">
        <v>100</v>
      </c>
      <c r="F7327" s="133" t="s">
        <v>307</v>
      </c>
      <c r="G7327" s="404" t="s">
        <v>7486</v>
      </c>
      <c r="H7327" s="411">
        <v>153</v>
      </c>
      <c r="I7327" s="89">
        <f t="shared" ref="I7327" si="3729">-(H7327*0.09)</f>
        <v>-13.77</v>
      </c>
      <c r="J7327" s="391">
        <f t="shared" ref="J7327" si="3730">-((H7327*0.019)+0.3)</f>
        <v>-3.2069999999999999</v>
      </c>
      <c r="K7327" s="90">
        <f t="shared" ref="K7327" si="3731">SUM(H7327:J7327)</f>
        <v>136.023</v>
      </c>
      <c r="L7327" s="131">
        <v>642.99</v>
      </c>
      <c r="N7327" s="91">
        <f t="shared" si="3679"/>
        <v>64.299000000000007</v>
      </c>
      <c r="O7327" s="411">
        <f t="shared" si="3687"/>
        <v>71.72399999999999</v>
      </c>
      <c r="P7327" s="132" t="s">
        <v>52</v>
      </c>
      <c r="Q7327" s="232"/>
      <c r="R7327" s="411"/>
      <c r="T7327" s="134" t="s">
        <v>145</v>
      </c>
      <c r="U7327" s="267" t="s">
        <v>15512</v>
      </c>
      <c r="AA7327" s="218"/>
    </row>
    <row r="7328" spans="1:27" ht="24" x14ac:dyDescent="0.25">
      <c r="A7328" s="405">
        <v>3005760</v>
      </c>
      <c r="B7328" s="406">
        <v>42702</v>
      </c>
      <c r="C7328" s="405" t="s">
        <v>42</v>
      </c>
      <c r="D7328" s="401" t="s">
        <v>15513</v>
      </c>
      <c r="E7328" s="120">
        <v>225</v>
      </c>
      <c r="F7328" s="133" t="s">
        <v>247</v>
      </c>
      <c r="G7328" s="404" t="s">
        <v>7486</v>
      </c>
      <c r="H7328" s="411">
        <v>220.51</v>
      </c>
      <c r="I7328" s="89">
        <f t="shared" ref="I7328" si="3732">-(H7328*0.09)</f>
        <v>-19.845899999999997</v>
      </c>
      <c r="J7328" s="391">
        <f t="shared" ref="J7328" si="3733">-((H7328*0.019)+0.3)</f>
        <v>-4.4896899999999995</v>
      </c>
      <c r="K7328" s="90">
        <f t="shared" ref="K7328" si="3734">SUM(H7328:J7328)</f>
        <v>196.17440999999999</v>
      </c>
      <c r="L7328" s="131">
        <v>424</v>
      </c>
      <c r="N7328" s="91">
        <f t="shared" si="3679"/>
        <v>95.4</v>
      </c>
      <c r="O7328" s="411">
        <f t="shared" si="3687"/>
        <v>100.77440999999999</v>
      </c>
      <c r="P7328" s="132" t="s">
        <v>52</v>
      </c>
      <c r="Q7328" s="232"/>
      <c r="R7328" s="411"/>
      <c r="T7328" s="134" t="s">
        <v>145</v>
      </c>
      <c r="U7328" s="267" t="s">
        <v>15501</v>
      </c>
      <c r="AA7328" s="218"/>
    </row>
    <row r="7329" spans="1:27" ht="24" x14ac:dyDescent="0.25">
      <c r="A7329" s="405">
        <v>3005761</v>
      </c>
      <c r="B7329" s="406">
        <v>42702</v>
      </c>
      <c r="C7329" s="405" t="s">
        <v>42</v>
      </c>
      <c r="D7329" s="401" t="s">
        <v>15514</v>
      </c>
      <c r="E7329" s="120">
        <v>250</v>
      </c>
      <c r="F7329" s="133" t="s">
        <v>877</v>
      </c>
      <c r="G7329" s="404" t="s">
        <v>7486</v>
      </c>
      <c r="H7329" s="411">
        <v>170</v>
      </c>
      <c r="I7329" s="89">
        <f t="shared" ref="I7329:I7330" si="3735">-(H7329*0.09)</f>
        <v>-15.299999999999999</v>
      </c>
      <c r="J7329" s="391">
        <f t="shared" ref="J7329:J7330" si="3736">-((H7329*0.019)+0.3)</f>
        <v>-3.53</v>
      </c>
      <c r="K7329" s="90">
        <f t="shared" ref="K7329:K7330" si="3737">SUM(H7329:J7329)</f>
        <v>151.16999999999999</v>
      </c>
      <c r="L7329" s="131">
        <v>174</v>
      </c>
      <c r="N7329" s="91">
        <f t="shared" si="3679"/>
        <v>43.5</v>
      </c>
      <c r="O7329" s="411">
        <f t="shared" si="3687"/>
        <v>107.66999999999999</v>
      </c>
      <c r="P7329" s="132" t="s">
        <v>86</v>
      </c>
      <c r="Q7329" s="232"/>
      <c r="R7329" s="411"/>
      <c r="T7329" s="134" t="s">
        <v>145</v>
      </c>
      <c r="U7329" s="267" t="s">
        <v>15515</v>
      </c>
      <c r="AA7329" s="218"/>
    </row>
    <row r="7330" spans="1:27" ht="24" x14ac:dyDescent="0.25">
      <c r="A7330" s="405">
        <v>3005762</v>
      </c>
      <c r="B7330" s="406">
        <v>42702</v>
      </c>
      <c r="C7330" s="405" t="s">
        <v>42</v>
      </c>
      <c r="D7330" s="401" t="s">
        <v>14549</v>
      </c>
      <c r="E7330" s="120">
        <v>350</v>
      </c>
      <c r="F7330" s="133" t="s">
        <v>165</v>
      </c>
      <c r="G7330" s="404" t="s">
        <v>7486</v>
      </c>
      <c r="H7330" s="411">
        <v>256.41000000000003</v>
      </c>
      <c r="I7330" s="89">
        <f t="shared" si="3735"/>
        <v>-23.076900000000002</v>
      </c>
      <c r="J7330" s="391">
        <f t="shared" si="3736"/>
        <v>-5.1717900000000006</v>
      </c>
      <c r="K7330" s="90">
        <f t="shared" si="3737"/>
        <v>228.16131000000004</v>
      </c>
      <c r="L7330" s="131">
        <v>375</v>
      </c>
      <c r="N7330" s="91">
        <f t="shared" si="3679"/>
        <v>131.25</v>
      </c>
      <c r="O7330" s="411">
        <f t="shared" si="3687"/>
        <v>96.911310000000043</v>
      </c>
      <c r="P7330" s="132" t="s">
        <v>86</v>
      </c>
      <c r="Q7330" s="232"/>
      <c r="R7330" s="411"/>
      <c r="T7330" s="134" t="s">
        <v>145</v>
      </c>
      <c r="U7330" s="267" t="s">
        <v>15516</v>
      </c>
      <c r="AA7330" s="218"/>
    </row>
    <row r="7331" spans="1:27" x14ac:dyDescent="0.25">
      <c r="A7331" s="405">
        <v>3005763</v>
      </c>
      <c r="B7331" s="406">
        <v>42702</v>
      </c>
      <c r="C7331" s="405" t="s">
        <v>42</v>
      </c>
      <c r="D7331" s="401" t="s">
        <v>15517</v>
      </c>
      <c r="E7331" s="120">
        <v>225</v>
      </c>
      <c r="F7331" s="133" t="s">
        <v>85</v>
      </c>
      <c r="G7331" s="404" t="s">
        <v>7486</v>
      </c>
      <c r="H7331" s="411">
        <v>607.28</v>
      </c>
      <c r="I7331" s="89">
        <f t="shared" ref="I7331" si="3738">-(H7331*0.09)</f>
        <v>-54.655199999999994</v>
      </c>
      <c r="J7331" s="391">
        <f t="shared" ref="J7331" si="3739">-((H7331*0.019)+0.3)</f>
        <v>-11.83832</v>
      </c>
      <c r="K7331" s="90">
        <f t="shared" ref="K7331" si="3740">SUM(H7331:J7331)</f>
        <v>540.78647999999998</v>
      </c>
      <c r="L7331" s="131">
        <v>1090</v>
      </c>
      <c r="M7331" s="131">
        <v>181.8</v>
      </c>
      <c r="N7331" s="91">
        <f t="shared" si="3679"/>
        <v>427.05</v>
      </c>
      <c r="O7331" s="411">
        <f t="shared" si="3687"/>
        <v>113.73647999999997</v>
      </c>
      <c r="P7331" s="132" t="s">
        <v>52</v>
      </c>
      <c r="Q7331" s="232"/>
      <c r="R7331" s="411"/>
      <c r="T7331" s="134" t="s">
        <v>7260</v>
      </c>
      <c r="U7331" s="267" t="s">
        <v>15518</v>
      </c>
      <c r="V7331" s="133" t="s">
        <v>55</v>
      </c>
      <c r="AA7331" s="218"/>
    </row>
    <row r="7332" spans="1:27" ht="24" x14ac:dyDescent="0.25">
      <c r="A7332" s="405">
        <v>3005764</v>
      </c>
      <c r="B7332" s="406">
        <v>42702</v>
      </c>
      <c r="C7332" s="405" t="s">
        <v>42</v>
      </c>
      <c r="D7332" s="401" t="s">
        <v>15519</v>
      </c>
      <c r="E7332" s="120">
        <v>500</v>
      </c>
      <c r="F7332" s="133" t="s">
        <v>165</v>
      </c>
      <c r="G7332" s="404" t="s">
        <v>7486</v>
      </c>
      <c r="H7332" s="411">
        <v>394.02</v>
      </c>
      <c r="I7332" s="89">
        <f t="shared" ref="I7332" si="3741">-(H7332*0.09)</f>
        <v>-35.461799999999997</v>
      </c>
      <c r="J7332" s="391">
        <f t="shared" ref="J7332" si="3742">-((H7332*0.019)+0.3)</f>
        <v>-7.7863799999999994</v>
      </c>
      <c r="K7332" s="90">
        <f t="shared" ref="K7332" si="3743">SUM(H7332:J7332)</f>
        <v>350.77181999999999</v>
      </c>
      <c r="L7332" s="131">
        <v>300</v>
      </c>
      <c r="N7332" s="91">
        <f t="shared" si="3679"/>
        <v>150</v>
      </c>
      <c r="O7332" s="411">
        <f t="shared" si="3687"/>
        <v>200.77181999999999</v>
      </c>
      <c r="P7332" s="132" t="s">
        <v>86</v>
      </c>
      <c r="Q7332" s="232"/>
      <c r="R7332" s="411"/>
      <c r="T7332" s="134" t="s">
        <v>145</v>
      </c>
      <c r="U7332" s="267" t="s">
        <v>15520</v>
      </c>
      <c r="AA7332" s="218"/>
    </row>
    <row r="7333" spans="1:27" ht="24" x14ac:dyDescent="0.25">
      <c r="A7333" s="405">
        <v>3005765</v>
      </c>
      <c r="B7333" s="406">
        <v>42702</v>
      </c>
      <c r="C7333" s="405" t="s">
        <v>42</v>
      </c>
      <c r="D7333" s="401" t="s">
        <v>15521</v>
      </c>
      <c r="E7333" s="120">
        <v>250</v>
      </c>
      <c r="F7333" s="133" t="s">
        <v>590</v>
      </c>
      <c r="G7333" s="404" t="s">
        <v>7486</v>
      </c>
      <c r="H7333" s="411">
        <v>277.32</v>
      </c>
      <c r="I7333" s="89">
        <f t="shared" ref="I7333" si="3744">-(H7333*0.09)</f>
        <v>-24.9588</v>
      </c>
      <c r="J7333" s="391">
        <f t="shared" ref="J7333" si="3745">-((H7333*0.019)+0.3)</f>
        <v>-5.5690799999999996</v>
      </c>
      <c r="K7333" s="90">
        <f t="shared" ref="K7333" si="3746">SUM(H7333:J7333)</f>
        <v>246.79212000000001</v>
      </c>
      <c r="L7333" s="131">
        <v>580</v>
      </c>
      <c r="N7333" s="91">
        <f t="shared" si="3679"/>
        <v>145</v>
      </c>
      <c r="O7333" s="411">
        <f t="shared" si="3687"/>
        <v>101.79212000000001</v>
      </c>
      <c r="P7333" s="132" t="s">
        <v>46</v>
      </c>
      <c r="Q7333" s="232"/>
      <c r="R7333" s="411"/>
      <c r="T7333" s="134" t="s">
        <v>145</v>
      </c>
      <c r="U7333" s="267" t="s">
        <v>15522</v>
      </c>
      <c r="AA7333" s="218"/>
    </row>
    <row r="7334" spans="1:27" x14ac:dyDescent="0.25">
      <c r="A7334" s="405">
        <v>3005766</v>
      </c>
      <c r="B7334" s="406">
        <v>42702</v>
      </c>
      <c r="C7334" s="405" t="s">
        <v>42</v>
      </c>
      <c r="D7334" s="401" t="s">
        <v>15523</v>
      </c>
      <c r="E7334" s="120">
        <v>705</v>
      </c>
      <c r="F7334" s="133" t="s">
        <v>165</v>
      </c>
      <c r="G7334" s="404" t="s">
        <v>7486</v>
      </c>
      <c r="H7334" s="411">
        <v>474.36</v>
      </c>
      <c r="I7334" s="89">
        <f t="shared" ref="I7334" si="3747">-(H7334*0.09)</f>
        <v>-42.692399999999999</v>
      </c>
      <c r="J7334" s="391">
        <f t="shared" ref="J7334" si="3748">-((H7334*0.019)+0.3)</f>
        <v>-9.3128400000000013</v>
      </c>
      <c r="K7334" s="90">
        <f t="shared" ref="K7334" si="3749">SUM(H7334:J7334)</f>
        <v>422.35476</v>
      </c>
      <c r="L7334" s="131">
        <v>300</v>
      </c>
      <c r="M7334" s="131">
        <v>152.09</v>
      </c>
      <c r="N7334" s="91">
        <f t="shared" si="3679"/>
        <v>363.59000000000003</v>
      </c>
      <c r="O7334" s="411">
        <f t="shared" si="3687"/>
        <v>58.764759999999967</v>
      </c>
      <c r="P7334" s="132" t="s">
        <v>86</v>
      </c>
      <c r="Q7334" s="232"/>
      <c r="R7334" s="411"/>
      <c r="T7334" s="134" t="s">
        <v>875</v>
      </c>
      <c r="U7334" s="267" t="s">
        <v>15524</v>
      </c>
      <c r="V7334" s="133" t="s">
        <v>55</v>
      </c>
      <c r="AA7334" s="218"/>
    </row>
    <row r="7335" spans="1:27" ht="24" x14ac:dyDescent="0.25">
      <c r="A7335" s="405">
        <v>3005767</v>
      </c>
      <c r="B7335" s="406">
        <v>42702</v>
      </c>
      <c r="C7335" s="405" t="s">
        <v>42</v>
      </c>
      <c r="D7335" s="401" t="s">
        <v>15525</v>
      </c>
      <c r="E7335" s="120">
        <v>225</v>
      </c>
      <c r="F7335" s="133" t="s">
        <v>247</v>
      </c>
      <c r="G7335" s="404" t="s">
        <v>7486</v>
      </c>
      <c r="H7335" s="411">
        <v>278.82</v>
      </c>
      <c r="I7335" s="89">
        <f t="shared" ref="I7335" si="3750">-(H7335*0.09)</f>
        <v>-25.093799999999998</v>
      </c>
      <c r="J7335" s="391">
        <f t="shared" ref="J7335" si="3751">-((H7335*0.019)+0.3)</f>
        <v>-5.5975799999999998</v>
      </c>
      <c r="K7335" s="90">
        <f t="shared" ref="K7335" si="3752">SUM(H7335:J7335)</f>
        <v>248.12862000000001</v>
      </c>
      <c r="L7335" s="131">
        <v>424</v>
      </c>
      <c r="N7335" s="91">
        <f t="shared" si="3679"/>
        <v>95.4</v>
      </c>
      <c r="O7335" s="411">
        <f t="shared" si="3687"/>
        <v>152.72862000000001</v>
      </c>
      <c r="P7335" s="132" t="s">
        <v>52</v>
      </c>
      <c r="Q7335" s="232"/>
      <c r="R7335" s="411"/>
      <c r="T7335" s="134" t="s">
        <v>145</v>
      </c>
      <c r="U7335" s="267" t="s">
        <v>15526</v>
      </c>
      <c r="AA7335" s="218"/>
    </row>
    <row r="7336" spans="1:27" ht="24" x14ac:dyDescent="0.25">
      <c r="A7336" s="405">
        <v>3005768</v>
      </c>
      <c r="B7336" s="406">
        <v>42702</v>
      </c>
      <c r="C7336" s="405" t="s">
        <v>237</v>
      </c>
      <c r="D7336" s="401" t="s">
        <v>15527</v>
      </c>
      <c r="E7336" s="120">
        <v>100</v>
      </c>
      <c r="F7336" s="133" t="s">
        <v>3719</v>
      </c>
      <c r="G7336" s="404" t="s">
        <v>7486</v>
      </c>
      <c r="H7336" s="411">
        <v>185</v>
      </c>
      <c r="I7336" s="94">
        <f t="shared" ref="I7336" si="3753">-(H7336*0.15)</f>
        <v>-27.75</v>
      </c>
      <c r="J7336" s="90">
        <v>0</v>
      </c>
      <c r="K7336" s="90">
        <f>SUM(H7336:J7336)</f>
        <v>157.25</v>
      </c>
      <c r="L7336" s="131">
        <v>1190</v>
      </c>
      <c r="N7336" s="91">
        <f t="shared" si="3679"/>
        <v>119</v>
      </c>
      <c r="O7336" s="411">
        <f t="shared" si="3687"/>
        <v>38.25</v>
      </c>
      <c r="P7336" s="132" t="s">
        <v>601</v>
      </c>
      <c r="Q7336" s="232"/>
      <c r="R7336" s="411"/>
      <c r="T7336" s="134" t="s">
        <v>145</v>
      </c>
      <c r="U7336" s="267" t="s">
        <v>15528</v>
      </c>
      <c r="AA7336" s="218"/>
    </row>
    <row r="7337" spans="1:27" x14ac:dyDescent="0.25">
      <c r="A7337" s="405">
        <v>3005769</v>
      </c>
      <c r="B7337" s="406">
        <v>42702</v>
      </c>
      <c r="C7337" s="405" t="s">
        <v>237</v>
      </c>
      <c r="D7337" s="401" t="s">
        <v>15529</v>
      </c>
      <c r="E7337" s="120">
        <v>2000</v>
      </c>
      <c r="F7337" s="133" t="s">
        <v>349</v>
      </c>
      <c r="G7337" s="404" t="s">
        <v>7486</v>
      </c>
      <c r="H7337" s="411">
        <v>1449.62</v>
      </c>
      <c r="I7337" s="94">
        <f t="shared" ref="I7337" si="3754">-(H7337*0.15)</f>
        <v>-217.44299999999998</v>
      </c>
      <c r="J7337" s="90">
        <v>0</v>
      </c>
      <c r="K7337" s="90">
        <f>SUM(H7337:J7337)</f>
        <v>1232.1769999999999</v>
      </c>
      <c r="L7337" s="131">
        <v>464.86</v>
      </c>
      <c r="M7337" s="131">
        <v>186.85</v>
      </c>
      <c r="N7337" s="91">
        <f t="shared" si="3679"/>
        <v>1116.57</v>
      </c>
      <c r="O7337" s="411">
        <f t="shared" si="3687"/>
        <v>115.60699999999997</v>
      </c>
      <c r="P7337" s="132" t="s">
        <v>46</v>
      </c>
      <c r="Q7337" s="232"/>
      <c r="R7337" s="411"/>
      <c r="T7337" s="135" t="s">
        <v>97</v>
      </c>
      <c r="V7337" s="133" t="s">
        <v>55</v>
      </c>
      <c r="AA7337" s="218"/>
    </row>
    <row r="7338" spans="1:27" x14ac:dyDescent="0.25">
      <c r="A7338" s="419">
        <v>3005770</v>
      </c>
      <c r="B7338" s="421">
        <v>42702</v>
      </c>
      <c r="C7338" s="419" t="s">
        <v>237</v>
      </c>
      <c r="D7338" s="417" t="s">
        <v>15530</v>
      </c>
      <c r="E7338" s="120">
        <v>50</v>
      </c>
      <c r="F7338" s="133" t="s">
        <v>3440</v>
      </c>
      <c r="G7338" s="434" t="s">
        <v>7486</v>
      </c>
      <c r="H7338" s="427">
        <v>147.44</v>
      </c>
      <c r="I7338" s="452">
        <f t="shared" ref="I7338" si="3755">-(H7338*0.15)</f>
        <v>-22.116</v>
      </c>
      <c r="J7338" s="425">
        <v>0</v>
      </c>
      <c r="K7338" s="425">
        <f>SUM(H7338:J7338)</f>
        <v>125.324</v>
      </c>
      <c r="L7338" s="131">
        <v>970</v>
      </c>
      <c r="N7338" s="91">
        <f t="shared" si="3679"/>
        <v>48.5</v>
      </c>
      <c r="O7338" s="411">
        <f t="shared" si="3687"/>
        <v>76.823999999999998</v>
      </c>
      <c r="P7338" s="132" t="s">
        <v>601</v>
      </c>
      <c r="Q7338" s="232"/>
      <c r="R7338" s="411"/>
      <c r="T7338" s="439" t="s">
        <v>145</v>
      </c>
      <c r="U7338" s="446" t="s">
        <v>15531</v>
      </c>
      <c r="AA7338" s="218"/>
    </row>
    <row r="7339" spans="1:27" x14ac:dyDescent="0.25">
      <c r="A7339" s="420"/>
      <c r="B7339" s="422"/>
      <c r="C7339" s="420"/>
      <c r="D7339" s="418"/>
      <c r="E7339" s="120">
        <v>50</v>
      </c>
      <c r="F7339" s="133" t="s">
        <v>3442</v>
      </c>
      <c r="G7339" s="436"/>
      <c r="H7339" s="428"/>
      <c r="I7339" s="453"/>
      <c r="J7339" s="426"/>
      <c r="K7339" s="426"/>
      <c r="L7339" s="131">
        <v>970</v>
      </c>
      <c r="N7339" s="91">
        <f t="shared" si="3679"/>
        <v>48.5</v>
      </c>
      <c r="O7339" s="411">
        <f t="shared" si="3687"/>
        <v>-48.5</v>
      </c>
      <c r="P7339" s="132" t="s">
        <v>601</v>
      </c>
      <c r="Q7339" s="232"/>
      <c r="R7339" s="411"/>
      <c r="T7339" s="441"/>
      <c r="U7339" s="447"/>
      <c r="AA7339" s="218"/>
    </row>
    <row r="7340" spans="1:27" ht="36" x14ac:dyDescent="0.25">
      <c r="A7340" s="405">
        <v>3005771</v>
      </c>
      <c r="B7340" s="406">
        <v>42702</v>
      </c>
      <c r="C7340" s="405" t="s">
        <v>237</v>
      </c>
      <c r="D7340" s="401" t="s">
        <v>15532</v>
      </c>
      <c r="E7340" s="120">
        <v>100</v>
      </c>
      <c r="F7340" s="119" t="s">
        <v>15533</v>
      </c>
      <c r="G7340" s="404" t="s">
        <v>7486</v>
      </c>
      <c r="H7340" s="411">
        <v>120.09</v>
      </c>
      <c r="I7340" s="94">
        <f t="shared" ref="I7340" si="3756">-(H7340*0.15)</f>
        <v>-18.013500000000001</v>
      </c>
      <c r="J7340" s="90">
        <v>0</v>
      </c>
      <c r="K7340" s="90">
        <f t="shared" ref="K7340:K7349" si="3757">SUM(H7340:J7340)</f>
        <v>102.07650000000001</v>
      </c>
      <c r="L7340" s="131">
        <v>630</v>
      </c>
      <c r="N7340" s="91">
        <f t="shared" si="3679"/>
        <v>63</v>
      </c>
      <c r="O7340" s="411">
        <f t="shared" si="3687"/>
        <v>39.07650000000001</v>
      </c>
      <c r="P7340" s="132" t="s">
        <v>235</v>
      </c>
      <c r="Q7340" s="232"/>
      <c r="R7340" s="411"/>
      <c r="T7340" s="134" t="s">
        <v>145</v>
      </c>
      <c r="U7340" s="267" t="s">
        <v>15534</v>
      </c>
      <c r="AA7340" s="218"/>
    </row>
    <row r="7341" spans="1:27" ht="24" x14ac:dyDescent="0.25">
      <c r="A7341" s="405">
        <v>3005772</v>
      </c>
      <c r="B7341" s="406">
        <v>42702</v>
      </c>
      <c r="C7341" s="405" t="s">
        <v>237</v>
      </c>
      <c r="D7341" s="401" t="s">
        <v>15535</v>
      </c>
      <c r="E7341" s="120">
        <v>225</v>
      </c>
      <c r="F7341" s="133" t="s">
        <v>247</v>
      </c>
      <c r="G7341" s="404" t="s">
        <v>7486</v>
      </c>
      <c r="H7341" s="411">
        <v>190</v>
      </c>
      <c r="I7341" s="94">
        <f t="shared" ref="I7341" si="3758">-(H7341*0.15)</f>
        <v>-28.5</v>
      </c>
      <c r="J7341" s="90">
        <v>0</v>
      </c>
      <c r="K7341" s="90">
        <f t="shared" si="3757"/>
        <v>161.5</v>
      </c>
      <c r="L7341" s="131">
        <v>424</v>
      </c>
      <c r="N7341" s="91">
        <f t="shared" si="3679"/>
        <v>95.4</v>
      </c>
      <c r="O7341" s="411">
        <f t="shared" si="3687"/>
        <v>66.099999999999994</v>
      </c>
      <c r="P7341" s="132" t="s">
        <v>52</v>
      </c>
      <c r="Q7341" s="232"/>
      <c r="R7341" s="411"/>
      <c r="T7341" s="134" t="s">
        <v>145</v>
      </c>
      <c r="U7341" s="267" t="s">
        <v>15536</v>
      </c>
      <c r="AA7341" s="218"/>
    </row>
    <row r="7342" spans="1:27" ht="24" x14ac:dyDescent="0.25">
      <c r="A7342" s="405">
        <v>3005773</v>
      </c>
      <c r="B7342" s="406">
        <v>42702</v>
      </c>
      <c r="C7342" s="405" t="s">
        <v>237</v>
      </c>
      <c r="D7342" s="401" t="s">
        <v>15319</v>
      </c>
      <c r="E7342" s="120">
        <v>125</v>
      </c>
      <c r="F7342" s="133" t="s">
        <v>288</v>
      </c>
      <c r="G7342" s="404" t="s">
        <v>7486</v>
      </c>
      <c r="H7342" s="411">
        <v>210.56</v>
      </c>
      <c r="I7342" s="94">
        <f t="shared" ref="I7342" si="3759">-(H7342*0.15)</f>
        <v>-31.584</v>
      </c>
      <c r="J7342" s="90">
        <v>0</v>
      </c>
      <c r="K7342" s="90">
        <f t="shared" si="3757"/>
        <v>178.976</v>
      </c>
      <c r="L7342" s="131">
        <v>900</v>
      </c>
      <c r="N7342" s="91">
        <f t="shared" si="3679"/>
        <v>112.5</v>
      </c>
      <c r="O7342" s="411">
        <f t="shared" si="3687"/>
        <v>66.475999999999999</v>
      </c>
      <c r="P7342" s="132" t="s">
        <v>52</v>
      </c>
      <c r="Q7342" s="232"/>
      <c r="R7342" s="411"/>
      <c r="T7342" s="134" t="s">
        <v>145</v>
      </c>
      <c r="U7342" s="267" t="s">
        <v>15537</v>
      </c>
      <c r="AA7342" s="218"/>
    </row>
    <row r="7343" spans="1:27" ht="24" x14ac:dyDescent="0.25">
      <c r="A7343" s="405">
        <v>3005774</v>
      </c>
      <c r="B7343" s="406">
        <v>42702</v>
      </c>
      <c r="C7343" s="405" t="s">
        <v>237</v>
      </c>
      <c r="D7343" s="401" t="s">
        <v>15538</v>
      </c>
      <c r="E7343" s="120">
        <v>100</v>
      </c>
      <c r="F7343" s="133" t="s">
        <v>288</v>
      </c>
      <c r="G7343" s="404" t="s">
        <v>7486</v>
      </c>
      <c r="H7343" s="411">
        <v>189.14</v>
      </c>
      <c r="I7343" s="94">
        <f t="shared" ref="I7343" si="3760">-(H7343*0.15)</f>
        <v>-28.370999999999999</v>
      </c>
      <c r="J7343" s="90">
        <v>0</v>
      </c>
      <c r="K7343" s="90">
        <f t="shared" si="3757"/>
        <v>160.76899999999998</v>
      </c>
      <c r="L7343" s="131">
        <v>900</v>
      </c>
      <c r="N7343" s="91">
        <f t="shared" si="3679"/>
        <v>90</v>
      </c>
      <c r="O7343" s="411">
        <f t="shared" si="3687"/>
        <v>70.768999999999977</v>
      </c>
      <c r="P7343" s="132" t="s">
        <v>52</v>
      </c>
      <c r="Q7343" s="232"/>
      <c r="R7343" s="411"/>
      <c r="T7343" s="134" t="s">
        <v>145</v>
      </c>
      <c r="U7343" s="267" t="s">
        <v>15539</v>
      </c>
      <c r="AA7343" s="218"/>
    </row>
    <row r="7344" spans="1:27" ht="24" x14ac:dyDescent="0.25">
      <c r="A7344" s="405">
        <v>3005775</v>
      </c>
      <c r="B7344" s="406">
        <v>42702</v>
      </c>
      <c r="C7344" s="405" t="s">
        <v>237</v>
      </c>
      <c r="D7344" s="401" t="s">
        <v>15540</v>
      </c>
      <c r="E7344" s="120">
        <v>150</v>
      </c>
      <c r="F7344" s="133" t="s">
        <v>1293</v>
      </c>
      <c r="G7344" s="404" t="s">
        <v>7486</v>
      </c>
      <c r="H7344" s="411">
        <v>144.53</v>
      </c>
      <c r="I7344" s="94">
        <f t="shared" ref="I7344" si="3761">-(H7344*0.15)</f>
        <v>-21.679500000000001</v>
      </c>
      <c r="J7344" s="90">
        <v>0</v>
      </c>
      <c r="K7344" s="90">
        <f t="shared" si="3757"/>
        <v>122.8505</v>
      </c>
      <c r="L7344" s="131">
        <v>400</v>
      </c>
      <c r="N7344" s="91">
        <f t="shared" si="3679"/>
        <v>60</v>
      </c>
      <c r="O7344" s="411">
        <f t="shared" si="3687"/>
        <v>62.850499999999997</v>
      </c>
      <c r="P7344" s="132" t="s">
        <v>52</v>
      </c>
      <c r="Q7344" s="232"/>
      <c r="R7344" s="411"/>
      <c r="T7344" s="134" t="s">
        <v>145</v>
      </c>
      <c r="U7344" s="267" t="s">
        <v>15541</v>
      </c>
      <c r="AA7344" s="218"/>
    </row>
    <row r="7345" spans="1:27" ht="24" x14ac:dyDescent="0.25">
      <c r="A7345" s="405">
        <v>3005776</v>
      </c>
      <c r="B7345" s="406">
        <v>42702</v>
      </c>
      <c r="C7345" s="405" t="s">
        <v>237</v>
      </c>
      <c r="D7345" s="401" t="s">
        <v>15542</v>
      </c>
      <c r="E7345" s="120">
        <v>100</v>
      </c>
      <c r="F7345" s="133" t="s">
        <v>590</v>
      </c>
      <c r="G7345" s="404" t="s">
        <v>7486</v>
      </c>
      <c r="H7345" s="411">
        <v>118.34</v>
      </c>
      <c r="I7345" s="94">
        <f t="shared" ref="I7345" si="3762">-(H7345*0.15)</f>
        <v>-17.751000000000001</v>
      </c>
      <c r="J7345" s="90">
        <v>0</v>
      </c>
      <c r="K7345" s="90">
        <f t="shared" si="3757"/>
        <v>100.589</v>
      </c>
      <c r="L7345" s="131">
        <v>720</v>
      </c>
      <c r="M7345" s="131">
        <v>17.95</v>
      </c>
      <c r="N7345" s="91">
        <f t="shared" si="3679"/>
        <v>89.95</v>
      </c>
      <c r="O7345" s="411">
        <f t="shared" si="3687"/>
        <v>10.638999999999996</v>
      </c>
      <c r="P7345" s="132" t="s">
        <v>183</v>
      </c>
      <c r="Q7345" s="232"/>
      <c r="R7345" s="411"/>
      <c r="T7345" s="134" t="s">
        <v>145</v>
      </c>
      <c r="U7345" s="267" t="s">
        <v>15543</v>
      </c>
      <c r="AA7345" s="218"/>
    </row>
    <row r="7346" spans="1:27" ht="24" x14ac:dyDescent="0.25">
      <c r="A7346" s="405">
        <v>3005777</v>
      </c>
      <c r="B7346" s="406">
        <v>42702</v>
      </c>
      <c r="C7346" s="405" t="s">
        <v>237</v>
      </c>
      <c r="D7346" s="401" t="s">
        <v>15544</v>
      </c>
      <c r="E7346" s="120">
        <v>100</v>
      </c>
      <c r="F7346" s="133" t="s">
        <v>829</v>
      </c>
      <c r="G7346" s="404" t="s">
        <v>7486</v>
      </c>
      <c r="H7346" s="411">
        <v>130</v>
      </c>
      <c r="I7346" s="94">
        <f t="shared" ref="I7346:I7347" si="3763">-(H7346*0.15)</f>
        <v>-19.5</v>
      </c>
      <c r="J7346" s="90">
        <v>0</v>
      </c>
      <c r="K7346" s="90">
        <f t="shared" si="3757"/>
        <v>110.5</v>
      </c>
      <c r="L7346" s="131">
        <v>510</v>
      </c>
      <c r="N7346" s="91">
        <f t="shared" si="3679"/>
        <v>51</v>
      </c>
      <c r="O7346" s="411">
        <f t="shared" si="3687"/>
        <v>59.5</v>
      </c>
      <c r="P7346" s="132" t="s">
        <v>52</v>
      </c>
      <c r="Q7346" s="232"/>
      <c r="R7346" s="411"/>
      <c r="T7346" s="134" t="s">
        <v>145</v>
      </c>
      <c r="U7346" s="267" t="s">
        <v>15545</v>
      </c>
      <c r="AA7346" s="218"/>
    </row>
    <row r="7347" spans="1:27" ht="24" x14ac:dyDescent="0.25">
      <c r="A7347" s="405">
        <v>3005778</v>
      </c>
      <c r="B7347" s="406">
        <v>42702</v>
      </c>
      <c r="C7347" s="405" t="s">
        <v>237</v>
      </c>
      <c r="D7347" s="401" t="s">
        <v>15546</v>
      </c>
      <c r="E7347" s="120">
        <v>125</v>
      </c>
      <c r="F7347" s="133" t="s">
        <v>288</v>
      </c>
      <c r="G7347" s="404" t="s">
        <v>7486</v>
      </c>
      <c r="H7347" s="411">
        <v>210.56</v>
      </c>
      <c r="I7347" s="94">
        <f t="shared" si="3763"/>
        <v>-31.584</v>
      </c>
      <c r="J7347" s="90">
        <v>0</v>
      </c>
      <c r="K7347" s="90">
        <f t="shared" si="3757"/>
        <v>178.976</v>
      </c>
      <c r="L7347" s="131">
        <v>900</v>
      </c>
      <c r="N7347" s="91">
        <f t="shared" si="3679"/>
        <v>112.5</v>
      </c>
      <c r="O7347" s="411">
        <f t="shared" si="3687"/>
        <v>66.475999999999999</v>
      </c>
      <c r="P7347" s="132" t="s">
        <v>52</v>
      </c>
      <c r="Q7347" s="232"/>
      <c r="R7347" s="411"/>
      <c r="T7347" s="134" t="s">
        <v>145</v>
      </c>
      <c r="U7347" s="267" t="s">
        <v>15547</v>
      </c>
      <c r="AA7347" s="218"/>
    </row>
    <row r="7348" spans="1:27" ht="24" x14ac:dyDescent="0.25">
      <c r="A7348" s="405">
        <v>3005779</v>
      </c>
      <c r="B7348" s="406">
        <v>42702</v>
      </c>
      <c r="C7348" s="405" t="s">
        <v>237</v>
      </c>
      <c r="D7348" s="401" t="s">
        <v>15548</v>
      </c>
      <c r="E7348" s="120">
        <v>140</v>
      </c>
      <c r="F7348" s="133" t="s">
        <v>51</v>
      </c>
      <c r="G7348" s="404" t="s">
        <v>7486</v>
      </c>
      <c r="H7348" s="411">
        <v>297.79000000000002</v>
      </c>
      <c r="I7348" s="94">
        <f t="shared" ref="I7348" si="3764">-(H7348*0.15)</f>
        <v>-44.668500000000002</v>
      </c>
      <c r="J7348" s="90">
        <v>0</v>
      </c>
      <c r="K7348" s="90">
        <f t="shared" si="3757"/>
        <v>253.12150000000003</v>
      </c>
      <c r="L7348" s="131">
        <v>909</v>
      </c>
      <c r="N7348" s="91">
        <f t="shared" si="3679"/>
        <v>127.26</v>
      </c>
      <c r="O7348" s="411">
        <f t="shared" si="3687"/>
        <v>125.86150000000002</v>
      </c>
      <c r="P7348" s="132" t="s">
        <v>52</v>
      </c>
      <c r="Q7348" s="232"/>
      <c r="R7348" s="411"/>
      <c r="T7348" s="134" t="s">
        <v>145</v>
      </c>
      <c r="U7348" s="267" t="s">
        <v>15549</v>
      </c>
      <c r="AA7348" s="218"/>
    </row>
    <row r="7349" spans="1:27" x14ac:dyDescent="0.25">
      <c r="A7349" s="419">
        <v>3005780</v>
      </c>
      <c r="B7349" s="421">
        <v>42702</v>
      </c>
      <c r="C7349" s="419" t="s">
        <v>237</v>
      </c>
      <c r="D7349" s="417" t="s">
        <v>15550</v>
      </c>
      <c r="E7349" s="120">
        <v>25</v>
      </c>
      <c r="F7349" s="133" t="s">
        <v>4407</v>
      </c>
      <c r="G7349" s="434" t="s">
        <v>7486</v>
      </c>
      <c r="H7349" s="427">
        <v>100</v>
      </c>
      <c r="I7349" s="452">
        <f t="shared" ref="I7349" si="3765">-(H7349*0.15)</f>
        <v>-15</v>
      </c>
      <c r="J7349" s="425">
        <v>0</v>
      </c>
      <c r="K7349" s="425">
        <f t="shared" si="3757"/>
        <v>85</v>
      </c>
      <c r="L7349" s="131">
        <v>2279</v>
      </c>
      <c r="N7349" s="91">
        <f t="shared" si="3679"/>
        <v>56.975000000000001</v>
      </c>
      <c r="O7349" s="411">
        <f t="shared" si="3687"/>
        <v>28.024999999999999</v>
      </c>
      <c r="P7349" s="132" t="s">
        <v>601</v>
      </c>
      <c r="Q7349" s="232"/>
      <c r="R7349" s="411"/>
      <c r="T7349" s="439" t="s">
        <v>145</v>
      </c>
      <c r="U7349" s="446" t="s">
        <v>15551</v>
      </c>
      <c r="AA7349" s="218"/>
    </row>
    <row r="7350" spans="1:27" x14ac:dyDescent="0.25">
      <c r="A7350" s="420"/>
      <c r="B7350" s="422"/>
      <c r="C7350" s="420"/>
      <c r="D7350" s="418"/>
      <c r="E7350" s="120">
        <v>25</v>
      </c>
      <c r="F7350" s="133" t="s">
        <v>1507</v>
      </c>
      <c r="G7350" s="436"/>
      <c r="H7350" s="428"/>
      <c r="I7350" s="453"/>
      <c r="J7350" s="426"/>
      <c r="K7350" s="426"/>
      <c r="L7350" s="131">
        <v>2279</v>
      </c>
      <c r="N7350" s="91">
        <f t="shared" si="3679"/>
        <v>56.975000000000001</v>
      </c>
      <c r="O7350" s="411">
        <f t="shared" si="3687"/>
        <v>-56.975000000000001</v>
      </c>
      <c r="P7350" s="132" t="s">
        <v>601</v>
      </c>
      <c r="Q7350" s="232"/>
      <c r="R7350" s="411"/>
      <c r="T7350" s="441"/>
      <c r="U7350" s="447"/>
      <c r="AA7350" s="218"/>
    </row>
    <row r="7351" spans="1:27" x14ac:dyDescent="0.25">
      <c r="A7351" s="419">
        <v>3005781</v>
      </c>
      <c r="B7351" s="421">
        <v>42702</v>
      </c>
      <c r="C7351" s="419" t="s">
        <v>56</v>
      </c>
      <c r="D7351" s="417" t="s">
        <v>57</v>
      </c>
      <c r="E7351" s="120">
        <v>3000</v>
      </c>
      <c r="F7351" s="133" t="s">
        <v>15552</v>
      </c>
      <c r="G7351" s="460" t="s">
        <v>7486</v>
      </c>
      <c r="H7351" s="427">
        <v>5994.59</v>
      </c>
      <c r="I7351" s="427">
        <v>0</v>
      </c>
      <c r="J7351" s="427">
        <v>0</v>
      </c>
      <c r="K7351" s="425">
        <f>SUM(H7351:J7351)</f>
        <v>5994.59</v>
      </c>
      <c r="L7351" s="131">
        <v>525</v>
      </c>
      <c r="M7351" s="450">
        <v>271.87</v>
      </c>
      <c r="N7351" s="91">
        <f t="shared" si="3679"/>
        <v>1846.87</v>
      </c>
      <c r="O7351" s="411"/>
      <c r="P7351" s="132" t="s">
        <v>52</v>
      </c>
      <c r="Q7351" s="232"/>
      <c r="R7351" s="411"/>
      <c r="T7351" s="439" t="s">
        <v>89</v>
      </c>
      <c r="U7351" s="446" t="s">
        <v>15553</v>
      </c>
      <c r="V7351" s="133" t="s">
        <v>55</v>
      </c>
      <c r="AA7351" s="218"/>
    </row>
    <row r="7352" spans="1:27" x14ac:dyDescent="0.25">
      <c r="A7352" s="432"/>
      <c r="B7352" s="433"/>
      <c r="C7352" s="432"/>
      <c r="D7352" s="454"/>
      <c r="E7352" s="120">
        <v>1000</v>
      </c>
      <c r="F7352" s="133" t="s">
        <v>157</v>
      </c>
      <c r="G7352" s="461"/>
      <c r="H7352" s="438"/>
      <c r="I7352" s="438"/>
      <c r="J7352" s="438"/>
      <c r="K7352" s="437"/>
      <c r="L7352" s="131">
        <v>589</v>
      </c>
      <c r="M7352" s="463"/>
      <c r="N7352" s="91">
        <f t="shared" si="3679"/>
        <v>589</v>
      </c>
      <c r="O7352" s="411"/>
      <c r="P7352" s="132" t="s">
        <v>52</v>
      </c>
      <c r="Q7352" s="232"/>
      <c r="R7352" s="411"/>
      <c r="T7352" s="440"/>
      <c r="U7352" s="448"/>
      <c r="V7352" s="133" t="s">
        <v>15554</v>
      </c>
      <c r="AA7352" s="218"/>
    </row>
    <row r="7353" spans="1:27" x14ac:dyDescent="0.25">
      <c r="A7353" s="432"/>
      <c r="B7353" s="433"/>
      <c r="C7353" s="432"/>
      <c r="D7353" s="454"/>
      <c r="E7353" s="120">
        <v>1000</v>
      </c>
      <c r="F7353" s="133" t="s">
        <v>1273</v>
      </c>
      <c r="G7353" s="461"/>
      <c r="H7353" s="438"/>
      <c r="I7353" s="438"/>
      <c r="J7353" s="438"/>
      <c r="K7353" s="437"/>
      <c r="L7353" s="131">
        <v>616</v>
      </c>
      <c r="M7353" s="463"/>
      <c r="N7353" s="91">
        <f t="shared" si="3679"/>
        <v>616</v>
      </c>
      <c r="O7353" s="411"/>
      <c r="P7353" s="132" t="s">
        <v>52</v>
      </c>
      <c r="Q7353" s="232"/>
      <c r="R7353" s="411"/>
      <c r="T7353" s="440"/>
      <c r="U7353" s="448"/>
      <c r="AA7353" s="218"/>
    </row>
    <row r="7354" spans="1:27" x14ac:dyDescent="0.25">
      <c r="A7354" s="432"/>
      <c r="B7354" s="433"/>
      <c r="C7354" s="432"/>
      <c r="D7354" s="454"/>
      <c r="E7354" s="120">
        <v>1128</v>
      </c>
      <c r="F7354" s="133" t="s">
        <v>15555</v>
      </c>
      <c r="G7354" s="461"/>
      <c r="H7354" s="438"/>
      <c r="I7354" s="438"/>
      <c r="J7354" s="438"/>
      <c r="K7354" s="437"/>
      <c r="L7354" s="131">
        <v>400</v>
      </c>
      <c r="M7354" s="451"/>
      <c r="N7354" s="91">
        <f t="shared" si="3679"/>
        <v>451.20000000000005</v>
      </c>
      <c r="O7354" s="411"/>
      <c r="P7354" s="132" t="s">
        <v>52</v>
      </c>
      <c r="Q7354" s="232"/>
      <c r="R7354" s="411"/>
      <c r="T7354" s="441"/>
      <c r="U7354" s="447"/>
      <c r="AA7354" s="218"/>
    </row>
    <row r="7355" spans="1:27" x14ac:dyDescent="0.25">
      <c r="A7355" s="432"/>
      <c r="B7355" s="433"/>
      <c r="C7355" s="432"/>
      <c r="D7355" s="454"/>
      <c r="E7355" s="120">
        <v>1000</v>
      </c>
      <c r="F7355" s="133" t="s">
        <v>590</v>
      </c>
      <c r="G7355" s="461"/>
      <c r="H7355" s="438"/>
      <c r="I7355" s="438"/>
      <c r="J7355" s="438"/>
      <c r="K7355" s="437"/>
      <c r="L7355" s="131">
        <v>560</v>
      </c>
      <c r="N7355" s="91">
        <f t="shared" si="3679"/>
        <v>560</v>
      </c>
      <c r="O7355" s="411"/>
      <c r="P7355" s="132" t="s">
        <v>46</v>
      </c>
      <c r="Q7355" s="232"/>
      <c r="R7355" s="411"/>
      <c r="T7355" s="439" t="s">
        <v>1346</v>
      </c>
      <c r="U7355" s="446" t="s">
        <v>15556</v>
      </c>
      <c r="AA7355" s="218"/>
    </row>
    <row r="7356" spans="1:27" x14ac:dyDescent="0.25">
      <c r="A7356" s="420"/>
      <c r="B7356" s="422"/>
      <c r="C7356" s="420"/>
      <c r="D7356" s="418"/>
      <c r="E7356" s="120">
        <v>2000</v>
      </c>
      <c r="F7356" s="133" t="s">
        <v>349</v>
      </c>
      <c r="G7356" s="462"/>
      <c r="H7356" s="428"/>
      <c r="I7356" s="428"/>
      <c r="J7356" s="428"/>
      <c r="K7356" s="426"/>
      <c r="L7356" s="131">
        <v>464</v>
      </c>
      <c r="N7356" s="91">
        <f t="shared" si="3679"/>
        <v>928</v>
      </c>
      <c r="O7356" s="411"/>
      <c r="P7356" s="132" t="s">
        <v>46</v>
      </c>
      <c r="Q7356" s="232"/>
      <c r="R7356" s="411"/>
      <c r="T7356" s="441"/>
      <c r="U7356" s="447"/>
      <c r="AA7356" s="218"/>
    </row>
    <row r="7357" spans="1:27" x14ac:dyDescent="0.25">
      <c r="A7357" s="405">
        <v>3005782</v>
      </c>
      <c r="B7357" s="406">
        <v>42702</v>
      </c>
      <c r="C7357" s="405" t="s">
        <v>141</v>
      </c>
      <c r="D7357" s="401" t="s">
        <v>426</v>
      </c>
      <c r="E7357" s="120">
        <v>1000</v>
      </c>
      <c r="F7357" s="133" t="s">
        <v>15557</v>
      </c>
      <c r="G7357" s="404" t="s">
        <v>7486</v>
      </c>
      <c r="H7357" s="411">
        <v>1550</v>
      </c>
      <c r="I7357" s="411">
        <v>0</v>
      </c>
      <c r="J7357" s="391">
        <f>-((H7357*0.0325)+0.3)</f>
        <v>-50.674999999999997</v>
      </c>
      <c r="K7357" s="90">
        <f>SUM(H7357:J7357)</f>
        <v>1499.325</v>
      </c>
      <c r="L7357" s="131">
        <v>1299</v>
      </c>
      <c r="M7357" s="131">
        <v>0</v>
      </c>
      <c r="N7357" s="91">
        <f t="shared" si="3679"/>
        <v>1299</v>
      </c>
      <c r="O7357" s="411">
        <f t="shared" si="3687"/>
        <v>200.32500000000005</v>
      </c>
      <c r="P7357" s="132" t="s">
        <v>14218</v>
      </c>
      <c r="Q7357" s="232"/>
      <c r="R7357" s="411"/>
      <c r="T7357" s="134" t="s">
        <v>1346</v>
      </c>
      <c r="U7357" s="267" t="s">
        <v>15558</v>
      </c>
      <c r="W7357" s="153" t="s">
        <v>429</v>
      </c>
      <c r="AA7357" s="219">
        <v>10</v>
      </c>
    </row>
    <row r="7358" spans="1:27" x14ac:dyDescent="0.25">
      <c r="A7358" s="419">
        <v>3005783</v>
      </c>
      <c r="B7358" s="421">
        <v>42702</v>
      </c>
      <c r="C7358" s="419" t="s">
        <v>63</v>
      </c>
      <c r="D7358" s="417" t="s">
        <v>2191</v>
      </c>
      <c r="E7358" s="120">
        <v>70</v>
      </c>
      <c r="F7358" s="133" t="s">
        <v>15559</v>
      </c>
      <c r="G7358" s="434" t="s">
        <v>7486</v>
      </c>
      <c r="H7358" s="427">
        <v>475</v>
      </c>
      <c r="I7358" s="427">
        <v>0</v>
      </c>
      <c r="J7358" s="425">
        <f>-((H7358*0.022)+0.3)</f>
        <v>-10.75</v>
      </c>
      <c r="K7358" s="425">
        <f>SUM(H7358:J7358)</f>
        <v>464.25</v>
      </c>
      <c r="L7358" s="131">
        <v>1677.88</v>
      </c>
      <c r="N7358" s="91">
        <f t="shared" si="3679"/>
        <v>117.45160000000001</v>
      </c>
      <c r="O7358" s="411">
        <f t="shared" si="3687"/>
        <v>346.79840000000002</v>
      </c>
      <c r="P7358" s="132" t="s">
        <v>46</v>
      </c>
      <c r="Q7358" s="232"/>
      <c r="R7358" s="411"/>
      <c r="T7358" s="439" t="s">
        <v>324</v>
      </c>
      <c r="U7358" s="444" t="s">
        <v>15560</v>
      </c>
      <c r="W7358" s="153" t="s">
        <v>2193</v>
      </c>
      <c r="AA7358" s="218"/>
    </row>
    <row r="7359" spans="1:27" x14ac:dyDescent="0.25">
      <c r="A7359" s="420"/>
      <c r="B7359" s="422"/>
      <c r="C7359" s="420"/>
      <c r="D7359" s="418"/>
      <c r="E7359" s="120">
        <v>250</v>
      </c>
      <c r="F7359" s="133" t="s">
        <v>3301</v>
      </c>
      <c r="G7359" s="436"/>
      <c r="H7359" s="428"/>
      <c r="I7359" s="428"/>
      <c r="J7359" s="426"/>
      <c r="K7359" s="426"/>
      <c r="L7359" s="131">
        <v>793.07</v>
      </c>
      <c r="N7359" s="91">
        <f t="shared" ref="N7359:N7386" si="3766">((L7359)*(E7359*0.001))+M7359</f>
        <v>198.26750000000001</v>
      </c>
      <c r="O7359" s="411">
        <f t="shared" si="3687"/>
        <v>-198.26750000000001</v>
      </c>
      <c r="P7359" s="132" t="s">
        <v>46</v>
      </c>
      <c r="Q7359" s="232"/>
      <c r="R7359" s="411"/>
      <c r="T7359" s="441"/>
      <c r="U7359" s="445"/>
      <c r="AA7359" s="218"/>
    </row>
    <row r="7360" spans="1:27" ht="24" x14ac:dyDescent="0.25">
      <c r="A7360" s="405">
        <v>3005784</v>
      </c>
      <c r="B7360" s="406">
        <v>42702</v>
      </c>
      <c r="C7360" s="405" t="s">
        <v>63</v>
      </c>
      <c r="D7360" s="401" t="s">
        <v>15561</v>
      </c>
      <c r="E7360" s="120">
        <v>500</v>
      </c>
      <c r="F7360" s="133" t="s">
        <v>855</v>
      </c>
      <c r="G7360" s="404" t="s">
        <v>7486</v>
      </c>
      <c r="H7360" s="411">
        <v>465</v>
      </c>
      <c r="I7360" s="411">
        <v>0</v>
      </c>
      <c r="J7360" s="391">
        <f>-((H7360*0.022)+0.3)</f>
        <v>-10.53</v>
      </c>
      <c r="K7360" s="90">
        <f>SUM(H7360:J7360)</f>
        <v>454.47</v>
      </c>
      <c r="L7360" s="131">
        <v>589</v>
      </c>
      <c r="N7360" s="91">
        <f t="shared" si="3766"/>
        <v>294.5</v>
      </c>
      <c r="O7360" s="411">
        <f t="shared" si="3687"/>
        <v>159.97000000000003</v>
      </c>
      <c r="P7360" s="132" t="s">
        <v>856</v>
      </c>
      <c r="Q7360" s="232"/>
      <c r="R7360" s="411"/>
      <c r="T7360" s="134" t="s">
        <v>145</v>
      </c>
      <c r="U7360" s="267" t="s">
        <v>15562</v>
      </c>
      <c r="W7360" s="153" t="s">
        <v>858</v>
      </c>
      <c r="AA7360" s="218"/>
    </row>
    <row r="7361" spans="1:27" ht="24" x14ac:dyDescent="0.25">
      <c r="A7361" s="405">
        <v>3005785</v>
      </c>
      <c r="B7361" s="406">
        <v>42703</v>
      </c>
      <c r="C7361" s="405" t="s">
        <v>141</v>
      </c>
      <c r="D7361" s="401" t="s">
        <v>15563</v>
      </c>
      <c r="E7361" s="120">
        <v>65</v>
      </c>
      <c r="F7361" s="133" t="s">
        <v>277</v>
      </c>
      <c r="G7361" s="404" t="s">
        <v>7486</v>
      </c>
      <c r="H7361" s="411">
        <v>388.05</v>
      </c>
      <c r="I7361" s="411">
        <v>0</v>
      </c>
      <c r="J7361" s="391">
        <f>-((H7361*0.0325)+0.3)</f>
        <v>-12.911625000000001</v>
      </c>
      <c r="K7361" s="90">
        <f>SUM(H7361:J7361)</f>
        <v>375.138375</v>
      </c>
      <c r="L7361" s="131">
        <v>3650</v>
      </c>
      <c r="M7361" s="131">
        <v>46.12</v>
      </c>
      <c r="N7361" s="91">
        <f t="shared" si="3766"/>
        <v>283.37</v>
      </c>
      <c r="O7361" s="411">
        <f t="shared" si="3687"/>
        <v>91.768374999999992</v>
      </c>
      <c r="P7361" s="132" t="s">
        <v>183</v>
      </c>
      <c r="Q7361" s="232"/>
      <c r="R7361" s="411"/>
      <c r="T7361" s="134" t="s">
        <v>145</v>
      </c>
      <c r="U7361" s="267" t="s">
        <v>15564</v>
      </c>
      <c r="W7361" s="153" t="s">
        <v>15565</v>
      </c>
      <c r="AA7361" s="218"/>
    </row>
    <row r="7362" spans="1:27" ht="24" x14ac:dyDescent="0.25">
      <c r="A7362" s="405">
        <v>3005786</v>
      </c>
      <c r="B7362" s="406">
        <v>42703</v>
      </c>
      <c r="C7362" s="405" t="s">
        <v>555</v>
      </c>
      <c r="D7362" s="401" t="s">
        <v>13345</v>
      </c>
      <c r="E7362" s="120">
        <v>328</v>
      </c>
      <c r="F7362" s="133" t="s">
        <v>9252</v>
      </c>
      <c r="G7362" s="404" t="s">
        <v>7486</v>
      </c>
      <c r="H7362" s="411">
        <v>660</v>
      </c>
      <c r="I7362" s="411">
        <v>0</v>
      </c>
      <c r="J7362" s="411">
        <v>0</v>
      </c>
      <c r="K7362" s="90">
        <f>SUM(H7362:J7362)</f>
        <v>660</v>
      </c>
      <c r="L7362" s="131">
        <v>1650</v>
      </c>
      <c r="M7362" s="177"/>
      <c r="N7362" s="91">
        <f t="shared" si="3766"/>
        <v>541.20000000000005</v>
      </c>
      <c r="O7362" s="411">
        <f t="shared" si="3687"/>
        <v>118.79999999999995</v>
      </c>
      <c r="P7362" s="132" t="s">
        <v>235</v>
      </c>
      <c r="Q7362" s="232"/>
      <c r="R7362" s="411"/>
      <c r="T7362" s="134" t="s">
        <v>756</v>
      </c>
      <c r="U7362" s="266" t="s">
        <v>756</v>
      </c>
      <c r="W7362" s="153" t="s">
        <v>12011</v>
      </c>
      <c r="AA7362" s="218"/>
    </row>
    <row r="7363" spans="1:27" x14ac:dyDescent="0.25">
      <c r="A7363" s="419">
        <v>3005787</v>
      </c>
      <c r="B7363" s="421">
        <v>42703</v>
      </c>
      <c r="C7363" s="419" t="s">
        <v>141</v>
      </c>
      <c r="D7363" s="417" t="s">
        <v>15566</v>
      </c>
      <c r="E7363" s="120">
        <v>870</v>
      </c>
      <c r="F7363" s="133" t="s">
        <v>15567</v>
      </c>
      <c r="G7363" s="434" t="s">
        <v>7486</v>
      </c>
      <c r="H7363" s="427">
        <v>3484</v>
      </c>
      <c r="I7363" s="427">
        <v>0</v>
      </c>
      <c r="J7363" s="425">
        <f>-((H7363*0.0325)+0.3)</f>
        <v>-113.53</v>
      </c>
      <c r="K7363" s="425">
        <f>SUM(H7363:J7363)</f>
        <v>3370.47</v>
      </c>
      <c r="L7363" s="131">
        <v>1805</v>
      </c>
      <c r="M7363" s="624">
        <v>157.54</v>
      </c>
      <c r="N7363" s="91">
        <f t="shared" si="3766"/>
        <v>1727.8899999999999</v>
      </c>
      <c r="O7363" s="411"/>
      <c r="P7363" s="132" t="s">
        <v>3184</v>
      </c>
      <c r="Q7363" s="232"/>
      <c r="R7363" s="411"/>
      <c r="T7363" s="442" t="s">
        <v>11311</v>
      </c>
      <c r="V7363" s="133" t="s">
        <v>55</v>
      </c>
      <c r="W7363" s="153" t="s">
        <v>15568</v>
      </c>
      <c r="AA7363" s="547">
        <v>10</v>
      </c>
    </row>
    <row r="7364" spans="1:27" x14ac:dyDescent="0.25">
      <c r="A7364" s="420"/>
      <c r="B7364" s="422"/>
      <c r="C7364" s="420"/>
      <c r="D7364" s="418"/>
      <c r="E7364" s="120">
        <v>220</v>
      </c>
      <c r="F7364" s="133" t="s">
        <v>15569</v>
      </c>
      <c r="G7364" s="436"/>
      <c r="H7364" s="428"/>
      <c r="I7364" s="428"/>
      <c r="J7364" s="426"/>
      <c r="K7364" s="426"/>
      <c r="L7364" s="131">
        <v>1040</v>
      </c>
      <c r="M7364" s="625"/>
      <c r="N7364" s="91">
        <f t="shared" si="3766"/>
        <v>228.8</v>
      </c>
      <c r="O7364" s="411"/>
      <c r="P7364" s="132" t="s">
        <v>3184</v>
      </c>
      <c r="Q7364" s="232"/>
      <c r="R7364" s="411"/>
      <c r="T7364" s="443"/>
      <c r="V7364" s="133" t="s">
        <v>15570</v>
      </c>
      <c r="AA7364" s="548"/>
    </row>
    <row r="7365" spans="1:27" x14ac:dyDescent="0.25">
      <c r="A7365" s="405">
        <v>3005788</v>
      </c>
      <c r="B7365" s="406">
        <v>42703</v>
      </c>
      <c r="C7365" s="405" t="s">
        <v>327</v>
      </c>
      <c r="D7365" s="401" t="s">
        <v>15571</v>
      </c>
      <c r="E7365" s="120">
        <v>330</v>
      </c>
      <c r="F7365" s="133" t="s">
        <v>582</v>
      </c>
      <c r="G7365" s="404" t="s">
        <v>7486</v>
      </c>
      <c r="H7365" s="411">
        <v>376.75</v>
      </c>
      <c r="I7365" s="411">
        <v>0</v>
      </c>
      <c r="J7365" s="391">
        <f>-((H7365*0.022)+0.3)</f>
        <v>-8.5884999999999998</v>
      </c>
      <c r="K7365" s="90">
        <f>SUM(H7365:J7365)</f>
        <v>368.16149999999999</v>
      </c>
      <c r="L7365" s="131">
        <v>538.08000000000004</v>
      </c>
      <c r="N7365" s="91">
        <f t="shared" si="3766"/>
        <v>177.56640000000002</v>
      </c>
      <c r="O7365" s="411">
        <f t="shared" ref="O7365:O7393" si="3767">K7365-N7365</f>
        <v>190.59509999999997</v>
      </c>
      <c r="P7365" s="132" t="s">
        <v>86</v>
      </c>
      <c r="Q7365" s="232"/>
      <c r="R7365" s="411"/>
      <c r="T7365" s="135" t="s">
        <v>755</v>
      </c>
      <c r="W7365" s="153" t="s">
        <v>15572</v>
      </c>
      <c r="AA7365" s="218"/>
    </row>
    <row r="7366" spans="1:27" x14ac:dyDescent="0.25">
      <c r="A7366" s="405">
        <v>3005789</v>
      </c>
      <c r="B7366" s="406">
        <v>42703</v>
      </c>
      <c r="C7366" s="405" t="s">
        <v>63</v>
      </c>
      <c r="D7366" s="401" t="s">
        <v>15573</v>
      </c>
      <c r="E7366" s="120">
        <v>400</v>
      </c>
      <c r="F7366" s="133" t="s">
        <v>51</v>
      </c>
      <c r="G7366" s="404" t="s">
        <v>7486</v>
      </c>
      <c r="H7366" s="411">
        <v>680</v>
      </c>
      <c r="I7366" s="411">
        <v>0</v>
      </c>
      <c r="J7366" s="391">
        <f>-((H7366*0.022)+0.3)</f>
        <v>-15.26</v>
      </c>
      <c r="K7366" s="90">
        <f>SUM(H7366:J7366)</f>
        <v>664.74</v>
      </c>
      <c r="L7366" s="131">
        <v>1383</v>
      </c>
      <c r="M7366" s="131">
        <v>0</v>
      </c>
      <c r="N7366" s="91">
        <f t="shared" si="3766"/>
        <v>553.20000000000005</v>
      </c>
      <c r="O7366" s="411">
        <f t="shared" si="3767"/>
        <v>111.53999999999996</v>
      </c>
      <c r="P7366" s="132" t="s">
        <v>14218</v>
      </c>
      <c r="Q7366" s="232"/>
      <c r="R7366" s="411"/>
      <c r="T7366" s="134" t="s">
        <v>1346</v>
      </c>
      <c r="U7366" s="267" t="s">
        <v>15574</v>
      </c>
      <c r="W7366" s="153" t="s">
        <v>15575</v>
      </c>
      <c r="AA7366" s="218"/>
    </row>
    <row r="7367" spans="1:27" ht="24" x14ac:dyDescent="0.25">
      <c r="A7367" s="405">
        <v>3005790</v>
      </c>
      <c r="B7367" s="406">
        <v>42703</v>
      </c>
      <c r="C7367" s="405" t="s">
        <v>42</v>
      </c>
      <c r="D7367" s="401" t="s">
        <v>15576</v>
      </c>
      <c r="E7367" s="120">
        <v>50</v>
      </c>
      <c r="F7367" s="133" t="s">
        <v>15577</v>
      </c>
      <c r="G7367" s="404" t="s">
        <v>7486</v>
      </c>
      <c r="H7367" s="411">
        <v>250</v>
      </c>
      <c r="I7367" s="89">
        <f t="shared" ref="I7367" si="3768">-(H7367*0.09)</f>
        <v>-22.5</v>
      </c>
      <c r="J7367" s="391">
        <f t="shared" ref="J7367" si="3769">-((H7367*0.019)+0.3)</f>
        <v>-5.05</v>
      </c>
      <c r="K7367" s="90">
        <f t="shared" ref="K7367" si="3770">SUM(H7367:J7367)</f>
        <v>222.45</v>
      </c>
      <c r="L7367" s="131">
        <v>2600</v>
      </c>
      <c r="N7367" s="91">
        <f t="shared" si="3766"/>
        <v>130</v>
      </c>
      <c r="O7367" s="411">
        <f t="shared" si="3767"/>
        <v>92.449999999999989</v>
      </c>
      <c r="P7367" s="132" t="s">
        <v>235</v>
      </c>
      <c r="Q7367" s="232"/>
      <c r="R7367" s="411"/>
      <c r="T7367" s="134" t="s">
        <v>145</v>
      </c>
      <c r="U7367" s="267" t="s">
        <v>15578</v>
      </c>
      <c r="AA7367" s="218"/>
    </row>
    <row r="7368" spans="1:27" ht="24" x14ac:dyDescent="0.25">
      <c r="A7368" s="405">
        <v>3005791</v>
      </c>
      <c r="B7368" s="406">
        <v>42703</v>
      </c>
      <c r="C7368" s="405" t="s">
        <v>42</v>
      </c>
      <c r="D7368" s="401" t="s">
        <v>181</v>
      </c>
      <c r="E7368" s="120">
        <v>100</v>
      </c>
      <c r="F7368" s="133" t="s">
        <v>114</v>
      </c>
      <c r="G7368" s="404" t="s">
        <v>7486</v>
      </c>
      <c r="H7368" s="411">
        <v>409.69</v>
      </c>
      <c r="I7368" s="89">
        <f t="shared" ref="I7368" si="3771">-(H7368*0.09)</f>
        <v>-36.872099999999996</v>
      </c>
      <c r="J7368" s="391">
        <f t="shared" ref="J7368" si="3772">-((H7368*0.019)+0.3)</f>
        <v>-8.0841100000000008</v>
      </c>
      <c r="K7368" s="90">
        <f t="shared" ref="K7368" si="3773">SUM(H7368:J7368)</f>
        <v>364.73379</v>
      </c>
      <c r="L7368" s="131">
        <v>1540</v>
      </c>
      <c r="N7368" s="91">
        <f t="shared" si="3766"/>
        <v>154</v>
      </c>
      <c r="O7368" s="411">
        <f t="shared" si="3767"/>
        <v>210.73379</v>
      </c>
      <c r="P7368" s="132" t="s">
        <v>52</v>
      </c>
      <c r="Q7368" s="232"/>
      <c r="R7368" s="411"/>
      <c r="T7368" s="134" t="s">
        <v>145</v>
      </c>
      <c r="U7368" s="267" t="s">
        <v>15579</v>
      </c>
      <c r="AA7368" s="218"/>
    </row>
    <row r="7369" spans="1:27" x14ac:dyDescent="0.25">
      <c r="A7369" s="405">
        <v>3005792</v>
      </c>
      <c r="B7369" s="406">
        <v>42703</v>
      </c>
      <c r="C7369" s="405" t="s">
        <v>42</v>
      </c>
      <c r="D7369" s="401" t="s">
        <v>15580</v>
      </c>
      <c r="E7369" s="120">
        <v>125</v>
      </c>
      <c r="F7369" s="133" t="s">
        <v>605</v>
      </c>
      <c r="G7369" s="404" t="s">
        <v>7486</v>
      </c>
      <c r="H7369" s="411">
        <v>159.75</v>
      </c>
      <c r="I7369" s="89">
        <f t="shared" ref="I7369" si="3774">-(H7369*0.09)</f>
        <v>-14.3775</v>
      </c>
      <c r="J7369" s="391">
        <f t="shared" ref="J7369" si="3775">-((H7369*0.019)+0.3)</f>
        <v>-3.3352499999999998</v>
      </c>
      <c r="K7369" s="90">
        <f t="shared" ref="K7369" si="3776">SUM(H7369:J7369)</f>
        <v>142.03725</v>
      </c>
      <c r="N7369" s="91">
        <f t="shared" si="3766"/>
        <v>0</v>
      </c>
      <c r="O7369" s="411">
        <f t="shared" si="3767"/>
        <v>142.03725</v>
      </c>
      <c r="P7369" s="132" t="s">
        <v>86</v>
      </c>
      <c r="Q7369" s="232"/>
      <c r="R7369" s="411"/>
      <c r="T7369" s="135" t="s">
        <v>755</v>
      </c>
      <c r="AA7369" s="218"/>
    </row>
    <row r="7370" spans="1:27" ht="24" x14ac:dyDescent="0.25">
      <c r="A7370" s="405">
        <v>3005793</v>
      </c>
      <c r="B7370" s="406">
        <v>42703</v>
      </c>
      <c r="C7370" s="405" t="s">
        <v>42</v>
      </c>
      <c r="D7370" s="401" t="s">
        <v>15581</v>
      </c>
      <c r="E7370" s="120">
        <v>250</v>
      </c>
      <c r="F7370" s="133" t="s">
        <v>4491</v>
      </c>
      <c r="G7370" s="404" t="s">
        <v>7486</v>
      </c>
      <c r="H7370" s="411">
        <v>310</v>
      </c>
      <c r="I7370" s="89">
        <f t="shared" ref="I7370" si="3777">-(H7370*0.09)</f>
        <v>-27.9</v>
      </c>
      <c r="J7370" s="391">
        <f t="shared" ref="J7370" si="3778">-((H7370*0.019)+0.3)</f>
        <v>-6.1899999999999995</v>
      </c>
      <c r="K7370" s="90">
        <f t="shared" ref="K7370" si="3779">SUM(H7370:J7370)</f>
        <v>275.91000000000003</v>
      </c>
      <c r="N7370" s="91">
        <f t="shared" si="3766"/>
        <v>0</v>
      </c>
      <c r="O7370" s="411">
        <f t="shared" si="3767"/>
        <v>275.91000000000003</v>
      </c>
      <c r="P7370" s="132" t="s">
        <v>52</v>
      </c>
      <c r="Q7370" s="232"/>
      <c r="R7370" s="411"/>
      <c r="T7370" s="134" t="s">
        <v>145</v>
      </c>
      <c r="U7370" s="267" t="s">
        <v>15582</v>
      </c>
      <c r="AA7370" s="218"/>
    </row>
    <row r="7371" spans="1:27" ht="24" x14ac:dyDescent="0.25">
      <c r="A7371" s="405">
        <v>3005794</v>
      </c>
      <c r="B7371" s="406">
        <v>42703</v>
      </c>
      <c r="C7371" s="405" t="s">
        <v>42</v>
      </c>
      <c r="D7371" s="401" t="s">
        <v>13184</v>
      </c>
      <c r="E7371" s="120">
        <v>425</v>
      </c>
      <c r="F7371" s="133" t="s">
        <v>222</v>
      </c>
      <c r="G7371" s="404" t="s">
        <v>7486</v>
      </c>
      <c r="H7371" s="411">
        <v>583.15</v>
      </c>
      <c r="I7371" s="89">
        <f t="shared" ref="I7371" si="3780">-(H7371*0.09)</f>
        <v>-52.483499999999999</v>
      </c>
      <c r="J7371" s="391">
        <f t="shared" ref="J7371" si="3781">-((H7371*0.019)+0.3)</f>
        <v>-11.379849999999999</v>
      </c>
      <c r="K7371" s="90">
        <f t="shared" ref="K7371" si="3782">SUM(H7371:J7371)</f>
        <v>519.2866499999999</v>
      </c>
      <c r="L7371" s="131">
        <v>1000</v>
      </c>
      <c r="M7371" s="131">
        <v>0</v>
      </c>
      <c r="N7371" s="91">
        <f t="shared" si="3766"/>
        <v>425</v>
      </c>
      <c r="O7371" s="411">
        <f t="shared" si="3767"/>
        <v>94.286649999999895</v>
      </c>
      <c r="P7371" s="132" t="s">
        <v>14218</v>
      </c>
      <c r="Q7371" s="232"/>
      <c r="R7371" s="411"/>
      <c r="T7371" s="134" t="s">
        <v>260</v>
      </c>
      <c r="U7371" s="267" t="s">
        <v>15583</v>
      </c>
      <c r="AA7371" s="218"/>
    </row>
    <row r="7372" spans="1:27" ht="24" x14ac:dyDescent="0.25">
      <c r="A7372" s="405">
        <v>3005795</v>
      </c>
      <c r="B7372" s="406">
        <v>42703</v>
      </c>
      <c r="C7372" s="405" t="s">
        <v>42</v>
      </c>
      <c r="D7372" s="401" t="s">
        <v>8637</v>
      </c>
      <c r="E7372" s="120">
        <v>250</v>
      </c>
      <c r="F7372" s="133" t="s">
        <v>290</v>
      </c>
      <c r="G7372" s="404" t="s">
        <v>7486</v>
      </c>
      <c r="H7372" s="411">
        <v>191</v>
      </c>
      <c r="I7372" s="89">
        <f t="shared" ref="I7372" si="3783">-(H7372*0.09)</f>
        <v>-17.189999999999998</v>
      </c>
      <c r="J7372" s="391">
        <f t="shared" ref="J7372" si="3784">-((H7372*0.019)+0.3)</f>
        <v>-3.9289999999999998</v>
      </c>
      <c r="K7372" s="90">
        <f t="shared" ref="K7372" si="3785">SUM(H7372:J7372)</f>
        <v>169.881</v>
      </c>
      <c r="L7372" s="131">
        <v>342</v>
      </c>
      <c r="M7372" s="131">
        <v>19.98</v>
      </c>
      <c r="N7372" s="91">
        <f t="shared" si="3766"/>
        <v>105.48</v>
      </c>
      <c r="O7372" s="411">
        <f t="shared" si="3767"/>
        <v>64.400999999999996</v>
      </c>
      <c r="P7372" s="132" t="s">
        <v>183</v>
      </c>
      <c r="Q7372" s="232"/>
      <c r="R7372" s="411"/>
      <c r="T7372" s="134" t="s">
        <v>145</v>
      </c>
      <c r="U7372" s="267" t="s">
        <v>15584</v>
      </c>
      <c r="AA7372" s="218"/>
    </row>
    <row r="7373" spans="1:27" ht="24" x14ac:dyDescent="0.25">
      <c r="A7373" s="405">
        <v>3005796</v>
      </c>
      <c r="B7373" s="406">
        <v>42703</v>
      </c>
      <c r="C7373" s="405" t="s">
        <v>237</v>
      </c>
      <c r="D7373" s="401" t="s">
        <v>15585</v>
      </c>
      <c r="E7373" s="120">
        <v>100</v>
      </c>
      <c r="F7373" s="133" t="s">
        <v>3301</v>
      </c>
      <c r="G7373" s="404" t="s">
        <v>7486</v>
      </c>
      <c r="H7373" s="411">
        <v>108</v>
      </c>
      <c r="I7373" s="94">
        <f t="shared" ref="I7373" si="3786">-(H7373*0.15)</f>
        <v>-16.2</v>
      </c>
      <c r="J7373" s="90">
        <v>0</v>
      </c>
      <c r="K7373" s="90">
        <f>SUM(H7373:J7373)</f>
        <v>91.8</v>
      </c>
      <c r="L7373" s="131">
        <v>774</v>
      </c>
      <c r="N7373" s="91">
        <f t="shared" si="3766"/>
        <v>77.400000000000006</v>
      </c>
      <c r="O7373" s="411">
        <f t="shared" si="3767"/>
        <v>14.399999999999991</v>
      </c>
      <c r="P7373" s="132" t="s">
        <v>601</v>
      </c>
      <c r="Q7373" s="232"/>
      <c r="R7373" s="411"/>
      <c r="T7373" s="134" t="s">
        <v>145</v>
      </c>
      <c r="U7373" s="267" t="s">
        <v>15586</v>
      </c>
      <c r="AA7373" s="218"/>
    </row>
    <row r="7374" spans="1:27" ht="24" x14ac:dyDescent="0.25">
      <c r="A7374" s="405">
        <v>3005797</v>
      </c>
      <c r="B7374" s="406">
        <v>42703</v>
      </c>
      <c r="C7374" s="405" t="s">
        <v>237</v>
      </c>
      <c r="D7374" s="401" t="s">
        <v>15587</v>
      </c>
      <c r="E7374" s="120">
        <v>200</v>
      </c>
      <c r="F7374" s="133" t="s">
        <v>247</v>
      </c>
      <c r="G7374" s="404" t="s">
        <v>7486</v>
      </c>
      <c r="H7374" s="411">
        <v>200</v>
      </c>
      <c r="I7374" s="94">
        <f t="shared" ref="I7374" si="3787">-(H7374*0.15)</f>
        <v>-30</v>
      </c>
      <c r="J7374" s="90">
        <v>0</v>
      </c>
      <c r="K7374" s="90">
        <f>SUM(H7374:J7374)</f>
        <v>170</v>
      </c>
      <c r="L7374" s="131">
        <v>424</v>
      </c>
      <c r="N7374" s="91">
        <f t="shared" si="3766"/>
        <v>84.800000000000011</v>
      </c>
      <c r="O7374" s="411">
        <f t="shared" si="3767"/>
        <v>85.199999999999989</v>
      </c>
      <c r="P7374" s="132" t="s">
        <v>52</v>
      </c>
      <c r="Q7374" s="232"/>
      <c r="R7374" s="411"/>
      <c r="T7374" s="134" t="s">
        <v>145</v>
      </c>
      <c r="U7374" s="267" t="s">
        <v>15588</v>
      </c>
      <c r="AA7374" s="218"/>
    </row>
    <row r="7375" spans="1:27" x14ac:dyDescent="0.25">
      <c r="A7375" s="419">
        <v>3005798</v>
      </c>
      <c r="B7375" s="421">
        <v>42703</v>
      </c>
      <c r="C7375" s="419" t="s">
        <v>237</v>
      </c>
      <c r="D7375" s="417" t="s">
        <v>15589</v>
      </c>
      <c r="E7375" s="120">
        <v>50</v>
      </c>
      <c r="F7375" s="133" t="s">
        <v>3301</v>
      </c>
      <c r="G7375" s="434" t="s">
        <v>7486</v>
      </c>
      <c r="H7375" s="427">
        <v>135</v>
      </c>
      <c r="I7375" s="452">
        <f t="shared" ref="I7375" si="3788">-(H7375*0.15)</f>
        <v>-20.25</v>
      </c>
      <c r="J7375" s="425">
        <v>0</v>
      </c>
      <c r="K7375" s="425">
        <f>SUM(H7375:J7375)</f>
        <v>114.75</v>
      </c>
      <c r="L7375" s="131">
        <v>774</v>
      </c>
      <c r="N7375" s="91">
        <f t="shared" si="3766"/>
        <v>38.700000000000003</v>
      </c>
      <c r="O7375" s="411">
        <f t="shared" si="3767"/>
        <v>76.05</v>
      </c>
      <c r="P7375" s="132" t="s">
        <v>601</v>
      </c>
      <c r="Q7375" s="232"/>
      <c r="R7375" s="411"/>
      <c r="T7375" s="439" t="s">
        <v>145</v>
      </c>
      <c r="U7375" s="446" t="s">
        <v>15590</v>
      </c>
      <c r="AA7375" s="218"/>
    </row>
    <row r="7376" spans="1:27" x14ac:dyDescent="0.25">
      <c r="A7376" s="420"/>
      <c r="B7376" s="422"/>
      <c r="C7376" s="420"/>
      <c r="D7376" s="418"/>
      <c r="E7376" s="120">
        <v>50</v>
      </c>
      <c r="F7376" s="133" t="s">
        <v>3299</v>
      </c>
      <c r="G7376" s="436"/>
      <c r="H7376" s="428"/>
      <c r="I7376" s="453"/>
      <c r="J7376" s="426"/>
      <c r="K7376" s="426"/>
      <c r="L7376" s="131">
        <v>774</v>
      </c>
      <c r="N7376" s="91">
        <f t="shared" si="3766"/>
        <v>38.700000000000003</v>
      </c>
      <c r="O7376" s="411">
        <f t="shared" si="3767"/>
        <v>-38.700000000000003</v>
      </c>
      <c r="P7376" s="132" t="s">
        <v>601</v>
      </c>
      <c r="Q7376" s="232"/>
      <c r="R7376" s="411"/>
      <c r="T7376" s="441"/>
      <c r="U7376" s="447"/>
      <c r="AA7376" s="218"/>
    </row>
    <row r="7377" spans="1:27" ht="24" x14ac:dyDescent="0.25">
      <c r="A7377" s="405">
        <v>3005799</v>
      </c>
      <c r="B7377" s="406">
        <v>42703</v>
      </c>
      <c r="C7377" s="405" t="s">
        <v>237</v>
      </c>
      <c r="D7377" s="401" t="s">
        <v>15591</v>
      </c>
      <c r="E7377" s="120">
        <v>150</v>
      </c>
      <c r="F7377" s="133" t="s">
        <v>590</v>
      </c>
      <c r="G7377" s="404" t="s">
        <v>7486</v>
      </c>
      <c r="H7377" s="411">
        <v>141.55000000000001</v>
      </c>
      <c r="I7377" s="94">
        <f t="shared" ref="I7377:I7378" si="3789">-(H7377*0.15)</f>
        <v>-21.232500000000002</v>
      </c>
      <c r="J7377" s="90">
        <v>0</v>
      </c>
      <c r="K7377" s="90">
        <f>SUM(H7377:J7377)</f>
        <v>120.31750000000001</v>
      </c>
      <c r="L7377" s="131">
        <v>702</v>
      </c>
      <c r="M7377" s="131">
        <v>17.12</v>
      </c>
      <c r="N7377" s="91">
        <f t="shared" si="3766"/>
        <v>122.42</v>
      </c>
      <c r="O7377" s="411">
        <f t="shared" si="3767"/>
        <v>-2.102499999999992</v>
      </c>
      <c r="P7377" s="132" t="s">
        <v>183</v>
      </c>
      <c r="Q7377" s="232"/>
      <c r="R7377" s="411"/>
      <c r="T7377" s="134" t="s">
        <v>145</v>
      </c>
      <c r="U7377" s="267" t="s">
        <v>15592</v>
      </c>
      <c r="AA7377" s="218"/>
    </row>
    <row r="7378" spans="1:27" x14ac:dyDescent="0.25">
      <c r="A7378" s="419">
        <v>3005800</v>
      </c>
      <c r="B7378" s="421">
        <v>42703</v>
      </c>
      <c r="C7378" s="419" t="s">
        <v>237</v>
      </c>
      <c r="D7378" s="417" t="s">
        <v>15593</v>
      </c>
      <c r="E7378" s="120">
        <v>50</v>
      </c>
      <c r="F7378" s="133" t="s">
        <v>3301</v>
      </c>
      <c r="G7378" s="434" t="s">
        <v>7486</v>
      </c>
      <c r="H7378" s="427">
        <v>135</v>
      </c>
      <c r="I7378" s="452">
        <f t="shared" si="3789"/>
        <v>-20.25</v>
      </c>
      <c r="J7378" s="425">
        <v>0</v>
      </c>
      <c r="K7378" s="425">
        <f>SUM(H7378:J7378)</f>
        <v>114.75</v>
      </c>
      <c r="L7378" s="131">
        <v>774</v>
      </c>
      <c r="N7378" s="91">
        <f t="shared" si="3766"/>
        <v>38.700000000000003</v>
      </c>
      <c r="O7378" s="411">
        <f t="shared" si="3767"/>
        <v>76.05</v>
      </c>
      <c r="P7378" s="132" t="s">
        <v>601</v>
      </c>
      <c r="Q7378" s="232"/>
      <c r="R7378" s="411"/>
      <c r="T7378" s="439" t="s">
        <v>145</v>
      </c>
      <c r="U7378" s="446" t="s">
        <v>15594</v>
      </c>
      <c r="AA7378" s="218"/>
    </row>
    <row r="7379" spans="1:27" x14ac:dyDescent="0.25">
      <c r="A7379" s="420"/>
      <c r="B7379" s="422"/>
      <c r="C7379" s="420"/>
      <c r="D7379" s="418"/>
      <c r="E7379" s="120">
        <v>50</v>
      </c>
      <c r="F7379" s="133" t="s">
        <v>3299</v>
      </c>
      <c r="G7379" s="436"/>
      <c r="H7379" s="428"/>
      <c r="I7379" s="453"/>
      <c r="J7379" s="426"/>
      <c r="K7379" s="426"/>
      <c r="L7379" s="131">
        <v>774</v>
      </c>
      <c r="N7379" s="91">
        <f t="shared" si="3766"/>
        <v>38.700000000000003</v>
      </c>
      <c r="O7379" s="411">
        <f t="shared" si="3767"/>
        <v>-38.700000000000003</v>
      </c>
      <c r="P7379" s="132" t="s">
        <v>601</v>
      </c>
      <c r="Q7379" s="232"/>
      <c r="R7379" s="411"/>
      <c r="T7379" s="441"/>
      <c r="U7379" s="447"/>
      <c r="AA7379" s="218"/>
    </row>
    <row r="7380" spans="1:27" ht="24" x14ac:dyDescent="0.25">
      <c r="A7380" s="405">
        <v>3005801</v>
      </c>
      <c r="B7380" s="406">
        <v>42703</v>
      </c>
      <c r="C7380" s="405" t="s">
        <v>237</v>
      </c>
      <c r="D7380" s="401" t="s">
        <v>15595</v>
      </c>
      <c r="E7380" s="120">
        <v>100</v>
      </c>
      <c r="F7380" s="133" t="s">
        <v>3301</v>
      </c>
      <c r="G7380" s="404" t="s">
        <v>7486</v>
      </c>
      <c r="H7380" s="411">
        <v>108</v>
      </c>
      <c r="I7380" s="94">
        <f t="shared" ref="I7380" si="3790">-(H7380*0.15)</f>
        <v>-16.2</v>
      </c>
      <c r="J7380" s="90">
        <v>0</v>
      </c>
      <c r="K7380" s="90">
        <f>SUM(H7380:J7380)</f>
        <v>91.8</v>
      </c>
      <c r="L7380" s="131">
        <v>774</v>
      </c>
      <c r="N7380" s="91">
        <f t="shared" si="3766"/>
        <v>77.400000000000006</v>
      </c>
      <c r="O7380" s="411">
        <f t="shared" si="3767"/>
        <v>14.399999999999991</v>
      </c>
      <c r="P7380" s="132" t="s">
        <v>601</v>
      </c>
      <c r="Q7380" s="232"/>
      <c r="R7380" s="411"/>
      <c r="T7380" s="134" t="s">
        <v>145</v>
      </c>
      <c r="U7380" s="267" t="s">
        <v>15596</v>
      </c>
      <c r="AA7380" s="218"/>
    </row>
    <row r="7381" spans="1:27" x14ac:dyDescent="0.25">
      <c r="A7381" s="419">
        <v>3005802</v>
      </c>
      <c r="B7381" s="421">
        <v>42703</v>
      </c>
      <c r="C7381" s="419" t="s">
        <v>56</v>
      </c>
      <c r="D7381" s="429" t="s">
        <v>3382</v>
      </c>
      <c r="E7381" s="120">
        <v>206</v>
      </c>
      <c r="F7381" s="133" t="s">
        <v>198</v>
      </c>
      <c r="G7381" s="455" t="s">
        <v>7486</v>
      </c>
      <c r="H7381" s="427">
        <v>2165.6</v>
      </c>
      <c r="I7381" s="427">
        <v>0</v>
      </c>
      <c r="J7381" s="427">
        <v>0</v>
      </c>
      <c r="K7381" s="425">
        <f>SUM(H7381:J7381)</f>
        <v>2165.6</v>
      </c>
      <c r="L7381" s="131">
        <v>1693</v>
      </c>
      <c r="M7381" s="450">
        <v>107.66</v>
      </c>
      <c r="N7381" s="91">
        <f t="shared" si="3766"/>
        <v>456.41800000000001</v>
      </c>
      <c r="O7381" s="411">
        <f t="shared" si="3767"/>
        <v>1709.1819999999998</v>
      </c>
      <c r="P7381" s="132" t="s">
        <v>52</v>
      </c>
      <c r="Q7381" s="232"/>
      <c r="R7381" s="411"/>
      <c r="T7381" s="442" t="s">
        <v>1467</v>
      </c>
      <c r="V7381" s="133" t="s">
        <v>8237</v>
      </c>
      <c r="AA7381" s="218"/>
    </row>
    <row r="7382" spans="1:27" x14ac:dyDescent="0.25">
      <c r="A7382" s="432"/>
      <c r="B7382" s="433"/>
      <c r="C7382" s="432"/>
      <c r="D7382" s="430"/>
      <c r="E7382" s="120">
        <v>170</v>
      </c>
      <c r="F7382" s="133" t="s">
        <v>15597</v>
      </c>
      <c r="G7382" s="456"/>
      <c r="H7382" s="438"/>
      <c r="I7382" s="438"/>
      <c r="J7382" s="438"/>
      <c r="K7382" s="437"/>
      <c r="L7382" s="131">
        <v>1436</v>
      </c>
      <c r="M7382" s="451"/>
      <c r="N7382" s="91">
        <f t="shared" si="3766"/>
        <v>244.12</v>
      </c>
      <c r="O7382" s="411">
        <f t="shared" si="3767"/>
        <v>-244.12</v>
      </c>
      <c r="P7382" s="132" t="s">
        <v>52</v>
      </c>
      <c r="Q7382" s="232"/>
      <c r="R7382" s="411"/>
      <c r="T7382" s="443"/>
      <c r="V7382" s="133" t="s">
        <v>55</v>
      </c>
      <c r="AA7382" s="218"/>
    </row>
    <row r="7383" spans="1:27" x14ac:dyDescent="0.25">
      <c r="A7383" s="432"/>
      <c r="B7383" s="433"/>
      <c r="C7383" s="432"/>
      <c r="D7383" s="430"/>
      <c r="E7383" s="120">
        <v>200</v>
      </c>
      <c r="F7383" s="133" t="s">
        <v>549</v>
      </c>
      <c r="G7383" s="456"/>
      <c r="H7383" s="438"/>
      <c r="I7383" s="438"/>
      <c r="J7383" s="438"/>
      <c r="K7383" s="437"/>
      <c r="L7383" s="131">
        <v>3650</v>
      </c>
      <c r="M7383" s="177">
        <v>107.66</v>
      </c>
      <c r="N7383" s="91">
        <f t="shared" si="3766"/>
        <v>837.66</v>
      </c>
      <c r="O7383" s="411">
        <f t="shared" si="3767"/>
        <v>-837.66</v>
      </c>
      <c r="P7383" s="132" t="s">
        <v>183</v>
      </c>
      <c r="Q7383" s="232"/>
      <c r="R7383" s="411"/>
      <c r="T7383" s="135" t="s">
        <v>1467</v>
      </c>
      <c r="V7383" s="133" t="s">
        <v>15598</v>
      </c>
      <c r="AA7383" s="218"/>
    </row>
    <row r="7384" spans="1:27" x14ac:dyDescent="0.25">
      <c r="A7384" s="432"/>
      <c r="B7384" s="433"/>
      <c r="C7384" s="432"/>
      <c r="D7384" s="430"/>
      <c r="E7384" s="120">
        <v>250</v>
      </c>
      <c r="F7384" s="133" t="s">
        <v>15599</v>
      </c>
      <c r="G7384" s="456"/>
      <c r="H7384" s="438"/>
      <c r="I7384" s="438"/>
      <c r="J7384" s="438"/>
      <c r="K7384" s="437"/>
      <c r="L7384" s="131">
        <v>1660</v>
      </c>
      <c r="M7384" s="131">
        <v>0</v>
      </c>
      <c r="N7384" s="91">
        <f t="shared" si="3766"/>
        <v>415</v>
      </c>
      <c r="O7384" s="411">
        <f t="shared" si="3767"/>
        <v>-415</v>
      </c>
      <c r="P7384" s="132" t="s">
        <v>59</v>
      </c>
      <c r="Q7384" s="232"/>
      <c r="R7384" s="411"/>
      <c r="T7384" s="135" t="s">
        <v>755</v>
      </c>
      <c r="V7384" s="133" t="s">
        <v>15600</v>
      </c>
      <c r="AA7384" s="218"/>
    </row>
    <row r="7385" spans="1:27" x14ac:dyDescent="0.25">
      <c r="A7385" s="420"/>
      <c r="B7385" s="422"/>
      <c r="C7385" s="420"/>
      <c r="D7385" s="431"/>
      <c r="G7385" s="457"/>
      <c r="H7385" s="428"/>
      <c r="I7385" s="428"/>
      <c r="J7385" s="428"/>
      <c r="K7385" s="426"/>
      <c r="L7385" s="131">
        <v>5000</v>
      </c>
      <c r="N7385" s="91">
        <f t="shared" si="3766"/>
        <v>0</v>
      </c>
      <c r="O7385" s="411">
        <f t="shared" si="3767"/>
        <v>0</v>
      </c>
      <c r="P7385" s="132" t="s">
        <v>52</v>
      </c>
      <c r="Q7385" s="232"/>
      <c r="R7385" s="411"/>
      <c r="T7385" s="135" t="s">
        <v>1467</v>
      </c>
      <c r="AA7385" s="218"/>
    </row>
    <row r="7386" spans="1:27" ht="24" x14ac:dyDescent="0.25">
      <c r="A7386" s="405">
        <v>3005803</v>
      </c>
      <c r="B7386" s="406">
        <v>42703</v>
      </c>
      <c r="C7386" s="405" t="s">
        <v>63</v>
      </c>
      <c r="D7386" s="401" t="s">
        <v>15601</v>
      </c>
      <c r="E7386" s="120">
        <v>50</v>
      </c>
      <c r="F7386" s="133" t="s">
        <v>4407</v>
      </c>
      <c r="G7386" s="404" t="s">
        <v>45</v>
      </c>
      <c r="H7386" s="411">
        <v>156.16999999999999</v>
      </c>
      <c r="I7386" s="411">
        <v>0</v>
      </c>
      <c r="J7386" s="391">
        <f>-((H7386*0.022)+0.3)</f>
        <v>-3.7357399999999994</v>
      </c>
      <c r="K7386" s="90">
        <f>SUM(H7386:J7386)</f>
        <v>152.43425999999999</v>
      </c>
      <c r="L7386" s="131">
        <v>2270</v>
      </c>
      <c r="N7386" s="91">
        <f t="shared" si="3766"/>
        <v>113.5</v>
      </c>
      <c r="O7386" s="411">
        <f t="shared" si="3767"/>
        <v>38.934259999999995</v>
      </c>
      <c r="P7386" s="132" t="s">
        <v>601</v>
      </c>
      <c r="Q7386" s="232"/>
      <c r="R7386" s="411"/>
      <c r="T7386" s="134" t="s">
        <v>145</v>
      </c>
      <c r="U7386" s="267" t="s">
        <v>15602</v>
      </c>
      <c r="W7386" s="153" t="s">
        <v>15603</v>
      </c>
      <c r="AA7386" s="218"/>
    </row>
    <row r="7387" spans="1:27" x14ac:dyDescent="0.25">
      <c r="A7387" s="405">
        <v>3005804</v>
      </c>
      <c r="B7387" s="406">
        <v>42703</v>
      </c>
      <c r="C7387" s="405" t="s">
        <v>63</v>
      </c>
      <c r="D7387" s="401" t="s">
        <v>15604</v>
      </c>
      <c r="E7387" s="120">
        <v>175</v>
      </c>
      <c r="F7387" s="133" t="s">
        <v>300</v>
      </c>
      <c r="G7387" s="404" t="s">
        <v>45</v>
      </c>
      <c r="H7387" s="411">
        <v>564.88</v>
      </c>
      <c r="I7387" s="411">
        <v>0</v>
      </c>
      <c r="J7387" s="391">
        <f>-((H7387*0.022)+0.3)</f>
        <v>-12.727359999999999</v>
      </c>
      <c r="K7387" s="90">
        <f>SUM(H7387:J7387)</f>
        <v>552.15264000000002</v>
      </c>
      <c r="L7387" s="131">
        <v>2150</v>
      </c>
      <c r="M7387" s="131">
        <v>191.13</v>
      </c>
      <c r="N7387" s="91">
        <f t="shared" ref="N7387:N7402" si="3791">((L7387)*(E7387*0.001))+M7387</f>
        <v>567.38000000000011</v>
      </c>
      <c r="O7387" s="411">
        <f t="shared" si="3767"/>
        <v>-15.22736000000009</v>
      </c>
      <c r="P7387" s="132" t="s">
        <v>52</v>
      </c>
      <c r="Q7387" s="232"/>
      <c r="R7387" s="411">
        <v>44.88</v>
      </c>
      <c r="S7387" s="133" t="s">
        <v>52</v>
      </c>
      <c r="T7387" s="135" t="s">
        <v>1467</v>
      </c>
      <c r="W7387" s="153" t="s">
        <v>15605</v>
      </c>
      <c r="AA7387" s="218"/>
    </row>
    <row r="7388" spans="1:27" ht="24" x14ac:dyDescent="0.25">
      <c r="A7388" s="405">
        <v>3005805</v>
      </c>
      <c r="B7388" s="406">
        <v>42703</v>
      </c>
      <c r="C7388" s="405" t="s">
        <v>327</v>
      </c>
      <c r="D7388" s="401" t="s">
        <v>15606</v>
      </c>
      <c r="E7388" s="120">
        <v>60</v>
      </c>
      <c r="F7388" s="133" t="s">
        <v>222</v>
      </c>
      <c r="G7388" s="404" t="s">
        <v>45</v>
      </c>
      <c r="H7388" s="411">
        <v>93</v>
      </c>
      <c r="I7388" s="411">
        <v>0</v>
      </c>
      <c r="J7388" s="391">
        <f>-((H7388*0.022)+0.3)</f>
        <v>-2.3459999999999996</v>
      </c>
      <c r="K7388" s="90">
        <f>SUM(H7388:J7388)</f>
        <v>90.653999999999996</v>
      </c>
      <c r="L7388" s="131">
        <v>400</v>
      </c>
      <c r="N7388" s="91">
        <f t="shared" si="3791"/>
        <v>24</v>
      </c>
      <c r="O7388" s="411">
        <f t="shared" si="3767"/>
        <v>66.653999999999996</v>
      </c>
      <c r="P7388" s="132" t="s">
        <v>52</v>
      </c>
      <c r="Q7388" s="232"/>
      <c r="R7388" s="411"/>
      <c r="T7388" s="135" t="s">
        <v>145</v>
      </c>
      <c r="W7388" s="153" t="s">
        <v>15607</v>
      </c>
      <c r="AA7388" s="218"/>
    </row>
    <row r="7389" spans="1:27" ht="24" x14ac:dyDescent="0.25">
      <c r="A7389" s="405">
        <v>3005806</v>
      </c>
      <c r="B7389" s="406">
        <v>42703</v>
      </c>
      <c r="C7389" s="405" t="s">
        <v>42</v>
      </c>
      <c r="D7389" s="401" t="s">
        <v>15608</v>
      </c>
      <c r="E7389" s="120">
        <v>150</v>
      </c>
      <c r="F7389" s="133" t="s">
        <v>161</v>
      </c>
      <c r="G7389" s="404" t="s">
        <v>45</v>
      </c>
      <c r="H7389" s="411">
        <v>368.87</v>
      </c>
      <c r="I7389" s="89">
        <f t="shared" ref="I7389" si="3792">-(H7389*0.09)</f>
        <v>-33.198299999999996</v>
      </c>
      <c r="J7389" s="391">
        <f t="shared" ref="J7389" si="3793">-((H7389*0.019)+0.3)</f>
        <v>-7.3085299999999993</v>
      </c>
      <c r="K7389" s="90">
        <f t="shared" ref="K7389" si="3794">SUM(H7389:J7389)</f>
        <v>328.36316999999997</v>
      </c>
      <c r="L7389" s="131">
        <v>1440</v>
      </c>
      <c r="N7389" s="91">
        <f t="shared" si="3791"/>
        <v>216</v>
      </c>
      <c r="O7389" s="411">
        <f t="shared" si="3767"/>
        <v>112.36316999999997</v>
      </c>
      <c r="P7389" s="132" t="s">
        <v>52</v>
      </c>
      <c r="Q7389" s="232"/>
      <c r="R7389" s="411">
        <v>27.32</v>
      </c>
      <c r="S7389" s="133" t="s">
        <v>502</v>
      </c>
      <c r="T7389" s="134" t="s">
        <v>145</v>
      </c>
      <c r="U7389" s="267" t="s">
        <v>15609</v>
      </c>
      <c r="AA7389" s="218"/>
    </row>
    <row r="7390" spans="1:27" ht="24" x14ac:dyDescent="0.25">
      <c r="A7390" s="405">
        <v>3005807</v>
      </c>
      <c r="B7390" s="406">
        <v>42703</v>
      </c>
      <c r="C7390" s="405" t="s">
        <v>42</v>
      </c>
      <c r="D7390" s="401" t="s">
        <v>15610</v>
      </c>
      <c r="E7390" s="120">
        <v>50</v>
      </c>
      <c r="F7390" s="133" t="s">
        <v>277</v>
      </c>
      <c r="G7390" s="404" t="s">
        <v>45</v>
      </c>
      <c r="H7390" s="411">
        <v>386.19</v>
      </c>
      <c r="I7390" s="89">
        <f t="shared" ref="I7390" si="3795">-(H7390*0.09)</f>
        <v>-34.757100000000001</v>
      </c>
      <c r="J7390" s="391">
        <f t="shared" ref="J7390" si="3796">-((H7390*0.019)+0.3)</f>
        <v>-7.6376099999999996</v>
      </c>
      <c r="K7390" s="90">
        <f t="shared" ref="K7390" si="3797">SUM(H7390:J7390)</f>
        <v>343.79529000000002</v>
      </c>
      <c r="L7390" s="131">
        <v>3650</v>
      </c>
      <c r="M7390" s="131">
        <v>39.56</v>
      </c>
      <c r="N7390" s="91">
        <f t="shared" si="3791"/>
        <v>222.06</v>
      </c>
      <c r="O7390" s="411">
        <f t="shared" si="3767"/>
        <v>121.73529000000002</v>
      </c>
      <c r="P7390" s="132" t="s">
        <v>183</v>
      </c>
      <c r="Q7390" s="232"/>
      <c r="R7390" s="411"/>
      <c r="T7390" s="134" t="s">
        <v>145</v>
      </c>
      <c r="U7390" s="267" t="s">
        <v>15611</v>
      </c>
      <c r="AA7390" s="218"/>
    </row>
    <row r="7391" spans="1:27" ht="24" x14ac:dyDescent="0.25">
      <c r="A7391" s="405">
        <v>3005808</v>
      </c>
      <c r="B7391" s="406">
        <v>42703</v>
      </c>
      <c r="C7391" s="405" t="s">
        <v>42</v>
      </c>
      <c r="D7391" s="401" t="s">
        <v>15612</v>
      </c>
      <c r="E7391" s="120">
        <v>300</v>
      </c>
      <c r="F7391" s="133" t="s">
        <v>227</v>
      </c>
      <c r="G7391" s="404" t="s">
        <v>45</v>
      </c>
      <c r="H7391" s="411">
        <v>285.27999999999997</v>
      </c>
      <c r="I7391" s="89">
        <f t="shared" ref="I7391" si="3798">-(H7391*0.09)</f>
        <v>-25.675199999999997</v>
      </c>
      <c r="J7391" s="391">
        <f t="shared" ref="J7391" si="3799">-((H7391*0.019)+0.3)</f>
        <v>-5.7203199999999992</v>
      </c>
      <c r="K7391" s="90">
        <f t="shared" ref="K7391" si="3800">SUM(H7391:J7391)</f>
        <v>253.88447999999997</v>
      </c>
      <c r="L7391" s="131">
        <v>235</v>
      </c>
      <c r="N7391" s="91">
        <f t="shared" si="3791"/>
        <v>70.5</v>
      </c>
      <c r="O7391" s="411">
        <f t="shared" si="3767"/>
        <v>183.38447999999997</v>
      </c>
      <c r="P7391" s="132" t="s">
        <v>52</v>
      </c>
      <c r="Q7391" s="232"/>
      <c r="R7391" s="411"/>
      <c r="T7391" s="134" t="s">
        <v>145</v>
      </c>
      <c r="U7391" s="267" t="s">
        <v>15613</v>
      </c>
      <c r="AA7391" s="218"/>
    </row>
    <row r="7392" spans="1:27" x14ac:dyDescent="0.25">
      <c r="A7392" s="405">
        <v>3005809</v>
      </c>
      <c r="B7392" s="406">
        <v>42703</v>
      </c>
      <c r="C7392" s="405" t="s">
        <v>327</v>
      </c>
      <c r="D7392" s="401" t="s">
        <v>15614</v>
      </c>
      <c r="E7392" s="120">
        <v>500</v>
      </c>
      <c r="F7392" s="133" t="s">
        <v>388</v>
      </c>
      <c r="G7392" s="404" t="s">
        <v>45</v>
      </c>
      <c r="H7392" s="411">
        <v>3577.5</v>
      </c>
      <c r="I7392" s="411">
        <v>0</v>
      </c>
      <c r="J7392" s="391">
        <f>-((H7392*0.022)+0.3)</f>
        <v>-79.004999999999995</v>
      </c>
      <c r="K7392" s="90">
        <f>SUM(H7392:J7392)</f>
        <v>3498.4949999999999</v>
      </c>
      <c r="L7392" s="131">
        <v>5018</v>
      </c>
      <c r="M7392" s="131">
        <v>0</v>
      </c>
      <c r="N7392" s="91">
        <f t="shared" si="3791"/>
        <v>2509</v>
      </c>
      <c r="O7392" s="411">
        <f t="shared" si="3767"/>
        <v>989.49499999999989</v>
      </c>
      <c r="P7392" s="132" t="s">
        <v>15615</v>
      </c>
      <c r="Q7392" s="232"/>
      <c r="R7392" s="411"/>
      <c r="T7392" s="135" t="s">
        <v>755</v>
      </c>
      <c r="W7392" s="153" t="s">
        <v>15616</v>
      </c>
      <c r="AA7392" s="219">
        <v>10</v>
      </c>
    </row>
    <row r="7393" spans="1:27" x14ac:dyDescent="0.25">
      <c r="A7393" s="405">
        <v>3005810</v>
      </c>
      <c r="B7393" s="406">
        <v>42704</v>
      </c>
      <c r="C7393" s="405" t="s">
        <v>56</v>
      </c>
      <c r="D7393" s="401" t="s">
        <v>10327</v>
      </c>
      <c r="E7393" s="120">
        <v>100</v>
      </c>
      <c r="F7393" s="133" t="s">
        <v>15617</v>
      </c>
      <c r="G7393" s="242" t="s">
        <v>7486</v>
      </c>
      <c r="H7393" s="411">
        <v>700</v>
      </c>
      <c r="I7393" s="411">
        <v>0</v>
      </c>
      <c r="J7393" s="411">
        <v>0</v>
      </c>
      <c r="K7393" s="90">
        <f>SUM(H7393:J7393)</f>
        <v>700</v>
      </c>
      <c r="L7393" s="131">
        <v>1760</v>
      </c>
      <c r="M7393" s="131">
        <v>0</v>
      </c>
      <c r="N7393" s="91">
        <f t="shared" si="3791"/>
        <v>176</v>
      </c>
      <c r="O7393" s="411">
        <f t="shared" si="3767"/>
        <v>524</v>
      </c>
      <c r="P7393" s="132" t="s">
        <v>3184</v>
      </c>
      <c r="Q7393" s="232"/>
      <c r="R7393" s="411"/>
      <c r="T7393" s="134" t="s">
        <v>389</v>
      </c>
      <c r="U7393" s="267" t="s">
        <v>15618</v>
      </c>
      <c r="V7393" s="133" t="s">
        <v>15619</v>
      </c>
      <c r="AA7393" s="218"/>
    </row>
    <row r="7394" spans="1:27" ht="24" x14ac:dyDescent="0.25">
      <c r="A7394" s="405">
        <v>3005811</v>
      </c>
      <c r="B7394" s="406">
        <v>42704</v>
      </c>
      <c r="C7394" s="405" t="s">
        <v>42</v>
      </c>
      <c r="D7394" s="401" t="s">
        <v>15620</v>
      </c>
      <c r="E7394" s="120">
        <v>200</v>
      </c>
      <c r="F7394" s="133" t="s">
        <v>451</v>
      </c>
      <c r="G7394" s="404" t="s">
        <v>7486</v>
      </c>
      <c r="H7394" s="411">
        <v>140.30000000000001</v>
      </c>
      <c r="I7394" s="89">
        <f t="shared" ref="I7394" si="3801">-(H7394*0.09)</f>
        <v>-12.627000000000001</v>
      </c>
      <c r="J7394" s="391">
        <f t="shared" ref="J7394" si="3802">-((H7394*0.019)+0.3)</f>
        <v>-2.9657</v>
      </c>
      <c r="K7394" s="90">
        <f t="shared" ref="K7394" si="3803">SUM(H7394:J7394)</f>
        <v>124.70730000000002</v>
      </c>
      <c r="L7394" s="131">
        <v>300</v>
      </c>
      <c r="N7394" s="91">
        <f t="shared" si="3791"/>
        <v>60</v>
      </c>
      <c r="O7394" s="411">
        <f t="shared" ref="O7394:O7433" si="3804">K7394-N7394</f>
        <v>64.707300000000018</v>
      </c>
      <c r="P7394" s="132" t="s">
        <v>52</v>
      </c>
      <c r="Q7394" s="232"/>
      <c r="R7394" s="411"/>
      <c r="T7394" s="134" t="s">
        <v>145</v>
      </c>
      <c r="U7394" s="267" t="s">
        <v>15621</v>
      </c>
      <c r="AA7394" s="218"/>
    </row>
    <row r="7395" spans="1:27" x14ac:dyDescent="0.25">
      <c r="A7395" s="405">
        <v>3005812</v>
      </c>
      <c r="B7395" s="406">
        <v>42704</v>
      </c>
      <c r="C7395" s="405" t="s">
        <v>42</v>
      </c>
      <c r="D7395" s="401" t="s">
        <v>15622</v>
      </c>
      <c r="E7395" s="120">
        <v>225</v>
      </c>
      <c r="F7395" s="133" t="s">
        <v>605</v>
      </c>
      <c r="G7395" s="404" t="s">
        <v>7486</v>
      </c>
      <c r="H7395" s="411">
        <v>220.51</v>
      </c>
      <c r="I7395" s="89">
        <f t="shared" ref="I7395" si="3805">-(H7395*0.09)</f>
        <v>-19.845899999999997</v>
      </c>
      <c r="J7395" s="391">
        <f t="shared" ref="J7395" si="3806">-((H7395*0.019)+0.3)</f>
        <v>-4.4896899999999995</v>
      </c>
      <c r="K7395" s="90">
        <f t="shared" ref="K7395" si="3807">SUM(H7395:J7395)</f>
        <v>196.17440999999999</v>
      </c>
      <c r="L7395" s="131">
        <v>480</v>
      </c>
      <c r="N7395" s="91">
        <f t="shared" si="3791"/>
        <v>108</v>
      </c>
      <c r="O7395" s="411">
        <f t="shared" si="3804"/>
        <v>88.174409999999995</v>
      </c>
      <c r="P7395" s="132" t="s">
        <v>86</v>
      </c>
      <c r="Q7395" s="232"/>
      <c r="R7395" s="411"/>
      <c r="T7395" s="135" t="s">
        <v>755</v>
      </c>
      <c r="AA7395" s="218"/>
    </row>
    <row r="7396" spans="1:27" x14ac:dyDescent="0.25">
      <c r="A7396" s="419">
        <v>3005813</v>
      </c>
      <c r="B7396" s="421">
        <v>42704</v>
      </c>
      <c r="C7396" s="419" t="s">
        <v>42</v>
      </c>
      <c r="D7396" s="417" t="s">
        <v>15623</v>
      </c>
      <c r="E7396" s="120">
        <v>50</v>
      </c>
      <c r="F7396" s="133" t="s">
        <v>2483</v>
      </c>
      <c r="G7396" s="434" t="s">
        <v>7486</v>
      </c>
      <c r="H7396" s="427">
        <v>312.12</v>
      </c>
      <c r="I7396" s="452">
        <f t="shared" ref="I7396" si="3808">-(H7396*0.09)</f>
        <v>-28.090799999999998</v>
      </c>
      <c r="J7396" s="425">
        <f t="shared" ref="J7396" si="3809">-((H7396*0.019)+0.3)</f>
        <v>-6.2302799999999996</v>
      </c>
      <c r="K7396" s="425">
        <f t="shared" ref="K7396" si="3810">SUM(H7396:J7396)</f>
        <v>277.79892000000001</v>
      </c>
      <c r="L7396" s="131">
        <v>1460</v>
      </c>
      <c r="N7396" s="91">
        <f t="shared" si="3791"/>
        <v>73</v>
      </c>
      <c r="O7396" s="411">
        <f t="shared" si="3804"/>
        <v>204.79892000000001</v>
      </c>
      <c r="P7396" s="132" t="s">
        <v>601</v>
      </c>
      <c r="Q7396" s="232"/>
      <c r="R7396" s="411"/>
      <c r="T7396" s="439" t="s">
        <v>145</v>
      </c>
      <c r="U7396" s="446" t="s">
        <v>15624</v>
      </c>
      <c r="AA7396" s="218"/>
    </row>
    <row r="7397" spans="1:27" x14ac:dyDescent="0.25">
      <c r="A7397" s="420"/>
      <c r="B7397" s="422"/>
      <c r="C7397" s="420"/>
      <c r="D7397" s="418"/>
      <c r="E7397" s="120">
        <v>50</v>
      </c>
      <c r="F7397" s="133" t="s">
        <v>3345</v>
      </c>
      <c r="G7397" s="436"/>
      <c r="H7397" s="428"/>
      <c r="I7397" s="453"/>
      <c r="J7397" s="426"/>
      <c r="K7397" s="426"/>
      <c r="L7397" s="131">
        <v>1488</v>
      </c>
      <c r="N7397" s="91">
        <f t="shared" si="3791"/>
        <v>74.400000000000006</v>
      </c>
      <c r="O7397" s="411">
        <f t="shared" si="3804"/>
        <v>-74.400000000000006</v>
      </c>
      <c r="P7397" s="132" t="s">
        <v>601</v>
      </c>
      <c r="Q7397" s="232"/>
      <c r="R7397" s="411"/>
      <c r="T7397" s="441"/>
      <c r="U7397" s="447"/>
      <c r="AA7397" s="218"/>
    </row>
    <row r="7398" spans="1:27" ht="24" x14ac:dyDescent="0.25">
      <c r="A7398" s="405">
        <v>3005814</v>
      </c>
      <c r="B7398" s="406">
        <v>42704</v>
      </c>
      <c r="C7398" s="405" t="s">
        <v>42</v>
      </c>
      <c r="D7398" s="401" t="s">
        <v>2767</v>
      </c>
      <c r="E7398" s="120">
        <v>500</v>
      </c>
      <c r="F7398" s="133" t="s">
        <v>3196</v>
      </c>
      <c r="G7398" s="404" t="s">
        <v>7486</v>
      </c>
      <c r="H7398" s="411">
        <v>310</v>
      </c>
      <c r="I7398" s="89">
        <f t="shared" ref="I7398" si="3811">-(H7398*0.09)</f>
        <v>-27.9</v>
      </c>
      <c r="J7398" s="391">
        <f t="shared" ref="J7398" si="3812">-((H7398*0.019)+0.3)</f>
        <v>-6.1899999999999995</v>
      </c>
      <c r="K7398" s="90">
        <f t="shared" ref="K7398" si="3813">SUM(H7398:J7398)</f>
        <v>275.91000000000003</v>
      </c>
      <c r="L7398" s="131">
        <v>310</v>
      </c>
      <c r="M7398" s="131">
        <v>42.85</v>
      </c>
      <c r="N7398" s="91">
        <f t="shared" si="3791"/>
        <v>197.85</v>
      </c>
      <c r="O7398" s="411">
        <f t="shared" si="3804"/>
        <v>78.060000000000031</v>
      </c>
      <c r="P7398" s="132" t="s">
        <v>183</v>
      </c>
      <c r="Q7398" s="232"/>
      <c r="R7398" s="411"/>
      <c r="T7398" s="134" t="s">
        <v>145</v>
      </c>
      <c r="U7398" s="267" t="s">
        <v>15625</v>
      </c>
      <c r="AA7398" s="218"/>
    </row>
    <row r="7399" spans="1:27" ht="24" x14ac:dyDescent="0.25">
      <c r="A7399" s="405">
        <v>3005815</v>
      </c>
      <c r="B7399" s="406">
        <v>42704</v>
      </c>
      <c r="C7399" s="405" t="s">
        <v>42</v>
      </c>
      <c r="D7399" s="401" t="s">
        <v>15626</v>
      </c>
      <c r="E7399" s="120">
        <v>175</v>
      </c>
      <c r="F7399" s="133" t="s">
        <v>247</v>
      </c>
      <c r="G7399" s="404" t="s">
        <v>7486</v>
      </c>
      <c r="H7399" s="411">
        <v>228.29</v>
      </c>
      <c r="I7399" s="89">
        <f t="shared" ref="I7399" si="3814">-(H7399*0.09)</f>
        <v>-20.546099999999999</v>
      </c>
      <c r="J7399" s="391">
        <f t="shared" ref="J7399" si="3815">-((H7399*0.019)+0.3)</f>
        <v>-4.6375099999999998</v>
      </c>
      <c r="K7399" s="90">
        <f t="shared" ref="K7399" si="3816">SUM(H7399:J7399)</f>
        <v>203.10639</v>
      </c>
      <c r="L7399" s="131">
        <v>424</v>
      </c>
      <c r="N7399" s="91">
        <f t="shared" si="3791"/>
        <v>74.2</v>
      </c>
      <c r="O7399" s="411">
        <f t="shared" si="3804"/>
        <v>128.90638999999999</v>
      </c>
      <c r="P7399" s="132" t="s">
        <v>52</v>
      </c>
      <c r="Q7399" s="232"/>
      <c r="R7399" s="411"/>
      <c r="T7399" s="134" t="s">
        <v>145</v>
      </c>
      <c r="U7399" s="267" t="s">
        <v>15627</v>
      </c>
      <c r="AA7399" s="218"/>
    </row>
    <row r="7400" spans="1:27" ht="24" x14ac:dyDescent="0.25">
      <c r="A7400" s="405">
        <v>3005816</v>
      </c>
      <c r="B7400" s="406">
        <v>42704</v>
      </c>
      <c r="C7400" s="405" t="s">
        <v>42</v>
      </c>
      <c r="D7400" s="401" t="s">
        <v>15628</v>
      </c>
      <c r="E7400" s="120">
        <v>200</v>
      </c>
      <c r="F7400" s="133" t="s">
        <v>829</v>
      </c>
      <c r="G7400" s="404" t="s">
        <v>7486</v>
      </c>
      <c r="H7400" s="411">
        <v>196.01</v>
      </c>
      <c r="I7400" s="89">
        <f t="shared" ref="I7400" si="3817">-(H7400*0.09)</f>
        <v>-17.640899999999998</v>
      </c>
      <c r="J7400" s="391">
        <f t="shared" ref="J7400" si="3818">-((H7400*0.019)+0.3)</f>
        <v>-4.0241899999999999</v>
      </c>
      <c r="K7400" s="90">
        <f t="shared" ref="K7400" si="3819">SUM(H7400:J7400)</f>
        <v>174.34491</v>
      </c>
      <c r="L7400" s="131">
        <v>510</v>
      </c>
      <c r="N7400" s="91">
        <f t="shared" si="3791"/>
        <v>102</v>
      </c>
      <c r="O7400" s="411">
        <f t="shared" si="3804"/>
        <v>72.344909999999999</v>
      </c>
      <c r="P7400" s="132" t="s">
        <v>52</v>
      </c>
      <c r="Q7400" s="232"/>
      <c r="R7400" s="411"/>
      <c r="T7400" s="134" t="s">
        <v>145</v>
      </c>
      <c r="U7400" s="267" t="s">
        <v>15629</v>
      </c>
      <c r="AA7400" s="218"/>
    </row>
    <row r="7401" spans="1:27" ht="24" x14ac:dyDescent="0.25">
      <c r="A7401" s="405">
        <v>3005817</v>
      </c>
      <c r="B7401" s="406">
        <v>42704</v>
      </c>
      <c r="C7401" s="405" t="s">
        <v>42</v>
      </c>
      <c r="D7401" s="401" t="s">
        <v>15630</v>
      </c>
      <c r="E7401" s="120">
        <v>150</v>
      </c>
      <c r="F7401" s="133" t="s">
        <v>161</v>
      </c>
      <c r="G7401" s="404" t="s">
        <v>7486</v>
      </c>
      <c r="H7401" s="411">
        <v>341.55</v>
      </c>
      <c r="I7401" s="89">
        <f t="shared" ref="I7401" si="3820">-(H7401*0.09)</f>
        <v>-30.7395</v>
      </c>
      <c r="J7401" s="391">
        <f t="shared" ref="J7401" si="3821">-((H7401*0.019)+0.3)</f>
        <v>-6.7894499999999995</v>
      </c>
      <c r="K7401" s="90">
        <f t="shared" ref="K7401" si="3822">SUM(H7401:J7401)</f>
        <v>304.02105</v>
      </c>
      <c r="L7401" s="131">
        <v>1440</v>
      </c>
      <c r="N7401" s="91">
        <f t="shared" si="3791"/>
        <v>216</v>
      </c>
      <c r="O7401" s="411">
        <f t="shared" si="3804"/>
        <v>88.021050000000002</v>
      </c>
      <c r="P7401" s="132" t="s">
        <v>52</v>
      </c>
      <c r="Q7401" s="232"/>
      <c r="R7401" s="411"/>
      <c r="T7401" s="134" t="s">
        <v>145</v>
      </c>
      <c r="U7401" s="267" t="s">
        <v>15631</v>
      </c>
      <c r="AA7401" s="218"/>
    </row>
    <row r="7402" spans="1:27" x14ac:dyDescent="0.25">
      <c r="A7402" s="405">
        <v>3005818</v>
      </c>
      <c r="B7402" s="406">
        <v>42704</v>
      </c>
      <c r="C7402" s="405" t="s">
        <v>42</v>
      </c>
      <c r="D7402" s="401" t="s">
        <v>15581</v>
      </c>
      <c r="E7402" s="120">
        <v>500</v>
      </c>
      <c r="F7402" s="133" t="s">
        <v>198</v>
      </c>
      <c r="G7402" s="404" t="s">
        <v>7486</v>
      </c>
      <c r="H7402" s="411">
        <v>1300</v>
      </c>
      <c r="I7402" s="89">
        <f t="shared" ref="I7402" si="3823">-(H7402*0.09)</f>
        <v>-117</v>
      </c>
      <c r="J7402" s="391">
        <f t="shared" ref="J7402" si="3824">-((H7402*0.019)+0.3)</f>
        <v>-25</v>
      </c>
      <c r="K7402" s="90">
        <f t="shared" ref="K7402" si="3825">SUM(H7402:J7402)</f>
        <v>1158</v>
      </c>
      <c r="L7402" s="131">
        <v>1693</v>
      </c>
      <c r="M7402" s="131">
        <v>188</v>
      </c>
      <c r="N7402" s="91">
        <f t="shared" si="3791"/>
        <v>1034.5</v>
      </c>
      <c r="O7402" s="411">
        <f t="shared" si="3804"/>
        <v>123.5</v>
      </c>
      <c r="P7402" s="132" t="s">
        <v>52</v>
      </c>
      <c r="Q7402" s="232"/>
      <c r="R7402" s="411"/>
      <c r="T7402" s="135" t="s">
        <v>755</v>
      </c>
      <c r="V7402" s="133" t="s">
        <v>55</v>
      </c>
      <c r="AA7402" s="218"/>
    </row>
    <row r="7403" spans="1:27" ht="24" x14ac:dyDescent="0.25">
      <c r="A7403" s="405">
        <v>3005819</v>
      </c>
      <c r="B7403" s="406">
        <v>42704</v>
      </c>
      <c r="C7403" s="405" t="s">
        <v>42</v>
      </c>
      <c r="D7403" s="401" t="s">
        <v>15632</v>
      </c>
      <c r="E7403" s="120">
        <v>250</v>
      </c>
      <c r="F7403" s="133" t="s">
        <v>1137</v>
      </c>
      <c r="G7403" s="404" t="s">
        <v>7486</v>
      </c>
      <c r="H7403" s="411">
        <v>133</v>
      </c>
      <c r="I7403" s="89">
        <f t="shared" ref="I7403" si="3826">-(H7403*0.09)</f>
        <v>-11.969999999999999</v>
      </c>
      <c r="J7403" s="391">
        <f t="shared" ref="J7403" si="3827">-((H7403*0.019)+0.3)</f>
        <v>-2.827</v>
      </c>
      <c r="K7403" s="90">
        <f t="shared" ref="K7403" si="3828">SUM(H7403:J7403)</f>
        <v>118.203</v>
      </c>
      <c r="L7403" s="131">
        <v>220</v>
      </c>
      <c r="N7403" s="91">
        <f t="shared" ref="N7403:O7452" si="3829">((L7403)*(E7403*0.001))+M7403</f>
        <v>55</v>
      </c>
      <c r="O7403" s="411">
        <f t="shared" si="3804"/>
        <v>63.203000000000003</v>
      </c>
      <c r="P7403" s="132" t="s">
        <v>52</v>
      </c>
      <c r="Q7403" s="232"/>
      <c r="R7403" s="411"/>
      <c r="T7403" s="134" t="s">
        <v>145</v>
      </c>
      <c r="U7403" s="267" t="s">
        <v>15633</v>
      </c>
      <c r="AA7403" s="218"/>
    </row>
    <row r="7404" spans="1:27" ht="24" x14ac:dyDescent="0.25">
      <c r="A7404" s="405">
        <v>3005820</v>
      </c>
      <c r="B7404" s="406">
        <v>42704</v>
      </c>
      <c r="C7404" s="405" t="s">
        <v>237</v>
      </c>
      <c r="D7404" s="401" t="s">
        <v>15634</v>
      </c>
      <c r="E7404" s="120">
        <v>100</v>
      </c>
      <c r="F7404" s="133" t="s">
        <v>431</v>
      </c>
      <c r="G7404" s="404" t="s">
        <v>7486</v>
      </c>
      <c r="H7404" s="411">
        <v>211.46</v>
      </c>
      <c r="I7404" s="94">
        <f t="shared" ref="I7404" si="3830">-(H7404*0.15)</f>
        <v>-31.719000000000001</v>
      </c>
      <c r="J7404" s="90">
        <v>0</v>
      </c>
      <c r="K7404" s="90">
        <f>SUM(H7404:J7404)</f>
        <v>179.74100000000001</v>
      </c>
      <c r="N7404" s="91">
        <f t="shared" si="3829"/>
        <v>0</v>
      </c>
      <c r="O7404" s="411">
        <f t="shared" si="3804"/>
        <v>179.74100000000001</v>
      </c>
      <c r="P7404" s="132" t="s">
        <v>52</v>
      </c>
      <c r="Q7404" s="232"/>
      <c r="R7404" s="411"/>
      <c r="T7404" s="134" t="s">
        <v>145</v>
      </c>
      <c r="U7404" s="267" t="s">
        <v>15635</v>
      </c>
      <c r="AA7404" s="218"/>
    </row>
    <row r="7405" spans="1:27" ht="24" x14ac:dyDescent="0.25">
      <c r="A7405" s="405">
        <v>3005821</v>
      </c>
      <c r="B7405" s="406">
        <v>42704</v>
      </c>
      <c r="C7405" s="405" t="s">
        <v>237</v>
      </c>
      <c r="D7405" s="401" t="s">
        <v>15636</v>
      </c>
      <c r="E7405" s="120">
        <v>100</v>
      </c>
      <c r="F7405" s="133" t="s">
        <v>3440</v>
      </c>
      <c r="G7405" s="404" t="s">
        <v>7486</v>
      </c>
      <c r="H7405" s="411">
        <v>147.44</v>
      </c>
      <c r="I7405" s="94">
        <f t="shared" ref="I7405" si="3831">-(H7405*0.15)</f>
        <v>-22.116</v>
      </c>
      <c r="J7405" s="90">
        <v>0</v>
      </c>
      <c r="K7405" s="90">
        <f>SUM(H7405:J7405)</f>
        <v>125.324</v>
      </c>
      <c r="L7405" s="131">
        <v>970</v>
      </c>
      <c r="N7405" s="91">
        <f t="shared" si="3829"/>
        <v>97</v>
      </c>
      <c r="O7405" s="411">
        <f t="shared" si="3804"/>
        <v>28.323999999999998</v>
      </c>
      <c r="P7405" s="132" t="s">
        <v>601</v>
      </c>
      <c r="Q7405" s="232"/>
      <c r="R7405" s="411"/>
      <c r="T7405" s="134" t="s">
        <v>145</v>
      </c>
      <c r="U7405" s="267" t="s">
        <v>15637</v>
      </c>
      <c r="AA7405" s="218"/>
    </row>
    <row r="7406" spans="1:27" x14ac:dyDescent="0.25">
      <c r="A7406" s="419">
        <v>3005822</v>
      </c>
      <c r="B7406" s="421">
        <v>42704</v>
      </c>
      <c r="C7406" s="419" t="s">
        <v>237</v>
      </c>
      <c r="D7406" s="417" t="s">
        <v>15638</v>
      </c>
      <c r="E7406" s="120">
        <v>25</v>
      </c>
      <c r="F7406" s="133" t="s">
        <v>2483</v>
      </c>
      <c r="G7406" s="434" t="s">
        <v>7486</v>
      </c>
      <c r="H7406" s="427">
        <v>118.34</v>
      </c>
      <c r="I7406" s="452">
        <f t="shared" ref="I7406" si="3832">-(H7406*0.15)</f>
        <v>-17.751000000000001</v>
      </c>
      <c r="J7406" s="425">
        <v>0</v>
      </c>
      <c r="K7406" s="425">
        <f>SUM(H7406:J7406)</f>
        <v>100.589</v>
      </c>
      <c r="L7406" s="131">
        <v>1460</v>
      </c>
      <c r="N7406" s="91">
        <f t="shared" si="3829"/>
        <v>36.5</v>
      </c>
      <c r="O7406" s="411">
        <f t="shared" si="3804"/>
        <v>64.088999999999999</v>
      </c>
      <c r="P7406" s="132" t="s">
        <v>601</v>
      </c>
      <c r="Q7406" s="232"/>
      <c r="R7406" s="411"/>
      <c r="T7406" s="439" t="s">
        <v>145</v>
      </c>
      <c r="U7406" s="446" t="s">
        <v>15639</v>
      </c>
      <c r="AA7406" s="218"/>
    </row>
    <row r="7407" spans="1:27" x14ac:dyDescent="0.25">
      <c r="A7407" s="420"/>
      <c r="B7407" s="422"/>
      <c r="C7407" s="420"/>
      <c r="D7407" s="418"/>
      <c r="E7407" s="120">
        <v>25</v>
      </c>
      <c r="F7407" s="133" t="s">
        <v>3345</v>
      </c>
      <c r="G7407" s="436"/>
      <c r="H7407" s="428"/>
      <c r="I7407" s="453"/>
      <c r="J7407" s="426"/>
      <c r="K7407" s="426"/>
      <c r="L7407" s="131">
        <v>1488</v>
      </c>
      <c r="N7407" s="91">
        <f t="shared" si="3829"/>
        <v>37.200000000000003</v>
      </c>
      <c r="O7407" s="411">
        <f t="shared" si="3804"/>
        <v>-37.200000000000003</v>
      </c>
      <c r="P7407" s="132" t="s">
        <v>601</v>
      </c>
      <c r="Q7407" s="232"/>
      <c r="R7407" s="411"/>
      <c r="T7407" s="441"/>
      <c r="U7407" s="447"/>
      <c r="AA7407" s="218"/>
    </row>
    <row r="7408" spans="1:27" ht="24" x14ac:dyDescent="0.25">
      <c r="A7408" s="405">
        <v>3005823</v>
      </c>
      <c r="B7408" s="406">
        <v>42704</v>
      </c>
      <c r="C7408" s="405" t="s">
        <v>237</v>
      </c>
      <c r="D7408" s="401" t="s">
        <v>15640</v>
      </c>
      <c r="E7408" s="120">
        <v>100</v>
      </c>
      <c r="F7408" s="133" t="s">
        <v>341</v>
      </c>
      <c r="G7408" s="404" t="s">
        <v>7486</v>
      </c>
      <c r="H7408" s="411">
        <v>157.13999999999999</v>
      </c>
      <c r="I7408" s="94">
        <f t="shared" ref="I7408" si="3833">-(H7408*0.15)</f>
        <v>-23.570999999999998</v>
      </c>
      <c r="J7408" s="90">
        <v>0</v>
      </c>
      <c r="K7408" s="90">
        <f t="shared" ref="K7408:K7414" si="3834">SUM(H7408:J7408)</f>
        <v>133.56899999999999</v>
      </c>
      <c r="L7408" s="131">
        <v>698</v>
      </c>
      <c r="N7408" s="91">
        <f t="shared" si="3829"/>
        <v>69.8</v>
      </c>
      <c r="O7408" s="411">
        <f t="shared" si="3804"/>
        <v>63.768999999999991</v>
      </c>
      <c r="P7408" s="132" t="s">
        <v>52</v>
      </c>
      <c r="Q7408" s="232"/>
      <c r="R7408" s="411"/>
      <c r="T7408" s="134" t="s">
        <v>145</v>
      </c>
      <c r="U7408" s="267" t="s">
        <v>15641</v>
      </c>
      <c r="AA7408" s="218"/>
    </row>
    <row r="7409" spans="1:27" ht="24" x14ac:dyDescent="0.25">
      <c r="A7409" s="405">
        <v>3005824</v>
      </c>
      <c r="B7409" s="406">
        <v>42704</v>
      </c>
      <c r="C7409" s="405" t="s">
        <v>237</v>
      </c>
      <c r="D7409" s="401" t="s">
        <v>287</v>
      </c>
      <c r="E7409" s="120">
        <v>200</v>
      </c>
      <c r="F7409" s="133" t="s">
        <v>5038</v>
      </c>
      <c r="G7409" s="404" t="s">
        <v>7486</v>
      </c>
      <c r="H7409" s="411">
        <v>355.94</v>
      </c>
      <c r="I7409" s="94">
        <f t="shared" ref="I7409" si="3835">-(H7409*0.15)</f>
        <v>-53.390999999999998</v>
      </c>
      <c r="J7409" s="90">
        <v>0</v>
      </c>
      <c r="K7409" s="90">
        <f t="shared" si="3834"/>
        <v>302.54899999999998</v>
      </c>
      <c r="L7409" s="131">
        <v>900</v>
      </c>
      <c r="N7409" s="91">
        <f t="shared" si="3829"/>
        <v>180</v>
      </c>
      <c r="O7409" s="411">
        <f t="shared" si="3804"/>
        <v>122.54899999999998</v>
      </c>
      <c r="P7409" s="132" t="s">
        <v>52</v>
      </c>
      <c r="Q7409" s="232"/>
      <c r="R7409" s="411"/>
      <c r="T7409" s="134" t="s">
        <v>145</v>
      </c>
      <c r="U7409" s="267" t="s">
        <v>15642</v>
      </c>
      <c r="AA7409" s="218"/>
    </row>
    <row r="7410" spans="1:27" ht="24" x14ac:dyDescent="0.25">
      <c r="A7410" s="405">
        <v>3005825</v>
      </c>
      <c r="B7410" s="406">
        <v>42704</v>
      </c>
      <c r="C7410" s="405" t="s">
        <v>237</v>
      </c>
      <c r="D7410" s="401" t="s">
        <v>15643</v>
      </c>
      <c r="E7410" s="120">
        <v>50</v>
      </c>
      <c r="F7410" s="133" t="s">
        <v>161</v>
      </c>
      <c r="G7410" s="404" t="s">
        <v>7486</v>
      </c>
      <c r="H7410" s="411">
        <v>136.77000000000001</v>
      </c>
      <c r="I7410" s="94">
        <f t="shared" ref="I7410" si="3836">-(H7410*0.15)</f>
        <v>-20.515499999999999</v>
      </c>
      <c r="J7410" s="90">
        <v>0</v>
      </c>
      <c r="K7410" s="90">
        <f t="shared" si="3834"/>
        <v>116.25450000000001</v>
      </c>
      <c r="L7410" s="131">
        <v>1440</v>
      </c>
      <c r="N7410" s="91">
        <f t="shared" si="3829"/>
        <v>72</v>
      </c>
      <c r="O7410" s="411">
        <f t="shared" si="3804"/>
        <v>44.254500000000007</v>
      </c>
      <c r="P7410" s="132" t="s">
        <v>52</v>
      </c>
      <c r="Q7410" s="232"/>
      <c r="R7410" s="411"/>
      <c r="T7410" s="134" t="s">
        <v>145</v>
      </c>
      <c r="U7410" s="267" t="s">
        <v>15644</v>
      </c>
      <c r="AA7410" s="218"/>
    </row>
    <row r="7411" spans="1:27" ht="24" x14ac:dyDescent="0.25">
      <c r="A7411" s="405">
        <v>3005826</v>
      </c>
      <c r="B7411" s="406">
        <v>42704</v>
      </c>
      <c r="C7411" s="405" t="s">
        <v>237</v>
      </c>
      <c r="D7411" s="401" t="s">
        <v>15645</v>
      </c>
      <c r="E7411" s="120">
        <v>200</v>
      </c>
      <c r="F7411" s="133" t="s">
        <v>247</v>
      </c>
      <c r="G7411" s="404" t="s">
        <v>7486</v>
      </c>
      <c r="H7411" s="411">
        <v>200</v>
      </c>
      <c r="I7411" s="94">
        <f t="shared" ref="I7411" si="3837">-(H7411*0.15)</f>
        <v>-30</v>
      </c>
      <c r="J7411" s="90">
        <v>0</v>
      </c>
      <c r="K7411" s="90">
        <f t="shared" si="3834"/>
        <v>170</v>
      </c>
      <c r="L7411" s="131">
        <v>424</v>
      </c>
      <c r="N7411" s="91">
        <f t="shared" si="3829"/>
        <v>84.800000000000011</v>
      </c>
      <c r="O7411" s="411">
        <f t="shared" si="3804"/>
        <v>85.199999999999989</v>
      </c>
      <c r="P7411" s="132" t="s">
        <v>52</v>
      </c>
      <c r="Q7411" s="232"/>
      <c r="R7411" s="411"/>
      <c r="T7411" s="134" t="s">
        <v>145</v>
      </c>
      <c r="U7411" s="267" t="s">
        <v>15646</v>
      </c>
      <c r="AA7411" s="218"/>
    </row>
    <row r="7412" spans="1:27" ht="24" x14ac:dyDescent="0.25">
      <c r="A7412" s="405">
        <v>3005827</v>
      </c>
      <c r="B7412" s="406">
        <v>42704</v>
      </c>
      <c r="C7412" s="405" t="s">
        <v>237</v>
      </c>
      <c r="D7412" s="401" t="s">
        <v>15647</v>
      </c>
      <c r="E7412" s="120">
        <v>175</v>
      </c>
      <c r="F7412" s="133" t="s">
        <v>247</v>
      </c>
      <c r="G7412" s="404" t="s">
        <v>7486</v>
      </c>
      <c r="H7412" s="411">
        <v>150</v>
      </c>
      <c r="I7412" s="94">
        <f t="shared" ref="I7412:I7414" si="3838">-(H7412*0.15)</f>
        <v>-22.5</v>
      </c>
      <c r="J7412" s="90">
        <v>0</v>
      </c>
      <c r="K7412" s="90">
        <f t="shared" si="3834"/>
        <v>127.5</v>
      </c>
      <c r="L7412" s="131">
        <v>424</v>
      </c>
      <c r="N7412" s="91">
        <f t="shared" si="3829"/>
        <v>74.2</v>
      </c>
      <c r="O7412" s="411">
        <f t="shared" si="3804"/>
        <v>53.3</v>
      </c>
      <c r="P7412" s="132" t="s">
        <v>52</v>
      </c>
      <c r="Q7412" s="232"/>
      <c r="R7412" s="411"/>
      <c r="T7412" s="134" t="s">
        <v>145</v>
      </c>
      <c r="U7412" s="267" t="s">
        <v>15648</v>
      </c>
      <c r="AA7412" s="218"/>
    </row>
    <row r="7413" spans="1:27" ht="24" x14ac:dyDescent="0.25">
      <c r="A7413" s="405">
        <v>3005828</v>
      </c>
      <c r="B7413" s="406">
        <v>42704</v>
      </c>
      <c r="C7413" s="405" t="s">
        <v>237</v>
      </c>
      <c r="D7413" s="401" t="s">
        <v>15649</v>
      </c>
      <c r="E7413" s="120">
        <v>100</v>
      </c>
      <c r="F7413" s="133" t="s">
        <v>161</v>
      </c>
      <c r="G7413" s="404" t="s">
        <v>7486</v>
      </c>
      <c r="H7413" s="411">
        <v>228.09</v>
      </c>
      <c r="I7413" s="94">
        <f t="shared" si="3838"/>
        <v>-34.213499999999996</v>
      </c>
      <c r="J7413" s="90">
        <v>0</v>
      </c>
      <c r="K7413" s="90">
        <f t="shared" si="3834"/>
        <v>193.87650000000002</v>
      </c>
      <c r="L7413" s="131">
        <v>1440</v>
      </c>
      <c r="N7413" s="91">
        <f t="shared" si="3829"/>
        <v>144</v>
      </c>
      <c r="O7413" s="411">
        <f t="shared" si="3804"/>
        <v>49.876500000000021</v>
      </c>
      <c r="P7413" s="132" t="s">
        <v>52</v>
      </c>
      <c r="Q7413" s="232"/>
      <c r="R7413" s="411"/>
      <c r="T7413" s="134" t="s">
        <v>145</v>
      </c>
      <c r="U7413" s="267" t="s">
        <v>15650</v>
      </c>
      <c r="AA7413" s="218"/>
    </row>
    <row r="7414" spans="1:27" x14ac:dyDescent="0.25">
      <c r="A7414" s="419">
        <v>3005829</v>
      </c>
      <c r="B7414" s="421">
        <v>42704</v>
      </c>
      <c r="C7414" s="419" t="s">
        <v>237</v>
      </c>
      <c r="D7414" s="417" t="s">
        <v>15651</v>
      </c>
      <c r="E7414" s="120">
        <v>50</v>
      </c>
      <c r="F7414" s="133" t="s">
        <v>3440</v>
      </c>
      <c r="G7414" s="434" t="s">
        <v>7486</v>
      </c>
      <c r="H7414" s="427">
        <v>147.44</v>
      </c>
      <c r="I7414" s="452">
        <f t="shared" si="3838"/>
        <v>-22.116</v>
      </c>
      <c r="J7414" s="425">
        <v>0</v>
      </c>
      <c r="K7414" s="425">
        <f t="shared" si="3834"/>
        <v>125.324</v>
      </c>
      <c r="L7414" s="131">
        <v>970</v>
      </c>
      <c r="N7414" s="91">
        <f t="shared" si="3829"/>
        <v>48.5</v>
      </c>
      <c r="O7414" s="411">
        <f t="shared" si="3804"/>
        <v>76.823999999999998</v>
      </c>
      <c r="P7414" s="132" t="s">
        <v>601</v>
      </c>
      <c r="Q7414" s="232"/>
      <c r="R7414" s="411"/>
      <c r="T7414" s="442" t="s">
        <v>755</v>
      </c>
      <c r="AA7414" s="218"/>
    </row>
    <row r="7415" spans="1:27" x14ac:dyDescent="0.25">
      <c r="A7415" s="420"/>
      <c r="B7415" s="422"/>
      <c r="C7415" s="420"/>
      <c r="D7415" s="418"/>
      <c r="E7415" s="120">
        <v>50</v>
      </c>
      <c r="F7415" s="133" t="s">
        <v>3442</v>
      </c>
      <c r="G7415" s="436"/>
      <c r="H7415" s="428"/>
      <c r="I7415" s="453"/>
      <c r="J7415" s="426"/>
      <c r="K7415" s="426"/>
      <c r="L7415" s="131">
        <v>970</v>
      </c>
      <c r="N7415" s="91">
        <f t="shared" si="3829"/>
        <v>48.5</v>
      </c>
      <c r="O7415" s="411">
        <f t="shared" si="3804"/>
        <v>-48.5</v>
      </c>
      <c r="P7415" s="132" t="s">
        <v>601</v>
      </c>
      <c r="Q7415" s="232"/>
      <c r="R7415" s="411"/>
      <c r="T7415" s="443"/>
      <c r="AA7415" s="218"/>
    </row>
    <row r="7416" spans="1:27" x14ac:dyDescent="0.25">
      <c r="A7416" s="419">
        <v>3005830</v>
      </c>
      <c r="B7416" s="421">
        <v>42704</v>
      </c>
      <c r="C7416" s="419" t="s">
        <v>237</v>
      </c>
      <c r="D7416" s="417" t="s">
        <v>15652</v>
      </c>
      <c r="E7416" s="120">
        <v>50</v>
      </c>
      <c r="F7416" s="133" t="s">
        <v>3719</v>
      </c>
      <c r="G7416" s="434" t="s">
        <v>7486</v>
      </c>
      <c r="H7416" s="427">
        <v>176.54</v>
      </c>
      <c r="I7416" s="452">
        <f t="shared" ref="I7416" si="3839">-(H7416*0.15)</f>
        <v>-26.480999999999998</v>
      </c>
      <c r="J7416" s="425">
        <v>0</v>
      </c>
      <c r="K7416" s="425">
        <f>SUM(H7416:J7416)</f>
        <v>150.059</v>
      </c>
      <c r="L7416" s="131">
        <v>1197</v>
      </c>
      <c r="N7416" s="91">
        <f t="shared" si="3829"/>
        <v>59.85</v>
      </c>
      <c r="O7416" s="411">
        <f t="shared" si="3804"/>
        <v>90.209000000000003</v>
      </c>
      <c r="P7416" s="132" t="s">
        <v>601</v>
      </c>
      <c r="Q7416" s="232"/>
      <c r="R7416" s="411"/>
      <c r="T7416" s="442" t="s">
        <v>755</v>
      </c>
      <c r="AA7416" s="218"/>
    </row>
    <row r="7417" spans="1:27" x14ac:dyDescent="0.25">
      <c r="A7417" s="420"/>
      <c r="B7417" s="422"/>
      <c r="C7417" s="420"/>
      <c r="D7417" s="418"/>
      <c r="E7417" s="120">
        <v>50</v>
      </c>
      <c r="F7417" s="133" t="s">
        <v>3307</v>
      </c>
      <c r="G7417" s="436"/>
      <c r="H7417" s="428"/>
      <c r="I7417" s="453"/>
      <c r="J7417" s="426"/>
      <c r="K7417" s="426"/>
      <c r="L7417" s="131">
        <v>1197</v>
      </c>
      <c r="N7417" s="91">
        <f t="shared" si="3829"/>
        <v>59.85</v>
      </c>
      <c r="O7417" s="411">
        <f t="shared" si="3804"/>
        <v>-59.85</v>
      </c>
      <c r="P7417" s="132" t="s">
        <v>601</v>
      </c>
      <c r="Q7417" s="232"/>
      <c r="R7417" s="411"/>
      <c r="T7417" s="443"/>
      <c r="AA7417" s="218"/>
    </row>
    <row r="7418" spans="1:27" ht="24" x14ac:dyDescent="0.25">
      <c r="A7418" s="405">
        <v>3005831</v>
      </c>
      <c r="B7418" s="406">
        <v>42704</v>
      </c>
      <c r="C7418" s="405" t="s">
        <v>237</v>
      </c>
      <c r="D7418" s="401" t="s">
        <v>15653</v>
      </c>
      <c r="E7418" s="120">
        <v>100</v>
      </c>
      <c r="F7418" s="133" t="s">
        <v>307</v>
      </c>
      <c r="G7418" s="404" t="s">
        <v>7486</v>
      </c>
      <c r="H7418" s="411">
        <v>131.35</v>
      </c>
      <c r="I7418" s="94">
        <f t="shared" ref="I7418" si="3840">-(H7418*0.15)</f>
        <v>-19.702499999999997</v>
      </c>
      <c r="J7418" s="90">
        <v>0</v>
      </c>
      <c r="K7418" s="90">
        <f>SUM(H7418:J7418)</f>
        <v>111.64749999999999</v>
      </c>
      <c r="L7418" s="131">
        <v>642.99</v>
      </c>
      <c r="N7418" s="91">
        <f t="shared" si="3829"/>
        <v>64.299000000000007</v>
      </c>
      <c r="O7418" s="411">
        <f t="shared" si="3804"/>
        <v>47.348499999999987</v>
      </c>
      <c r="P7418" s="132" t="s">
        <v>52</v>
      </c>
      <c r="Q7418" s="232"/>
      <c r="R7418" s="411"/>
      <c r="T7418" s="134" t="s">
        <v>145</v>
      </c>
      <c r="U7418" s="267" t="s">
        <v>15654</v>
      </c>
      <c r="AA7418" s="218"/>
    </row>
    <row r="7419" spans="1:27" ht="36" x14ac:dyDescent="0.25">
      <c r="A7419" s="405">
        <v>3005832</v>
      </c>
      <c r="B7419" s="406">
        <v>42704</v>
      </c>
      <c r="C7419" s="405" t="s">
        <v>237</v>
      </c>
      <c r="D7419" s="401" t="s">
        <v>15655</v>
      </c>
      <c r="E7419" s="120">
        <v>250</v>
      </c>
      <c r="F7419" s="119" t="s">
        <v>15656</v>
      </c>
      <c r="G7419" s="404" t="s">
        <v>7486</v>
      </c>
      <c r="H7419" s="411">
        <v>179</v>
      </c>
      <c r="I7419" s="94">
        <f t="shared" ref="I7419" si="3841">-(H7419*0.15)</f>
        <v>-26.849999999999998</v>
      </c>
      <c r="J7419" s="90">
        <v>0</v>
      </c>
      <c r="K7419" s="90">
        <f>SUM(H7419:J7419)</f>
        <v>152.15</v>
      </c>
      <c r="L7419" s="131">
        <v>410</v>
      </c>
      <c r="N7419" s="91">
        <f t="shared" si="3829"/>
        <v>102.5</v>
      </c>
      <c r="O7419" s="411">
        <f t="shared" si="3804"/>
        <v>49.650000000000006</v>
      </c>
      <c r="P7419" s="132" t="s">
        <v>235</v>
      </c>
      <c r="Q7419" s="232"/>
      <c r="R7419" s="411"/>
      <c r="T7419" s="134" t="s">
        <v>145</v>
      </c>
      <c r="U7419" s="267" t="s">
        <v>15657</v>
      </c>
      <c r="AA7419" s="218"/>
    </row>
    <row r="7420" spans="1:27" ht="24" x14ac:dyDescent="0.25">
      <c r="A7420" s="405">
        <v>3005833</v>
      </c>
      <c r="B7420" s="406">
        <v>42704</v>
      </c>
      <c r="C7420" s="405" t="s">
        <v>42</v>
      </c>
      <c r="D7420" s="401" t="s">
        <v>15658</v>
      </c>
      <c r="E7420" s="120">
        <v>500</v>
      </c>
      <c r="F7420" s="133" t="s">
        <v>451</v>
      </c>
      <c r="G7420" s="404" t="s">
        <v>7486</v>
      </c>
      <c r="H7420" s="411">
        <v>283.14</v>
      </c>
      <c r="I7420" s="89">
        <f t="shared" ref="I7420" si="3842">-(H7420*0.09)</f>
        <v>-25.482599999999998</v>
      </c>
      <c r="J7420" s="391">
        <f t="shared" ref="J7420" si="3843">-((H7420*0.019)+0.3)</f>
        <v>-5.6796599999999993</v>
      </c>
      <c r="K7420" s="90">
        <f t="shared" ref="K7420:K7421" si="3844">SUM(H7420:J7420)</f>
        <v>251.97773999999998</v>
      </c>
      <c r="L7420" s="131">
        <v>300</v>
      </c>
      <c r="N7420" s="91">
        <f t="shared" si="3829"/>
        <v>150</v>
      </c>
      <c r="O7420" s="411">
        <f t="shared" si="3804"/>
        <v>101.97773999999998</v>
      </c>
      <c r="P7420" s="132" t="s">
        <v>52</v>
      </c>
      <c r="Q7420" s="232"/>
      <c r="R7420" s="411"/>
      <c r="T7420" s="134" t="s">
        <v>145</v>
      </c>
      <c r="U7420" s="267" t="s">
        <v>15659</v>
      </c>
      <c r="AA7420" s="218"/>
    </row>
    <row r="7421" spans="1:27" x14ac:dyDescent="0.25">
      <c r="A7421" s="405">
        <v>3005834</v>
      </c>
      <c r="B7421" s="406">
        <v>42704</v>
      </c>
      <c r="C7421" s="405" t="s">
        <v>56</v>
      </c>
      <c r="D7421" s="401" t="s">
        <v>4020</v>
      </c>
      <c r="E7421" s="120">
        <v>1000</v>
      </c>
      <c r="F7421" s="133" t="s">
        <v>15660</v>
      </c>
      <c r="G7421" s="230" t="s">
        <v>45</v>
      </c>
      <c r="H7421" s="411">
        <v>1300</v>
      </c>
      <c r="I7421" s="411">
        <v>0</v>
      </c>
      <c r="J7421" s="411">
        <v>0</v>
      </c>
      <c r="K7421" s="90">
        <f t="shared" si="3844"/>
        <v>1300</v>
      </c>
      <c r="L7421" s="131">
        <v>700</v>
      </c>
      <c r="M7421" s="177"/>
      <c r="N7421" s="91">
        <f t="shared" si="3829"/>
        <v>700</v>
      </c>
      <c r="O7421" s="411">
        <f t="shared" si="3804"/>
        <v>600</v>
      </c>
      <c r="P7421" s="132" t="s">
        <v>638</v>
      </c>
      <c r="Q7421" s="232"/>
      <c r="R7421" s="411"/>
      <c r="T7421" s="135" t="s">
        <v>755</v>
      </c>
      <c r="V7421" s="133" t="s">
        <v>8237</v>
      </c>
      <c r="W7421" s="153" t="s">
        <v>298</v>
      </c>
      <c r="AA7421" s="218"/>
    </row>
    <row r="7422" spans="1:27" ht="24" customHeight="1" x14ac:dyDescent="0.25">
      <c r="A7422" s="419">
        <v>3005835</v>
      </c>
      <c r="B7422" s="421">
        <v>42704</v>
      </c>
      <c r="C7422" s="419" t="s">
        <v>555</v>
      </c>
      <c r="D7422" s="417" t="s">
        <v>15661</v>
      </c>
      <c r="E7422" s="120">
        <v>180</v>
      </c>
      <c r="F7422" s="133" t="s">
        <v>4767</v>
      </c>
      <c r="G7422" s="434" t="s">
        <v>7486</v>
      </c>
      <c r="H7422" s="427">
        <v>1343.98</v>
      </c>
      <c r="I7422" s="452">
        <v>0</v>
      </c>
      <c r="J7422" s="425">
        <v>0</v>
      </c>
      <c r="K7422" s="425">
        <f>SUM(H7422:J7422)</f>
        <v>1343.98</v>
      </c>
      <c r="L7422" s="131">
        <v>700</v>
      </c>
      <c r="M7422" s="131">
        <v>0</v>
      </c>
      <c r="N7422" s="91">
        <f t="shared" si="3829"/>
        <v>126</v>
      </c>
      <c r="O7422" s="411">
        <f t="shared" si="3804"/>
        <v>1217.98</v>
      </c>
      <c r="P7422" s="132" t="s">
        <v>15615</v>
      </c>
      <c r="Q7422" s="232"/>
      <c r="R7422" s="411"/>
      <c r="T7422" s="442" t="s">
        <v>8218</v>
      </c>
      <c r="U7422" s="458" t="s">
        <v>8218</v>
      </c>
      <c r="W7422" s="153" t="s">
        <v>15662</v>
      </c>
      <c r="AA7422" s="218"/>
    </row>
    <row r="7423" spans="1:27" x14ac:dyDescent="0.25">
      <c r="A7423" s="420"/>
      <c r="B7423" s="422"/>
      <c r="C7423" s="420"/>
      <c r="D7423" s="418"/>
      <c r="E7423" s="120">
        <v>180</v>
      </c>
      <c r="F7423" s="133" t="s">
        <v>5217</v>
      </c>
      <c r="G7423" s="436"/>
      <c r="H7423" s="428"/>
      <c r="I7423" s="453"/>
      <c r="J7423" s="426"/>
      <c r="K7423" s="426"/>
      <c r="L7423" s="131">
        <v>500</v>
      </c>
      <c r="N7423" s="91">
        <f t="shared" si="3829"/>
        <v>90</v>
      </c>
      <c r="O7423" s="411">
        <f t="shared" si="3804"/>
        <v>-90</v>
      </c>
      <c r="P7423" s="132" t="s">
        <v>15615</v>
      </c>
      <c r="Q7423" s="232"/>
      <c r="R7423" s="411"/>
      <c r="T7423" s="443"/>
      <c r="U7423" s="459"/>
      <c r="AA7423" s="218"/>
    </row>
    <row r="7424" spans="1:27" ht="24" x14ac:dyDescent="0.25">
      <c r="A7424" s="405">
        <v>3005836</v>
      </c>
      <c r="B7424" s="406">
        <v>42704</v>
      </c>
      <c r="C7424" s="405" t="s">
        <v>141</v>
      </c>
      <c r="D7424" s="401" t="s">
        <v>15663</v>
      </c>
      <c r="E7424" s="120">
        <v>150</v>
      </c>
      <c r="F7424" s="133" t="s">
        <v>5023</v>
      </c>
      <c r="G7424" s="404" t="s">
        <v>7486</v>
      </c>
      <c r="H7424" s="411">
        <v>179.23</v>
      </c>
      <c r="I7424" s="411">
        <v>0</v>
      </c>
      <c r="J7424" s="391">
        <f>-((H7424*0.0325)+0.3)</f>
        <v>-6.1249750000000001</v>
      </c>
      <c r="K7424" s="90">
        <f>SUM(H7424:J7424)</f>
        <v>173.10502499999998</v>
      </c>
      <c r="L7424" s="131">
        <v>880</v>
      </c>
      <c r="M7424" s="131">
        <v>17.989999999999998</v>
      </c>
      <c r="N7424" s="91">
        <f t="shared" si="3829"/>
        <v>149.99</v>
      </c>
      <c r="O7424" s="411">
        <f t="shared" si="3804"/>
        <v>23.115024999999974</v>
      </c>
      <c r="P7424" s="132" t="s">
        <v>183</v>
      </c>
      <c r="Q7424" s="232"/>
      <c r="R7424" s="411">
        <v>14.23</v>
      </c>
      <c r="S7424" s="133" t="s">
        <v>1169</v>
      </c>
      <c r="T7424" s="134" t="s">
        <v>145</v>
      </c>
      <c r="U7424" s="267" t="s">
        <v>15664</v>
      </c>
      <c r="W7424" s="153" t="s">
        <v>15665</v>
      </c>
      <c r="AA7424" s="218"/>
    </row>
    <row r="7425" spans="1:27" ht="24" x14ac:dyDescent="0.25">
      <c r="A7425" s="405">
        <v>3005837</v>
      </c>
      <c r="B7425" s="406">
        <v>42704</v>
      </c>
      <c r="C7425" s="405" t="s">
        <v>237</v>
      </c>
      <c r="D7425" s="401" t="s">
        <v>15666</v>
      </c>
      <c r="E7425" s="120">
        <v>100</v>
      </c>
      <c r="F7425" s="133" t="s">
        <v>288</v>
      </c>
      <c r="G7425" s="404" t="s">
        <v>7486</v>
      </c>
      <c r="H7425" s="411">
        <v>177.97</v>
      </c>
      <c r="I7425" s="94">
        <f t="shared" ref="I7425:I7426" si="3845">-(H7425*0.15)</f>
        <v>-26.695499999999999</v>
      </c>
      <c r="J7425" s="90">
        <v>0</v>
      </c>
      <c r="K7425" s="90">
        <f>SUM(H7425:J7425)</f>
        <v>151.27449999999999</v>
      </c>
      <c r="L7425" s="131">
        <v>900</v>
      </c>
      <c r="N7425" s="91">
        <f t="shared" si="3829"/>
        <v>90</v>
      </c>
      <c r="O7425" s="411">
        <f t="shared" si="3804"/>
        <v>61.274499999999989</v>
      </c>
      <c r="P7425" s="132" t="s">
        <v>52</v>
      </c>
      <c r="Q7425" s="232"/>
      <c r="R7425" s="411"/>
      <c r="T7425" s="134" t="s">
        <v>145</v>
      </c>
      <c r="U7425" s="267" t="s">
        <v>15667</v>
      </c>
      <c r="AA7425" s="218"/>
    </row>
    <row r="7426" spans="1:27" x14ac:dyDescent="0.25">
      <c r="A7426" s="419">
        <v>3005838</v>
      </c>
      <c r="B7426" s="421">
        <v>42704</v>
      </c>
      <c r="C7426" s="419" t="s">
        <v>237</v>
      </c>
      <c r="D7426" s="417" t="s">
        <v>15668</v>
      </c>
      <c r="E7426" s="120">
        <v>15</v>
      </c>
      <c r="F7426" s="133" t="s">
        <v>4407</v>
      </c>
      <c r="G7426" s="434" t="s">
        <v>7486</v>
      </c>
      <c r="H7426" s="427">
        <v>100</v>
      </c>
      <c r="I7426" s="452">
        <f t="shared" si="3845"/>
        <v>-15</v>
      </c>
      <c r="J7426" s="425">
        <v>0</v>
      </c>
      <c r="K7426" s="425">
        <f>SUM(H7426:J7426)</f>
        <v>85</v>
      </c>
      <c r="N7426" s="91">
        <f t="shared" si="3829"/>
        <v>0</v>
      </c>
      <c r="O7426" s="411">
        <f t="shared" si="3804"/>
        <v>85</v>
      </c>
      <c r="P7426" s="132" t="s">
        <v>52</v>
      </c>
      <c r="Q7426" s="232"/>
      <c r="R7426" s="411"/>
      <c r="T7426" s="442" t="s">
        <v>145</v>
      </c>
      <c r="U7426" s="306"/>
      <c r="AA7426" s="218"/>
    </row>
    <row r="7427" spans="1:27" x14ac:dyDescent="0.25">
      <c r="A7427" s="420"/>
      <c r="B7427" s="422"/>
      <c r="C7427" s="420"/>
      <c r="D7427" s="418"/>
      <c r="E7427" s="120">
        <v>15</v>
      </c>
      <c r="F7427" s="133" t="s">
        <v>1507</v>
      </c>
      <c r="G7427" s="436"/>
      <c r="H7427" s="428"/>
      <c r="I7427" s="453"/>
      <c r="J7427" s="426"/>
      <c r="K7427" s="426"/>
      <c r="N7427" s="91">
        <f t="shared" si="3829"/>
        <v>0</v>
      </c>
      <c r="O7427" s="411">
        <f t="shared" si="3804"/>
        <v>0</v>
      </c>
      <c r="P7427" s="132" t="s">
        <v>52</v>
      </c>
      <c r="Q7427" s="232"/>
      <c r="R7427" s="411"/>
      <c r="T7427" s="443"/>
      <c r="AA7427" s="218"/>
    </row>
    <row r="7428" spans="1:27" x14ac:dyDescent="0.25">
      <c r="A7428" s="419">
        <v>3005839</v>
      </c>
      <c r="B7428" s="421">
        <v>42704</v>
      </c>
      <c r="C7428" s="419" t="s">
        <v>56</v>
      </c>
      <c r="D7428" s="417" t="s">
        <v>3595</v>
      </c>
      <c r="E7428" s="120">
        <v>500</v>
      </c>
      <c r="F7428" s="133" t="s">
        <v>15669</v>
      </c>
      <c r="G7428" s="455" t="s">
        <v>7486</v>
      </c>
      <c r="H7428" s="427">
        <v>1580</v>
      </c>
      <c r="I7428" s="427">
        <v>0</v>
      </c>
      <c r="J7428" s="427">
        <v>0</v>
      </c>
      <c r="K7428" s="425">
        <f>SUM(H7428:J7428)</f>
        <v>1580</v>
      </c>
      <c r="L7428" s="131">
        <v>351</v>
      </c>
      <c r="M7428" s="131">
        <v>0</v>
      </c>
      <c r="N7428" s="91">
        <f t="shared" si="3829"/>
        <v>175.5</v>
      </c>
      <c r="O7428" s="411">
        <f t="shared" si="3804"/>
        <v>1404.5</v>
      </c>
      <c r="P7428" s="132" t="s">
        <v>638</v>
      </c>
      <c r="Q7428" s="232"/>
      <c r="R7428" s="411"/>
      <c r="T7428" s="442" t="s">
        <v>755</v>
      </c>
      <c r="V7428" s="133" t="s">
        <v>8237</v>
      </c>
      <c r="W7428" s="153" t="s">
        <v>298</v>
      </c>
      <c r="AA7428" s="218"/>
    </row>
    <row r="7429" spans="1:27" x14ac:dyDescent="0.25">
      <c r="A7429" s="432"/>
      <c r="B7429" s="433"/>
      <c r="C7429" s="432"/>
      <c r="D7429" s="454"/>
      <c r="E7429" s="120">
        <v>500</v>
      </c>
      <c r="F7429" s="133" t="s">
        <v>15670</v>
      </c>
      <c r="G7429" s="456"/>
      <c r="H7429" s="438"/>
      <c r="I7429" s="438"/>
      <c r="J7429" s="438"/>
      <c r="K7429" s="437"/>
      <c r="L7429" s="131">
        <v>750</v>
      </c>
      <c r="M7429" s="131">
        <v>0</v>
      </c>
      <c r="N7429" s="91">
        <f t="shared" si="3829"/>
        <v>375</v>
      </c>
      <c r="O7429" s="411">
        <f t="shared" si="3804"/>
        <v>-375</v>
      </c>
      <c r="P7429" s="132" t="s">
        <v>638</v>
      </c>
      <c r="Q7429" s="232"/>
      <c r="R7429" s="411"/>
      <c r="T7429" s="449"/>
      <c r="AA7429" s="218"/>
    </row>
    <row r="7430" spans="1:27" x14ac:dyDescent="0.25">
      <c r="A7430" s="432"/>
      <c r="B7430" s="433"/>
      <c r="C7430" s="432"/>
      <c r="D7430" s="454"/>
      <c r="E7430" s="120">
        <v>500</v>
      </c>
      <c r="F7430" s="133" t="s">
        <v>15671</v>
      </c>
      <c r="G7430" s="456"/>
      <c r="H7430" s="438"/>
      <c r="I7430" s="438"/>
      <c r="J7430" s="438"/>
      <c r="K7430" s="437"/>
      <c r="L7430" s="131">
        <v>750</v>
      </c>
      <c r="M7430" s="131" t="s">
        <v>15672</v>
      </c>
      <c r="N7430" s="91" t="e">
        <f t="shared" si="3829"/>
        <v>#VALUE!</v>
      </c>
      <c r="O7430" s="411" t="e">
        <f t="shared" si="3804"/>
        <v>#VALUE!</v>
      </c>
      <c r="P7430" s="132" t="s">
        <v>638</v>
      </c>
      <c r="Q7430" s="232"/>
      <c r="R7430" s="411"/>
      <c r="T7430" s="449"/>
      <c r="AA7430" s="218"/>
    </row>
    <row r="7431" spans="1:27" x14ac:dyDescent="0.25">
      <c r="A7431" s="432"/>
      <c r="B7431" s="433"/>
      <c r="C7431" s="432"/>
      <c r="D7431" s="454"/>
      <c r="E7431" s="120">
        <v>500</v>
      </c>
      <c r="F7431" s="133" t="s">
        <v>15673</v>
      </c>
      <c r="G7431" s="456"/>
      <c r="H7431" s="438"/>
      <c r="I7431" s="438"/>
      <c r="J7431" s="438"/>
      <c r="K7431" s="437"/>
      <c r="L7431" s="131">
        <v>750</v>
      </c>
      <c r="M7431" s="131">
        <v>0</v>
      </c>
      <c r="N7431" s="91">
        <f t="shared" si="3829"/>
        <v>375</v>
      </c>
      <c r="O7431" s="411">
        <f t="shared" si="3804"/>
        <v>-375</v>
      </c>
      <c r="P7431" s="132" t="s">
        <v>638</v>
      </c>
      <c r="Q7431" s="232"/>
      <c r="R7431" s="411"/>
      <c r="T7431" s="449"/>
      <c r="AA7431" s="218"/>
    </row>
    <row r="7432" spans="1:27" x14ac:dyDescent="0.25">
      <c r="A7432" s="420"/>
      <c r="B7432" s="422"/>
      <c r="C7432" s="420"/>
      <c r="D7432" s="418"/>
      <c r="E7432" s="120">
        <v>500</v>
      </c>
      <c r="F7432" s="133" t="s">
        <v>4405</v>
      </c>
      <c r="G7432" s="457"/>
      <c r="H7432" s="428"/>
      <c r="I7432" s="428"/>
      <c r="J7432" s="428"/>
      <c r="K7432" s="426"/>
      <c r="L7432" s="131">
        <v>342</v>
      </c>
      <c r="M7432" s="131">
        <v>0</v>
      </c>
      <c r="N7432" s="91">
        <f t="shared" si="3829"/>
        <v>171</v>
      </c>
      <c r="O7432" s="411">
        <f t="shared" si="3804"/>
        <v>-171</v>
      </c>
      <c r="P7432" s="132" t="s">
        <v>638</v>
      </c>
      <c r="Q7432" s="232"/>
      <c r="R7432" s="411"/>
      <c r="T7432" s="443"/>
      <c r="AA7432" s="218"/>
    </row>
    <row r="7433" spans="1:27" x14ac:dyDescent="0.25">
      <c r="A7433" s="405">
        <v>3005840</v>
      </c>
      <c r="B7433" s="406">
        <v>42704</v>
      </c>
      <c r="C7433" s="405" t="s">
        <v>63</v>
      </c>
      <c r="D7433" s="401" t="s">
        <v>1900</v>
      </c>
      <c r="E7433" s="120">
        <v>2000</v>
      </c>
      <c r="F7433" s="133" t="s">
        <v>15674</v>
      </c>
      <c r="G7433" s="404" t="s">
        <v>7486</v>
      </c>
      <c r="H7433" s="411">
        <v>1900</v>
      </c>
      <c r="I7433" s="411">
        <v>0</v>
      </c>
      <c r="J7433" s="391">
        <f>-((H7433*0.022)+0.3)</f>
        <v>-42.099999999999994</v>
      </c>
      <c r="K7433" s="90">
        <f>SUM(H7433:J7433)</f>
        <v>1857.9</v>
      </c>
      <c r="L7433" s="131">
        <v>700</v>
      </c>
      <c r="M7433" s="131">
        <v>197.87</v>
      </c>
      <c r="N7433" s="91">
        <f t="shared" si="3829"/>
        <v>1597.87</v>
      </c>
      <c r="O7433" s="411">
        <f t="shared" si="3804"/>
        <v>260.0300000000002</v>
      </c>
      <c r="P7433" s="132" t="s">
        <v>638</v>
      </c>
      <c r="Q7433" s="232"/>
      <c r="R7433" s="411"/>
      <c r="T7433" s="135" t="s">
        <v>11100</v>
      </c>
      <c r="V7433" s="133" t="s">
        <v>55</v>
      </c>
      <c r="W7433" s="153" t="s">
        <v>1903</v>
      </c>
      <c r="AA7433" s="219">
        <v>10</v>
      </c>
    </row>
    <row r="7434" spans="1:27" ht="36" x14ac:dyDescent="0.25">
      <c r="A7434" s="405">
        <v>3005841</v>
      </c>
      <c r="B7434" s="406">
        <v>42705</v>
      </c>
      <c r="C7434" s="405" t="s">
        <v>56</v>
      </c>
      <c r="D7434" s="401" t="s">
        <v>1300</v>
      </c>
      <c r="E7434" s="120">
        <v>1000</v>
      </c>
      <c r="F7434" s="119" t="s">
        <v>15675</v>
      </c>
      <c r="G7434" s="230" t="s">
        <v>7486</v>
      </c>
      <c r="H7434" s="411">
        <v>290</v>
      </c>
      <c r="I7434" s="411">
        <v>0</v>
      </c>
      <c r="J7434" s="411">
        <v>0</v>
      </c>
      <c r="K7434" s="90">
        <f>SUM(H7434:J7434)</f>
        <v>290</v>
      </c>
      <c r="L7434" s="131">
        <v>110</v>
      </c>
      <c r="N7434" s="91">
        <f t="shared" si="3829"/>
        <v>110</v>
      </c>
      <c r="O7434" s="411"/>
      <c r="P7434" s="132" t="s">
        <v>183</v>
      </c>
      <c r="Q7434" s="232"/>
      <c r="R7434" s="411"/>
      <c r="T7434" s="135" t="s">
        <v>755</v>
      </c>
      <c r="V7434" s="133" t="s">
        <v>15676</v>
      </c>
      <c r="W7434" s="153" t="s">
        <v>1302</v>
      </c>
      <c r="AA7434" s="218"/>
    </row>
    <row r="7435" spans="1:27" x14ac:dyDescent="0.25">
      <c r="A7435" s="405">
        <v>3005842</v>
      </c>
      <c r="B7435" s="406">
        <v>42705</v>
      </c>
      <c r="C7435" s="405" t="s">
        <v>42</v>
      </c>
      <c r="D7435" s="401" t="s">
        <v>15677</v>
      </c>
      <c r="E7435" s="120">
        <v>200</v>
      </c>
      <c r="F7435" s="133" t="s">
        <v>4851</v>
      </c>
      <c r="G7435" s="404" t="s">
        <v>7486</v>
      </c>
      <c r="H7435" s="411">
        <v>199.5</v>
      </c>
      <c r="I7435" s="89">
        <f t="shared" ref="I7435" si="3846">-(H7435*0.09)</f>
        <v>-17.954999999999998</v>
      </c>
      <c r="J7435" s="391">
        <f t="shared" ref="J7435" si="3847">-((H7435*0.019)+0.3)</f>
        <v>-4.0904999999999996</v>
      </c>
      <c r="K7435" s="90">
        <f t="shared" ref="K7435" si="3848">SUM(H7435:J7435)</f>
        <v>177.45450000000002</v>
      </c>
      <c r="L7435" s="131">
        <v>443</v>
      </c>
      <c r="N7435" s="91">
        <f t="shared" si="3829"/>
        <v>88.600000000000009</v>
      </c>
      <c r="O7435" s="411"/>
      <c r="P7435" s="132" t="s">
        <v>183</v>
      </c>
      <c r="Q7435" s="232"/>
      <c r="R7435" s="411"/>
      <c r="T7435" s="135" t="s">
        <v>755</v>
      </c>
      <c r="AA7435" s="218"/>
    </row>
    <row r="7436" spans="1:27" ht="24" x14ac:dyDescent="0.25">
      <c r="A7436" s="405">
        <v>3005843</v>
      </c>
      <c r="B7436" s="406">
        <v>42705</v>
      </c>
      <c r="C7436" s="405" t="s">
        <v>42</v>
      </c>
      <c r="D7436" s="401" t="s">
        <v>15678</v>
      </c>
      <c r="E7436" s="120">
        <v>120</v>
      </c>
      <c r="F7436" s="133" t="s">
        <v>247</v>
      </c>
      <c r="G7436" s="404" t="s">
        <v>7486</v>
      </c>
      <c r="H7436" s="411">
        <v>141.6</v>
      </c>
      <c r="I7436" s="89">
        <f t="shared" ref="I7436" si="3849">-(H7436*0.09)</f>
        <v>-12.744</v>
      </c>
      <c r="J7436" s="391">
        <f t="shared" ref="J7436" si="3850">-((H7436*0.019)+0.3)</f>
        <v>-2.9903999999999997</v>
      </c>
      <c r="K7436" s="90">
        <f t="shared" ref="K7436" si="3851">SUM(H7436:J7436)</f>
        <v>125.8656</v>
      </c>
      <c r="L7436" s="131">
        <v>424</v>
      </c>
      <c r="N7436" s="91">
        <f t="shared" si="3829"/>
        <v>50.879999999999995</v>
      </c>
      <c r="O7436" s="411"/>
      <c r="P7436" s="132" t="s">
        <v>52</v>
      </c>
      <c r="Q7436" s="232"/>
      <c r="R7436" s="411"/>
      <c r="T7436" s="135" t="s">
        <v>145</v>
      </c>
      <c r="AA7436" s="218"/>
    </row>
    <row r="7437" spans="1:27" ht="24" x14ac:dyDescent="0.25">
      <c r="A7437" s="405">
        <v>3005844</v>
      </c>
      <c r="B7437" s="406">
        <v>42705</v>
      </c>
      <c r="C7437" s="405" t="s">
        <v>42</v>
      </c>
      <c r="D7437" s="401" t="s">
        <v>15679</v>
      </c>
      <c r="E7437" s="120">
        <v>500</v>
      </c>
      <c r="F7437" s="119" t="s">
        <v>994</v>
      </c>
      <c r="G7437" s="404" t="s">
        <v>7486</v>
      </c>
      <c r="H7437" s="411">
        <v>100</v>
      </c>
      <c r="I7437" s="89">
        <f t="shared" ref="I7437" si="3852">-(H7437*0.09)</f>
        <v>-9</v>
      </c>
      <c r="J7437" s="391">
        <f t="shared" ref="J7437" si="3853">-((H7437*0.019)+0.3)</f>
        <v>-2.1999999999999997</v>
      </c>
      <c r="K7437" s="90">
        <f t="shared" ref="K7437" si="3854">SUM(H7437:J7437)</f>
        <v>88.8</v>
      </c>
      <c r="L7437" s="131">
        <v>98.8</v>
      </c>
      <c r="N7437" s="91">
        <f t="shared" si="3829"/>
        <v>49.4</v>
      </c>
      <c r="O7437" s="411"/>
      <c r="P7437" s="132" t="s">
        <v>183</v>
      </c>
      <c r="Q7437" s="232"/>
      <c r="R7437" s="411"/>
      <c r="T7437" s="135" t="s">
        <v>755</v>
      </c>
      <c r="AA7437" s="218"/>
    </row>
    <row r="7438" spans="1:27" ht="24" x14ac:dyDescent="0.25">
      <c r="A7438" s="405">
        <v>3005845</v>
      </c>
      <c r="B7438" s="406">
        <v>42705</v>
      </c>
      <c r="C7438" s="405" t="s">
        <v>42</v>
      </c>
      <c r="D7438" s="401" t="s">
        <v>15680</v>
      </c>
      <c r="E7438" s="120">
        <v>90</v>
      </c>
      <c r="F7438" s="133" t="s">
        <v>528</v>
      </c>
      <c r="G7438" s="404" t="s">
        <v>7486</v>
      </c>
      <c r="H7438" s="411">
        <v>228</v>
      </c>
      <c r="I7438" s="89">
        <f t="shared" ref="I7438" si="3855">-(H7438*0.09)</f>
        <v>-20.52</v>
      </c>
      <c r="J7438" s="391">
        <f t="shared" ref="J7438" si="3856">-((H7438*0.019)+0.3)</f>
        <v>-4.6319999999999997</v>
      </c>
      <c r="K7438" s="90">
        <f t="shared" ref="K7438" si="3857">SUM(H7438:J7438)</f>
        <v>202.84799999999998</v>
      </c>
      <c r="L7438" s="131">
        <v>1035</v>
      </c>
      <c r="N7438" s="91">
        <f t="shared" si="3829"/>
        <v>93.149999999999991</v>
      </c>
      <c r="O7438" s="411"/>
      <c r="P7438" s="132" t="s">
        <v>52</v>
      </c>
      <c r="Q7438" s="232"/>
      <c r="R7438" s="411"/>
      <c r="T7438" s="135" t="s">
        <v>145</v>
      </c>
      <c r="AA7438" s="218"/>
    </row>
    <row r="7439" spans="1:27" ht="24" x14ac:dyDescent="0.25">
      <c r="A7439" s="405">
        <v>3005846</v>
      </c>
      <c r="B7439" s="406">
        <v>42705</v>
      </c>
      <c r="C7439" s="405" t="s">
        <v>280</v>
      </c>
      <c r="D7439" s="401" t="s">
        <v>15681</v>
      </c>
      <c r="E7439" s="120">
        <v>73</v>
      </c>
      <c r="F7439" s="133" t="s">
        <v>247</v>
      </c>
      <c r="G7439" s="404" t="s">
        <v>7486</v>
      </c>
      <c r="H7439" s="411">
        <v>90.84</v>
      </c>
      <c r="I7439" s="411">
        <v>0</v>
      </c>
      <c r="J7439" s="391">
        <f>-((H7439*0.022)+0.3)</f>
        <v>-2.2984800000000001</v>
      </c>
      <c r="K7439" s="90">
        <f t="shared" ref="K7439:K7448" si="3858">SUM(H7439:J7439)</f>
        <v>88.541520000000006</v>
      </c>
      <c r="L7439" s="131">
        <v>424</v>
      </c>
      <c r="N7439" s="91">
        <f t="shared" si="3829"/>
        <v>30.951999999999998</v>
      </c>
      <c r="O7439" s="411"/>
      <c r="P7439" s="132" t="s">
        <v>52</v>
      </c>
      <c r="Q7439" s="232"/>
      <c r="R7439" s="411"/>
      <c r="T7439" s="135" t="s">
        <v>145</v>
      </c>
      <c r="W7439" s="153" t="s">
        <v>15682</v>
      </c>
      <c r="AA7439" s="218"/>
    </row>
    <row r="7440" spans="1:27" x14ac:dyDescent="0.25">
      <c r="A7440" s="405">
        <v>3005847</v>
      </c>
      <c r="B7440" s="406">
        <v>42705</v>
      </c>
      <c r="C7440" s="405" t="s">
        <v>237</v>
      </c>
      <c r="D7440" s="401" t="s">
        <v>15683</v>
      </c>
      <c r="E7440" s="120">
        <v>300</v>
      </c>
      <c r="F7440" s="133" t="s">
        <v>15684</v>
      </c>
      <c r="G7440" s="416" t="s">
        <v>7486</v>
      </c>
      <c r="H7440" s="411">
        <v>152</v>
      </c>
      <c r="I7440" s="94">
        <f t="shared" ref="I7440" si="3859">-(H7440*0.15)</f>
        <v>-22.8</v>
      </c>
      <c r="J7440" s="90">
        <v>0</v>
      </c>
      <c r="K7440" s="90">
        <f t="shared" si="3858"/>
        <v>129.19999999999999</v>
      </c>
      <c r="N7440" s="91">
        <f t="shared" si="3829"/>
        <v>0</v>
      </c>
      <c r="O7440" s="411"/>
      <c r="P7440" s="360"/>
      <c r="Q7440" s="232"/>
      <c r="R7440" s="411"/>
      <c r="AA7440" s="218"/>
    </row>
    <row r="7441" spans="1:27" x14ac:dyDescent="0.25">
      <c r="A7441" s="405">
        <v>3005848</v>
      </c>
      <c r="B7441" s="406">
        <v>42705</v>
      </c>
      <c r="C7441" s="405" t="s">
        <v>237</v>
      </c>
      <c r="D7441" s="401" t="s">
        <v>15685</v>
      </c>
      <c r="E7441" s="120">
        <v>225</v>
      </c>
      <c r="F7441" s="133" t="s">
        <v>877</v>
      </c>
      <c r="G7441" s="404" t="s">
        <v>7486</v>
      </c>
      <c r="H7441" s="411">
        <v>100</v>
      </c>
      <c r="I7441" s="94">
        <f t="shared" ref="I7441" si="3860">-(H7441*0.15)</f>
        <v>-15</v>
      </c>
      <c r="J7441" s="90">
        <v>0</v>
      </c>
      <c r="K7441" s="90">
        <f t="shared" si="3858"/>
        <v>85</v>
      </c>
      <c r="L7441" s="131">
        <v>174</v>
      </c>
      <c r="N7441" s="91">
        <f t="shared" si="3829"/>
        <v>39.15</v>
      </c>
      <c r="O7441" s="411"/>
      <c r="P7441" s="132" t="s">
        <v>86</v>
      </c>
      <c r="Q7441" s="232"/>
      <c r="R7441" s="411"/>
      <c r="T7441" s="135" t="s">
        <v>755</v>
      </c>
      <c r="AA7441" s="218"/>
    </row>
    <row r="7442" spans="1:27" x14ac:dyDescent="0.25">
      <c r="A7442" s="405">
        <v>3005849</v>
      </c>
      <c r="B7442" s="406">
        <v>42705</v>
      </c>
      <c r="C7442" s="405" t="s">
        <v>237</v>
      </c>
      <c r="D7442" s="401" t="s">
        <v>15686</v>
      </c>
      <c r="E7442" s="120">
        <v>100</v>
      </c>
      <c r="F7442" s="133" t="s">
        <v>431</v>
      </c>
      <c r="G7442" s="404" t="s">
        <v>7486</v>
      </c>
      <c r="H7442" s="411">
        <v>211.46</v>
      </c>
      <c r="I7442" s="94">
        <f t="shared" ref="I7442" si="3861">-(H7442*0.15)</f>
        <v>-31.719000000000001</v>
      </c>
      <c r="J7442" s="90">
        <v>0</v>
      </c>
      <c r="K7442" s="90">
        <f t="shared" si="3858"/>
        <v>179.74100000000001</v>
      </c>
      <c r="N7442" s="91">
        <f t="shared" si="3829"/>
        <v>0</v>
      </c>
      <c r="O7442" s="411"/>
      <c r="P7442" s="132" t="s">
        <v>52</v>
      </c>
      <c r="Q7442" s="232"/>
      <c r="R7442" s="411"/>
      <c r="AA7442" s="218"/>
    </row>
    <row r="7443" spans="1:27" x14ac:dyDescent="0.25">
      <c r="A7443" s="405">
        <v>3005850</v>
      </c>
      <c r="B7443" s="406">
        <v>42705</v>
      </c>
      <c r="C7443" s="405" t="s">
        <v>237</v>
      </c>
      <c r="D7443" s="401" t="s">
        <v>15687</v>
      </c>
      <c r="E7443" s="120">
        <v>100</v>
      </c>
      <c r="F7443" s="133" t="s">
        <v>590</v>
      </c>
      <c r="G7443" s="404" t="s">
        <v>7486</v>
      </c>
      <c r="H7443" s="411">
        <v>118.34</v>
      </c>
      <c r="I7443" s="94">
        <f t="shared" ref="I7443" si="3862">-(H7443*0.15)</f>
        <v>-17.751000000000001</v>
      </c>
      <c r="J7443" s="90">
        <v>0</v>
      </c>
      <c r="K7443" s="90">
        <f t="shared" si="3858"/>
        <v>100.589</v>
      </c>
      <c r="N7443" s="91">
        <f t="shared" si="3829"/>
        <v>0</v>
      </c>
      <c r="O7443" s="411"/>
      <c r="P7443" s="132" t="s">
        <v>52</v>
      </c>
      <c r="Q7443" s="232"/>
      <c r="R7443" s="411"/>
      <c r="AA7443" s="218"/>
    </row>
    <row r="7444" spans="1:27" ht="24" x14ac:dyDescent="0.25">
      <c r="A7444" s="405">
        <v>3005851</v>
      </c>
      <c r="B7444" s="406">
        <v>42705</v>
      </c>
      <c r="C7444" s="405" t="s">
        <v>237</v>
      </c>
      <c r="D7444" s="401" t="s">
        <v>15688</v>
      </c>
      <c r="E7444" s="120">
        <v>250</v>
      </c>
      <c r="F7444" s="133" t="s">
        <v>175</v>
      </c>
      <c r="G7444" s="404" t="s">
        <v>7486</v>
      </c>
      <c r="H7444" s="411">
        <v>140.69</v>
      </c>
      <c r="I7444" s="94">
        <f t="shared" ref="I7444" si="3863">-(H7444*0.15)</f>
        <v>-21.1035</v>
      </c>
      <c r="J7444" s="90">
        <v>0</v>
      </c>
      <c r="K7444" s="90">
        <f t="shared" si="3858"/>
        <v>119.5865</v>
      </c>
      <c r="L7444" s="131">
        <v>250</v>
      </c>
      <c r="N7444" s="91">
        <f t="shared" si="3829"/>
        <v>62.5</v>
      </c>
      <c r="O7444" s="411"/>
      <c r="P7444" s="132" t="s">
        <v>52</v>
      </c>
      <c r="Q7444" s="232"/>
      <c r="R7444" s="411"/>
      <c r="T7444" s="135" t="s">
        <v>145</v>
      </c>
      <c r="AA7444" s="218"/>
    </row>
    <row r="7445" spans="1:27" ht="24" x14ac:dyDescent="0.25">
      <c r="A7445" s="405">
        <v>3005852</v>
      </c>
      <c r="B7445" s="406">
        <v>42705</v>
      </c>
      <c r="C7445" s="405" t="s">
        <v>237</v>
      </c>
      <c r="D7445" s="401" t="s">
        <v>15689</v>
      </c>
      <c r="E7445" s="120">
        <v>1500</v>
      </c>
      <c r="F7445" s="133" t="s">
        <v>15690</v>
      </c>
      <c r="G7445" s="404" t="s">
        <v>7486</v>
      </c>
      <c r="H7445" s="411">
        <v>810</v>
      </c>
      <c r="I7445" s="94">
        <f t="shared" ref="I7445" si="3864">-(H7445*0.15)</f>
        <v>-121.5</v>
      </c>
      <c r="J7445" s="90">
        <v>0</v>
      </c>
      <c r="K7445" s="90">
        <f t="shared" si="3858"/>
        <v>688.5</v>
      </c>
      <c r="L7445" s="131">
        <v>300</v>
      </c>
      <c r="N7445" s="91">
        <f t="shared" si="3829"/>
        <v>450</v>
      </c>
      <c r="O7445" s="411"/>
      <c r="P7445" s="132" t="s">
        <v>52</v>
      </c>
      <c r="Q7445" s="232"/>
      <c r="R7445" s="411"/>
      <c r="T7445" s="135" t="s">
        <v>145</v>
      </c>
      <c r="AA7445" s="218"/>
    </row>
    <row r="7446" spans="1:27" ht="24" x14ac:dyDescent="0.25">
      <c r="A7446" s="405">
        <v>3005853</v>
      </c>
      <c r="B7446" s="406">
        <v>42705</v>
      </c>
      <c r="C7446" s="405" t="s">
        <v>237</v>
      </c>
      <c r="D7446" s="401" t="s">
        <v>15691</v>
      </c>
      <c r="E7446" s="120">
        <v>250</v>
      </c>
      <c r="F7446" s="133" t="s">
        <v>173</v>
      </c>
      <c r="G7446" s="404" t="s">
        <v>7486</v>
      </c>
      <c r="H7446" s="411">
        <v>200.25</v>
      </c>
      <c r="I7446" s="94">
        <f t="shared" ref="I7446" si="3865">-(H7446*0.15)</f>
        <v>-30.037499999999998</v>
      </c>
      <c r="J7446" s="90">
        <v>0</v>
      </c>
      <c r="K7446" s="90">
        <f t="shared" si="3858"/>
        <v>170.21250000000001</v>
      </c>
      <c r="L7446" s="131">
        <v>409</v>
      </c>
      <c r="N7446" s="91">
        <f t="shared" si="3829"/>
        <v>102.25</v>
      </c>
      <c r="O7446" s="411"/>
      <c r="P7446" s="132" t="s">
        <v>52</v>
      </c>
      <c r="Q7446" s="232"/>
      <c r="R7446" s="411"/>
      <c r="T7446" s="135" t="s">
        <v>145</v>
      </c>
      <c r="AA7446" s="218"/>
    </row>
    <row r="7447" spans="1:27" x14ac:dyDescent="0.25">
      <c r="A7447" s="405">
        <v>3005854</v>
      </c>
      <c r="B7447" s="406">
        <v>42705</v>
      </c>
      <c r="C7447" s="405" t="s">
        <v>237</v>
      </c>
      <c r="D7447" s="401" t="s">
        <v>15692</v>
      </c>
      <c r="E7447" s="120">
        <v>50</v>
      </c>
      <c r="F7447" s="133" t="s">
        <v>4407</v>
      </c>
      <c r="G7447" s="404" t="s">
        <v>7486</v>
      </c>
      <c r="H7447" s="411">
        <v>156.16999999999999</v>
      </c>
      <c r="I7447" s="94">
        <f t="shared" ref="I7447" si="3866">-(H7447*0.15)</f>
        <v>-23.425499999999996</v>
      </c>
      <c r="J7447" s="90">
        <v>0</v>
      </c>
      <c r="K7447" s="90">
        <f t="shared" si="3858"/>
        <v>132.74449999999999</v>
      </c>
      <c r="L7447" s="131">
        <v>2270</v>
      </c>
      <c r="N7447" s="91">
        <f t="shared" si="3829"/>
        <v>113.5</v>
      </c>
      <c r="O7447" s="411"/>
      <c r="P7447" s="132" t="s">
        <v>601</v>
      </c>
      <c r="Q7447" s="232"/>
      <c r="R7447" s="411"/>
      <c r="T7447" s="135" t="s">
        <v>755</v>
      </c>
      <c r="AA7447" s="218"/>
    </row>
    <row r="7448" spans="1:27" x14ac:dyDescent="0.25">
      <c r="A7448" s="419">
        <v>3005855</v>
      </c>
      <c r="B7448" s="421">
        <v>42705</v>
      </c>
      <c r="C7448" s="419" t="s">
        <v>237</v>
      </c>
      <c r="D7448" s="429" t="s">
        <v>15693</v>
      </c>
      <c r="E7448" s="120">
        <v>25</v>
      </c>
      <c r="F7448" s="133" t="s">
        <v>4407</v>
      </c>
      <c r="G7448" s="434" t="s">
        <v>7486</v>
      </c>
      <c r="H7448" s="427">
        <v>156.16999999999999</v>
      </c>
      <c r="I7448" s="452">
        <f t="shared" ref="I7448" si="3867">-(H7448*0.15)</f>
        <v>-23.425499999999996</v>
      </c>
      <c r="J7448" s="425">
        <v>0</v>
      </c>
      <c r="K7448" s="425">
        <f t="shared" si="3858"/>
        <v>132.74449999999999</v>
      </c>
      <c r="L7448" s="131">
        <v>2270</v>
      </c>
      <c r="N7448" s="91">
        <f t="shared" si="3829"/>
        <v>56.75</v>
      </c>
      <c r="O7448" s="411"/>
      <c r="P7448" s="132" t="s">
        <v>601</v>
      </c>
      <c r="Q7448" s="232"/>
      <c r="R7448" s="411"/>
      <c r="T7448" s="442" t="s">
        <v>755</v>
      </c>
      <c r="AA7448" s="218"/>
    </row>
    <row r="7449" spans="1:27" x14ac:dyDescent="0.25">
      <c r="A7449" s="420"/>
      <c r="B7449" s="422"/>
      <c r="C7449" s="420"/>
      <c r="D7449" s="431"/>
      <c r="E7449" s="120">
        <v>25</v>
      </c>
      <c r="F7449" s="133" t="s">
        <v>1507</v>
      </c>
      <c r="G7449" s="436"/>
      <c r="H7449" s="428"/>
      <c r="I7449" s="453"/>
      <c r="J7449" s="426"/>
      <c r="K7449" s="426"/>
      <c r="L7449" s="131">
        <v>2270</v>
      </c>
      <c r="N7449" s="91">
        <f t="shared" si="3829"/>
        <v>56.75</v>
      </c>
      <c r="O7449" s="411"/>
      <c r="P7449" s="132" t="s">
        <v>601</v>
      </c>
      <c r="Q7449" s="232"/>
      <c r="R7449" s="411"/>
      <c r="T7449" s="443"/>
      <c r="AA7449" s="218"/>
    </row>
    <row r="7450" spans="1:27" x14ac:dyDescent="0.25">
      <c r="A7450" s="405">
        <v>3005856</v>
      </c>
      <c r="B7450" s="406">
        <v>42705</v>
      </c>
      <c r="C7450" s="405" t="s">
        <v>56</v>
      </c>
      <c r="D7450" s="401" t="s">
        <v>2099</v>
      </c>
      <c r="E7450" s="120">
        <v>100</v>
      </c>
      <c r="F7450" s="133" t="s">
        <v>15694</v>
      </c>
      <c r="G7450" s="230" t="s">
        <v>7486</v>
      </c>
      <c r="H7450" s="411">
        <v>1552</v>
      </c>
      <c r="I7450" s="411">
        <v>0</v>
      </c>
      <c r="J7450" s="411">
        <v>0</v>
      </c>
      <c r="K7450" s="90">
        <f>SUM(H7450:J7450)</f>
        <v>1552</v>
      </c>
      <c r="L7450" s="131">
        <v>9000</v>
      </c>
      <c r="N7450" s="91">
        <f t="shared" si="3829"/>
        <v>900</v>
      </c>
      <c r="O7450" s="411"/>
      <c r="P7450" s="132" t="s">
        <v>183</v>
      </c>
      <c r="Q7450" s="232"/>
      <c r="R7450" s="411"/>
      <c r="T7450" s="135" t="s">
        <v>755</v>
      </c>
      <c r="V7450" s="133" t="s">
        <v>8237</v>
      </c>
      <c r="AA7450" s="218"/>
    </row>
    <row r="7451" spans="1:27" ht="24" x14ac:dyDescent="0.25">
      <c r="A7451" s="419">
        <v>3005857</v>
      </c>
      <c r="B7451" s="421">
        <v>42705</v>
      </c>
      <c r="C7451" s="419" t="s">
        <v>56</v>
      </c>
      <c r="D7451" s="417" t="s">
        <v>15695</v>
      </c>
      <c r="E7451" s="120">
        <v>1000</v>
      </c>
      <c r="F7451" s="119" t="s">
        <v>15696</v>
      </c>
      <c r="G7451" s="455" t="s">
        <v>7486</v>
      </c>
      <c r="H7451" s="427">
        <v>1330</v>
      </c>
      <c r="I7451" s="427">
        <v>0</v>
      </c>
      <c r="J7451" s="427">
        <v>0</v>
      </c>
      <c r="K7451" s="425">
        <f>SUM(H7451:J7451)</f>
        <v>1330</v>
      </c>
      <c r="N7451" s="91">
        <f t="shared" si="3829"/>
        <v>0</v>
      </c>
      <c r="O7451" s="91" t="e">
        <f t="shared" si="3829"/>
        <v>#VALUE!</v>
      </c>
      <c r="Q7451" s="232"/>
      <c r="R7451" s="411"/>
      <c r="V7451" s="133" t="s">
        <v>8237</v>
      </c>
      <c r="W7451" s="153" t="s">
        <v>15456</v>
      </c>
      <c r="AA7451" s="218"/>
    </row>
    <row r="7452" spans="1:27" ht="24" x14ac:dyDescent="0.25">
      <c r="A7452" s="432"/>
      <c r="B7452" s="433"/>
      <c r="C7452" s="432"/>
      <c r="D7452" s="454"/>
      <c r="E7452" s="120">
        <v>1000</v>
      </c>
      <c r="F7452" s="119" t="s">
        <v>15697</v>
      </c>
      <c r="G7452" s="456"/>
      <c r="H7452" s="438"/>
      <c r="I7452" s="438"/>
      <c r="J7452" s="438"/>
      <c r="K7452" s="437"/>
      <c r="N7452" s="91">
        <f t="shared" si="3829"/>
        <v>0</v>
      </c>
      <c r="O7452" s="411"/>
      <c r="Q7452" s="232"/>
      <c r="R7452" s="411"/>
      <c r="AA7452" s="218"/>
    </row>
    <row r="7453" spans="1:27" ht="24" x14ac:dyDescent="0.25">
      <c r="A7453" s="432"/>
      <c r="B7453" s="433"/>
      <c r="C7453" s="432"/>
      <c r="D7453" s="454"/>
      <c r="E7453" s="120">
        <v>1000</v>
      </c>
      <c r="F7453" s="119" t="s">
        <v>15698</v>
      </c>
      <c r="G7453" s="456"/>
      <c r="H7453" s="438"/>
      <c r="I7453" s="438"/>
      <c r="J7453" s="438"/>
      <c r="K7453" s="437"/>
      <c r="N7453" s="91">
        <f t="shared" ref="N7453:N7465" si="3868">((L7453)*(E7453*0.001))+M7453</f>
        <v>0</v>
      </c>
      <c r="O7453" s="411"/>
      <c r="Q7453" s="232"/>
      <c r="R7453" s="411"/>
      <c r="AA7453" s="218"/>
    </row>
    <row r="7454" spans="1:27" ht="24" x14ac:dyDescent="0.25">
      <c r="A7454" s="420"/>
      <c r="B7454" s="422"/>
      <c r="C7454" s="420"/>
      <c r="D7454" s="418"/>
      <c r="E7454" s="120">
        <v>1000</v>
      </c>
      <c r="F7454" s="119" t="s">
        <v>15699</v>
      </c>
      <c r="G7454" s="457"/>
      <c r="H7454" s="428"/>
      <c r="I7454" s="428"/>
      <c r="J7454" s="428"/>
      <c r="K7454" s="426"/>
      <c r="N7454" s="91">
        <f t="shared" si="3868"/>
        <v>0</v>
      </c>
      <c r="O7454" s="411"/>
      <c r="Q7454" s="232"/>
      <c r="R7454" s="411"/>
      <c r="AA7454" s="218"/>
    </row>
    <row r="7455" spans="1:27" x14ac:dyDescent="0.25">
      <c r="A7455" s="419">
        <v>3005858</v>
      </c>
      <c r="B7455" s="421">
        <v>42705</v>
      </c>
      <c r="C7455" s="419" t="s">
        <v>63</v>
      </c>
      <c r="D7455" s="429" t="s">
        <v>2069</v>
      </c>
      <c r="E7455" s="120">
        <v>100</v>
      </c>
      <c r="F7455" s="133" t="s">
        <v>1419</v>
      </c>
      <c r="G7455" s="434" t="s">
        <v>7486</v>
      </c>
      <c r="H7455" s="427">
        <v>240</v>
      </c>
      <c r="I7455" s="427">
        <v>0</v>
      </c>
      <c r="J7455" s="425">
        <f>-((H7455*0.022)+0.3)</f>
        <v>-5.5799999999999992</v>
      </c>
      <c r="K7455" s="425">
        <f>SUM(H7455:J7455)</f>
        <v>234.42</v>
      </c>
      <c r="L7455" s="131">
        <v>260</v>
      </c>
      <c r="N7455" s="91">
        <f t="shared" si="3868"/>
        <v>26</v>
      </c>
      <c r="O7455" s="411"/>
      <c r="P7455" s="132" t="s">
        <v>235</v>
      </c>
      <c r="Q7455" s="232"/>
      <c r="R7455" s="411"/>
      <c r="T7455" s="439" t="s">
        <v>145</v>
      </c>
      <c r="U7455" s="446" t="s">
        <v>15700</v>
      </c>
      <c r="W7455" s="153" t="s">
        <v>15701</v>
      </c>
      <c r="AA7455" s="218"/>
    </row>
    <row r="7456" spans="1:27" x14ac:dyDescent="0.25">
      <c r="A7456" s="432"/>
      <c r="B7456" s="433"/>
      <c r="C7456" s="432"/>
      <c r="D7456" s="430"/>
      <c r="E7456" s="120">
        <v>100</v>
      </c>
      <c r="F7456" s="133" t="s">
        <v>6946</v>
      </c>
      <c r="G7456" s="435"/>
      <c r="H7456" s="438"/>
      <c r="I7456" s="438"/>
      <c r="J7456" s="437"/>
      <c r="K7456" s="437"/>
      <c r="L7456" s="131">
        <v>260</v>
      </c>
      <c r="N7456" s="91">
        <f t="shared" si="3868"/>
        <v>26</v>
      </c>
      <c r="O7456" s="411"/>
      <c r="P7456" s="132" t="s">
        <v>235</v>
      </c>
      <c r="Q7456" s="232"/>
      <c r="R7456" s="411"/>
      <c r="T7456" s="440"/>
      <c r="U7456" s="448"/>
      <c r="AA7456" s="218"/>
    </row>
    <row r="7457" spans="1:27" x14ac:dyDescent="0.25">
      <c r="A7457" s="432"/>
      <c r="B7457" s="433"/>
      <c r="C7457" s="432"/>
      <c r="D7457" s="430"/>
      <c r="E7457" s="120">
        <v>100</v>
      </c>
      <c r="F7457" s="133" t="s">
        <v>6947</v>
      </c>
      <c r="G7457" s="435"/>
      <c r="H7457" s="438"/>
      <c r="I7457" s="438"/>
      <c r="J7457" s="437"/>
      <c r="K7457" s="437"/>
      <c r="L7457" s="131">
        <v>260</v>
      </c>
      <c r="N7457" s="91">
        <f t="shared" si="3868"/>
        <v>26</v>
      </c>
      <c r="O7457" s="411"/>
      <c r="P7457" s="132" t="s">
        <v>235</v>
      </c>
      <c r="Q7457" s="232"/>
      <c r="R7457" s="411"/>
      <c r="T7457" s="440"/>
      <c r="U7457" s="448"/>
      <c r="AA7457" s="218"/>
    </row>
    <row r="7458" spans="1:27" x14ac:dyDescent="0.25">
      <c r="A7458" s="420"/>
      <c r="B7458" s="422"/>
      <c r="C7458" s="420"/>
      <c r="D7458" s="431"/>
      <c r="E7458" s="120">
        <v>100</v>
      </c>
      <c r="F7458" s="133" t="s">
        <v>6948</v>
      </c>
      <c r="G7458" s="436"/>
      <c r="H7458" s="428"/>
      <c r="I7458" s="428"/>
      <c r="J7458" s="426"/>
      <c r="K7458" s="426"/>
      <c r="L7458" s="131">
        <v>260</v>
      </c>
      <c r="N7458" s="91">
        <f t="shared" si="3868"/>
        <v>26</v>
      </c>
      <c r="O7458" s="411"/>
      <c r="P7458" s="132" t="s">
        <v>235</v>
      </c>
      <c r="Q7458" s="232"/>
      <c r="R7458" s="411"/>
      <c r="T7458" s="441"/>
      <c r="U7458" s="447"/>
      <c r="AA7458" s="218"/>
    </row>
    <row r="7459" spans="1:27" x14ac:dyDescent="0.25">
      <c r="A7459" s="405">
        <v>3005859</v>
      </c>
      <c r="B7459" s="406">
        <v>42705</v>
      </c>
      <c r="C7459" s="405" t="s">
        <v>237</v>
      </c>
      <c r="D7459" s="401" t="s">
        <v>15702</v>
      </c>
      <c r="E7459" s="120">
        <v>75</v>
      </c>
      <c r="F7459" s="133" t="s">
        <v>15559</v>
      </c>
      <c r="G7459" s="416" t="s">
        <v>7486</v>
      </c>
      <c r="H7459" s="411">
        <v>197.86</v>
      </c>
      <c r="I7459" s="94">
        <f>-(H7459*0.15)</f>
        <v>-29.679000000000002</v>
      </c>
      <c r="J7459" s="90">
        <v>0</v>
      </c>
      <c r="K7459" s="90">
        <f t="shared" ref="K7459:K7464" si="3869">SUM(H7459:J7459)</f>
        <v>168.18100000000001</v>
      </c>
      <c r="N7459" s="91">
        <f t="shared" si="3868"/>
        <v>0</v>
      </c>
      <c r="O7459" s="411"/>
      <c r="Q7459" s="232"/>
      <c r="R7459" s="411"/>
      <c r="AA7459" s="218"/>
    </row>
    <row r="7460" spans="1:27" x14ac:dyDescent="0.25">
      <c r="A7460" s="405">
        <v>3005860</v>
      </c>
      <c r="B7460" s="406">
        <v>42705</v>
      </c>
      <c r="C7460" s="405" t="s">
        <v>327</v>
      </c>
      <c r="D7460" s="401" t="s">
        <v>1481</v>
      </c>
      <c r="E7460" s="120">
        <v>1000</v>
      </c>
      <c r="F7460" s="133" t="s">
        <v>451</v>
      </c>
      <c r="G7460" s="404" t="s">
        <v>7486</v>
      </c>
      <c r="H7460" s="411">
        <v>535</v>
      </c>
      <c r="I7460" s="411">
        <v>0</v>
      </c>
      <c r="J7460" s="391">
        <f>-((H7460*0.022)+0.3)</f>
        <v>-12.07</v>
      </c>
      <c r="K7460" s="90">
        <f t="shared" si="3869"/>
        <v>522.92999999999995</v>
      </c>
      <c r="L7460" s="131">
        <v>300</v>
      </c>
      <c r="N7460" s="91">
        <f t="shared" si="3868"/>
        <v>300</v>
      </c>
      <c r="O7460" s="411"/>
      <c r="P7460" s="132" t="s">
        <v>52</v>
      </c>
      <c r="Q7460" s="232"/>
      <c r="R7460" s="411"/>
      <c r="W7460" s="153" t="s">
        <v>15703</v>
      </c>
      <c r="AA7460" s="218"/>
    </row>
    <row r="7461" spans="1:27" ht="24" x14ac:dyDescent="0.25">
      <c r="A7461" s="405">
        <v>3005861</v>
      </c>
      <c r="B7461" s="406">
        <v>42705</v>
      </c>
      <c r="C7461" s="405" t="s">
        <v>56</v>
      </c>
      <c r="D7461" s="401" t="s">
        <v>1251</v>
      </c>
      <c r="E7461" s="120">
        <v>5350</v>
      </c>
      <c r="F7461" s="119" t="s">
        <v>15704</v>
      </c>
      <c r="G7461" s="230" t="s">
        <v>7486</v>
      </c>
      <c r="H7461" s="411">
        <v>5885</v>
      </c>
      <c r="I7461" s="411">
        <v>0</v>
      </c>
      <c r="J7461" s="411">
        <v>0</v>
      </c>
      <c r="K7461" s="90">
        <f t="shared" si="3869"/>
        <v>5885</v>
      </c>
      <c r="L7461" s="131">
        <v>824</v>
      </c>
      <c r="M7461" s="131">
        <v>150</v>
      </c>
      <c r="N7461" s="91">
        <f t="shared" si="3868"/>
        <v>4558.4000000000005</v>
      </c>
      <c r="O7461" s="411"/>
      <c r="P7461" s="132" t="s">
        <v>2846</v>
      </c>
      <c r="Q7461" s="232"/>
      <c r="R7461" s="411"/>
      <c r="V7461" s="133" t="s">
        <v>15705</v>
      </c>
      <c r="AA7461" s="218"/>
    </row>
    <row r="7462" spans="1:27" x14ac:dyDescent="0.25">
      <c r="A7462" s="405">
        <v>3005862</v>
      </c>
      <c r="B7462" s="406">
        <v>42705</v>
      </c>
      <c r="C7462" s="405" t="s">
        <v>56</v>
      </c>
      <c r="D7462" s="401" t="s">
        <v>11004</v>
      </c>
      <c r="E7462" s="120">
        <v>155</v>
      </c>
      <c r="F7462" s="133" t="s">
        <v>784</v>
      </c>
      <c r="G7462" s="242" t="s">
        <v>7486</v>
      </c>
      <c r="H7462" s="411">
        <v>868</v>
      </c>
      <c r="I7462" s="411">
        <v>0</v>
      </c>
      <c r="J7462" s="411">
        <v>0</v>
      </c>
      <c r="K7462" s="90">
        <f t="shared" si="3869"/>
        <v>868</v>
      </c>
      <c r="L7462" s="131">
        <v>4250</v>
      </c>
      <c r="M7462" s="131">
        <v>0</v>
      </c>
      <c r="N7462" s="91">
        <f t="shared" si="3868"/>
        <v>658.75</v>
      </c>
      <c r="O7462" s="411"/>
      <c r="P7462" s="132" t="s">
        <v>52</v>
      </c>
      <c r="Q7462" s="232"/>
      <c r="R7462" s="411"/>
      <c r="T7462" s="134"/>
      <c r="U7462" s="266"/>
      <c r="V7462" s="133" t="s">
        <v>15554</v>
      </c>
      <c r="AA7462" s="218"/>
    </row>
    <row r="7463" spans="1:27" x14ac:dyDescent="0.25">
      <c r="A7463" s="405">
        <v>3005863</v>
      </c>
      <c r="B7463" s="406">
        <v>42705</v>
      </c>
      <c r="C7463" s="405" t="s">
        <v>141</v>
      </c>
      <c r="D7463" s="401" t="s">
        <v>15706</v>
      </c>
      <c r="E7463" s="120">
        <v>2000</v>
      </c>
      <c r="F7463" s="133" t="s">
        <v>15707</v>
      </c>
      <c r="G7463" s="404" t="s">
        <v>45</v>
      </c>
      <c r="H7463" s="411">
        <v>1063.27</v>
      </c>
      <c r="I7463" s="411">
        <v>0</v>
      </c>
      <c r="J7463" s="391">
        <f>-((H7463*0.0325)+0.3)</f>
        <v>-34.856274999999997</v>
      </c>
      <c r="K7463" s="90">
        <f t="shared" si="3869"/>
        <v>1028.4137249999999</v>
      </c>
      <c r="L7463" s="131">
        <v>307</v>
      </c>
      <c r="N7463" s="91">
        <f t="shared" si="3868"/>
        <v>614</v>
      </c>
      <c r="O7463" s="411"/>
      <c r="P7463" s="132" t="s">
        <v>15615</v>
      </c>
      <c r="Q7463" s="232"/>
      <c r="R7463" s="411"/>
      <c r="W7463" s="153" t="s">
        <v>15708</v>
      </c>
      <c r="AA7463" s="219">
        <v>10</v>
      </c>
    </row>
    <row r="7464" spans="1:27" x14ac:dyDescent="0.25">
      <c r="A7464" s="419">
        <v>3005864</v>
      </c>
      <c r="B7464" s="421">
        <v>42705</v>
      </c>
      <c r="C7464" s="419" t="s">
        <v>63</v>
      </c>
      <c r="D7464" s="417" t="s">
        <v>15709</v>
      </c>
      <c r="E7464" s="120">
        <v>300</v>
      </c>
      <c r="F7464" s="133" t="s">
        <v>323</v>
      </c>
      <c r="G7464" s="423" t="s">
        <v>7486</v>
      </c>
      <c r="H7464" s="427">
        <v>560</v>
      </c>
      <c r="I7464" s="427">
        <v>0</v>
      </c>
      <c r="J7464" s="425">
        <f>-((H7464*0.022)+0.3)</f>
        <v>-12.62</v>
      </c>
      <c r="K7464" s="425">
        <f t="shared" si="3869"/>
        <v>547.38</v>
      </c>
      <c r="L7464" s="131">
        <v>395</v>
      </c>
      <c r="N7464" s="91">
        <f t="shared" si="3868"/>
        <v>118.5</v>
      </c>
      <c r="O7464" s="411"/>
      <c r="P7464" s="132" t="s">
        <v>52</v>
      </c>
      <c r="Q7464" s="232"/>
      <c r="R7464" s="411"/>
      <c r="W7464" s="153" t="s">
        <v>15710</v>
      </c>
      <c r="AA7464" s="218"/>
    </row>
    <row r="7465" spans="1:27" x14ac:dyDescent="0.25">
      <c r="A7465" s="420"/>
      <c r="B7465" s="422"/>
      <c r="C7465" s="420"/>
      <c r="D7465" s="418"/>
      <c r="E7465" s="120">
        <v>300</v>
      </c>
      <c r="F7465" s="133" t="s">
        <v>307</v>
      </c>
      <c r="G7465" s="424"/>
      <c r="H7465" s="428"/>
      <c r="I7465" s="428"/>
      <c r="J7465" s="426"/>
      <c r="K7465" s="426"/>
      <c r="L7465" s="131">
        <v>642.99</v>
      </c>
      <c r="N7465" s="91">
        <f t="shared" si="3868"/>
        <v>192.89699999999999</v>
      </c>
      <c r="O7465" s="411"/>
      <c r="P7465" s="132" t="s">
        <v>52</v>
      </c>
      <c r="Q7465" s="232"/>
      <c r="R7465" s="411"/>
      <c r="AA7465" s="218"/>
    </row>
    <row r="7466" spans="1:27" x14ac:dyDescent="0.25">
      <c r="A7466" s="405"/>
      <c r="B7466" s="406"/>
      <c r="C7466" s="405"/>
      <c r="D7466" s="401"/>
      <c r="G7466" s="405"/>
      <c r="H7466" s="411"/>
      <c r="I7466" s="411"/>
      <c r="J7466" s="411"/>
      <c r="K7466" s="411"/>
      <c r="N7466" s="411"/>
      <c r="O7466" s="411"/>
      <c r="Q7466" s="232"/>
      <c r="R7466" s="411"/>
    </row>
  </sheetData>
  <mergeCells count="8087">
    <mergeCell ref="B7378:B7379"/>
    <mergeCell ref="A7378:A7379"/>
    <mergeCell ref="G7378:G7379"/>
    <mergeCell ref="H7378:H7379"/>
    <mergeCell ref="I7378:I7379"/>
    <mergeCell ref="J7378:J7379"/>
    <mergeCell ref="K7378:K7379"/>
    <mergeCell ref="D7381:D7385"/>
    <mergeCell ref="C7381:C7385"/>
    <mergeCell ref="B7381:B7385"/>
    <mergeCell ref="A7381:A7385"/>
    <mergeCell ref="G7381:G7385"/>
    <mergeCell ref="K7381:K7385"/>
    <mergeCell ref="J7381:J7385"/>
    <mergeCell ref="I7381:I7385"/>
    <mergeCell ref="H7381:H7385"/>
    <mergeCell ref="B7363:B7364"/>
    <mergeCell ref="A7363:A7364"/>
    <mergeCell ref="G7363:G7364"/>
    <mergeCell ref="K7363:K7364"/>
    <mergeCell ref="J7363:J7364"/>
    <mergeCell ref="I7363:I7364"/>
    <mergeCell ref="H7363:H7364"/>
    <mergeCell ref="AA7363:AA7364"/>
    <mergeCell ref="D7375:D7376"/>
    <mergeCell ref="C7375:C7376"/>
    <mergeCell ref="B7375:B7376"/>
    <mergeCell ref="A7375:A7376"/>
    <mergeCell ref="G7375:G7376"/>
    <mergeCell ref="K7375:K7376"/>
    <mergeCell ref="J7375:J7376"/>
    <mergeCell ref="I7375:I7376"/>
    <mergeCell ref="H7375:H7376"/>
    <mergeCell ref="T7375:T7376"/>
    <mergeCell ref="M7363:M7364"/>
    <mergeCell ref="AA7283:AA7284"/>
    <mergeCell ref="D7291:D7292"/>
    <mergeCell ref="C7291:C7292"/>
    <mergeCell ref="B7291:B7292"/>
    <mergeCell ref="A7291:A7292"/>
    <mergeCell ref="G7291:G7292"/>
    <mergeCell ref="I7291:I7292"/>
    <mergeCell ref="J7291:J7292"/>
    <mergeCell ref="K7291:K7292"/>
    <mergeCell ref="H7291:H7292"/>
    <mergeCell ref="D7274:D7275"/>
    <mergeCell ref="C7274:C7275"/>
    <mergeCell ref="B7274:B7275"/>
    <mergeCell ref="A7274:A7275"/>
    <mergeCell ref="G7274:G7275"/>
    <mergeCell ref="K7274:K7275"/>
    <mergeCell ref="J7274:J7275"/>
    <mergeCell ref="I7274:I7275"/>
    <mergeCell ref="H7274:H7275"/>
    <mergeCell ref="U7274:U7275"/>
    <mergeCell ref="T7291:T7292"/>
    <mergeCell ref="U7279:U7280"/>
    <mergeCell ref="B7283:B7284"/>
    <mergeCell ref="A7283:A7284"/>
    <mergeCell ref="G7283:G7284"/>
    <mergeCell ref="K7283:K7284"/>
    <mergeCell ref="J7283:J7284"/>
    <mergeCell ref="I7283:I7284"/>
    <mergeCell ref="AA7225:AA7226"/>
    <mergeCell ref="L7078:L7079"/>
    <mergeCell ref="N7078:N7079"/>
    <mergeCell ref="M7078:M7079"/>
    <mergeCell ref="F7078:F7079"/>
    <mergeCell ref="D7222:D7223"/>
    <mergeCell ref="C7222:C7223"/>
    <mergeCell ref="B7222:B7223"/>
    <mergeCell ref="A7222:A7223"/>
    <mergeCell ref="G7222:G7223"/>
    <mergeCell ref="H7222:H7223"/>
    <mergeCell ref="I7222:I7223"/>
    <mergeCell ref="J7222:J7223"/>
    <mergeCell ref="K7222:K7223"/>
    <mergeCell ref="D7225:D7226"/>
    <mergeCell ref="C7225:C7226"/>
    <mergeCell ref="B7225:B7226"/>
    <mergeCell ref="A7225:A7226"/>
    <mergeCell ref="G7225:G7226"/>
    <mergeCell ref="K7225:K7226"/>
    <mergeCell ref="AA7199:AA7201"/>
    <mergeCell ref="U7157:U7160"/>
    <mergeCell ref="U7161:U7162"/>
    <mergeCell ref="U7125:U7126"/>
    <mergeCell ref="D7212:D7215"/>
    <mergeCell ref="C7212:C7215"/>
    <mergeCell ref="B7212:B7215"/>
    <mergeCell ref="A7212:A7215"/>
    <mergeCell ref="G7212:G7215"/>
    <mergeCell ref="K7212:K7215"/>
    <mergeCell ref="J7212:J7215"/>
    <mergeCell ref="I7212:I7215"/>
    <mergeCell ref="H7212:H7215"/>
    <mergeCell ref="T7212:T7215"/>
    <mergeCell ref="M7212:M7215"/>
    <mergeCell ref="T7200:T7201"/>
    <mergeCell ref="AA7130:AA7132"/>
    <mergeCell ref="A7130:A7132"/>
    <mergeCell ref="G7130:G7132"/>
    <mergeCell ref="K7130:K7132"/>
    <mergeCell ref="H7130:H7132"/>
    <mergeCell ref="T7175:T7176"/>
    <mergeCell ref="T7168:T7169"/>
    <mergeCell ref="T7157:T7160"/>
    <mergeCell ref="T7130:T7132"/>
    <mergeCell ref="U7130:U7132"/>
    <mergeCell ref="D7168:D7169"/>
    <mergeCell ref="C7168:C7169"/>
    <mergeCell ref="B7168:B7169"/>
    <mergeCell ref="A7168:A7169"/>
    <mergeCell ref="T7161:T7162"/>
    <mergeCell ref="D7157:D7163"/>
    <mergeCell ref="T7107:T7108"/>
    <mergeCell ref="D7137:D7138"/>
    <mergeCell ref="C7137:C7138"/>
    <mergeCell ref="B7137:B7138"/>
    <mergeCell ref="A7137:A7138"/>
    <mergeCell ref="G7137:G7138"/>
    <mergeCell ref="K7137:K7138"/>
    <mergeCell ref="J7137:J7138"/>
    <mergeCell ref="I7137:I7138"/>
    <mergeCell ref="H7137:H7138"/>
    <mergeCell ref="G7123:G7124"/>
    <mergeCell ref="H7123:H7124"/>
    <mergeCell ref="I7123:I7124"/>
    <mergeCell ref="J7123:J7124"/>
    <mergeCell ref="K7123:K7124"/>
    <mergeCell ref="D7107:D7108"/>
    <mergeCell ref="C7107:C7108"/>
    <mergeCell ref="T7125:T7126"/>
    <mergeCell ref="T7123:T7124"/>
    <mergeCell ref="A7125:A7126"/>
    <mergeCell ref="B7125:B7126"/>
    <mergeCell ref="C7125:C7126"/>
    <mergeCell ref="D7125:D7126"/>
    <mergeCell ref="G7125:G7126"/>
    <mergeCell ref="H7125:H7126"/>
    <mergeCell ref="I7125:I7126"/>
    <mergeCell ref="J7125:J7126"/>
    <mergeCell ref="K7125:K7126"/>
    <mergeCell ref="U7035:U7036"/>
    <mergeCell ref="D7130:D7132"/>
    <mergeCell ref="C7130:C7132"/>
    <mergeCell ref="P7078:P7079"/>
    <mergeCell ref="E7078:E7079"/>
    <mergeCell ref="B7130:B7132"/>
    <mergeCell ref="D7116:D7117"/>
    <mergeCell ref="C7116:C7117"/>
    <mergeCell ref="B7116:B7117"/>
    <mergeCell ref="A7116:A7117"/>
    <mergeCell ref="G7116:G7117"/>
    <mergeCell ref="H7116:H7117"/>
    <mergeCell ref="I7116:I7117"/>
    <mergeCell ref="J7116:J7117"/>
    <mergeCell ref="K7116:K7117"/>
    <mergeCell ref="D7123:D7124"/>
    <mergeCell ref="C7123:C7124"/>
    <mergeCell ref="B7123:B7124"/>
    <mergeCell ref="A7123:A7124"/>
    <mergeCell ref="J7130:J7132"/>
    <mergeCell ref="I7130:I7132"/>
    <mergeCell ref="B7107:B7108"/>
    <mergeCell ref="A7107:A7108"/>
    <mergeCell ref="G7107:G7108"/>
    <mergeCell ref="H7107:H7108"/>
    <mergeCell ref="I7107:I7108"/>
    <mergeCell ref="J7107:J7108"/>
    <mergeCell ref="K7107:K7108"/>
    <mergeCell ref="A7052:A7056"/>
    <mergeCell ref="B7052:B7056"/>
    <mergeCell ref="C7052:C7056"/>
    <mergeCell ref="D7052:D7056"/>
    <mergeCell ref="U7030:U7032"/>
    <mergeCell ref="T7081:T7082"/>
    <mergeCell ref="K7035:K7036"/>
    <mergeCell ref="H7035:H7036"/>
    <mergeCell ref="H7075:H7076"/>
    <mergeCell ref="G7063:G7064"/>
    <mergeCell ref="H7063:H7064"/>
    <mergeCell ref="D7063:D7064"/>
    <mergeCell ref="C7063:C7064"/>
    <mergeCell ref="B7063:B7064"/>
    <mergeCell ref="A7063:A7064"/>
    <mergeCell ref="I7063:I7064"/>
    <mergeCell ref="J7063:J7064"/>
    <mergeCell ref="K7063:K7064"/>
    <mergeCell ref="A7067:A7068"/>
    <mergeCell ref="B7067:B7068"/>
    <mergeCell ref="M6822:M6826"/>
    <mergeCell ref="D7038:D7039"/>
    <mergeCell ref="C7038:C7039"/>
    <mergeCell ref="B7038:B7039"/>
    <mergeCell ref="A7038:A7039"/>
    <mergeCell ref="G7038:G7039"/>
    <mergeCell ref="K7038:K7039"/>
    <mergeCell ref="J7038:J7039"/>
    <mergeCell ref="I7038:I7039"/>
    <mergeCell ref="H7038:H7039"/>
    <mergeCell ref="I7035:I7036"/>
    <mergeCell ref="J7035:J7036"/>
    <mergeCell ref="D7026:D7027"/>
    <mergeCell ref="C7026:C7027"/>
    <mergeCell ref="B7026:B7027"/>
    <mergeCell ref="A7026:A7027"/>
    <mergeCell ref="U7052:U7056"/>
    <mergeCell ref="C7073:C7074"/>
    <mergeCell ref="B7073:B7074"/>
    <mergeCell ref="A7073:A7074"/>
    <mergeCell ref="G7073:G7074"/>
    <mergeCell ref="K7073:K7074"/>
    <mergeCell ref="J7073:J7074"/>
    <mergeCell ref="I7073:I7074"/>
    <mergeCell ref="U7061:U7062"/>
    <mergeCell ref="T7104:T7105"/>
    <mergeCell ref="C7075:C7076"/>
    <mergeCell ref="M7052:M7056"/>
    <mergeCell ref="U7073:U7074"/>
    <mergeCell ref="U7063:U7064"/>
    <mergeCell ref="G7052:G7056"/>
    <mergeCell ref="H7052:H7056"/>
    <mergeCell ref="I7052:I7056"/>
    <mergeCell ref="J7052:J7056"/>
    <mergeCell ref="K7052:K7056"/>
    <mergeCell ref="T7052:T7056"/>
    <mergeCell ref="AA7038:AA7039"/>
    <mergeCell ref="T7030:T7032"/>
    <mergeCell ref="U6951:U6952"/>
    <mergeCell ref="D7044:D7045"/>
    <mergeCell ref="C7044:C7045"/>
    <mergeCell ref="B7044:B7045"/>
    <mergeCell ref="A7044:A7045"/>
    <mergeCell ref="G7044:G7045"/>
    <mergeCell ref="K7044:K7045"/>
    <mergeCell ref="J7044:J7045"/>
    <mergeCell ref="I7044:I7045"/>
    <mergeCell ref="H7044:H7045"/>
    <mergeCell ref="AA7028:AA7029"/>
    <mergeCell ref="M6961:M6963"/>
    <mergeCell ref="D7030:D7032"/>
    <mergeCell ref="C7030:C7032"/>
    <mergeCell ref="B7030:B7032"/>
    <mergeCell ref="A7030:A7032"/>
    <mergeCell ref="G7030:G7032"/>
    <mergeCell ref="K7030:K7032"/>
    <mergeCell ref="J7030:J7032"/>
    <mergeCell ref="I7030:I7032"/>
    <mergeCell ref="H7030:H7032"/>
    <mergeCell ref="T7026:T7027"/>
    <mergeCell ref="T7017:T7018"/>
    <mergeCell ref="M6995:M7009"/>
    <mergeCell ref="D7035:D7036"/>
    <mergeCell ref="C7035:C7036"/>
    <mergeCell ref="B7035:B7036"/>
    <mergeCell ref="A7035:A7036"/>
    <mergeCell ref="G7035:G7036"/>
    <mergeCell ref="U7026:U7027"/>
    <mergeCell ref="G7026:G7027"/>
    <mergeCell ref="K7026:K7027"/>
    <mergeCell ref="J7026:J7027"/>
    <mergeCell ref="I7026:I7027"/>
    <mergeCell ref="H7026:H7027"/>
    <mergeCell ref="U6979:U6980"/>
    <mergeCell ref="D7028:D7029"/>
    <mergeCell ref="C7028:C7029"/>
    <mergeCell ref="B7028:B7029"/>
    <mergeCell ref="A7028:A7029"/>
    <mergeCell ref="G7028:G7029"/>
    <mergeCell ref="K7028:K7029"/>
    <mergeCell ref="J7028:J7029"/>
    <mergeCell ref="I7028:I7029"/>
    <mergeCell ref="H7028:H7029"/>
    <mergeCell ref="D6995:D7009"/>
    <mergeCell ref="C6995:C7009"/>
    <mergeCell ref="B6995:B7009"/>
    <mergeCell ref="A6995:A7009"/>
    <mergeCell ref="G6995:G7009"/>
    <mergeCell ref="K6995:K7009"/>
    <mergeCell ref="J6995:J7009"/>
    <mergeCell ref="I6995:I7009"/>
    <mergeCell ref="H6995:H7009"/>
    <mergeCell ref="U7017:U7018"/>
    <mergeCell ref="T6995:T7009"/>
    <mergeCell ref="AA6995:AA7009"/>
    <mergeCell ref="D7017:D7018"/>
    <mergeCell ref="C7017:C7018"/>
    <mergeCell ref="B7017:B7018"/>
    <mergeCell ref="A7017:A7018"/>
    <mergeCell ref="G7017:G7018"/>
    <mergeCell ref="K7017:K7018"/>
    <mergeCell ref="J7017:J7018"/>
    <mergeCell ref="I7017:I7018"/>
    <mergeCell ref="H7017:H7018"/>
    <mergeCell ref="T6951:T6952"/>
    <mergeCell ref="U6957:U6958"/>
    <mergeCell ref="U6924:U6925"/>
    <mergeCell ref="T6961:T6963"/>
    <mergeCell ref="U6850:U6851"/>
    <mergeCell ref="T6979:T6980"/>
    <mergeCell ref="D6979:D6980"/>
    <mergeCell ref="C6979:C6980"/>
    <mergeCell ref="B6979:B6980"/>
    <mergeCell ref="A6979:A6980"/>
    <mergeCell ref="G6979:G6980"/>
    <mergeCell ref="K6979:K6980"/>
    <mergeCell ref="J6979:J6980"/>
    <mergeCell ref="I6979:I6980"/>
    <mergeCell ref="H6979:H6980"/>
    <mergeCell ref="C6883:C6884"/>
    <mergeCell ref="B6883:B6884"/>
    <mergeCell ref="A6883:A6884"/>
    <mergeCell ref="G6883:G6884"/>
    <mergeCell ref="K6883:K6884"/>
    <mergeCell ref="J6883:J6884"/>
    <mergeCell ref="AA6883:AA6884"/>
    <mergeCell ref="U6801:U6802"/>
    <mergeCell ref="A6850:A6851"/>
    <mergeCell ref="B6850:B6851"/>
    <mergeCell ref="C6850:C6851"/>
    <mergeCell ref="D6850:D6851"/>
    <mergeCell ref="G6850:G6851"/>
    <mergeCell ref="H6850:H6851"/>
    <mergeCell ref="I6850:I6851"/>
    <mergeCell ref="J6850:J6851"/>
    <mergeCell ref="K6850:K6851"/>
    <mergeCell ref="T6850:T6851"/>
    <mergeCell ref="B6810:B6813"/>
    <mergeCell ref="A6810:A6813"/>
    <mergeCell ref="H6810:H6813"/>
    <mergeCell ref="I6810:I6813"/>
    <mergeCell ref="J6810:J6813"/>
    <mergeCell ref="K6810:K6813"/>
    <mergeCell ref="M6810:M6813"/>
    <mergeCell ref="T6810:T6813"/>
    <mergeCell ref="M6819:M6821"/>
    <mergeCell ref="T6819:T6821"/>
    <mergeCell ref="M6816:M6817"/>
    <mergeCell ref="U6728:U6730"/>
    <mergeCell ref="U6731:U6733"/>
    <mergeCell ref="U6715:U6717"/>
    <mergeCell ref="T6766:T6767"/>
    <mergeCell ref="T6768:T6769"/>
    <mergeCell ref="T6785:T6786"/>
    <mergeCell ref="U6724:U6725"/>
    <mergeCell ref="D6776:D6777"/>
    <mergeCell ref="C6776:C6777"/>
    <mergeCell ref="B6776:B6777"/>
    <mergeCell ref="A6776:A6777"/>
    <mergeCell ref="G6776:G6777"/>
    <mergeCell ref="K6776:K6777"/>
    <mergeCell ref="J6776:J6777"/>
    <mergeCell ref="I6776:I6777"/>
    <mergeCell ref="H6776:H6777"/>
    <mergeCell ref="D6779:D6783"/>
    <mergeCell ref="C6779:C6783"/>
    <mergeCell ref="B6779:B6783"/>
    <mergeCell ref="A6779:A6783"/>
    <mergeCell ref="G6779:G6783"/>
    <mergeCell ref="K6779:K6783"/>
    <mergeCell ref="J6779:J6783"/>
    <mergeCell ref="M6779:M6782"/>
    <mergeCell ref="J6768:J6769"/>
    <mergeCell ref="K6768:K6769"/>
    <mergeCell ref="A6772:A6773"/>
    <mergeCell ref="B6772:B6773"/>
    <mergeCell ref="C6772:C6773"/>
    <mergeCell ref="D6772:D6773"/>
    <mergeCell ref="G6772:G6773"/>
    <mergeCell ref="H6772:H6773"/>
    <mergeCell ref="K6772:K6773"/>
    <mergeCell ref="D6785:D6786"/>
    <mergeCell ref="C6785:C6786"/>
    <mergeCell ref="B6785:B6786"/>
    <mergeCell ref="A6785:A6786"/>
    <mergeCell ref="G6785:G6786"/>
    <mergeCell ref="K6785:K6786"/>
    <mergeCell ref="J6785:J6786"/>
    <mergeCell ref="I6785:I6786"/>
    <mergeCell ref="H6785:H6786"/>
    <mergeCell ref="H6779:H6783"/>
    <mergeCell ref="A6768:A6769"/>
    <mergeCell ref="B6768:B6769"/>
    <mergeCell ref="C6768:C6769"/>
    <mergeCell ref="D6768:D6769"/>
    <mergeCell ref="G6768:G6769"/>
    <mergeCell ref="H6768:H6769"/>
    <mergeCell ref="I6768:I6769"/>
    <mergeCell ref="I6779:I6783"/>
    <mergeCell ref="A6688:A6690"/>
    <mergeCell ref="D6761:D6762"/>
    <mergeCell ref="C6761:C6762"/>
    <mergeCell ref="B6761:B6762"/>
    <mergeCell ref="A6761:A6762"/>
    <mergeCell ref="G6761:G6762"/>
    <mergeCell ref="K6761:K6762"/>
    <mergeCell ref="J6761:J6762"/>
    <mergeCell ref="I6761:I6762"/>
    <mergeCell ref="H6761:H6762"/>
    <mergeCell ref="D6766:D6767"/>
    <mergeCell ref="C6766:C6767"/>
    <mergeCell ref="B6766:B6767"/>
    <mergeCell ref="A6766:A6767"/>
    <mergeCell ref="G6766:G6767"/>
    <mergeCell ref="H6766:H6767"/>
    <mergeCell ref="I6766:I6767"/>
    <mergeCell ref="J6766:J6767"/>
    <mergeCell ref="K6766:K6767"/>
    <mergeCell ref="T6679:T6680"/>
    <mergeCell ref="D6671:D6672"/>
    <mergeCell ref="C6671:C6672"/>
    <mergeCell ref="B6671:B6672"/>
    <mergeCell ref="A6671:A6672"/>
    <mergeCell ref="G6671:G6672"/>
    <mergeCell ref="K6671:K6672"/>
    <mergeCell ref="J6671:J6672"/>
    <mergeCell ref="T6669:T6670"/>
    <mergeCell ref="T6673:T6678"/>
    <mergeCell ref="U6662:U6663"/>
    <mergeCell ref="I6671:I6672"/>
    <mergeCell ref="H6671:H6672"/>
    <mergeCell ref="D6673:D6680"/>
    <mergeCell ref="C6673:C6680"/>
    <mergeCell ref="K6673:K6680"/>
    <mergeCell ref="J6673:J6680"/>
    <mergeCell ref="I6673:I6680"/>
    <mergeCell ref="H6669:H6670"/>
    <mergeCell ref="A6662:A6663"/>
    <mergeCell ref="D6655:D6659"/>
    <mergeCell ref="C6655:C6659"/>
    <mergeCell ref="B6655:B6659"/>
    <mergeCell ref="J6655:J6659"/>
    <mergeCell ref="I6655:I6659"/>
    <mergeCell ref="H6655:H6659"/>
    <mergeCell ref="AA6673:AA6680"/>
    <mergeCell ref="M6655:M6659"/>
    <mergeCell ref="T6655:T6659"/>
    <mergeCell ref="U6630:U6631"/>
    <mergeCell ref="U6611:U6612"/>
    <mergeCell ref="D6688:D6690"/>
    <mergeCell ref="C6688:C6690"/>
    <mergeCell ref="B6688:B6690"/>
    <mergeCell ref="D6662:D6663"/>
    <mergeCell ref="C6662:C6663"/>
    <mergeCell ref="B6662:B6663"/>
    <mergeCell ref="G6662:G6663"/>
    <mergeCell ref="H6662:H6663"/>
    <mergeCell ref="I6662:I6663"/>
    <mergeCell ref="J6662:J6663"/>
    <mergeCell ref="K6662:K6663"/>
    <mergeCell ref="J6611:J6612"/>
    <mergeCell ref="K6611:K6612"/>
    <mergeCell ref="U6651:U6652"/>
    <mergeCell ref="G6673:G6680"/>
    <mergeCell ref="H6673:H6680"/>
    <mergeCell ref="G6688:G6690"/>
    <mergeCell ref="K6688:K6690"/>
    <mergeCell ref="J6688:J6690"/>
    <mergeCell ref="I6688:I6690"/>
    <mergeCell ref="H6688:H6690"/>
    <mergeCell ref="U6601:U6602"/>
    <mergeCell ref="U6511:U6514"/>
    <mergeCell ref="T6662:T6663"/>
    <mergeCell ref="T6651:T6652"/>
    <mergeCell ref="D6669:D6670"/>
    <mergeCell ref="C6669:C6670"/>
    <mergeCell ref="B6669:B6670"/>
    <mergeCell ref="A6669:A6670"/>
    <mergeCell ref="G6669:G6670"/>
    <mergeCell ref="K6669:K6670"/>
    <mergeCell ref="J6669:J6670"/>
    <mergeCell ref="I6669:I6670"/>
    <mergeCell ref="AA6655:AA6659"/>
    <mergeCell ref="J6417:J6418"/>
    <mergeCell ref="U6424:U6426"/>
    <mergeCell ref="D6424:D6426"/>
    <mergeCell ref="D6601:D6602"/>
    <mergeCell ref="C6601:C6602"/>
    <mergeCell ref="B6601:B6602"/>
    <mergeCell ref="A6601:A6602"/>
    <mergeCell ref="G6601:G6602"/>
    <mergeCell ref="K6601:K6602"/>
    <mergeCell ref="J6601:J6602"/>
    <mergeCell ref="I6601:I6602"/>
    <mergeCell ref="H6601:H6602"/>
    <mergeCell ref="D6611:D6612"/>
    <mergeCell ref="C6611:C6612"/>
    <mergeCell ref="B6611:B6612"/>
    <mergeCell ref="A6611:A6612"/>
    <mergeCell ref="G6611:G6612"/>
    <mergeCell ref="H6611:H6612"/>
    <mergeCell ref="I6611:I6612"/>
    <mergeCell ref="T6601:T6602"/>
    <mergeCell ref="U6562:U6563"/>
    <mergeCell ref="T6611:T6612"/>
    <mergeCell ref="U6537:U6538"/>
    <mergeCell ref="U6547:U6548"/>
    <mergeCell ref="T6417:T6418"/>
    <mergeCell ref="T6431:T6432"/>
    <mergeCell ref="B6417:B6418"/>
    <mergeCell ref="A6417:A6418"/>
    <mergeCell ref="G6417:G6418"/>
    <mergeCell ref="U6477:U6478"/>
    <mergeCell ref="U6479:U6480"/>
    <mergeCell ref="U6481:U6482"/>
    <mergeCell ref="T6463:T6464"/>
    <mergeCell ref="U6420:U6421"/>
    <mergeCell ref="D6477:D6484"/>
    <mergeCell ref="C6477:C6484"/>
    <mergeCell ref="B6477:B6484"/>
    <mergeCell ref="A6477:A6484"/>
    <mergeCell ref="G6477:G6484"/>
    <mergeCell ref="K6477:K6484"/>
    <mergeCell ref="J6477:J6484"/>
    <mergeCell ref="I6477:I6484"/>
    <mergeCell ref="H6477:H6484"/>
    <mergeCell ref="T6477:T6484"/>
    <mergeCell ref="A6424:A6426"/>
    <mergeCell ref="G6424:G6426"/>
    <mergeCell ref="K6424:K6426"/>
    <mergeCell ref="J6424:J6426"/>
    <mergeCell ref="I6424:I6426"/>
    <mergeCell ref="I6417:I6418"/>
    <mergeCell ref="D6451:D6452"/>
    <mergeCell ref="K6417:K6418"/>
    <mergeCell ref="H6417:H6418"/>
    <mergeCell ref="G6420:G6421"/>
    <mergeCell ref="H6420:H6421"/>
    <mergeCell ref="I6420:I6421"/>
    <mergeCell ref="J6420:J6421"/>
    <mergeCell ref="K6420:K6421"/>
    <mergeCell ref="T6420:T6421"/>
    <mergeCell ref="T6424:T6426"/>
    <mergeCell ref="I6431:I6432"/>
    <mergeCell ref="H6431:H6432"/>
    <mergeCell ref="G6383:G6384"/>
    <mergeCell ref="D6414:D6415"/>
    <mergeCell ref="C6414:C6415"/>
    <mergeCell ref="U6551:U6553"/>
    <mergeCell ref="U6414:U6415"/>
    <mergeCell ref="U6431:U6432"/>
    <mergeCell ref="H6414:H6415"/>
    <mergeCell ref="D6417:D6418"/>
    <mergeCell ref="C6417:C6418"/>
    <mergeCell ref="H6537:H6538"/>
    <mergeCell ref="I6551:I6553"/>
    <mergeCell ref="H6551:H6553"/>
    <mergeCell ref="I6545:I6546"/>
    <mergeCell ref="J6545:J6546"/>
    <mergeCell ref="K6545:K6546"/>
    <mergeCell ref="D6547:D6548"/>
    <mergeCell ref="C6547:C6548"/>
    <mergeCell ref="K6547:K6548"/>
    <mergeCell ref="D6534:D6535"/>
    <mergeCell ref="C6534:C6535"/>
    <mergeCell ref="U6451:U6452"/>
    <mergeCell ref="B6414:B6415"/>
    <mergeCell ref="A6414:A6415"/>
    <mergeCell ref="G6414:G6415"/>
    <mergeCell ref="K6414:K6415"/>
    <mergeCell ref="J6414:J6415"/>
    <mergeCell ref="I6414:I6415"/>
    <mergeCell ref="T6414:T6415"/>
    <mergeCell ref="D6364:D6365"/>
    <mergeCell ref="C6364:C6365"/>
    <mergeCell ref="B6364:B6365"/>
    <mergeCell ref="A6364:A6365"/>
    <mergeCell ref="G6364:G6365"/>
    <mergeCell ref="I6393:I6394"/>
    <mergeCell ref="J6393:J6394"/>
    <mergeCell ref="K6393:K6394"/>
    <mergeCell ref="D6380:D6381"/>
    <mergeCell ref="C6380:C6381"/>
    <mergeCell ref="M6364:M6365"/>
    <mergeCell ref="K6364:K6365"/>
    <mergeCell ref="J6364:J6365"/>
    <mergeCell ref="I6364:I6365"/>
    <mergeCell ref="H6364:H6365"/>
    <mergeCell ref="H6383:H6384"/>
    <mergeCell ref="K6383:K6384"/>
    <mergeCell ref="J6383:J6384"/>
    <mergeCell ref="I6383:I6384"/>
    <mergeCell ref="B6387:B6392"/>
    <mergeCell ref="A6387:A6392"/>
    <mergeCell ref="G6387:G6392"/>
    <mergeCell ref="T6364:T6365"/>
    <mergeCell ref="D6396:D6406"/>
    <mergeCell ref="C6396:C6406"/>
    <mergeCell ref="B6396:B6406"/>
    <mergeCell ref="A6396:A6406"/>
    <mergeCell ref="G6396:G6406"/>
    <mergeCell ref="K6396:K6406"/>
    <mergeCell ref="J6396:J6406"/>
    <mergeCell ref="I6396:I6406"/>
    <mergeCell ref="H6396:H6406"/>
    <mergeCell ref="U6380:U6381"/>
    <mergeCell ref="U6383:U6384"/>
    <mergeCell ref="K6387:K6392"/>
    <mergeCell ref="J6387:J6392"/>
    <mergeCell ref="I6387:I6392"/>
    <mergeCell ref="H6387:H6392"/>
    <mergeCell ref="D6387:D6392"/>
    <mergeCell ref="C6387:C6392"/>
    <mergeCell ref="U6387:U6392"/>
    <mergeCell ref="T6383:T6384"/>
    <mergeCell ref="T6387:T6392"/>
    <mergeCell ref="M6387:M6392"/>
    <mergeCell ref="D6393:D6394"/>
    <mergeCell ref="C6393:C6394"/>
    <mergeCell ref="B6393:B6394"/>
    <mergeCell ref="A6393:A6394"/>
    <mergeCell ref="G6393:G6394"/>
    <mergeCell ref="H6393:H6394"/>
    <mergeCell ref="D6383:D6384"/>
    <mergeCell ref="A6383:A6384"/>
    <mergeCell ref="T6396:T6398"/>
    <mergeCell ref="T6400:T6406"/>
    <mergeCell ref="D6355:D6359"/>
    <mergeCell ref="C6355:C6359"/>
    <mergeCell ref="B6355:B6359"/>
    <mergeCell ref="A6355:A6359"/>
    <mergeCell ref="G6355:G6359"/>
    <mergeCell ref="K6355:K6359"/>
    <mergeCell ref="J6355:J6359"/>
    <mergeCell ref="I6355:I6359"/>
    <mergeCell ref="AA6321:AA6322"/>
    <mergeCell ref="D6321:D6322"/>
    <mergeCell ref="U6358:U6359"/>
    <mergeCell ref="T6347:T6348"/>
    <mergeCell ref="A6330:A6331"/>
    <mergeCell ref="J6330:J6331"/>
    <mergeCell ref="I6330:I6331"/>
    <mergeCell ref="D6330:D6331"/>
    <mergeCell ref="B6330:B6331"/>
    <mergeCell ref="AA6355:AA6359"/>
    <mergeCell ref="M6358:M6359"/>
    <mergeCell ref="T6358:T6359"/>
    <mergeCell ref="T6355:T6357"/>
    <mergeCell ref="T6352:T6353"/>
    <mergeCell ref="U6347:U6348"/>
    <mergeCell ref="G6330:G6331"/>
    <mergeCell ref="K6330:K6331"/>
    <mergeCell ref="C6321:C6322"/>
    <mergeCell ref="B6321:B6322"/>
    <mergeCell ref="I6351:I6353"/>
    <mergeCell ref="H6351:H6353"/>
    <mergeCell ref="D6351:D6353"/>
    <mergeCell ref="C6351:C6353"/>
    <mergeCell ref="B6351:B6353"/>
    <mergeCell ref="U6364:U6365"/>
    <mergeCell ref="T6380:T6381"/>
    <mergeCell ref="C6383:C6384"/>
    <mergeCell ref="B6383:B6384"/>
    <mergeCell ref="T6282:T6284"/>
    <mergeCell ref="D6306:D6307"/>
    <mergeCell ref="AA6278:AA6284"/>
    <mergeCell ref="G6278:G6284"/>
    <mergeCell ref="D6278:D6284"/>
    <mergeCell ref="C6278:C6284"/>
    <mergeCell ref="B6278:B6284"/>
    <mergeCell ref="A6278:A6284"/>
    <mergeCell ref="H6278:H6284"/>
    <mergeCell ref="I6278:I6284"/>
    <mergeCell ref="J6278:J6284"/>
    <mergeCell ref="K6278:K6284"/>
    <mergeCell ref="U6292:U6293"/>
    <mergeCell ref="K6380:K6381"/>
    <mergeCell ref="J6380:J6381"/>
    <mergeCell ref="B6380:B6381"/>
    <mergeCell ref="A6380:A6381"/>
    <mergeCell ref="G6380:G6381"/>
    <mergeCell ref="H6355:H6359"/>
    <mergeCell ref="I6380:I6381"/>
    <mergeCell ref="H6380:H6381"/>
    <mergeCell ref="H6330:H6331"/>
    <mergeCell ref="D6347:D6348"/>
    <mergeCell ref="C6347:C6348"/>
    <mergeCell ref="B6347:B6348"/>
    <mergeCell ref="A6347:A6348"/>
    <mergeCell ref="U6306:U6307"/>
    <mergeCell ref="U6282:U6284"/>
    <mergeCell ref="A6351:A6353"/>
    <mergeCell ref="G6351:G6353"/>
    <mergeCell ref="A6194:A6199"/>
    <mergeCell ref="G6194:G6199"/>
    <mergeCell ref="K6194:K6199"/>
    <mergeCell ref="D6292:D6293"/>
    <mergeCell ref="C6292:C6293"/>
    <mergeCell ref="B6292:B6293"/>
    <mergeCell ref="A6292:A6293"/>
    <mergeCell ref="D6251:D6252"/>
    <mergeCell ref="C6251:C6252"/>
    <mergeCell ref="B6251:B6252"/>
    <mergeCell ref="A6251:A6252"/>
    <mergeCell ref="D6266:D6268"/>
    <mergeCell ref="C6266:C6268"/>
    <mergeCell ref="B6266:B6268"/>
    <mergeCell ref="C6330:C6331"/>
    <mergeCell ref="A6257:A6264"/>
    <mergeCell ref="A6266:A6268"/>
    <mergeCell ref="A6306:A6307"/>
    <mergeCell ref="J6251:J6252"/>
    <mergeCell ref="I6251:I6252"/>
    <mergeCell ref="K6351:K6353"/>
    <mergeCell ref="J6351:J6353"/>
    <mergeCell ref="A6321:A6322"/>
    <mergeCell ref="G6266:G6268"/>
    <mergeCell ref="K6266:K6268"/>
    <mergeCell ref="J6266:J6268"/>
    <mergeCell ref="I6266:I6268"/>
    <mergeCell ref="D6257:D6264"/>
    <mergeCell ref="G6347:G6348"/>
    <mergeCell ref="K6347:K6348"/>
    <mergeCell ref="U6010:U6011"/>
    <mergeCell ref="U6052:U6053"/>
    <mergeCell ref="K6008:K6009"/>
    <mergeCell ref="J6008:J6009"/>
    <mergeCell ref="I6008:I6009"/>
    <mergeCell ref="H6008:H6009"/>
    <mergeCell ref="K6077:K6083"/>
    <mergeCell ref="J6077:J6083"/>
    <mergeCell ref="I6077:I6083"/>
    <mergeCell ref="C6085:C6087"/>
    <mergeCell ref="D6077:D6083"/>
    <mergeCell ref="C6077:C6083"/>
    <mergeCell ref="B6077:B6083"/>
    <mergeCell ref="B6105:B6106"/>
    <mergeCell ref="M6023:M6024"/>
    <mergeCell ref="B6178:B6179"/>
    <mergeCell ref="A6178:A6179"/>
    <mergeCell ref="G6178:G6179"/>
    <mergeCell ref="K6178:K6179"/>
    <mergeCell ref="J6178:J6179"/>
    <mergeCell ref="I6178:I6179"/>
    <mergeCell ref="H6178:H6179"/>
    <mergeCell ref="D6166:D6167"/>
    <mergeCell ref="C6166:C6167"/>
    <mergeCell ref="D6178:D6179"/>
    <mergeCell ref="G6145:G6146"/>
    <mergeCell ref="D6145:D6146"/>
    <mergeCell ref="C6145:C6146"/>
    <mergeCell ref="B6145:B6146"/>
    <mergeCell ref="K6145:K6146"/>
    <mergeCell ref="D6115:D6116"/>
    <mergeCell ref="K6115:K6116"/>
    <mergeCell ref="K5946:K5950"/>
    <mergeCell ref="J5946:J5950"/>
    <mergeCell ref="I5946:I5950"/>
    <mergeCell ref="I5944:I5945"/>
    <mergeCell ref="H6001:H6002"/>
    <mergeCell ref="D5987:D5988"/>
    <mergeCell ref="B5982:B5984"/>
    <mergeCell ref="U6072:U6073"/>
    <mergeCell ref="J6001:J6002"/>
    <mergeCell ref="B6010:B6011"/>
    <mergeCell ref="A6010:A6011"/>
    <mergeCell ref="G6010:G6011"/>
    <mergeCell ref="K6010:K6011"/>
    <mergeCell ref="K6067:K6068"/>
    <mergeCell ref="T6052:T6053"/>
    <mergeCell ref="J6052:J6053"/>
    <mergeCell ref="K6052:K6053"/>
    <mergeCell ref="B6054:B6055"/>
    <mergeCell ref="B6072:B6073"/>
    <mergeCell ref="A6072:A6073"/>
    <mergeCell ref="G6072:G6073"/>
    <mergeCell ref="K6072:K6073"/>
    <mergeCell ref="J6072:J6073"/>
    <mergeCell ref="A6067:A6068"/>
    <mergeCell ref="C6010:C6011"/>
    <mergeCell ref="I6001:I6002"/>
    <mergeCell ref="D6016:D6024"/>
    <mergeCell ref="C6016:C6024"/>
    <mergeCell ref="B6001:B6002"/>
    <mergeCell ref="A6001:A6002"/>
    <mergeCell ref="D6010:D6011"/>
    <mergeCell ref="J6054:J6055"/>
    <mergeCell ref="H6052:H6053"/>
    <mergeCell ref="B6008:B6009"/>
    <mergeCell ref="A6008:A6009"/>
    <mergeCell ref="G6008:G6009"/>
    <mergeCell ref="I6072:I6073"/>
    <mergeCell ref="H6072:H6073"/>
    <mergeCell ref="D6065:D6066"/>
    <mergeCell ref="B6067:B6068"/>
    <mergeCell ref="B6016:B6024"/>
    <mergeCell ref="A6016:A6024"/>
    <mergeCell ref="G6016:G6024"/>
    <mergeCell ref="D5888:D5889"/>
    <mergeCell ref="C5888:C5889"/>
    <mergeCell ref="B5888:B5889"/>
    <mergeCell ref="A5888:A5889"/>
    <mergeCell ref="G5888:G5889"/>
    <mergeCell ref="C5946:C5950"/>
    <mergeCell ref="G5946:G5950"/>
    <mergeCell ref="B6052:B6053"/>
    <mergeCell ref="A6052:A6053"/>
    <mergeCell ref="G6052:G6053"/>
    <mergeCell ref="I6052:I6053"/>
    <mergeCell ref="A6054:A6055"/>
    <mergeCell ref="C6065:C6066"/>
    <mergeCell ref="B6065:B6066"/>
    <mergeCell ref="A6065:A6066"/>
    <mergeCell ref="B6085:B6087"/>
    <mergeCell ref="A6085:A6087"/>
    <mergeCell ref="K6085:K6087"/>
    <mergeCell ref="J6085:J6087"/>
    <mergeCell ref="A6077:A6083"/>
    <mergeCell ref="I6085:I6087"/>
    <mergeCell ref="H6085:H6087"/>
    <mergeCell ref="G6077:G6083"/>
    <mergeCell ref="A6105:A6106"/>
    <mergeCell ref="G6105:G6106"/>
    <mergeCell ref="K6105:K6106"/>
    <mergeCell ref="J6105:J6106"/>
    <mergeCell ref="I6105:I6106"/>
    <mergeCell ref="H6105:H6106"/>
    <mergeCell ref="I5750:I5751"/>
    <mergeCell ref="J5750:J5751"/>
    <mergeCell ref="K5750:K5751"/>
    <mergeCell ref="D5750:D5751"/>
    <mergeCell ref="H5798:H5799"/>
    <mergeCell ref="D5773:D5774"/>
    <mergeCell ref="G5773:G5774"/>
    <mergeCell ref="K5773:K5774"/>
    <mergeCell ref="I6054:I6055"/>
    <mergeCell ref="H6054:H6055"/>
    <mergeCell ref="B6092:B6094"/>
    <mergeCell ref="A6092:A6094"/>
    <mergeCell ref="K5888:K5889"/>
    <mergeCell ref="J5888:J5889"/>
    <mergeCell ref="I5888:I5889"/>
    <mergeCell ref="H5888:H5889"/>
    <mergeCell ref="B5987:B5988"/>
    <mergeCell ref="C6054:C6055"/>
    <mergeCell ref="T5789:T5790"/>
    <mergeCell ref="A5773:A5774"/>
    <mergeCell ref="T5773:T5774"/>
    <mergeCell ref="A5875:A5876"/>
    <mergeCell ref="T5875:T5876"/>
    <mergeCell ref="T5934:T5935"/>
    <mergeCell ref="A5789:A5790"/>
    <mergeCell ref="G5789:G5790"/>
    <mergeCell ref="K5789:K5790"/>
    <mergeCell ref="J5789:J5790"/>
    <mergeCell ref="I5789:I5790"/>
    <mergeCell ref="D5913:D5914"/>
    <mergeCell ref="C5913:C5914"/>
    <mergeCell ref="B5913:B5914"/>
    <mergeCell ref="B5934:B5935"/>
    <mergeCell ref="A5934:A5935"/>
    <mergeCell ref="G5934:G5935"/>
    <mergeCell ref="K5934:K5935"/>
    <mergeCell ref="J5934:J5935"/>
    <mergeCell ref="I5934:I5935"/>
    <mergeCell ref="H5789:H5790"/>
    <mergeCell ref="D5825:D5826"/>
    <mergeCell ref="H5934:H5935"/>
    <mergeCell ref="B5721:B5722"/>
    <mergeCell ref="C5773:C5774"/>
    <mergeCell ref="B5773:B5774"/>
    <mergeCell ref="C5707:C5713"/>
    <mergeCell ref="D5707:D5713"/>
    <mergeCell ref="G5707:G5713"/>
    <mergeCell ref="D5721:D5722"/>
    <mergeCell ref="J5773:J5774"/>
    <mergeCell ref="I5773:I5774"/>
    <mergeCell ref="J5721:J5722"/>
    <mergeCell ref="D5789:D5790"/>
    <mergeCell ref="C5789:C5790"/>
    <mergeCell ref="B5789:B5790"/>
    <mergeCell ref="C5733:C5737"/>
    <mergeCell ref="G5798:G5799"/>
    <mergeCell ref="G5916:G5917"/>
    <mergeCell ref="K5916:K5917"/>
    <mergeCell ref="J5916:J5917"/>
    <mergeCell ref="I5916:I5917"/>
    <mergeCell ref="H5916:H5917"/>
    <mergeCell ref="K5850:K5851"/>
    <mergeCell ref="J5850:J5851"/>
    <mergeCell ref="I5721:I5722"/>
    <mergeCell ref="H5721:H5722"/>
    <mergeCell ref="K5852:K5862"/>
    <mergeCell ref="D5873:D5874"/>
    <mergeCell ref="C5873:C5874"/>
    <mergeCell ref="H5875:H5876"/>
    <mergeCell ref="D5852:D5862"/>
    <mergeCell ref="C5852:C5862"/>
    <mergeCell ref="B5852:B5862"/>
    <mergeCell ref="D5886:D5887"/>
    <mergeCell ref="AA5733:AA5737"/>
    <mergeCell ref="T5735:T5736"/>
    <mergeCell ref="M5707:M5713"/>
    <mergeCell ref="T5707:T5713"/>
    <mergeCell ref="D5753:D5772"/>
    <mergeCell ref="C5753:C5772"/>
    <mergeCell ref="B5753:B5772"/>
    <mergeCell ref="A5753:A5772"/>
    <mergeCell ref="G5753:G5772"/>
    <mergeCell ref="H5753:H5772"/>
    <mergeCell ref="I5753:I5772"/>
    <mergeCell ref="J5753:J5772"/>
    <mergeCell ref="K5753:K5772"/>
    <mergeCell ref="K5733:K5737"/>
    <mergeCell ref="J5733:J5737"/>
    <mergeCell ref="I5733:I5737"/>
    <mergeCell ref="H5733:H5737"/>
    <mergeCell ref="C5750:C5751"/>
    <mergeCell ref="B5750:B5751"/>
    <mergeCell ref="A5750:A5751"/>
    <mergeCell ref="G5750:G5751"/>
    <mergeCell ref="H5750:H5751"/>
    <mergeCell ref="T5753:T5772"/>
    <mergeCell ref="A5733:A5737"/>
    <mergeCell ref="G5733:G5737"/>
    <mergeCell ref="A5707:A5713"/>
    <mergeCell ref="D5733:D5737"/>
    <mergeCell ref="C5721:C5722"/>
    <mergeCell ref="B5733:B5737"/>
    <mergeCell ref="A5721:A5722"/>
    <mergeCell ref="G5721:G5722"/>
    <mergeCell ref="K5721:K5722"/>
    <mergeCell ref="AA5773:AA5774"/>
    <mergeCell ref="B5707:B5713"/>
    <mergeCell ref="T4660:T4662"/>
    <mergeCell ref="U4660:U4662"/>
    <mergeCell ref="D5719:D5720"/>
    <mergeCell ref="C5719:C5720"/>
    <mergeCell ref="B5719:B5720"/>
    <mergeCell ref="A5719:A5720"/>
    <mergeCell ref="G5719:G5720"/>
    <mergeCell ref="K5719:K5720"/>
    <mergeCell ref="J5719:J5720"/>
    <mergeCell ref="I5719:I5720"/>
    <mergeCell ref="H5719:H5720"/>
    <mergeCell ref="K5605:K5606"/>
    <mergeCell ref="J5605:J5606"/>
    <mergeCell ref="I5605:I5606"/>
    <mergeCell ref="H5605:H5606"/>
    <mergeCell ref="C5645:C5646"/>
    <mergeCell ref="I5607:I5608"/>
    <mergeCell ref="D5607:D5608"/>
    <mergeCell ref="H5633:H5634"/>
    <mergeCell ref="D5645:D5646"/>
    <mergeCell ref="J5661:J5663"/>
    <mergeCell ref="I5661:I5663"/>
    <mergeCell ref="H5661:H5663"/>
    <mergeCell ref="T5625:T5629"/>
    <mergeCell ref="G5633:G5634"/>
    <mergeCell ref="J5679:J5681"/>
    <mergeCell ref="T5568:T5569"/>
    <mergeCell ref="U5568:U5569"/>
    <mergeCell ref="T5673:T5674"/>
    <mergeCell ref="D5693:D5694"/>
    <mergeCell ref="B5693:B5694"/>
    <mergeCell ref="A5693:A5694"/>
    <mergeCell ref="AA5625:AA5629"/>
    <mergeCell ref="T5605:T5606"/>
    <mergeCell ref="A5700:A5702"/>
    <mergeCell ref="G5700:G5702"/>
    <mergeCell ref="K5700:K5702"/>
    <mergeCell ref="G5679:G5681"/>
    <mergeCell ref="K5679:K5681"/>
    <mergeCell ref="C5658:C5659"/>
    <mergeCell ref="K5596:K5597"/>
    <mergeCell ref="J5596:J5597"/>
    <mergeCell ref="I5596:I5597"/>
    <mergeCell ref="H5596:H5597"/>
    <mergeCell ref="U5625:U5629"/>
    <mergeCell ref="U5607:U5608"/>
    <mergeCell ref="K5600:K5604"/>
    <mergeCell ref="I5600:I5604"/>
    <mergeCell ref="H5600:H5604"/>
    <mergeCell ref="D5605:D5606"/>
    <mergeCell ref="C5605:C5606"/>
    <mergeCell ref="B5605:B5606"/>
    <mergeCell ref="A5605:A5606"/>
    <mergeCell ref="G5605:G5606"/>
    <mergeCell ref="U5661:U5662"/>
    <mergeCell ref="A5661:A5663"/>
    <mergeCell ref="G5661:G5663"/>
    <mergeCell ref="C5600:C5604"/>
    <mergeCell ref="B5600:B5604"/>
    <mergeCell ref="A5600:A5604"/>
    <mergeCell ref="G5600:G5604"/>
    <mergeCell ref="A5607:A5608"/>
    <mergeCell ref="K5653:K5654"/>
    <mergeCell ref="U5653:U5654"/>
    <mergeCell ref="T5658:T5659"/>
    <mergeCell ref="A5653:A5654"/>
    <mergeCell ref="AA5633:AA5634"/>
    <mergeCell ref="U5605:U5606"/>
    <mergeCell ref="U5593:U5595"/>
    <mergeCell ref="K5661:K5663"/>
    <mergeCell ref="J5600:J5604"/>
    <mergeCell ref="B5593:B5595"/>
    <mergeCell ref="A5593:A5595"/>
    <mergeCell ref="G5593:G5595"/>
    <mergeCell ref="U5596:U5597"/>
    <mergeCell ref="T5596:T5597"/>
    <mergeCell ref="D5593:D5595"/>
    <mergeCell ref="C5593:C5595"/>
    <mergeCell ref="I5588:I5589"/>
    <mergeCell ref="H5588:H5589"/>
    <mergeCell ref="T5653:T5654"/>
    <mergeCell ref="A5625:A5629"/>
    <mergeCell ref="B5625:B5629"/>
    <mergeCell ref="B5645:B5646"/>
    <mergeCell ref="A5645:A5646"/>
    <mergeCell ref="K5645:K5646"/>
    <mergeCell ref="C5607:C5608"/>
    <mergeCell ref="B5607:B5608"/>
    <mergeCell ref="J5658:J5659"/>
    <mergeCell ref="A5588:A5589"/>
    <mergeCell ref="A5596:A5597"/>
    <mergeCell ref="AA5719:AA5720"/>
    <mergeCell ref="T5719:T5720"/>
    <mergeCell ref="U5719:U5720"/>
    <mergeCell ref="J5700:J5702"/>
    <mergeCell ref="U5693:U5694"/>
    <mergeCell ref="I5693:I5694"/>
    <mergeCell ref="J5588:J5589"/>
    <mergeCell ref="K5593:K5595"/>
    <mergeCell ref="D5633:D5634"/>
    <mergeCell ref="C5633:C5634"/>
    <mergeCell ref="B5653:B5654"/>
    <mergeCell ref="C5653:C5654"/>
    <mergeCell ref="D5653:D5654"/>
    <mergeCell ref="T5601:T5602"/>
    <mergeCell ref="B5679:B5681"/>
    <mergeCell ref="T5593:T5595"/>
    <mergeCell ref="U5707:U5713"/>
    <mergeCell ref="K5707:K5713"/>
    <mergeCell ref="U5588:U5589"/>
    <mergeCell ref="G5588:G5589"/>
    <mergeCell ref="K5588:K5589"/>
    <mergeCell ref="I5633:I5634"/>
    <mergeCell ref="J5645:J5646"/>
    <mergeCell ref="I5645:I5646"/>
    <mergeCell ref="G5693:G5694"/>
    <mergeCell ref="K5693:K5694"/>
    <mergeCell ref="T5588:T5589"/>
    <mergeCell ref="M5593:M5595"/>
    <mergeCell ref="B5596:B5597"/>
    <mergeCell ref="G5607:G5608"/>
    <mergeCell ref="K5625:K5629"/>
    <mergeCell ref="AA5679:AA5681"/>
    <mergeCell ref="AA5700:AA5702"/>
    <mergeCell ref="D5673:D5674"/>
    <mergeCell ref="C5673:C5674"/>
    <mergeCell ref="B5673:B5674"/>
    <mergeCell ref="A5673:A5674"/>
    <mergeCell ref="G5673:G5674"/>
    <mergeCell ref="K5673:K5674"/>
    <mergeCell ref="J5673:J5674"/>
    <mergeCell ref="I5673:I5674"/>
    <mergeCell ref="H5673:H5674"/>
    <mergeCell ref="J5607:J5608"/>
    <mergeCell ref="B5658:B5659"/>
    <mergeCell ref="A5658:A5659"/>
    <mergeCell ref="G5658:G5659"/>
    <mergeCell ref="K5658:K5659"/>
    <mergeCell ref="AA5658:AA5659"/>
    <mergeCell ref="J5693:J5694"/>
    <mergeCell ref="T5661:T5662"/>
    <mergeCell ref="M5700:M5702"/>
    <mergeCell ref="T5700:T5702"/>
    <mergeCell ref="U5673:U5674"/>
    <mergeCell ref="U5658:U5659"/>
    <mergeCell ref="U5700:U5702"/>
    <mergeCell ref="T5693:T5694"/>
    <mergeCell ref="T5607:T5608"/>
    <mergeCell ref="T5645:T5646"/>
    <mergeCell ref="K5607:K5608"/>
    <mergeCell ref="H5607:H5608"/>
    <mergeCell ref="K5633:K5634"/>
    <mergeCell ref="C5679:C5681"/>
    <mergeCell ref="J5633:J5634"/>
    <mergeCell ref="D5658:D5659"/>
    <mergeCell ref="A5517:A5518"/>
    <mergeCell ref="G5517:G5518"/>
    <mergeCell ref="H5517:H5518"/>
    <mergeCell ref="I5517:I5518"/>
    <mergeCell ref="J5517:J5518"/>
    <mergeCell ref="K5517:K5518"/>
    <mergeCell ref="K5503:K5504"/>
    <mergeCell ref="U5517:U5518"/>
    <mergeCell ref="T5517:T5518"/>
    <mergeCell ref="D5524:D5528"/>
    <mergeCell ref="C5524:C5528"/>
    <mergeCell ref="B5524:B5528"/>
    <mergeCell ref="A5524:A5528"/>
    <mergeCell ref="G5524:G5528"/>
    <mergeCell ref="H5524:H5528"/>
    <mergeCell ref="I5524:I5528"/>
    <mergeCell ref="J5524:J5528"/>
    <mergeCell ref="K5524:K5528"/>
    <mergeCell ref="I5427:I5428"/>
    <mergeCell ref="J5427:J5428"/>
    <mergeCell ref="K5427:K5428"/>
    <mergeCell ref="G5383:G5384"/>
    <mergeCell ref="K5383:K5384"/>
    <mergeCell ref="T5427:T5428"/>
    <mergeCell ref="D5397:D5401"/>
    <mergeCell ref="AA5489:AA5493"/>
    <mergeCell ref="G5485:G5486"/>
    <mergeCell ref="H5485:H5486"/>
    <mergeCell ref="I5485:I5486"/>
    <mergeCell ref="J5485:J5486"/>
    <mergeCell ref="A5485:A5486"/>
    <mergeCell ref="B5485:B5486"/>
    <mergeCell ref="U5489:U5493"/>
    <mergeCell ref="T5489:T5493"/>
    <mergeCell ref="T5503:T5504"/>
    <mergeCell ref="G5503:G5504"/>
    <mergeCell ref="D5503:D5504"/>
    <mergeCell ref="C5503:C5504"/>
    <mergeCell ref="B5503:B5504"/>
    <mergeCell ref="A5503:A5504"/>
    <mergeCell ref="H5503:H5504"/>
    <mergeCell ref="I5503:I5504"/>
    <mergeCell ref="J5503:J5504"/>
    <mergeCell ref="B5494:B5496"/>
    <mergeCell ref="C5494:C5496"/>
    <mergeCell ref="D5494:D5496"/>
    <mergeCell ref="G5494:G5496"/>
    <mergeCell ref="H5494:H5496"/>
    <mergeCell ref="I5494:I5496"/>
    <mergeCell ref="J5494:J5496"/>
    <mergeCell ref="D5435:D5445"/>
    <mergeCell ref="G5458:G5459"/>
    <mergeCell ref="D5458:D5459"/>
    <mergeCell ref="A5473:A5474"/>
    <mergeCell ref="H5473:H5474"/>
    <mergeCell ref="I5473:I5474"/>
    <mergeCell ref="J5473:J5474"/>
    <mergeCell ref="G5489:G5493"/>
    <mergeCell ref="J5489:J5493"/>
    <mergeCell ref="I5489:I5493"/>
    <mergeCell ref="H5489:H5493"/>
    <mergeCell ref="AA5313:AA5314"/>
    <mergeCell ref="D5327:D5328"/>
    <mergeCell ref="T5284:T5285"/>
    <mergeCell ref="D5239:D5240"/>
    <mergeCell ref="T5261:T5262"/>
    <mergeCell ref="D5284:D5285"/>
    <mergeCell ref="D5448:D5449"/>
    <mergeCell ref="H5448:H5449"/>
    <mergeCell ref="I5448:I5449"/>
    <mergeCell ref="J5448:J5449"/>
    <mergeCell ref="K5448:K5449"/>
    <mergeCell ref="U5475:U5476"/>
    <mergeCell ref="T5475:T5476"/>
    <mergeCell ref="AA5473:AA5474"/>
    <mergeCell ref="AA5397:AA5401"/>
    <mergeCell ref="AA5360:AA5361"/>
    <mergeCell ref="M5446:M5447"/>
    <mergeCell ref="T5446:T5447"/>
    <mergeCell ref="D5427:D5428"/>
    <mergeCell ref="G5427:G5428"/>
    <mergeCell ref="H5427:H5428"/>
    <mergeCell ref="K5360:K5361"/>
    <mergeCell ref="M5435:M5445"/>
    <mergeCell ref="T5435:T5445"/>
    <mergeCell ref="G5435:G5445"/>
    <mergeCell ref="H5435:H5445"/>
    <mergeCell ref="I5435:I5445"/>
    <mergeCell ref="U5313:U5314"/>
    <mergeCell ref="U5360:U5361"/>
    <mergeCell ref="M5360:M5361"/>
    <mergeCell ref="T5360:T5361"/>
    <mergeCell ref="G5360:G5361"/>
    <mergeCell ref="D5360:D5361"/>
    <mergeCell ref="C5473:C5474"/>
    <mergeCell ref="D5473:D5474"/>
    <mergeCell ref="A5475:A5476"/>
    <mergeCell ref="B5475:B5476"/>
    <mergeCell ref="C5475:C5476"/>
    <mergeCell ref="D5475:D5476"/>
    <mergeCell ref="G5475:G5476"/>
    <mergeCell ref="H5475:H5476"/>
    <mergeCell ref="I5475:I5476"/>
    <mergeCell ref="J5475:J5476"/>
    <mergeCell ref="C5435:C5445"/>
    <mergeCell ref="B5435:B5445"/>
    <mergeCell ref="A5435:A5445"/>
    <mergeCell ref="A5446:A5447"/>
    <mergeCell ref="B5446:B5447"/>
    <mergeCell ref="C5446:C5447"/>
    <mergeCell ref="A5458:A5459"/>
    <mergeCell ref="B5458:B5459"/>
    <mergeCell ref="I5458:I5459"/>
    <mergeCell ref="J5458:J5459"/>
    <mergeCell ref="C5360:C5361"/>
    <mergeCell ref="U5397:U5401"/>
    <mergeCell ref="G5451:G5452"/>
    <mergeCell ref="H5451:H5452"/>
    <mergeCell ref="I5451:I5452"/>
    <mergeCell ref="J5451:J5452"/>
    <mergeCell ref="K5451:K5452"/>
    <mergeCell ref="D5451:D5452"/>
    <mergeCell ref="C5451:C5452"/>
    <mergeCell ref="B5451:B5452"/>
    <mergeCell ref="T5327:T5328"/>
    <mergeCell ref="I5313:I5314"/>
    <mergeCell ref="J5313:J5314"/>
    <mergeCell ref="K5313:K5314"/>
    <mergeCell ref="I5327:I5328"/>
    <mergeCell ref="J5327:J5328"/>
    <mergeCell ref="K5327:K5328"/>
    <mergeCell ref="H5412:H5413"/>
    <mergeCell ref="I5412:I5413"/>
    <mergeCell ref="J5412:J5413"/>
    <mergeCell ref="K5412:K5413"/>
    <mergeCell ref="G5448:G5449"/>
    <mergeCell ref="B5448:B5449"/>
    <mergeCell ref="C5448:C5449"/>
    <mergeCell ref="T5313:T5314"/>
    <mergeCell ref="J5360:J5361"/>
    <mergeCell ref="T5397:T5401"/>
    <mergeCell ref="G5397:G5401"/>
    <mergeCell ref="H5397:H5401"/>
    <mergeCell ref="I5397:I5401"/>
    <mergeCell ref="J5397:J5401"/>
    <mergeCell ref="K5397:K5401"/>
    <mergeCell ref="K5284:K5285"/>
    <mergeCell ref="A5266:A5267"/>
    <mergeCell ref="A5327:A5328"/>
    <mergeCell ref="G5327:G5328"/>
    <mergeCell ref="H5327:H5328"/>
    <mergeCell ref="J5435:J5445"/>
    <mergeCell ref="K5435:K5445"/>
    <mergeCell ref="D5291:D5292"/>
    <mergeCell ref="C5291:C5292"/>
    <mergeCell ref="B5291:B5292"/>
    <mergeCell ref="A5291:A5292"/>
    <mergeCell ref="G5291:G5292"/>
    <mergeCell ref="H5291:H5292"/>
    <mergeCell ref="I5291:I5292"/>
    <mergeCell ref="J5291:J5292"/>
    <mergeCell ref="K5291:K5292"/>
    <mergeCell ref="G5313:G5314"/>
    <mergeCell ref="D5313:D5314"/>
    <mergeCell ref="C5313:C5314"/>
    <mergeCell ref="B5313:B5314"/>
    <mergeCell ref="A5313:A5314"/>
    <mergeCell ref="H5313:H5314"/>
    <mergeCell ref="A5360:A5361"/>
    <mergeCell ref="B5360:B5361"/>
    <mergeCell ref="H5360:H5361"/>
    <mergeCell ref="I5360:I5361"/>
    <mergeCell ref="D5337:D5338"/>
    <mergeCell ref="C5337:C5338"/>
    <mergeCell ref="B5337:B5338"/>
    <mergeCell ref="A5337:A5338"/>
    <mergeCell ref="G5337:G5338"/>
    <mergeCell ref="C5397:C5401"/>
    <mergeCell ref="H5099:H5100"/>
    <mergeCell ref="I5099:I5100"/>
    <mergeCell ref="J5099:J5100"/>
    <mergeCell ref="K5099:K5100"/>
    <mergeCell ref="G5102:G5103"/>
    <mergeCell ref="H5102:H5103"/>
    <mergeCell ref="I5102:I5103"/>
    <mergeCell ref="J5102:J5103"/>
    <mergeCell ref="D5152:D5153"/>
    <mergeCell ref="D5105:D5106"/>
    <mergeCell ref="C5284:C5285"/>
    <mergeCell ref="B5284:B5285"/>
    <mergeCell ref="AA5215:AA5217"/>
    <mergeCell ref="T5233:T5234"/>
    <mergeCell ref="D5233:D5235"/>
    <mergeCell ref="C5233:C5235"/>
    <mergeCell ref="B5233:B5235"/>
    <mergeCell ref="G5233:G5235"/>
    <mergeCell ref="H5233:H5235"/>
    <mergeCell ref="I5233:I5235"/>
    <mergeCell ref="J5233:J5235"/>
    <mergeCell ref="K5233:K5235"/>
    <mergeCell ref="D5237:D5238"/>
    <mergeCell ref="C5237:C5238"/>
    <mergeCell ref="B5237:B5238"/>
    <mergeCell ref="J5261:J5262"/>
    <mergeCell ref="K5261:K5262"/>
    <mergeCell ref="U5239:U5240"/>
    <mergeCell ref="U5266:U5267"/>
    <mergeCell ref="T5102:T5103"/>
    <mergeCell ref="I5239:I5240"/>
    <mergeCell ref="J5239:J5240"/>
    <mergeCell ref="U5002:U5003"/>
    <mergeCell ref="T5099:T5100"/>
    <mergeCell ref="D5020:D5021"/>
    <mergeCell ref="C5020:C5021"/>
    <mergeCell ref="A5020:A5021"/>
    <mergeCell ref="G5020:G5021"/>
    <mergeCell ref="H5020:H5021"/>
    <mergeCell ref="I5020:I5021"/>
    <mergeCell ref="J5020:J5021"/>
    <mergeCell ref="K5020:K5021"/>
    <mergeCell ref="T5020:T5021"/>
    <mergeCell ref="D5002:D5003"/>
    <mergeCell ref="C5002:C5003"/>
    <mergeCell ref="B5002:B5003"/>
    <mergeCell ref="A5002:A5003"/>
    <mergeCell ref="G5002:G5003"/>
    <mergeCell ref="G5050:G5052"/>
    <mergeCell ref="H5050:H5052"/>
    <mergeCell ref="I5050:I5052"/>
    <mergeCell ref="K5002:K5003"/>
    <mergeCell ref="A5099:A5100"/>
    <mergeCell ref="G5099:G5100"/>
    <mergeCell ref="B5020:B5021"/>
    <mergeCell ref="A5026:A5027"/>
    <mergeCell ref="A5028:A5030"/>
    <mergeCell ref="B5028:B5030"/>
    <mergeCell ref="C5028:C5030"/>
    <mergeCell ref="D5028:D5030"/>
    <mergeCell ref="G5028:G5030"/>
    <mergeCell ref="H5028:H5030"/>
    <mergeCell ref="I5028:I5030"/>
    <mergeCell ref="J5028:J5030"/>
    <mergeCell ref="A4876:A4878"/>
    <mergeCell ref="B4876:B4878"/>
    <mergeCell ref="B4973:B4979"/>
    <mergeCell ref="A4973:A4979"/>
    <mergeCell ref="B4902:B4903"/>
    <mergeCell ref="A4902:A4903"/>
    <mergeCell ref="D4919:D4925"/>
    <mergeCell ref="C4919:C4925"/>
    <mergeCell ref="B4919:B4925"/>
    <mergeCell ref="A4919:A4925"/>
    <mergeCell ref="G4919:G4925"/>
    <mergeCell ref="H4919:H4925"/>
    <mergeCell ref="I4919:I4925"/>
    <mergeCell ref="J4919:J4925"/>
    <mergeCell ref="J4902:J4903"/>
    <mergeCell ref="K4902:K4903"/>
    <mergeCell ref="K4993:K5001"/>
    <mergeCell ref="B4993:B5001"/>
    <mergeCell ref="A4993:A5001"/>
    <mergeCell ref="J4993:J5001"/>
    <mergeCell ref="AA4877:AA4878"/>
    <mergeCell ref="G4876:G4878"/>
    <mergeCell ref="C4876:C4878"/>
    <mergeCell ref="D4876:D4878"/>
    <mergeCell ref="H4876:H4878"/>
    <mergeCell ref="I4876:I4878"/>
    <mergeCell ref="J4876:J4878"/>
    <mergeCell ref="K4876:K4878"/>
    <mergeCell ref="D4973:D4979"/>
    <mergeCell ref="C4973:C4979"/>
    <mergeCell ref="G4973:G4979"/>
    <mergeCell ref="H4973:H4979"/>
    <mergeCell ref="I4973:I4979"/>
    <mergeCell ref="J4973:J4979"/>
    <mergeCell ref="K4973:K4979"/>
    <mergeCell ref="AA4902:AA4903"/>
    <mergeCell ref="K4919:K4925"/>
    <mergeCell ref="T4876:T4878"/>
    <mergeCell ref="D4902:D4903"/>
    <mergeCell ref="C4902:C4903"/>
    <mergeCell ref="M4902:M4903"/>
    <mergeCell ref="G4902:G4903"/>
    <mergeCell ref="H4902:H4903"/>
    <mergeCell ref="I4902:I4903"/>
    <mergeCell ref="U4974:U4978"/>
    <mergeCell ref="U4920:U4921"/>
    <mergeCell ref="T4902:T4903"/>
    <mergeCell ref="U4902:U4903"/>
    <mergeCell ref="U4876:U4878"/>
    <mergeCell ref="T4922:T4925"/>
    <mergeCell ref="T4920:T4921"/>
    <mergeCell ref="T4974:T4978"/>
    <mergeCell ref="C4852:C4856"/>
    <mergeCell ref="B4852:B4856"/>
    <mergeCell ref="A4852:A4856"/>
    <mergeCell ref="G4852:G4856"/>
    <mergeCell ref="K4852:K4856"/>
    <mergeCell ref="J4852:J4856"/>
    <mergeCell ref="I4852:I4856"/>
    <mergeCell ref="T4866:T4867"/>
    <mergeCell ref="U4864:U4865"/>
    <mergeCell ref="T4852:T4854"/>
    <mergeCell ref="U4852:U4854"/>
    <mergeCell ref="H4852:H4856"/>
    <mergeCell ref="D4864:D4865"/>
    <mergeCell ref="C4864:C4865"/>
    <mergeCell ref="B4864:B4865"/>
    <mergeCell ref="A4864:A4865"/>
    <mergeCell ref="G4864:G4865"/>
    <mergeCell ref="H4864:H4865"/>
    <mergeCell ref="I4864:I4865"/>
    <mergeCell ref="J4864:J4865"/>
    <mergeCell ref="K4864:K4865"/>
    <mergeCell ref="T4864:T4865"/>
    <mergeCell ref="U4866:U4867"/>
    <mergeCell ref="T4703:T4704"/>
    <mergeCell ref="U4703:U4704"/>
    <mergeCell ref="G4806:G4807"/>
    <mergeCell ref="H4806:H4807"/>
    <mergeCell ref="I4806:I4807"/>
    <mergeCell ref="H4596:H4606"/>
    <mergeCell ref="T4756:T4760"/>
    <mergeCell ref="U4756:U4760"/>
    <mergeCell ref="D4866:D4867"/>
    <mergeCell ref="C4866:C4867"/>
    <mergeCell ref="B4866:B4867"/>
    <mergeCell ref="A4866:A4867"/>
    <mergeCell ref="G4866:G4867"/>
    <mergeCell ref="H4866:H4867"/>
    <mergeCell ref="I4866:I4867"/>
    <mergeCell ref="J4866:J4867"/>
    <mergeCell ref="K4866:K4867"/>
    <mergeCell ref="B4833:B4834"/>
    <mergeCell ref="U4833:U4834"/>
    <mergeCell ref="T4833:T4834"/>
    <mergeCell ref="T4844:T4849"/>
    <mergeCell ref="K4840:K4841"/>
    <mergeCell ref="B4703:B4704"/>
    <mergeCell ref="C4703:C4704"/>
    <mergeCell ref="D4703:D4704"/>
    <mergeCell ref="G4703:G4704"/>
    <mergeCell ref="H4703:H4704"/>
    <mergeCell ref="I4703:I4704"/>
    <mergeCell ref="J4703:J4704"/>
    <mergeCell ref="K4703:K4704"/>
    <mergeCell ref="D4682:D4685"/>
    <mergeCell ref="D4852:D4856"/>
    <mergeCell ref="C4682:C4685"/>
    <mergeCell ref="B4682:B4685"/>
    <mergeCell ref="A4682:A4685"/>
    <mergeCell ref="G4682:G4685"/>
    <mergeCell ref="H4682:H4685"/>
    <mergeCell ref="I4682:I4685"/>
    <mergeCell ref="J4682:J4685"/>
    <mergeCell ref="K4682:K4685"/>
    <mergeCell ref="B4729:B4730"/>
    <mergeCell ref="C4729:C4730"/>
    <mergeCell ref="D4729:D4730"/>
    <mergeCell ref="G4729:G4730"/>
    <mergeCell ref="H4729:H4730"/>
    <mergeCell ref="I4729:I4730"/>
    <mergeCell ref="J4729:J4730"/>
    <mergeCell ref="K4729:K4730"/>
    <mergeCell ref="A4731:A4732"/>
    <mergeCell ref="B4731:B4732"/>
    <mergeCell ref="C4731:C4732"/>
    <mergeCell ref="A4703:A4704"/>
    <mergeCell ref="H4731:H4732"/>
    <mergeCell ref="I4731:I4732"/>
    <mergeCell ref="J4731:J4732"/>
    <mergeCell ref="K4731:K4732"/>
    <mergeCell ref="T4596:T4599"/>
    <mergeCell ref="T4601:T4605"/>
    <mergeCell ref="U4596:U4599"/>
    <mergeCell ref="U4601:U4605"/>
    <mergeCell ref="D4674:D4675"/>
    <mergeCell ref="C4674:C4675"/>
    <mergeCell ref="B4674:B4675"/>
    <mergeCell ref="A4674:A4675"/>
    <mergeCell ref="G4674:G4675"/>
    <mergeCell ref="H4674:H4675"/>
    <mergeCell ref="I4674:I4675"/>
    <mergeCell ref="J4674:J4675"/>
    <mergeCell ref="K4674:K4675"/>
    <mergeCell ref="D4596:D4606"/>
    <mergeCell ref="C4596:C4606"/>
    <mergeCell ref="B4596:B4606"/>
    <mergeCell ref="A4596:A4606"/>
    <mergeCell ref="G4596:G4606"/>
    <mergeCell ref="I4596:I4606"/>
    <mergeCell ref="J4596:J4606"/>
    <mergeCell ref="K4596:K4606"/>
    <mergeCell ref="K4631:K4635"/>
    <mergeCell ref="A4614:A4615"/>
    <mergeCell ref="B4614:B4615"/>
    <mergeCell ref="C4614:C4615"/>
    <mergeCell ref="D4614:D4615"/>
    <mergeCell ref="G4614:G4615"/>
    <mergeCell ref="H4614:H4615"/>
    <mergeCell ref="G4620:G4621"/>
    <mergeCell ref="A4620:A4621"/>
    <mergeCell ref="D4660:D4662"/>
    <mergeCell ref="B4620:B4621"/>
    <mergeCell ref="AA4729:AA4730"/>
    <mergeCell ref="D4802:D4803"/>
    <mergeCell ref="C4802:C4803"/>
    <mergeCell ref="B4802:B4803"/>
    <mergeCell ref="A4802:A4803"/>
    <mergeCell ref="G4802:G4803"/>
    <mergeCell ref="H4802:H4803"/>
    <mergeCell ref="I4802:I4803"/>
    <mergeCell ref="J4802:J4803"/>
    <mergeCell ref="K4802:K4803"/>
    <mergeCell ref="K4620:K4621"/>
    <mergeCell ref="D4631:D4635"/>
    <mergeCell ref="C4631:C4635"/>
    <mergeCell ref="B4631:B4635"/>
    <mergeCell ref="A4631:A4635"/>
    <mergeCell ref="G4631:G4635"/>
    <mergeCell ref="H4631:H4635"/>
    <mergeCell ref="I4631:I4635"/>
    <mergeCell ref="J4631:J4635"/>
    <mergeCell ref="C4660:C4662"/>
    <mergeCell ref="B4660:B4662"/>
    <mergeCell ref="A4660:A4662"/>
    <mergeCell ref="G4660:G4662"/>
    <mergeCell ref="H4660:H4662"/>
    <mergeCell ref="I4660:I4662"/>
    <mergeCell ref="J4660:J4662"/>
    <mergeCell ref="K4660:K4662"/>
    <mergeCell ref="U4753:U4754"/>
    <mergeCell ref="D4731:D4732"/>
    <mergeCell ref="G4731:G4732"/>
    <mergeCell ref="AA4731:AA4732"/>
    <mergeCell ref="A4729:A4730"/>
    <mergeCell ref="C4620:C4621"/>
    <mergeCell ref="D4620:D4621"/>
    <mergeCell ref="D4610:D4613"/>
    <mergeCell ref="C4610:C4613"/>
    <mergeCell ref="B4610:B4613"/>
    <mergeCell ref="A4610:A4613"/>
    <mergeCell ref="G4610:G4613"/>
    <mergeCell ref="H4610:H4613"/>
    <mergeCell ref="I4610:I4613"/>
    <mergeCell ref="J4610:J4613"/>
    <mergeCell ref="H4620:H4621"/>
    <mergeCell ref="I4620:I4621"/>
    <mergeCell ref="J4620:J4621"/>
    <mergeCell ref="H4569:H4572"/>
    <mergeCell ref="I4569:I4572"/>
    <mergeCell ref="J4569:J4572"/>
    <mergeCell ref="D4579:D4580"/>
    <mergeCell ref="C4579:C4580"/>
    <mergeCell ref="B4579:B4580"/>
    <mergeCell ref="A4579:A4580"/>
    <mergeCell ref="G4579:G4580"/>
    <mergeCell ref="H4579:H4580"/>
    <mergeCell ref="I4579:I4580"/>
    <mergeCell ref="J4579:J4580"/>
    <mergeCell ref="K4579:K4580"/>
    <mergeCell ref="J4522:J4523"/>
    <mergeCell ref="K4522:K4523"/>
    <mergeCell ref="D4522:D4523"/>
    <mergeCell ref="G4522:G4523"/>
    <mergeCell ref="H4522:H4523"/>
    <mergeCell ref="H4471:H4476"/>
    <mergeCell ref="I4471:I4476"/>
    <mergeCell ref="J4471:J4476"/>
    <mergeCell ref="K4471:K4476"/>
    <mergeCell ref="I4493:I4494"/>
    <mergeCell ref="J4493:J4494"/>
    <mergeCell ref="K4493:K4494"/>
    <mergeCell ref="U4358:U4360"/>
    <mergeCell ref="U4341:U4342"/>
    <mergeCell ref="T4536:T4537"/>
    <mergeCell ref="U4493:U4494"/>
    <mergeCell ref="U4381:U4384"/>
    <mergeCell ref="U4386:U4388"/>
    <mergeCell ref="D4531:D4532"/>
    <mergeCell ref="M4358:M4360"/>
    <mergeCell ref="M4381:M4384"/>
    <mergeCell ref="M4386:M4388"/>
    <mergeCell ref="D4381:D4389"/>
    <mergeCell ref="T4358:T4360"/>
    <mergeCell ref="U4412:U4414"/>
    <mergeCell ref="K4461:K4467"/>
    <mergeCell ref="T4481:T4484"/>
    <mergeCell ref="T4477:T4480"/>
    <mergeCell ref="D4432:D4433"/>
    <mergeCell ref="D4461:D4467"/>
    <mergeCell ref="U4531:U4532"/>
    <mergeCell ref="AA4488:AA4489"/>
    <mergeCell ref="T4488:T4489"/>
    <mergeCell ref="T4569:T4572"/>
    <mergeCell ref="I4461:I4467"/>
    <mergeCell ref="J4461:J4467"/>
    <mergeCell ref="C4531:C4532"/>
    <mergeCell ref="B4531:B4532"/>
    <mergeCell ref="A4531:A4532"/>
    <mergeCell ref="G4531:G4532"/>
    <mergeCell ref="H4531:H4532"/>
    <mergeCell ref="I4531:I4532"/>
    <mergeCell ref="D4477:D4484"/>
    <mergeCell ref="H4477:H4484"/>
    <mergeCell ref="I4477:I4484"/>
    <mergeCell ref="D4471:D4476"/>
    <mergeCell ref="C4471:C4476"/>
    <mergeCell ref="B4471:B4476"/>
    <mergeCell ref="J4531:J4532"/>
    <mergeCell ref="K4531:K4532"/>
    <mergeCell ref="A4536:A4537"/>
    <mergeCell ref="G4536:G4537"/>
    <mergeCell ref="H4536:H4537"/>
    <mergeCell ref="I4522:I4523"/>
    <mergeCell ref="A4522:A4523"/>
    <mergeCell ref="B4522:B4523"/>
    <mergeCell ref="C4522:C4523"/>
    <mergeCell ref="J4477:J4484"/>
    <mergeCell ref="K4477:K4484"/>
    <mergeCell ref="C4477:C4484"/>
    <mergeCell ref="B4477:B4484"/>
    <mergeCell ref="A4477:A4484"/>
    <mergeCell ref="U4536:U4537"/>
    <mergeCell ref="AA4569:AA4572"/>
    <mergeCell ref="D4545:D4546"/>
    <mergeCell ref="C4545:C4546"/>
    <mergeCell ref="B4545:B4546"/>
    <mergeCell ref="A4545:A4546"/>
    <mergeCell ref="G4545:G4546"/>
    <mergeCell ref="H4545:H4546"/>
    <mergeCell ref="I4545:I4546"/>
    <mergeCell ref="J4545:J4546"/>
    <mergeCell ref="K4545:K4546"/>
    <mergeCell ref="AA4545:AA4546"/>
    <mergeCell ref="D4569:D4572"/>
    <mergeCell ref="C4569:C4572"/>
    <mergeCell ref="B4569:B4572"/>
    <mergeCell ref="A4569:A4572"/>
    <mergeCell ref="G4569:G4572"/>
    <mergeCell ref="D4536:D4537"/>
    <mergeCell ref="C4536:C4537"/>
    <mergeCell ref="B4536:B4537"/>
    <mergeCell ref="K4569:K4572"/>
    <mergeCell ref="U4543:U4544"/>
    <mergeCell ref="K4381:K4389"/>
    <mergeCell ref="A4459:A4460"/>
    <mergeCell ref="G4459:G4460"/>
    <mergeCell ref="AA4536:AA4537"/>
    <mergeCell ref="D4543:D4544"/>
    <mergeCell ref="C4543:C4544"/>
    <mergeCell ref="B4543:B4544"/>
    <mergeCell ref="A4543:A4544"/>
    <mergeCell ref="G4543:G4544"/>
    <mergeCell ref="H4543:H4544"/>
    <mergeCell ref="I4543:I4544"/>
    <mergeCell ref="J4543:J4544"/>
    <mergeCell ref="K4543:K4544"/>
    <mergeCell ref="I4536:I4537"/>
    <mergeCell ref="J4536:J4537"/>
    <mergeCell ref="K4536:K4537"/>
    <mergeCell ref="U4462:U4464"/>
    <mergeCell ref="U4466:U4467"/>
    <mergeCell ref="G4432:G4433"/>
    <mergeCell ref="H4432:H4433"/>
    <mergeCell ref="I4432:I4433"/>
    <mergeCell ref="J4432:J4433"/>
    <mergeCell ref="C4432:C4433"/>
    <mergeCell ref="T4386:T4388"/>
    <mergeCell ref="AA4504:AA4507"/>
    <mergeCell ref="B4432:B4433"/>
    <mergeCell ref="A4432:A4433"/>
    <mergeCell ref="T4493:T4494"/>
    <mergeCell ref="T4462:T4464"/>
    <mergeCell ref="T4466:T4467"/>
    <mergeCell ref="J4488:J4489"/>
    <mergeCell ref="K4488:K4489"/>
    <mergeCell ref="A4215:A4216"/>
    <mergeCell ref="G4215:G4216"/>
    <mergeCell ref="H4215:H4216"/>
    <mergeCell ref="I4215:I4216"/>
    <mergeCell ref="J4215:J4216"/>
    <mergeCell ref="K4215:K4216"/>
    <mergeCell ref="J4504:J4507"/>
    <mergeCell ref="K4504:K4507"/>
    <mergeCell ref="A4461:A4467"/>
    <mergeCell ref="G4461:G4467"/>
    <mergeCell ref="H4461:H4467"/>
    <mergeCell ref="A4471:A4476"/>
    <mergeCell ref="G4471:G4476"/>
    <mergeCell ref="K4432:K4433"/>
    <mergeCell ref="D4459:D4460"/>
    <mergeCell ref="C4459:C4460"/>
    <mergeCell ref="B4459:B4460"/>
    <mergeCell ref="A4247:A4248"/>
    <mergeCell ref="G4247:G4248"/>
    <mergeCell ref="H4247:H4248"/>
    <mergeCell ref="D4488:D4489"/>
    <mergeCell ref="C4488:C4489"/>
    <mergeCell ref="B4488:B4489"/>
    <mergeCell ref="A4488:A4489"/>
    <mergeCell ref="G4488:G4489"/>
    <mergeCell ref="H4488:H4489"/>
    <mergeCell ref="I4488:I4489"/>
    <mergeCell ref="C4381:C4389"/>
    <mergeCell ref="B4381:B4389"/>
    <mergeCell ref="A4381:A4389"/>
    <mergeCell ref="G4381:G4389"/>
    <mergeCell ref="H4381:H4389"/>
    <mergeCell ref="C4243:C4244"/>
    <mergeCell ref="A4232:A4237"/>
    <mergeCell ref="G4232:G4237"/>
    <mergeCell ref="B4243:B4244"/>
    <mergeCell ref="A4243:A4244"/>
    <mergeCell ref="K4309:K4310"/>
    <mergeCell ref="D4258:D4259"/>
    <mergeCell ref="C4258:C4259"/>
    <mergeCell ref="B4258:B4259"/>
    <mergeCell ref="A4258:A4259"/>
    <mergeCell ref="G4258:G4259"/>
    <mergeCell ref="K4247:K4248"/>
    <mergeCell ref="B4232:B4237"/>
    <mergeCell ref="G4335:G4336"/>
    <mergeCell ref="J4335:J4336"/>
    <mergeCell ref="K4335:K4336"/>
    <mergeCell ref="I4335:I4336"/>
    <mergeCell ref="H4335:H4336"/>
    <mergeCell ref="I4247:I4248"/>
    <mergeCell ref="J4247:J4248"/>
    <mergeCell ref="D4250:D4251"/>
    <mergeCell ref="A4325:A4326"/>
    <mergeCell ref="G4325:G4326"/>
    <mergeCell ref="H4325:H4326"/>
    <mergeCell ref="I4325:I4326"/>
    <mergeCell ref="J4325:J4326"/>
    <mergeCell ref="K4325:K4326"/>
    <mergeCell ref="AA4325:AA4326"/>
    <mergeCell ref="D4332:D4333"/>
    <mergeCell ref="C4332:C4333"/>
    <mergeCell ref="B4332:B4333"/>
    <mergeCell ref="A4332:A4333"/>
    <mergeCell ref="G4332:G4333"/>
    <mergeCell ref="H4332:H4333"/>
    <mergeCell ref="I4332:I4333"/>
    <mergeCell ref="J4332:J4333"/>
    <mergeCell ref="K4332:K4333"/>
    <mergeCell ref="AA4332:AA4333"/>
    <mergeCell ref="U4250:U4251"/>
    <mergeCell ref="D4309:D4310"/>
    <mergeCell ref="C4309:C4310"/>
    <mergeCell ref="B4309:B4310"/>
    <mergeCell ref="A4309:A4310"/>
    <mergeCell ref="G4309:G4310"/>
    <mergeCell ref="H4309:H4310"/>
    <mergeCell ref="I4309:I4310"/>
    <mergeCell ref="J4309:J4310"/>
    <mergeCell ref="C4250:C4251"/>
    <mergeCell ref="B4250:B4251"/>
    <mergeCell ref="A4250:A4251"/>
    <mergeCell ref="G4250:G4251"/>
    <mergeCell ref="H4250:H4251"/>
    <mergeCell ref="I4250:I4251"/>
    <mergeCell ref="J4250:J4251"/>
    <mergeCell ref="K4250:K4251"/>
    <mergeCell ref="I4258:I4259"/>
    <mergeCell ref="J4258:J4259"/>
    <mergeCell ref="K4258:K4259"/>
    <mergeCell ref="U4258:U4259"/>
    <mergeCell ref="U3811:U3813"/>
    <mergeCell ref="T4215:T4216"/>
    <mergeCell ref="D4200:D4201"/>
    <mergeCell ref="C4200:C4201"/>
    <mergeCell ref="B4200:B4201"/>
    <mergeCell ref="A4200:A4201"/>
    <mergeCell ref="G4200:G4201"/>
    <mergeCell ref="H4200:H4201"/>
    <mergeCell ref="I4200:I4201"/>
    <mergeCell ref="J4200:J4201"/>
    <mergeCell ref="K4200:K4201"/>
    <mergeCell ref="D4212:D4214"/>
    <mergeCell ref="C4212:C4214"/>
    <mergeCell ref="B4212:B4214"/>
    <mergeCell ref="A4212:A4214"/>
    <mergeCell ref="G4059:G4060"/>
    <mergeCell ref="G4018:G4020"/>
    <mergeCell ref="U4059:U4060"/>
    <mergeCell ref="U4076:U4077"/>
    <mergeCell ref="T4121:T4123"/>
    <mergeCell ref="U4121:U4123"/>
    <mergeCell ref="M4121:M4123"/>
    <mergeCell ref="A4157:A4159"/>
    <mergeCell ref="K4033:K4034"/>
    <mergeCell ref="T4059:T4060"/>
    <mergeCell ref="I4121:I4123"/>
    <mergeCell ref="J4121:J4123"/>
    <mergeCell ref="K4166:K4168"/>
    <mergeCell ref="U4215:U4216"/>
    <mergeCell ref="H4157:H4159"/>
    <mergeCell ref="D4157:D4159"/>
    <mergeCell ref="I4212:I4214"/>
    <mergeCell ref="C4121:C4123"/>
    <mergeCell ref="U4157:U4158"/>
    <mergeCell ref="D4166:D4168"/>
    <mergeCell ref="C4166:C4168"/>
    <mergeCell ref="B4166:B4168"/>
    <mergeCell ref="U4167:U4168"/>
    <mergeCell ref="A4166:A4168"/>
    <mergeCell ref="G4166:G4168"/>
    <mergeCell ref="H4166:H4168"/>
    <mergeCell ref="I4166:I4168"/>
    <mergeCell ref="J4166:J4168"/>
    <mergeCell ref="C4157:C4159"/>
    <mergeCell ref="B4157:B4159"/>
    <mergeCell ref="I4184:I4185"/>
    <mergeCell ref="J4184:J4185"/>
    <mergeCell ref="G4155:G4156"/>
    <mergeCell ref="H4155:H4156"/>
    <mergeCell ref="I4155:I4156"/>
    <mergeCell ref="J4155:J4156"/>
    <mergeCell ref="T4157:T4159"/>
    <mergeCell ref="G4157:G4159"/>
    <mergeCell ref="M4157:M4158"/>
    <mergeCell ref="I4157:I4159"/>
    <mergeCell ref="J4157:J4159"/>
    <mergeCell ref="K4157:K4159"/>
    <mergeCell ref="B4184:B4185"/>
    <mergeCell ref="A4184:A4185"/>
    <mergeCell ref="G4184:G4185"/>
    <mergeCell ref="H4184:H4185"/>
    <mergeCell ref="D4184:D4185"/>
    <mergeCell ref="C4184:C4185"/>
    <mergeCell ref="K4184:K4185"/>
    <mergeCell ref="K3971:K3987"/>
    <mergeCell ref="D3969:D3970"/>
    <mergeCell ref="D3971:D3987"/>
    <mergeCell ref="C3971:C3987"/>
    <mergeCell ref="B4121:B4123"/>
    <mergeCell ref="A4121:A4123"/>
    <mergeCell ref="H4059:H4060"/>
    <mergeCell ref="I4059:I4060"/>
    <mergeCell ref="J4059:J4060"/>
    <mergeCell ref="G4121:G4123"/>
    <mergeCell ref="H4121:H4123"/>
    <mergeCell ref="H4033:H4034"/>
    <mergeCell ref="I4033:I4034"/>
    <mergeCell ref="J4033:J4034"/>
    <mergeCell ref="A4055:A4057"/>
    <mergeCell ref="G4055:G4057"/>
    <mergeCell ref="H4055:H4057"/>
    <mergeCell ref="I4055:I4057"/>
    <mergeCell ref="J4055:J4057"/>
    <mergeCell ref="A4053:A4054"/>
    <mergeCell ref="G4053:G4054"/>
    <mergeCell ref="H4053:H4054"/>
    <mergeCell ref="I4053:I4054"/>
    <mergeCell ref="J4053:J4054"/>
    <mergeCell ref="G4102:G4106"/>
    <mergeCell ref="H4102:H4106"/>
    <mergeCell ref="I4102:I4106"/>
    <mergeCell ref="J4102:J4106"/>
    <mergeCell ref="G4051:G4052"/>
    <mergeCell ref="A4059:A4060"/>
    <mergeCell ref="I4076:I4077"/>
    <mergeCell ref="J4076:J4077"/>
    <mergeCell ref="K3953:K3954"/>
    <mergeCell ref="T4002:T4003"/>
    <mergeCell ref="B4002:B4003"/>
    <mergeCell ref="A3997:A3998"/>
    <mergeCell ref="K4076:K4077"/>
    <mergeCell ref="G3910:G3914"/>
    <mergeCell ref="H3910:H3914"/>
    <mergeCell ref="I3910:I3914"/>
    <mergeCell ref="J3910:J3914"/>
    <mergeCell ref="K3910:K3914"/>
    <mergeCell ref="A3929:A3930"/>
    <mergeCell ref="G3929:G3930"/>
    <mergeCell ref="J3932:J3933"/>
    <mergeCell ref="K3932:K3933"/>
    <mergeCell ref="G3948:G3949"/>
    <mergeCell ref="H3948:H3949"/>
    <mergeCell ref="I3948:I3949"/>
    <mergeCell ref="J3948:J3949"/>
    <mergeCell ref="K3948:K3949"/>
    <mergeCell ref="A4002:A4003"/>
    <mergeCell ref="D4002:D4003"/>
    <mergeCell ref="C4002:C4003"/>
    <mergeCell ref="G4002:G4003"/>
    <mergeCell ref="H4002:H4003"/>
    <mergeCell ref="I4002:I4003"/>
    <mergeCell ref="G3990:G3991"/>
    <mergeCell ref="J3990:J3991"/>
    <mergeCell ref="I3990:I3991"/>
    <mergeCell ref="K3990:K3991"/>
    <mergeCell ref="H3990:H3991"/>
    <mergeCell ref="D4076:D4077"/>
    <mergeCell ref="C4076:C4077"/>
    <mergeCell ref="A3884:A3885"/>
    <mergeCell ref="G3884:G3885"/>
    <mergeCell ref="H3884:H3885"/>
    <mergeCell ref="I3884:I3885"/>
    <mergeCell ref="I3873:I3874"/>
    <mergeCell ref="U3905:U3906"/>
    <mergeCell ref="T3927:T3928"/>
    <mergeCell ref="J3873:J3874"/>
    <mergeCell ref="C3850:C3851"/>
    <mergeCell ref="U3932:U3933"/>
    <mergeCell ref="U3948:U3949"/>
    <mergeCell ref="D3948:D3949"/>
    <mergeCell ref="C3948:C3949"/>
    <mergeCell ref="T3971:T3973"/>
    <mergeCell ref="U4033:U4034"/>
    <mergeCell ref="D4024:D4028"/>
    <mergeCell ref="C4024:C4028"/>
    <mergeCell ref="B4024:B4028"/>
    <mergeCell ref="A4024:A4028"/>
    <mergeCell ref="G4024:G4028"/>
    <mergeCell ref="H4024:H4028"/>
    <mergeCell ref="I4024:I4028"/>
    <mergeCell ref="H3997:H3998"/>
    <mergeCell ref="I3997:I3998"/>
    <mergeCell ref="D4030:D4031"/>
    <mergeCell ref="C4030:C4031"/>
    <mergeCell ref="B4030:B4031"/>
    <mergeCell ref="A4030:A4031"/>
    <mergeCell ref="A3953:A3954"/>
    <mergeCell ref="G3953:G3954"/>
    <mergeCell ref="H3953:H3954"/>
    <mergeCell ref="I3953:I3954"/>
    <mergeCell ref="U3929:U3930"/>
    <mergeCell ref="K3873:K3874"/>
    <mergeCell ref="AA3841:AA3842"/>
    <mergeCell ref="D3843:D3844"/>
    <mergeCell ref="C3843:C3844"/>
    <mergeCell ref="B3843:B3844"/>
    <mergeCell ref="A3843:A3844"/>
    <mergeCell ref="G3843:G3844"/>
    <mergeCell ref="H3843:H3844"/>
    <mergeCell ref="I3843:I3844"/>
    <mergeCell ref="I3905:I3906"/>
    <mergeCell ref="U3884:U3885"/>
    <mergeCell ref="D3927:D3928"/>
    <mergeCell ref="C3927:C3928"/>
    <mergeCell ref="B3927:B3928"/>
    <mergeCell ref="A3927:A3928"/>
    <mergeCell ref="G3927:G3928"/>
    <mergeCell ref="H3927:H3928"/>
    <mergeCell ref="I3927:I3928"/>
    <mergeCell ref="J3927:J3928"/>
    <mergeCell ref="K3927:K3928"/>
    <mergeCell ref="T3873:T3874"/>
    <mergeCell ref="T3911:T3914"/>
    <mergeCell ref="M3911:M3914"/>
    <mergeCell ref="T3929:T3930"/>
    <mergeCell ref="D3929:D3930"/>
    <mergeCell ref="C3929:C3930"/>
    <mergeCell ref="B3929:B3930"/>
    <mergeCell ref="C3841:C3842"/>
    <mergeCell ref="B3841:B3842"/>
    <mergeCell ref="A3841:A3842"/>
    <mergeCell ref="D3873:D3874"/>
    <mergeCell ref="AA3776:AA3777"/>
    <mergeCell ref="B3798:B3810"/>
    <mergeCell ref="A3798:A3810"/>
    <mergeCell ref="G3798:G3810"/>
    <mergeCell ref="H3798:H3810"/>
    <mergeCell ref="I3798:I3810"/>
    <mergeCell ref="J3798:J3810"/>
    <mergeCell ref="K3798:K3810"/>
    <mergeCell ref="T3809:T3810"/>
    <mergeCell ref="H3725:H3728"/>
    <mergeCell ref="D3725:D3728"/>
    <mergeCell ref="C3725:C3728"/>
    <mergeCell ref="B3725:B3728"/>
    <mergeCell ref="A3725:A3728"/>
    <mergeCell ref="U3776:U3777"/>
    <mergeCell ref="U3809:U3810"/>
    <mergeCell ref="D3798:D3810"/>
    <mergeCell ref="C3798:C3810"/>
    <mergeCell ref="M3776:M3777"/>
    <mergeCell ref="M3809:M3810"/>
    <mergeCell ref="U3725:U3727"/>
    <mergeCell ref="T3776:T3777"/>
    <mergeCell ref="A3734:A3735"/>
    <mergeCell ref="G3734:G3735"/>
    <mergeCell ref="H3734:H3735"/>
    <mergeCell ref="I3734:I3735"/>
    <mergeCell ref="J3734:J3735"/>
    <mergeCell ref="K3734:K3735"/>
    <mergeCell ref="T3764:T3765"/>
    <mergeCell ref="H3776:H3777"/>
    <mergeCell ref="U3798:U3808"/>
    <mergeCell ref="A3776:A3777"/>
    <mergeCell ref="G3544:G3545"/>
    <mergeCell ref="T3609:T3611"/>
    <mergeCell ref="D3627:D3628"/>
    <mergeCell ref="U3833:U3834"/>
    <mergeCell ref="D3811:D3814"/>
    <mergeCell ref="C3811:C3814"/>
    <mergeCell ref="B3811:B3814"/>
    <mergeCell ref="A3811:A3814"/>
    <mergeCell ref="T3811:T3813"/>
    <mergeCell ref="I3841:I3842"/>
    <mergeCell ref="J3841:J3842"/>
    <mergeCell ref="T3843:T3844"/>
    <mergeCell ref="T3850:T3851"/>
    <mergeCell ref="G3811:G3814"/>
    <mergeCell ref="H3811:H3814"/>
    <mergeCell ref="I3811:I3814"/>
    <mergeCell ref="J3811:J3814"/>
    <mergeCell ref="K3811:K3814"/>
    <mergeCell ref="D3833:D3834"/>
    <mergeCell ref="C3833:C3834"/>
    <mergeCell ref="B3833:B3834"/>
    <mergeCell ref="A3833:A3834"/>
    <mergeCell ref="G3833:G3834"/>
    <mergeCell ref="H3833:H3834"/>
    <mergeCell ref="U3841:U3842"/>
    <mergeCell ref="I3850:I3851"/>
    <mergeCell ref="J3850:J3851"/>
    <mergeCell ref="K3850:K3851"/>
    <mergeCell ref="T3841:T3842"/>
    <mergeCell ref="G3841:G3842"/>
    <mergeCell ref="D3841:D3842"/>
    <mergeCell ref="D3850:D3851"/>
    <mergeCell ref="G3520:G3521"/>
    <mergeCell ref="G3465:G3467"/>
    <mergeCell ref="H3465:H3467"/>
    <mergeCell ref="D3439:D3440"/>
    <mergeCell ref="D3465:D3467"/>
    <mergeCell ref="A3680:A3681"/>
    <mergeCell ref="G3680:G3681"/>
    <mergeCell ref="H3680:H3681"/>
    <mergeCell ref="I3680:I3681"/>
    <mergeCell ref="J3680:J3681"/>
    <mergeCell ref="J3647:J3663"/>
    <mergeCell ref="C3707:C3708"/>
    <mergeCell ref="B3707:B3708"/>
    <mergeCell ref="A3465:A3467"/>
    <mergeCell ref="U3609:U3611"/>
    <mergeCell ref="I3605:I3606"/>
    <mergeCell ref="J3605:J3606"/>
    <mergeCell ref="K3605:K3606"/>
    <mergeCell ref="D3575:D3578"/>
    <mergeCell ref="C3575:C3578"/>
    <mergeCell ref="B3575:B3578"/>
    <mergeCell ref="B3635:B3638"/>
    <mergeCell ref="A3635:A3638"/>
    <mergeCell ref="G3635:G3638"/>
    <mergeCell ref="H3635:H3638"/>
    <mergeCell ref="I3635:I3638"/>
    <mergeCell ref="J3635:J3638"/>
    <mergeCell ref="K3635:K3638"/>
    <mergeCell ref="D3544:D3545"/>
    <mergeCell ref="C3544:C3545"/>
    <mergeCell ref="B3544:B3545"/>
    <mergeCell ref="A3544:A3545"/>
    <mergeCell ref="U3478:U3479"/>
    <mergeCell ref="J3482:J3484"/>
    <mergeCell ref="H3482:H3484"/>
    <mergeCell ref="K3474:K3476"/>
    <mergeCell ref="T3439:T3440"/>
    <mergeCell ref="M3465:M3467"/>
    <mergeCell ref="J3629:J3630"/>
    <mergeCell ref="D3504:D3505"/>
    <mergeCell ref="D3520:D3521"/>
    <mergeCell ref="C3520:C3521"/>
    <mergeCell ref="B3520:B3521"/>
    <mergeCell ref="H3441:H3442"/>
    <mergeCell ref="C3627:C3628"/>
    <mergeCell ref="B3627:B3628"/>
    <mergeCell ref="D3474:D3476"/>
    <mergeCell ref="A3517:A3519"/>
    <mergeCell ref="G3517:G3519"/>
    <mergeCell ref="H3517:H3519"/>
    <mergeCell ref="I3506:I3508"/>
    <mergeCell ref="J3506:J3508"/>
    <mergeCell ref="K3506:K3508"/>
    <mergeCell ref="D3478:D3479"/>
    <mergeCell ref="C3478:C3479"/>
    <mergeCell ref="B3478:B3479"/>
    <mergeCell ref="C3504:C3505"/>
    <mergeCell ref="B3504:B3505"/>
    <mergeCell ref="A3504:A3505"/>
    <mergeCell ref="A3478:A3479"/>
    <mergeCell ref="D3506:D3508"/>
    <mergeCell ref="C3506:C3508"/>
    <mergeCell ref="B3506:B3508"/>
    <mergeCell ref="K3482:K3484"/>
    <mergeCell ref="T3506:T3508"/>
    <mergeCell ref="I3482:I3484"/>
    <mergeCell ref="C3439:C3440"/>
    <mergeCell ref="B3439:B3440"/>
    <mergeCell ref="A3439:A3440"/>
    <mergeCell ref="G3439:G3440"/>
    <mergeCell ref="H3439:H3440"/>
    <mergeCell ref="I3439:I3440"/>
    <mergeCell ref="J3439:J3440"/>
    <mergeCell ref="K3439:K3440"/>
    <mergeCell ref="D3441:D3442"/>
    <mergeCell ref="C3441:C3442"/>
    <mergeCell ref="B3441:B3442"/>
    <mergeCell ref="A3441:A3442"/>
    <mergeCell ref="D3482:D3484"/>
    <mergeCell ref="C3482:C3484"/>
    <mergeCell ref="B3482:B3484"/>
    <mergeCell ref="A3482:A3484"/>
    <mergeCell ref="C3474:C3476"/>
    <mergeCell ref="B3474:B3476"/>
    <mergeCell ref="A3474:A3476"/>
    <mergeCell ref="G3474:G3476"/>
    <mergeCell ref="H3474:H3476"/>
    <mergeCell ref="I3474:I3476"/>
    <mergeCell ref="J3474:J3476"/>
    <mergeCell ref="G3482:G3484"/>
    <mergeCell ref="G3478:G3479"/>
    <mergeCell ref="I3465:I3467"/>
    <mergeCell ref="J3465:J3467"/>
    <mergeCell ref="K3465:K3467"/>
    <mergeCell ref="C3465:C3467"/>
    <mergeCell ref="B3465:B3467"/>
    <mergeCell ref="U3627:U3628"/>
    <mergeCell ref="AA3544:AA3545"/>
    <mergeCell ref="D3546:D3547"/>
    <mergeCell ref="C3546:C3547"/>
    <mergeCell ref="B3546:B3547"/>
    <mergeCell ref="A3546:A3547"/>
    <mergeCell ref="G3546:G3547"/>
    <mergeCell ref="J3546:J3547"/>
    <mergeCell ref="K3546:K3547"/>
    <mergeCell ref="I3546:I3547"/>
    <mergeCell ref="H3546:H3547"/>
    <mergeCell ref="AA3546:AA3547"/>
    <mergeCell ref="I3441:I3442"/>
    <mergeCell ref="J3441:J3442"/>
    <mergeCell ref="K3441:K3442"/>
    <mergeCell ref="I3534:I3535"/>
    <mergeCell ref="J3534:J3535"/>
    <mergeCell ref="K3534:K3535"/>
    <mergeCell ref="U3575:U3578"/>
    <mergeCell ref="T3627:T3628"/>
    <mergeCell ref="AA3504:AA3505"/>
    <mergeCell ref="T3480:T3481"/>
    <mergeCell ref="D3480:D3481"/>
    <mergeCell ref="C3480:C3481"/>
    <mergeCell ref="B3480:B3481"/>
    <mergeCell ref="A3480:A3481"/>
    <mergeCell ref="G3480:G3481"/>
    <mergeCell ref="U3480:U3481"/>
    <mergeCell ref="A3534:A3535"/>
    <mergeCell ref="A3520:A3521"/>
    <mergeCell ref="AA3478:AA3479"/>
    <mergeCell ref="M3504:M3505"/>
    <mergeCell ref="A3327:A3329"/>
    <mergeCell ref="G3327:G3329"/>
    <mergeCell ref="H3327:H3329"/>
    <mergeCell ref="AA3474:AA3476"/>
    <mergeCell ref="J3478:J3479"/>
    <mergeCell ref="K3478:K3479"/>
    <mergeCell ref="T3445:T3446"/>
    <mergeCell ref="T3441:T3442"/>
    <mergeCell ref="T3433:T3434"/>
    <mergeCell ref="U3433:U3434"/>
    <mergeCell ref="D3445:D3446"/>
    <mergeCell ref="C3445:C3446"/>
    <mergeCell ref="B3445:B3446"/>
    <mergeCell ref="A3445:A3446"/>
    <mergeCell ref="G3445:G3446"/>
    <mergeCell ref="H3445:H3446"/>
    <mergeCell ref="I3445:I3446"/>
    <mergeCell ref="J3445:J3446"/>
    <mergeCell ref="K3445:K3446"/>
    <mergeCell ref="D3452:D3461"/>
    <mergeCell ref="C3452:C3461"/>
    <mergeCell ref="B3452:B3461"/>
    <mergeCell ref="A3452:A3461"/>
    <mergeCell ref="G3452:G3461"/>
    <mergeCell ref="H3452:H3461"/>
    <mergeCell ref="I3452:I3461"/>
    <mergeCell ref="J3452:J3461"/>
    <mergeCell ref="K3452:K3461"/>
    <mergeCell ref="U3445:U3446"/>
    <mergeCell ref="G3441:G3442"/>
    <mergeCell ref="M3445:M3446"/>
    <mergeCell ref="T3452:T3458"/>
    <mergeCell ref="A3378:A3381"/>
    <mergeCell ref="B3378:B3381"/>
    <mergeCell ref="C3378:C3381"/>
    <mergeCell ref="D3378:D3381"/>
    <mergeCell ref="G3378:G3381"/>
    <mergeCell ref="H3378:H3381"/>
    <mergeCell ref="E3383:E3386"/>
    <mergeCell ref="D3383:D3386"/>
    <mergeCell ref="C3383:C3386"/>
    <mergeCell ref="B3383:B3386"/>
    <mergeCell ref="A3383:A3386"/>
    <mergeCell ref="G3383:G3386"/>
    <mergeCell ref="H3383:H3386"/>
    <mergeCell ref="C3388:C3405"/>
    <mergeCell ref="U3334:U3340"/>
    <mergeCell ref="U3378:U3381"/>
    <mergeCell ref="B3388:B3405"/>
    <mergeCell ref="A3341:A3342"/>
    <mergeCell ref="A3358:A3359"/>
    <mergeCell ref="G3358:G3359"/>
    <mergeCell ref="H3358:H3359"/>
    <mergeCell ref="I3358:I3359"/>
    <mergeCell ref="J3358:J3359"/>
    <mergeCell ref="K3358:K3359"/>
    <mergeCell ref="A3334:A3340"/>
    <mergeCell ref="AA3382:AA3386"/>
    <mergeCell ref="C3334:C3340"/>
    <mergeCell ref="B3334:B3340"/>
    <mergeCell ref="G3334:G3340"/>
    <mergeCell ref="H3334:H3340"/>
    <mergeCell ref="I3334:I3340"/>
    <mergeCell ref="J3334:J3340"/>
    <mergeCell ref="K3334:K3340"/>
    <mergeCell ref="D3433:D3434"/>
    <mergeCell ref="C3433:C3434"/>
    <mergeCell ref="B3433:B3434"/>
    <mergeCell ref="T3341:T3342"/>
    <mergeCell ref="U3341:U3342"/>
    <mergeCell ref="D3417:D3418"/>
    <mergeCell ref="U3417:U3418"/>
    <mergeCell ref="I3327:I3329"/>
    <mergeCell ref="AA3417:AA3418"/>
    <mergeCell ref="K3341:K3342"/>
    <mergeCell ref="D3358:D3359"/>
    <mergeCell ref="C3358:C3359"/>
    <mergeCell ref="B3358:B3359"/>
    <mergeCell ref="D3331:D3332"/>
    <mergeCell ref="D3334:D3340"/>
    <mergeCell ref="C3417:C3418"/>
    <mergeCell ref="B3417:B3418"/>
    <mergeCell ref="D3327:D3329"/>
    <mergeCell ref="C3327:C3329"/>
    <mergeCell ref="B3327:B3329"/>
    <mergeCell ref="J3388:J3405"/>
    <mergeCell ref="I3388:I3405"/>
    <mergeCell ref="T3365:T3372"/>
    <mergeCell ref="U3439:U3440"/>
    <mergeCell ref="U3441:U3442"/>
    <mergeCell ref="U3452:U3458"/>
    <mergeCell ref="A3388:A3405"/>
    <mergeCell ref="M3334:M3340"/>
    <mergeCell ref="T3334:T3340"/>
    <mergeCell ref="T3331:T3332"/>
    <mergeCell ref="T3327:T3329"/>
    <mergeCell ref="U3383:U3386"/>
    <mergeCell ref="U3388:U3405"/>
    <mergeCell ref="D3388:D3405"/>
    <mergeCell ref="G3388:G3405"/>
    <mergeCell ref="K3388:K3405"/>
    <mergeCell ref="T3388:T3405"/>
    <mergeCell ref="T3417:T3418"/>
    <mergeCell ref="A3433:A3434"/>
    <mergeCell ref="G3433:G3434"/>
    <mergeCell ref="H3433:H3434"/>
    <mergeCell ref="I3433:I3434"/>
    <mergeCell ref="J3433:J3434"/>
    <mergeCell ref="K3433:K3434"/>
    <mergeCell ref="M3383:M3386"/>
    <mergeCell ref="T3383:T3386"/>
    <mergeCell ref="U3365:U3367"/>
    <mergeCell ref="U3368:U3369"/>
    <mergeCell ref="U3370:U3371"/>
    <mergeCell ref="I3378:I3381"/>
    <mergeCell ref="J3378:J3381"/>
    <mergeCell ref="M3378:M3381"/>
    <mergeCell ref="T3378:T3381"/>
    <mergeCell ref="I3383:I3386"/>
    <mergeCell ref="J3383:J3386"/>
    <mergeCell ref="A3417:A3418"/>
    <mergeCell ref="G3417:G3418"/>
    <mergeCell ref="H3417:H3418"/>
    <mergeCell ref="I3417:I3418"/>
    <mergeCell ref="J3417:J3418"/>
    <mergeCell ref="K3417:K3418"/>
    <mergeCell ref="H3388:H3405"/>
    <mergeCell ref="U3238:U3239"/>
    <mergeCell ref="AA3298:AA3299"/>
    <mergeCell ref="U3192:U3193"/>
    <mergeCell ref="U3260:U3261"/>
    <mergeCell ref="D3303:D3304"/>
    <mergeCell ref="C3303:C3304"/>
    <mergeCell ref="B3303:B3304"/>
    <mergeCell ref="AA3294:AA3295"/>
    <mergeCell ref="D3260:D3261"/>
    <mergeCell ref="C3260:C3261"/>
    <mergeCell ref="B3260:B3261"/>
    <mergeCell ref="D3290:D3292"/>
    <mergeCell ref="H3290:H3292"/>
    <mergeCell ref="I3290:I3292"/>
    <mergeCell ref="J3290:J3292"/>
    <mergeCell ref="K3290:K3292"/>
    <mergeCell ref="AA3290:AA3292"/>
    <mergeCell ref="D3294:D3295"/>
    <mergeCell ref="C3294:C3295"/>
    <mergeCell ref="B3294:B3295"/>
    <mergeCell ref="D3192:D3193"/>
    <mergeCell ref="C3192:C3193"/>
    <mergeCell ref="B3192:B3193"/>
    <mergeCell ref="U3298:U3299"/>
    <mergeCell ref="T3298:T3299"/>
    <mergeCell ref="U3274:U3275"/>
    <mergeCell ref="H3294:H3295"/>
    <mergeCell ref="T3303:T3304"/>
    <mergeCell ref="T3324:T3325"/>
    <mergeCell ref="A3298:A3299"/>
    <mergeCell ref="B3298:B3299"/>
    <mergeCell ref="G3298:G3299"/>
    <mergeCell ref="A3303:A3304"/>
    <mergeCell ref="G3303:G3304"/>
    <mergeCell ref="H3303:H3304"/>
    <mergeCell ref="I3303:I3304"/>
    <mergeCell ref="J3303:J3304"/>
    <mergeCell ref="K3303:K3304"/>
    <mergeCell ref="D3324:D3325"/>
    <mergeCell ref="C3324:C3325"/>
    <mergeCell ref="B3324:B3325"/>
    <mergeCell ref="A3324:A3325"/>
    <mergeCell ref="G3324:G3325"/>
    <mergeCell ref="H3324:H3325"/>
    <mergeCell ref="I3324:I3325"/>
    <mergeCell ref="D3298:D3299"/>
    <mergeCell ref="C3298:C3299"/>
    <mergeCell ref="J3324:J3325"/>
    <mergeCell ref="K3324:K3325"/>
    <mergeCell ref="A3274:A3275"/>
    <mergeCell ref="G3274:G3275"/>
    <mergeCell ref="H3274:H3275"/>
    <mergeCell ref="U3324:U3325"/>
    <mergeCell ref="I3274:I3275"/>
    <mergeCell ref="J3274:J3275"/>
    <mergeCell ref="K3274:K3275"/>
    <mergeCell ref="T3274:T3275"/>
    <mergeCell ref="A3296:A3297"/>
    <mergeCell ref="G3296:G3297"/>
    <mergeCell ref="J3296:J3297"/>
    <mergeCell ref="K3296:K3297"/>
    <mergeCell ref="I3296:I3297"/>
    <mergeCell ref="H3296:H3297"/>
    <mergeCell ref="J3298:J3299"/>
    <mergeCell ref="K3298:K3299"/>
    <mergeCell ref="H3298:H3299"/>
    <mergeCell ref="I3298:I3299"/>
    <mergeCell ref="J3294:J3295"/>
    <mergeCell ref="K3294:K3295"/>
    <mergeCell ref="A3290:A3292"/>
    <mergeCell ref="I3294:I3295"/>
    <mergeCell ref="D3296:D3297"/>
    <mergeCell ref="C3296:C3297"/>
    <mergeCell ref="B3296:B3297"/>
    <mergeCell ref="G3290:G3292"/>
    <mergeCell ref="M3274:M3275"/>
    <mergeCell ref="U3135:U3136"/>
    <mergeCell ref="K2969:K2970"/>
    <mergeCell ref="C2944:C2946"/>
    <mergeCell ref="B2944:B2946"/>
    <mergeCell ref="A2944:A2946"/>
    <mergeCell ref="G2944:G2946"/>
    <mergeCell ref="H2944:H2946"/>
    <mergeCell ref="I2944:I2946"/>
    <mergeCell ref="J2944:J2946"/>
    <mergeCell ref="K2944:K2946"/>
    <mergeCell ref="M3238:M3239"/>
    <mergeCell ref="T3238:T3239"/>
    <mergeCell ref="M3192:M3193"/>
    <mergeCell ref="K3102:K3103"/>
    <mergeCell ref="D3104:D3105"/>
    <mergeCell ref="C3104:C3105"/>
    <mergeCell ref="B3104:B3105"/>
    <mergeCell ref="A3104:A3105"/>
    <mergeCell ref="G3104:G3105"/>
    <mergeCell ref="H3104:H3105"/>
    <mergeCell ref="I3104:I3105"/>
    <mergeCell ref="J3104:J3105"/>
    <mergeCell ref="T3192:T3193"/>
    <mergeCell ref="U3021:U3023"/>
    <mergeCell ref="D3217:D3218"/>
    <mergeCell ref="T3026:T3033"/>
    <mergeCell ref="M3030:M3033"/>
    <mergeCell ref="U3066:U3068"/>
    <mergeCell ref="D3066:D3068"/>
    <mergeCell ref="C3066:C3068"/>
    <mergeCell ref="B3066:B3068"/>
    <mergeCell ref="U3026:U3029"/>
    <mergeCell ref="U3030:U3033"/>
    <mergeCell ref="T3052:T3053"/>
    <mergeCell ref="T3047:T3048"/>
    <mergeCell ref="D3047:D3048"/>
    <mergeCell ref="C3047:C3048"/>
    <mergeCell ref="B3047:B3048"/>
    <mergeCell ref="J3052:J3053"/>
    <mergeCell ref="K3052:K3053"/>
    <mergeCell ref="C3052:C3053"/>
    <mergeCell ref="B3052:B3053"/>
    <mergeCell ref="A3052:A3053"/>
    <mergeCell ref="G3052:G3053"/>
    <mergeCell ref="G2922:G2928"/>
    <mergeCell ref="H2922:H2928"/>
    <mergeCell ref="I2922:I2928"/>
    <mergeCell ref="J2922:J2928"/>
    <mergeCell ref="K2922:K2928"/>
    <mergeCell ref="D2969:D2970"/>
    <mergeCell ref="C2969:C2970"/>
    <mergeCell ref="B2969:B2970"/>
    <mergeCell ref="A2969:A2970"/>
    <mergeCell ref="G2969:G2970"/>
    <mergeCell ref="J2969:J2970"/>
    <mergeCell ref="H2969:H2970"/>
    <mergeCell ref="M3021:M3023"/>
    <mergeCell ref="G2938:G2943"/>
    <mergeCell ref="H2938:H2943"/>
    <mergeCell ref="I2938:I2943"/>
    <mergeCell ref="J2938:J2943"/>
    <mergeCell ref="K2938:K2943"/>
    <mergeCell ref="C2993:C2994"/>
    <mergeCell ref="C3217:C3218"/>
    <mergeCell ref="B3217:B3218"/>
    <mergeCell ref="A3217:A3218"/>
    <mergeCell ref="G3217:G3218"/>
    <mergeCell ref="H3217:H3218"/>
    <mergeCell ref="I3217:I3218"/>
    <mergeCell ref="J3217:J3218"/>
    <mergeCell ref="K3217:K3218"/>
    <mergeCell ref="K3104:K3105"/>
    <mergeCell ref="C2841:C2844"/>
    <mergeCell ref="D2922:D2928"/>
    <mergeCell ref="C2922:C2928"/>
    <mergeCell ref="B2922:B2928"/>
    <mergeCell ref="A2922:A2928"/>
    <mergeCell ref="I2948:I2949"/>
    <mergeCell ref="J2948:J2949"/>
    <mergeCell ref="K2948:K2949"/>
    <mergeCell ref="D2845:D2846"/>
    <mergeCell ref="C2845:C2846"/>
    <mergeCell ref="B2845:B2846"/>
    <mergeCell ref="A2845:A2846"/>
    <mergeCell ref="G2845:G2846"/>
    <mergeCell ref="H2845:H2846"/>
    <mergeCell ref="G3066:G3068"/>
    <mergeCell ref="H3066:H3068"/>
    <mergeCell ref="I3066:I3068"/>
    <mergeCell ref="I2845:I2846"/>
    <mergeCell ref="A3066:A3068"/>
    <mergeCell ref="G2993:G2994"/>
    <mergeCell ref="H2993:H2994"/>
    <mergeCell ref="I2993:I2994"/>
    <mergeCell ref="A2938:A2943"/>
    <mergeCell ref="T2739:T2742"/>
    <mergeCell ref="B2850:B2852"/>
    <mergeCell ref="A2850:A2852"/>
    <mergeCell ref="J2845:J2846"/>
    <mergeCell ref="U2705:U2706"/>
    <mergeCell ref="H2712:H2713"/>
    <mergeCell ref="I2712:I2713"/>
    <mergeCell ref="J2712:J2713"/>
    <mergeCell ref="D2948:D2949"/>
    <mergeCell ref="C2948:C2949"/>
    <mergeCell ref="B2948:B2949"/>
    <mergeCell ref="A2948:A2949"/>
    <mergeCell ref="G2948:G2949"/>
    <mergeCell ref="H2948:H2949"/>
    <mergeCell ref="B2841:B2844"/>
    <mergeCell ref="A2841:A2844"/>
    <mergeCell ref="G2841:G2844"/>
    <mergeCell ref="H2841:H2844"/>
    <mergeCell ref="I2841:I2844"/>
    <mergeCell ref="D2882:D2883"/>
    <mergeCell ref="H2739:H2742"/>
    <mergeCell ref="I2739:I2742"/>
    <mergeCell ref="J2739:J2742"/>
    <mergeCell ref="K2739:K2742"/>
    <mergeCell ref="M2708:M2710"/>
    <mergeCell ref="T2705:T2706"/>
    <mergeCell ref="K2712:K2713"/>
    <mergeCell ref="U2708:U2710"/>
    <mergeCell ref="K2812:K2816"/>
    <mergeCell ref="D2817:D2818"/>
    <mergeCell ref="C2817:C2818"/>
    <mergeCell ref="B2817:B2818"/>
    <mergeCell ref="K2841:K2844"/>
    <mergeCell ref="G2850:G2852"/>
    <mergeCell ref="H2850:H2852"/>
    <mergeCell ref="T2653:T2654"/>
    <mergeCell ref="D2671:D2672"/>
    <mergeCell ref="C2671:C2672"/>
    <mergeCell ref="B2671:B2672"/>
    <mergeCell ref="A2671:A2672"/>
    <mergeCell ref="M2679:M2680"/>
    <mergeCell ref="D2698:D2699"/>
    <mergeCell ref="C2698:C2699"/>
    <mergeCell ref="B2698:B2699"/>
    <mergeCell ref="A2698:A2699"/>
    <mergeCell ref="H2698:H2699"/>
    <mergeCell ref="I2698:I2699"/>
    <mergeCell ref="J2698:J2699"/>
    <mergeCell ref="K2671:K2672"/>
    <mergeCell ref="T2671:T2672"/>
    <mergeCell ref="D2653:D2654"/>
    <mergeCell ref="C2653:C2654"/>
    <mergeCell ref="B2653:B2654"/>
    <mergeCell ref="A2653:A2654"/>
    <mergeCell ref="G2653:G2654"/>
    <mergeCell ref="H2653:H2654"/>
    <mergeCell ref="K2698:K2699"/>
    <mergeCell ref="G2698:G2699"/>
    <mergeCell ref="I2653:I2654"/>
    <mergeCell ref="J2653:J2654"/>
    <mergeCell ref="K2653:K2654"/>
    <mergeCell ref="B2677:B2678"/>
    <mergeCell ref="A2677:A2678"/>
    <mergeCell ref="G2677:G2678"/>
    <mergeCell ref="J2817:J2818"/>
    <mergeCell ref="K2817:K2818"/>
    <mergeCell ref="D2779:D2780"/>
    <mergeCell ref="C2779:C2780"/>
    <mergeCell ref="B2779:B2780"/>
    <mergeCell ref="A2779:A2780"/>
    <mergeCell ref="G2779:G2780"/>
    <mergeCell ref="H2779:H2780"/>
    <mergeCell ref="D2853:D2855"/>
    <mergeCell ref="C2853:C2855"/>
    <mergeCell ref="B2853:B2855"/>
    <mergeCell ref="A2853:A2855"/>
    <mergeCell ref="G2853:G2855"/>
    <mergeCell ref="H2853:H2855"/>
    <mergeCell ref="D2841:D2844"/>
    <mergeCell ref="K2845:K2846"/>
    <mergeCell ref="I2817:I2818"/>
    <mergeCell ref="D2812:D2816"/>
    <mergeCell ref="C2812:C2816"/>
    <mergeCell ref="B2812:B2816"/>
    <mergeCell ref="A2812:A2816"/>
    <mergeCell ref="G2812:G2816"/>
    <mergeCell ref="H2812:H2816"/>
    <mergeCell ref="I2812:I2816"/>
    <mergeCell ref="J2812:J2816"/>
    <mergeCell ref="J2779:J2780"/>
    <mergeCell ref="K2779:K2780"/>
    <mergeCell ref="D2787:D2788"/>
    <mergeCell ref="A2817:A2818"/>
    <mergeCell ref="G2817:G2818"/>
    <mergeCell ref="H2817:H2818"/>
    <mergeCell ref="J2841:J2844"/>
    <mergeCell ref="AA3009:AA3010"/>
    <mergeCell ref="M2993:M2994"/>
    <mergeCell ref="D3021:D3023"/>
    <mergeCell ref="C3021:C3023"/>
    <mergeCell ref="B3021:B3023"/>
    <mergeCell ref="A3021:A3023"/>
    <mergeCell ref="G3021:G3023"/>
    <mergeCell ref="H3021:H3023"/>
    <mergeCell ref="I3021:I3023"/>
    <mergeCell ref="J3021:J3023"/>
    <mergeCell ref="K3021:K3023"/>
    <mergeCell ref="AA3021:AA3023"/>
    <mergeCell ref="T3021:T3023"/>
    <mergeCell ref="T3009:T3010"/>
    <mergeCell ref="U3009:U3010"/>
    <mergeCell ref="B2993:B2994"/>
    <mergeCell ref="A2993:A2994"/>
    <mergeCell ref="H3009:H3010"/>
    <mergeCell ref="I3009:I3010"/>
    <mergeCell ref="J3009:J3010"/>
    <mergeCell ref="T2993:T2994"/>
    <mergeCell ref="U2993:U2994"/>
    <mergeCell ref="K2993:K2994"/>
    <mergeCell ref="D3009:D3010"/>
    <mergeCell ref="J2993:J2994"/>
    <mergeCell ref="U2653:U2654"/>
    <mergeCell ref="U2686:U2687"/>
    <mergeCell ref="A2822:A2826"/>
    <mergeCell ref="B2822:B2826"/>
    <mergeCell ref="C2822:C2826"/>
    <mergeCell ref="D2822:D2826"/>
    <mergeCell ref="G2822:G2826"/>
    <mergeCell ref="H2822:H2826"/>
    <mergeCell ref="I2822:I2826"/>
    <mergeCell ref="J2822:J2826"/>
    <mergeCell ref="K2822:K2826"/>
    <mergeCell ref="T2787:T2788"/>
    <mergeCell ref="U2733:U2734"/>
    <mergeCell ref="D2739:D2742"/>
    <mergeCell ref="C2739:C2742"/>
    <mergeCell ref="B2739:B2742"/>
    <mergeCell ref="A2739:A2742"/>
    <mergeCell ref="G2739:G2742"/>
    <mergeCell ref="B2704:B2710"/>
    <mergeCell ref="A2704:A2710"/>
    <mergeCell ref="G2704:G2710"/>
    <mergeCell ref="H2704:H2710"/>
    <mergeCell ref="I2704:I2710"/>
    <mergeCell ref="U2739:U2742"/>
    <mergeCell ref="D2712:D2713"/>
    <mergeCell ref="C2712:C2713"/>
    <mergeCell ref="B2712:B2713"/>
    <mergeCell ref="A2712:A2713"/>
    <mergeCell ref="G2712:G2713"/>
    <mergeCell ref="J2704:J2710"/>
    <mergeCell ref="K2704:K2710"/>
    <mergeCell ref="I2779:I2780"/>
    <mergeCell ref="A2534:A2537"/>
    <mergeCell ref="M2580:M2583"/>
    <mergeCell ref="D2649:D2651"/>
    <mergeCell ref="C2649:C2651"/>
    <mergeCell ref="B2649:B2651"/>
    <mergeCell ref="A2649:A2651"/>
    <mergeCell ref="G2649:G2651"/>
    <mergeCell ref="H2649:H2651"/>
    <mergeCell ref="I2649:I2651"/>
    <mergeCell ref="J2649:J2651"/>
    <mergeCell ref="K2649:K2651"/>
    <mergeCell ref="D2625:D2628"/>
    <mergeCell ref="C2625:C2628"/>
    <mergeCell ref="B2625:B2628"/>
    <mergeCell ref="A2625:A2628"/>
    <mergeCell ref="G2625:G2628"/>
    <mergeCell ref="H2625:H2628"/>
    <mergeCell ref="I2625:I2628"/>
    <mergeCell ref="J2566:J2567"/>
    <mergeCell ref="H2580:H2583"/>
    <mergeCell ref="D2566:D2567"/>
    <mergeCell ref="C2566:C2567"/>
    <mergeCell ref="I2589:I2590"/>
    <mergeCell ref="J2589:J2590"/>
    <mergeCell ref="K2589:K2590"/>
    <mergeCell ref="A2547:A2548"/>
    <mergeCell ref="B2547:B2548"/>
    <mergeCell ref="C2547:C2548"/>
    <mergeCell ref="D2539:D2540"/>
    <mergeCell ref="G2568:G2569"/>
    <mergeCell ref="C2557:C2558"/>
    <mergeCell ref="B2557:B2558"/>
    <mergeCell ref="AA2653:AA2654"/>
    <mergeCell ref="AA2532:AA2533"/>
    <mergeCell ref="AA2534:AA2537"/>
    <mergeCell ref="AA2549:AA2552"/>
    <mergeCell ref="AA2566:AA2567"/>
    <mergeCell ref="T2580:T2583"/>
    <mergeCell ref="T2578:T2579"/>
    <mergeCell ref="U2535:U2537"/>
    <mergeCell ref="D2578:D2579"/>
    <mergeCell ref="C2578:C2579"/>
    <mergeCell ref="B2578:B2579"/>
    <mergeCell ref="A2578:A2579"/>
    <mergeCell ref="G2578:G2579"/>
    <mergeCell ref="H2578:H2579"/>
    <mergeCell ref="I2578:I2579"/>
    <mergeCell ref="J2578:J2579"/>
    <mergeCell ref="K2578:K2579"/>
    <mergeCell ref="T2557:T2558"/>
    <mergeCell ref="T2549:T2552"/>
    <mergeCell ref="U2547:U2548"/>
    <mergeCell ref="M2653:M2654"/>
    <mergeCell ref="U2649:U2651"/>
    <mergeCell ref="C2534:C2537"/>
    <mergeCell ref="B2534:B2537"/>
    <mergeCell ref="C2539:C2540"/>
    <mergeCell ref="B2539:B2540"/>
    <mergeCell ref="A2539:A2540"/>
    <mergeCell ref="T2547:T2548"/>
    <mergeCell ref="B2589:B2590"/>
    <mergeCell ref="A2589:A2590"/>
    <mergeCell ref="G2589:G2590"/>
    <mergeCell ref="H2589:H2590"/>
    <mergeCell ref="A2557:A2558"/>
    <mergeCell ref="G2557:G2558"/>
    <mergeCell ref="U2580:U2583"/>
    <mergeCell ref="J2625:J2628"/>
    <mergeCell ref="K2625:K2628"/>
    <mergeCell ref="H2557:H2558"/>
    <mergeCell ref="I2557:I2558"/>
    <mergeCell ref="J2557:J2558"/>
    <mergeCell ref="K2557:K2558"/>
    <mergeCell ref="M2549:M2552"/>
    <mergeCell ref="D2557:D2558"/>
    <mergeCell ref="B2566:B2567"/>
    <mergeCell ref="A2566:A2567"/>
    <mergeCell ref="G2566:G2567"/>
    <mergeCell ref="H2566:H2567"/>
    <mergeCell ref="I2566:I2567"/>
    <mergeCell ref="I2549:I2552"/>
    <mergeCell ref="J2549:J2552"/>
    <mergeCell ref="K2549:K2552"/>
    <mergeCell ref="C2580:C2583"/>
    <mergeCell ref="B2580:B2583"/>
    <mergeCell ref="A2580:A2583"/>
    <mergeCell ref="B2568:B2569"/>
    <mergeCell ref="M2557:M2558"/>
    <mergeCell ref="G2580:G2583"/>
    <mergeCell ref="K2566:K2567"/>
    <mergeCell ref="G2549:G2552"/>
    <mergeCell ref="I2580:I2583"/>
    <mergeCell ref="J2580:J2583"/>
    <mergeCell ref="A2591:A2592"/>
    <mergeCell ref="M2589:M2590"/>
    <mergeCell ref="J2591:J2592"/>
    <mergeCell ref="J2445:J2446"/>
    <mergeCell ref="D2421:D2426"/>
    <mergeCell ref="C2421:C2426"/>
    <mergeCell ref="B2421:B2426"/>
    <mergeCell ref="A2411:A2413"/>
    <mergeCell ref="C2414:C2416"/>
    <mergeCell ref="B2414:B2416"/>
    <mergeCell ref="H2414:H2416"/>
    <mergeCell ref="I2414:I2416"/>
    <mergeCell ref="D2407:D2408"/>
    <mergeCell ref="C2407:C2408"/>
    <mergeCell ref="B2411:B2413"/>
    <mergeCell ref="G2367:G2369"/>
    <mergeCell ref="G2404:G2406"/>
    <mergeCell ref="J2404:J2406"/>
    <mergeCell ref="K2404:K2406"/>
    <mergeCell ref="D2404:D2406"/>
    <mergeCell ref="C2404:C2406"/>
    <mergeCell ref="B2367:B2369"/>
    <mergeCell ref="A2367:A2369"/>
    <mergeCell ref="B2407:B2408"/>
    <mergeCell ref="A2407:A2408"/>
    <mergeCell ref="G2407:G2408"/>
    <mergeCell ref="H2407:H2408"/>
    <mergeCell ref="I2407:I2408"/>
    <mergeCell ref="J2407:J2408"/>
    <mergeCell ref="K2407:K2408"/>
    <mergeCell ref="A2385:A2386"/>
    <mergeCell ref="G2385:G2386"/>
    <mergeCell ref="I2411:I2413"/>
    <mergeCell ref="D2411:D2413"/>
    <mergeCell ref="I2421:I2426"/>
    <mergeCell ref="T2411:T2413"/>
    <mergeCell ref="T2407:T2408"/>
    <mergeCell ref="C2474:C2476"/>
    <mergeCell ref="C2509:C2510"/>
    <mergeCell ref="B2509:B2510"/>
    <mergeCell ref="A2509:A2510"/>
    <mergeCell ref="B2469:B2470"/>
    <mergeCell ref="A2469:A2470"/>
    <mergeCell ref="D2445:D2446"/>
    <mergeCell ref="C2445:C2446"/>
    <mergeCell ref="B2445:B2446"/>
    <mergeCell ref="G2445:G2446"/>
    <mergeCell ref="A2445:A2446"/>
    <mergeCell ref="A2421:A2426"/>
    <mergeCell ref="H2433:H2434"/>
    <mergeCell ref="D2474:D2476"/>
    <mergeCell ref="K2414:K2416"/>
    <mergeCell ref="A2433:A2434"/>
    <mergeCell ref="G2433:G2434"/>
    <mergeCell ref="J2433:J2434"/>
    <mergeCell ref="K2433:K2434"/>
    <mergeCell ref="H2469:H2470"/>
    <mergeCell ref="G2469:G2470"/>
    <mergeCell ref="D2469:D2470"/>
    <mergeCell ref="C2469:C2470"/>
    <mergeCell ref="C2472:C2473"/>
    <mergeCell ref="G2509:G2510"/>
    <mergeCell ref="A2505:A2506"/>
    <mergeCell ref="A2414:A2416"/>
    <mergeCell ref="B2505:B2506"/>
    <mergeCell ref="J2421:J2426"/>
    <mergeCell ref="K2421:K2426"/>
    <mergeCell ref="U2323:U2342"/>
    <mergeCell ref="T2421:T2422"/>
    <mergeCell ref="T2433:T2434"/>
    <mergeCell ref="T2414:T2416"/>
    <mergeCell ref="U2362:U2363"/>
    <mergeCell ref="M2367:M2369"/>
    <mergeCell ref="J2385:J2386"/>
    <mergeCell ref="K2385:K2386"/>
    <mergeCell ref="T2323:T2342"/>
    <mergeCell ref="T2385:T2386"/>
    <mergeCell ref="U2356:U2357"/>
    <mergeCell ref="T2370:T2371"/>
    <mergeCell ref="U2407:U2408"/>
    <mergeCell ref="B2404:B2406"/>
    <mergeCell ref="U2415:U2416"/>
    <mergeCell ref="U2421:U2422"/>
    <mergeCell ref="U2423:U2426"/>
    <mergeCell ref="U2367:U2369"/>
    <mergeCell ref="G2414:G2416"/>
    <mergeCell ref="M2407:M2408"/>
    <mergeCell ref="H2385:H2386"/>
    <mergeCell ref="I2385:I2386"/>
    <mergeCell ref="J2411:J2413"/>
    <mergeCell ref="K2411:K2413"/>
    <mergeCell ref="J2370:J2371"/>
    <mergeCell ref="K2370:K2371"/>
    <mergeCell ref="M2411:M2413"/>
    <mergeCell ref="J2414:J2416"/>
    <mergeCell ref="B2385:B2386"/>
    <mergeCell ref="G2421:G2426"/>
    <mergeCell ref="H2421:H2426"/>
    <mergeCell ref="B2362:B2363"/>
    <mergeCell ref="A2319:A2322"/>
    <mergeCell ref="G2319:G2322"/>
    <mergeCell ref="I2315:I2316"/>
    <mergeCell ref="D2319:D2322"/>
    <mergeCell ref="C2319:C2322"/>
    <mergeCell ref="D2356:D2357"/>
    <mergeCell ref="G2293:G2294"/>
    <mergeCell ref="G2323:G2342"/>
    <mergeCell ref="G2359:G2360"/>
    <mergeCell ref="H2359:H2360"/>
    <mergeCell ref="I2359:I2360"/>
    <mergeCell ref="J2359:J2360"/>
    <mergeCell ref="B2274:B2276"/>
    <mergeCell ref="D2274:D2276"/>
    <mergeCell ref="A2274:A2276"/>
    <mergeCell ref="C2359:C2360"/>
    <mergeCell ref="B2359:B2360"/>
    <mergeCell ref="H2319:H2322"/>
    <mergeCell ref="B2315:B2316"/>
    <mergeCell ref="A2315:A2316"/>
    <mergeCell ref="B2293:B2294"/>
    <mergeCell ref="A2293:A2294"/>
    <mergeCell ref="H2293:H2294"/>
    <mergeCell ref="I2293:I2294"/>
    <mergeCell ref="A2362:A2363"/>
    <mergeCell ref="G2362:G2363"/>
    <mergeCell ref="H2362:H2363"/>
    <mergeCell ref="I2362:I2363"/>
    <mergeCell ref="H2285:H2286"/>
    <mergeCell ref="A2285:A2286"/>
    <mergeCell ref="C2411:C2413"/>
    <mergeCell ref="G2411:G2413"/>
    <mergeCell ref="H2411:H2413"/>
    <mergeCell ref="T2076:T2077"/>
    <mergeCell ref="H2224:H2226"/>
    <mergeCell ref="D2176:D2177"/>
    <mergeCell ref="I2216:I2220"/>
    <mergeCell ref="I2210:I2211"/>
    <mergeCell ref="A2216:A2220"/>
    <mergeCell ref="D2224:D2226"/>
    <mergeCell ref="C2224:C2226"/>
    <mergeCell ref="B2224:B2226"/>
    <mergeCell ref="J2210:J2211"/>
    <mergeCell ref="K2210:K2211"/>
    <mergeCell ref="J2204:J2205"/>
    <mergeCell ref="K2204:K2205"/>
    <mergeCell ref="G2176:G2177"/>
    <mergeCell ref="I2221:I2222"/>
    <mergeCell ref="H2216:H2220"/>
    <mergeCell ref="B2176:B2177"/>
    <mergeCell ref="H2210:H2211"/>
    <mergeCell ref="T2204:T2205"/>
    <mergeCell ref="G2144:G2145"/>
    <mergeCell ref="D2144:D2145"/>
    <mergeCell ref="H2170:H2171"/>
    <mergeCell ref="I2170:I2171"/>
    <mergeCell ref="G2210:G2211"/>
    <mergeCell ref="D2210:D2211"/>
    <mergeCell ref="C2210:C2211"/>
    <mergeCell ref="B2210:B2211"/>
    <mergeCell ref="A2210:A2211"/>
    <mergeCell ref="A2137:A2138"/>
    <mergeCell ref="D2135:D2136"/>
    <mergeCell ref="C2135:C2136"/>
    <mergeCell ref="B2135:B2136"/>
    <mergeCell ref="I2086:I2087"/>
    <mergeCell ref="J2086:J2087"/>
    <mergeCell ref="I2100:I2101"/>
    <mergeCell ref="J2100:J2101"/>
    <mergeCell ref="C2090:C2092"/>
    <mergeCell ref="B2090:B2092"/>
    <mergeCell ref="U2086:U2087"/>
    <mergeCell ref="A2115:A2116"/>
    <mergeCell ref="G2115:G2116"/>
    <mergeCell ref="I2115:I2116"/>
    <mergeCell ref="J2115:J2116"/>
    <mergeCell ref="K2115:K2116"/>
    <mergeCell ref="H2115:H2116"/>
    <mergeCell ref="A2113:A2114"/>
    <mergeCell ref="H2113:H2114"/>
    <mergeCell ref="I2113:I2114"/>
    <mergeCell ref="J2113:J2114"/>
    <mergeCell ref="K2113:K2114"/>
    <mergeCell ref="C2086:C2087"/>
    <mergeCell ref="A2086:A2087"/>
    <mergeCell ref="G2086:G2087"/>
    <mergeCell ref="C2100:C2101"/>
    <mergeCell ref="G2100:G2101"/>
    <mergeCell ref="A2076:A2077"/>
    <mergeCell ref="G2076:G2077"/>
    <mergeCell ref="H2076:H2077"/>
    <mergeCell ref="I2076:I2077"/>
    <mergeCell ref="J2076:J2077"/>
    <mergeCell ref="I2069:I2072"/>
    <mergeCell ref="J2069:J2072"/>
    <mergeCell ref="D2115:D2116"/>
    <mergeCell ref="C2115:C2116"/>
    <mergeCell ref="B2115:B2116"/>
    <mergeCell ref="G2113:G2114"/>
    <mergeCell ref="D2090:D2092"/>
    <mergeCell ref="A2100:A2101"/>
    <mergeCell ref="B2100:B2101"/>
    <mergeCell ref="G2069:G2072"/>
    <mergeCell ref="H2069:H2072"/>
    <mergeCell ref="K2076:K2077"/>
    <mergeCell ref="K2069:K2072"/>
    <mergeCell ref="A2149:A2152"/>
    <mergeCell ref="G2149:G2152"/>
    <mergeCell ref="H2149:H2152"/>
    <mergeCell ref="I2149:I2152"/>
    <mergeCell ref="J2149:J2152"/>
    <mergeCell ref="J2144:J2145"/>
    <mergeCell ref="H2137:H2138"/>
    <mergeCell ref="I2137:I2138"/>
    <mergeCell ref="J2137:J2138"/>
    <mergeCell ref="H2135:H2136"/>
    <mergeCell ref="I2135:I2136"/>
    <mergeCell ref="J2135:J2136"/>
    <mergeCell ref="D2113:D2114"/>
    <mergeCell ref="C2113:C2114"/>
    <mergeCell ref="B2113:B2114"/>
    <mergeCell ref="H2086:H2087"/>
    <mergeCell ref="K2149:K2152"/>
    <mergeCell ref="C2144:C2145"/>
    <mergeCell ref="K2135:K2136"/>
    <mergeCell ref="G2137:G2138"/>
    <mergeCell ref="D2100:D2101"/>
    <mergeCell ref="B2086:B2087"/>
    <mergeCell ref="I2144:I2145"/>
    <mergeCell ref="A2090:A2092"/>
    <mergeCell ref="G2090:G2092"/>
    <mergeCell ref="K2090:K2092"/>
    <mergeCell ref="K2086:K2087"/>
    <mergeCell ref="A2135:A2136"/>
    <mergeCell ref="G2135:G2136"/>
    <mergeCell ref="U2058:U2060"/>
    <mergeCell ref="T2149:T2152"/>
    <mergeCell ref="U2100:U2101"/>
    <mergeCell ref="T2141:T2142"/>
    <mergeCell ref="T2115:T2116"/>
    <mergeCell ref="U2115:U2116"/>
    <mergeCell ref="U2091:U2092"/>
    <mergeCell ref="K2100:K2101"/>
    <mergeCell ref="D2086:D2087"/>
    <mergeCell ref="D2141:D2142"/>
    <mergeCell ref="C2141:C2142"/>
    <mergeCell ref="B2141:B2142"/>
    <mergeCell ref="A2141:A2142"/>
    <mergeCell ref="G2141:G2142"/>
    <mergeCell ref="J2141:J2142"/>
    <mergeCell ref="H2141:H2142"/>
    <mergeCell ref="I2141:I2142"/>
    <mergeCell ref="K2141:K2142"/>
    <mergeCell ref="H2090:H2092"/>
    <mergeCell ref="I2090:I2092"/>
    <mergeCell ref="J2090:J2092"/>
    <mergeCell ref="T2058:T2060"/>
    <mergeCell ref="A2057:A2060"/>
    <mergeCell ref="B2069:B2072"/>
    <mergeCell ref="M2141:M2142"/>
    <mergeCell ref="C2137:C2138"/>
    <mergeCell ref="C2069:C2072"/>
    <mergeCell ref="I2057:I2060"/>
    <mergeCell ref="J2057:J2060"/>
    <mergeCell ref="A2144:A2145"/>
    <mergeCell ref="H2144:H2145"/>
    <mergeCell ref="A2069:A2072"/>
    <mergeCell ref="A1925:A1926"/>
    <mergeCell ref="B1925:B1926"/>
    <mergeCell ref="C1951:C1952"/>
    <mergeCell ref="D1951:D1952"/>
    <mergeCell ref="G1951:G1952"/>
    <mergeCell ref="I1951:I1952"/>
    <mergeCell ref="J1951:J1952"/>
    <mergeCell ref="K1951:K1952"/>
    <mergeCell ref="H1910:H1911"/>
    <mergeCell ref="H1830:H1832"/>
    <mergeCell ref="I1830:I1832"/>
    <mergeCell ref="B1856:B1857"/>
    <mergeCell ref="K1919:K1920"/>
    <mergeCell ref="K1915:K1917"/>
    <mergeCell ref="A1915:A1917"/>
    <mergeCell ref="A1885:A1886"/>
    <mergeCell ref="D1887:D1888"/>
    <mergeCell ref="C1910:C1911"/>
    <mergeCell ref="H1887:H1888"/>
    <mergeCell ref="A1830:A1832"/>
    <mergeCell ref="D1830:D1832"/>
    <mergeCell ref="C1830:C1832"/>
    <mergeCell ref="D1867:D1868"/>
    <mergeCell ref="C1867:C1868"/>
    <mergeCell ref="B1867:B1868"/>
    <mergeCell ref="C1880:C1881"/>
    <mergeCell ref="D1880:D1881"/>
    <mergeCell ref="G1880:G1881"/>
    <mergeCell ref="H1880:H1881"/>
    <mergeCell ref="A1856:A1857"/>
    <mergeCell ref="D1846:D1847"/>
    <mergeCell ref="G1856:G1857"/>
    <mergeCell ref="A1910:A1911"/>
    <mergeCell ref="B1846:B1847"/>
    <mergeCell ref="A1846:A1847"/>
    <mergeCell ref="H1856:H1857"/>
    <mergeCell ref="J1856:J1857"/>
    <mergeCell ref="T1865:T1866"/>
    <mergeCell ref="T1837:T1841"/>
    <mergeCell ref="K1856:K1857"/>
    <mergeCell ref="D1856:D1857"/>
    <mergeCell ref="A1867:A1868"/>
    <mergeCell ref="A1850:A1851"/>
    <mergeCell ref="U1850:U1851"/>
    <mergeCell ref="G1865:G1866"/>
    <mergeCell ref="D1865:D1866"/>
    <mergeCell ref="C1865:C1866"/>
    <mergeCell ref="B1865:B1866"/>
    <mergeCell ref="H1865:H1866"/>
    <mergeCell ref="I1865:I1866"/>
    <mergeCell ref="I1885:I1886"/>
    <mergeCell ref="B1910:B1911"/>
    <mergeCell ref="K1910:K1911"/>
    <mergeCell ref="I1876:I1877"/>
    <mergeCell ref="J1876:J1877"/>
    <mergeCell ref="U1867:U1868"/>
    <mergeCell ref="A1837:A1844"/>
    <mergeCell ref="B1876:B1877"/>
    <mergeCell ref="A1880:A1881"/>
    <mergeCell ref="B1880:B1881"/>
    <mergeCell ref="A1876:A1877"/>
    <mergeCell ref="D1876:D1877"/>
    <mergeCell ref="I1880:I1881"/>
    <mergeCell ref="A1887:A1888"/>
    <mergeCell ref="G1936:G1937"/>
    <mergeCell ref="H1936:H1937"/>
    <mergeCell ref="K1925:K1926"/>
    <mergeCell ref="J1885:J1886"/>
    <mergeCell ref="K1885:K1886"/>
    <mergeCell ref="K1887:K1888"/>
    <mergeCell ref="U1936:U1937"/>
    <mergeCell ref="G1885:G1886"/>
    <mergeCell ref="U1885:U1886"/>
    <mergeCell ref="G1891:G1892"/>
    <mergeCell ref="T1910:T1911"/>
    <mergeCell ref="I1919:I1920"/>
    <mergeCell ref="J1919:J1920"/>
    <mergeCell ref="H1925:H1926"/>
    <mergeCell ref="I1925:I1926"/>
    <mergeCell ref="J1925:J1926"/>
    <mergeCell ref="J1887:J1888"/>
    <mergeCell ref="T1891:T1892"/>
    <mergeCell ref="I1921:I1922"/>
    <mergeCell ref="U1887:U1888"/>
    <mergeCell ref="U1910:U1911"/>
    <mergeCell ref="T1885:T1886"/>
    <mergeCell ref="T1887:T1888"/>
    <mergeCell ref="G1887:G1888"/>
    <mergeCell ref="K1936:K1937"/>
    <mergeCell ref="G1830:G1832"/>
    <mergeCell ref="G1837:G1844"/>
    <mergeCell ref="H1867:H1868"/>
    <mergeCell ref="G1867:G1868"/>
    <mergeCell ref="C1846:C1847"/>
    <mergeCell ref="K1891:K1892"/>
    <mergeCell ref="T1919:T1920"/>
    <mergeCell ref="D1850:D1851"/>
    <mergeCell ref="D1837:D1844"/>
    <mergeCell ref="C1837:C1844"/>
    <mergeCell ref="K1865:K1866"/>
    <mergeCell ref="G1846:G1847"/>
    <mergeCell ref="G1925:G1926"/>
    <mergeCell ref="G1921:G1922"/>
    <mergeCell ref="J1921:J1922"/>
    <mergeCell ref="G1919:G1920"/>
    <mergeCell ref="H1919:H1920"/>
    <mergeCell ref="H1891:H1892"/>
    <mergeCell ref="I1891:I1892"/>
    <mergeCell ref="T1921:T1922"/>
    <mergeCell ref="M1876:M1877"/>
    <mergeCell ref="D1910:D1911"/>
    <mergeCell ref="C1876:C1877"/>
    <mergeCell ref="K1846:K1847"/>
    <mergeCell ref="B1921:B1922"/>
    <mergeCell ref="G1876:G1877"/>
    <mergeCell ref="U1880:U1881"/>
    <mergeCell ref="U1891:U1892"/>
    <mergeCell ref="K1876:K1877"/>
    <mergeCell ref="C1891:C1892"/>
    <mergeCell ref="G1915:G1917"/>
    <mergeCell ref="H1915:H1917"/>
    <mergeCell ref="B1915:B1917"/>
    <mergeCell ref="K1880:K1881"/>
    <mergeCell ref="T1876:T1877"/>
    <mergeCell ref="U1876:U1877"/>
    <mergeCell ref="B1885:B1886"/>
    <mergeCell ref="M1955:M1957"/>
    <mergeCell ref="H1921:H1922"/>
    <mergeCell ref="J1891:J1892"/>
    <mergeCell ref="J1830:J1832"/>
    <mergeCell ref="U1951:U1952"/>
    <mergeCell ref="U1949:U1950"/>
    <mergeCell ref="M1865:M1866"/>
    <mergeCell ref="U1842:U1843"/>
    <mergeCell ref="U1837:U1841"/>
    <mergeCell ref="M1846:M1847"/>
    <mergeCell ref="C1925:C1926"/>
    <mergeCell ref="C1887:C1888"/>
    <mergeCell ref="D1921:D1922"/>
    <mergeCell ref="C1921:C1922"/>
    <mergeCell ref="J1865:J1866"/>
    <mergeCell ref="G1910:G1911"/>
    <mergeCell ref="T1951:T1952"/>
    <mergeCell ref="D1925:D1926"/>
    <mergeCell ref="U1831:U1832"/>
    <mergeCell ref="J1750:J1752"/>
    <mergeCell ref="K1750:K1752"/>
    <mergeCell ref="T1748:T1749"/>
    <mergeCell ref="I1792:I1793"/>
    <mergeCell ref="J1792:J1793"/>
    <mergeCell ref="T1797:T1798"/>
    <mergeCell ref="J1745:J1746"/>
    <mergeCell ref="K1745:K1746"/>
    <mergeCell ref="U1762:U1763"/>
    <mergeCell ref="T1762:T1763"/>
    <mergeCell ref="K1809:K1811"/>
    <mergeCell ref="K1813:K1814"/>
    <mergeCell ref="I1813:I1814"/>
    <mergeCell ref="T1850:T1851"/>
    <mergeCell ref="J1846:J1847"/>
    <mergeCell ref="U1958:U1960"/>
    <mergeCell ref="T1955:T1957"/>
    <mergeCell ref="T1936:T1937"/>
    <mergeCell ref="I1958:I1960"/>
    <mergeCell ref="U1816:U1819"/>
    <mergeCell ref="U1825:U1829"/>
    <mergeCell ref="T1831:T1832"/>
    <mergeCell ref="M1831:M1832"/>
    <mergeCell ref="U1865:U1866"/>
    <mergeCell ref="U1846:U1847"/>
    <mergeCell ref="T1846:T1847"/>
    <mergeCell ref="I1932:I1933"/>
    <mergeCell ref="J1932:J1933"/>
    <mergeCell ref="J1803:J1804"/>
    <mergeCell ref="M1867:M1868"/>
    <mergeCell ref="T1867:T1868"/>
    <mergeCell ref="I1867:I1868"/>
    <mergeCell ref="U1745:U1746"/>
    <mergeCell ref="M1771:M1772"/>
    <mergeCell ref="M1773:M1775"/>
    <mergeCell ref="T1773:T1775"/>
    <mergeCell ref="I1745:I1746"/>
    <mergeCell ref="T1778:T1781"/>
    <mergeCell ref="U1771:U1772"/>
    <mergeCell ref="T1786:T1788"/>
    <mergeCell ref="U1786:U1788"/>
    <mergeCell ref="T1756:T1757"/>
    <mergeCell ref="U1756:U1757"/>
    <mergeCell ref="U1748:U1749"/>
    <mergeCell ref="G1748:G1749"/>
    <mergeCell ref="H1748:H1749"/>
    <mergeCell ref="C1806:C1807"/>
    <mergeCell ref="G1803:G1804"/>
    <mergeCell ref="C1792:C1793"/>
    <mergeCell ref="K1756:K1757"/>
    <mergeCell ref="J1748:J1749"/>
    <mergeCell ref="K1748:K1749"/>
    <mergeCell ref="K1762:K1763"/>
    <mergeCell ref="K1797:K1798"/>
    <mergeCell ref="K1778:K1783"/>
    <mergeCell ref="J1771:J1772"/>
    <mergeCell ref="J1762:J1763"/>
    <mergeCell ref="M1745:M1746"/>
    <mergeCell ref="T1792:T1793"/>
    <mergeCell ref="T1771:T1772"/>
    <mergeCell ref="T1806:T1807"/>
    <mergeCell ref="I1803:I1804"/>
    <mergeCell ref="K1786:K1788"/>
    <mergeCell ref="U1773:U1775"/>
    <mergeCell ref="D1664:D1665"/>
    <mergeCell ref="C1664:C1665"/>
    <mergeCell ref="J1736:J1737"/>
    <mergeCell ref="B1664:B1665"/>
    <mergeCell ref="C1711:C1714"/>
    <mergeCell ref="B1711:B1714"/>
    <mergeCell ref="A1711:A1714"/>
    <mergeCell ref="C1709:C1710"/>
    <mergeCell ref="B1709:B1710"/>
    <mergeCell ref="B1680:B1683"/>
    <mergeCell ref="A1680:A1683"/>
    <mergeCell ref="D1711:D1714"/>
    <mergeCell ref="K1736:K1737"/>
    <mergeCell ref="T1738:T1739"/>
    <mergeCell ref="K1680:K1683"/>
    <mergeCell ref="D1680:D1683"/>
    <mergeCell ref="D1745:D1746"/>
    <mergeCell ref="C1745:C1746"/>
    <mergeCell ref="D1736:D1737"/>
    <mergeCell ref="C1736:C1737"/>
    <mergeCell ref="B1736:B1737"/>
    <mergeCell ref="H1736:H1737"/>
    <mergeCell ref="G1745:G1746"/>
    <mergeCell ref="A1745:A1746"/>
    <mergeCell ref="T1745:T1746"/>
    <mergeCell ref="B1486:B1487"/>
    <mergeCell ref="G1455:G1456"/>
    <mergeCell ref="D1455:D1456"/>
    <mergeCell ref="D1428:D1454"/>
    <mergeCell ref="J1495:J1496"/>
    <mergeCell ref="K1495:K1496"/>
    <mergeCell ref="T1543:T1544"/>
    <mergeCell ref="D1568:D1570"/>
    <mergeCell ref="I1548:I1551"/>
    <mergeCell ref="J1548:J1551"/>
    <mergeCell ref="K1548:K1551"/>
    <mergeCell ref="T1498:T1500"/>
    <mergeCell ref="T1501:T1502"/>
    <mergeCell ref="A1584:A1585"/>
    <mergeCell ref="B1584:B1585"/>
    <mergeCell ref="C1584:C1585"/>
    <mergeCell ref="B1543:B1544"/>
    <mergeCell ref="A1543:A1544"/>
    <mergeCell ref="G1543:G1544"/>
    <mergeCell ref="H1543:H1544"/>
    <mergeCell ref="K1543:K1544"/>
    <mergeCell ref="A1548:A1551"/>
    <mergeCell ref="G1548:G1551"/>
    <mergeCell ref="H1548:H1551"/>
    <mergeCell ref="C1568:C1570"/>
    <mergeCell ref="B1568:B1570"/>
    <mergeCell ref="A1568:A1570"/>
    <mergeCell ref="G1568:G1570"/>
    <mergeCell ref="H1568:H1570"/>
    <mergeCell ref="I1568:I1570"/>
    <mergeCell ref="I1543:I1544"/>
    <mergeCell ref="J1543:J1544"/>
    <mergeCell ref="K1395:K1396"/>
    <mergeCell ref="U1458:U1460"/>
    <mergeCell ref="C1455:C1456"/>
    <mergeCell ref="B1455:B1456"/>
    <mergeCell ref="K1458:K1460"/>
    <mergeCell ref="U1411:U1416"/>
    <mergeCell ref="I1397:I1398"/>
    <mergeCell ref="J1397:J1398"/>
    <mergeCell ref="D1397:D1398"/>
    <mergeCell ref="G1397:G1398"/>
    <mergeCell ref="D1458:D1460"/>
    <mergeCell ref="C1458:C1460"/>
    <mergeCell ref="I1455:I1456"/>
    <mergeCell ref="H1455:H1456"/>
    <mergeCell ref="C1428:C1454"/>
    <mergeCell ref="T1404:T1406"/>
    <mergeCell ref="U1404:U1406"/>
    <mergeCell ref="J1404:J1406"/>
    <mergeCell ref="H1404:H1406"/>
    <mergeCell ref="I1404:I1406"/>
    <mergeCell ref="K1404:K1406"/>
    <mergeCell ref="D1404:D1406"/>
    <mergeCell ref="C1404:C1406"/>
    <mergeCell ref="B1404:B1406"/>
    <mergeCell ref="B1458:B1460"/>
    <mergeCell ref="A1393:A1394"/>
    <mergeCell ref="G1393:G1394"/>
    <mergeCell ref="H1393:H1394"/>
    <mergeCell ref="I1393:I1394"/>
    <mergeCell ref="J1393:J1394"/>
    <mergeCell ref="K1303:K1305"/>
    <mergeCell ref="A1307:A1308"/>
    <mergeCell ref="B1307:B1308"/>
    <mergeCell ref="C1307:C1308"/>
    <mergeCell ref="M1370:M1371"/>
    <mergeCell ref="A1336:A1337"/>
    <mergeCell ref="T1397:T1398"/>
    <mergeCell ref="K1393:K1394"/>
    <mergeCell ref="C1362:C1363"/>
    <mergeCell ref="B1336:B1337"/>
    <mergeCell ref="C1336:C1337"/>
    <mergeCell ref="T1304:T1305"/>
    <mergeCell ref="K1322:K1326"/>
    <mergeCell ref="G1362:G1363"/>
    <mergeCell ref="T1322:T1326"/>
    <mergeCell ref="C1395:C1396"/>
    <mergeCell ref="T1372:T1373"/>
    <mergeCell ref="B1332:B1333"/>
    <mergeCell ref="C1397:C1398"/>
    <mergeCell ref="H1397:H1398"/>
    <mergeCell ref="A1395:A1396"/>
    <mergeCell ref="G1395:G1396"/>
    <mergeCell ref="I1395:I1396"/>
    <mergeCell ref="H1395:H1396"/>
    <mergeCell ref="T1332:T1333"/>
    <mergeCell ref="A1397:A1398"/>
    <mergeCell ref="D1395:D1396"/>
    <mergeCell ref="A1244:A1245"/>
    <mergeCell ref="A1247:A1249"/>
    <mergeCell ref="B1428:B1454"/>
    <mergeCell ref="A1428:A1454"/>
    <mergeCell ref="T1411:T1416"/>
    <mergeCell ref="A1407:A1416"/>
    <mergeCell ref="G1407:G1416"/>
    <mergeCell ref="H1407:H1416"/>
    <mergeCell ref="I1407:I1416"/>
    <mergeCell ref="J1407:J1416"/>
    <mergeCell ref="K1407:K1416"/>
    <mergeCell ref="A1404:A1406"/>
    <mergeCell ref="G1404:G1406"/>
    <mergeCell ref="A1362:A1363"/>
    <mergeCell ref="B1362:B1363"/>
    <mergeCell ref="D1322:D1326"/>
    <mergeCell ref="G1322:G1326"/>
    <mergeCell ref="D1299:D1302"/>
    <mergeCell ref="C1299:C1302"/>
    <mergeCell ref="B1299:B1302"/>
    <mergeCell ref="A1299:A1302"/>
    <mergeCell ref="G1299:G1302"/>
    <mergeCell ref="H1299:H1302"/>
    <mergeCell ref="K1397:K1398"/>
    <mergeCell ref="B1397:B1398"/>
    <mergeCell ref="T1407:T1409"/>
    <mergeCell ref="T1395:T1396"/>
    <mergeCell ref="T1393:T1394"/>
    <mergeCell ref="T1370:T1371"/>
    <mergeCell ref="M1297:M1298"/>
    <mergeCell ref="B1395:B1396"/>
    <mergeCell ref="T1297:T1298"/>
    <mergeCell ref="C1294:C1296"/>
    <mergeCell ref="I1332:I1333"/>
    <mergeCell ref="J1332:J1333"/>
    <mergeCell ref="D1393:D1394"/>
    <mergeCell ref="C1393:C1394"/>
    <mergeCell ref="B1393:B1394"/>
    <mergeCell ref="H1362:H1363"/>
    <mergeCell ref="I1362:I1363"/>
    <mergeCell ref="H1322:H1326"/>
    <mergeCell ref="H1332:H1333"/>
    <mergeCell ref="K1299:K1302"/>
    <mergeCell ref="J1370:J1373"/>
    <mergeCell ref="K1370:K1373"/>
    <mergeCell ref="I1336:I1337"/>
    <mergeCell ref="D1307:D1308"/>
    <mergeCell ref="G1307:G1308"/>
    <mergeCell ref="H1307:H1308"/>
    <mergeCell ref="I1307:I1308"/>
    <mergeCell ref="D1370:D1373"/>
    <mergeCell ref="C1370:C1373"/>
    <mergeCell ref="B1370:B1373"/>
    <mergeCell ref="D1362:D1363"/>
    <mergeCell ref="H1336:H1337"/>
    <mergeCell ref="B1322:B1326"/>
    <mergeCell ref="A1251:A1252"/>
    <mergeCell ref="A1224:A1226"/>
    <mergeCell ref="T1260:T1261"/>
    <mergeCell ref="A1161:A1162"/>
    <mergeCell ref="A1168:A1169"/>
    <mergeCell ref="C1260:C1261"/>
    <mergeCell ref="B1260:B1261"/>
    <mergeCell ref="A1260:A1261"/>
    <mergeCell ref="A1227:A1228"/>
    <mergeCell ref="A1229:A1230"/>
    <mergeCell ref="C1200:C1204"/>
    <mergeCell ref="A1200:A1204"/>
    <mergeCell ref="G1244:G1245"/>
    <mergeCell ref="A1157:A1158"/>
    <mergeCell ref="H1294:H1296"/>
    <mergeCell ref="J1294:J1296"/>
    <mergeCell ref="K1294:K1296"/>
    <mergeCell ref="I1294:I1296"/>
    <mergeCell ref="A1294:A1296"/>
    <mergeCell ref="B1294:B1296"/>
    <mergeCell ref="A1281:A1282"/>
    <mergeCell ref="B1281:B1282"/>
    <mergeCell ref="C1281:C1282"/>
    <mergeCell ref="B1235:B1236"/>
    <mergeCell ref="C1247:C1249"/>
    <mergeCell ref="B1247:B1249"/>
    <mergeCell ref="B1244:B1245"/>
    <mergeCell ref="C1290:C1293"/>
    <mergeCell ref="G1294:G1296"/>
    <mergeCell ref="B1290:B1293"/>
    <mergeCell ref="A1290:A1293"/>
    <mergeCell ref="A1235:A1236"/>
    <mergeCell ref="U1064:U1065"/>
    <mergeCell ref="T1200:T1204"/>
    <mergeCell ref="U1200:U1204"/>
    <mergeCell ref="U1107:U1112"/>
    <mergeCell ref="U1113:U1116"/>
    <mergeCell ref="T1161:T1162"/>
    <mergeCell ref="U1161:U1162"/>
    <mergeCell ref="M1224:M1226"/>
    <mergeCell ref="T1224:T1226"/>
    <mergeCell ref="D1126:D1127"/>
    <mergeCell ref="G1260:G1261"/>
    <mergeCell ref="H1260:H1261"/>
    <mergeCell ref="D1260:D1261"/>
    <mergeCell ref="G1200:G1204"/>
    <mergeCell ref="H1200:H1204"/>
    <mergeCell ref="H1161:H1162"/>
    <mergeCell ref="C1224:C1226"/>
    <mergeCell ref="U1140:U1141"/>
    <mergeCell ref="T1227:T1228"/>
    <mergeCell ref="H1229:H1230"/>
    <mergeCell ref="G1229:G1230"/>
    <mergeCell ref="D1229:D1230"/>
    <mergeCell ref="T1146:T1149"/>
    <mergeCell ref="U1244:U1245"/>
    <mergeCell ref="C1244:C1245"/>
    <mergeCell ref="A1146:A1149"/>
    <mergeCell ref="I1146:I1149"/>
    <mergeCell ref="K1146:K1149"/>
    <mergeCell ref="G1154:G1155"/>
    <mergeCell ref="H1154:H1155"/>
    <mergeCell ref="B1140:B1141"/>
    <mergeCell ref="U1227:U1228"/>
    <mergeCell ref="B1161:B1162"/>
    <mergeCell ref="C1161:C1162"/>
    <mergeCell ref="C1168:C1169"/>
    <mergeCell ref="B1168:B1169"/>
    <mergeCell ref="C1227:C1228"/>
    <mergeCell ref="B1227:B1228"/>
    <mergeCell ref="B1229:B1230"/>
    <mergeCell ref="B1146:B1149"/>
    <mergeCell ref="G1235:G1236"/>
    <mergeCell ref="H1235:H1236"/>
    <mergeCell ref="D1235:D1236"/>
    <mergeCell ref="B1154:B1155"/>
    <mergeCell ref="D1154:D1155"/>
    <mergeCell ref="C1154:C1155"/>
    <mergeCell ref="I1154:I1155"/>
    <mergeCell ref="A1154:A1155"/>
    <mergeCell ref="B1224:B1226"/>
    <mergeCell ref="K1154:K1155"/>
    <mergeCell ref="B1157:B1158"/>
    <mergeCell ref="C1157:C1158"/>
    <mergeCell ref="C1235:C1236"/>
    <mergeCell ref="C1229:C1230"/>
    <mergeCell ref="B1200:B1204"/>
    <mergeCell ref="U1292:U1293"/>
    <mergeCell ref="T1292:T1293"/>
    <mergeCell ref="H1157:H1158"/>
    <mergeCell ref="R1157:R1158"/>
    <mergeCell ref="I1157:I1158"/>
    <mergeCell ref="K1157:K1158"/>
    <mergeCell ref="G1161:G1162"/>
    <mergeCell ref="D1161:D1162"/>
    <mergeCell ref="D1168:D1169"/>
    <mergeCell ref="G1168:G1169"/>
    <mergeCell ref="H1168:H1169"/>
    <mergeCell ref="U1281:U1282"/>
    <mergeCell ref="T1281:T1282"/>
    <mergeCell ref="D1281:D1282"/>
    <mergeCell ref="H1244:H1245"/>
    <mergeCell ref="D1244:D1245"/>
    <mergeCell ref="T1235:T1236"/>
    <mergeCell ref="H1290:H1293"/>
    <mergeCell ref="I1290:I1293"/>
    <mergeCell ref="J1290:J1293"/>
    <mergeCell ref="K1290:K1293"/>
    <mergeCell ref="T1157:T1158"/>
    <mergeCell ref="U1235:U1236"/>
    <mergeCell ref="G1247:G1249"/>
    <mergeCell ref="D1247:D1249"/>
    <mergeCell ref="H1247:H1249"/>
    <mergeCell ref="G1251:G1252"/>
    <mergeCell ref="H1251:H1252"/>
    <mergeCell ref="D1251:D1252"/>
    <mergeCell ref="U1014:U1016"/>
    <mergeCell ref="U1012:U1013"/>
    <mergeCell ref="T993:T994"/>
    <mergeCell ref="G997:G998"/>
    <mergeCell ref="T1140:T1141"/>
    <mergeCell ref="D1146:D1149"/>
    <mergeCell ref="M1012:M1013"/>
    <mergeCell ref="U993:U994"/>
    <mergeCell ref="T1014:T1016"/>
    <mergeCell ref="U1103:U1104"/>
    <mergeCell ref="M1055:M1056"/>
    <mergeCell ref="D1224:D1226"/>
    <mergeCell ref="G1224:G1226"/>
    <mergeCell ref="H1224:H1226"/>
    <mergeCell ref="G1227:G1228"/>
    <mergeCell ref="H1227:H1228"/>
    <mergeCell ref="D1227:D1228"/>
    <mergeCell ref="D1200:D1204"/>
    <mergeCell ref="U1224:U1226"/>
    <mergeCell ref="T1168:T1169"/>
    <mergeCell ref="U1154:U1155"/>
    <mergeCell ref="T1154:T1155"/>
    <mergeCell ref="U1146:U1149"/>
    <mergeCell ref="D1157:D1158"/>
    <mergeCell ref="G1157:G1158"/>
    <mergeCell ref="U1055:U1056"/>
    <mergeCell ref="T1055:T1056"/>
    <mergeCell ref="U1157:U1158"/>
    <mergeCell ref="D1138:D1139"/>
    <mergeCell ref="G1118:G1119"/>
    <mergeCell ref="G1146:G1149"/>
    <mergeCell ref="H1146:H1149"/>
    <mergeCell ref="T1062:T1063"/>
    <mergeCell ref="T1058:T1059"/>
    <mergeCell ref="I1055:I1060"/>
    <mergeCell ref="J1055:J1060"/>
    <mergeCell ref="K1055:K1060"/>
    <mergeCell ref="C1105:C1106"/>
    <mergeCell ref="D1140:D1141"/>
    <mergeCell ref="G1140:G1141"/>
    <mergeCell ref="H1140:H1141"/>
    <mergeCell ref="I1140:I1141"/>
    <mergeCell ref="J1140:J1141"/>
    <mergeCell ref="G1095:G1096"/>
    <mergeCell ref="D1095:D1096"/>
    <mergeCell ref="K1118:K1119"/>
    <mergeCell ref="T1105:T1106"/>
    <mergeCell ref="D1066:D1067"/>
    <mergeCell ref="G1066:G1067"/>
    <mergeCell ref="H1066:H1067"/>
    <mergeCell ref="I1066:I1067"/>
    <mergeCell ref="K1140:K1141"/>
    <mergeCell ref="K1102:K1104"/>
    <mergeCell ref="G1105:G1106"/>
    <mergeCell ref="C1140:C1141"/>
    <mergeCell ref="C1102:C1104"/>
    <mergeCell ref="D1118:D1119"/>
    <mergeCell ref="H1105:H1106"/>
    <mergeCell ref="K1126:K1127"/>
    <mergeCell ref="H1118:H1119"/>
    <mergeCell ref="B1102:B1104"/>
    <mergeCell ref="A1140:A1141"/>
    <mergeCell ref="C1146:C1149"/>
    <mergeCell ref="U891:U892"/>
    <mergeCell ref="C1126:C1127"/>
    <mergeCell ref="B1126:B1127"/>
    <mergeCell ref="A1126:A1127"/>
    <mergeCell ref="G1126:G1127"/>
    <mergeCell ref="H1126:H1127"/>
    <mergeCell ref="I1126:I1127"/>
    <mergeCell ref="J1126:J1127"/>
    <mergeCell ref="T891:T892"/>
    <mergeCell ref="D973:D974"/>
    <mergeCell ref="B966:B967"/>
    <mergeCell ref="C1014:C1020"/>
    <mergeCell ref="B1014:B1020"/>
    <mergeCell ref="B969:B970"/>
    <mergeCell ref="K993:K994"/>
    <mergeCell ref="J923:J924"/>
    <mergeCell ref="K923:K924"/>
    <mergeCell ref="A935:A936"/>
    <mergeCell ref="B935:B936"/>
    <mergeCell ref="D935:D936"/>
    <mergeCell ref="G935:G936"/>
    <mergeCell ref="H935:H936"/>
    <mergeCell ref="I935:I936"/>
    <mergeCell ref="K985:K986"/>
    <mergeCell ref="C1118:C1119"/>
    <mergeCell ref="B1118:B1119"/>
    <mergeCell ref="A1118:A1119"/>
    <mergeCell ref="A1095:A1096"/>
    <mergeCell ref="T1126:T1127"/>
    <mergeCell ref="K914:K917"/>
    <mergeCell ref="I1118:I1119"/>
    <mergeCell ref="J1118:J1119"/>
    <mergeCell ref="T910:T913"/>
    <mergeCell ref="J910:J913"/>
    <mergeCell ref="K910:K913"/>
    <mergeCell ref="H882:H883"/>
    <mergeCell ref="I882:I883"/>
    <mergeCell ref="J882:J883"/>
    <mergeCell ref="B1138:B1139"/>
    <mergeCell ref="A1138:A1139"/>
    <mergeCell ref="H1138:H1139"/>
    <mergeCell ref="I1138:I1139"/>
    <mergeCell ref="J1138:J1139"/>
    <mergeCell ref="K1138:K1139"/>
    <mergeCell ref="D1107:D1116"/>
    <mergeCell ref="C1107:C1116"/>
    <mergeCell ref="B1107:B1116"/>
    <mergeCell ref="A1107:A1116"/>
    <mergeCell ref="G1107:G1116"/>
    <mergeCell ref="H1107:H1116"/>
    <mergeCell ref="I1107:I1116"/>
    <mergeCell ref="J1107:J1116"/>
    <mergeCell ref="A1105:A1106"/>
    <mergeCell ref="G921:G922"/>
    <mergeCell ref="D921:D922"/>
    <mergeCell ref="G914:G917"/>
    <mergeCell ref="H914:H917"/>
    <mergeCell ref="A973:A974"/>
    <mergeCell ref="H973:H974"/>
    <mergeCell ref="C1138:C1139"/>
    <mergeCell ref="G1138:G1139"/>
    <mergeCell ref="M916:M917"/>
    <mergeCell ref="J973:J974"/>
    <mergeCell ref="K973:K974"/>
    <mergeCell ref="U807:U808"/>
    <mergeCell ref="A1012:A1013"/>
    <mergeCell ref="H1012:H1013"/>
    <mergeCell ref="I1012:I1013"/>
    <mergeCell ref="J1012:J1013"/>
    <mergeCell ref="K1012:K1013"/>
    <mergeCell ref="U923:U924"/>
    <mergeCell ref="U916:U917"/>
    <mergeCell ref="A993:A994"/>
    <mergeCell ref="B993:B994"/>
    <mergeCell ref="C993:C994"/>
    <mergeCell ref="D993:D994"/>
    <mergeCell ref="G993:G994"/>
    <mergeCell ref="H993:H994"/>
    <mergeCell ref="I993:I994"/>
    <mergeCell ref="J993:J994"/>
    <mergeCell ref="U848:U849"/>
    <mergeCell ref="T914:T915"/>
    <mergeCell ref="B921:B922"/>
    <mergeCell ref="K817:K818"/>
    <mergeCell ref="T880:T881"/>
    <mergeCell ref="C848:C849"/>
    <mergeCell ref="D848:D849"/>
    <mergeCell ref="G848:G849"/>
    <mergeCell ref="K848:K849"/>
    <mergeCell ref="J884:J885"/>
    <mergeCell ref="K882:K883"/>
    <mergeCell ref="U873:U874"/>
    <mergeCell ref="T873:T874"/>
    <mergeCell ref="T1012:T1013"/>
    <mergeCell ref="T857:T858"/>
    <mergeCell ref="U857:U858"/>
    <mergeCell ref="H880:H881"/>
    <mergeCell ref="J880:J881"/>
    <mergeCell ref="I880:I881"/>
    <mergeCell ref="K880:K881"/>
    <mergeCell ref="K884:K885"/>
    <mergeCell ref="A882:A883"/>
    <mergeCell ref="B882:B883"/>
    <mergeCell ref="C882:C883"/>
    <mergeCell ref="D882:D883"/>
    <mergeCell ref="G882:G883"/>
    <mergeCell ref="C855:C859"/>
    <mergeCell ref="H848:H849"/>
    <mergeCell ref="I848:I849"/>
    <mergeCell ref="J848:J849"/>
    <mergeCell ref="C873:C874"/>
    <mergeCell ref="B855:B859"/>
    <mergeCell ref="J855:J859"/>
    <mergeCell ref="K855:K859"/>
    <mergeCell ref="K873:K874"/>
    <mergeCell ref="G864:G865"/>
    <mergeCell ref="D864:D865"/>
    <mergeCell ref="C864:C865"/>
    <mergeCell ref="D873:D874"/>
    <mergeCell ref="D855:D859"/>
    <mergeCell ref="G855:G859"/>
    <mergeCell ref="H855:H859"/>
    <mergeCell ref="I855:I859"/>
    <mergeCell ref="G873:G874"/>
    <mergeCell ref="K864:K865"/>
    <mergeCell ref="B884:B885"/>
    <mergeCell ref="C884:C885"/>
    <mergeCell ref="B752:B754"/>
    <mergeCell ref="A752:A754"/>
    <mergeCell ref="B873:B874"/>
    <mergeCell ref="A873:A874"/>
    <mergeCell ref="H873:H874"/>
    <mergeCell ref="I873:I874"/>
    <mergeCell ref="J873:J874"/>
    <mergeCell ref="A807:A808"/>
    <mergeCell ref="B807:B808"/>
    <mergeCell ref="C807:C808"/>
    <mergeCell ref="D807:D808"/>
    <mergeCell ref="A921:A922"/>
    <mergeCell ref="H921:H922"/>
    <mergeCell ref="I921:I922"/>
    <mergeCell ref="J921:J922"/>
    <mergeCell ref="A817:A818"/>
    <mergeCell ref="B817:B818"/>
    <mergeCell ref="C817:C818"/>
    <mergeCell ref="D817:D818"/>
    <mergeCell ref="G817:G818"/>
    <mergeCell ref="H817:H818"/>
    <mergeCell ref="I817:I818"/>
    <mergeCell ref="J817:J818"/>
    <mergeCell ref="B864:B865"/>
    <mergeCell ref="A864:A865"/>
    <mergeCell ref="H864:H865"/>
    <mergeCell ref="I864:I865"/>
    <mergeCell ref="J864:J865"/>
    <mergeCell ref="J914:J917"/>
    <mergeCell ref="A855:A859"/>
    <mergeCell ref="A848:A849"/>
    <mergeCell ref="B848:B849"/>
    <mergeCell ref="A622:A623"/>
    <mergeCell ref="M817:M818"/>
    <mergeCell ref="T722:T723"/>
    <mergeCell ref="K716:K717"/>
    <mergeCell ref="B721:B725"/>
    <mergeCell ref="A721:A725"/>
    <mergeCell ref="H721:H725"/>
    <mergeCell ref="I721:I725"/>
    <mergeCell ref="J721:J725"/>
    <mergeCell ref="I716:I717"/>
    <mergeCell ref="J716:J717"/>
    <mergeCell ref="G721:G725"/>
    <mergeCell ref="D721:D725"/>
    <mergeCell ref="C721:C725"/>
    <mergeCell ref="T817:T818"/>
    <mergeCell ref="T807:T808"/>
    <mergeCell ref="M807:M808"/>
    <mergeCell ref="K629:K632"/>
    <mergeCell ref="H629:H632"/>
    <mergeCell ref="T716:T717"/>
    <mergeCell ref="A744:A745"/>
    <mergeCell ref="B744:B745"/>
    <mergeCell ref="C744:C745"/>
    <mergeCell ref="D744:D745"/>
    <mergeCell ref="G744:G745"/>
    <mergeCell ref="H744:H745"/>
    <mergeCell ref="I744:I745"/>
    <mergeCell ref="J744:J745"/>
    <mergeCell ref="K744:K745"/>
    <mergeCell ref="A716:A717"/>
    <mergeCell ref="H716:H717"/>
    <mergeCell ref="I682:I683"/>
    <mergeCell ref="J682:J683"/>
    <mergeCell ref="I629:I632"/>
    <mergeCell ref="J629:J632"/>
    <mergeCell ref="U585:U588"/>
    <mergeCell ref="U556:U558"/>
    <mergeCell ref="U722:U723"/>
    <mergeCell ref="H752:H754"/>
    <mergeCell ref="I752:I754"/>
    <mergeCell ref="J752:J754"/>
    <mergeCell ref="K752:K754"/>
    <mergeCell ref="G622:G623"/>
    <mergeCell ref="D622:D623"/>
    <mergeCell ref="C556:C560"/>
    <mergeCell ref="K576:K577"/>
    <mergeCell ref="U629:U632"/>
    <mergeCell ref="G716:G717"/>
    <mergeCell ref="D716:D717"/>
    <mergeCell ref="C716:C717"/>
    <mergeCell ref="C585:C588"/>
    <mergeCell ref="J556:J560"/>
    <mergeCell ref="J566:J567"/>
    <mergeCell ref="I622:I623"/>
    <mergeCell ref="U682:U683"/>
    <mergeCell ref="A671:A672"/>
    <mergeCell ref="C626:C627"/>
    <mergeCell ref="A626:A627"/>
    <mergeCell ref="B626:B627"/>
    <mergeCell ref="G626:G627"/>
    <mergeCell ref="G629:G632"/>
    <mergeCell ref="H622:H623"/>
    <mergeCell ref="D626:D627"/>
    <mergeCell ref="C624:C625"/>
    <mergeCell ref="B622:B623"/>
    <mergeCell ref="G807:G808"/>
    <mergeCell ref="H807:H808"/>
    <mergeCell ref="I807:I808"/>
    <mergeCell ref="J807:J808"/>
    <mergeCell ref="K807:K808"/>
    <mergeCell ref="D752:D754"/>
    <mergeCell ref="C752:C754"/>
    <mergeCell ref="G752:G754"/>
    <mergeCell ref="K721:K725"/>
    <mergeCell ref="K624:K625"/>
    <mergeCell ref="I624:I625"/>
    <mergeCell ref="H624:H625"/>
    <mergeCell ref="D624:D625"/>
    <mergeCell ref="K682:K683"/>
    <mergeCell ref="K676:K678"/>
    <mergeCell ref="H671:H672"/>
    <mergeCell ref="H784:H788"/>
    <mergeCell ref="I784:I788"/>
    <mergeCell ref="J784:J788"/>
    <mergeCell ref="J626:J627"/>
    <mergeCell ref="K671:K672"/>
    <mergeCell ref="H676:H678"/>
    <mergeCell ref="B716:B717"/>
    <mergeCell ref="A629:A632"/>
    <mergeCell ref="H626:H627"/>
    <mergeCell ref="I626:I627"/>
    <mergeCell ref="A676:A678"/>
    <mergeCell ref="B676:B678"/>
    <mergeCell ref="C676:C678"/>
    <mergeCell ref="D676:D678"/>
    <mergeCell ref="G676:G678"/>
    <mergeCell ref="C671:C672"/>
    <mergeCell ref="B671:B672"/>
    <mergeCell ref="J579:J580"/>
    <mergeCell ref="I576:I577"/>
    <mergeCell ref="H579:H580"/>
    <mergeCell ref="I579:I580"/>
    <mergeCell ref="C550:C551"/>
    <mergeCell ref="H556:H560"/>
    <mergeCell ref="I556:I560"/>
    <mergeCell ref="A579:A580"/>
    <mergeCell ref="B579:B580"/>
    <mergeCell ref="C566:C567"/>
    <mergeCell ref="D566:D567"/>
    <mergeCell ref="H576:H577"/>
    <mergeCell ref="D585:D588"/>
    <mergeCell ref="G585:G588"/>
    <mergeCell ref="H585:H588"/>
    <mergeCell ref="I585:I588"/>
    <mergeCell ref="J585:J588"/>
    <mergeCell ref="A585:A588"/>
    <mergeCell ref="B585:B588"/>
    <mergeCell ref="J622:J623"/>
    <mergeCell ref="A556:A560"/>
    <mergeCell ref="B624:B625"/>
    <mergeCell ref="A521:A523"/>
    <mergeCell ref="B521:B523"/>
    <mergeCell ref="D521:D523"/>
    <mergeCell ref="G521:G523"/>
    <mergeCell ref="C521:C523"/>
    <mergeCell ref="D547:D548"/>
    <mergeCell ref="C547:C548"/>
    <mergeCell ref="G547:G548"/>
    <mergeCell ref="B576:B577"/>
    <mergeCell ref="B547:B548"/>
    <mergeCell ref="A547:A548"/>
    <mergeCell ref="B566:B567"/>
    <mergeCell ref="A576:A577"/>
    <mergeCell ref="C579:C580"/>
    <mergeCell ref="D579:D580"/>
    <mergeCell ref="G579:G580"/>
    <mergeCell ref="B550:B551"/>
    <mergeCell ref="A550:A551"/>
    <mergeCell ref="G576:G577"/>
    <mergeCell ref="D576:D577"/>
    <mergeCell ref="G556:G560"/>
    <mergeCell ref="D556:D560"/>
    <mergeCell ref="G550:G551"/>
    <mergeCell ref="G566:G567"/>
    <mergeCell ref="D550:D551"/>
    <mergeCell ref="C576:C577"/>
    <mergeCell ref="A543:A545"/>
    <mergeCell ref="B543:B545"/>
    <mergeCell ref="C543:C545"/>
    <mergeCell ref="D543:D545"/>
    <mergeCell ref="G543:G545"/>
    <mergeCell ref="A474:A475"/>
    <mergeCell ref="B474:B475"/>
    <mergeCell ref="C474:C475"/>
    <mergeCell ref="D474:D475"/>
    <mergeCell ref="G474:G475"/>
    <mergeCell ref="H474:H475"/>
    <mergeCell ref="I474:I475"/>
    <mergeCell ref="J474:J475"/>
    <mergeCell ref="K474:K475"/>
    <mergeCell ref="T474:T475"/>
    <mergeCell ref="A457:A463"/>
    <mergeCell ref="B457:B463"/>
    <mergeCell ref="C457:C463"/>
    <mergeCell ref="D457:D463"/>
    <mergeCell ref="G457:G463"/>
    <mergeCell ref="H457:H463"/>
    <mergeCell ref="I457:I463"/>
    <mergeCell ref="C346:C347"/>
    <mergeCell ref="D346:D347"/>
    <mergeCell ref="G346:G347"/>
    <mergeCell ref="H346:H347"/>
    <mergeCell ref="I346:I347"/>
    <mergeCell ref="J346:J347"/>
    <mergeCell ref="K346:K347"/>
    <mergeCell ref="A331:A334"/>
    <mergeCell ref="M385:M391"/>
    <mergeCell ref="U405:U406"/>
    <mergeCell ref="U385:U386"/>
    <mergeCell ref="U388:U390"/>
    <mergeCell ref="U400:U403"/>
    <mergeCell ref="M405:M406"/>
    <mergeCell ref="T405:T406"/>
    <mergeCell ref="T400:T403"/>
    <mergeCell ref="T393:T397"/>
    <mergeCell ref="U393:U397"/>
    <mergeCell ref="A405:A406"/>
    <mergeCell ref="B405:B406"/>
    <mergeCell ref="C405:C406"/>
    <mergeCell ref="D405:D406"/>
    <mergeCell ref="G405:G406"/>
    <mergeCell ref="H405:H406"/>
    <mergeCell ref="J358:J359"/>
    <mergeCell ref="T358:T359"/>
    <mergeCell ref="T349:T351"/>
    <mergeCell ref="B349:B351"/>
    <mergeCell ref="C349:C351"/>
    <mergeCell ref="T324:T325"/>
    <mergeCell ref="T319:T321"/>
    <mergeCell ref="U281:U290"/>
    <mergeCell ref="A368:A371"/>
    <mergeCell ref="B368:B371"/>
    <mergeCell ref="C368:C371"/>
    <mergeCell ref="D368:D371"/>
    <mergeCell ref="G368:G371"/>
    <mergeCell ref="I405:I406"/>
    <mergeCell ref="J405:J406"/>
    <mergeCell ref="K405:K406"/>
    <mergeCell ref="A400:A403"/>
    <mergeCell ref="B400:B403"/>
    <mergeCell ref="C400:C403"/>
    <mergeCell ref="D400:D403"/>
    <mergeCell ref="G400:G403"/>
    <mergeCell ref="H400:H403"/>
    <mergeCell ref="I400:I403"/>
    <mergeCell ref="J400:J403"/>
    <mergeCell ref="K400:K403"/>
    <mergeCell ref="A393:A397"/>
    <mergeCell ref="B393:B397"/>
    <mergeCell ref="C393:C397"/>
    <mergeCell ref="J393:J397"/>
    <mergeCell ref="M320:M321"/>
    <mergeCell ref="H331:H334"/>
    <mergeCell ref="I331:I334"/>
    <mergeCell ref="J331:J334"/>
    <mergeCell ref="K331:K334"/>
    <mergeCell ref="A346:A347"/>
    <mergeCell ref="K358:K359"/>
    <mergeCell ref="A349:A351"/>
    <mergeCell ref="H255:H259"/>
    <mergeCell ref="C213:C216"/>
    <mergeCell ref="B213:B216"/>
    <mergeCell ref="A213:A216"/>
    <mergeCell ref="A219:A220"/>
    <mergeCell ref="H219:H220"/>
    <mergeCell ref="I219:I220"/>
    <mergeCell ref="J219:J220"/>
    <mergeCell ref="J210:J212"/>
    <mergeCell ref="I210:I212"/>
    <mergeCell ref="I249:I250"/>
    <mergeCell ref="J249:J250"/>
    <mergeCell ref="I255:I259"/>
    <mergeCell ref="J255:J259"/>
    <mergeCell ref="K375:K376"/>
    <mergeCell ref="G319:G321"/>
    <mergeCell ref="D319:D321"/>
    <mergeCell ref="C319:C321"/>
    <mergeCell ref="B319:B321"/>
    <mergeCell ref="A319:A321"/>
    <mergeCell ref="H319:H321"/>
    <mergeCell ref="I319:I321"/>
    <mergeCell ref="J319:J321"/>
    <mergeCell ref="K319:K321"/>
    <mergeCell ref="A324:A325"/>
    <mergeCell ref="B324:B325"/>
    <mergeCell ref="C324:C325"/>
    <mergeCell ref="D324:D325"/>
    <mergeCell ref="G324:G325"/>
    <mergeCell ref="H324:H325"/>
    <mergeCell ref="K219:K220"/>
    <mergeCell ref="B346:B347"/>
    <mergeCell ref="U135:U136"/>
    <mergeCell ref="C144:C145"/>
    <mergeCell ref="B144:B145"/>
    <mergeCell ref="A144:A145"/>
    <mergeCell ref="H144:H145"/>
    <mergeCell ref="I144:I145"/>
    <mergeCell ref="J144:J145"/>
    <mergeCell ref="K144:K145"/>
    <mergeCell ref="H123:H133"/>
    <mergeCell ref="I123:I133"/>
    <mergeCell ref="J123:J133"/>
    <mergeCell ref="T206:T209"/>
    <mergeCell ref="A232:A244"/>
    <mergeCell ref="B232:B244"/>
    <mergeCell ref="C232:C244"/>
    <mergeCell ref="D232:D244"/>
    <mergeCell ref="G232:G244"/>
    <mergeCell ref="H195:H197"/>
    <mergeCell ref="I195:I197"/>
    <mergeCell ref="A198:A202"/>
    <mergeCell ref="B198:B202"/>
    <mergeCell ref="T175:T176"/>
    <mergeCell ref="T179:T180"/>
    <mergeCell ref="D175:D176"/>
    <mergeCell ref="H175:H176"/>
    <mergeCell ref="I175:I176"/>
    <mergeCell ref="A152:A153"/>
    <mergeCell ref="B152:B153"/>
    <mergeCell ref="C152:C153"/>
    <mergeCell ref="U123:U125"/>
    <mergeCell ref="B210:B212"/>
    <mergeCell ref="A210:A212"/>
    <mergeCell ref="U179:U180"/>
    <mergeCell ref="U152:U153"/>
    <mergeCell ref="K210:K212"/>
    <mergeCell ref="J152:J153"/>
    <mergeCell ref="K152:K153"/>
    <mergeCell ref="T127:T130"/>
    <mergeCell ref="U127:U130"/>
    <mergeCell ref="A206:A209"/>
    <mergeCell ref="H206:H209"/>
    <mergeCell ref="I206:I209"/>
    <mergeCell ref="J206:J209"/>
    <mergeCell ref="K206:K209"/>
    <mergeCell ref="H198:H202"/>
    <mergeCell ref="I198:I202"/>
    <mergeCell ref="T131:T133"/>
    <mergeCell ref="U131:U133"/>
    <mergeCell ref="T135:T136"/>
    <mergeCell ref="T152:T153"/>
    <mergeCell ref="J175:J176"/>
    <mergeCell ref="K175:K176"/>
    <mergeCell ref="J198:J202"/>
    <mergeCell ref="K198:K202"/>
    <mergeCell ref="G144:G145"/>
    <mergeCell ref="D144:D145"/>
    <mergeCell ref="K123:K133"/>
    <mergeCell ref="A135:A136"/>
    <mergeCell ref="B135:B136"/>
    <mergeCell ref="C135:C136"/>
    <mergeCell ref="D135:D136"/>
    <mergeCell ref="T123:T125"/>
    <mergeCell ref="J135:J136"/>
    <mergeCell ref="K135:K136"/>
    <mergeCell ref="I152:I153"/>
    <mergeCell ref="A195:A197"/>
    <mergeCell ref="B195:B197"/>
    <mergeCell ref="C195:C197"/>
    <mergeCell ref="D195:D197"/>
    <mergeCell ref="G195:G197"/>
    <mergeCell ref="D152:D153"/>
    <mergeCell ref="G152:G153"/>
    <mergeCell ref="H152:H153"/>
    <mergeCell ref="G175:G176"/>
    <mergeCell ref="A175:A176"/>
    <mergeCell ref="B175:B176"/>
    <mergeCell ref="C175:C176"/>
    <mergeCell ref="B115:B116"/>
    <mergeCell ref="C115:C116"/>
    <mergeCell ref="D115:D116"/>
    <mergeCell ref="G115:G116"/>
    <mergeCell ref="H115:H116"/>
    <mergeCell ref="I115:I116"/>
    <mergeCell ref="A115:A116"/>
    <mergeCell ref="A123:A133"/>
    <mergeCell ref="G135:G136"/>
    <mergeCell ref="H135:H136"/>
    <mergeCell ref="I135:I136"/>
    <mergeCell ref="H179:H180"/>
    <mergeCell ref="I179:I180"/>
    <mergeCell ref="A94:A95"/>
    <mergeCell ref="B94:B95"/>
    <mergeCell ref="G96:G97"/>
    <mergeCell ref="G94:G95"/>
    <mergeCell ref="H94:H95"/>
    <mergeCell ref="C103:C104"/>
    <mergeCell ref="D103:D104"/>
    <mergeCell ref="G103:G104"/>
    <mergeCell ref="A103:A104"/>
    <mergeCell ref="B103:B104"/>
    <mergeCell ref="K94:K95"/>
    <mergeCell ref="D96:D97"/>
    <mergeCell ref="C96:C97"/>
    <mergeCell ref="B96:B97"/>
    <mergeCell ref="A96:A97"/>
    <mergeCell ref="K96:K97"/>
    <mergeCell ref="I96:I97"/>
    <mergeCell ref="J96:J97"/>
    <mergeCell ref="H96:H97"/>
    <mergeCell ref="H103:H104"/>
    <mergeCell ref="I103:I104"/>
    <mergeCell ref="J103:J104"/>
    <mergeCell ref="K103:K104"/>
    <mergeCell ref="H17:H56"/>
    <mergeCell ref="H12:H16"/>
    <mergeCell ref="D17:D56"/>
    <mergeCell ref="G17:G56"/>
    <mergeCell ref="U18:U19"/>
    <mergeCell ref="U36:U43"/>
    <mergeCell ref="J115:J116"/>
    <mergeCell ref="K115:K116"/>
    <mergeCell ref="H64:H66"/>
    <mergeCell ref="U64:U66"/>
    <mergeCell ref="U96:U97"/>
    <mergeCell ref="D94:D95"/>
    <mergeCell ref="T18:T19"/>
    <mergeCell ref="T36:T43"/>
    <mergeCell ref="I17:I56"/>
    <mergeCell ref="U22:U23"/>
    <mergeCell ref="U25:U35"/>
    <mergeCell ref="U44:U56"/>
    <mergeCell ref="J17:J56"/>
    <mergeCell ref="K17:K56"/>
    <mergeCell ref="D59:D60"/>
    <mergeCell ref="G59:G60"/>
    <mergeCell ref="T59:T60"/>
    <mergeCell ref="D64:D66"/>
    <mergeCell ref="G64:G66"/>
    <mergeCell ref="I64:I66"/>
    <mergeCell ref="J64:J66"/>
    <mergeCell ref="K64:K66"/>
    <mergeCell ref="M96:M97"/>
    <mergeCell ref="T96:T97"/>
    <mergeCell ref="I94:I95"/>
    <mergeCell ref="J94:J95"/>
    <mergeCell ref="A17:A56"/>
    <mergeCell ref="B17:B56"/>
    <mergeCell ref="C17:C56"/>
    <mergeCell ref="L1:N1"/>
    <mergeCell ref="M12:M16"/>
    <mergeCell ref="I12:I16"/>
    <mergeCell ref="J12:J16"/>
    <mergeCell ref="T1:U1"/>
    <mergeCell ref="A2:Q2"/>
    <mergeCell ref="A3:Q3"/>
    <mergeCell ref="A5:A6"/>
    <mergeCell ref="B5:B6"/>
    <mergeCell ref="C5:C6"/>
    <mergeCell ref="D5:D6"/>
    <mergeCell ref="G5:G6"/>
    <mergeCell ref="H5:H6"/>
    <mergeCell ref="T5:T6"/>
    <mergeCell ref="U5:U6"/>
    <mergeCell ref="A12:A16"/>
    <mergeCell ref="B12:B16"/>
    <mergeCell ref="C12:C16"/>
    <mergeCell ref="D12:D16"/>
    <mergeCell ref="G12:G16"/>
    <mergeCell ref="T12:T16"/>
    <mergeCell ref="U12:U16"/>
    <mergeCell ref="I5:I6"/>
    <mergeCell ref="J5:J6"/>
    <mergeCell ref="K5:K6"/>
    <mergeCell ref="K12:K16"/>
    <mergeCell ref="T22:T23"/>
    <mergeCell ref="T25:T35"/>
    <mergeCell ref="T44:T56"/>
    <mergeCell ref="T103:T104"/>
    <mergeCell ref="T64:T66"/>
    <mergeCell ref="A59:A60"/>
    <mergeCell ref="B59:B60"/>
    <mergeCell ref="C59:C60"/>
    <mergeCell ref="H59:H60"/>
    <mergeCell ref="I59:I60"/>
    <mergeCell ref="J59:J60"/>
    <mergeCell ref="K59:K60"/>
    <mergeCell ref="M64:M66"/>
    <mergeCell ref="C94:C95"/>
    <mergeCell ref="J213:J216"/>
    <mergeCell ref="K213:K216"/>
    <mergeCell ref="M195:M197"/>
    <mergeCell ref="M179:M180"/>
    <mergeCell ref="I213:I216"/>
    <mergeCell ref="G210:G212"/>
    <mergeCell ref="H210:H212"/>
    <mergeCell ref="D210:D212"/>
    <mergeCell ref="C210:C212"/>
    <mergeCell ref="G123:G133"/>
    <mergeCell ref="D123:D133"/>
    <mergeCell ref="C123:C133"/>
    <mergeCell ref="B123:B133"/>
    <mergeCell ref="A64:A66"/>
    <mergeCell ref="B64:B66"/>
    <mergeCell ref="C64:C66"/>
    <mergeCell ref="A179:A180"/>
    <mergeCell ref="B179:B180"/>
    <mergeCell ref="C179:C180"/>
    <mergeCell ref="D179:D180"/>
    <mergeCell ref="G179:G180"/>
    <mergeCell ref="J179:J180"/>
    <mergeCell ref="K179:K180"/>
    <mergeCell ref="H232:H244"/>
    <mergeCell ref="I232:I244"/>
    <mergeCell ref="J232:J244"/>
    <mergeCell ref="D249:D250"/>
    <mergeCell ref="G249:G250"/>
    <mergeCell ref="H249:H250"/>
    <mergeCell ref="G206:G209"/>
    <mergeCell ref="D206:D209"/>
    <mergeCell ref="C206:C209"/>
    <mergeCell ref="H213:H216"/>
    <mergeCell ref="G219:G220"/>
    <mergeCell ref="D219:D220"/>
    <mergeCell ref="C219:C220"/>
    <mergeCell ref="G213:G216"/>
    <mergeCell ref="D213:D216"/>
    <mergeCell ref="A249:A250"/>
    <mergeCell ref="K232:K244"/>
    <mergeCell ref="B219:B220"/>
    <mergeCell ref="K255:K259"/>
    <mergeCell ref="U195:U197"/>
    <mergeCell ref="U199:U202"/>
    <mergeCell ref="B206:B209"/>
    <mergeCell ref="J195:J197"/>
    <mergeCell ref="K195:K197"/>
    <mergeCell ref="T210:T212"/>
    <mergeCell ref="T195:T197"/>
    <mergeCell ref="M199:M202"/>
    <mergeCell ref="T199:T202"/>
    <mergeCell ref="T232:T235"/>
    <mergeCell ref="T237:T238"/>
    <mergeCell ref="T240:T243"/>
    <mergeCell ref="U232:U235"/>
    <mergeCell ref="U237:U238"/>
    <mergeCell ref="U240:U243"/>
    <mergeCell ref="G255:G259"/>
    <mergeCell ref="D255:D259"/>
    <mergeCell ref="C255:C259"/>
    <mergeCell ref="C198:C202"/>
    <mergeCell ref="D198:D202"/>
    <mergeCell ref="G198:G202"/>
    <mergeCell ref="B255:B259"/>
    <mergeCell ref="U206:U209"/>
    <mergeCell ref="U213:U214"/>
    <mergeCell ref="B249:B250"/>
    <mergeCell ref="C249:C250"/>
    <mergeCell ref="K249:K250"/>
    <mergeCell ref="A255:A259"/>
    <mergeCell ref="H281:H290"/>
    <mergeCell ref="I281:I290"/>
    <mergeCell ref="J281:J290"/>
    <mergeCell ref="K281:K290"/>
    <mergeCell ref="U273:U274"/>
    <mergeCell ref="T273:T274"/>
    <mergeCell ref="V273:V274"/>
    <mergeCell ref="A273:A274"/>
    <mergeCell ref="B273:B274"/>
    <mergeCell ref="C273:C274"/>
    <mergeCell ref="D273:D274"/>
    <mergeCell ref="G273:G274"/>
    <mergeCell ref="H273:H274"/>
    <mergeCell ref="I273:I274"/>
    <mergeCell ref="J273:J274"/>
    <mergeCell ref="K273:K274"/>
    <mergeCell ref="T281:T290"/>
    <mergeCell ref="A281:A290"/>
    <mergeCell ref="B281:B290"/>
    <mergeCell ref="C281:C290"/>
    <mergeCell ref="D281:D290"/>
    <mergeCell ref="G281:G290"/>
    <mergeCell ref="M281:M290"/>
    <mergeCell ref="I324:I325"/>
    <mergeCell ref="J324:J325"/>
    <mergeCell ref="K324:K325"/>
    <mergeCell ref="G331:G334"/>
    <mergeCell ref="D331:D334"/>
    <mergeCell ref="C331:C334"/>
    <mergeCell ref="B331:B334"/>
    <mergeCell ref="D349:D351"/>
    <mergeCell ref="G349:G351"/>
    <mergeCell ref="H349:H351"/>
    <mergeCell ref="I349:I351"/>
    <mergeCell ref="J349:J351"/>
    <mergeCell ref="K349:K351"/>
    <mergeCell ref="J385:J391"/>
    <mergeCell ref="K385:K391"/>
    <mergeCell ref="A375:A376"/>
    <mergeCell ref="B375:B376"/>
    <mergeCell ref="C375:C376"/>
    <mergeCell ref="D375:D376"/>
    <mergeCell ref="G375:G376"/>
    <mergeCell ref="J375:J376"/>
    <mergeCell ref="H368:H371"/>
    <mergeCell ref="I368:I371"/>
    <mergeCell ref="J368:J371"/>
    <mergeCell ref="K368:K371"/>
    <mergeCell ref="A358:A359"/>
    <mergeCell ref="B358:B359"/>
    <mergeCell ref="C358:C359"/>
    <mergeCell ref="D358:D359"/>
    <mergeCell ref="G358:G359"/>
    <mergeCell ref="H358:H359"/>
    <mergeCell ref="I358:I359"/>
    <mergeCell ref="G478:G479"/>
    <mergeCell ref="H478:H479"/>
    <mergeCell ref="I478:I479"/>
    <mergeCell ref="J478:J479"/>
    <mergeCell ref="K478:K479"/>
    <mergeCell ref="H375:H376"/>
    <mergeCell ref="I375:I376"/>
    <mergeCell ref="U368:U371"/>
    <mergeCell ref="M206:M209"/>
    <mergeCell ref="A451:A455"/>
    <mergeCell ref="B451:B455"/>
    <mergeCell ref="C451:C455"/>
    <mergeCell ref="D451:D455"/>
    <mergeCell ref="G451:G455"/>
    <mergeCell ref="H451:H455"/>
    <mergeCell ref="I451:I455"/>
    <mergeCell ref="J451:J455"/>
    <mergeCell ref="K451:K455"/>
    <mergeCell ref="U358:U359"/>
    <mergeCell ref="U319:U321"/>
    <mergeCell ref="T385:T386"/>
    <mergeCell ref="T388:T390"/>
    <mergeCell ref="M368:M371"/>
    <mergeCell ref="T368:T371"/>
    <mergeCell ref="A385:A391"/>
    <mergeCell ref="B385:B391"/>
    <mergeCell ref="C385:C391"/>
    <mergeCell ref="D385:D391"/>
    <mergeCell ref="G385:G391"/>
    <mergeCell ref="H385:H391"/>
    <mergeCell ref="I385:I391"/>
    <mergeCell ref="U451:U455"/>
    <mergeCell ref="U474:U475"/>
    <mergeCell ref="J457:J463"/>
    <mergeCell ref="K457:K463"/>
    <mergeCell ref="M451:M455"/>
    <mergeCell ref="T451:T455"/>
    <mergeCell ref="B495:B505"/>
    <mergeCell ref="C495:C505"/>
    <mergeCell ref="D495:D505"/>
    <mergeCell ref="G495:G505"/>
    <mergeCell ref="H495:H505"/>
    <mergeCell ref="I495:I505"/>
    <mergeCell ref="A495:A505"/>
    <mergeCell ref="D393:D397"/>
    <mergeCell ref="G393:G397"/>
    <mergeCell ref="H393:H397"/>
    <mergeCell ref="I393:I397"/>
    <mergeCell ref="K393:K397"/>
    <mergeCell ref="M400:M403"/>
    <mergeCell ref="T492:T493"/>
    <mergeCell ref="G492:G493"/>
    <mergeCell ref="D492:D493"/>
    <mergeCell ref="C492:C493"/>
    <mergeCell ref="B492:B493"/>
    <mergeCell ref="A492:A493"/>
    <mergeCell ref="A478:A479"/>
    <mergeCell ref="B478:B479"/>
    <mergeCell ref="C478:C479"/>
    <mergeCell ref="D478:D479"/>
    <mergeCell ref="H492:H493"/>
    <mergeCell ref="I492:I493"/>
    <mergeCell ref="J492:J493"/>
    <mergeCell ref="K492:K493"/>
    <mergeCell ref="H543:H545"/>
    <mergeCell ref="I543:I545"/>
    <mergeCell ref="J543:J545"/>
    <mergeCell ref="K543:K545"/>
    <mergeCell ref="B507:B509"/>
    <mergeCell ref="A507:A509"/>
    <mergeCell ref="G507:G509"/>
    <mergeCell ref="H507:H509"/>
    <mergeCell ref="H521:H523"/>
    <mergeCell ref="I521:I523"/>
    <mergeCell ref="J521:J523"/>
    <mergeCell ref="K521:K523"/>
    <mergeCell ref="D507:D509"/>
    <mergeCell ref="C507:C509"/>
    <mergeCell ref="K784:K788"/>
    <mergeCell ref="C629:C632"/>
    <mergeCell ref="B629:B632"/>
    <mergeCell ref="G624:G625"/>
    <mergeCell ref="J624:J625"/>
    <mergeCell ref="G682:G683"/>
    <mergeCell ref="D682:D683"/>
    <mergeCell ref="G671:G672"/>
    <mergeCell ref="D671:D672"/>
    <mergeCell ref="D629:D632"/>
    <mergeCell ref="K779:K780"/>
    <mergeCell ref="K622:K623"/>
    <mergeCell ref="C622:C623"/>
    <mergeCell ref="B682:B683"/>
    <mergeCell ref="C682:C683"/>
    <mergeCell ref="K556:K560"/>
    <mergeCell ref="K579:K580"/>
    <mergeCell ref="K547:K548"/>
    <mergeCell ref="H550:H551"/>
    <mergeCell ref="I550:I551"/>
    <mergeCell ref="J550:J551"/>
    <mergeCell ref="K550:K551"/>
    <mergeCell ref="I547:I548"/>
    <mergeCell ref="J547:J548"/>
    <mergeCell ref="I566:I567"/>
    <mergeCell ref="K566:K567"/>
    <mergeCell ref="A682:A683"/>
    <mergeCell ref="H682:H683"/>
    <mergeCell ref="A566:A567"/>
    <mergeCell ref="J576:J577"/>
    <mergeCell ref="A880:A881"/>
    <mergeCell ref="B880:B881"/>
    <mergeCell ref="C880:C881"/>
    <mergeCell ref="D880:D881"/>
    <mergeCell ref="G880:G881"/>
    <mergeCell ref="A779:A780"/>
    <mergeCell ref="B779:B780"/>
    <mergeCell ref="C779:C780"/>
    <mergeCell ref="D779:D780"/>
    <mergeCell ref="G779:G780"/>
    <mergeCell ref="H779:H780"/>
    <mergeCell ref="I779:I780"/>
    <mergeCell ref="J779:J780"/>
    <mergeCell ref="A784:A788"/>
    <mergeCell ref="B784:B788"/>
    <mergeCell ref="C784:C788"/>
    <mergeCell ref="D784:D788"/>
    <mergeCell ref="G784:G788"/>
    <mergeCell ref="B556:B560"/>
    <mergeCell ref="A624:A625"/>
    <mergeCell ref="U492:U493"/>
    <mergeCell ref="T784:T788"/>
    <mergeCell ref="U753:U754"/>
    <mergeCell ref="T753:T754"/>
    <mergeCell ref="T507:T509"/>
    <mergeCell ref="M507:M509"/>
    <mergeCell ref="I507:I509"/>
    <mergeCell ref="J507:J509"/>
    <mergeCell ref="K507:K509"/>
    <mergeCell ref="T495:T497"/>
    <mergeCell ref="U495:U497"/>
    <mergeCell ref="J495:J505"/>
    <mergeCell ref="K495:K505"/>
    <mergeCell ref="U504:U505"/>
    <mergeCell ref="T498:T500"/>
    <mergeCell ref="U498:U500"/>
    <mergeCell ref="T682:T683"/>
    <mergeCell ref="T556:T558"/>
    <mergeCell ref="J671:J672"/>
    <mergeCell ref="I671:I672"/>
    <mergeCell ref="K626:K627"/>
    <mergeCell ref="T626:T627"/>
    <mergeCell ref="U626:U627"/>
    <mergeCell ref="T629:T632"/>
    <mergeCell ref="U624:U625"/>
    <mergeCell ref="U622:U623"/>
    <mergeCell ref="M629:M632"/>
    <mergeCell ref="T624:T625"/>
    <mergeCell ref="T622:T623"/>
    <mergeCell ref="M622:M623"/>
    <mergeCell ref="I676:I678"/>
    <mergeCell ref="J676:J678"/>
    <mergeCell ref="U817:U818"/>
    <mergeCell ref="M559:M560"/>
    <mergeCell ref="T559:T560"/>
    <mergeCell ref="U507:U509"/>
    <mergeCell ref="K585:K588"/>
    <mergeCell ref="T585:T588"/>
    <mergeCell ref="U559:U560"/>
    <mergeCell ref="T550:T551"/>
    <mergeCell ref="T543:T545"/>
    <mergeCell ref="U543:U544"/>
    <mergeCell ref="T521:T523"/>
    <mergeCell ref="U521:U523"/>
    <mergeCell ref="A910:A913"/>
    <mergeCell ref="B910:B913"/>
    <mergeCell ref="C910:C913"/>
    <mergeCell ref="D910:D913"/>
    <mergeCell ref="G910:G913"/>
    <mergeCell ref="H910:H913"/>
    <mergeCell ref="I910:I913"/>
    <mergeCell ref="T848:T849"/>
    <mergeCell ref="A891:A892"/>
    <mergeCell ref="B891:B892"/>
    <mergeCell ref="C891:C892"/>
    <mergeCell ref="D891:D892"/>
    <mergeCell ref="G891:G892"/>
    <mergeCell ref="H891:H892"/>
    <mergeCell ref="I891:I892"/>
    <mergeCell ref="J891:J892"/>
    <mergeCell ref="K891:K892"/>
    <mergeCell ref="A884:A885"/>
    <mergeCell ref="H547:H548"/>
    <mergeCell ref="H566:H567"/>
    <mergeCell ref="U969:U970"/>
    <mergeCell ref="J966:J967"/>
    <mergeCell ref="K966:K967"/>
    <mergeCell ref="C923:C924"/>
    <mergeCell ref="D923:D924"/>
    <mergeCell ref="G966:G967"/>
    <mergeCell ref="D966:D967"/>
    <mergeCell ref="C966:C967"/>
    <mergeCell ref="T927:T928"/>
    <mergeCell ref="T923:T924"/>
    <mergeCell ref="U935:U936"/>
    <mergeCell ref="C927:C928"/>
    <mergeCell ref="H960:H964"/>
    <mergeCell ref="I960:I964"/>
    <mergeCell ref="J960:J964"/>
    <mergeCell ref="K960:K964"/>
    <mergeCell ref="C960:C964"/>
    <mergeCell ref="G960:G964"/>
    <mergeCell ref="D960:D964"/>
    <mergeCell ref="M935:M936"/>
    <mergeCell ref="T935:T936"/>
    <mergeCell ref="I923:I924"/>
    <mergeCell ref="H929:H930"/>
    <mergeCell ref="I929:I930"/>
    <mergeCell ref="K929:K930"/>
    <mergeCell ref="G923:G924"/>
    <mergeCell ref="G929:G930"/>
    <mergeCell ref="D927:D928"/>
    <mergeCell ref="G927:G928"/>
    <mergeCell ref="H927:H928"/>
    <mergeCell ref="I927:I928"/>
    <mergeCell ref="J927:J928"/>
    <mergeCell ref="U910:U913"/>
    <mergeCell ref="U914:U915"/>
    <mergeCell ref="D884:D885"/>
    <mergeCell ref="M923:M924"/>
    <mergeCell ref="T916:T917"/>
    <mergeCell ref="G969:G970"/>
    <mergeCell ref="H969:H970"/>
    <mergeCell ref="I969:I970"/>
    <mergeCell ref="A997:A998"/>
    <mergeCell ref="H997:H998"/>
    <mergeCell ref="I997:I998"/>
    <mergeCell ref="J997:J998"/>
    <mergeCell ref="G884:G885"/>
    <mergeCell ref="H884:H885"/>
    <mergeCell ref="I884:I885"/>
    <mergeCell ref="K935:K936"/>
    <mergeCell ref="B929:B930"/>
    <mergeCell ref="C929:C930"/>
    <mergeCell ref="D929:D930"/>
    <mergeCell ref="A923:A924"/>
    <mergeCell ref="B923:B924"/>
    <mergeCell ref="C973:C974"/>
    <mergeCell ref="A927:A928"/>
    <mergeCell ref="B927:B928"/>
    <mergeCell ref="B960:B964"/>
    <mergeCell ref="A960:A964"/>
    <mergeCell ref="J929:J930"/>
    <mergeCell ref="C969:C970"/>
    <mergeCell ref="D969:D970"/>
    <mergeCell ref="C935:C936"/>
    <mergeCell ref="K927:K928"/>
    <mergeCell ref="H923:H924"/>
    <mergeCell ref="K921:K922"/>
    <mergeCell ref="A929:A930"/>
    <mergeCell ref="D914:D917"/>
    <mergeCell ref="C914:C917"/>
    <mergeCell ref="B914:B917"/>
    <mergeCell ref="A914:A917"/>
    <mergeCell ref="I914:I917"/>
    <mergeCell ref="C921:C922"/>
    <mergeCell ref="A1102:A1104"/>
    <mergeCell ref="G1102:G1104"/>
    <mergeCell ref="H1102:H1104"/>
    <mergeCell ref="I1102:I1104"/>
    <mergeCell ref="G1055:G1060"/>
    <mergeCell ref="D1055:D1060"/>
    <mergeCell ref="C1055:C1060"/>
    <mergeCell ref="B1055:B1060"/>
    <mergeCell ref="K997:K998"/>
    <mergeCell ref="G1014:G1020"/>
    <mergeCell ref="D1014:D1020"/>
    <mergeCell ref="H966:H967"/>
    <mergeCell ref="I966:I967"/>
    <mergeCell ref="A966:A967"/>
    <mergeCell ref="A969:A970"/>
    <mergeCell ref="A1055:A1060"/>
    <mergeCell ref="H1055:H1060"/>
    <mergeCell ref="C1012:C1013"/>
    <mergeCell ref="B1012:B1013"/>
    <mergeCell ref="J1102:J1104"/>
    <mergeCell ref="A1066:A1067"/>
    <mergeCell ref="B1066:B1067"/>
    <mergeCell ref="C1066:C1067"/>
    <mergeCell ref="C1095:C1096"/>
    <mergeCell ref="T985:T986"/>
    <mergeCell ref="T969:T970"/>
    <mergeCell ref="B1105:B1106"/>
    <mergeCell ref="K1107:K1116"/>
    <mergeCell ref="J1066:J1067"/>
    <mergeCell ref="K1066:K1067"/>
    <mergeCell ref="K1014:K1020"/>
    <mergeCell ref="H1062:H1063"/>
    <mergeCell ref="I1062:I1063"/>
    <mergeCell ref="J1062:J1063"/>
    <mergeCell ref="K1062:K1063"/>
    <mergeCell ref="D997:D998"/>
    <mergeCell ref="C997:C998"/>
    <mergeCell ref="B997:B998"/>
    <mergeCell ref="H1095:H1096"/>
    <mergeCell ref="I1095:I1096"/>
    <mergeCell ref="J1095:J1096"/>
    <mergeCell ref="K1095:K1096"/>
    <mergeCell ref="I1014:I1020"/>
    <mergeCell ref="J1014:J1020"/>
    <mergeCell ref="B1095:B1096"/>
    <mergeCell ref="T1064:T1065"/>
    <mergeCell ref="T1107:T1116"/>
    <mergeCell ref="D1105:D1106"/>
    <mergeCell ref="G973:G974"/>
    <mergeCell ref="B973:B974"/>
    <mergeCell ref="I1105:I1106"/>
    <mergeCell ref="J1105:J1106"/>
    <mergeCell ref="K1105:K1106"/>
    <mergeCell ref="T1095:T1096"/>
    <mergeCell ref="I973:I974"/>
    <mergeCell ref="D1102:D1104"/>
    <mergeCell ref="U985:U986"/>
    <mergeCell ref="A1064:A1065"/>
    <mergeCell ref="B1064:B1065"/>
    <mergeCell ref="C1064:C1065"/>
    <mergeCell ref="D1064:D1065"/>
    <mergeCell ref="G1064:G1065"/>
    <mergeCell ref="H1064:H1065"/>
    <mergeCell ref="I1064:I1065"/>
    <mergeCell ref="J1064:J1065"/>
    <mergeCell ref="K1064:K1065"/>
    <mergeCell ref="J935:J936"/>
    <mergeCell ref="T973:T974"/>
    <mergeCell ref="T966:T967"/>
    <mergeCell ref="G985:G986"/>
    <mergeCell ref="D985:D986"/>
    <mergeCell ref="C985:C986"/>
    <mergeCell ref="B985:B986"/>
    <mergeCell ref="A985:A986"/>
    <mergeCell ref="H985:H986"/>
    <mergeCell ref="I985:I986"/>
    <mergeCell ref="J985:J986"/>
    <mergeCell ref="A1062:A1063"/>
    <mergeCell ref="B1062:B1063"/>
    <mergeCell ref="C1062:C1063"/>
    <mergeCell ref="D1062:D1063"/>
    <mergeCell ref="G1062:G1063"/>
    <mergeCell ref="A1014:A1020"/>
    <mergeCell ref="H1014:H1020"/>
    <mergeCell ref="J969:J970"/>
    <mergeCell ref="K969:K970"/>
    <mergeCell ref="G1012:G1013"/>
    <mergeCell ref="D1012:D1013"/>
    <mergeCell ref="W1247:W1249"/>
    <mergeCell ref="W1244:W1245"/>
    <mergeCell ref="C1251:C1252"/>
    <mergeCell ref="B1251:B1252"/>
    <mergeCell ref="T1244:T1245"/>
    <mergeCell ref="T1247:T1249"/>
    <mergeCell ref="U1247:U1249"/>
    <mergeCell ref="M1295:M1296"/>
    <mergeCell ref="T1295:T1296"/>
    <mergeCell ref="D1294:D1296"/>
    <mergeCell ref="B1303:B1305"/>
    <mergeCell ref="G1332:G1333"/>
    <mergeCell ref="D1332:D1333"/>
    <mergeCell ref="C1332:C1333"/>
    <mergeCell ref="G1297:G1298"/>
    <mergeCell ref="H1297:H1298"/>
    <mergeCell ref="I1297:I1298"/>
    <mergeCell ref="J1297:J1298"/>
    <mergeCell ref="K1297:K1298"/>
    <mergeCell ref="I1322:I1326"/>
    <mergeCell ref="J1322:J1326"/>
    <mergeCell ref="J1307:J1308"/>
    <mergeCell ref="K1307:K1308"/>
    <mergeCell ref="G1281:G1282"/>
    <mergeCell ref="H1281:H1282"/>
    <mergeCell ref="U1297:U1298"/>
    <mergeCell ref="J1303:J1305"/>
    <mergeCell ref="U1299:U1301"/>
    <mergeCell ref="U1295:U1296"/>
    <mergeCell ref="G1290:G1293"/>
    <mergeCell ref="D1290:D1293"/>
    <mergeCell ref="J1299:J1302"/>
    <mergeCell ref="M1299:M1301"/>
    <mergeCell ref="T1299:T1301"/>
    <mergeCell ref="T1336:T1337"/>
    <mergeCell ref="U1332:U1333"/>
    <mergeCell ref="A1370:A1373"/>
    <mergeCell ref="G1370:G1373"/>
    <mergeCell ref="H1370:H1373"/>
    <mergeCell ref="I1370:I1373"/>
    <mergeCell ref="D1336:D1337"/>
    <mergeCell ref="G1336:G1337"/>
    <mergeCell ref="A1297:A1298"/>
    <mergeCell ref="B1297:B1298"/>
    <mergeCell ref="I1303:I1305"/>
    <mergeCell ref="J1362:J1363"/>
    <mergeCell ref="K1362:K1363"/>
    <mergeCell ref="A1332:A1333"/>
    <mergeCell ref="A1303:A1305"/>
    <mergeCell ref="C1322:C1326"/>
    <mergeCell ref="J1336:J1337"/>
    <mergeCell ref="U1322:U1325"/>
    <mergeCell ref="T1362:T1363"/>
    <mergeCell ref="G1303:G1305"/>
    <mergeCell ref="D1303:D1305"/>
    <mergeCell ref="C1303:C1305"/>
    <mergeCell ref="K1336:K1337"/>
    <mergeCell ref="K1332:K1333"/>
    <mergeCell ref="I1299:I1302"/>
    <mergeCell ref="H1303:H1305"/>
    <mergeCell ref="C1297:C1298"/>
    <mergeCell ref="D1297:D1298"/>
    <mergeCell ref="A1322:A1326"/>
    <mergeCell ref="U1336:U1337"/>
    <mergeCell ref="U1372:U1373"/>
    <mergeCell ref="U1370:U1371"/>
    <mergeCell ref="U1397:U1398"/>
    <mergeCell ref="U1455:U1456"/>
    <mergeCell ref="G1486:G1487"/>
    <mergeCell ref="G1480:G1483"/>
    <mergeCell ref="H1480:H1483"/>
    <mergeCell ref="I1480:I1483"/>
    <mergeCell ref="J1480:J1483"/>
    <mergeCell ref="K1480:K1483"/>
    <mergeCell ref="U1428:U1454"/>
    <mergeCell ref="J1455:J1456"/>
    <mergeCell ref="K1455:K1456"/>
    <mergeCell ref="I1458:I1460"/>
    <mergeCell ref="J1458:J1460"/>
    <mergeCell ref="J1476:J1479"/>
    <mergeCell ref="U1395:U1396"/>
    <mergeCell ref="U1393:U1394"/>
    <mergeCell ref="G1476:G1479"/>
    <mergeCell ref="G1428:G1454"/>
    <mergeCell ref="H1428:H1454"/>
    <mergeCell ref="I1428:I1454"/>
    <mergeCell ref="J1428:J1454"/>
    <mergeCell ref="K1428:K1454"/>
    <mergeCell ref="T1428:T1454"/>
    <mergeCell ref="I1417:I1418"/>
    <mergeCell ref="J1417:J1418"/>
    <mergeCell ref="G1417:G1418"/>
    <mergeCell ref="U1407:U1409"/>
    <mergeCell ref="K1417:K1418"/>
    <mergeCell ref="H1417:H1418"/>
    <mergeCell ref="J1395:J1396"/>
    <mergeCell ref="C1498:C1504"/>
    <mergeCell ref="B1498:B1504"/>
    <mergeCell ref="M1498:M1500"/>
    <mergeCell ref="J1486:J1487"/>
    <mergeCell ref="K1486:K1487"/>
    <mergeCell ref="B1480:B1483"/>
    <mergeCell ref="A1495:A1496"/>
    <mergeCell ref="C1480:C1483"/>
    <mergeCell ref="U1480:U1483"/>
    <mergeCell ref="U1495:U1496"/>
    <mergeCell ref="D1543:D1544"/>
    <mergeCell ref="C1543:C1544"/>
    <mergeCell ref="D1407:D1416"/>
    <mergeCell ref="C1407:C1416"/>
    <mergeCell ref="T1486:T1487"/>
    <mergeCell ref="M1458:M1460"/>
    <mergeCell ref="H1476:H1479"/>
    <mergeCell ref="I1476:I1479"/>
    <mergeCell ref="B1407:B1416"/>
    <mergeCell ref="B1417:B1418"/>
    <mergeCell ref="C1417:C1418"/>
    <mergeCell ref="D1417:D1418"/>
    <mergeCell ref="A1417:A1418"/>
    <mergeCell ref="A1480:A1483"/>
    <mergeCell ref="A1498:A1504"/>
    <mergeCell ref="B1495:B1496"/>
    <mergeCell ref="D1476:D1479"/>
    <mergeCell ref="C1476:C1479"/>
    <mergeCell ref="B1476:B1479"/>
    <mergeCell ref="A1476:A1479"/>
    <mergeCell ref="A1486:A1487"/>
    <mergeCell ref="H1486:H1487"/>
    <mergeCell ref="C1575:C1577"/>
    <mergeCell ref="J1568:J1570"/>
    <mergeCell ref="D1575:D1577"/>
    <mergeCell ref="A1458:A1460"/>
    <mergeCell ref="G1458:G1460"/>
    <mergeCell ref="H1458:H1460"/>
    <mergeCell ref="D1486:D1487"/>
    <mergeCell ref="C1486:C1487"/>
    <mergeCell ref="T1458:T1460"/>
    <mergeCell ref="A1575:A1577"/>
    <mergeCell ref="B1575:B1577"/>
    <mergeCell ref="C1548:C1551"/>
    <mergeCell ref="B1548:B1551"/>
    <mergeCell ref="T1455:T1456"/>
    <mergeCell ref="U1476:U1478"/>
    <mergeCell ref="T1476:T1478"/>
    <mergeCell ref="U1543:U1544"/>
    <mergeCell ref="U1501:U1502"/>
    <mergeCell ref="U1486:U1487"/>
    <mergeCell ref="H1498:H1504"/>
    <mergeCell ref="I1498:I1504"/>
    <mergeCell ref="J1498:J1504"/>
    <mergeCell ref="K1498:K1504"/>
    <mergeCell ref="U1498:U1500"/>
    <mergeCell ref="T1495:T1496"/>
    <mergeCell ref="G1495:G1496"/>
    <mergeCell ref="D1495:D1496"/>
    <mergeCell ref="C1495:C1496"/>
    <mergeCell ref="I1486:I1487"/>
    <mergeCell ref="A1455:A1456"/>
    <mergeCell ref="G1498:G1504"/>
    <mergeCell ref="H1495:H1496"/>
    <mergeCell ref="U1548:U1551"/>
    <mergeCell ref="G1575:G1577"/>
    <mergeCell ref="H1575:H1577"/>
    <mergeCell ref="I1575:I1577"/>
    <mergeCell ref="J1575:J1577"/>
    <mergeCell ref="D1548:D1551"/>
    <mergeCell ref="K1575:K1577"/>
    <mergeCell ref="K1476:K1479"/>
    <mergeCell ref="D1480:D1483"/>
    <mergeCell ref="K1711:K1714"/>
    <mergeCell ref="H1586:H1587"/>
    <mergeCell ref="I1586:I1587"/>
    <mergeCell ref="J1586:J1587"/>
    <mergeCell ref="K1586:K1587"/>
    <mergeCell ref="U1584:U1585"/>
    <mergeCell ref="U1586:U1587"/>
    <mergeCell ref="U1680:U1683"/>
    <mergeCell ref="H1709:H1710"/>
    <mergeCell ref="I1709:I1710"/>
    <mergeCell ref="J1584:J1585"/>
    <mergeCell ref="K1584:K1585"/>
    <mergeCell ref="I1495:I1496"/>
    <mergeCell ref="U1568:U1570"/>
    <mergeCell ref="M1548:M1551"/>
    <mergeCell ref="T1548:T1551"/>
    <mergeCell ref="D1498:D1504"/>
    <mergeCell ref="M1476:M1478"/>
    <mergeCell ref="M1568:M1570"/>
    <mergeCell ref="T1568:T1570"/>
    <mergeCell ref="K1568:K1570"/>
    <mergeCell ref="T1480:T1483"/>
    <mergeCell ref="G1586:G1587"/>
    <mergeCell ref="A1611:A1620"/>
    <mergeCell ref="T1633:T1660"/>
    <mergeCell ref="J1621:J1662"/>
    <mergeCell ref="M1711:M1714"/>
    <mergeCell ref="D1584:D1585"/>
    <mergeCell ref="G1584:G1585"/>
    <mergeCell ref="I1584:I1585"/>
    <mergeCell ref="T1586:T1587"/>
    <mergeCell ref="H1584:H1585"/>
    <mergeCell ref="C1586:C1587"/>
    <mergeCell ref="B1586:B1587"/>
    <mergeCell ref="A1586:A1587"/>
    <mergeCell ref="T1661:T1662"/>
    <mergeCell ref="T1611:T1613"/>
    <mergeCell ref="G1680:G1683"/>
    <mergeCell ref="H1680:H1683"/>
    <mergeCell ref="I1680:I1683"/>
    <mergeCell ref="J1680:J1683"/>
    <mergeCell ref="C1611:C1620"/>
    <mergeCell ref="B1611:B1620"/>
    <mergeCell ref="C1621:C1662"/>
    <mergeCell ref="B1621:B1662"/>
    <mergeCell ref="A1621:A1662"/>
    <mergeCell ref="T1664:T1665"/>
    <mergeCell ref="T1621:T1632"/>
    <mergeCell ref="J1611:J1620"/>
    <mergeCell ref="K1611:K1620"/>
    <mergeCell ref="G1711:G1714"/>
    <mergeCell ref="H1711:H1714"/>
    <mergeCell ref="I1711:I1714"/>
    <mergeCell ref="D1586:D1587"/>
    <mergeCell ref="D1621:D1662"/>
    <mergeCell ref="D1611:D1620"/>
    <mergeCell ref="J1709:J1710"/>
    <mergeCell ref="K1709:K1710"/>
    <mergeCell ref="T1584:T1585"/>
    <mergeCell ref="T1736:T1737"/>
    <mergeCell ref="T1711:T1714"/>
    <mergeCell ref="M1614:M1619"/>
    <mergeCell ref="J1711:J1714"/>
    <mergeCell ref="I1736:I1737"/>
    <mergeCell ref="D1709:D1710"/>
    <mergeCell ref="H1664:H1665"/>
    <mergeCell ref="M1621:M1632"/>
    <mergeCell ref="B1745:B1746"/>
    <mergeCell ref="D1748:D1749"/>
    <mergeCell ref="G1750:G1752"/>
    <mergeCell ref="U1621:U1632"/>
    <mergeCell ref="M1633:M1660"/>
    <mergeCell ref="G1738:G1739"/>
    <mergeCell ref="I1738:I1739"/>
    <mergeCell ref="J1738:J1739"/>
    <mergeCell ref="T1680:T1683"/>
    <mergeCell ref="H1611:H1620"/>
    <mergeCell ref="I1611:I1620"/>
    <mergeCell ref="U1738:U1739"/>
    <mergeCell ref="H1621:H1662"/>
    <mergeCell ref="G1621:G1662"/>
    <mergeCell ref="I1621:I1662"/>
    <mergeCell ref="M1738:M1739"/>
    <mergeCell ref="I1664:I1665"/>
    <mergeCell ref="J1664:J1665"/>
    <mergeCell ref="K1664:K1665"/>
    <mergeCell ref="G1736:G1737"/>
    <mergeCell ref="U1633:U1660"/>
    <mergeCell ref="U1614:U1619"/>
    <mergeCell ref="U1661:U1662"/>
    <mergeCell ref="U1709:U1710"/>
    <mergeCell ref="U1611:U1613"/>
    <mergeCell ref="T1614:T1619"/>
    <mergeCell ref="K1621:K1662"/>
    <mergeCell ref="T1709:T1710"/>
    <mergeCell ref="U1711:U1714"/>
    <mergeCell ref="G1709:G1710"/>
    <mergeCell ref="G1611:G1620"/>
    <mergeCell ref="K1738:K1739"/>
    <mergeCell ref="D1786:D1788"/>
    <mergeCell ref="C1786:C1788"/>
    <mergeCell ref="H1792:H1793"/>
    <mergeCell ref="A1664:A1665"/>
    <mergeCell ref="G1664:G1665"/>
    <mergeCell ref="A1738:A1739"/>
    <mergeCell ref="C1738:C1739"/>
    <mergeCell ref="B1738:B1739"/>
    <mergeCell ref="H1738:H1739"/>
    <mergeCell ref="G1762:G1763"/>
    <mergeCell ref="D1762:D1763"/>
    <mergeCell ref="C1762:C1763"/>
    <mergeCell ref="B1762:B1763"/>
    <mergeCell ref="A1762:A1763"/>
    <mergeCell ref="H1762:H1763"/>
    <mergeCell ref="D1750:D1752"/>
    <mergeCell ref="C1748:C1749"/>
    <mergeCell ref="B1748:B1749"/>
    <mergeCell ref="A1736:A1737"/>
    <mergeCell ref="A1748:A1749"/>
    <mergeCell ref="A1750:A1752"/>
    <mergeCell ref="B1750:B1752"/>
    <mergeCell ref="C1750:C1752"/>
    <mergeCell ref="A1709:A1710"/>
    <mergeCell ref="C1680:C1683"/>
    <mergeCell ref="D1756:D1757"/>
    <mergeCell ref="H1745:H1746"/>
    <mergeCell ref="D1738:D1739"/>
    <mergeCell ref="G1771:G1772"/>
    <mergeCell ref="D1771:D1772"/>
    <mergeCell ref="C1771:C1772"/>
    <mergeCell ref="I1771:I1772"/>
    <mergeCell ref="G1778:G1783"/>
    <mergeCell ref="A1778:A1783"/>
    <mergeCell ref="G1756:G1757"/>
    <mergeCell ref="H1756:H1757"/>
    <mergeCell ref="H1771:H1772"/>
    <mergeCell ref="B1778:B1783"/>
    <mergeCell ref="A1771:A1772"/>
    <mergeCell ref="A1756:A1757"/>
    <mergeCell ref="B1756:B1757"/>
    <mergeCell ref="C1756:C1757"/>
    <mergeCell ref="D1773:D1776"/>
    <mergeCell ref="I1748:I1749"/>
    <mergeCell ref="H1750:H1752"/>
    <mergeCell ref="D1778:D1783"/>
    <mergeCell ref="C1778:C1783"/>
    <mergeCell ref="H1778:H1783"/>
    <mergeCell ref="A1773:A1776"/>
    <mergeCell ref="I1756:I1757"/>
    <mergeCell ref="I1750:I1752"/>
    <mergeCell ref="I1762:I1763"/>
    <mergeCell ref="B1771:B1772"/>
    <mergeCell ref="D1816:D1829"/>
    <mergeCell ref="G1809:G1811"/>
    <mergeCell ref="H1809:H1811"/>
    <mergeCell ref="D1792:D1793"/>
    <mergeCell ref="D1809:D1811"/>
    <mergeCell ref="B1792:B1793"/>
    <mergeCell ref="B1806:B1807"/>
    <mergeCell ref="B1786:B1788"/>
    <mergeCell ref="B1809:B1811"/>
    <mergeCell ref="B1803:B1804"/>
    <mergeCell ref="H1813:H1814"/>
    <mergeCell ref="G1786:G1788"/>
    <mergeCell ref="H1786:H1788"/>
    <mergeCell ref="C1813:C1814"/>
    <mergeCell ref="D1813:D1814"/>
    <mergeCell ref="I1778:I1783"/>
    <mergeCell ref="I1786:I1788"/>
    <mergeCell ref="B1797:B1798"/>
    <mergeCell ref="G1773:G1776"/>
    <mergeCell ref="C1773:C1776"/>
    <mergeCell ref="G1792:G1793"/>
    <mergeCell ref="D1797:D1798"/>
    <mergeCell ref="C1797:C1798"/>
    <mergeCell ref="H1797:H1798"/>
    <mergeCell ref="I1797:I1798"/>
    <mergeCell ref="I1806:I1807"/>
    <mergeCell ref="B1919:B1920"/>
    <mergeCell ref="A1919:A1920"/>
    <mergeCell ref="I1910:I1911"/>
    <mergeCell ref="A1786:A1788"/>
    <mergeCell ref="A1792:A1793"/>
    <mergeCell ref="H1773:H1776"/>
    <mergeCell ref="C1958:C1960"/>
    <mergeCell ref="B1958:B1960"/>
    <mergeCell ref="B1949:B1950"/>
    <mergeCell ref="D1932:D1933"/>
    <mergeCell ref="A1803:A1804"/>
    <mergeCell ref="A1809:A1811"/>
    <mergeCell ref="C1915:C1917"/>
    <mergeCell ref="B1891:B1892"/>
    <mergeCell ref="D1915:D1917"/>
    <mergeCell ref="I1915:I1917"/>
    <mergeCell ref="H1885:H1886"/>
    <mergeCell ref="C1809:C1811"/>
    <mergeCell ref="C1803:C1804"/>
    <mergeCell ref="H1803:H1804"/>
    <mergeCell ref="B1850:B1851"/>
    <mergeCell ref="H1850:H1851"/>
    <mergeCell ref="I1846:I1847"/>
    <mergeCell ref="I1887:I1888"/>
    <mergeCell ref="I1809:I1811"/>
    <mergeCell ref="D1806:D1807"/>
    <mergeCell ref="B1773:B1776"/>
    <mergeCell ref="G1813:G1814"/>
    <mergeCell ref="G1816:G1829"/>
    <mergeCell ref="H1816:H1829"/>
    <mergeCell ref="I1816:I1829"/>
    <mergeCell ref="D1803:D1804"/>
    <mergeCell ref="A1865:A1866"/>
    <mergeCell ref="A1813:A1814"/>
    <mergeCell ref="B1813:B1814"/>
    <mergeCell ref="A1816:A1829"/>
    <mergeCell ref="G1850:G1851"/>
    <mergeCell ref="J1880:J1881"/>
    <mergeCell ref="B1887:B1888"/>
    <mergeCell ref="D1885:D1886"/>
    <mergeCell ref="C1885:C1886"/>
    <mergeCell ref="A1806:A1807"/>
    <mergeCell ref="A1797:A1798"/>
    <mergeCell ref="I1773:I1776"/>
    <mergeCell ref="A1891:A1892"/>
    <mergeCell ref="C1816:C1829"/>
    <mergeCell ref="C1850:C1851"/>
    <mergeCell ref="J1850:J1851"/>
    <mergeCell ref="I1850:I1851"/>
    <mergeCell ref="C1856:C1857"/>
    <mergeCell ref="H1846:H1847"/>
    <mergeCell ref="B1837:B1844"/>
    <mergeCell ref="H1837:H1844"/>
    <mergeCell ref="H1876:H1877"/>
    <mergeCell ref="D1891:D1892"/>
    <mergeCell ref="J1778:J1783"/>
    <mergeCell ref="J1786:J1788"/>
    <mergeCell ref="H1806:H1807"/>
    <mergeCell ref="G1797:G1798"/>
    <mergeCell ref="J1806:J1807"/>
    <mergeCell ref="J1809:J1811"/>
    <mergeCell ref="J1797:J1798"/>
    <mergeCell ref="B1830:B1832"/>
    <mergeCell ref="B1816:B1829"/>
    <mergeCell ref="J1773:J1776"/>
    <mergeCell ref="K1773:K1776"/>
    <mergeCell ref="K1771:K1772"/>
    <mergeCell ref="K1921:K1922"/>
    <mergeCell ref="J1910:J1911"/>
    <mergeCell ref="J1756:J1757"/>
    <mergeCell ref="M1813:M1814"/>
    <mergeCell ref="T1813:T1814"/>
    <mergeCell ref="K1806:K1807"/>
    <mergeCell ref="J1813:J1814"/>
    <mergeCell ref="H2050:H2051"/>
    <mergeCell ref="H1987:H1988"/>
    <mergeCell ref="T1949:T1950"/>
    <mergeCell ref="T2055:T2056"/>
    <mergeCell ref="T2004:T2005"/>
    <mergeCell ref="T2012:T2014"/>
    <mergeCell ref="K2022:K2023"/>
    <mergeCell ref="T2050:T2051"/>
    <mergeCell ref="K2008:K2014"/>
    <mergeCell ref="K1803:K1804"/>
    <mergeCell ref="T1842:T1843"/>
    <mergeCell ref="K1816:K1829"/>
    <mergeCell ref="I1837:I1844"/>
    <mergeCell ref="J1837:J1844"/>
    <mergeCell ref="K1837:K1844"/>
    <mergeCell ref="M1850:M1851"/>
    <mergeCell ref="J1867:J1868"/>
    <mergeCell ref="K1932:K1933"/>
    <mergeCell ref="I1936:I1937"/>
    <mergeCell ref="J1936:J1937"/>
    <mergeCell ref="K1850:K1851"/>
    <mergeCell ref="I1856:I1857"/>
    <mergeCell ref="G1958:G1960"/>
    <mergeCell ref="J1982:J1983"/>
    <mergeCell ref="K1982:K1983"/>
    <mergeCell ref="D1955:D1957"/>
    <mergeCell ref="D1949:D1950"/>
    <mergeCell ref="J1958:J1960"/>
    <mergeCell ref="G1955:G1957"/>
    <mergeCell ref="M2012:M2014"/>
    <mergeCell ref="T1982:T1983"/>
    <mergeCell ref="T1964:T1965"/>
    <mergeCell ref="G1963:G1966"/>
    <mergeCell ref="H1963:H1966"/>
    <mergeCell ref="U2012:U2014"/>
    <mergeCell ref="C2008:C2014"/>
    <mergeCell ref="D2008:D2014"/>
    <mergeCell ref="T1809:T1810"/>
    <mergeCell ref="K1792:K1793"/>
    <mergeCell ref="G1806:G1807"/>
    <mergeCell ref="D1919:D1920"/>
    <mergeCell ref="C1919:C1920"/>
    <mergeCell ref="U1809:U1810"/>
    <mergeCell ref="U1820:U1824"/>
    <mergeCell ref="U1813:U1814"/>
    <mergeCell ref="U1955:U1957"/>
    <mergeCell ref="J1915:J1917"/>
    <mergeCell ref="J1816:J1829"/>
    <mergeCell ref="T1816:T1829"/>
    <mergeCell ref="K1830:K1832"/>
    <mergeCell ref="K1867:K1868"/>
    <mergeCell ref="T1880:T1881"/>
    <mergeCell ref="T1958:T1960"/>
    <mergeCell ref="K1958:K1960"/>
    <mergeCell ref="B2008:B2014"/>
    <mergeCell ref="H2004:H2005"/>
    <mergeCell ref="I2004:I2005"/>
    <mergeCell ref="J2004:J2005"/>
    <mergeCell ref="K2004:K2005"/>
    <mergeCell ref="I1963:I1966"/>
    <mergeCell ref="J1963:J1966"/>
    <mergeCell ref="K1963:K1966"/>
    <mergeCell ref="U2055:U2056"/>
    <mergeCell ref="M1987:M1988"/>
    <mergeCell ref="D2050:D2051"/>
    <mergeCell ref="I2050:I2051"/>
    <mergeCell ref="J2050:J2051"/>
    <mergeCell ref="C1987:C1988"/>
    <mergeCell ref="D1963:D1966"/>
    <mergeCell ref="K2050:K2051"/>
    <mergeCell ref="G2055:G2056"/>
    <mergeCell ref="D2055:D2056"/>
    <mergeCell ref="I2055:I2056"/>
    <mergeCell ref="T1987:T1988"/>
    <mergeCell ref="H1982:H1983"/>
    <mergeCell ref="I1982:I1983"/>
    <mergeCell ref="U1964:U1965"/>
    <mergeCell ref="U1982:U1983"/>
    <mergeCell ref="U2050:U2051"/>
    <mergeCell ref="G2050:G2051"/>
    <mergeCell ref="H2008:H2014"/>
    <mergeCell ref="I2008:I2014"/>
    <mergeCell ref="U1987:U1988"/>
    <mergeCell ref="G2004:G2005"/>
    <mergeCell ref="K2055:K2056"/>
    <mergeCell ref="C1932:C1933"/>
    <mergeCell ref="B1932:B1933"/>
    <mergeCell ref="D1936:D1937"/>
    <mergeCell ref="C1963:C1966"/>
    <mergeCell ref="B1963:B1966"/>
    <mergeCell ref="K2057:K2060"/>
    <mergeCell ref="A2022:A2023"/>
    <mergeCell ref="K1949:K1950"/>
    <mergeCell ref="C2050:C2051"/>
    <mergeCell ref="A1958:A1960"/>
    <mergeCell ref="G1932:G1933"/>
    <mergeCell ref="J2008:J2014"/>
    <mergeCell ref="C2022:C2023"/>
    <mergeCell ref="B2022:B2023"/>
    <mergeCell ref="H2022:H2023"/>
    <mergeCell ref="I2022:I2023"/>
    <mergeCell ref="D2057:D2060"/>
    <mergeCell ref="C2057:C2060"/>
    <mergeCell ref="B2057:B2060"/>
    <mergeCell ref="G1949:G1950"/>
    <mergeCell ref="D1987:D1988"/>
    <mergeCell ref="B2055:B2056"/>
    <mergeCell ref="I1949:I1950"/>
    <mergeCell ref="K1955:K1957"/>
    <mergeCell ref="B1951:B1952"/>
    <mergeCell ref="H1958:H1960"/>
    <mergeCell ref="C1949:C1950"/>
    <mergeCell ref="C1955:C1957"/>
    <mergeCell ref="G2057:G2060"/>
    <mergeCell ref="I1987:I1988"/>
    <mergeCell ref="K1987:K1988"/>
    <mergeCell ref="B2004:B2005"/>
    <mergeCell ref="J2170:J2171"/>
    <mergeCell ref="C2176:C2177"/>
    <mergeCell ref="A2055:A2056"/>
    <mergeCell ref="H2055:H2056"/>
    <mergeCell ref="C2055:C2056"/>
    <mergeCell ref="A2050:A2051"/>
    <mergeCell ref="G2022:G2023"/>
    <mergeCell ref="D2022:D2023"/>
    <mergeCell ref="D2069:D2072"/>
    <mergeCell ref="H1955:H1957"/>
    <mergeCell ref="I1955:I1957"/>
    <mergeCell ref="H1932:H1933"/>
    <mergeCell ref="A1949:A1950"/>
    <mergeCell ref="H1949:H1950"/>
    <mergeCell ref="H1951:H1952"/>
    <mergeCell ref="A1932:A1933"/>
    <mergeCell ref="A2008:A2014"/>
    <mergeCell ref="D2004:D2005"/>
    <mergeCell ref="C2004:C2005"/>
    <mergeCell ref="D1982:D1983"/>
    <mergeCell ref="D1958:D1960"/>
    <mergeCell ref="B1955:B1957"/>
    <mergeCell ref="A1955:A1957"/>
    <mergeCell ref="A1936:A1937"/>
    <mergeCell ref="B1936:B1937"/>
    <mergeCell ref="C1936:C1937"/>
    <mergeCell ref="B1987:B1988"/>
    <mergeCell ref="A1987:A1988"/>
    <mergeCell ref="G1987:G1988"/>
    <mergeCell ref="A2004:A2005"/>
    <mergeCell ref="C1982:C1983"/>
    <mergeCell ref="B1982:B1983"/>
    <mergeCell ref="M2239:M2240"/>
    <mergeCell ref="T2239:T2240"/>
    <mergeCell ref="I2245:I2247"/>
    <mergeCell ref="I2166:I2167"/>
    <mergeCell ref="G2170:G2171"/>
    <mergeCell ref="C2170:C2171"/>
    <mergeCell ref="B2170:B2171"/>
    <mergeCell ref="T2176:T2177"/>
    <mergeCell ref="K2144:K2145"/>
    <mergeCell ref="A1921:A1922"/>
    <mergeCell ref="A2170:A2171"/>
    <mergeCell ref="A2166:A2167"/>
    <mergeCell ref="A2204:A2205"/>
    <mergeCell ref="J1949:J1950"/>
    <mergeCell ref="J2055:J2056"/>
    <mergeCell ref="A1951:A1952"/>
    <mergeCell ref="A1963:A1966"/>
    <mergeCell ref="A1982:A1983"/>
    <mergeCell ref="H2057:H2060"/>
    <mergeCell ref="G2008:G2014"/>
    <mergeCell ref="G1982:G1983"/>
    <mergeCell ref="J2022:J2023"/>
    <mergeCell ref="J1955:J1957"/>
    <mergeCell ref="J1987:J1988"/>
    <mergeCell ref="B2050:B2051"/>
    <mergeCell ref="K2170:K2171"/>
    <mergeCell ref="A2176:A2177"/>
    <mergeCell ref="H2176:H2177"/>
    <mergeCell ref="I2176:I2177"/>
    <mergeCell ref="J2176:J2177"/>
    <mergeCell ref="K2176:K2177"/>
    <mergeCell ref="D2170:D2171"/>
    <mergeCell ref="T2285:T2286"/>
    <mergeCell ref="T2274:T2276"/>
    <mergeCell ref="T2235:T2238"/>
    <mergeCell ref="T2246:T2247"/>
    <mergeCell ref="T2216:T2218"/>
    <mergeCell ref="I2274:I2276"/>
    <mergeCell ref="J2274:J2276"/>
    <mergeCell ref="K2274:K2276"/>
    <mergeCell ref="D2285:D2286"/>
    <mergeCell ref="C2285:C2286"/>
    <mergeCell ref="B2285:B2286"/>
    <mergeCell ref="G2245:G2247"/>
    <mergeCell ref="K2245:K2247"/>
    <mergeCell ref="D2245:D2247"/>
    <mergeCell ref="D2239:D2240"/>
    <mergeCell ref="C2239:C2240"/>
    <mergeCell ref="C2216:C2220"/>
    <mergeCell ref="D2262:D2266"/>
    <mergeCell ref="C2262:C2266"/>
    <mergeCell ref="I2270:I2271"/>
    <mergeCell ref="M2262:M2266"/>
    <mergeCell ref="M2235:M2238"/>
    <mergeCell ref="M2246:M2247"/>
    <mergeCell ref="J2239:J2240"/>
    <mergeCell ref="K2239:K2240"/>
    <mergeCell ref="K2224:K2226"/>
    <mergeCell ref="K2216:K2220"/>
    <mergeCell ref="H2274:H2276"/>
    <mergeCell ref="D2259:D2260"/>
    <mergeCell ref="C2259:C2260"/>
    <mergeCell ref="K2221:K2222"/>
    <mergeCell ref="G2216:G2220"/>
    <mergeCell ref="U2246:U2247"/>
    <mergeCell ref="H2100:H2101"/>
    <mergeCell ref="B2137:B2138"/>
    <mergeCell ref="M2086:M2087"/>
    <mergeCell ref="T2100:T2101"/>
    <mergeCell ref="M2100:M2101"/>
    <mergeCell ref="K2259:K2260"/>
    <mergeCell ref="B2262:B2266"/>
    <mergeCell ref="G2239:G2240"/>
    <mergeCell ref="H2239:H2240"/>
    <mergeCell ref="B2144:B2145"/>
    <mergeCell ref="B2235:B2238"/>
    <mergeCell ref="I2239:I2240"/>
    <mergeCell ref="U2239:U2240"/>
    <mergeCell ref="B2149:B2152"/>
    <mergeCell ref="U2144:U2145"/>
    <mergeCell ref="U2149:U2152"/>
    <mergeCell ref="D2166:D2167"/>
    <mergeCell ref="C2166:C2167"/>
    <mergeCell ref="U2216:U2218"/>
    <mergeCell ref="C2221:C2222"/>
    <mergeCell ref="D2204:D2205"/>
    <mergeCell ref="C2204:C2205"/>
    <mergeCell ref="B2204:B2205"/>
    <mergeCell ref="G2204:G2205"/>
    <mergeCell ref="H2204:H2205"/>
    <mergeCell ref="D2235:D2238"/>
    <mergeCell ref="B2166:B2167"/>
    <mergeCell ref="T2170:T2171"/>
    <mergeCell ref="U2176:U2177"/>
    <mergeCell ref="U2204:U2205"/>
    <mergeCell ref="H2221:H2222"/>
    <mergeCell ref="U2274:U2276"/>
    <mergeCell ref="B2245:B2247"/>
    <mergeCell ref="H2245:H2247"/>
    <mergeCell ref="C2274:C2276"/>
    <mergeCell ref="H2262:H2266"/>
    <mergeCell ref="G2262:G2266"/>
    <mergeCell ref="H2270:H2271"/>
    <mergeCell ref="G2274:G2276"/>
    <mergeCell ref="U2076:U2077"/>
    <mergeCell ref="T2091:T2092"/>
    <mergeCell ref="D2076:D2077"/>
    <mergeCell ref="C2076:C2077"/>
    <mergeCell ref="B2076:B2077"/>
    <mergeCell ref="U2113:U2114"/>
    <mergeCell ref="T2113:T2114"/>
    <mergeCell ref="U2141:U2142"/>
    <mergeCell ref="U2170:U2171"/>
    <mergeCell ref="K2166:K2167"/>
    <mergeCell ref="G2166:G2167"/>
    <mergeCell ref="H2166:H2167"/>
    <mergeCell ref="T2144:T2145"/>
    <mergeCell ref="M2149:M2152"/>
    <mergeCell ref="D2149:D2152"/>
    <mergeCell ref="C2149:C2152"/>
    <mergeCell ref="K2137:K2138"/>
    <mergeCell ref="J2166:J2167"/>
    <mergeCell ref="D2137:D2138"/>
    <mergeCell ref="T2086:T2087"/>
    <mergeCell ref="U2262:U2266"/>
    <mergeCell ref="C2235:C2238"/>
    <mergeCell ref="G2235:G2238"/>
    <mergeCell ref="H2235:H2238"/>
    <mergeCell ref="A2221:A2222"/>
    <mergeCell ref="A2224:A2226"/>
    <mergeCell ref="G2224:G2226"/>
    <mergeCell ref="H2259:H2260"/>
    <mergeCell ref="C2287:C2288"/>
    <mergeCell ref="B2287:B2288"/>
    <mergeCell ref="A2287:A2288"/>
    <mergeCell ref="A2259:A2260"/>
    <mergeCell ref="C2293:C2294"/>
    <mergeCell ref="A2235:A2238"/>
    <mergeCell ref="A2239:A2240"/>
    <mergeCell ref="A2245:A2247"/>
    <mergeCell ref="U2287:U2288"/>
    <mergeCell ref="I2285:I2286"/>
    <mergeCell ref="J2285:J2286"/>
    <mergeCell ref="I2235:I2238"/>
    <mergeCell ref="J2235:J2238"/>
    <mergeCell ref="K2235:K2238"/>
    <mergeCell ref="D2270:D2271"/>
    <mergeCell ref="C2270:C2271"/>
    <mergeCell ref="B2270:B2271"/>
    <mergeCell ref="K2262:K2266"/>
    <mergeCell ref="J2262:J2266"/>
    <mergeCell ref="I2262:I2266"/>
    <mergeCell ref="J2270:J2271"/>
    <mergeCell ref="B2239:B2240"/>
    <mergeCell ref="G2285:G2286"/>
    <mergeCell ref="T2262:T2266"/>
    <mergeCell ref="U2235:U2238"/>
    <mergeCell ref="I2259:I2260"/>
    <mergeCell ref="J2259:J2260"/>
    <mergeCell ref="T2287:T2288"/>
    <mergeCell ref="C2245:C2247"/>
    <mergeCell ref="J2245:J2247"/>
    <mergeCell ref="I2224:I2226"/>
    <mergeCell ref="J2224:J2226"/>
    <mergeCell ref="J2221:J2222"/>
    <mergeCell ref="G2221:G2222"/>
    <mergeCell ref="D2221:D2222"/>
    <mergeCell ref="J2216:J2220"/>
    <mergeCell ref="D2216:D2220"/>
    <mergeCell ref="B2216:B2220"/>
    <mergeCell ref="B2259:B2260"/>
    <mergeCell ref="I2204:I2205"/>
    <mergeCell ref="B2221:B2222"/>
    <mergeCell ref="K2356:K2357"/>
    <mergeCell ref="C2356:C2357"/>
    <mergeCell ref="A2404:A2406"/>
    <mergeCell ref="H2404:H2406"/>
    <mergeCell ref="I2404:I2406"/>
    <mergeCell ref="K2367:K2369"/>
    <mergeCell ref="G2259:G2260"/>
    <mergeCell ref="A2262:A2266"/>
    <mergeCell ref="A2270:A2271"/>
    <mergeCell ref="G2270:G2271"/>
    <mergeCell ref="K2270:K2271"/>
    <mergeCell ref="B2356:B2357"/>
    <mergeCell ref="A2356:A2357"/>
    <mergeCell ref="G2356:G2357"/>
    <mergeCell ref="H2356:H2357"/>
    <mergeCell ref="D2362:D2363"/>
    <mergeCell ref="C2362:C2363"/>
    <mergeCell ref="B2370:B2371"/>
    <mergeCell ref="C2367:C2369"/>
    <mergeCell ref="T2367:T2369"/>
    <mergeCell ref="H2287:H2288"/>
    <mergeCell ref="B2323:B2342"/>
    <mergeCell ref="B2319:B2322"/>
    <mergeCell ref="U2445:U2446"/>
    <mergeCell ref="K2445:K2446"/>
    <mergeCell ref="D2414:D2416"/>
    <mergeCell ref="J2527:J2529"/>
    <mergeCell ref="K2472:K2473"/>
    <mergeCell ref="M2474:M2476"/>
    <mergeCell ref="H2532:H2533"/>
    <mergeCell ref="I2532:I2533"/>
    <mergeCell ref="J2532:J2533"/>
    <mergeCell ref="T2469:T2470"/>
    <mergeCell ref="U2469:U2470"/>
    <mergeCell ref="B2474:B2476"/>
    <mergeCell ref="T2532:T2533"/>
    <mergeCell ref="T2474:T2476"/>
    <mergeCell ref="T2472:T2473"/>
    <mergeCell ref="I2474:I2476"/>
    <mergeCell ref="J2474:J2476"/>
    <mergeCell ref="K2474:K2476"/>
    <mergeCell ref="I2472:I2473"/>
    <mergeCell ref="J2287:J2288"/>
    <mergeCell ref="D2293:D2294"/>
    <mergeCell ref="D2287:D2288"/>
    <mergeCell ref="M2287:M2288"/>
    <mergeCell ref="D2385:D2386"/>
    <mergeCell ref="C2385:C2386"/>
    <mergeCell ref="M2527:M2529"/>
    <mergeCell ref="U2527:U2529"/>
    <mergeCell ref="U2474:U2476"/>
    <mergeCell ref="K2285:K2286"/>
    <mergeCell ref="G2370:G2371"/>
    <mergeCell ref="H2370:H2371"/>
    <mergeCell ref="I2370:I2371"/>
    <mergeCell ref="K2359:K2360"/>
    <mergeCell ref="H2367:H2369"/>
    <mergeCell ref="I2367:I2369"/>
    <mergeCell ref="J2367:J2369"/>
    <mergeCell ref="J2293:J2294"/>
    <mergeCell ref="K2362:K2363"/>
    <mergeCell ref="G2315:G2316"/>
    <mergeCell ref="D2315:D2316"/>
    <mergeCell ref="C2315:C2316"/>
    <mergeCell ref="H2315:H2316"/>
    <mergeCell ref="J2319:J2322"/>
    <mergeCell ref="D2323:D2342"/>
    <mergeCell ref="C2323:C2342"/>
    <mergeCell ref="D2359:D2360"/>
    <mergeCell ref="J2356:J2357"/>
    <mergeCell ref="J2362:J2363"/>
    <mergeCell ref="I2356:I2357"/>
    <mergeCell ref="D2370:D2371"/>
    <mergeCell ref="C2370:C2371"/>
    <mergeCell ref="K2323:K2342"/>
    <mergeCell ref="D2367:D2369"/>
    <mergeCell ref="K2293:K2294"/>
    <mergeCell ref="K2287:K2288"/>
    <mergeCell ref="G2287:G2288"/>
    <mergeCell ref="I2287:I2288"/>
    <mergeCell ref="A2370:A2371"/>
    <mergeCell ref="I2323:I2342"/>
    <mergeCell ref="J2323:J2342"/>
    <mergeCell ref="A2323:A2342"/>
    <mergeCell ref="A2359:A2360"/>
    <mergeCell ref="K2319:K2322"/>
    <mergeCell ref="H2474:H2476"/>
    <mergeCell ref="U2679:U2680"/>
    <mergeCell ref="D2549:D2552"/>
    <mergeCell ref="H2509:H2510"/>
    <mergeCell ref="I2509:I2510"/>
    <mergeCell ref="J2509:J2510"/>
    <mergeCell ref="K2509:K2510"/>
    <mergeCell ref="U2505:U2506"/>
    <mergeCell ref="D2472:D2473"/>
    <mergeCell ref="K2568:K2569"/>
    <mergeCell ref="J2472:J2473"/>
    <mergeCell ref="G2527:G2529"/>
    <mergeCell ref="T2527:T2529"/>
    <mergeCell ref="K2527:K2529"/>
    <mergeCell ref="T2505:T2506"/>
    <mergeCell ref="U2532:U2533"/>
    <mergeCell ref="K2580:K2583"/>
    <mergeCell ref="M2532:M2533"/>
    <mergeCell ref="D2568:D2569"/>
    <mergeCell ref="I2539:I2540"/>
    <mergeCell ref="J2539:J2540"/>
    <mergeCell ref="H2677:H2678"/>
    <mergeCell ref="I2677:I2678"/>
    <mergeCell ref="J2677:J2678"/>
    <mergeCell ref="K2539:K2540"/>
    <mergeCell ref="D2547:D2548"/>
    <mergeCell ref="G2547:G2548"/>
    <mergeCell ref="D2509:D2510"/>
    <mergeCell ref="G2671:G2672"/>
    <mergeCell ref="J2671:J2672"/>
    <mergeCell ref="H2671:H2672"/>
    <mergeCell ref="I2671:I2672"/>
    <mergeCell ref="D2433:D2434"/>
    <mergeCell ref="C2433:C2434"/>
    <mergeCell ref="B2433:B2434"/>
    <mergeCell ref="B2472:B2473"/>
    <mergeCell ref="T2509:T2510"/>
    <mergeCell ref="C2505:C2506"/>
    <mergeCell ref="D2505:D2506"/>
    <mergeCell ref="G2505:G2506"/>
    <mergeCell ref="K2505:K2506"/>
    <mergeCell ref="M2505:M2506"/>
    <mergeCell ref="D2591:D2592"/>
    <mergeCell ref="C2591:C2592"/>
    <mergeCell ref="B2591:B2592"/>
    <mergeCell ref="K2469:K2470"/>
    <mergeCell ref="I2433:I2434"/>
    <mergeCell ref="T2589:T2590"/>
    <mergeCell ref="G2591:G2592"/>
    <mergeCell ref="I2505:I2506"/>
    <mergeCell ref="J2505:J2506"/>
    <mergeCell ref="H2534:H2537"/>
    <mergeCell ref="I2534:I2537"/>
    <mergeCell ref="J2534:J2537"/>
    <mergeCell ref="K2534:K2537"/>
    <mergeCell ref="G2532:G2533"/>
    <mergeCell ref="H2505:H2506"/>
    <mergeCell ref="B2527:B2529"/>
    <mergeCell ref="K2532:K2533"/>
    <mergeCell ref="D2534:D2537"/>
    <mergeCell ref="G2472:G2473"/>
    <mergeCell ref="H2472:H2473"/>
    <mergeCell ref="G2474:G2476"/>
    <mergeCell ref="A2472:A2473"/>
    <mergeCell ref="C2532:C2533"/>
    <mergeCell ref="B2532:B2533"/>
    <mergeCell ref="A2532:A2533"/>
    <mergeCell ref="D2527:D2529"/>
    <mergeCell ref="C2527:C2529"/>
    <mergeCell ref="U2433:U2434"/>
    <mergeCell ref="T2445:T2446"/>
    <mergeCell ref="A2474:A2476"/>
    <mergeCell ref="M2649:M2651"/>
    <mergeCell ref="T2649:T2651"/>
    <mergeCell ref="C2549:C2552"/>
    <mergeCell ref="B2549:B2552"/>
    <mergeCell ref="A2549:A2552"/>
    <mergeCell ref="H2549:H2552"/>
    <mergeCell ref="G2539:G2540"/>
    <mergeCell ref="H2539:H2540"/>
    <mergeCell ref="D2532:D2533"/>
    <mergeCell ref="U2509:U2510"/>
    <mergeCell ref="U2589:U2590"/>
    <mergeCell ref="M2578:M2579"/>
    <mergeCell ref="H2568:H2569"/>
    <mergeCell ref="I2568:I2569"/>
    <mergeCell ref="J2568:J2569"/>
    <mergeCell ref="U2549:U2552"/>
    <mergeCell ref="U2557:U2558"/>
    <mergeCell ref="U2578:U2579"/>
    <mergeCell ref="K2591:K2592"/>
    <mergeCell ref="H2591:H2592"/>
    <mergeCell ref="I2591:I2592"/>
    <mergeCell ref="G2534:G2537"/>
    <mergeCell ref="AA2679:AA2680"/>
    <mergeCell ref="D2686:D2687"/>
    <mergeCell ref="C2686:C2687"/>
    <mergeCell ref="B2686:B2687"/>
    <mergeCell ref="A2686:A2687"/>
    <mergeCell ref="G2686:G2687"/>
    <mergeCell ref="H2686:H2687"/>
    <mergeCell ref="I2686:I2687"/>
    <mergeCell ref="J2686:J2687"/>
    <mergeCell ref="K2686:K2687"/>
    <mergeCell ref="K2677:K2678"/>
    <mergeCell ref="D2679:D2680"/>
    <mergeCell ref="C2679:C2680"/>
    <mergeCell ref="B2679:B2680"/>
    <mergeCell ref="A2679:A2680"/>
    <mergeCell ref="G2679:G2680"/>
    <mergeCell ref="J2679:J2680"/>
    <mergeCell ref="K2679:K2680"/>
    <mergeCell ref="H2679:H2680"/>
    <mergeCell ref="I2679:I2680"/>
    <mergeCell ref="D2677:D2678"/>
    <mergeCell ref="C2677:C2678"/>
    <mergeCell ref="T2677:T2678"/>
    <mergeCell ref="AA2649:AA2651"/>
    <mergeCell ref="H2547:H2548"/>
    <mergeCell ref="I2547:I2548"/>
    <mergeCell ref="J2547:J2548"/>
    <mergeCell ref="K2547:K2548"/>
    <mergeCell ref="D2580:D2583"/>
    <mergeCell ref="A2568:A2569"/>
    <mergeCell ref="A2527:A2529"/>
    <mergeCell ref="C2568:C2569"/>
    <mergeCell ref="AA2712:AA2713"/>
    <mergeCell ref="T2708:T2710"/>
    <mergeCell ref="T2679:T2680"/>
    <mergeCell ref="M2115:M2116"/>
    <mergeCell ref="M1958:M1960"/>
    <mergeCell ref="M2050:M2051"/>
    <mergeCell ref="M2170:M2171"/>
    <mergeCell ref="M2176:M2177"/>
    <mergeCell ref="T2625:T2628"/>
    <mergeCell ref="U2625:U2628"/>
    <mergeCell ref="U2677:U2678"/>
    <mergeCell ref="T2686:T2687"/>
    <mergeCell ref="D2704:D2710"/>
    <mergeCell ref="C2704:C2710"/>
    <mergeCell ref="D2589:D2590"/>
    <mergeCell ref="C2589:C2590"/>
    <mergeCell ref="U2411:U2413"/>
    <mergeCell ref="T2535:T2537"/>
    <mergeCell ref="H2445:H2446"/>
    <mergeCell ref="I2445:I2446"/>
    <mergeCell ref="I2469:I2470"/>
    <mergeCell ref="J2469:J2470"/>
    <mergeCell ref="T2423:T2426"/>
    <mergeCell ref="T2362:T2363"/>
    <mergeCell ref="T2359:T2360"/>
    <mergeCell ref="I2319:I2322"/>
    <mergeCell ref="H2323:H2342"/>
    <mergeCell ref="AA2677:AA2678"/>
    <mergeCell ref="H2527:H2529"/>
    <mergeCell ref="I2527:I2529"/>
    <mergeCell ref="C2787:C2788"/>
    <mergeCell ref="B2787:B2788"/>
    <mergeCell ref="A2787:A2788"/>
    <mergeCell ref="G2787:G2788"/>
    <mergeCell ref="H2787:H2788"/>
    <mergeCell ref="I2787:I2788"/>
    <mergeCell ref="J2787:J2788"/>
    <mergeCell ref="K2787:K2788"/>
    <mergeCell ref="AA2733:AA2735"/>
    <mergeCell ref="D2730:D2731"/>
    <mergeCell ref="C2730:C2731"/>
    <mergeCell ref="B2730:B2731"/>
    <mergeCell ref="A2730:A2731"/>
    <mergeCell ref="G2730:G2731"/>
    <mergeCell ref="H2730:H2731"/>
    <mergeCell ref="I2730:I2731"/>
    <mergeCell ref="J2730:J2731"/>
    <mergeCell ref="K2730:K2731"/>
    <mergeCell ref="D2733:D2735"/>
    <mergeCell ref="C2733:C2735"/>
    <mergeCell ref="B2733:B2735"/>
    <mergeCell ref="A2733:A2735"/>
    <mergeCell ref="G2733:G2735"/>
    <mergeCell ref="H2733:H2735"/>
    <mergeCell ref="I2733:I2735"/>
    <mergeCell ref="J2733:J2735"/>
    <mergeCell ref="K2733:K2735"/>
    <mergeCell ref="T2730:T2731"/>
    <mergeCell ref="U2730:U2731"/>
    <mergeCell ref="T2733:T2735"/>
    <mergeCell ref="AA2882:AA2883"/>
    <mergeCell ref="M2850:M2852"/>
    <mergeCell ref="T2850:T2852"/>
    <mergeCell ref="D2914:D2918"/>
    <mergeCell ref="C2914:C2918"/>
    <mergeCell ref="B2914:B2918"/>
    <mergeCell ref="A2914:A2918"/>
    <mergeCell ref="G2914:G2918"/>
    <mergeCell ref="H2914:H2918"/>
    <mergeCell ref="I2914:I2918"/>
    <mergeCell ref="J2914:J2918"/>
    <mergeCell ref="K2914:K2918"/>
    <mergeCell ref="G2871:G2873"/>
    <mergeCell ref="D2871:D2873"/>
    <mergeCell ref="C2871:C2873"/>
    <mergeCell ref="B2871:B2873"/>
    <mergeCell ref="A2871:A2873"/>
    <mergeCell ref="H2871:H2873"/>
    <mergeCell ref="AA2853:AA2855"/>
    <mergeCell ref="D2850:D2852"/>
    <mergeCell ref="C2850:C2852"/>
    <mergeCell ref="I2871:I2873"/>
    <mergeCell ref="J2871:J2873"/>
    <mergeCell ref="G2882:G2883"/>
    <mergeCell ref="H2882:H2883"/>
    <mergeCell ref="I2882:I2883"/>
    <mergeCell ref="J2882:J2883"/>
    <mergeCell ref="K2882:K2883"/>
    <mergeCell ref="C2882:C2883"/>
    <mergeCell ref="B2882:B2883"/>
    <mergeCell ref="A2882:A2883"/>
    <mergeCell ref="K2871:K2873"/>
    <mergeCell ref="AA2974:AA2980"/>
    <mergeCell ref="T2969:T2970"/>
    <mergeCell ref="T2976:T2977"/>
    <mergeCell ref="U2976:U2977"/>
    <mergeCell ref="AA2919:AA2921"/>
    <mergeCell ref="M2817:M2818"/>
    <mergeCell ref="T2817:T2818"/>
    <mergeCell ref="T2924:T2928"/>
    <mergeCell ref="U2822:U2824"/>
    <mergeCell ref="T2825:T2826"/>
    <mergeCell ref="U2825:U2826"/>
    <mergeCell ref="U2850:U2852"/>
    <mergeCell ref="U2871:U2873"/>
    <mergeCell ref="T2882:T2883"/>
    <mergeCell ref="U2882:U2883"/>
    <mergeCell ref="T2822:T2824"/>
    <mergeCell ref="M2871:M2873"/>
    <mergeCell ref="T2871:T2873"/>
    <mergeCell ref="U2938:U2939"/>
    <mergeCell ref="U2927:U2928"/>
    <mergeCell ref="T2914:T2916"/>
    <mergeCell ref="U2817:U2818"/>
    <mergeCell ref="M2924:M2926"/>
    <mergeCell ref="AA2944:AA2946"/>
    <mergeCell ref="AA2841:AA2844"/>
    <mergeCell ref="AA2938:AA2943"/>
    <mergeCell ref="T2920:T2921"/>
    <mergeCell ref="U2924:U2926"/>
    <mergeCell ref="T2938:T2939"/>
    <mergeCell ref="T2940:T2943"/>
    <mergeCell ref="M2927:M2928"/>
    <mergeCell ref="T2948:T2949"/>
    <mergeCell ref="D2919:D2921"/>
    <mergeCell ref="C2919:C2921"/>
    <mergeCell ref="B2919:B2921"/>
    <mergeCell ref="A2919:A2921"/>
    <mergeCell ref="G2919:G2921"/>
    <mergeCell ref="H2919:H2921"/>
    <mergeCell ref="I2919:I2921"/>
    <mergeCell ref="J2919:J2921"/>
    <mergeCell ref="K2919:K2921"/>
    <mergeCell ref="I2973:I2980"/>
    <mergeCell ref="J2973:J2980"/>
    <mergeCell ref="K2973:K2980"/>
    <mergeCell ref="D2944:D2946"/>
    <mergeCell ref="D2938:D2943"/>
    <mergeCell ref="C2938:C2943"/>
    <mergeCell ref="B2938:B2943"/>
    <mergeCell ref="I2969:I2970"/>
    <mergeCell ref="A2973:A2980"/>
    <mergeCell ref="B2973:B2980"/>
    <mergeCell ref="C2973:C2980"/>
    <mergeCell ref="D2973:D2980"/>
    <mergeCell ref="G2973:G2980"/>
    <mergeCell ref="H2973:H2980"/>
    <mergeCell ref="G2986:G2987"/>
    <mergeCell ref="D2986:D2987"/>
    <mergeCell ref="C2986:C2987"/>
    <mergeCell ref="B2986:B2987"/>
    <mergeCell ref="A2986:A2987"/>
    <mergeCell ref="H2986:H2987"/>
    <mergeCell ref="I2986:I2987"/>
    <mergeCell ref="J2986:J2987"/>
    <mergeCell ref="K2986:K2987"/>
    <mergeCell ref="D2993:D2994"/>
    <mergeCell ref="K3009:K3010"/>
    <mergeCell ref="D3026:D3033"/>
    <mergeCell ref="C3026:C3033"/>
    <mergeCell ref="B3026:B3033"/>
    <mergeCell ref="A3026:A3033"/>
    <mergeCell ref="G3026:G3033"/>
    <mergeCell ref="H3026:H3033"/>
    <mergeCell ref="J3026:J3033"/>
    <mergeCell ref="K3026:K3033"/>
    <mergeCell ref="I3026:I3033"/>
    <mergeCell ref="C3009:C3010"/>
    <mergeCell ref="B3009:B3010"/>
    <mergeCell ref="A3009:A3010"/>
    <mergeCell ref="G3009:G3010"/>
    <mergeCell ref="G3124:G3125"/>
    <mergeCell ref="H3124:H3125"/>
    <mergeCell ref="I3124:I3125"/>
    <mergeCell ref="J3124:J3125"/>
    <mergeCell ref="K3124:K3125"/>
    <mergeCell ref="D3069:D3071"/>
    <mergeCell ref="C3069:C3071"/>
    <mergeCell ref="B3069:B3071"/>
    <mergeCell ref="A3069:A3071"/>
    <mergeCell ref="G3069:G3071"/>
    <mergeCell ref="H3069:H3071"/>
    <mergeCell ref="I3069:I3071"/>
    <mergeCell ref="J3069:J3071"/>
    <mergeCell ref="K3069:K3071"/>
    <mergeCell ref="A3047:A3048"/>
    <mergeCell ref="G3047:G3048"/>
    <mergeCell ref="H3047:H3048"/>
    <mergeCell ref="I3047:I3048"/>
    <mergeCell ref="J3047:J3048"/>
    <mergeCell ref="K3047:K3048"/>
    <mergeCell ref="D3052:D3053"/>
    <mergeCell ref="B3102:B3103"/>
    <mergeCell ref="A3102:A3103"/>
    <mergeCell ref="G3102:G3103"/>
    <mergeCell ref="H3102:H3103"/>
    <mergeCell ref="I3102:I3103"/>
    <mergeCell ref="J3102:J3103"/>
    <mergeCell ref="U3047:U3048"/>
    <mergeCell ref="D3089:D3090"/>
    <mergeCell ref="C3089:C3090"/>
    <mergeCell ref="B3089:B3090"/>
    <mergeCell ref="A3089:A3090"/>
    <mergeCell ref="G3089:G3090"/>
    <mergeCell ref="H3089:H3090"/>
    <mergeCell ref="I3089:I3090"/>
    <mergeCell ref="J3089:J3090"/>
    <mergeCell ref="K3089:K3090"/>
    <mergeCell ref="D3083:D3084"/>
    <mergeCell ref="C3083:C3084"/>
    <mergeCell ref="B3083:B3084"/>
    <mergeCell ref="A3083:A3084"/>
    <mergeCell ref="G3083:G3084"/>
    <mergeCell ref="H3083:H3084"/>
    <mergeCell ref="I3083:I3084"/>
    <mergeCell ref="J3083:J3084"/>
    <mergeCell ref="K3083:K3084"/>
    <mergeCell ref="M3052:M3053"/>
    <mergeCell ref="T3083:T3084"/>
    <mergeCell ref="U3052:U3053"/>
    <mergeCell ref="J3066:J3068"/>
    <mergeCell ref="K3066:K3068"/>
    <mergeCell ref="H3052:H3053"/>
    <mergeCell ref="I3052:I3053"/>
    <mergeCell ref="AA3066:AA3068"/>
    <mergeCell ref="AA3052:AA3053"/>
    <mergeCell ref="U3083:U3084"/>
    <mergeCell ref="D3127:D3128"/>
    <mergeCell ref="C3127:C3128"/>
    <mergeCell ref="B3127:B3128"/>
    <mergeCell ref="A3127:A3128"/>
    <mergeCell ref="G3127:G3128"/>
    <mergeCell ref="H3127:H3128"/>
    <mergeCell ref="I3127:I3128"/>
    <mergeCell ref="J3127:J3128"/>
    <mergeCell ref="K3127:K3128"/>
    <mergeCell ref="AA3127:AA3128"/>
    <mergeCell ref="D3129:D3130"/>
    <mergeCell ref="C3129:C3130"/>
    <mergeCell ref="B3129:B3130"/>
    <mergeCell ref="A3129:A3130"/>
    <mergeCell ref="G3129:G3130"/>
    <mergeCell ref="H3129:H3130"/>
    <mergeCell ref="I3129:I3130"/>
    <mergeCell ref="J3129:J3130"/>
    <mergeCell ref="K3129:K3130"/>
    <mergeCell ref="T3066:T3068"/>
    <mergeCell ref="T3069:T3071"/>
    <mergeCell ref="M3066:M3068"/>
    <mergeCell ref="D3102:D3103"/>
    <mergeCell ref="C3102:C3103"/>
    <mergeCell ref="AA3124:AA3125"/>
    <mergeCell ref="D3124:D3125"/>
    <mergeCell ref="C3124:C3125"/>
    <mergeCell ref="B3124:B3125"/>
    <mergeCell ref="A3124:A3125"/>
    <mergeCell ref="T3135:T3136"/>
    <mergeCell ref="D3134:D3136"/>
    <mergeCell ref="C3134:C3136"/>
    <mergeCell ref="B3134:B3136"/>
    <mergeCell ref="A3134:A3136"/>
    <mergeCell ref="G3134:G3136"/>
    <mergeCell ref="H3134:H3136"/>
    <mergeCell ref="I3134:I3136"/>
    <mergeCell ref="J3134:J3136"/>
    <mergeCell ref="K3134:K3136"/>
    <mergeCell ref="D3141:D3144"/>
    <mergeCell ref="C3141:C3144"/>
    <mergeCell ref="B3141:B3144"/>
    <mergeCell ref="A3141:A3144"/>
    <mergeCell ref="G3141:G3144"/>
    <mergeCell ref="H3141:H3144"/>
    <mergeCell ref="I3141:I3144"/>
    <mergeCell ref="J3141:J3144"/>
    <mergeCell ref="K3141:K3144"/>
    <mergeCell ref="T3141:T3144"/>
    <mergeCell ref="A3260:A3261"/>
    <mergeCell ref="G3260:G3261"/>
    <mergeCell ref="H3260:H3261"/>
    <mergeCell ref="I3260:I3261"/>
    <mergeCell ref="J3260:J3261"/>
    <mergeCell ref="K3260:K3261"/>
    <mergeCell ref="T3260:T3261"/>
    <mergeCell ref="D3274:D3275"/>
    <mergeCell ref="C3274:C3275"/>
    <mergeCell ref="B3274:B3275"/>
    <mergeCell ref="A3192:A3193"/>
    <mergeCell ref="G3192:G3193"/>
    <mergeCell ref="H3192:H3193"/>
    <mergeCell ref="I3192:I3193"/>
    <mergeCell ref="J3192:J3193"/>
    <mergeCell ref="K3192:K3193"/>
    <mergeCell ref="D3206:D3207"/>
    <mergeCell ref="C3206:C3207"/>
    <mergeCell ref="B3206:B3207"/>
    <mergeCell ref="A3206:A3207"/>
    <mergeCell ref="G3206:G3207"/>
    <mergeCell ref="H3206:H3207"/>
    <mergeCell ref="I3206:I3207"/>
    <mergeCell ref="J3206:J3207"/>
    <mergeCell ref="K3206:K3207"/>
    <mergeCell ref="D3208:D3209"/>
    <mergeCell ref="C3208:C3209"/>
    <mergeCell ref="B3208:B3209"/>
    <mergeCell ref="A3208:A3209"/>
    <mergeCell ref="G3208:G3209"/>
    <mergeCell ref="H3208:H3209"/>
    <mergeCell ref="I3208:I3209"/>
    <mergeCell ref="J3208:J3209"/>
    <mergeCell ref="K3208:K3209"/>
    <mergeCell ref="D3210:D3211"/>
    <mergeCell ref="C3210:C3211"/>
    <mergeCell ref="B3210:B3211"/>
    <mergeCell ref="A3210:A3211"/>
    <mergeCell ref="G3210:G3211"/>
    <mergeCell ref="J3210:J3211"/>
    <mergeCell ref="K3210:K3211"/>
    <mergeCell ref="H3210:H3211"/>
    <mergeCell ref="I3210:I3211"/>
    <mergeCell ref="C3331:C3332"/>
    <mergeCell ref="B3331:B3332"/>
    <mergeCell ref="A3331:A3332"/>
    <mergeCell ref="G3331:G3332"/>
    <mergeCell ref="H3331:H3332"/>
    <mergeCell ref="I3331:I3332"/>
    <mergeCell ref="J3331:J3332"/>
    <mergeCell ref="K3331:K3332"/>
    <mergeCell ref="A3294:A3295"/>
    <mergeCell ref="G3294:G3295"/>
    <mergeCell ref="D3238:D3239"/>
    <mergeCell ref="C3238:C3239"/>
    <mergeCell ref="B3238:B3239"/>
    <mergeCell ref="A3238:A3239"/>
    <mergeCell ref="G3238:G3239"/>
    <mergeCell ref="H3238:H3239"/>
    <mergeCell ref="I3238:I3239"/>
    <mergeCell ref="J3238:J3239"/>
    <mergeCell ref="K3238:K3239"/>
    <mergeCell ref="C3290:C3292"/>
    <mergeCell ref="B3290:B3292"/>
    <mergeCell ref="I3561:I3562"/>
    <mergeCell ref="J3561:J3562"/>
    <mergeCell ref="K3561:K3562"/>
    <mergeCell ref="A3561:A3562"/>
    <mergeCell ref="H3478:H3479"/>
    <mergeCell ref="I3478:I3479"/>
    <mergeCell ref="A3506:A3508"/>
    <mergeCell ref="G3506:G3508"/>
    <mergeCell ref="K3570:K3571"/>
    <mergeCell ref="A3510:A3511"/>
    <mergeCell ref="D3513:D3514"/>
    <mergeCell ref="C3513:C3514"/>
    <mergeCell ref="B3513:B3514"/>
    <mergeCell ref="A3513:A3514"/>
    <mergeCell ref="J3327:J3329"/>
    <mergeCell ref="K3327:K3329"/>
    <mergeCell ref="D3365:D3372"/>
    <mergeCell ref="C3365:C3372"/>
    <mergeCell ref="B3365:B3372"/>
    <mergeCell ref="A3365:A3372"/>
    <mergeCell ref="G3365:G3372"/>
    <mergeCell ref="H3365:H3372"/>
    <mergeCell ref="I3365:I3372"/>
    <mergeCell ref="J3365:J3372"/>
    <mergeCell ref="K3365:K3372"/>
    <mergeCell ref="D3341:D3342"/>
    <mergeCell ref="C3341:C3342"/>
    <mergeCell ref="G3341:G3342"/>
    <mergeCell ref="H3341:H3342"/>
    <mergeCell ref="B3341:B3342"/>
    <mergeCell ref="I3341:I3342"/>
    <mergeCell ref="J3341:J3342"/>
    <mergeCell ref="U3504:U3505"/>
    <mergeCell ref="M3480:M3481"/>
    <mergeCell ref="U3459:U3461"/>
    <mergeCell ref="G3510:G3511"/>
    <mergeCell ref="H3510:H3511"/>
    <mergeCell ref="I3510:I3511"/>
    <mergeCell ref="J3510:J3511"/>
    <mergeCell ref="U3506:U3507"/>
    <mergeCell ref="U3510:U3511"/>
    <mergeCell ref="I3517:I3519"/>
    <mergeCell ref="J3517:J3519"/>
    <mergeCell ref="K3517:K3519"/>
    <mergeCell ref="T3459:T3461"/>
    <mergeCell ref="T3465:T3467"/>
    <mergeCell ref="T3478:T3479"/>
    <mergeCell ref="K3510:K3511"/>
    <mergeCell ref="H3480:H3481"/>
    <mergeCell ref="I3480:I3481"/>
    <mergeCell ref="J3480:J3481"/>
    <mergeCell ref="K3480:K3481"/>
    <mergeCell ref="H3506:H3508"/>
    <mergeCell ref="T3518:T3519"/>
    <mergeCell ref="G3513:G3514"/>
    <mergeCell ref="K3513:K3514"/>
    <mergeCell ref="J3513:J3514"/>
    <mergeCell ref="I3513:I3514"/>
    <mergeCell ref="G3504:G3505"/>
    <mergeCell ref="H3504:H3505"/>
    <mergeCell ref="I3504:I3505"/>
    <mergeCell ref="J3504:J3505"/>
    <mergeCell ref="K3504:K3505"/>
    <mergeCell ref="T3504:T3505"/>
    <mergeCell ref="U3561:U3562"/>
    <mergeCell ref="H3513:H3514"/>
    <mergeCell ref="T3510:T3511"/>
    <mergeCell ref="U3518:U3519"/>
    <mergeCell ref="D3534:D3535"/>
    <mergeCell ref="C3534:C3535"/>
    <mergeCell ref="B3534:B3535"/>
    <mergeCell ref="G3534:G3535"/>
    <mergeCell ref="H3534:H3535"/>
    <mergeCell ref="T3561:T3562"/>
    <mergeCell ref="M3561:M3562"/>
    <mergeCell ref="T3534:T3535"/>
    <mergeCell ref="D3510:D3511"/>
    <mergeCell ref="C3510:C3511"/>
    <mergeCell ref="B3510:B3511"/>
    <mergeCell ref="K3544:K3545"/>
    <mergeCell ref="H3544:H3545"/>
    <mergeCell ref="I3544:I3545"/>
    <mergeCell ref="J3544:J3545"/>
    <mergeCell ref="B3517:B3519"/>
    <mergeCell ref="D3561:D3562"/>
    <mergeCell ref="C3561:C3562"/>
    <mergeCell ref="B3561:B3562"/>
    <mergeCell ref="G3561:G3562"/>
    <mergeCell ref="T3513:T3514"/>
    <mergeCell ref="H3520:H3521"/>
    <mergeCell ref="I3520:I3521"/>
    <mergeCell ref="J3520:J3521"/>
    <mergeCell ref="K3520:K3521"/>
    <mergeCell ref="D3517:D3519"/>
    <mergeCell ref="C3517:C3519"/>
    <mergeCell ref="H3561:H3562"/>
    <mergeCell ref="G3607:G3608"/>
    <mergeCell ref="J3607:J3608"/>
    <mergeCell ref="K3607:K3608"/>
    <mergeCell ref="U3570:U3571"/>
    <mergeCell ref="T3585:T3586"/>
    <mergeCell ref="D3605:D3606"/>
    <mergeCell ref="C3605:C3606"/>
    <mergeCell ref="B3605:B3606"/>
    <mergeCell ref="D3585:D3586"/>
    <mergeCell ref="C3585:C3586"/>
    <mergeCell ref="B3585:B3586"/>
    <mergeCell ref="A3585:A3586"/>
    <mergeCell ref="G3585:G3586"/>
    <mergeCell ref="H3585:H3586"/>
    <mergeCell ref="I3585:I3586"/>
    <mergeCell ref="J3585:J3586"/>
    <mergeCell ref="K3585:K3586"/>
    <mergeCell ref="T3575:T3578"/>
    <mergeCell ref="T3570:T3571"/>
    <mergeCell ref="D3570:D3571"/>
    <mergeCell ref="C3570:C3571"/>
    <mergeCell ref="K3627:K3628"/>
    <mergeCell ref="A3629:A3630"/>
    <mergeCell ref="B3629:B3630"/>
    <mergeCell ref="C3629:C3630"/>
    <mergeCell ref="D3629:D3630"/>
    <mergeCell ref="G3629:G3630"/>
    <mergeCell ref="H3629:H3630"/>
    <mergeCell ref="I3629:I3630"/>
    <mergeCell ref="G3627:G3628"/>
    <mergeCell ref="H3627:H3628"/>
    <mergeCell ref="I3627:I3628"/>
    <mergeCell ref="J3627:J3628"/>
    <mergeCell ref="A3575:A3578"/>
    <mergeCell ref="G3575:G3578"/>
    <mergeCell ref="H3575:H3578"/>
    <mergeCell ref="AA3609:AA3611"/>
    <mergeCell ref="U3585:U3586"/>
    <mergeCell ref="A3627:A3628"/>
    <mergeCell ref="K3629:K3630"/>
    <mergeCell ref="G3609:G3611"/>
    <mergeCell ref="H3609:H3611"/>
    <mergeCell ref="D3609:D3611"/>
    <mergeCell ref="C3609:C3611"/>
    <mergeCell ref="B3609:B3611"/>
    <mergeCell ref="A3609:A3611"/>
    <mergeCell ref="J3609:J3611"/>
    <mergeCell ref="K3609:K3611"/>
    <mergeCell ref="AA3605:AA3606"/>
    <mergeCell ref="D3607:D3608"/>
    <mergeCell ref="C3607:C3608"/>
    <mergeCell ref="B3607:B3608"/>
    <mergeCell ref="A3607:A3608"/>
    <mergeCell ref="K3645:K3646"/>
    <mergeCell ref="D3647:D3663"/>
    <mergeCell ref="C3647:C3663"/>
    <mergeCell ref="B3647:B3663"/>
    <mergeCell ref="A3647:A3663"/>
    <mergeCell ref="G3647:G3663"/>
    <mergeCell ref="H3647:H3663"/>
    <mergeCell ref="D3645:D3646"/>
    <mergeCell ref="C3645:C3646"/>
    <mergeCell ref="B3645:B3646"/>
    <mergeCell ref="A3645:A3646"/>
    <mergeCell ref="G3645:G3646"/>
    <mergeCell ref="H3645:H3646"/>
    <mergeCell ref="I3645:I3646"/>
    <mergeCell ref="J3645:J3646"/>
    <mergeCell ref="B3570:B3571"/>
    <mergeCell ref="A3570:A3571"/>
    <mergeCell ref="G3570:G3571"/>
    <mergeCell ref="H3570:H3571"/>
    <mergeCell ref="I3570:I3571"/>
    <mergeCell ref="J3570:J3571"/>
    <mergeCell ref="I3575:I3578"/>
    <mergeCell ref="J3575:J3578"/>
    <mergeCell ref="K3575:K3578"/>
    <mergeCell ref="H3607:H3608"/>
    <mergeCell ref="I3607:I3608"/>
    <mergeCell ref="I3609:I3611"/>
    <mergeCell ref="A3605:A3606"/>
    <mergeCell ref="G3605:G3606"/>
    <mergeCell ref="H3605:H3606"/>
    <mergeCell ref="D3635:D3638"/>
    <mergeCell ref="C3635:C3638"/>
    <mergeCell ref="T3683:T3684"/>
    <mergeCell ref="M3697:M3698"/>
    <mergeCell ref="T3697:T3698"/>
    <mergeCell ref="K3691:K3693"/>
    <mergeCell ref="M3691:M3693"/>
    <mergeCell ref="A3668:A3669"/>
    <mergeCell ref="G3668:G3669"/>
    <mergeCell ref="H3668:H3669"/>
    <mergeCell ref="I3668:I3669"/>
    <mergeCell ref="J3670:J3671"/>
    <mergeCell ref="J3668:J3669"/>
    <mergeCell ref="K3668:K3669"/>
    <mergeCell ref="K3670:K3671"/>
    <mergeCell ref="C3670:C3671"/>
    <mergeCell ref="B3670:B3671"/>
    <mergeCell ref="A3670:A3671"/>
    <mergeCell ref="G3670:G3671"/>
    <mergeCell ref="H3670:H3671"/>
    <mergeCell ref="I3670:I3671"/>
    <mergeCell ref="AA3691:AA3693"/>
    <mergeCell ref="U3697:U3698"/>
    <mergeCell ref="AA3725:AA3728"/>
    <mergeCell ref="A3707:A3708"/>
    <mergeCell ref="G3725:G3728"/>
    <mergeCell ref="T3725:T3727"/>
    <mergeCell ref="T3707:T3708"/>
    <mergeCell ref="U3707:U3708"/>
    <mergeCell ref="U3691:U3693"/>
    <mergeCell ref="I3707:I3708"/>
    <mergeCell ref="J3707:J3708"/>
    <mergeCell ref="K3707:K3708"/>
    <mergeCell ref="I3725:I3728"/>
    <mergeCell ref="J3725:J3728"/>
    <mergeCell ref="K3725:K3728"/>
    <mergeCell ref="A3683:A3684"/>
    <mergeCell ref="G3683:G3684"/>
    <mergeCell ref="H3683:H3684"/>
    <mergeCell ref="I3683:I3684"/>
    <mergeCell ref="J3683:J3684"/>
    <mergeCell ref="K3683:K3684"/>
    <mergeCell ref="G3707:G3708"/>
    <mergeCell ref="H3691:H3693"/>
    <mergeCell ref="T3691:T3693"/>
    <mergeCell ref="I3697:I3698"/>
    <mergeCell ref="J3697:J3698"/>
    <mergeCell ref="K3697:K3698"/>
    <mergeCell ref="J3700:J3704"/>
    <mergeCell ref="K3700:K3704"/>
    <mergeCell ref="G3697:G3698"/>
    <mergeCell ref="D3697:D3698"/>
    <mergeCell ref="C3697:C3698"/>
    <mergeCell ref="T3645:T3646"/>
    <mergeCell ref="M3635:M3638"/>
    <mergeCell ref="I3647:I3663"/>
    <mergeCell ref="K3647:K3663"/>
    <mergeCell ref="T3635:T3638"/>
    <mergeCell ref="D3691:D3693"/>
    <mergeCell ref="C3691:C3693"/>
    <mergeCell ref="B3691:B3693"/>
    <mergeCell ref="AA3707:AA3708"/>
    <mergeCell ref="D3734:D3735"/>
    <mergeCell ref="C3734:C3735"/>
    <mergeCell ref="B3734:B3735"/>
    <mergeCell ref="T3680:T3681"/>
    <mergeCell ref="T3668:T3669"/>
    <mergeCell ref="D3680:D3681"/>
    <mergeCell ref="C3680:C3681"/>
    <mergeCell ref="B3680:B3681"/>
    <mergeCell ref="K3680:K3681"/>
    <mergeCell ref="D3683:D3684"/>
    <mergeCell ref="C3683:C3684"/>
    <mergeCell ref="B3683:B3684"/>
    <mergeCell ref="D3668:D3669"/>
    <mergeCell ref="C3668:C3669"/>
    <mergeCell ref="B3668:B3669"/>
    <mergeCell ref="U3680:U3681"/>
    <mergeCell ref="U3683:U3684"/>
    <mergeCell ref="D3670:D3671"/>
    <mergeCell ref="U3635:U3638"/>
    <mergeCell ref="U3668:U3669"/>
    <mergeCell ref="T3702:T3703"/>
    <mergeCell ref="I3700:I3704"/>
    <mergeCell ref="U3702:U3703"/>
    <mergeCell ref="H3707:H3708"/>
    <mergeCell ref="D3707:D3708"/>
    <mergeCell ref="G3691:G3693"/>
    <mergeCell ref="D3764:D3765"/>
    <mergeCell ref="C3764:C3765"/>
    <mergeCell ref="B3764:B3765"/>
    <mergeCell ref="A3764:A3765"/>
    <mergeCell ref="G3764:G3765"/>
    <mergeCell ref="H3764:H3765"/>
    <mergeCell ref="I3764:I3765"/>
    <mergeCell ref="J3764:J3765"/>
    <mergeCell ref="K3764:K3765"/>
    <mergeCell ref="B3697:B3698"/>
    <mergeCell ref="H3700:H3704"/>
    <mergeCell ref="C3700:C3704"/>
    <mergeCell ref="B3700:B3704"/>
    <mergeCell ref="A3700:A3704"/>
    <mergeCell ref="A3691:A3693"/>
    <mergeCell ref="A3697:A3698"/>
    <mergeCell ref="H3697:H3698"/>
    <mergeCell ref="D3700:D3704"/>
    <mergeCell ref="G3700:G3704"/>
    <mergeCell ref="I3907:I3908"/>
    <mergeCell ref="J3907:J3908"/>
    <mergeCell ref="I3929:I3930"/>
    <mergeCell ref="J3929:J3930"/>
    <mergeCell ref="K3929:K3930"/>
    <mergeCell ref="H3929:H3930"/>
    <mergeCell ref="B3910:B3914"/>
    <mergeCell ref="A3910:A3914"/>
    <mergeCell ref="D3932:D3933"/>
    <mergeCell ref="C3932:C3933"/>
    <mergeCell ref="B3932:B3933"/>
    <mergeCell ref="A3932:A3933"/>
    <mergeCell ref="G3932:G3933"/>
    <mergeCell ref="H3932:H3933"/>
    <mergeCell ref="I3932:I3933"/>
    <mergeCell ref="I3776:I3777"/>
    <mergeCell ref="J3776:J3777"/>
    <mergeCell ref="K3776:K3777"/>
    <mergeCell ref="D3776:D3777"/>
    <mergeCell ref="C3776:C3777"/>
    <mergeCell ref="B3776:B3777"/>
    <mergeCell ref="G3776:G3777"/>
    <mergeCell ref="B3850:B3851"/>
    <mergeCell ref="A3850:A3851"/>
    <mergeCell ref="G3850:G3851"/>
    <mergeCell ref="H3850:H3851"/>
    <mergeCell ref="D3905:D3906"/>
    <mergeCell ref="C3905:C3906"/>
    <mergeCell ref="B3905:B3906"/>
    <mergeCell ref="A3905:A3906"/>
    <mergeCell ref="G3905:G3906"/>
    <mergeCell ref="H3905:H3906"/>
    <mergeCell ref="AA3988:AA3989"/>
    <mergeCell ref="D3990:D3991"/>
    <mergeCell ref="C3990:C3991"/>
    <mergeCell ref="B3990:B3991"/>
    <mergeCell ref="A3990:A3991"/>
    <mergeCell ref="T3990:T3991"/>
    <mergeCell ref="J3997:J3998"/>
    <mergeCell ref="K3997:K3998"/>
    <mergeCell ref="AA3948:AA3949"/>
    <mergeCell ref="J4002:J4003"/>
    <mergeCell ref="K4002:K4003"/>
    <mergeCell ref="D3988:D3989"/>
    <mergeCell ref="C3988:C3989"/>
    <mergeCell ref="B3988:B3989"/>
    <mergeCell ref="A3988:A3989"/>
    <mergeCell ref="G3988:G3989"/>
    <mergeCell ref="H3988:H3989"/>
    <mergeCell ref="I3988:I3989"/>
    <mergeCell ref="J3988:J3989"/>
    <mergeCell ref="K3988:K3989"/>
    <mergeCell ref="C3997:C3998"/>
    <mergeCell ref="B3969:B3970"/>
    <mergeCell ref="A3969:A3970"/>
    <mergeCell ref="G3969:G3970"/>
    <mergeCell ref="H3969:H3970"/>
    <mergeCell ref="I3969:I3970"/>
    <mergeCell ref="J3969:J3970"/>
    <mergeCell ref="K3969:K3970"/>
    <mergeCell ref="T3953:T3954"/>
    <mergeCell ref="U3953:U3954"/>
    <mergeCell ref="AA3969:AA3970"/>
    <mergeCell ref="J3953:J3954"/>
    <mergeCell ref="U3911:U3914"/>
    <mergeCell ref="AA4033:AA4034"/>
    <mergeCell ref="D4051:D4052"/>
    <mergeCell ref="C4051:C4052"/>
    <mergeCell ref="B4051:B4052"/>
    <mergeCell ref="T3907:T3908"/>
    <mergeCell ref="U3927:U3928"/>
    <mergeCell ref="K3907:K3908"/>
    <mergeCell ref="T3905:T3906"/>
    <mergeCell ref="D4055:D4057"/>
    <mergeCell ref="C4055:C4057"/>
    <mergeCell ref="B4055:B4057"/>
    <mergeCell ref="T3932:T3933"/>
    <mergeCell ref="D3953:D3954"/>
    <mergeCell ref="C3953:C3954"/>
    <mergeCell ref="B3953:B3954"/>
    <mergeCell ref="AA3910:AA3914"/>
    <mergeCell ref="D3910:D3914"/>
    <mergeCell ref="C3910:C3914"/>
    <mergeCell ref="AA4053:AA4054"/>
    <mergeCell ref="C3969:C3970"/>
    <mergeCell ref="W3971:W3973"/>
    <mergeCell ref="G4033:G4034"/>
    <mergeCell ref="T4014:T4015"/>
    <mergeCell ref="T3948:T3949"/>
    <mergeCell ref="U4014:U4015"/>
    <mergeCell ref="T4030:T4031"/>
    <mergeCell ref="U4030:U4031"/>
    <mergeCell ref="AA3953:AA3954"/>
    <mergeCell ref="T4019:T4020"/>
    <mergeCell ref="U4019:U4020"/>
    <mergeCell ref="B3971:B3987"/>
    <mergeCell ref="AA4184:AA4185"/>
    <mergeCell ref="D4186:D4188"/>
    <mergeCell ref="C4186:C4188"/>
    <mergeCell ref="B4186:B4188"/>
    <mergeCell ref="A4186:A4188"/>
    <mergeCell ref="G4186:G4188"/>
    <mergeCell ref="H4186:H4188"/>
    <mergeCell ref="I4186:I4188"/>
    <mergeCell ref="J4186:J4188"/>
    <mergeCell ref="K4186:K4188"/>
    <mergeCell ref="AA4186:AA4188"/>
    <mergeCell ref="T4166:T4168"/>
    <mergeCell ref="M3798:M3808"/>
    <mergeCell ref="T3798:T3808"/>
    <mergeCell ref="T3884:T3885"/>
    <mergeCell ref="D4053:D4054"/>
    <mergeCell ref="C4053:C4054"/>
    <mergeCell ref="B4053:B4054"/>
    <mergeCell ref="G4030:G4031"/>
    <mergeCell ref="H4030:H4031"/>
    <mergeCell ref="I4030:I4031"/>
    <mergeCell ref="J4030:J4031"/>
    <mergeCell ref="K4030:K4031"/>
    <mergeCell ref="D4033:D4034"/>
    <mergeCell ref="C4033:C4034"/>
    <mergeCell ref="B4033:B4034"/>
    <mergeCell ref="A4033:A4034"/>
    <mergeCell ref="A4051:A4052"/>
    <mergeCell ref="M3927:M3928"/>
    <mergeCell ref="H4018:H4020"/>
    <mergeCell ref="AA4055:AA4057"/>
    <mergeCell ref="A3971:A3987"/>
    <mergeCell ref="T4033:T4034"/>
    <mergeCell ref="AA4102:AA4106"/>
    <mergeCell ref="D4115:D4116"/>
    <mergeCell ref="C4115:C4116"/>
    <mergeCell ref="B4115:B4116"/>
    <mergeCell ref="A4115:A4116"/>
    <mergeCell ref="G4115:G4116"/>
    <mergeCell ref="H4115:H4116"/>
    <mergeCell ref="I4115:I4116"/>
    <mergeCell ref="J4115:J4116"/>
    <mergeCell ref="K4115:K4116"/>
    <mergeCell ref="AA4115:AA4116"/>
    <mergeCell ref="T4105:T4106"/>
    <mergeCell ref="D4155:D4156"/>
    <mergeCell ref="C4155:C4156"/>
    <mergeCell ref="B4155:B4156"/>
    <mergeCell ref="A4155:A4156"/>
    <mergeCell ref="U4088:U4089"/>
    <mergeCell ref="T4155:T4156"/>
    <mergeCell ref="U4102:U4104"/>
    <mergeCell ref="U4155:U4156"/>
    <mergeCell ref="K4121:K4123"/>
    <mergeCell ref="K4102:K4106"/>
    <mergeCell ref="K4155:K4156"/>
    <mergeCell ref="B4088:B4089"/>
    <mergeCell ref="A4088:A4089"/>
    <mergeCell ref="G4088:G4089"/>
    <mergeCell ref="D4102:D4106"/>
    <mergeCell ref="C4102:C4106"/>
    <mergeCell ref="B4102:B4106"/>
    <mergeCell ref="A4102:A4106"/>
    <mergeCell ref="D4121:D4123"/>
    <mergeCell ref="T4076:T4077"/>
    <mergeCell ref="I4088:I4089"/>
    <mergeCell ref="J4088:J4089"/>
    <mergeCell ref="K4088:K4089"/>
    <mergeCell ref="T4088:T4089"/>
    <mergeCell ref="T4102:T4104"/>
    <mergeCell ref="I4018:I4020"/>
    <mergeCell ref="J4018:J4020"/>
    <mergeCell ref="H4051:H4052"/>
    <mergeCell ref="I4051:I4052"/>
    <mergeCell ref="J4051:J4052"/>
    <mergeCell ref="D4059:D4060"/>
    <mergeCell ref="C4059:C4060"/>
    <mergeCell ref="B4059:B4060"/>
    <mergeCell ref="I4243:I4244"/>
    <mergeCell ref="D4247:D4248"/>
    <mergeCell ref="B4247:B4248"/>
    <mergeCell ref="C4247:C4248"/>
    <mergeCell ref="D4215:D4216"/>
    <mergeCell ref="C4215:C4216"/>
    <mergeCell ref="B4215:B4216"/>
    <mergeCell ref="K4018:K4020"/>
    <mergeCell ref="J4024:J4028"/>
    <mergeCell ref="K4024:K4028"/>
    <mergeCell ref="D4088:D4089"/>
    <mergeCell ref="C4088:C4089"/>
    <mergeCell ref="J4212:J4214"/>
    <mergeCell ref="K4212:K4214"/>
    <mergeCell ref="C4232:C4237"/>
    <mergeCell ref="D4232:D4237"/>
    <mergeCell ref="G4243:G4244"/>
    <mergeCell ref="D4243:D4244"/>
    <mergeCell ref="T3833:T3834"/>
    <mergeCell ref="K3843:K3844"/>
    <mergeCell ref="K3841:K3842"/>
    <mergeCell ref="H4258:H4259"/>
    <mergeCell ref="I3833:I3834"/>
    <mergeCell ref="J3833:J3834"/>
    <mergeCell ref="K3833:K3834"/>
    <mergeCell ref="M4059:M4060"/>
    <mergeCell ref="K3905:K3906"/>
    <mergeCell ref="H3841:H3842"/>
    <mergeCell ref="J3843:J3844"/>
    <mergeCell ref="K4059:K4060"/>
    <mergeCell ref="K4055:K4057"/>
    <mergeCell ref="K4053:K4054"/>
    <mergeCell ref="T4184:T4185"/>
    <mergeCell ref="K4051:K4052"/>
    <mergeCell ref="H4232:H4237"/>
    <mergeCell ref="I4232:I4237"/>
    <mergeCell ref="J4232:J4237"/>
    <mergeCell ref="K4232:K4237"/>
    <mergeCell ref="H4243:H4244"/>
    <mergeCell ref="J3905:J3906"/>
    <mergeCell ref="K3884:K3885"/>
    <mergeCell ref="M4258:M4259"/>
    <mergeCell ref="T4258:T4259"/>
    <mergeCell ref="K4014:K4015"/>
    <mergeCell ref="J3884:J3885"/>
    <mergeCell ref="M3833:M3834"/>
    <mergeCell ref="T4250:T4251"/>
    <mergeCell ref="H4088:H4089"/>
    <mergeCell ref="T4212:T4213"/>
    <mergeCell ref="T4200:T4201"/>
    <mergeCell ref="D3997:D3998"/>
    <mergeCell ref="C3873:C3874"/>
    <mergeCell ref="B3873:B3874"/>
    <mergeCell ref="A3873:A3874"/>
    <mergeCell ref="H4212:H4214"/>
    <mergeCell ref="D4018:D4020"/>
    <mergeCell ref="C4018:C4020"/>
    <mergeCell ref="B4018:B4020"/>
    <mergeCell ref="A4018:A4020"/>
    <mergeCell ref="G3873:G3874"/>
    <mergeCell ref="H3873:H3874"/>
    <mergeCell ref="G3971:G3987"/>
    <mergeCell ref="G3997:G3998"/>
    <mergeCell ref="D4014:D4015"/>
    <mergeCell ref="C4014:C4015"/>
    <mergeCell ref="B4014:B4015"/>
    <mergeCell ref="A4014:A4015"/>
    <mergeCell ref="G4014:G4015"/>
    <mergeCell ref="B3948:B3949"/>
    <mergeCell ref="A3948:A3949"/>
    <mergeCell ref="H3971:H3987"/>
    <mergeCell ref="H4014:H4015"/>
    <mergeCell ref="B3997:B3998"/>
    <mergeCell ref="D3907:D3908"/>
    <mergeCell ref="C3907:C3908"/>
    <mergeCell ref="B3907:B3908"/>
    <mergeCell ref="A3907:A3908"/>
    <mergeCell ref="G3907:G3908"/>
    <mergeCell ref="H3907:H3908"/>
    <mergeCell ref="D3884:D3885"/>
    <mergeCell ref="C3884:C3885"/>
    <mergeCell ref="B3884:B3885"/>
    <mergeCell ref="I3971:I3987"/>
    <mergeCell ref="J3971:J3987"/>
    <mergeCell ref="I4014:I4015"/>
    <mergeCell ref="J4014:J4015"/>
    <mergeCell ref="B4076:B4077"/>
    <mergeCell ref="A4076:A4077"/>
    <mergeCell ref="G4076:G4077"/>
    <mergeCell ref="H4076:H4077"/>
    <mergeCell ref="G4212:G4214"/>
    <mergeCell ref="T4381:T4384"/>
    <mergeCell ref="T4335:T4336"/>
    <mergeCell ref="T4309:T4310"/>
    <mergeCell ref="M4236:M4237"/>
    <mergeCell ref="M4232:M4234"/>
    <mergeCell ref="U4247:U4248"/>
    <mergeCell ref="D4341:D4343"/>
    <mergeCell ref="C4341:C4343"/>
    <mergeCell ref="A4341:A4343"/>
    <mergeCell ref="B4341:B4343"/>
    <mergeCell ref="G4341:G4343"/>
    <mergeCell ref="H4341:H4343"/>
    <mergeCell ref="I4341:I4343"/>
    <mergeCell ref="J4341:J4343"/>
    <mergeCell ref="K4341:K4343"/>
    <mergeCell ref="T4341:T4342"/>
    <mergeCell ref="D4335:D4336"/>
    <mergeCell ref="C4335:C4336"/>
    <mergeCell ref="B4335:B4336"/>
    <mergeCell ref="A4335:A4336"/>
    <mergeCell ref="U4309:U4310"/>
    <mergeCell ref="U4236:U4237"/>
    <mergeCell ref="U4232:U4234"/>
    <mergeCell ref="T4247:T4248"/>
    <mergeCell ref="T4243:T4244"/>
    <mergeCell ref="T4232:T4234"/>
    <mergeCell ref="T4236:T4237"/>
    <mergeCell ref="J4243:J4244"/>
    <mergeCell ref="K4243:K4244"/>
    <mergeCell ref="M4341:M4342"/>
    <mergeCell ref="J4459:J4460"/>
    <mergeCell ref="K4459:K4460"/>
    <mergeCell ref="U3907:U3908"/>
    <mergeCell ref="T4412:T4414"/>
    <mergeCell ref="D4338:D4339"/>
    <mergeCell ref="C4338:C4339"/>
    <mergeCell ref="B4338:B4339"/>
    <mergeCell ref="A4338:A4339"/>
    <mergeCell ref="G4338:G4339"/>
    <mergeCell ref="H4338:H4339"/>
    <mergeCell ref="I4338:I4339"/>
    <mergeCell ref="J4338:J4339"/>
    <mergeCell ref="K4338:K4339"/>
    <mergeCell ref="D4268:D4269"/>
    <mergeCell ref="C4268:C4269"/>
    <mergeCell ref="B4268:B4269"/>
    <mergeCell ref="A4268:A4269"/>
    <mergeCell ref="G4268:G4269"/>
    <mergeCell ref="H4268:H4269"/>
    <mergeCell ref="I4268:I4269"/>
    <mergeCell ref="J4268:J4269"/>
    <mergeCell ref="K4268:K4269"/>
    <mergeCell ref="D4325:D4326"/>
    <mergeCell ref="C4325:C4326"/>
    <mergeCell ref="B4325:B4326"/>
    <mergeCell ref="AA4358:AA4360"/>
    <mergeCell ref="D4358:D4360"/>
    <mergeCell ref="C4358:C4360"/>
    <mergeCell ref="B4358:B4360"/>
    <mergeCell ref="A4358:A4360"/>
    <mergeCell ref="G4358:G4360"/>
    <mergeCell ref="H4358:H4360"/>
    <mergeCell ref="I4358:I4360"/>
    <mergeCell ref="J4358:J4360"/>
    <mergeCell ref="K4358:K4360"/>
    <mergeCell ref="T4474:T4475"/>
    <mergeCell ref="T4459:T4460"/>
    <mergeCell ref="G4477:G4484"/>
    <mergeCell ref="T4432:T4433"/>
    <mergeCell ref="U4432:U4433"/>
    <mergeCell ref="T4504:T4507"/>
    <mergeCell ref="U4474:U4475"/>
    <mergeCell ref="U4504:U4507"/>
    <mergeCell ref="U4477:U4480"/>
    <mergeCell ref="D4411:D4415"/>
    <mergeCell ref="C4411:C4415"/>
    <mergeCell ref="B4411:B4415"/>
    <mergeCell ref="A4411:A4415"/>
    <mergeCell ref="G4411:G4415"/>
    <mergeCell ref="H4411:H4415"/>
    <mergeCell ref="I4411:I4415"/>
    <mergeCell ref="J4411:J4415"/>
    <mergeCell ref="K4411:K4415"/>
    <mergeCell ref="H4459:H4460"/>
    <mergeCell ref="I4459:I4460"/>
    <mergeCell ref="I4381:I4389"/>
    <mergeCell ref="J4381:J4389"/>
    <mergeCell ref="C4461:C4467"/>
    <mergeCell ref="B4461:B4467"/>
    <mergeCell ref="U4459:U4460"/>
    <mergeCell ref="T4543:T4544"/>
    <mergeCell ref="T4579:T4580"/>
    <mergeCell ref="U4569:U4572"/>
    <mergeCell ref="U4481:U4482"/>
    <mergeCell ref="U4483:U4484"/>
    <mergeCell ref="D4504:D4507"/>
    <mergeCell ref="C4504:C4507"/>
    <mergeCell ref="B4504:B4507"/>
    <mergeCell ref="A4504:A4507"/>
    <mergeCell ref="G4504:G4507"/>
    <mergeCell ref="H4504:H4507"/>
    <mergeCell ref="I4504:I4507"/>
    <mergeCell ref="U4579:U4580"/>
    <mergeCell ref="A4517:A4518"/>
    <mergeCell ref="B4517:B4518"/>
    <mergeCell ref="C4517:C4518"/>
    <mergeCell ref="D4517:D4518"/>
    <mergeCell ref="G4517:G4518"/>
    <mergeCell ref="H4517:H4518"/>
    <mergeCell ref="I4517:I4518"/>
    <mergeCell ref="J4517:J4518"/>
    <mergeCell ref="U4488:U4489"/>
    <mergeCell ref="D4493:D4494"/>
    <mergeCell ref="C4493:C4494"/>
    <mergeCell ref="B4493:B4494"/>
    <mergeCell ref="A4493:A4494"/>
    <mergeCell ref="G4493:G4494"/>
    <mergeCell ref="H4493:H4494"/>
    <mergeCell ref="T4531:T4532"/>
    <mergeCell ref="AA4840:AA4841"/>
    <mergeCell ref="T4806:T4807"/>
    <mergeCell ref="T4802:T4803"/>
    <mergeCell ref="A4753:A4754"/>
    <mergeCell ref="B4753:B4754"/>
    <mergeCell ref="C4753:C4754"/>
    <mergeCell ref="D4753:D4754"/>
    <mergeCell ref="G4753:G4754"/>
    <mergeCell ref="H4753:H4754"/>
    <mergeCell ref="I4753:I4754"/>
    <mergeCell ref="J4753:J4754"/>
    <mergeCell ref="K4753:K4754"/>
    <mergeCell ref="G4756:G4760"/>
    <mergeCell ref="H4756:H4760"/>
    <mergeCell ref="I4756:I4760"/>
    <mergeCell ref="J4756:J4760"/>
    <mergeCell ref="K4756:K4760"/>
    <mergeCell ref="A4756:A4760"/>
    <mergeCell ref="B4756:B4760"/>
    <mergeCell ref="C4756:C4760"/>
    <mergeCell ref="D4756:D4760"/>
    <mergeCell ref="D4833:D4834"/>
    <mergeCell ref="C4833:C4834"/>
    <mergeCell ref="J4806:J4807"/>
    <mergeCell ref="K4806:K4807"/>
    <mergeCell ref="T4753:T4754"/>
    <mergeCell ref="AA4756:AA4760"/>
    <mergeCell ref="AA4753:AA4754"/>
    <mergeCell ref="U4802:U4803"/>
    <mergeCell ref="U4844:U4849"/>
    <mergeCell ref="U4806:U4807"/>
    <mergeCell ref="D4844:D4850"/>
    <mergeCell ref="C4844:C4850"/>
    <mergeCell ref="B4844:B4850"/>
    <mergeCell ref="A4844:A4850"/>
    <mergeCell ref="G4844:G4850"/>
    <mergeCell ref="H4844:H4850"/>
    <mergeCell ref="I4844:I4850"/>
    <mergeCell ref="J4844:J4850"/>
    <mergeCell ref="K4844:K4850"/>
    <mergeCell ref="D4840:D4841"/>
    <mergeCell ref="C4840:C4841"/>
    <mergeCell ref="B4840:B4841"/>
    <mergeCell ref="A4840:A4841"/>
    <mergeCell ref="G4840:G4841"/>
    <mergeCell ref="H4840:H4841"/>
    <mergeCell ref="I4840:I4841"/>
    <mergeCell ref="J4840:J4841"/>
    <mergeCell ref="D4806:D4807"/>
    <mergeCell ref="C4806:C4807"/>
    <mergeCell ref="B4806:B4807"/>
    <mergeCell ref="A4806:A4807"/>
    <mergeCell ref="A4833:A4834"/>
    <mergeCell ref="G4833:G4834"/>
    <mergeCell ref="H4833:H4834"/>
    <mergeCell ref="I4833:I4834"/>
    <mergeCell ref="J4833:J4834"/>
    <mergeCell ref="K4833:K4834"/>
    <mergeCell ref="AA4993:AA5001"/>
    <mergeCell ref="T4993:T4995"/>
    <mergeCell ref="D4993:D5001"/>
    <mergeCell ref="C4993:C5001"/>
    <mergeCell ref="G4993:G5001"/>
    <mergeCell ref="H4993:H5001"/>
    <mergeCell ref="I4993:I5001"/>
    <mergeCell ref="T4996:T4998"/>
    <mergeCell ref="G5041:G5044"/>
    <mergeCell ref="H5041:H5044"/>
    <mergeCell ref="I5041:I5044"/>
    <mergeCell ref="J5041:J5044"/>
    <mergeCell ref="K5041:K5044"/>
    <mergeCell ref="D5026:D5027"/>
    <mergeCell ref="C5026:C5027"/>
    <mergeCell ref="B5026:B5027"/>
    <mergeCell ref="U5038:U5040"/>
    <mergeCell ref="G5026:G5027"/>
    <mergeCell ref="H5026:H5027"/>
    <mergeCell ref="I5026:I5027"/>
    <mergeCell ref="J5026:J5027"/>
    <mergeCell ref="K5026:K5027"/>
    <mergeCell ref="AA5026:AA5027"/>
    <mergeCell ref="D5038:D5040"/>
    <mergeCell ref="H5002:H5003"/>
    <mergeCell ref="I5002:I5003"/>
    <mergeCell ref="J5002:J5003"/>
    <mergeCell ref="U4993:U4995"/>
    <mergeCell ref="T4999:T5001"/>
    <mergeCell ref="U5020:U5021"/>
    <mergeCell ref="U4996:U4998"/>
    <mergeCell ref="T5002:T5003"/>
    <mergeCell ref="AA5059:AA5060"/>
    <mergeCell ref="T5050:T5052"/>
    <mergeCell ref="T5038:T5040"/>
    <mergeCell ref="T5059:T5060"/>
    <mergeCell ref="D5045:D5046"/>
    <mergeCell ref="C5045:C5046"/>
    <mergeCell ref="B5045:B5046"/>
    <mergeCell ref="A5045:A5046"/>
    <mergeCell ref="G5045:G5046"/>
    <mergeCell ref="H5045:H5046"/>
    <mergeCell ref="I5045:I5046"/>
    <mergeCell ref="J5045:J5046"/>
    <mergeCell ref="K5045:K5046"/>
    <mergeCell ref="D5050:D5052"/>
    <mergeCell ref="C5050:C5052"/>
    <mergeCell ref="B5050:B5052"/>
    <mergeCell ref="A5050:A5052"/>
    <mergeCell ref="AA5038:AA5040"/>
    <mergeCell ref="D5041:D5044"/>
    <mergeCell ref="C5041:C5044"/>
    <mergeCell ref="B5041:B5044"/>
    <mergeCell ref="G5059:G5060"/>
    <mergeCell ref="H5059:H5060"/>
    <mergeCell ref="I5059:I5060"/>
    <mergeCell ref="D5059:D5060"/>
    <mergeCell ref="K5059:K5060"/>
    <mergeCell ref="J5050:J5052"/>
    <mergeCell ref="K5050:K5052"/>
    <mergeCell ref="T5041:T5042"/>
    <mergeCell ref="U5041:U5042"/>
    <mergeCell ref="K5028:K5030"/>
    <mergeCell ref="T5028:T5030"/>
    <mergeCell ref="B5152:B5153"/>
    <mergeCell ref="A5152:A5153"/>
    <mergeCell ref="G5152:G5153"/>
    <mergeCell ref="H5152:H5153"/>
    <mergeCell ref="I5152:I5153"/>
    <mergeCell ref="J5152:J5153"/>
    <mergeCell ref="K5152:K5153"/>
    <mergeCell ref="D5107:D5109"/>
    <mergeCell ref="C5107:C5109"/>
    <mergeCell ref="D5114:D5115"/>
    <mergeCell ref="C5038:C5040"/>
    <mergeCell ref="B5038:B5040"/>
    <mergeCell ref="A5038:A5040"/>
    <mergeCell ref="G5038:G5040"/>
    <mergeCell ref="H5038:H5040"/>
    <mergeCell ref="I5038:I5040"/>
    <mergeCell ref="J5038:J5040"/>
    <mergeCell ref="K5038:K5040"/>
    <mergeCell ref="A5041:A5044"/>
    <mergeCell ref="C5059:C5060"/>
    <mergeCell ref="B5059:B5060"/>
    <mergeCell ref="A5059:A5060"/>
    <mergeCell ref="B5102:B5103"/>
    <mergeCell ref="C5102:C5103"/>
    <mergeCell ref="D5099:D5100"/>
    <mergeCell ref="C5099:C5100"/>
    <mergeCell ref="B5099:B5100"/>
    <mergeCell ref="J5107:J5109"/>
    <mergeCell ref="K5107:K5109"/>
    <mergeCell ref="J5059:J5060"/>
    <mergeCell ref="AA5107:AA5109"/>
    <mergeCell ref="D5102:D5103"/>
    <mergeCell ref="I5114:I5115"/>
    <mergeCell ref="J5114:J5115"/>
    <mergeCell ref="K5114:K5115"/>
    <mergeCell ref="T5107:T5109"/>
    <mergeCell ref="U5107:U5109"/>
    <mergeCell ref="B5107:B5109"/>
    <mergeCell ref="A5107:A5109"/>
    <mergeCell ref="G5107:G5109"/>
    <mergeCell ref="U5152:U5153"/>
    <mergeCell ref="U5105:U5106"/>
    <mergeCell ref="A5102:A5103"/>
    <mergeCell ref="C5152:C5153"/>
    <mergeCell ref="K5102:K5103"/>
    <mergeCell ref="C5114:C5115"/>
    <mergeCell ref="M5152:M5153"/>
    <mergeCell ref="B5114:B5115"/>
    <mergeCell ref="A5114:A5115"/>
    <mergeCell ref="G5105:G5106"/>
    <mergeCell ref="I5105:I5106"/>
    <mergeCell ref="AA5152:AA5153"/>
    <mergeCell ref="D5147:D5148"/>
    <mergeCell ref="C5147:C5148"/>
    <mergeCell ref="B5147:B5148"/>
    <mergeCell ref="A5147:A5148"/>
    <mergeCell ref="G5147:G5148"/>
    <mergeCell ref="H5147:H5148"/>
    <mergeCell ref="I5147:I5148"/>
    <mergeCell ref="J5147:J5148"/>
    <mergeCell ref="K5147:K5148"/>
    <mergeCell ref="T5114:T5115"/>
    <mergeCell ref="AA5172:AA5173"/>
    <mergeCell ref="T5172:T5173"/>
    <mergeCell ref="D5172:D5173"/>
    <mergeCell ref="U5206:U5207"/>
    <mergeCell ref="U5242:U5243"/>
    <mergeCell ref="U5237:U5238"/>
    <mergeCell ref="U5172:U5173"/>
    <mergeCell ref="C5172:C5173"/>
    <mergeCell ref="H5215:H5217"/>
    <mergeCell ref="I5215:I5217"/>
    <mergeCell ref="J5215:J5217"/>
    <mergeCell ref="K5215:K5217"/>
    <mergeCell ref="T5239:T5240"/>
    <mergeCell ref="M5237:M5238"/>
    <mergeCell ref="T5237:T5238"/>
    <mergeCell ref="T5242:T5243"/>
    <mergeCell ref="D5206:D5208"/>
    <mergeCell ref="I5107:I5109"/>
    <mergeCell ref="H5237:H5238"/>
    <mergeCell ref="I5237:I5238"/>
    <mergeCell ref="J5237:J5238"/>
    <mergeCell ref="K5237:K5238"/>
    <mergeCell ref="D5215:D5217"/>
    <mergeCell ref="C5215:C5217"/>
    <mergeCell ref="D5266:D5267"/>
    <mergeCell ref="C5266:C5267"/>
    <mergeCell ref="H5107:H5109"/>
    <mergeCell ref="K5172:K5173"/>
    <mergeCell ref="K5239:K5240"/>
    <mergeCell ref="D5274:D5282"/>
    <mergeCell ref="C5274:C5282"/>
    <mergeCell ref="B5274:B5282"/>
    <mergeCell ref="A5274:A5282"/>
    <mergeCell ref="H5261:H5262"/>
    <mergeCell ref="I5261:I5262"/>
    <mergeCell ref="A5271:A5272"/>
    <mergeCell ref="K5274:K5282"/>
    <mergeCell ref="J5274:J5282"/>
    <mergeCell ref="I5274:I5282"/>
    <mergeCell ref="H5274:H5282"/>
    <mergeCell ref="D5261:D5262"/>
    <mergeCell ref="C5261:C5262"/>
    <mergeCell ref="B5261:B5262"/>
    <mergeCell ref="A5261:A5262"/>
    <mergeCell ref="G5266:G5267"/>
    <mergeCell ref="H5266:H5267"/>
    <mergeCell ref="I5266:I5267"/>
    <mergeCell ref="J5266:J5267"/>
    <mergeCell ref="K5266:K5267"/>
    <mergeCell ref="A5105:A5106"/>
    <mergeCell ref="C5105:C5106"/>
    <mergeCell ref="B5105:B5106"/>
    <mergeCell ref="A5237:A5238"/>
    <mergeCell ref="D5242:D5243"/>
    <mergeCell ref="C5242:C5243"/>
    <mergeCell ref="B5242:B5243"/>
    <mergeCell ref="A5242:A5243"/>
    <mergeCell ref="G5242:G5243"/>
    <mergeCell ref="I5242:I5243"/>
    <mergeCell ref="J5242:J5243"/>
    <mergeCell ref="C5239:C5240"/>
    <mergeCell ref="B5239:B5240"/>
    <mergeCell ref="A5239:A5240"/>
    <mergeCell ref="G5239:G5240"/>
    <mergeCell ref="H5239:H5240"/>
    <mergeCell ref="U5215:U5217"/>
    <mergeCell ref="H5105:H5106"/>
    <mergeCell ref="J5105:J5106"/>
    <mergeCell ref="K5105:K5106"/>
    <mergeCell ref="T5105:T5106"/>
    <mergeCell ref="G5206:G5208"/>
    <mergeCell ref="H5206:H5208"/>
    <mergeCell ref="I5206:I5208"/>
    <mergeCell ref="J5206:J5208"/>
    <mergeCell ref="K5206:K5208"/>
    <mergeCell ref="T5206:T5207"/>
    <mergeCell ref="K5242:K5243"/>
    <mergeCell ref="H5242:H5243"/>
    <mergeCell ref="G5237:G5238"/>
    <mergeCell ref="G5114:G5115"/>
    <mergeCell ref="H5114:H5115"/>
    <mergeCell ref="A5383:A5384"/>
    <mergeCell ref="B5383:B5384"/>
    <mergeCell ref="C5383:C5384"/>
    <mergeCell ref="D5383:D5384"/>
    <mergeCell ref="B5266:B5267"/>
    <mergeCell ref="B5271:B5272"/>
    <mergeCell ref="C5271:C5272"/>
    <mergeCell ref="D5271:D5272"/>
    <mergeCell ref="G5271:G5272"/>
    <mergeCell ref="G5446:G5447"/>
    <mergeCell ref="H5446:H5447"/>
    <mergeCell ref="I5446:I5447"/>
    <mergeCell ref="J5446:J5447"/>
    <mergeCell ref="J5172:J5173"/>
    <mergeCell ref="H5337:H5338"/>
    <mergeCell ref="G5274:G5282"/>
    <mergeCell ref="A5284:A5285"/>
    <mergeCell ref="G5284:G5285"/>
    <mergeCell ref="H5284:H5285"/>
    <mergeCell ref="I5284:I5285"/>
    <mergeCell ref="J5284:J5285"/>
    <mergeCell ref="I5383:I5384"/>
    <mergeCell ref="J5383:J5384"/>
    <mergeCell ref="H5383:H5384"/>
    <mergeCell ref="C5327:C5328"/>
    <mergeCell ref="B5327:B5328"/>
    <mergeCell ref="D5446:D5447"/>
    <mergeCell ref="D5412:D5413"/>
    <mergeCell ref="A5397:A5401"/>
    <mergeCell ref="B5397:B5401"/>
    <mergeCell ref="B5206:B5208"/>
    <mergeCell ref="A5206:A5208"/>
    <mergeCell ref="T5266:T5267"/>
    <mergeCell ref="C5206:C5208"/>
    <mergeCell ref="T5215:T5217"/>
    <mergeCell ref="A5233:A5235"/>
    <mergeCell ref="T5152:T5153"/>
    <mergeCell ref="T5147:T5148"/>
    <mergeCell ref="T5291:T5292"/>
    <mergeCell ref="C5485:C5486"/>
    <mergeCell ref="D5485:D5486"/>
    <mergeCell ref="G5473:G5474"/>
    <mergeCell ref="B5215:B5217"/>
    <mergeCell ref="A5215:A5217"/>
    <mergeCell ref="G5215:G5217"/>
    <mergeCell ref="B5172:B5173"/>
    <mergeCell ref="A5172:A5173"/>
    <mergeCell ref="G5172:G5173"/>
    <mergeCell ref="H5172:H5173"/>
    <mergeCell ref="I5172:I5173"/>
    <mergeCell ref="C5427:C5428"/>
    <mergeCell ref="I5337:I5338"/>
    <mergeCell ref="J5337:J5338"/>
    <mergeCell ref="K5337:K5338"/>
    <mergeCell ref="A5451:A5452"/>
    <mergeCell ref="A5412:A5413"/>
    <mergeCell ref="B5412:B5413"/>
    <mergeCell ref="C5412:C5413"/>
    <mergeCell ref="A5427:A5428"/>
    <mergeCell ref="B5427:B5428"/>
    <mergeCell ref="G5412:G5413"/>
    <mergeCell ref="C5458:C5459"/>
    <mergeCell ref="A5448:A5449"/>
    <mergeCell ref="G5261:G5262"/>
    <mergeCell ref="AA5563:AA5564"/>
    <mergeCell ref="T5458:T5459"/>
    <mergeCell ref="U5458:U5459"/>
    <mergeCell ref="U5446:U5447"/>
    <mergeCell ref="D5556:D5562"/>
    <mergeCell ref="C5556:C5562"/>
    <mergeCell ref="B5556:B5562"/>
    <mergeCell ref="A5556:A5562"/>
    <mergeCell ref="G5556:G5562"/>
    <mergeCell ref="H5556:H5562"/>
    <mergeCell ref="I5556:I5562"/>
    <mergeCell ref="J5556:J5562"/>
    <mergeCell ref="K5556:K5562"/>
    <mergeCell ref="D5563:D5564"/>
    <mergeCell ref="C5563:C5564"/>
    <mergeCell ref="B5563:B5564"/>
    <mergeCell ref="M5556:M5562"/>
    <mergeCell ref="R5556:R5562"/>
    <mergeCell ref="AA5524:AA5529"/>
    <mergeCell ref="D5537:D5538"/>
    <mergeCell ref="C5537:C5538"/>
    <mergeCell ref="U5544:U5545"/>
    <mergeCell ref="AA5458:AA5459"/>
    <mergeCell ref="K5446:K5447"/>
    <mergeCell ref="AA5451:AA5452"/>
    <mergeCell ref="AA5494:AA5495"/>
    <mergeCell ref="A5494:A5496"/>
    <mergeCell ref="H5458:H5459"/>
    <mergeCell ref="K5494:K5496"/>
    <mergeCell ref="T5485:T5486"/>
    <mergeCell ref="T5563:T5564"/>
    <mergeCell ref="A5489:A5493"/>
    <mergeCell ref="A5544:A5545"/>
    <mergeCell ref="G5544:G5545"/>
    <mergeCell ref="J5568:J5569"/>
    <mergeCell ref="K5568:K5569"/>
    <mergeCell ref="D5517:D5518"/>
    <mergeCell ref="I5544:I5545"/>
    <mergeCell ref="J5544:J5545"/>
    <mergeCell ref="K5544:K5545"/>
    <mergeCell ref="H5537:H5538"/>
    <mergeCell ref="I5537:I5538"/>
    <mergeCell ref="J5537:J5538"/>
    <mergeCell ref="K5537:K5538"/>
    <mergeCell ref="A5563:A5564"/>
    <mergeCell ref="G5563:G5564"/>
    <mergeCell ref="H5563:H5564"/>
    <mergeCell ref="I5563:I5564"/>
    <mergeCell ref="J5563:J5564"/>
    <mergeCell ref="B5537:B5538"/>
    <mergeCell ref="A5537:A5538"/>
    <mergeCell ref="G5537:G5538"/>
    <mergeCell ref="C5568:C5569"/>
    <mergeCell ref="B5568:B5569"/>
    <mergeCell ref="H5544:H5545"/>
    <mergeCell ref="A5568:A5569"/>
    <mergeCell ref="G5568:G5569"/>
    <mergeCell ref="H5568:H5569"/>
    <mergeCell ref="I5568:I5569"/>
    <mergeCell ref="D5568:D5569"/>
    <mergeCell ref="A5566:A5567"/>
    <mergeCell ref="G5566:G5567"/>
    <mergeCell ref="K5566:K5567"/>
    <mergeCell ref="J5566:J5567"/>
    <mergeCell ref="U5485:U5486"/>
    <mergeCell ref="D5489:D5493"/>
    <mergeCell ref="C5489:C5493"/>
    <mergeCell ref="B5489:B5493"/>
    <mergeCell ref="T5556:T5562"/>
    <mergeCell ref="T5544:T5545"/>
    <mergeCell ref="U5556:U5562"/>
    <mergeCell ref="U5563:U5564"/>
    <mergeCell ref="D5583:D5584"/>
    <mergeCell ref="C5583:C5584"/>
    <mergeCell ref="T5583:T5584"/>
    <mergeCell ref="U5566:U5567"/>
    <mergeCell ref="C5517:C5518"/>
    <mergeCell ref="B5517:B5518"/>
    <mergeCell ref="K5563:K5564"/>
    <mergeCell ref="G5583:G5584"/>
    <mergeCell ref="K5583:K5584"/>
    <mergeCell ref="T5566:T5567"/>
    <mergeCell ref="D5566:D5567"/>
    <mergeCell ref="C5566:C5567"/>
    <mergeCell ref="B5566:B5567"/>
    <mergeCell ref="J5583:J5584"/>
    <mergeCell ref="M5566:M5567"/>
    <mergeCell ref="I5566:I5567"/>
    <mergeCell ref="H5566:H5567"/>
    <mergeCell ref="B5473:B5474"/>
    <mergeCell ref="D5544:D5545"/>
    <mergeCell ref="C5544:C5545"/>
    <mergeCell ref="B5544:B5545"/>
    <mergeCell ref="B5588:B5589"/>
    <mergeCell ref="I5593:I5595"/>
    <mergeCell ref="J5593:J5595"/>
    <mergeCell ref="I5658:I5659"/>
    <mergeCell ref="H5658:H5659"/>
    <mergeCell ref="D5661:D5663"/>
    <mergeCell ref="C5661:C5663"/>
    <mergeCell ref="B5661:B5663"/>
    <mergeCell ref="C5693:C5694"/>
    <mergeCell ref="I5700:I5702"/>
    <mergeCell ref="H5700:H5702"/>
    <mergeCell ref="H5707:H5713"/>
    <mergeCell ref="I5707:I5713"/>
    <mergeCell ref="J5707:J5713"/>
    <mergeCell ref="D5700:D5702"/>
    <mergeCell ref="C5700:C5702"/>
    <mergeCell ref="B5700:B5702"/>
    <mergeCell ref="C5625:C5629"/>
    <mergeCell ref="D5625:D5629"/>
    <mergeCell ref="H5693:H5694"/>
    <mergeCell ref="H5645:H5646"/>
    <mergeCell ref="D5600:D5604"/>
    <mergeCell ref="C5588:C5589"/>
    <mergeCell ref="D5588:D5589"/>
    <mergeCell ref="D5596:D5597"/>
    <mergeCell ref="C5596:C5597"/>
    <mergeCell ref="G5596:G5597"/>
    <mergeCell ref="G5645:G5646"/>
    <mergeCell ref="D5679:D5681"/>
    <mergeCell ref="I5679:I5681"/>
    <mergeCell ref="B5583:B5584"/>
    <mergeCell ref="A5583:A5584"/>
    <mergeCell ref="I5583:I5584"/>
    <mergeCell ref="H5583:H5584"/>
    <mergeCell ref="B5633:B5634"/>
    <mergeCell ref="A5633:A5634"/>
    <mergeCell ref="A5679:A5681"/>
    <mergeCell ref="H5593:H5595"/>
    <mergeCell ref="G5625:G5629"/>
    <mergeCell ref="H5625:H5629"/>
    <mergeCell ref="I5625:I5629"/>
    <mergeCell ref="J5625:J5629"/>
    <mergeCell ref="H5679:H5681"/>
    <mergeCell ref="G5653:G5654"/>
    <mergeCell ref="H5653:H5654"/>
    <mergeCell ref="I5653:I5654"/>
    <mergeCell ref="J5653:J5654"/>
    <mergeCell ref="U5753:U5772"/>
    <mergeCell ref="U5773:U5774"/>
    <mergeCell ref="H5773:H5774"/>
    <mergeCell ref="U5825:U5826"/>
    <mergeCell ref="K5820:K5821"/>
    <mergeCell ref="I5820:I5821"/>
    <mergeCell ref="AA5888:AA5889"/>
    <mergeCell ref="T5873:T5874"/>
    <mergeCell ref="U5873:U5874"/>
    <mergeCell ref="U5886:U5887"/>
    <mergeCell ref="T5852:T5860"/>
    <mergeCell ref="U5850:U5851"/>
    <mergeCell ref="B5850:B5851"/>
    <mergeCell ref="D5798:D5799"/>
    <mergeCell ref="C5798:C5799"/>
    <mergeCell ref="B5798:B5799"/>
    <mergeCell ref="K5825:K5826"/>
    <mergeCell ref="J5825:J5826"/>
    <mergeCell ref="T5825:T5826"/>
    <mergeCell ref="T5850:T5851"/>
    <mergeCell ref="G5850:G5851"/>
    <mergeCell ref="I5850:I5851"/>
    <mergeCell ref="H5850:H5851"/>
    <mergeCell ref="D5875:D5876"/>
    <mergeCell ref="C5875:C5876"/>
    <mergeCell ref="AA5820:AA5821"/>
    <mergeCell ref="D5803:D5804"/>
    <mergeCell ref="C5803:C5804"/>
    <mergeCell ref="B5803:B5804"/>
    <mergeCell ref="G5803:G5804"/>
    <mergeCell ref="K5803:K5804"/>
    <mergeCell ref="J5803:J5804"/>
    <mergeCell ref="U5798:U5799"/>
    <mergeCell ref="U5803:U5804"/>
    <mergeCell ref="B5825:B5826"/>
    <mergeCell ref="D5850:D5851"/>
    <mergeCell ref="C5850:C5851"/>
    <mergeCell ref="M5850:M5851"/>
    <mergeCell ref="U5820:U5821"/>
    <mergeCell ref="A5803:A5804"/>
    <mergeCell ref="I5803:I5804"/>
    <mergeCell ref="H5803:H5804"/>
    <mergeCell ref="D5820:D5821"/>
    <mergeCell ref="C5820:C5821"/>
    <mergeCell ref="B5820:B5821"/>
    <mergeCell ref="A5820:A5821"/>
    <mergeCell ref="G5820:G5821"/>
    <mergeCell ref="H5820:H5821"/>
    <mergeCell ref="J5820:J5821"/>
    <mergeCell ref="T5803:T5804"/>
    <mergeCell ref="T5820:T5821"/>
    <mergeCell ref="C5825:C5826"/>
    <mergeCell ref="I5825:I5826"/>
    <mergeCell ref="H5825:H5826"/>
    <mergeCell ref="A5825:A5826"/>
    <mergeCell ref="G5825:G5826"/>
    <mergeCell ref="A5798:A5799"/>
    <mergeCell ref="K5798:K5799"/>
    <mergeCell ref="J5798:J5799"/>
    <mergeCell ref="I5798:I5799"/>
    <mergeCell ref="M5798:M5799"/>
    <mergeCell ref="T5798:T5799"/>
    <mergeCell ref="U5852:U5860"/>
    <mergeCell ref="A5850:A5851"/>
    <mergeCell ref="AA5886:AA5887"/>
    <mergeCell ref="B5873:B5874"/>
    <mergeCell ref="A5873:A5874"/>
    <mergeCell ref="G5873:G5874"/>
    <mergeCell ref="K5873:K5874"/>
    <mergeCell ref="J5873:J5874"/>
    <mergeCell ref="I5873:I5874"/>
    <mergeCell ref="H5873:H5874"/>
    <mergeCell ref="G5875:G5876"/>
    <mergeCell ref="K5875:K5876"/>
    <mergeCell ref="J5875:J5876"/>
    <mergeCell ref="I5875:I5876"/>
    <mergeCell ref="A5886:A5887"/>
    <mergeCell ref="K5886:K5887"/>
    <mergeCell ref="I5886:I5887"/>
    <mergeCell ref="H5886:H5887"/>
    <mergeCell ref="T5886:T5887"/>
    <mergeCell ref="A5852:A5862"/>
    <mergeCell ref="G5852:G5862"/>
    <mergeCell ref="H5852:H5862"/>
    <mergeCell ref="I5852:I5862"/>
    <mergeCell ref="J5852:J5862"/>
    <mergeCell ref="B5875:B5876"/>
    <mergeCell ref="C5886:C5887"/>
    <mergeCell ref="B5886:B5887"/>
    <mergeCell ref="G5886:G5887"/>
    <mergeCell ref="J5886:J5887"/>
    <mergeCell ref="T6010:T6011"/>
    <mergeCell ref="I6016:I6024"/>
    <mergeCell ref="H6016:H6024"/>
    <mergeCell ref="H5982:H5984"/>
    <mergeCell ref="J5987:J5988"/>
    <mergeCell ref="I5987:I5988"/>
    <mergeCell ref="H5987:H5988"/>
    <mergeCell ref="T6008:T6009"/>
    <mergeCell ref="J6016:J6024"/>
    <mergeCell ref="AA5913:AA5914"/>
    <mergeCell ref="D5916:D5917"/>
    <mergeCell ref="C5916:C5917"/>
    <mergeCell ref="AA5944:AA5945"/>
    <mergeCell ref="K5987:K5988"/>
    <mergeCell ref="A5987:A5988"/>
    <mergeCell ref="A5913:A5914"/>
    <mergeCell ref="G5913:G5914"/>
    <mergeCell ref="K5913:K5914"/>
    <mergeCell ref="J5913:J5914"/>
    <mergeCell ref="I5913:I5914"/>
    <mergeCell ref="J5982:J5984"/>
    <mergeCell ref="B5946:B5950"/>
    <mergeCell ref="A5946:A5950"/>
    <mergeCell ref="H5946:H5950"/>
    <mergeCell ref="D5980:D5981"/>
    <mergeCell ref="C5980:C5981"/>
    <mergeCell ref="B5980:B5981"/>
    <mergeCell ref="C5934:C5935"/>
    <mergeCell ref="T5980:T5981"/>
    <mergeCell ref="U5934:U5935"/>
    <mergeCell ref="J5980:J5981"/>
    <mergeCell ref="J5944:J5945"/>
    <mergeCell ref="M6017:M6021"/>
    <mergeCell ref="T6077:T6082"/>
    <mergeCell ref="M6077:M6078"/>
    <mergeCell ref="T5913:T5914"/>
    <mergeCell ref="B5944:B5945"/>
    <mergeCell ref="A5944:A5945"/>
    <mergeCell ref="G5987:G5988"/>
    <mergeCell ref="K5982:K5984"/>
    <mergeCell ref="U5980:U5981"/>
    <mergeCell ref="T5946:T5950"/>
    <mergeCell ref="T6067:T6068"/>
    <mergeCell ref="J6010:J6011"/>
    <mergeCell ref="I6010:I6011"/>
    <mergeCell ref="H6010:H6011"/>
    <mergeCell ref="U6077:U6082"/>
    <mergeCell ref="T6072:T6073"/>
    <mergeCell ref="M6080:M6082"/>
    <mergeCell ref="D6052:D6053"/>
    <mergeCell ref="C6052:C6053"/>
    <mergeCell ref="C5987:C5988"/>
    <mergeCell ref="I5980:I5981"/>
    <mergeCell ref="H5980:H5981"/>
    <mergeCell ref="D5944:D5945"/>
    <mergeCell ref="C5944:C5945"/>
    <mergeCell ref="K5944:K5945"/>
    <mergeCell ref="G5944:G5945"/>
    <mergeCell ref="D6008:D6009"/>
    <mergeCell ref="C6008:C6009"/>
    <mergeCell ref="G5980:G5981"/>
    <mergeCell ref="K6016:K6024"/>
    <mergeCell ref="T6017:T6021"/>
    <mergeCell ref="T6023:T6024"/>
    <mergeCell ref="U5913:U5914"/>
    <mergeCell ref="B5939:B5943"/>
    <mergeCell ref="A5939:A5943"/>
    <mergeCell ref="H5939:H5943"/>
    <mergeCell ref="I5939:I5943"/>
    <mergeCell ref="J5939:J5943"/>
    <mergeCell ref="K5939:K5943"/>
    <mergeCell ref="G6001:G6002"/>
    <mergeCell ref="K6001:K6002"/>
    <mergeCell ref="T6001:T6002"/>
    <mergeCell ref="M5934:M5935"/>
    <mergeCell ref="H5944:H5945"/>
    <mergeCell ref="T5987:T5988"/>
    <mergeCell ref="T5982:T5984"/>
    <mergeCell ref="D5982:D5984"/>
    <mergeCell ref="H5913:H5914"/>
    <mergeCell ref="B5916:B5917"/>
    <mergeCell ref="A5916:A5917"/>
    <mergeCell ref="D6001:D6002"/>
    <mergeCell ref="C6001:C6002"/>
    <mergeCell ref="A5980:A5981"/>
    <mergeCell ref="K5980:K5981"/>
    <mergeCell ref="D5939:D5943"/>
    <mergeCell ref="C5939:C5943"/>
    <mergeCell ref="G5939:G5943"/>
    <mergeCell ref="D5946:D5950"/>
    <mergeCell ref="D5934:D5935"/>
    <mergeCell ref="A5982:A5984"/>
    <mergeCell ref="I5982:I5984"/>
    <mergeCell ref="C5982:C5984"/>
    <mergeCell ref="G5982:G5984"/>
    <mergeCell ref="U5987:U5988"/>
    <mergeCell ref="U6194:U6195"/>
    <mergeCell ref="J6145:J6146"/>
    <mergeCell ref="I6145:I6146"/>
    <mergeCell ref="C6178:C6179"/>
    <mergeCell ref="B6188:B6192"/>
    <mergeCell ref="B6166:B6167"/>
    <mergeCell ref="G6217:G6250"/>
    <mergeCell ref="H6217:H6250"/>
    <mergeCell ref="M6230:M6235"/>
    <mergeCell ref="M6237:M6247"/>
    <mergeCell ref="J6166:J6167"/>
    <mergeCell ref="I6166:I6167"/>
    <mergeCell ref="H6166:H6167"/>
    <mergeCell ref="A6145:A6146"/>
    <mergeCell ref="T6237:T6247"/>
    <mergeCell ref="U6237:U6247"/>
    <mergeCell ref="U6248:U6250"/>
    <mergeCell ref="A6166:A6167"/>
    <mergeCell ref="H6188:H6192"/>
    <mergeCell ref="K6217:K6250"/>
    <mergeCell ref="U6190:U6192"/>
    <mergeCell ref="U6105:U6106"/>
    <mergeCell ref="T6105:T6106"/>
    <mergeCell ref="T6085:T6086"/>
    <mergeCell ref="U6054:U6055"/>
    <mergeCell ref="T6092:T6093"/>
    <mergeCell ref="J6092:J6094"/>
    <mergeCell ref="K6092:K6094"/>
    <mergeCell ref="D6105:D6106"/>
    <mergeCell ref="C6105:C6106"/>
    <mergeCell ref="T6115:T6116"/>
    <mergeCell ref="D6054:D6055"/>
    <mergeCell ref="T6180:T6181"/>
    <mergeCell ref="G6085:G6087"/>
    <mergeCell ref="D6085:D6087"/>
    <mergeCell ref="I6115:I6116"/>
    <mergeCell ref="H6115:H6116"/>
    <mergeCell ref="G6065:G6066"/>
    <mergeCell ref="H6065:H6066"/>
    <mergeCell ref="I6065:I6066"/>
    <mergeCell ref="J6065:J6066"/>
    <mergeCell ref="K6065:K6066"/>
    <mergeCell ref="D6067:D6068"/>
    <mergeCell ref="C6067:C6068"/>
    <mergeCell ref="C6115:C6116"/>
    <mergeCell ref="G6092:G6094"/>
    <mergeCell ref="H6092:H6094"/>
    <mergeCell ref="I6092:I6094"/>
    <mergeCell ref="H6077:H6083"/>
    <mergeCell ref="T6054:T6055"/>
    <mergeCell ref="H6145:H6146"/>
    <mergeCell ref="T6145:T6146"/>
    <mergeCell ref="J6115:J6116"/>
    <mergeCell ref="B6115:B6116"/>
    <mergeCell ref="A6115:A6116"/>
    <mergeCell ref="G6115:G6116"/>
    <mergeCell ref="J6180:J6181"/>
    <mergeCell ref="K6180:K6181"/>
    <mergeCell ref="T6251:T6252"/>
    <mergeCell ref="G6251:G6252"/>
    <mergeCell ref="B6257:B6264"/>
    <mergeCell ref="AA6054:AA6055"/>
    <mergeCell ref="T6065:T6066"/>
    <mergeCell ref="D6072:D6073"/>
    <mergeCell ref="C6072:C6073"/>
    <mergeCell ref="G6067:G6068"/>
    <mergeCell ref="H6067:H6068"/>
    <mergeCell ref="I6067:I6068"/>
    <mergeCell ref="J6067:J6068"/>
    <mergeCell ref="D6092:D6094"/>
    <mergeCell ref="C6092:C6094"/>
    <mergeCell ref="U6067:U6068"/>
    <mergeCell ref="U6065:U6066"/>
    <mergeCell ref="U6092:U6093"/>
    <mergeCell ref="U6145:U6146"/>
    <mergeCell ref="G6054:G6055"/>
    <mergeCell ref="K6054:K6055"/>
    <mergeCell ref="J6194:J6199"/>
    <mergeCell ref="I6194:I6199"/>
    <mergeCell ref="H6194:H6199"/>
    <mergeCell ref="I6217:I6250"/>
    <mergeCell ref="J6217:J6250"/>
    <mergeCell ref="C6188:C6192"/>
    <mergeCell ref="J6188:J6192"/>
    <mergeCell ref="I6188:I6192"/>
    <mergeCell ref="AA6188:AA6192"/>
    <mergeCell ref="D6194:D6199"/>
    <mergeCell ref="C6194:C6199"/>
    <mergeCell ref="B6194:B6199"/>
    <mergeCell ref="U6188:U6189"/>
    <mergeCell ref="G6257:G6264"/>
    <mergeCell ref="K6257:K6264"/>
    <mergeCell ref="J6257:J6264"/>
    <mergeCell ref="I6257:I6264"/>
    <mergeCell ref="H6257:H6264"/>
    <mergeCell ref="A6217:A6250"/>
    <mergeCell ref="B6217:B6250"/>
    <mergeCell ref="C6217:C6250"/>
    <mergeCell ref="D6217:D6250"/>
    <mergeCell ref="D6180:D6181"/>
    <mergeCell ref="C6180:C6181"/>
    <mergeCell ref="T6217:T6228"/>
    <mergeCell ref="U6180:U6181"/>
    <mergeCell ref="U6217:U6228"/>
    <mergeCell ref="U6230:U6235"/>
    <mergeCell ref="T6188:T6189"/>
    <mergeCell ref="T6190:T6192"/>
    <mergeCell ref="B6180:B6181"/>
    <mergeCell ref="A6180:A6181"/>
    <mergeCell ref="G6180:G6181"/>
    <mergeCell ref="H6180:H6181"/>
    <mergeCell ref="I6180:I6181"/>
    <mergeCell ref="A6188:A6192"/>
    <mergeCell ref="D6188:D6192"/>
    <mergeCell ref="M6217:M6228"/>
    <mergeCell ref="T6194:T6195"/>
    <mergeCell ref="M6194:M6195"/>
    <mergeCell ref="H6347:H6348"/>
    <mergeCell ref="T6330:T6331"/>
    <mergeCell ref="K6321:K6322"/>
    <mergeCell ref="J6321:J6322"/>
    <mergeCell ref="I6321:I6322"/>
    <mergeCell ref="H6321:H6322"/>
    <mergeCell ref="T6166:T6167"/>
    <mergeCell ref="G6188:G6192"/>
    <mergeCell ref="K6188:K6192"/>
    <mergeCell ref="T6292:T6293"/>
    <mergeCell ref="G6166:G6167"/>
    <mergeCell ref="K6166:K6167"/>
    <mergeCell ref="K6251:K6252"/>
    <mergeCell ref="H6266:H6268"/>
    <mergeCell ref="H6292:H6293"/>
    <mergeCell ref="T6321:T6322"/>
    <mergeCell ref="H6251:H6252"/>
    <mergeCell ref="T6248:T6250"/>
    <mergeCell ref="M6306:M6307"/>
    <mergeCell ref="T6306:T6307"/>
    <mergeCell ref="M6257:M6264"/>
    <mergeCell ref="T6257:T6264"/>
    <mergeCell ref="T6178:T6179"/>
    <mergeCell ref="T6230:T6235"/>
    <mergeCell ref="I6511:I6514"/>
    <mergeCell ref="T6500:T6501"/>
    <mergeCell ref="J6456:J6457"/>
    <mergeCell ref="K6456:K6457"/>
    <mergeCell ref="D6463:D6464"/>
    <mergeCell ref="C6463:C6464"/>
    <mergeCell ref="B6463:B6464"/>
    <mergeCell ref="A6463:A6464"/>
    <mergeCell ref="H6463:H6464"/>
    <mergeCell ref="H6511:H6514"/>
    <mergeCell ref="U6278:U6281"/>
    <mergeCell ref="U6257:U6264"/>
    <mergeCell ref="T6267:T6268"/>
    <mergeCell ref="U6267:U6268"/>
    <mergeCell ref="J6306:J6307"/>
    <mergeCell ref="I6306:I6307"/>
    <mergeCell ref="H6306:H6307"/>
    <mergeCell ref="U6321:U6322"/>
    <mergeCell ref="M6278:M6281"/>
    <mergeCell ref="K6306:K6307"/>
    <mergeCell ref="T6278:T6281"/>
    <mergeCell ref="G6321:G6322"/>
    <mergeCell ref="C6306:C6307"/>
    <mergeCell ref="B6306:B6307"/>
    <mergeCell ref="G6292:G6293"/>
    <mergeCell ref="K6292:K6293"/>
    <mergeCell ref="J6292:J6293"/>
    <mergeCell ref="I6292:I6293"/>
    <mergeCell ref="G6306:G6307"/>
    <mergeCell ref="C6257:C6264"/>
    <mergeCell ref="J6347:J6348"/>
    <mergeCell ref="I6347:I6348"/>
    <mergeCell ref="C6456:C6457"/>
    <mergeCell ref="B6451:B6452"/>
    <mergeCell ref="A6451:A6452"/>
    <mergeCell ref="G6451:G6452"/>
    <mergeCell ref="K6451:K6452"/>
    <mergeCell ref="J6451:J6452"/>
    <mergeCell ref="I6451:I6452"/>
    <mergeCell ref="G6463:G6464"/>
    <mergeCell ref="C6451:C6452"/>
    <mergeCell ref="U6456:U6457"/>
    <mergeCell ref="AA6511:AA6514"/>
    <mergeCell ref="D6500:D6501"/>
    <mergeCell ref="C6500:C6501"/>
    <mergeCell ref="B6500:B6501"/>
    <mergeCell ref="A6500:A6501"/>
    <mergeCell ref="G6500:G6501"/>
    <mergeCell ref="K6500:K6501"/>
    <mergeCell ref="J6500:J6501"/>
    <mergeCell ref="I6500:I6501"/>
    <mergeCell ref="H6500:H6501"/>
    <mergeCell ref="B6456:B6457"/>
    <mergeCell ref="A6456:A6457"/>
    <mergeCell ref="G6456:G6457"/>
    <mergeCell ref="H6456:H6457"/>
    <mergeCell ref="I6456:I6457"/>
    <mergeCell ref="D6511:D6514"/>
    <mergeCell ref="C6511:C6514"/>
    <mergeCell ref="B6511:B6514"/>
    <mergeCell ref="A6511:A6514"/>
    <mergeCell ref="G6511:G6514"/>
    <mergeCell ref="K6511:K6514"/>
    <mergeCell ref="J6511:J6514"/>
    <mergeCell ref="D6537:D6538"/>
    <mergeCell ref="C6537:C6538"/>
    <mergeCell ref="B6537:B6538"/>
    <mergeCell ref="A6537:A6538"/>
    <mergeCell ref="G6537:G6538"/>
    <mergeCell ref="K6537:K6538"/>
    <mergeCell ref="J6537:J6538"/>
    <mergeCell ref="I6537:I6538"/>
    <mergeCell ref="K6551:K6553"/>
    <mergeCell ref="AA6551:AA6553"/>
    <mergeCell ref="B6420:B6421"/>
    <mergeCell ref="A6420:A6421"/>
    <mergeCell ref="C6424:C6426"/>
    <mergeCell ref="B6424:B6426"/>
    <mergeCell ref="U6483:U6484"/>
    <mergeCell ref="I6463:I6464"/>
    <mergeCell ref="J6463:J6464"/>
    <mergeCell ref="K6463:K6464"/>
    <mergeCell ref="T6456:T6457"/>
    <mergeCell ref="T6451:T6452"/>
    <mergeCell ref="D6431:D6432"/>
    <mergeCell ref="C6431:C6432"/>
    <mergeCell ref="B6431:B6432"/>
    <mergeCell ref="A6431:A6432"/>
    <mergeCell ref="G6431:G6432"/>
    <mergeCell ref="K6431:K6432"/>
    <mergeCell ref="J6431:J6432"/>
    <mergeCell ref="H6424:H6426"/>
    <mergeCell ref="D6420:D6421"/>
    <mergeCell ref="C6420:C6421"/>
    <mergeCell ref="H6451:H6452"/>
    <mergeCell ref="D6456:D6457"/>
    <mergeCell ref="B6562:B6563"/>
    <mergeCell ref="A6562:A6563"/>
    <mergeCell ref="G6562:G6563"/>
    <mergeCell ref="K6562:K6563"/>
    <mergeCell ref="J6562:J6563"/>
    <mergeCell ref="I6562:I6563"/>
    <mergeCell ref="H6562:H6563"/>
    <mergeCell ref="T6547:T6548"/>
    <mergeCell ref="T6545:T6546"/>
    <mergeCell ref="T6537:T6538"/>
    <mergeCell ref="T6534:T6535"/>
    <mergeCell ref="U6463:U6464"/>
    <mergeCell ref="D6545:D6546"/>
    <mergeCell ref="C6545:C6546"/>
    <mergeCell ref="B6545:B6546"/>
    <mergeCell ref="A6545:A6546"/>
    <mergeCell ref="G6545:G6546"/>
    <mergeCell ref="H6545:H6546"/>
    <mergeCell ref="B6547:B6548"/>
    <mergeCell ref="A6547:A6548"/>
    <mergeCell ref="G6547:G6548"/>
    <mergeCell ref="H6547:H6548"/>
    <mergeCell ref="I6547:I6548"/>
    <mergeCell ref="J6547:J6548"/>
    <mergeCell ref="J6551:J6553"/>
    <mergeCell ref="B6534:B6535"/>
    <mergeCell ref="A6534:A6535"/>
    <mergeCell ref="G6534:G6535"/>
    <mergeCell ref="K6534:K6535"/>
    <mergeCell ref="J6534:J6535"/>
    <mergeCell ref="I6534:I6535"/>
    <mergeCell ref="H6534:H6535"/>
    <mergeCell ref="AA6583:AA6584"/>
    <mergeCell ref="T6562:T6563"/>
    <mergeCell ref="T6572:T6573"/>
    <mergeCell ref="U6545:U6546"/>
    <mergeCell ref="T6511:T6514"/>
    <mergeCell ref="T6551:T6553"/>
    <mergeCell ref="U6397:U6398"/>
    <mergeCell ref="D6572:D6573"/>
    <mergeCell ref="C6572:C6573"/>
    <mergeCell ref="B6572:B6573"/>
    <mergeCell ref="A6572:A6573"/>
    <mergeCell ref="G6572:G6573"/>
    <mergeCell ref="H6572:H6573"/>
    <mergeCell ref="I6572:I6573"/>
    <mergeCell ref="J6572:J6573"/>
    <mergeCell ref="K6572:K6573"/>
    <mergeCell ref="D6583:D6584"/>
    <mergeCell ref="C6583:C6584"/>
    <mergeCell ref="B6583:B6584"/>
    <mergeCell ref="A6583:A6584"/>
    <mergeCell ref="G6583:G6584"/>
    <mergeCell ref="K6583:K6584"/>
    <mergeCell ref="J6583:J6584"/>
    <mergeCell ref="I6583:I6584"/>
    <mergeCell ref="H6583:H6584"/>
    <mergeCell ref="D6551:D6553"/>
    <mergeCell ref="C6551:C6553"/>
    <mergeCell ref="B6551:B6553"/>
    <mergeCell ref="A6551:A6553"/>
    <mergeCell ref="G6551:G6553"/>
    <mergeCell ref="U6417:U6418"/>
    <mergeCell ref="U6572:U6573"/>
    <mergeCell ref="M5946:M5950"/>
    <mergeCell ref="M6511:M6514"/>
    <mergeCell ref="T6630:T6631"/>
    <mergeCell ref="D6651:D6652"/>
    <mergeCell ref="C6651:C6652"/>
    <mergeCell ref="B6651:B6652"/>
    <mergeCell ref="A6651:A6652"/>
    <mergeCell ref="G6651:G6652"/>
    <mergeCell ref="K6651:K6652"/>
    <mergeCell ref="J6651:J6652"/>
    <mergeCell ref="I6651:I6652"/>
    <mergeCell ref="H6651:H6652"/>
    <mergeCell ref="D6630:D6631"/>
    <mergeCell ref="C6630:C6631"/>
    <mergeCell ref="B6630:B6631"/>
    <mergeCell ref="A6630:A6631"/>
    <mergeCell ref="G6630:G6631"/>
    <mergeCell ref="K6630:K6631"/>
    <mergeCell ref="J6630:J6631"/>
    <mergeCell ref="I6630:I6631"/>
    <mergeCell ref="H6630:H6631"/>
    <mergeCell ref="D6634:D6635"/>
    <mergeCell ref="C6634:C6635"/>
    <mergeCell ref="B6634:B6635"/>
    <mergeCell ref="A6634:A6635"/>
    <mergeCell ref="G6634:G6635"/>
    <mergeCell ref="I6634:I6635"/>
    <mergeCell ref="J6634:J6635"/>
    <mergeCell ref="K6634:K6635"/>
    <mergeCell ref="H6634:H6635"/>
    <mergeCell ref="D6562:D6563"/>
    <mergeCell ref="C6562:C6563"/>
    <mergeCell ref="U6500:U6501"/>
    <mergeCell ref="T6724:T6725"/>
    <mergeCell ref="T6688:T6690"/>
    <mergeCell ref="T6715:T6717"/>
    <mergeCell ref="T6671:T6672"/>
    <mergeCell ref="D6724:D6725"/>
    <mergeCell ref="C6724:C6725"/>
    <mergeCell ref="B6724:B6725"/>
    <mergeCell ref="A6724:A6725"/>
    <mergeCell ref="G6724:G6725"/>
    <mergeCell ref="K6724:K6725"/>
    <mergeCell ref="J6724:J6725"/>
    <mergeCell ref="I6724:I6725"/>
    <mergeCell ref="H6724:H6725"/>
    <mergeCell ref="D6728:D6733"/>
    <mergeCell ref="C6728:C6733"/>
    <mergeCell ref="B6728:B6733"/>
    <mergeCell ref="A6728:A6733"/>
    <mergeCell ref="G6728:G6733"/>
    <mergeCell ref="K6728:K6733"/>
    <mergeCell ref="J6728:J6733"/>
    <mergeCell ref="I6728:I6733"/>
    <mergeCell ref="H6728:H6733"/>
    <mergeCell ref="D6715:D6717"/>
    <mergeCell ref="C6715:C6717"/>
    <mergeCell ref="B6715:B6717"/>
    <mergeCell ref="A6715:A6717"/>
    <mergeCell ref="G6715:G6717"/>
    <mergeCell ref="K6715:K6717"/>
    <mergeCell ref="J6715:J6717"/>
    <mergeCell ref="I6715:I6717"/>
    <mergeCell ref="H6715:H6717"/>
    <mergeCell ref="T6761:T6762"/>
    <mergeCell ref="U6669:U6670"/>
    <mergeCell ref="T6801:T6802"/>
    <mergeCell ref="T6799:T6800"/>
    <mergeCell ref="U6761:U6762"/>
    <mergeCell ref="U6655:U6659"/>
    <mergeCell ref="D6799:D6800"/>
    <mergeCell ref="C6799:C6800"/>
    <mergeCell ref="B6799:B6800"/>
    <mergeCell ref="A6799:A6800"/>
    <mergeCell ref="G6799:G6800"/>
    <mergeCell ref="K6799:K6800"/>
    <mergeCell ref="J6799:J6800"/>
    <mergeCell ref="I6799:I6800"/>
    <mergeCell ref="H6799:H6800"/>
    <mergeCell ref="A6801:A6802"/>
    <mergeCell ref="B6801:B6802"/>
    <mergeCell ref="C6801:C6802"/>
    <mergeCell ref="D6801:D6802"/>
    <mergeCell ref="G6801:G6802"/>
    <mergeCell ref="H6801:H6802"/>
    <mergeCell ref="I6801:I6802"/>
    <mergeCell ref="J6801:J6802"/>
    <mergeCell ref="K6801:K6802"/>
    <mergeCell ref="U6785:U6786"/>
    <mergeCell ref="T6728:T6733"/>
    <mergeCell ref="A6655:A6659"/>
    <mergeCell ref="G6655:G6659"/>
    <mergeCell ref="K6655:K6659"/>
    <mergeCell ref="B6673:B6680"/>
    <mergeCell ref="A6673:A6680"/>
    <mergeCell ref="U6766:U6767"/>
    <mergeCell ref="U6772:U6773"/>
    <mergeCell ref="U6768:U6769"/>
    <mergeCell ref="D6816:D6818"/>
    <mergeCell ref="C6816:C6818"/>
    <mergeCell ref="B6816:B6818"/>
    <mergeCell ref="A6816:A6818"/>
    <mergeCell ref="G6816:G6818"/>
    <mergeCell ref="K6816:K6818"/>
    <mergeCell ref="J6816:J6818"/>
    <mergeCell ref="I6816:I6818"/>
    <mergeCell ref="H6816:H6818"/>
    <mergeCell ref="A6806:A6807"/>
    <mergeCell ref="B6806:B6807"/>
    <mergeCell ref="C6806:C6807"/>
    <mergeCell ref="D6806:D6807"/>
    <mergeCell ref="G6806:G6807"/>
    <mergeCell ref="H6806:H6807"/>
    <mergeCell ref="I6806:I6807"/>
    <mergeCell ref="J6806:J6807"/>
    <mergeCell ref="K6806:K6807"/>
    <mergeCell ref="T6779:T6782"/>
    <mergeCell ref="T6772:T6773"/>
    <mergeCell ref="U6779:U6782"/>
    <mergeCell ref="U6806:U6807"/>
    <mergeCell ref="T6806:T6807"/>
    <mergeCell ref="G6810:G6813"/>
    <mergeCell ref="D6810:D6813"/>
    <mergeCell ref="C6810:C6813"/>
    <mergeCell ref="U6810:U6813"/>
    <mergeCell ref="U6799:U6800"/>
    <mergeCell ref="I6772:I6773"/>
    <mergeCell ref="J6772:J6773"/>
    <mergeCell ref="K6902:K6903"/>
    <mergeCell ref="AA6816:AA6818"/>
    <mergeCell ref="D6819:D6828"/>
    <mergeCell ref="C6819:C6828"/>
    <mergeCell ref="B6819:B6828"/>
    <mergeCell ref="A6819:A6828"/>
    <mergeCell ref="G6819:G6828"/>
    <mergeCell ref="H6819:H6828"/>
    <mergeCell ref="I6819:I6828"/>
    <mergeCell ref="J6819:J6828"/>
    <mergeCell ref="K6819:K6828"/>
    <mergeCell ref="AA6819:AA6828"/>
    <mergeCell ref="U6816:U6817"/>
    <mergeCell ref="T6816:T6817"/>
    <mergeCell ref="M6850:M6851"/>
    <mergeCell ref="D6883:D6884"/>
    <mergeCell ref="I6883:I6884"/>
    <mergeCell ref="H6883:H6884"/>
    <mergeCell ref="U6819:U6821"/>
    <mergeCell ref="T6827:T6828"/>
    <mergeCell ref="U6902:U6903"/>
    <mergeCell ref="T6902:T6903"/>
    <mergeCell ref="T6822:T6826"/>
    <mergeCell ref="U6822:U6826"/>
    <mergeCell ref="U6827:U6828"/>
    <mergeCell ref="G6910:G6911"/>
    <mergeCell ref="K6910:K6911"/>
    <mergeCell ref="J6910:J6911"/>
    <mergeCell ref="I6910:I6911"/>
    <mergeCell ref="H6910:H6911"/>
    <mergeCell ref="AA6910:AA6911"/>
    <mergeCell ref="D6921:D6922"/>
    <mergeCell ref="C6921:C6922"/>
    <mergeCell ref="B6921:B6922"/>
    <mergeCell ref="A6921:A6922"/>
    <mergeCell ref="G6921:G6922"/>
    <mergeCell ref="K6921:K6922"/>
    <mergeCell ref="J6921:J6922"/>
    <mergeCell ref="I6921:I6922"/>
    <mergeCell ref="H6921:H6922"/>
    <mergeCell ref="D6889:D6890"/>
    <mergeCell ref="C6889:C6890"/>
    <mergeCell ref="B6889:B6890"/>
    <mergeCell ref="A6889:A6890"/>
    <mergeCell ref="G6889:G6890"/>
    <mergeCell ref="K6889:K6890"/>
    <mergeCell ref="J6889:J6890"/>
    <mergeCell ref="I6889:I6890"/>
    <mergeCell ref="H6889:H6890"/>
    <mergeCell ref="G6902:G6903"/>
    <mergeCell ref="A6902:A6903"/>
    <mergeCell ref="B6902:B6903"/>
    <mergeCell ref="C6902:C6903"/>
    <mergeCell ref="D6902:D6903"/>
    <mergeCell ref="H6902:H6903"/>
    <mergeCell ref="I6902:I6903"/>
    <mergeCell ref="J6902:J6903"/>
    <mergeCell ref="D6957:D6958"/>
    <mergeCell ref="C6957:C6958"/>
    <mergeCell ref="B6957:B6958"/>
    <mergeCell ref="A6957:A6958"/>
    <mergeCell ref="G6957:G6958"/>
    <mergeCell ref="H6957:H6958"/>
    <mergeCell ref="I6957:I6958"/>
    <mergeCell ref="J6957:J6958"/>
    <mergeCell ref="K6957:K6958"/>
    <mergeCell ref="D6961:D6963"/>
    <mergeCell ref="C6961:C6963"/>
    <mergeCell ref="B6961:B6963"/>
    <mergeCell ref="A6961:A6963"/>
    <mergeCell ref="G6961:G6963"/>
    <mergeCell ref="H6961:H6963"/>
    <mergeCell ref="I6961:I6963"/>
    <mergeCell ref="J6961:J6963"/>
    <mergeCell ref="K6961:K6963"/>
    <mergeCell ref="D6924:D6925"/>
    <mergeCell ref="C6924:C6925"/>
    <mergeCell ref="B6924:B6925"/>
    <mergeCell ref="A6924:A6925"/>
    <mergeCell ref="G6924:G6925"/>
    <mergeCell ref="H6924:H6925"/>
    <mergeCell ref="I6924:I6925"/>
    <mergeCell ref="J6924:J6925"/>
    <mergeCell ref="K6924:K6925"/>
    <mergeCell ref="T6910:T6911"/>
    <mergeCell ref="T6924:T6925"/>
    <mergeCell ref="T6921:T6922"/>
    <mergeCell ref="H7073:H7074"/>
    <mergeCell ref="D7075:D7076"/>
    <mergeCell ref="D7061:D7062"/>
    <mergeCell ref="C7061:C7062"/>
    <mergeCell ref="AA6961:AA6963"/>
    <mergeCell ref="D6969:D6971"/>
    <mergeCell ref="C6969:C6971"/>
    <mergeCell ref="B6969:B6971"/>
    <mergeCell ref="A6969:A6971"/>
    <mergeCell ref="G6969:G6971"/>
    <mergeCell ref="U6921:U6922"/>
    <mergeCell ref="K6969:K6971"/>
    <mergeCell ref="J6969:J6971"/>
    <mergeCell ref="I6969:I6971"/>
    <mergeCell ref="H6969:H6971"/>
    <mergeCell ref="AA6969:AA6971"/>
    <mergeCell ref="T6957:T6958"/>
    <mergeCell ref="D6951:D6952"/>
    <mergeCell ref="C6951:C6952"/>
    <mergeCell ref="B6951:B6952"/>
    <mergeCell ref="A6951:A6952"/>
    <mergeCell ref="G6951:G6952"/>
    <mergeCell ref="K6951:K6952"/>
    <mergeCell ref="J6951:J6952"/>
    <mergeCell ref="I6951:I6952"/>
    <mergeCell ref="H6951:H6952"/>
    <mergeCell ref="D6910:D6911"/>
    <mergeCell ref="C6910:C6911"/>
    <mergeCell ref="B6910:B6911"/>
    <mergeCell ref="A6910:A6911"/>
    <mergeCell ref="I7075:I7076"/>
    <mergeCell ref="J7075:J7076"/>
    <mergeCell ref="K7075:K7076"/>
    <mergeCell ref="D7113:D7114"/>
    <mergeCell ref="AA7075:AA7076"/>
    <mergeCell ref="T7044:T7045"/>
    <mergeCell ref="T7035:T7036"/>
    <mergeCell ref="T7073:T7074"/>
    <mergeCell ref="U6995:U7009"/>
    <mergeCell ref="D7081:D7083"/>
    <mergeCell ref="C7081:C7083"/>
    <mergeCell ref="B7081:B7083"/>
    <mergeCell ref="A7081:A7083"/>
    <mergeCell ref="G7081:G7083"/>
    <mergeCell ref="H7081:H7083"/>
    <mergeCell ref="I7081:I7083"/>
    <mergeCell ref="J7081:J7083"/>
    <mergeCell ref="K7081:K7083"/>
    <mergeCell ref="T7067:T7068"/>
    <mergeCell ref="T7063:T7064"/>
    <mergeCell ref="T7061:T7062"/>
    <mergeCell ref="D7073:D7074"/>
    <mergeCell ref="J7157:J7163"/>
    <mergeCell ref="K7157:K7163"/>
    <mergeCell ref="U7107:U7108"/>
    <mergeCell ref="U7104:U7105"/>
    <mergeCell ref="J7067:J7068"/>
    <mergeCell ref="K7067:K7068"/>
    <mergeCell ref="B7061:B7062"/>
    <mergeCell ref="A7061:A7062"/>
    <mergeCell ref="G7061:G7062"/>
    <mergeCell ref="K7061:K7062"/>
    <mergeCell ref="J7061:J7062"/>
    <mergeCell ref="I7061:I7062"/>
    <mergeCell ref="H7061:H7062"/>
    <mergeCell ref="B7075:B7076"/>
    <mergeCell ref="A7075:A7076"/>
    <mergeCell ref="G7075:G7076"/>
    <mergeCell ref="U7067:U7068"/>
    <mergeCell ref="D7104:D7105"/>
    <mergeCell ref="C7104:C7105"/>
    <mergeCell ref="B7104:B7105"/>
    <mergeCell ref="A7104:A7105"/>
    <mergeCell ref="G7104:G7105"/>
    <mergeCell ref="K7104:K7105"/>
    <mergeCell ref="J7104:J7105"/>
    <mergeCell ref="I7104:I7105"/>
    <mergeCell ref="H7104:H7105"/>
    <mergeCell ref="C7067:C7068"/>
    <mergeCell ref="D7067:D7068"/>
    <mergeCell ref="G7067:G7068"/>
    <mergeCell ref="H7067:H7068"/>
    <mergeCell ref="I7067:I7068"/>
    <mergeCell ref="T7113:T7114"/>
    <mergeCell ref="U7123:U7124"/>
    <mergeCell ref="U6961:U6963"/>
    <mergeCell ref="D7177:D7178"/>
    <mergeCell ref="C7177:C7178"/>
    <mergeCell ref="B7177:B7178"/>
    <mergeCell ref="A7177:A7178"/>
    <mergeCell ref="G7177:G7178"/>
    <mergeCell ref="K7177:K7178"/>
    <mergeCell ref="J7177:J7178"/>
    <mergeCell ref="I7177:I7178"/>
    <mergeCell ref="H7177:H7178"/>
    <mergeCell ref="T7116:T7117"/>
    <mergeCell ref="U7116:U7117"/>
    <mergeCell ref="G7078:G7079"/>
    <mergeCell ref="D7078:D7079"/>
    <mergeCell ref="C7078:C7079"/>
    <mergeCell ref="B7078:B7079"/>
    <mergeCell ref="A7078:A7079"/>
    <mergeCell ref="H7078:H7079"/>
    <mergeCell ref="I7078:I7079"/>
    <mergeCell ref="J7078:J7079"/>
    <mergeCell ref="K7078:K7079"/>
    <mergeCell ref="U7113:U7114"/>
    <mergeCell ref="D7175:D7176"/>
    <mergeCell ref="C7175:C7176"/>
    <mergeCell ref="B7175:B7176"/>
    <mergeCell ref="U7044:U7045"/>
    <mergeCell ref="C7157:C7163"/>
    <mergeCell ref="B7157:B7163"/>
    <mergeCell ref="A7157:A7163"/>
    <mergeCell ref="G7157:G7163"/>
    <mergeCell ref="H7157:H7163"/>
    <mergeCell ref="A7175:A7176"/>
    <mergeCell ref="G7175:G7176"/>
    <mergeCell ref="H7175:H7176"/>
    <mergeCell ref="I7175:I7176"/>
    <mergeCell ref="J7175:J7176"/>
    <mergeCell ref="K7175:K7176"/>
    <mergeCell ref="U7212:U7215"/>
    <mergeCell ref="U7175:U7176"/>
    <mergeCell ref="D7241:D7242"/>
    <mergeCell ref="C7241:C7242"/>
    <mergeCell ref="T7241:T7242"/>
    <mergeCell ref="T7225:T7226"/>
    <mergeCell ref="D7283:D7284"/>
    <mergeCell ref="C7283:C7284"/>
    <mergeCell ref="G7168:G7169"/>
    <mergeCell ref="K7168:K7169"/>
    <mergeCell ref="J7168:J7169"/>
    <mergeCell ref="I7168:I7169"/>
    <mergeCell ref="H7168:H7169"/>
    <mergeCell ref="T7222:T7223"/>
    <mergeCell ref="D7276:D7282"/>
    <mergeCell ref="C7276:C7282"/>
    <mergeCell ref="B7276:B7282"/>
    <mergeCell ref="A7276:A7282"/>
    <mergeCell ref="G7276:G7282"/>
    <mergeCell ref="K7276:K7282"/>
    <mergeCell ref="J7276:J7282"/>
    <mergeCell ref="I7276:I7282"/>
    <mergeCell ref="H7276:H7282"/>
    <mergeCell ref="T7274:T7275"/>
    <mergeCell ref="T7279:T7280"/>
    <mergeCell ref="M7279:M7280"/>
    <mergeCell ref="D7338:D7339"/>
    <mergeCell ref="C7338:C7339"/>
    <mergeCell ref="B7338:B7339"/>
    <mergeCell ref="A7338:A7339"/>
    <mergeCell ref="G7338:G7339"/>
    <mergeCell ref="K7338:K7339"/>
    <mergeCell ref="J7338:J7339"/>
    <mergeCell ref="I7338:I7339"/>
    <mergeCell ref="H7338:H7339"/>
    <mergeCell ref="M7276:M7278"/>
    <mergeCell ref="M7281:M7282"/>
    <mergeCell ref="T7276:T7278"/>
    <mergeCell ref="T7281:T7282"/>
    <mergeCell ref="T7338:T7339"/>
    <mergeCell ref="U7225:U7226"/>
    <mergeCell ref="C7113:C7114"/>
    <mergeCell ref="B7113:B7114"/>
    <mergeCell ref="A7113:A7114"/>
    <mergeCell ref="G7113:G7114"/>
    <mergeCell ref="H7113:H7114"/>
    <mergeCell ref="I7113:I7114"/>
    <mergeCell ref="J7113:J7114"/>
    <mergeCell ref="K7113:K7114"/>
    <mergeCell ref="G7307:G7308"/>
    <mergeCell ref="D7307:D7308"/>
    <mergeCell ref="C7307:C7308"/>
    <mergeCell ref="B7307:B7308"/>
    <mergeCell ref="A7307:A7308"/>
    <mergeCell ref="H7307:H7308"/>
    <mergeCell ref="I7307:I7308"/>
    <mergeCell ref="J7307:J7308"/>
    <mergeCell ref="D7199:D7201"/>
    <mergeCell ref="C7199:C7201"/>
    <mergeCell ref="B7199:B7201"/>
    <mergeCell ref="A7199:A7201"/>
    <mergeCell ref="G7199:G7201"/>
    <mergeCell ref="K7199:K7201"/>
    <mergeCell ref="J7199:J7201"/>
    <mergeCell ref="I7199:I7201"/>
    <mergeCell ref="D7358:D7359"/>
    <mergeCell ref="C7358:C7359"/>
    <mergeCell ref="B7358:B7359"/>
    <mergeCell ref="A7358:A7359"/>
    <mergeCell ref="G7358:G7359"/>
    <mergeCell ref="H7358:H7359"/>
    <mergeCell ref="I7358:I7359"/>
    <mergeCell ref="J7358:J7359"/>
    <mergeCell ref="K7358:K7359"/>
    <mergeCell ref="H7199:H7201"/>
    <mergeCell ref="H7283:H7284"/>
    <mergeCell ref="J7225:J7226"/>
    <mergeCell ref="I7225:I7226"/>
    <mergeCell ref="H7225:H7226"/>
    <mergeCell ref="K7241:K7242"/>
    <mergeCell ref="J7241:J7242"/>
    <mergeCell ref="I7241:I7242"/>
    <mergeCell ref="H7241:H7242"/>
    <mergeCell ref="B7241:B7242"/>
    <mergeCell ref="A7241:A7242"/>
    <mergeCell ref="G7241:G7242"/>
    <mergeCell ref="K7307:K7308"/>
    <mergeCell ref="U7291:U7292"/>
    <mergeCell ref="T7351:T7354"/>
    <mergeCell ref="T7349:T7350"/>
    <mergeCell ref="T7307:T7308"/>
    <mergeCell ref="D7349:D7350"/>
    <mergeCell ref="C7349:C7350"/>
    <mergeCell ref="B7349:B7350"/>
    <mergeCell ref="A7349:A7350"/>
    <mergeCell ref="G7349:G7350"/>
    <mergeCell ref="K7349:K7350"/>
    <mergeCell ref="J7349:J7350"/>
    <mergeCell ref="I7349:I7350"/>
    <mergeCell ref="H7349:H7350"/>
    <mergeCell ref="D7351:D7356"/>
    <mergeCell ref="C7351:C7356"/>
    <mergeCell ref="B7351:B7356"/>
    <mergeCell ref="A7351:A7356"/>
    <mergeCell ref="G7351:G7356"/>
    <mergeCell ref="K7351:K7356"/>
    <mergeCell ref="J7351:J7356"/>
    <mergeCell ref="I7351:I7356"/>
    <mergeCell ref="H7351:H7356"/>
    <mergeCell ref="U7307:U7308"/>
    <mergeCell ref="M7351:M7354"/>
    <mergeCell ref="B7416:B7417"/>
    <mergeCell ref="A7416:A7417"/>
    <mergeCell ref="G7416:G7417"/>
    <mergeCell ref="H7416:H7417"/>
    <mergeCell ref="I7416:I7417"/>
    <mergeCell ref="J7416:J7417"/>
    <mergeCell ref="K7416:K7417"/>
    <mergeCell ref="D7396:D7397"/>
    <mergeCell ref="C7396:C7397"/>
    <mergeCell ref="B7396:B7397"/>
    <mergeCell ref="A7396:A7397"/>
    <mergeCell ref="G7396:G7397"/>
    <mergeCell ref="K7396:K7397"/>
    <mergeCell ref="J7396:J7397"/>
    <mergeCell ref="I7396:I7397"/>
    <mergeCell ref="H7396:H7397"/>
    <mergeCell ref="D7406:D7407"/>
    <mergeCell ref="C7406:C7407"/>
    <mergeCell ref="B7406:B7407"/>
    <mergeCell ref="A7406:A7407"/>
    <mergeCell ref="G7406:G7407"/>
    <mergeCell ref="K7406:K7407"/>
    <mergeCell ref="J7406:J7407"/>
    <mergeCell ref="I7406:I7407"/>
    <mergeCell ref="H7406:H7407"/>
    <mergeCell ref="B7422:B7423"/>
    <mergeCell ref="A7422:A7423"/>
    <mergeCell ref="G7422:G7423"/>
    <mergeCell ref="H7422:H7423"/>
    <mergeCell ref="I7422:I7423"/>
    <mergeCell ref="J7422:J7423"/>
    <mergeCell ref="K7422:K7423"/>
    <mergeCell ref="T7422:T7423"/>
    <mergeCell ref="U7422:U7423"/>
    <mergeCell ref="U7338:U7339"/>
    <mergeCell ref="T7381:T7382"/>
    <mergeCell ref="T7363:T7364"/>
    <mergeCell ref="U7276:U7278"/>
    <mergeCell ref="U7281:U7282"/>
    <mergeCell ref="D7426:D7427"/>
    <mergeCell ref="C7426:C7427"/>
    <mergeCell ref="B7426:B7427"/>
    <mergeCell ref="A7426:A7427"/>
    <mergeCell ref="G7426:G7427"/>
    <mergeCell ref="H7426:H7427"/>
    <mergeCell ref="I7426:I7427"/>
    <mergeCell ref="J7426:J7427"/>
    <mergeCell ref="K7426:K7427"/>
    <mergeCell ref="U7349:U7350"/>
    <mergeCell ref="T7396:T7397"/>
    <mergeCell ref="T7406:T7407"/>
    <mergeCell ref="D7414:D7415"/>
    <mergeCell ref="C7414:C7415"/>
    <mergeCell ref="B7414:B7415"/>
    <mergeCell ref="A7414:A7415"/>
    <mergeCell ref="G7414:G7415"/>
    <mergeCell ref="H7414:H7415"/>
    <mergeCell ref="B7448:B7449"/>
    <mergeCell ref="A7448:A7449"/>
    <mergeCell ref="G7448:G7449"/>
    <mergeCell ref="K7448:K7449"/>
    <mergeCell ref="J7448:J7449"/>
    <mergeCell ref="I7448:I7449"/>
    <mergeCell ref="H7448:H7449"/>
    <mergeCell ref="D7451:D7454"/>
    <mergeCell ref="C7451:C7454"/>
    <mergeCell ref="B7451:B7454"/>
    <mergeCell ref="A7451:A7454"/>
    <mergeCell ref="G7451:G7454"/>
    <mergeCell ref="K7451:K7454"/>
    <mergeCell ref="J7451:J7454"/>
    <mergeCell ref="I7451:I7454"/>
    <mergeCell ref="H7451:H7454"/>
    <mergeCell ref="D7428:D7432"/>
    <mergeCell ref="C7428:C7432"/>
    <mergeCell ref="B7428:B7432"/>
    <mergeCell ref="A7428:A7432"/>
    <mergeCell ref="G7428:G7432"/>
    <mergeCell ref="K7428:K7432"/>
    <mergeCell ref="J7428:J7432"/>
    <mergeCell ref="I7428:I7432"/>
    <mergeCell ref="H7428:H7432"/>
    <mergeCell ref="T7455:T7458"/>
    <mergeCell ref="T7426:T7427"/>
    <mergeCell ref="U7358:U7359"/>
    <mergeCell ref="U7355:U7356"/>
    <mergeCell ref="U7351:U7354"/>
    <mergeCell ref="U7455:U7458"/>
    <mergeCell ref="U7396:U7397"/>
    <mergeCell ref="T7448:T7449"/>
    <mergeCell ref="T7414:T7415"/>
    <mergeCell ref="T7416:T7417"/>
    <mergeCell ref="U7375:U7376"/>
    <mergeCell ref="U7406:U7407"/>
    <mergeCell ref="T7428:T7432"/>
    <mergeCell ref="U7378:U7379"/>
    <mergeCell ref="M7381:M7382"/>
    <mergeCell ref="D7448:D7449"/>
    <mergeCell ref="C7448:C7449"/>
    <mergeCell ref="D7422:D7423"/>
    <mergeCell ref="C7422:C7423"/>
    <mergeCell ref="I7414:I7415"/>
    <mergeCell ref="J7414:J7415"/>
    <mergeCell ref="K7414:K7415"/>
    <mergeCell ref="D7416:D7417"/>
    <mergeCell ref="C7416:C7417"/>
    <mergeCell ref="T7358:T7359"/>
    <mergeCell ref="T7355:T7356"/>
    <mergeCell ref="D7363:D7364"/>
    <mergeCell ref="C7363:C7364"/>
    <mergeCell ref="T7378:T7379"/>
    <mergeCell ref="D7378:D7379"/>
    <mergeCell ref="C7378:C7379"/>
    <mergeCell ref="D7464:D7465"/>
    <mergeCell ref="C7464:C7465"/>
    <mergeCell ref="B7464:B7465"/>
    <mergeCell ref="A7464:A7465"/>
    <mergeCell ref="G7464:G7465"/>
    <mergeCell ref="K7464:K7465"/>
    <mergeCell ref="J7464:J7465"/>
    <mergeCell ref="I7464:I7465"/>
    <mergeCell ref="H7464:H7465"/>
    <mergeCell ref="D7455:D7458"/>
    <mergeCell ref="C7455:C7458"/>
    <mergeCell ref="B7455:B7458"/>
    <mergeCell ref="A7455:A7458"/>
    <mergeCell ref="G7455:G7458"/>
    <mergeCell ref="K7455:K7458"/>
    <mergeCell ref="J7455:J7458"/>
    <mergeCell ref="I7455:I7458"/>
    <mergeCell ref="H7455:H7458"/>
  </mergeCells>
  <hyperlinks>
    <hyperlink ref="W9" r:id="rId1"/>
    <hyperlink ref="W5" r:id="rId2"/>
    <hyperlink ref="W10" r:id="rId3"/>
    <hyperlink ref="W11" r:id="rId4"/>
    <hyperlink ref="W12" r:id="rId5"/>
    <hyperlink ref="W57" r:id="rId6"/>
    <hyperlink ref="W58" r:id="rId7"/>
    <hyperlink ref="W59" r:id="rId8"/>
    <hyperlink ref="W61" r:id="rId9"/>
    <hyperlink ref="W62" r:id="rId10"/>
    <hyperlink ref="W63" r:id="rId11"/>
    <hyperlink ref="W64" r:id="rId12"/>
    <hyperlink ref="W67" r:id="rId13"/>
    <hyperlink ref="W73" r:id="rId14"/>
    <hyperlink ref="W92" r:id="rId15"/>
    <hyperlink ref="W93" r:id="rId16"/>
    <hyperlink ref="W94" r:id="rId17"/>
    <hyperlink ref="W96" r:id="rId18"/>
    <hyperlink ref="W98" r:id="rId19"/>
    <hyperlink ref="W99" r:id="rId20"/>
    <hyperlink ref="W100" r:id="rId21"/>
    <hyperlink ref="W105" r:id="rId22"/>
    <hyperlink ref="W108" r:id="rId23"/>
    <hyperlink ref="W112" r:id="rId24"/>
    <hyperlink ref="W113" r:id="rId25"/>
    <hyperlink ref="W114" r:id="rId26"/>
    <hyperlink ref="W115" r:id="rId27"/>
    <hyperlink ref="W117" r:id="rId28"/>
    <hyperlink ref="W118" r:id="rId29"/>
    <hyperlink ref="W122" r:id="rId30"/>
    <hyperlink ref="W123" r:id="rId31"/>
    <hyperlink ref="W134" r:id="rId32"/>
    <hyperlink ref="W135" r:id="rId33"/>
    <hyperlink ref="W137" r:id="rId34"/>
    <hyperlink ref="W138" r:id="rId35"/>
    <hyperlink ref="W144" r:id="rId36"/>
    <hyperlink ref="W146" r:id="rId37"/>
    <hyperlink ref="W151" r:id="rId38"/>
    <hyperlink ref="W152" r:id="rId39"/>
    <hyperlink ref="W154" r:id="rId40"/>
    <hyperlink ref="W173" r:id="rId41"/>
    <hyperlink ref="W174" r:id="rId42"/>
    <hyperlink ref="W175" r:id="rId43"/>
    <hyperlink ref="W177" r:id="rId44"/>
    <hyperlink ref="W179" r:id="rId45"/>
    <hyperlink ref="W182" r:id="rId46"/>
    <hyperlink ref="W183" r:id="rId47"/>
    <hyperlink ref="W184" r:id="rId48"/>
    <hyperlink ref="W185" r:id="rId49"/>
    <hyperlink ref="W186" r:id="rId50"/>
    <hyperlink ref="W187" r:id="rId51"/>
    <hyperlink ref="W188" r:id="rId52"/>
    <hyperlink ref="W189" r:id="rId53"/>
    <hyperlink ref="W190" r:id="rId54"/>
    <hyperlink ref="W195" r:id="rId55"/>
    <hyperlink ref="W205" r:id="rId56"/>
    <hyperlink ref="W206" r:id="rId57"/>
    <hyperlink ref="W210" r:id="rId58"/>
    <hyperlink ref="W213" r:id="rId59"/>
    <hyperlink ref="W217" r:id="rId60"/>
    <hyperlink ref="W227" r:id="rId61"/>
    <hyperlink ref="W245" r:id="rId62"/>
    <hyperlink ref="W246" r:id="rId63"/>
    <hyperlink ref="W247" r:id="rId64"/>
    <hyperlink ref="W249" r:id="rId65"/>
    <hyperlink ref="W248" r:id="rId66"/>
    <hyperlink ref="W253" r:id="rId67"/>
    <hyperlink ref="W251" r:id="rId68"/>
    <hyperlink ref="W261" r:id="rId69"/>
    <hyperlink ref="W262" r:id="rId70"/>
    <hyperlink ref="W272" r:id="rId71"/>
    <hyperlink ref="W275" r:id="rId72"/>
    <hyperlink ref="W276" r:id="rId73"/>
    <hyperlink ref="W277" r:id="rId74"/>
    <hyperlink ref="W260" r:id="rId75"/>
    <hyperlink ref="W278" r:id="rId76"/>
    <hyperlink ref="W279" r:id="rId77"/>
    <hyperlink ref="W280" r:id="rId78"/>
    <hyperlink ref="W291" r:id="rId79"/>
    <hyperlink ref="W312" r:id="rId80"/>
    <hyperlink ref="W313" r:id="rId81"/>
    <hyperlink ref="W314" r:id="rId82"/>
    <hyperlink ref="W315" r:id="rId83"/>
    <hyperlink ref="W316" r:id="rId84"/>
    <hyperlink ref="W317" r:id="rId85"/>
    <hyperlink ref="W318" r:id="rId86"/>
    <hyperlink ref="W319" r:id="rId87"/>
    <hyperlink ref="W326" r:id="rId88"/>
    <hyperlink ref="W327" r:id="rId89"/>
    <hyperlink ref="W329" r:id="rId90"/>
    <hyperlink ref="W330" r:id="rId91"/>
    <hyperlink ref="W331" r:id="rId92"/>
    <hyperlink ref="W344" r:id="rId93"/>
    <hyperlink ref="W345" r:id="rId94"/>
    <hyperlink ref="W346" r:id="rId95"/>
    <hyperlink ref="W349" r:id="rId96"/>
    <hyperlink ref="W352" r:id="rId97"/>
    <hyperlink ref="W353" r:id="rId98"/>
    <hyperlink ref="W356" r:id="rId99"/>
    <hyperlink ref="W357" r:id="rId100"/>
    <hyperlink ref="W358" r:id="rId101"/>
    <hyperlink ref="W360" r:id="rId102"/>
    <hyperlink ref="W367" r:id="rId103"/>
    <hyperlink ref="W368" r:id="rId104"/>
    <hyperlink ref="W372" r:id="rId105"/>
    <hyperlink ref="W373" r:id="rId106"/>
    <hyperlink ref="W374" r:id="rId107"/>
    <hyperlink ref="W375" r:id="rId108"/>
    <hyperlink ref="W377" r:id="rId109"/>
    <hyperlink ref="W378" r:id="rId110"/>
    <hyperlink ref="W392" r:id="rId111"/>
    <hyperlink ref="W393" r:id="rId112"/>
    <hyperlink ref="W398" r:id="rId113"/>
    <hyperlink ref="W399" r:id="rId114"/>
    <hyperlink ref="W400" r:id="rId115"/>
    <hyperlink ref="W404" r:id="rId116"/>
    <hyperlink ref="W405" r:id="rId117"/>
    <hyperlink ref="W407" r:id="rId118"/>
    <hyperlink ref="W408" r:id="rId119"/>
    <hyperlink ref="W409" r:id="rId120"/>
    <hyperlink ref="W410" r:id="rId121"/>
    <hyperlink ref="W429" r:id="rId122"/>
    <hyperlink ref="W436" r:id="rId123"/>
    <hyperlink ref="W437" r:id="rId124"/>
    <hyperlink ref="W438" r:id="rId125"/>
    <hyperlink ref="W439" r:id="rId126"/>
    <hyperlink ref="W449" r:id="rId127"/>
    <hyperlink ref="W450" r:id="rId128"/>
    <hyperlink ref="W457" r:id="rId129"/>
    <hyperlink ref="W464" r:id="rId130"/>
    <hyperlink ref="W473" r:id="rId131"/>
    <hyperlink ref="W474" r:id="rId132"/>
    <hyperlink ref="W476" r:id="rId133"/>
    <hyperlink ref="W477" r:id="rId134"/>
    <hyperlink ref="W486" r:id="rId135"/>
    <hyperlink ref="W487" r:id="rId136"/>
    <hyperlink ref="W488" r:id="rId137"/>
    <hyperlink ref="W490" r:id="rId138"/>
    <hyperlink ref="W492" r:id="rId139"/>
    <hyperlink ref="W494" r:id="rId140"/>
    <hyperlink ref="W515" r:id="rId141"/>
    <hyperlink ref="W516" r:id="rId142"/>
    <hyperlink ref="W517" r:id="rId143"/>
    <hyperlink ref="W518" r:id="rId144"/>
    <hyperlink ref="W519" r:id="rId145"/>
    <hyperlink ref="W520" r:id="rId146"/>
    <hyperlink ref="W521" r:id="rId147"/>
    <hyperlink ref="W524" r:id="rId148"/>
    <hyperlink ref="W525" r:id="rId149"/>
    <hyperlink ref="W526" r:id="rId150"/>
    <hyperlink ref="W542" r:id="rId151"/>
    <hyperlink ref="W547" r:id="rId152"/>
    <hyperlink ref="W549" r:id="rId153"/>
    <hyperlink ref="W550" r:id="rId154"/>
    <hyperlink ref="W552" r:id="rId155"/>
    <hyperlink ref="W553" r:id="rId156"/>
    <hyperlink ref="W555" r:id="rId157"/>
    <hyperlink ref="W554" r:id="rId158"/>
    <hyperlink ref="W561" r:id="rId159"/>
    <hyperlink ref="W575" r:id="rId160"/>
    <hyperlink ref="W543" r:id="rId161"/>
    <hyperlink ref="W576" r:id="rId162"/>
    <hyperlink ref="W582" r:id="rId163"/>
    <hyperlink ref="W583" r:id="rId164"/>
    <hyperlink ref="W584" r:id="rId165"/>
    <hyperlink ref="W585" r:id="rId166"/>
    <hyperlink ref="W589" r:id="rId167"/>
    <hyperlink ref="W590" r:id="rId168"/>
    <hyperlink ref="W607" r:id="rId169"/>
    <hyperlink ref="W608" r:id="rId170"/>
    <hyperlink ref="W618" r:id="rId171"/>
    <hyperlink ref="W619" r:id="rId172"/>
    <hyperlink ref="W620" r:id="rId173"/>
    <hyperlink ref="W621" r:id="rId174"/>
    <hyperlink ref="W622" r:id="rId175"/>
    <hyperlink ref="W624" r:id="rId176"/>
    <hyperlink ref="W626" r:id="rId177"/>
    <hyperlink ref="W633" r:id="rId178"/>
    <hyperlink ref="W634" r:id="rId179"/>
    <hyperlink ref="W635" r:id="rId180"/>
    <hyperlink ref="W636" r:id="rId181"/>
    <hyperlink ref="W637" r:id="rId182"/>
    <hyperlink ref="W638" r:id="rId183"/>
    <hyperlink ref="W639" r:id="rId184"/>
    <hyperlink ref="W680" r:id="rId185"/>
    <hyperlink ref="W681" r:id="rId186"/>
    <hyperlink ref="W682" r:id="rId187"/>
    <hyperlink ref="W684" r:id="rId188"/>
    <hyperlink ref="W685" r:id="rId189"/>
    <hyperlink ref="W692" r:id="rId190"/>
    <hyperlink ref="W694" r:id="rId191"/>
    <hyperlink ref="W696" r:id="rId192"/>
    <hyperlink ref="W698" r:id="rId193"/>
    <hyperlink ref="W699" r:id="rId194"/>
    <hyperlink ref="W718" r:id="rId195"/>
    <hyperlink ref="W719" r:id="rId196"/>
    <hyperlink ref="W720" r:id="rId197"/>
    <hyperlink ref="W721" r:id="rId198"/>
    <hyperlink ref="W726" r:id="rId199"/>
    <hyperlink ref="W727" r:id="rId200"/>
    <hyperlink ref="W741" r:id="rId201"/>
    <hyperlink ref="W744" r:id="rId202"/>
    <hyperlink ref="W746" r:id="rId203"/>
    <hyperlink ref="W747" r:id="rId204"/>
    <hyperlink ref="W749" r:id="rId205"/>
    <hyperlink ref="W750" r:id="rId206"/>
    <hyperlink ref="W751" r:id="rId207"/>
    <hyperlink ref="W752" r:id="rId208"/>
    <hyperlink ref="W755" r:id="rId209"/>
    <hyperlink ref="W756" r:id="rId210"/>
    <hyperlink ref="W757" r:id="rId211"/>
    <hyperlink ref="W760" r:id="rId212"/>
    <hyperlink ref="W768" r:id="rId213"/>
    <hyperlink ref="W772" r:id="rId214"/>
    <hyperlink ref="W773" r:id="rId215"/>
    <hyperlink ref="W775" r:id="rId216"/>
    <hyperlink ref="W776" r:id="rId217"/>
    <hyperlink ref="W777" r:id="rId218"/>
    <hyperlink ref="W797" r:id="rId219"/>
    <hyperlink ref="W803" r:id="rId220"/>
    <hyperlink ref="W805" r:id="rId221"/>
    <hyperlink ref="W806" r:id="rId222"/>
    <hyperlink ref="W807" r:id="rId223"/>
    <hyperlink ref="W809" r:id="rId224"/>
    <hyperlink ref="W810" r:id="rId225"/>
    <hyperlink ref="W817" r:id="rId226"/>
    <hyperlink ref="W819" r:id="rId227"/>
    <hyperlink ref="W820" r:id="rId228"/>
    <hyperlink ref="W821" r:id="rId229"/>
    <hyperlink ref="W823" r:id="rId230"/>
    <hyperlink ref="W826" r:id="rId231"/>
    <hyperlink ref="W827" r:id="rId232"/>
    <hyperlink ref="W828" r:id="rId233"/>
    <hyperlink ref="W841" r:id="rId234"/>
    <hyperlink ref="W843" r:id="rId235"/>
    <hyperlink ref="W848" r:id="rId236"/>
    <hyperlink ref="W850" r:id="rId237"/>
    <hyperlink ref="W853" r:id="rId238"/>
    <hyperlink ref="W855" r:id="rId239"/>
    <hyperlink ref="W860" r:id="rId240"/>
    <hyperlink ref="W864" r:id="rId241"/>
    <hyperlink ref="W866" r:id="rId242"/>
    <hyperlink ref="W873" r:id="rId243"/>
    <hyperlink ref="W880" r:id="rId244"/>
    <hyperlink ref="W882" r:id="rId245"/>
    <hyperlink ref="W854" r:id="rId246"/>
    <hyperlink ref="W906" r:id="rId247"/>
    <hyperlink ref="W907" r:id="rId248"/>
    <hyperlink ref="W909" r:id="rId249"/>
    <hyperlink ref="W910" r:id="rId250"/>
    <hyperlink ref="W918" r:id="rId251"/>
    <hyperlink ref="W919" r:id="rId252"/>
    <hyperlink ref="W920" r:id="rId253"/>
    <hyperlink ref="W921" r:id="rId254"/>
    <hyperlink ref="W923" r:id="rId255"/>
    <hyperlink ref="W925" r:id="rId256"/>
    <hyperlink ref="W926" r:id="rId257"/>
    <hyperlink ref="W927" r:id="rId258"/>
    <hyperlink ref="W942" r:id="rId259"/>
    <hyperlink ref="W958" r:id="rId260"/>
    <hyperlink ref="W959" r:id="rId261"/>
    <hyperlink ref="W960" r:id="rId262"/>
    <hyperlink ref="W965" r:id="rId263"/>
    <hyperlink ref="W966" r:id="rId264"/>
    <hyperlink ref="W969" r:id="rId265"/>
    <hyperlink ref="W972" r:id="rId266"/>
    <hyperlink ref="W973" r:id="rId267"/>
    <hyperlink ref="W975" r:id="rId268"/>
    <hyperlink ref="W987" r:id="rId269"/>
    <hyperlink ref="W993" r:id="rId270"/>
    <hyperlink ref="W997" r:id="rId271"/>
    <hyperlink ref="W999" r:id="rId272"/>
    <hyperlink ref="W1006" r:id="rId273"/>
    <hyperlink ref="W1007" r:id="rId274"/>
    <hyperlink ref="W1008" r:id="rId275"/>
    <hyperlink ref="W1009" r:id="rId276"/>
    <hyperlink ref="W1010" r:id="rId277"/>
    <hyperlink ref="W1012" r:id="rId278"/>
    <hyperlink ref="W1014" r:id="rId279"/>
    <hyperlink ref="W1021" r:id="rId280"/>
    <hyperlink ref="W1022" r:id="rId281"/>
    <hyperlink ref="W1023" r:id="rId282"/>
    <hyperlink ref="W1024" r:id="rId283"/>
    <hyperlink ref="W1055" r:id="rId284"/>
    <hyperlink ref="W1061" r:id="rId285"/>
    <hyperlink ref="W1062" r:id="rId286"/>
    <hyperlink ref="W1074" r:id="rId287"/>
    <hyperlink ref="W1076" r:id="rId288"/>
    <hyperlink ref="W1080" r:id="rId289"/>
    <hyperlink ref="W1081" r:id="rId290"/>
    <hyperlink ref="W1082" r:id="rId291"/>
    <hyperlink ref="W1097" r:id="rId292"/>
    <hyperlink ref="W1098" r:id="rId293"/>
    <hyperlink ref="W1099" r:id="rId294"/>
    <hyperlink ref="W1100" r:id="rId295"/>
    <hyperlink ref="W1101" r:id="rId296"/>
    <hyperlink ref="W1107" r:id="rId297"/>
    <hyperlink ref="W1117" r:id="rId298"/>
    <hyperlink ref="W1118" r:id="rId299"/>
    <hyperlink ref="W1120" r:id="rId300"/>
    <hyperlink ref="W1138" r:id="rId301"/>
    <hyperlink ref="W1140" r:id="rId302"/>
    <hyperlink ref="W1142" r:id="rId303"/>
    <hyperlink ref="W1146" r:id="rId304"/>
    <hyperlink ref="W1151" r:id="rId305"/>
    <hyperlink ref="W1153" r:id="rId306"/>
    <hyperlink ref="W1154" r:id="rId307"/>
    <hyperlink ref="W1156" r:id="rId308"/>
    <hyperlink ref="W1157" r:id="rId309"/>
    <hyperlink ref="W1160" r:id="rId310"/>
    <hyperlink ref="W1164" r:id="rId311"/>
    <hyperlink ref="W1166" r:id="rId312"/>
    <hyperlink ref="W1194" r:id="rId313"/>
    <hyperlink ref="W1193" r:id="rId314"/>
    <hyperlink ref="W1195" r:id="rId315"/>
    <hyperlink ref="W1196" r:id="rId316"/>
    <hyperlink ref="W1197" r:id="rId317"/>
    <hyperlink ref="W1199" r:id="rId318"/>
    <hyperlink ref="W1220" r:id="rId319"/>
    <hyperlink ref="W1221" r:id="rId320"/>
    <hyperlink ref="W1219" r:id="rId321"/>
    <hyperlink ref="W1222" r:id="rId322"/>
    <hyperlink ref="W1223" r:id="rId323"/>
    <hyperlink ref="W1224" r:id="rId324"/>
    <hyperlink ref="W1227" r:id="rId325"/>
    <hyperlink ref="W1229" r:id="rId326"/>
    <hyperlink ref="W1237" r:id="rId327"/>
    <hyperlink ref="W1239" r:id="rId328"/>
    <hyperlink ref="W1244" r:id="rId329"/>
    <hyperlink ref="W1246" r:id="rId330"/>
    <hyperlink ref="W1247" r:id="rId331"/>
    <hyperlink ref="W1250" r:id="rId332"/>
    <hyperlink ref="W1243" r:id="rId333"/>
    <hyperlink ref="W1244:W1245" r:id="rId334" display="dereknwalton@gmail.com"/>
    <hyperlink ref="W1279" r:id="rId335"/>
    <hyperlink ref="W1289" r:id="rId336"/>
    <hyperlink ref="W1290" r:id="rId337"/>
    <hyperlink ref="W1299" r:id="rId338"/>
    <hyperlink ref="W1303" r:id="rId339"/>
    <hyperlink ref="W1306" r:id="rId340"/>
    <hyperlink ref="W1307" r:id="rId341"/>
    <hyperlink ref="W1321" r:id="rId342"/>
    <hyperlink ref="W1322" r:id="rId343"/>
    <hyperlink ref="W1327" r:id="rId344"/>
    <hyperlink ref="W1328" r:id="rId345"/>
    <hyperlink ref="W1329" r:id="rId346"/>
    <hyperlink ref="W1361" r:id="rId347"/>
    <hyperlink ref="W1362" r:id="rId348"/>
    <hyperlink ref="W1364" r:id="rId349"/>
    <hyperlink ref="W1365" r:id="rId350"/>
    <hyperlink ref="W1366" r:id="rId351"/>
    <hyperlink ref="W1367" r:id="rId352"/>
    <hyperlink ref="W1368" r:id="rId353"/>
    <hyperlink ref="W1370" r:id="rId354"/>
    <hyperlink ref="W1374" r:id="rId355"/>
    <hyperlink ref="W1375" r:id="rId356"/>
    <hyperlink ref="W1376" r:id="rId357"/>
    <hyperlink ref="W1377" r:id="rId358"/>
    <hyperlink ref="W1378" r:id="rId359"/>
    <hyperlink ref="W1397" r:id="rId360"/>
    <hyperlink ref="W1399" r:id="rId361"/>
    <hyperlink ref="W1401" r:id="rId362"/>
    <hyperlink ref="W1402" r:id="rId363"/>
    <hyperlink ref="W1403" r:id="rId364"/>
    <hyperlink ref="W1404" r:id="rId365"/>
    <hyperlink ref="W1407" r:id="rId366"/>
    <hyperlink ref="W1420" r:id="rId367"/>
    <hyperlink ref="W1421" r:id="rId368"/>
    <hyperlink ref="W1428" r:id="rId369"/>
    <hyperlink ref="W1458" r:id="rId370"/>
    <hyperlink ref="W1461" r:id="rId371"/>
    <hyperlink ref="W1469" r:id="rId372"/>
    <hyperlink ref="W1480" r:id="rId373"/>
    <hyperlink ref="W1498" r:id="rId374"/>
    <hyperlink ref="W1505" r:id="rId375"/>
    <hyperlink ref="W1512" r:id="rId376"/>
    <hyperlink ref="W1541" r:id="rId377"/>
    <hyperlink ref="W1542" r:id="rId378"/>
    <hyperlink ref="W1545" r:id="rId379"/>
    <hyperlink ref="W1566" r:id="rId380"/>
    <hyperlink ref="W1567" r:id="rId381"/>
    <hyperlink ref="W1568" r:id="rId382"/>
    <hyperlink ref="W1571" r:id="rId383"/>
    <hyperlink ref="W1572" r:id="rId384"/>
    <hyperlink ref="W1574" r:id="rId385"/>
    <hyperlink ref="W1575" r:id="rId386"/>
    <hyperlink ref="W1578" r:id="rId387"/>
    <hyperlink ref="W1580" r:id="rId388"/>
    <hyperlink ref="W1581" r:id="rId389"/>
    <hyperlink ref="W1582" r:id="rId390"/>
    <hyperlink ref="W1583" r:id="rId391"/>
    <hyperlink ref="W1584" r:id="rId392"/>
    <hyperlink ref="W1586" r:id="rId393"/>
    <hyperlink ref="W1588" r:id="rId394"/>
    <hyperlink ref="W1600" r:id="rId395"/>
    <hyperlink ref="W1609" r:id="rId396"/>
    <hyperlink ref="W1611" r:id="rId397"/>
    <hyperlink ref="W1666" r:id="rId398"/>
    <hyperlink ref="W1667" r:id="rId399"/>
    <hyperlink ref="W1673" r:id="rId400"/>
    <hyperlink ref="W1674" r:id="rId401"/>
    <hyperlink ref="W1675" r:id="rId402"/>
    <hyperlink ref="W1676" r:id="rId403"/>
    <hyperlink ref="W1677" r:id="rId404"/>
    <hyperlink ref="W1678" r:id="rId405"/>
    <hyperlink ref="W1679" r:id="rId406"/>
    <hyperlink ref="W1680" r:id="rId407"/>
    <hyperlink ref="W1684" r:id="rId408"/>
    <hyperlink ref="W1685" r:id="rId409"/>
    <hyperlink ref="W1686" r:id="rId410"/>
    <hyperlink ref="W1687" r:id="rId411"/>
    <hyperlink ref="W1688" r:id="rId412"/>
    <hyperlink ref="W1709" r:id="rId413"/>
    <hyperlink ref="W1711" r:id="rId414"/>
    <hyperlink ref="W1726" r:id="rId415"/>
    <hyperlink ref="W1727" r:id="rId416"/>
    <hyperlink ref="W1729" r:id="rId417"/>
    <hyperlink ref="W1738" r:id="rId418"/>
    <hyperlink ref="W1745" r:id="rId419"/>
    <hyperlink ref="W1754" r:id="rId420"/>
    <hyperlink ref="W1755" r:id="rId421"/>
    <hyperlink ref="W1758" r:id="rId422"/>
    <hyperlink ref="W1759" r:id="rId423"/>
    <hyperlink ref="W1760" r:id="rId424"/>
    <hyperlink ref="W1761" r:id="rId425"/>
    <hyperlink ref="W1762" r:id="rId426"/>
    <hyperlink ref="W1777" r:id="rId427"/>
    <hyperlink ref="W1784" r:id="rId428"/>
    <hyperlink ref="W1803" r:id="rId429"/>
    <hyperlink ref="W1805" r:id="rId430"/>
    <hyperlink ref="W1806" r:id="rId431"/>
    <hyperlink ref="W1808" r:id="rId432"/>
    <hyperlink ref="W1809" r:id="rId433"/>
    <hyperlink ref="W1812" r:id="rId434"/>
    <hyperlink ref="W1813" r:id="rId435"/>
    <hyperlink ref="W1816" r:id="rId436"/>
    <hyperlink ref="W1830" r:id="rId437"/>
    <hyperlink ref="W1837" r:id="rId438"/>
    <hyperlink ref="W1846" r:id="rId439"/>
    <hyperlink ref="W1848" r:id="rId440"/>
    <hyperlink ref="W1849" r:id="rId441"/>
    <hyperlink ref="W1850" r:id="rId442"/>
    <hyperlink ref="W1852" r:id="rId443"/>
    <hyperlink ref="W1853" r:id="rId444"/>
    <hyperlink ref="W1875" r:id="rId445"/>
    <hyperlink ref="W1876" r:id="rId446"/>
    <hyperlink ref="W1878" r:id="rId447"/>
    <hyperlink ref="W1894" r:id="rId448"/>
    <hyperlink ref="W1895" r:id="rId449"/>
    <hyperlink ref="W1896" r:id="rId450"/>
    <hyperlink ref="W1897" r:id="rId451"/>
    <hyperlink ref="W1915" r:id="rId452"/>
    <hyperlink ref="W1918" r:id="rId453"/>
    <hyperlink ref="W1919" r:id="rId454"/>
    <hyperlink ref="W1921" r:id="rId455"/>
    <hyperlink ref="W1923" r:id="rId456"/>
    <hyperlink ref="W1924" r:id="rId457"/>
    <hyperlink ref="W1925" r:id="rId458"/>
    <hyperlink ref="W1927" r:id="rId459"/>
    <hyperlink ref="W1928" r:id="rId460"/>
    <hyperlink ref="W1929" r:id="rId461"/>
    <hyperlink ref="W1930" r:id="rId462"/>
    <hyperlink ref="W1931" r:id="rId463"/>
    <hyperlink ref="W1932" r:id="rId464"/>
    <hyperlink ref="W1934" r:id="rId465"/>
    <hyperlink ref="W1935" r:id="rId466"/>
    <hyperlink ref="W1955" r:id="rId467"/>
    <hyperlink ref="W1958" r:id="rId468"/>
    <hyperlink ref="W1961" r:id="rId469"/>
    <hyperlink ref="W1962" r:id="rId470"/>
    <hyperlink ref="W1963" r:id="rId471"/>
    <hyperlink ref="W1967" r:id="rId472"/>
    <hyperlink ref="W1969" r:id="rId473"/>
    <hyperlink ref="W1986" r:id="rId474"/>
    <hyperlink ref="W1987" r:id="rId475"/>
    <hyperlink ref="W1989" r:id="rId476"/>
    <hyperlink ref="W1990" r:id="rId477"/>
    <hyperlink ref="W1991" r:id="rId478"/>
    <hyperlink ref="W1999" r:id="rId479"/>
    <hyperlink ref="W2007" r:id="rId480"/>
    <hyperlink ref="W2020" r:id="rId481"/>
    <hyperlink ref="W2021" r:id="rId482"/>
    <hyperlink ref="W2022" r:id="rId483"/>
    <hyperlink ref="W2055" r:id="rId484"/>
    <hyperlink ref="W2057" r:id="rId485"/>
    <hyperlink ref="W2061" r:id="rId486"/>
    <hyperlink ref="W2062" r:id="rId487"/>
    <hyperlink ref="W2063" r:id="rId488"/>
    <hyperlink ref="W2064" r:id="rId489"/>
    <hyperlink ref="W2065" r:id="rId490"/>
    <hyperlink ref="W2066" r:id="rId491"/>
    <hyperlink ref="W2067" r:id="rId492"/>
    <hyperlink ref="W2068" r:id="rId493"/>
    <hyperlink ref="W2070" r:id="rId494"/>
    <hyperlink ref="W2073" r:id="rId495"/>
    <hyperlink ref="W2086" r:id="rId496"/>
    <hyperlink ref="W2019" r:id="rId497"/>
    <hyperlink ref="W2018" r:id="rId498"/>
    <hyperlink ref="W2088" r:id="rId499"/>
    <hyperlink ref="W2089" r:id="rId500"/>
    <hyperlink ref="W2090" r:id="rId501"/>
    <hyperlink ref="W2093" r:id="rId502"/>
    <hyperlink ref="W2094" r:id="rId503"/>
    <hyperlink ref="W2095" r:id="rId504"/>
    <hyperlink ref="W2096" r:id="rId505"/>
    <hyperlink ref="W2097" r:id="rId506"/>
    <hyperlink ref="W2098" r:id="rId507"/>
    <hyperlink ref="W2103" r:id="rId508"/>
    <hyperlink ref="W2120" r:id="rId509"/>
    <hyperlink ref="W2121" r:id="rId510"/>
    <hyperlink ref="W2122" r:id="rId511"/>
    <hyperlink ref="W2123" r:id="rId512"/>
    <hyperlink ref="W2124" r:id="rId513"/>
    <hyperlink ref="W2135" r:id="rId514"/>
    <hyperlink ref="W2137" r:id="rId515"/>
    <hyperlink ref="W2141" r:id="rId516"/>
    <hyperlink ref="W2143" r:id="rId517"/>
    <hyperlink ref="V1927" r:id="rId518"/>
    <hyperlink ref="W2144" r:id="rId519"/>
    <hyperlink ref="W2146" r:id="rId520"/>
    <hyperlink ref="W2147" r:id="rId521"/>
    <hyperlink ref="W2148" r:id="rId522"/>
    <hyperlink ref="W2153" r:id="rId523"/>
    <hyperlink ref="W2154" r:id="rId524"/>
    <hyperlink ref="W2172" r:id="rId525"/>
    <hyperlink ref="W2173" r:id="rId526"/>
    <hyperlink ref="W2174" r:id="rId527"/>
    <hyperlink ref="W2175" r:id="rId528"/>
    <hyperlink ref="W2176" r:id="rId529"/>
    <hyperlink ref="W2178" r:id="rId530"/>
    <hyperlink ref="W2179" r:id="rId531"/>
    <hyperlink ref="W2180" r:id="rId532"/>
    <hyperlink ref="W2207" r:id="rId533"/>
    <hyperlink ref="W2209" r:id="rId534"/>
    <hyperlink ref="W2210" r:id="rId535"/>
    <hyperlink ref="W2212" r:id="rId536"/>
    <hyperlink ref="W2213" r:id="rId537"/>
    <hyperlink ref="W2214" r:id="rId538"/>
    <hyperlink ref="W2215" r:id="rId539"/>
    <hyperlink ref="W2216" r:id="rId540"/>
    <hyperlink ref="W2221" r:id="rId541"/>
    <hyperlink ref="W2223" r:id="rId542"/>
    <hyperlink ref="W2224" r:id="rId543"/>
    <hyperlink ref="W2227" r:id="rId544"/>
    <hyperlink ref="W2228" r:id="rId545"/>
    <hyperlink ref="W2235" r:id="rId546"/>
    <hyperlink ref="W2239" r:id="rId547"/>
    <hyperlink ref="W2241" r:id="rId548"/>
    <hyperlink ref="W2245" r:id="rId549"/>
    <hyperlink ref="W2248" r:id="rId550"/>
    <hyperlink ref="W2249" r:id="rId551"/>
    <hyperlink ref="W2258" r:id="rId552"/>
    <hyperlink ref="W2259" r:id="rId553"/>
    <hyperlink ref="W2262" r:id="rId554"/>
    <hyperlink ref="W2267" r:id="rId555"/>
    <hyperlink ref="W2268" r:id="rId556"/>
    <hyperlink ref="W2269" r:id="rId557"/>
    <hyperlink ref="W2270" r:id="rId558"/>
    <hyperlink ref="W2274" r:id="rId559"/>
    <hyperlink ref="W2277" r:id="rId560"/>
    <hyperlink ref="W2292" r:id="rId561"/>
    <hyperlink ref="W2293" r:id="rId562"/>
    <hyperlink ref="W2295" r:id="rId563"/>
    <hyperlink ref="W2296" r:id="rId564"/>
    <hyperlink ref="W2297" r:id="rId565"/>
    <hyperlink ref="W2299" r:id="rId566"/>
    <hyperlink ref="W2300" r:id="rId567"/>
    <hyperlink ref="W2315" r:id="rId568"/>
    <hyperlink ref="V2315" r:id="rId569"/>
    <hyperlink ref="W2319" r:id="rId570"/>
    <hyperlink ref="W2343" r:id="rId571"/>
    <hyperlink ref="W2344" r:id="rId572"/>
    <hyperlink ref="W2345" r:id="rId573"/>
    <hyperlink ref="W2346" r:id="rId574"/>
    <hyperlink ref="W2365" r:id="rId575"/>
    <hyperlink ref="W2366" r:id="rId576"/>
    <hyperlink ref="W2367" r:id="rId577"/>
    <hyperlink ref="W2370" r:id="rId578"/>
    <hyperlink ref="W2372" r:id="rId579"/>
    <hyperlink ref="W2380" r:id="rId580"/>
    <hyperlink ref="W2390" r:id="rId581"/>
    <hyperlink ref="W2391" r:id="rId582"/>
    <hyperlink ref="W2392" r:id="rId583"/>
    <hyperlink ref="W2393" r:id="rId584"/>
    <hyperlink ref="W2403" r:id="rId585"/>
    <hyperlink ref="W2404" r:id="rId586"/>
    <hyperlink ref="W2407" r:id="rId587"/>
    <hyperlink ref="W2411" r:id="rId588"/>
    <hyperlink ref="W2414" r:id="rId589"/>
    <hyperlink ref="W2417" r:id="rId590"/>
    <hyperlink ref="W2418" r:id="rId591"/>
    <hyperlink ref="W2419" r:id="rId592"/>
    <hyperlink ref="W2420" r:id="rId593"/>
    <hyperlink ref="W2421" r:id="rId594"/>
    <hyperlink ref="W2445" r:id="rId595"/>
    <hyperlink ref="W2447" r:id="rId596"/>
    <hyperlink ref="W2449" r:id="rId597"/>
    <hyperlink ref="W2456" r:id="rId598"/>
    <hyperlink ref="W2469" r:id="rId599"/>
    <hyperlink ref="W2471" r:id="rId600"/>
    <hyperlink ref="W2472" r:id="rId601"/>
    <hyperlink ref="W2501" r:id="rId602"/>
    <hyperlink ref="W2502" r:id="rId603"/>
    <hyperlink ref="W2503" r:id="rId604"/>
    <hyperlink ref="W2507" r:id="rId605"/>
    <hyperlink ref="W2508" r:id="rId606"/>
    <hyperlink ref="W2509" r:id="rId607"/>
    <hyperlink ref="W2511" r:id="rId608"/>
    <hyperlink ref="W2512" r:id="rId609"/>
    <hyperlink ref="W2525" r:id="rId610"/>
    <hyperlink ref="W2527" r:id="rId611"/>
    <hyperlink ref="W2530" r:id="rId612"/>
    <hyperlink ref="W2531" r:id="rId613"/>
    <hyperlink ref="W2532" r:id="rId614"/>
    <hyperlink ref="W2534" r:id="rId615"/>
    <hyperlink ref="W2550" r:id="rId616"/>
    <hyperlink ref="W2553" r:id="rId617"/>
    <hyperlink ref="W2554" r:id="rId618"/>
    <hyperlink ref="W2555" r:id="rId619"/>
    <hyperlink ref="W2556" r:id="rId620"/>
    <hyperlink ref="W2557" r:id="rId621"/>
    <hyperlink ref="W2559" r:id="rId622"/>
    <hyperlink ref="W2566" r:id="rId623"/>
    <hyperlink ref="W2570" r:id="rId624"/>
    <hyperlink ref="W2576" r:id="rId625"/>
    <hyperlink ref="W2577" r:id="rId626"/>
    <hyperlink ref="W2580" r:id="rId627"/>
    <hyperlink ref="W2584" r:id="rId628"/>
    <hyperlink ref="W2377" r:id="rId629"/>
    <hyperlink ref="W2588" r:id="rId630"/>
    <hyperlink ref="W2589" r:id="rId631"/>
    <hyperlink ref="W2504" r:id="rId632"/>
    <hyperlink ref="W2591" r:id="rId633"/>
    <hyperlink ref="W2593" r:id="rId634"/>
    <hyperlink ref="W2620" r:id="rId635"/>
    <hyperlink ref="W2621" r:id="rId636"/>
    <hyperlink ref="W2624" r:id="rId637"/>
    <hyperlink ref="W2622" r:id="rId638"/>
    <hyperlink ref="W2623" r:id="rId639"/>
    <hyperlink ref="W2625" r:id="rId640"/>
    <hyperlink ref="W2629" r:id="rId641"/>
    <hyperlink ref="W2644" r:id="rId642"/>
    <hyperlink ref="W2647" r:id="rId643"/>
    <hyperlink ref="W2648" r:id="rId644"/>
    <hyperlink ref="W2649" r:id="rId645"/>
    <hyperlink ref="W2652" r:id="rId646"/>
    <hyperlink ref="W2653" r:id="rId647"/>
    <hyperlink ref="W2671" r:id="rId648"/>
    <hyperlink ref="W2675" r:id="rId649"/>
    <hyperlink ref="W2676" r:id="rId650"/>
    <hyperlink ref="W2677" r:id="rId651"/>
    <hyperlink ref="W2679" r:id="rId652"/>
    <hyperlink ref="W2681" r:id="rId653"/>
    <hyperlink ref="W2682" r:id="rId654"/>
    <hyperlink ref="W2683" r:id="rId655"/>
    <hyperlink ref="W2684" r:id="rId656"/>
    <hyperlink ref="W2685" r:id="rId657"/>
    <hyperlink ref="W2686" r:id="rId658"/>
    <hyperlink ref="W2701" r:id="rId659"/>
    <hyperlink ref="W2702" r:id="rId660"/>
    <hyperlink ref="W2703" r:id="rId661"/>
    <hyperlink ref="W2704" r:id="rId662"/>
    <hyperlink ref="W2711" r:id="rId663"/>
    <hyperlink ref="W2712" r:id="rId664"/>
    <hyperlink ref="W2726" r:id="rId665"/>
    <hyperlink ref="W2727" r:id="rId666"/>
    <hyperlink ref="W2728" r:id="rId667"/>
    <hyperlink ref="W2729" r:id="rId668"/>
    <hyperlink ref="W2730" r:id="rId669"/>
    <hyperlink ref="W2732" r:id="rId670"/>
    <hyperlink ref="W2733" r:id="rId671"/>
    <hyperlink ref="W2736" r:id="rId672"/>
    <hyperlink ref="W2737" r:id="rId673"/>
    <hyperlink ref="W2738" r:id="rId674"/>
    <hyperlink ref="W2739" r:id="rId675"/>
    <hyperlink ref="W2744" r:id="rId676"/>
    <hyperlink ref="W2743" r:id="rId677"/>
    <hyperlink ref="W2759" r:id="rId678"/>
    <hyperlink ref="W2791" r:id="rId679"/>
    <hyperlink ref="W2792" r:id="rId680"/>
    <hyperlink ref="W2793" r:id="rId681"/>
    <hyperlink ref="W2794" r:id="rId682"/>
    <hyperlink ref="W2795" r:id="rId683"/>
    <hyperlink ref="W2800" r:id="rId684"/>
    <hyperlink ref="W2801" r:id="rId685"/>
    <hyperlink ref="W2802" r:id="rId686"/>
    <hyperlink ref="W2803" r:id="rId687"/>
    <hyperlink ref="W2804" r:id="rId688"/>
    <hyperlink ref="W2821" r:id="rId689"/>
    <hyperlink ref="W2840" r:id="rId690"/>
    <hyperlink ref="W2841" r:id="rId691"/>
    <hyperlink ref="W2845" r:id="rId692"/>
    <hyperlink ref="W2853" r:id="rId693"/>
    <hyperlink ref="W2856" r:id="rId694"/>
    <hyperlink ref="W2869" r:id="rId695"/>
    <hyperlink ref="W2875" r:id="rId696"/>
    <hyperlink ref="W2874" r:id="rId697"/>
    <hyperlink ref="W2879" r:id="rId698"/>
    <hyperlink ref="W2880" r:id="rId699"/>
    <hyperlink ref="W2881" r:id="rId700"/>
    <hyperlink ref="W2882" r:id="rId701"/>
    <hyperlink ref="W2912" r:id="rId702"/>
    <hyperlink ref="W2913" r:id="rId703"/>
    <hyperlink ref="W2919" r:id="rId704"/>
    <hyperlink ref="W2922" r:id="rId705"/>
    <hyperlink ref="W2929" r:id="rId706"/>
    <hyperlink ref="W2930" r:id="rId707"/>
    <hyperlink ref="W2938" r:id="rId708"/>
    <hyperlink ref="W2944" r:id="rId709"/>
    <hyperlink ref="W2947" r:id="rId710"/>
    <hyperlink ref="W2948" r:id="rId711"/>
    <hyperlink ref="W2956" r:id="rId712"/>
    <hyperlink ref="W2957" r:id="rId713"/>
    <hyperlink ref="W2969" r:id="rId714"/>
    <hyperlink ref="W2974" r:id="rId715"/>
    <hyperlink ref="W2981" r:id="rId716"/>
    <hyperlink ref="W2984" r:id="rId717"/>
    <hyperlink ref="W2985" r:id="rId718"/>
    <hyperlink ref="W3006" r:id="rId719"/>
    <hyperlink ref="W3007" r:id="rId720"/>
    <hyperlink ref="W3008" r:id="rId721"/>
    <hyperlink ref="W3009" r:id="rId722"/>
    <hyperlink ref="W3011" r:id="rId723"/>
    <hyperlink ref="W3017" r:id="rId724"/>
    <hyperlink ref="W3021" r:id="rId725"/>
    <hyperlink ref="W3024" r:id="rId726"/>
    <hyperlink ref="W3025" r:id="rId727"/>
    <hyperlink ref="W3037" r:id="rId728"/>
    <hyperlink ref="W3052" r:id="rId729"/>
    <hyperlink ref="W3054" r:id="rId730"/>
    <hyperlink ref="W3055" r:id="rId731"/>
    <hyperlink ref="W3056" r:id="rId732"/>
    <hyperlink ref="W3066" r:id="rId733"/>
    <hyperlink ref="W3072" r:id="rId734"/>
    <hyperlink ref="W3073" r:id="rId735"/>
    <hyperlink ref="W3074" r:id="rId736"/>
    <hyperlink ref="W3085" r:id="rId737"/>
    <hyperlink ref="W3086" r:id="rId738"/>
    <hyperlink ref="W3087" r:id="rId739"/>
    <hyperlink ref="W3089" r:id="rId740"/>
    <hyperlink ref="W3091" r:id="rId741"/>
    <hyperlink ref="W3092" r:id="rId742"/>
    <hyperlink ref="W3101" r:id="rId743"/>
    <hyperlink ref="W3102" r:id="rId744"/>
    <hyperlink ref="W3110" r:id="rId745"/>
    <hyperlink ref="W3111" r:id="rId746"/>
    <hyperlink ref="W3112" r:id="rId747"/>
    <hyperlink ref="W3124" r:id="rId748"/>
    <hyperlink ref="W3123" r:id="rId749"/>
    <hyperlink ref="W3126" r:id="rId750"/>
    <hyperlink ref="W3127" r:id="rId751"/>
    <hyperlink ref="W3129" r:id="rId752"/>
    <hyperlink ref="W3131" r:id="rId753"/>
    <hyperlink ref="W3132" r:id="rId754"/>
    <hyperlink ref="W3133" r:id="rId755"/>
    <hyperlink ref="W3134" r:id="rId756"/>
    <hyperlink ref="W3171" r:id="rId757"/>
    <hyperlink ref="W3172" r:id="rId758"/>
    <hyperlink ref="W3173" r:id="rId759"/>
    <hyperlink ref="W3174" r:id="rId760"/>
    <hyperlink ref="W3175" r:id="rId761"/>
    <hyperlink ref="W3176" r:id="rId762"/>
    <hyperlink ref="W3189" r:id="rId763"/>
    <hyperlink ref="W3190" r:id="rId764"/>
    <hyperlink ref="W3192" r:id="rId765"/>
    <hyperlink ref="W3194" r:id="rId766"/>
    <hyperlink ref="W3210" r:id="rId767"/>
    <hyperlink ref="W3212" r:id="rId768"/>
    <hyperlink ref="W3213" r:id="rId769"/>
    <hyperlink ref="W3214" r:id="rId770"/>
    <hyperlink ref="W3215" r:id="rId771"/>
    <hyperlink ref="W3216" r:id="rId772"/>
    <hyperlink ref="W3217" r:id="rId773"/>
    <hyperlink ref="W3219" r:id="rId774"/>
    <hyperlink ref="W3221" r:id="rId775"/>
    <hyperlink ref="W3222" r:id="rId776"/>
    <hyperlink ref="W3236" r:id="rId777"/>
    <hyperlink ref="W3237" r:id="rId778"/>
    <hyperlink ref="W3238" r:id="rId779"/>
    <hyperlink ref="W3240" r:id="rId780"/>
    <hyperlink ref="W3255" r:id="rId781"/>
    <hyperlink ref="W3274" r:id="rId782"/>
    <hyperlink ref="W3279" r:id="rId783"/>
    <hyperlink ref="W3280" r:id="rId784"/>
    <hyperlink ref="W3290" r:id="rId785"/>
    <hyperlink ref="W3293" r:id="rId786"/>
    <hyperlink ref="W3294" r:id="rId787"/>
    <hyperlink ref="W3296" r:id="rId788"/>
    <hyperlink ref="W3298" r:id="rId789"/>
    <hyperlink ref="W3301" r:id="rId790"/>
    <hyperlink ref="W3302" r:id="rId791"/>
    <hyperlink ref="W3303" r:id="rId792"/>
    <hyperlink ref="W3320" r:id="rId793"/>
    <hyperlink ref="W3321" r:id="rId794"/>
    <hyperlink ref="W3322" r:id="rId795"/>
    <hyperlink ref="W3327" r:id="rId796"/>
    <hyperlink ref="W3330" r:id="rId797"/>
    <hyperlink ref="W3331" r:id="rId798"/>
    <hyperlink ref="W3333" r:id="rId799"/>
    <hyperlink ref="W3356" r:id="rId800"/>
    <hyperlink ref="W3358" r:id="rId801"/>
    <hyperlink ref="W3363" r:id="rId802"/>
    <hyperlink ref="W3373" r:id="rId803"/>
    <hyperlink ref="W3379" r:id="rId804"/>
    <hyperlink ref="W3377" r:id="rId805"/>
    <hyperlink ref="W3382" r:id="rId806"/>
    <hyperlink ref="W3387" r:id="rId807"/>
    <hyperlink ref="W3396" r:id="rId808"/>
    <hyperlink ref="W3417" r:id="rId809"/>
    <hyperlink ref="W3419" r:id="rId810"/>
    <hyperlink ref="W3443" r:id="rId811"/>
    <hyperlink ref="W3365" r:id="rId812"/>
    <hyperlink ref="W3444" r:id="rId813"/>
    <hyperlink ref="W3445" r:id="rId814"/>
    <hyperlink ref="W3447" r:id="rId815"/>
    <hyperlink ref="W3448" r:id="rId816"/>
    <hyperlink ref="W3449" r:id="rId817"/>
    <hyperlink ref="W3450" r:id="rId818"/>
    <hyperlink ref="W3451" r:id="rId819"/>
    <hyperlink ref="W3474" r:id="rId820"/>
    <hyperlink ref="W3477" r:id="rId821"/>
    <hyperlink ref="W3482" r:id="rId822"/>
    <hyperlink ref="W3485" r:id="rId823"/>
    <hyperlink ref="W3486" r:id="rId824"/>
    <hyperlink ref="W3487" r:id="rId825"/>
    <hyperlink ref="W3503" r:id="rId826"/>
    <hyperlink ref="W3504" r:id="rId827"/>
    <hyperlink ref="W3506" r:id="rId828"/>
    <hyperlink ref="W3509" r:id="rId829"/>
    <hyperlink ref="W3510" r:id="rId830"/>
    <hyperlink ref="W3512" r:id="rId831"/>
    <hyperlink ref="W3513" r:id="rId832"/>
    <hyperlink ref="W3516" r:id="rId833"/>
    <hyperlink ref="W3517" r:id="rId834"/>
    <hyperlink ref="W3520" r:id="rId835"/>
    <hyperlink ref="W3532" r:id="rId836"/>
    <hyperlink ref="W3533" r:id="rId837"/>
    <hyperlink ref="W3534" r:id="rId838"/>
    <hyperlink ref="W3536" r:id="rId839"/>
    <hyperlink ref="W3542" r:id="rId840"/>
    <hyperlink ref="W3544" r:id="rId841"/>
    <hyperlink ref="W3543" r:id="rId842"/>
    <hyperlink ref="W3546" r:id="rId843"/>
    <hyperlink ref="W3548" r:id="rId844"/>
    <hyperlink ref="W3549" r:id="rId845"/>
    <hyperlink ref="W3550" r:id="rId846"/>
    <hyperlink ref="W3557" r:id="rId847"/>
    <hyperlink ref="W3573" r:id="rId848"/>
    <hyperlink ref="W3574" r:id="rId849"/>
    <hyperlink ref="W3575" r:id="rId850"/>
    <hyperlink ref="W3588" r:id="rId851"/>
    <hyperlink ref="W3591" r:id="rId852"/>
    <hyperlink ref="W3600" r:id="rId853"/>
    <hyperlink ref="W3604" r:id="rId854"/>
    <hyperlink ref="W3605" r:id="rId855"/>
    <hyperlink ref="W3607" r:id="rId856"/>
    <hyperlink ref="W3610" r:id="rId857"/>
    <hyperlink ref="W3612" r:id="rId858"/>
    <hyperlink ref="W3613" r:id="rId859"/>
    <hyperlink ref="W3614" r:id="rId860"/>
    <hyperlink ref="W3615" r:id="rId861"/>
    <hyperlink ref="W3629" r:id="rId862"/>
    <hyperlink ref="W3639" r:id="rId863"/>
    <hyperlink ref="W3641" r:id="rId864"/>
    <hyperlink ref="W3642" r:id="rId865"/>
    <hyperlink ref="W3643" r:id="rId866"/>
    <hyperlink ref="W3644" r:id="rId867"/>
    <hyperlink ref="W3645" r:id="rId868"/>
    <hyperlink ref="W3664" r:id="rId869"/>
    <hyperlink ref="W3665" r:id="rId870"/>
    <hyperlink ref="W3694" r:id="rId871"/>
    <hyperlink ref="W3695" r:id="rId872"/>
    <hyperlink ref="W3696" r:id="rId873"/>
    <hyperlink ref="W3697" r:id="rId874"/>
    <hyperlink ref="W3699" r:id="rId875"/>
    <hyperlink ref="W3701" r:id="rId876"/>
    <hyperlink ref="W3707" r:id="rId877"/>
    <hyperlink ref="W3724" r:id="rId878"/>
    <hyperlink ref="W3726" r:id="rId879"/>
    <hyperlink ref="W3733" r:id="rId880"/>
    <hyperlink ref="W3732" r:id="rId881"/>
    <hyperlink ref="W3734" r:id="rId882"/>
    <hyperlink ref="W3736" r:id="rId883"/>
    <hyperlink ref="W3737" r:id="rId884"/>
    <hyperlink ref="W3738" r:id="rId885"/>
    <hyperlink ref="W3751" r:id="rId886"/>
    <hyperlink ref="W3753" r:id="rId887"/>
    <hyperlink ref="W3754" r:id="rId888"/>
    <hyperlink ref="W3770" r:id="rId889"/>
    <hyperlink ref="W3772" r:id="rId890"/>
    <hyperlink ref="W3773" r:id="rId891"/>
    <hyperlink ref="W3774" r:id="rId892"/>
    <hyperlink ref="W3775" r:id="rId893"/>
    <hyperlink ref="W3776" r:id="rId894"/>
    <hyperlink ref="W3796" r:id="rId895"/>
    <hyperlink ref="W3815" r:id="rId896"/>
    <hyperlink ref="W3820" r:id="rId897"/>
    <hyperlink ref="W3821" r:id="rId898"/>
    <hyperlink ref="W3822" r:id="rId899"/>
    <hyperlink ref="W3840" r:id="rId900"/>
    <hyperlink ref="W3841" r:id="rId901"/>
    <hyperlink ref="W3850" r:id="rId902"/>
    <hyperlink ref="W3847" r:id="rId903"/>
    <hyperlink ref="W3852" r:id="rId904"/>
    <hyperlink ref="W3853" r:id="rId905"/>
    <hyperlink ref="W3854" r:id="rId906"/>
    <hyperlink ref="W3881" r:id="rId907"/>
    <hyperlink ref="W3882" r:id="rId908"/>
    <hyperlink ref="W3907" r:id="rId909"/>
    <hyperlink ref="W3909" r:id="rId910"/>
    <hyperlink ref="W3910" r:id="rId911"/>
    <hyperlink ref="W3921" r:id="rId912"/>
    <hyperlink ref="W3922" r:id="rId913"/>
    <hyperlink ref="W3926" r:id="rId914"/>
    <hyperlink ref="W3929" r:id="rId915"/>
    <hyperlink ref="W3931" r:id="rId916"/>
    <hyperlink ref="W3932" r:id="rId917"/>
    <hyperlink ref="W3934" r:id="rId918"/>
    <hyperlink ref="W3943" r:id="rId919"/>
    <hyperlink ref="W3948" r:id="rId920"/>
    <hyperlink ref="W3950" r:id="rId921"/>
    <hyperlink ref="W3953" r:id="rId922"/>
    <hyperlink ref="W3965" r:id="rId923"/>
    <hyperlink ref="W3966" r:id="rId924"/>
    <hyperlink ref="W3967" r:id="rId925"/>
    <hyperlink ref="W3969" r:id="rId926"/>
    <hyperlink ref="W3988" r:id="rId927"/>
    <hyperlink ref="W3990" r:id="rId928"/>
    <hyperlink ref="W3992" r:id="rId929"/>
    <hyperlink ref="W4021" r:id="rId930"/>
    <hyperlink ref="W4022" r:id="rId931"/>
    <hyperlink ref="W4023" r:id="rId932"/>
    <hyperlink ref="W4024" r:id="rId933"/>
    <hyperlink ref="W4029" r:id="rId934"/>
    <hyperlink ref="W4030" r:id="rId935"/>
    <hyperlink ref="W4032" r:id="rId936"/>
    <hyperlink ref="W4033" r:id="rId937"/>
    <hyperlink ref="W4042" r:id="rId938"/>
    <hyperlink ref="W4043" r:id="rId939"/>
    <hyperlink ref="W4051" r:id="rId940"/>
    <hyperlink ref="W4053" r:id="rId941"/>
    <hyperlink ref="W4055" r:id="rId942"/>
    <hyperlink ref="W4058" r:id="rId943"/>
    <hyperlink ref="W4059" r:id="rId944"/>
    <hyperlink ref="W4061" r:id="rId945"/>
    <hyperlink ref="W4076" r:id="rId946"/>
    <hyperlink ref="W4079" r:id="rId947"/>
    <hyperlink ref="W4096" r:id="rId948"/>
    <hyperlink ref="W4100" r:id="rId949"/>
    <hyperlink ref="W4102" r:id="rId950"/>
    <hyperlink ref="W4107" r:id="rId951"/>
    <hyperlink ref="W4114" r:id="rId952"/>
    <hyperlink ref="W4115" r:id="rId953"/>
    <hyperlink ref="W4120" r:id="rId954"/>
    <hyperlink ref="W4121" r:id="rId955"/>
    <hyperlink ref="W4125" r:id="rId956"/>
    <hyperlink ref="W4127" r:id="rId957"/>
    <hyperlink ref="W4128" r:id="rId958"/>
    <hyperlink ref="W4155" r:id="rId959"/>
    <hyperlink ref="W4157" r:id="rId960"/>
    <hyperlink ref="W4154" r:id="rId961"/>
    <hyperlink ref="W4162" r:id="rId962"/>
    <hyperlink ref="W4163" r:id="rId963"/>
    <hyperlink ref="W4164" r:id="rId964"/>
    <hyperlink ref="W4165" r:id="rId965"/>
    <hyperlink ref="W4166" r:id="rId966"/>
    <hyperlink ref="W4180" r:id="rId967"/>
    <hyperlink ref="W4181" r:id="rId968"/>
    <hyperlink ref="W4183" r:id="rId969"/>
    <hyperlink ref="W4184" r:id="rId970"/>
    <hyperlink ref="W4186" r:id="rId971"/>
    <hyperlink ref="W4191" r:id="rId972"/>
    <hyperlink ref="W4195" r:id="rId973"/>
    <hyperlink ref="W4196" r:id="rId974"/>
    <hyperlink ref="W4197" r:id="rId975"/>
    <hyperlink ref="W4198" r:id="rId976"/>
    <hyperlink ref="W4199" r:id="rId977"/>
    <hyperlink ref="W4215" r:id="rId978"/>
    <hyperlink ref="W4219" r:id="rId979"/>
    <hyperlink ref="W4222" r:id="rId980"/>
    <hyperlink ref="W4223" r:id="rId981"/>
    <hyperlink ref="W4225" r:id="rId982"/>
    <hyperlink ref="W4232" r:id="rId983"/>
    <hyperlink ref="W4243" r:id="rId984"/>
    <hyperlink ref="W4241" r:id="rId985"/>
    <hyperlink ref="W4246" r:id="rId986"/>
    <hyperlink ref="W4247" r:id="rId987"/>
    <hyperlink ref="W4249" r:id="rId988"/>
    <hyperlink ref="W4262" r:id="rId989"/>
    <hyperlink ref="W4268" r:id="rId990"/>
    <hyperlink ref="W4267" r:id="rId991"/>
    <hyperlink ref="W4270" r:id="rId992"/>
    <hyperlink ref="W4303" r:id="rId993"/>
    <hyperlink ref="W4304" r:id="rId994"/>
    <hyperlink ref="W4306" r:id="rId995"/>
    <hyperlink ref="W4307" r:id="rId996"/>
    <hyperlink ref="W4308" r:id="rId997"/>
    <hyperlink ref="W4309" r:id="rId998"/>
    <hyperlink ref="W4311" r:id="rId999"/>
    <hyperlink ref="W4312" r:id="rId1000"/>
    <hyperlink ref="W4325" r:id="rId1001"/>
    <hyperlink ref="W4330" r:id="rId1002"/>
    <hyperlink ref="W4331" r:id="rId1003"/>
    <hyperlink ref="W4332" r:id="rId1004"/>
    <hyperlink ref="W4334" r:id="rId1005"/>
    <hyperlink ref="W4335" r:id="rId1006"/>
    <hyperlink ref="W4337" r:id="rId1007"/>
    <hyperlink ref="W4340" r:id="rId1008"/>
    <hyperlink ref="W4341" r:id="rId1009"/>
    <hyperlink ref="W4358" r:id="rId1010"/>
    <hyperlink ref="W4363" r:id="rId1011"/>
    <hyperlink ref="W4364" r:id="rId1012"/>
    <hyperlink ref="W4390" r:id="rId1013"/>
    <hyperlink ref="W4392" r:id="rId1014"/>
    <hyperlink ref="W4396" r:id="rId1015"/>
    <hyperlink ref="W4397" r:id="rId1016"/>
    <hyperlink ref="W4398" r:id="rId1017"/>
    <hyperlink ref="W4411" r:id="rId1018"/>
    <hyperlink ref="W4416" r:id="rId1019"/>
    <hyperlink ref="W4417" r:id="rId1020"/>
    <hyperlink ref="W4418" r:id="rId1021"/>
    <hyperlink ref="W4421" r:id="rId1022"/>
    <hyperlink ref="W4458" r:id="rId1023"/>
    <hyperlink ref="W4459" r:id="rId1024"/>
    <hyperlink ref="W4461" r:id="rId1025"/>
    <hyperlink ref="W4468" r:id="rId1026"/>
    <hyperlink ref="W4469" r:id="rId1027"/>
    <hyperlink ref="W4470" r:id="rId1028"/>
    <hyperlink ref="W4471" r:id="rId1029"/>
    <hyperlink ref="W4477" r:id="rId1030"/>
    <hyperlink ref="W4485" r:id="rId1031"/>
    <hyperlink ref="W4486" r:id="rId1032"/>
    <hyperlink ref="W4487" r:id="rId1033"/>
    <hyperlink ref="W4488" r:id="rId1034"/>
    <hyperlink ref="W4501" r:id="rId1035"/>
    <hyperlink ref="W4502" r:id="rId1036"/>
    <hyperlink ref="W4503" r:id="rId1037"/>
    <hyperlink ref="W4504" r:id="rId1038"/>
    <hyperlink ref="W4508" r:id="rId1039"/>
    <hyperlink ref="W4509" r:id="rId1040"/>
    <hyperlink ref="W4516" r:id="rId1041"/>
    <hyperlink ref="W4517" r:id="rId1042"/>
    <hyperlink ref="W4536" r:id="rId1043"/>
    <hyperlink ref="W4538" r:id="rId1044"/>
    <hyperlink ref="W4539" r:id="rId1045"/>
    <hyperlink ref="W4540" r:id="rId1046"/>
    <hyperlink ref="W4543" r:id="rId1047"/>
    <hyperlink ref="W4545" r:id="rId1048"/>
    <hyperlink ref="W4547" r:id="rId1049"/>
    <hyperlink ref="W4548" r:id="rId1050"/>
    <hyperlink ref="W4549" r:id="rId1051"/>
    <hyperlink ref="W4550" r:id="rId1052"/>
    <hyperlink ref="W4568" r:id="rId1053"/>
    <hyperlink ref="W4569" r:id="rId1054"/>
    <hyperlink ref="W4575" r:id="rId1055"/>
    <hyperlink ref="W4588" r:id="rId1056"/>
    <hyperlink ref="W4607" r:id="rId1057"/>
    <hyperlink ref="W4614" r:id="rId1058"/>
    <hyperlink ref="W4616" r:id="rId1059"/>
    <hyperlink ref="V4656" r:id="rId1060"/>
    <hyperlink ref="W4686" r:id="rId1061"/>
    <hyperlink ref="W4687" r:id="rId1062"/>
    <hyperlink ref="W4656" r:id="rId1063"/>
    <hyperlink ref="W4658" r:id="rId1064"/>
    <hyperlink ref="W4659" r:id="rId1065"/>
    <hyperlink ref="W4682" r:id="rId1066"/>
    <hyperlink ref="W4681" r:id="rId1067"/>
    <hyperlink ref="W4688" r:id="rId1068"/>
    <hyperlink ref="W4689" r:id="rId1069"/>
    <hyperlink ref="W4690" r:id="rId1070"/>
    <hyperlink ref="W4693" r:id="rId1071"/>
    <hyperlink ref="W4694" r:id="rId1072"/>
    <hyperlink ref="W4707" r:id="rId1073"/>
    <hyperlink ref="W4708" r:id="rId1074"/>
    <hyperlink ref="W4717" r:id="rId1075"/>
    <hyperlink ref="W4718" r:id="rId1076"/>
    <hyperlink ref="W4719" r:id="rId1077"/>
    <hyperlink ref="W4729" r:id="rId1078"/>
    <hyperlink ref="W4731" r:id="rId1079"/>
    <hyperlink ref="W4734" r:id="rId1080"/>
    <hyperlink ref="W4735" r:id="rId1081"/>
    <hyperlink ref="W4736" r:id="rId1082"/>
    <hyperlink ref="W4740" r:id="rId1083"/>
    <hyperlink ref="W4741" r:id="rId1084"/>
    <hyperlink ref="W4541" r:id="rId1085"/>
    <hyperlink ref="W4745" r:id="rId1086"/>
    <hyperlink ref="W4746" r:id="rId1087"/>
    <hyperlink ref="W4753" r:id="rId1088"/>
    <hyperlink ref="W4755" r:id="rId1089"/>
    <hyperlink ref="W4756" r:id="rId1090"/>
    <hyperlink ref="W4761" r:id="rId1091"/>
    <hyperlink ref="W4762" r:id="rId1092"/>
    <hyperlink ref="W4764" r:id="rId1093"/>
    <hyperlink ref="W4765" r:id="rId1094"/>
    <hyperlink ref="W4771" r:id="rId1095"/>
    <hyperlink ref="W4766" r:id="rId1096"/>
    <hyperlink ref="W4812" r:id="rId1097"/>
    <hyperlink ref="W4813" r:id="rId1098"/>
    <hyperlink ref="W4814" r:id="rId1099"/>
    <hyperlink ref="W4815" r:id="rId1100"/>
    <hyperlink ref="W4816" r:id="rId1101"/>
    <hyperlink ref="W4817" r:id="rId1102"/>
    <hyperlink ref="W4818" r:id="rId1103"/>
    <hyperlink ref="W4819" r:id="rId1104"/>
    <hyperlink ref="W4820" r:id="rId1105"/>
    <hyperlink ref="W4821" r:id="rId1106"/>
    <hyperlink ref="W4839" r:id="rId1107"/>
    <hyperlink ref="W4840" r:id="rId1108"/>
    <hyperlink ref="W4842" r:id="rId1109"/>
    <hyperlink ref="W4844" r:id="rId1110"/>
    <hyperlink ref="W4857" r:id="rId1111"/>
    <hyperlink ref="W4858" r:id="rId1112"/>
    <hyperlink ref="W4870" r:id="rId1113"/>
    <hyperlink ref="W4877" r:id="rId1114"/>
    <hyperlink ref="W4882" r:id="rId1115"/>
    <hyperlink ref="W4883" r:id="rId1116"/>
    <hyperlink ref="W4885" r:id="rId1117"/>
    <hyperlink ref="W4891" r:id="rId1118"/>
    <hyperlink ref="W4898" r:id="rId1119"/>
    <hyperlink ref="W4899" r:id="rId1120"/>
    <hyperlink ref="W4900" r:id="rId1121"/>
    <hyperlink ref="W4901" r:id="rId1122"/>
    <hyperlink ref="W4902" r:id="rId1123"/>
    <hyperlink ref="W4904" r:id="rId1124"/>
    <hyperlink ref="W4905" r:id="rId1125"/>
    <hyperlink ref="W4907" r:id="rId1126"/>
    <hyperlink ref="W4916" r:id="rId1127"/>
    <hyperlink ref="W4919" r:id="rId1128"/>
    <hyperlink ref="W4926" r:id="rId1129"/>
    <hyperlink ref="W4930" r:id="rId1130"/>
    <hyperlink ref="W4931" r:id="rId1131"/>
    <hyperlink ref="W4932" r:id="rId1132"/>
    <hyperlink ref="W4950" r:id="rId1133"/>
    <hyperlink ref="W4966" r:id="rId1134"/>
    <hyperlink ref="W4967" r:id="rId1135"/>
    <hyperlink ref="W4968" r:id="rId1136"/>
    <hyperlink ref="W4972" r:id="rId1137"/>
    <hyperlink ref="W4980" r:id="rId1138"/>
    <hyperlink ref="W4981" r:id="rId1139"/>
    <hyperlink ref="W4982" r:id="rId1140"/>
    <hyperlink ref="W4983" r:id="rId1141"/>
    <hyperlink ref="W4993" r:id="rId1142"/>
    <hyperlink ref="W5004" r:id="rId1143"/>
    <hyperlink ref="W5006" r:id="rId1144"/>
    <hyperlink ref="W5007" r:id="rId1145"/>
    <hyperlink ref="W5025" r:id="rId1146"/>
    <hyperlink ref="W5026" r:id="rId1147"/>
    <hyperlink ref="W5028" r:id="rId1148"/>
    <hyperlink ref="W5033" r:id="rId1149"/>
    <hyperlink ref="W5034" r:id="rId1150"/>
    <hyperlink ref="W5035" r:id="rId1151"/>
    <hyperlink ref="W5038" r:id="rId1152"/>
    <hyperlink ref="W5041" r:id="rId1153"/>
    <hyperlink ref="W5045" r:id="rId1154"/>
    <hyperlink ref="W5047" r:id="rId1155"/>
    <hyperlink ref="W5048" r:id="rId1156"/>
    <hyperlink ref="W5049" r:id="rId1157"/>
    <hyperlink ref="W5050" r:id="rId1158"/>
    <hyperlink ref="W5058" r:id="rId1159"/>
    <hyperlink ref="W5059" r:id="rId1160"/>
    <hyperlink ref="W5061" r:id="rId1161"/>
    <hyperlink ref="W5062" r:id="rId1162"/>
    <hyperlink ref="W5063" r:id="rId1163"/>
    <hyperlink ref="AB5061" r:id="rId1164"/>
    <hyperlink ref="W5075" r:id="rId1165"/>
    <hyperlink ref="W5085" r:id="rId1166"/>
    <hyperlink ref="W5090" r:id="rId1167"/>
    <hyperlink ref="W5091" r:id="rId1168"/>
    <hyperlink ref="W5099" r:id="rId1169"/>
    <hyperlink ref="W5102" r:id="rId1170"/>
    <hyperlink ref="W5104" r:id="rId1171"/>
    <hyperlink ref="W5107" r:id="rId1172"/>
    <hyperlink ref="W5145" r:id="rId1173"/>
    <hyperlink ref="W5150" r:id="rId1174"/>
    <hyperlink ref="W5151" r:id="rId1175"/>
    <hyperlink ref="W5152" r:id="rId1176"/>
    <hyperlink ref="W5154" r:id="rId1177"/>
    <hyperlink ref="W5171" r:id="rId1178"/>
    <hyperlink ref="W5172" r:id="rId1179"/>
    <hyperlink ref="W5174" r:id="rId1180"/>
    <hyperlink ref="W5175" r:id="rId1181"/>
    <hyperlink ref="W5176" r:id="rId1182"/>
    <hyperlink ref="W5177" r:id="rId1183"/>
    <hyperlink ref="W5178" r:id="rId1184"/>
    <hyperlink ref="W5181" r:id="rId1185"/>
    <hyperlink ref="W5183" r:id="rId1186"/>
    <hyperlink ref="W5185" r:id="rId1187"/>
    <hyperlink ref="W5186" r:id="rId1188"/>
    <hyperlink ref="W5187" r:id="rId1189"/>
    <hyperlink ref="W5188" r:id="rId1190"/>
    <hyperlink ref="W5189" r:id="rId1191"/>
    <hyperlink ref="W5206" r:id="rId1192"/>
    <hyperlink ref="W5211" r:id="rId1193"/>
    <hyperlink ref="W5215" r:id="rId1194"/>
    <hyperlink ref="W5232" r:id="rId1195"/>
    <hyperlink ref="W5233" r:id="rId1196"/>
    <hyperlink ref="W5237" r:id="rId1197"/>
    <hyperlink ref="W5241" r:id="rId1198"/>
    <hyperlink ref="W5242" r:id="rId1199"/>
    <hyperlink ref="W5255" r:id="rId1200"/>
    <hyperlink ref="W5256" r:id="rId1201"/>
    <hyperlink ref="W5270" r:id="rId1202"/>
    <hyperlink ref="W5273" r:id="rId1203"/>
    <hyperlink ref="W5274" r:id="rId1204"/>
    <hyperlink ref="W5268" r:id="rId1205"/>
    <hyperlink ref="W5313" r:id="rId1206"/>
    <hyperlink ref="W5312" r:id="rId1207"/>
    <hyperlink ref="W5315" r:id="rId1208"/>
    <hyperlink ref="W5336" r:id="rId1209"/>
    <hyperlink ref="W5337" r:id="rId1210"/>
    <hyperlink ref="W5341" r:id="rId1211"/>
    <hyperlink ref="W5355" r:id="rId1212"/>
    <hyperlink ref="W5360" r:id="rId1213"/>
    <hyperlink ref="W5363" r:id="rId1214"/>
    <hyperlink ref="W5364" r:id="rId1215"/>
    <hyperlink ref="W5366" r:id="rId1216"/>
    <hyperlink ref="W5369" r:id="rId1217"/>
    <hyperlink ref="W5374" r:id="rId1218"/>
    <hyperlink ref="W5379" r:id="rId1219"/>
    <hyperlink ref="W5397" r:id="rId1220"/>
    <hyperlink ref="W5375" r:id="rId1221"/>
    <hyperlink ref="W5403" r:id="rId1222"/>
    <hyperlink ref="W5434" r:id="rId1223"/>
    <hyperlink ref="W5451" r:id="rId1224"/>
    <hyperlink ref="W5460" r:id="rId1225"/>
    <hyperlink ref="W5446" r:id="rId1226"/>
    <hyperlink ref="W5454" r:id="rId1227"/>
    <hyperlink ref="W5458" r:id="rId1228"/>
    <hyperlink ref="W5461" r:id="rId1229"/>
    <hyperlink ref="W5462" r:id="rId1230"/>
    <hyperlink ref="W5464" r:id="rId1231"/>
    <hyperlink ref="W5473" r:id="rId1232"/>
    <hyperlink ref="W5475" r:id="rId1233"/>
    <hyperlink ref="W5478" r:id="rId1234"/>
    <hyperlink ref="W5479" r:id="rId1235"/>
    <hyperlink ref="W5485" r:id="rId1236"/>
    <hyperlink ref="W5406" r:id="rId1237"/>
    <hyperlink ref="W5488" r:id="rId1238"/>
    <hyperlink ref="W5489" r:id="rId1239"/>
    <hyperlink ref="W5494" r:id="rId1240"/>
    <hyperlink ref="W5497" r:id="rId1241"/>
    <hyperlink ref="W5498" r:id="rId1242"/>
    <hyperlink ref="W5517" r:id="rId1243"/>
    <hyperlink ref="W5519" r:id="rId1244"/>
    <hyperlink ref="W5521" r:id="rId1245"/>
    <hyperlink ref="W5522" r:id="rId1246"/>
    <hyperlink ref="W5523" r:id="rId1247"/>
    <hyperlink ref="W5484" r:id="rId1248"/>
    <hyperlink ref="W5387" r:id="rId1249"/>
    <hyperlink ref="W5524" r:id="rId1250"/>
    <hyperlink ref="W5531" r:id="rId1251"/>
    <hyperlink ref="W5532" r:id="rId1252"/>
    <hyperlink ref="W5552" r:id="rId1253"/>
    <hyperlink ref="W5553" r:id="rId1254"/>
    <hyperlink ref="W5563" r:id="rId1255"/>
    <hyperlink ref="W5566" r:id="rId1256"/>
    <hyperlink ref="W5570" r:id="rId1257"/>
    <hyperlink ref="W5571" r:id="rId1258"/>
    <hyperlink ref="W5585" r:id="rId1259"/>
    <hyperlink ref="W5590" r:id="rId1260"/>
    <hyperlink ref="W5598" r:id="rId1261"/>
    <hyperlink ref="W5599" r:id="rId1262"/>
    <hyperlink ref="W5600" r:id="rId1263"/>
    <hyperlink ref="W5605" r:id="rId1264"/>
    <hyperlink ref="W5607" r:id="rId1265"/>
    <hyperlink ref="W5609" r:id="rId1266"/>
    <hyperlink ref="W5625" r:id="rId1267"/>
    <hyperlink ref="W5633" r:id="rId1268"/>
    <hyperlink ref="W5635" r:id="rId1269"/>
    <hyperlink ref="W5636" r:id="rId1270"/>
    <hyperlink ref="W5637" r:id="rId1271"/>
    <hyperlink ref="W5657" r:id="rId1272"/>
    <hyperlink ref="W5658" r:id="rId1273"/>
    <hyperlink ref="W5660" r:id="rId1274"/>
    <hyperlink ref="W5677" r:id="rId1275"/>
    <hyperlink ref="W5678" r:id="rId1276"/>
    <hyperlink ref="W5679" r:id="rId1277"/>
    <hyperlink ref="W5693" r:id="rId1278"/>
    <hyperlink ref="W5695" r:id="rId1279"/>
    <hyperlink ref="W5699" r:id="rId1280"/>
    <hyperlink ref="W5700" r:id="rId1281"/>
    <hyperlink ref="W5714" r:id="rId1282"/>
    <hyperlink ref="W5715" r:id="rId1283"/>
    <hyperlink ref="W5716" r:id="rId1284"/>
    <hyperlink ref="W5717" r:id="rId1285"/>
    <hyperlink ref="W5718" r:id="rId1286"/>
    <hyperlink ref="W5719" r:id="rId1287"/>
    <hyperlink ref="W5721" r:id="rId1288"/>
    <hyperlink ref="W5723" r:id="rId1289"/>
    <hyperlink ref="W5733" r:id="rId1290"/>
    <hyperlink ref="W5740" r:id="rId1291"/>
    <hyperlink ref="W5745" r:id="rId1292"/>
    <hyperlink ref="W5749" r:id="rId1293"/>
    <hyperlink ref="W5750" r:id="rId1294"/>
    <hyperlink ref="W5742" r:id="rId1295"/>
    <hyperlink ref="W5773" r:id="rId1296"/>
    <hyperlink ref="W5780" r:id="rId1297"/>
    <hyperlink ref="W5787" r:id="rId1298"/>
    <hyperlink ref="W5800" r:id="rId1299"/>
    <hyperlink ref="W5814" r:id="rId1300"/>
    <hyperlink ref="W5815" r:id="rId1301"/>
    <hyperlink ref="W5818" r:id="rId1302"/>
    <hyperlink ref="W5820" r:id="rId1303"/>
    <hyperlink ref="W5822" r:id="rId1304"/>
    <hyperlink ref="W5823" r:id="rId1305"/>
    <hyperlink ref="W5828" r:id="rId1306"/>
    <hyperlink ref="W5840" r:id="rId1307"/>
    <hyperlink ref="W5845" r:id="rId1308"/>
    <hyperlink ref="W5846" r:id="rId1309"/>
    <hyperlink ref="W5847" r:id="rId1310"/>
    <hyperlink ref="W5848" r:id="rId1311"/>
    <hyperlink ref="W5849" r:id="rId1312"/>
    <hyperlink ref="W5850" r:id="rId1313"/>
    <hyperlink ref="W5852" r:id="rId1314"/>
    <hyperlink ref="W5863" r:id="rId1315"/>
    <hyperlink ref="W5864" r:id="rId1316"/>
    <hyperlink ref="W5878" r:id="rId1317"/>
    <hyperlink ref="W5883" r:id="rId1318"/>
    <hyperlink ref="W5884" r:id="rId1319"/>
    <hyperlink ref="W5885" r:id="rId1320"/>
    <hyperlink ref="W5886" r:id="rId1321"/>
    <hyperlink ref="W5888" r:id="rId1322"/>
    <hyperlink ref="W5890" r:id="rId1323"/>
    <hyperlink ref="W5906" r:id="rId1324"/>
    <hyperlink ref="W5907" r:id="rId1325"/>
    <hyperlink ref="W5909" r:id="rId1326"/>
    <hyperlink ref="W5913" r:id="rId1327"/>
    <hyperlink ref="W5915" r:id="rId1328"/>
    <hyperlink ref="W5916" r:id="rId1329"/>
    <hyperlink ref="W5918" r:id="rId1330"/>
    <hyperlink ref="W5929" r:id="rId1331"/>
    <hyperlink ref="W5934" r:id="rId1332"/>
    <hyperlink ref="W5936" r:id="rId1333"/>
    <hyperlink ref="W5938" r:id="rId1334"/>
    <hyperlink ref="W5969" r:id="rId1335"/>
    <hyperlink ref="W5944" r:id="rId1336"/>
    <hyperlink ref="W5989" r:id="rId1337"/>
    <hyperlink ref="W5994" r:id="rId1338"/>
    <hyperlink ref="W5995" r:id="rId1339"/>
    <hyperlink ref="W6010" r:id="rId1340"/>
    <hyperlink ref="W6013" r:id="rId1341"/>
    <hyperlink ref="W6027" r:id="rId1342"/>
    <hyperlink ref="W6046" r:id="rId1343"/>
    <hyperlink ref="W6047" r:id="rId1344"/>
    <hyperlink ref="W6052" r:id="rId1345"/>
    <hyperlink ref="W6054" r:id="rId1346"/>
    <hyperlink ref="W6056" r:id="rId1347"/>
    <hyperlink ref="W6070" r:id="rId1348"/>
    <hyperlink ref="W6076" r:id="rId1349"/>
    <hyperlink ref="W6084" r:id="rId1350"/>
    <hyperlink ref="W6085" r:id="rId1351"/>
    <hyperlink ref="W6088" r:id="rId1352"/>
    <hyperlink ref="W6091" r:id="rId1353"/>
    <hyperlink ref="W6092" r:id="rId1354"/>
    <hyperlink ref="W6113" r:id="rId1355"/>
    <hyperlink ref="W6114" r:id="rId1356"/>
    <hyperlink ref="W6115" r:id="rId1357"/>
    <hyperlink ref="W6117" r:id="rId1358"/>
    <hyperlink ref="W6118" r:id="rId1359"/>
    <hyperlink ref="W6119" r:id="rId1360"/>
    <hyperlink ref="W6120" r:id="rId1361"/>
    <hyperlink ref="W6122" r:id="rId1362"/>
    <hyperlink ref="W6123" r:id="rId1363"/>
    <hyperlink ref="W6125" r:id="rId1364"/>
    <hyperlink ref="W6164" r:id="rId1365"/>
    <hyperlink ref="W6166" r:id="rId1366"/>
    <hyperlink ref="W6183" r:id="rId1367"/>
    <hyperlink ref="W6185" r:id="rId1368"/>
    <hyperlink ref="W6186" r:id="rId1369"/>
    <hyperlink ref="W6187" r:id="rId1370"/>
    <hyperlink ref="W6188" r:id="rId1371"/>
    <hyperlink ref="W6193" r:id="rId1372"/>
    <hyperlink ref="W6194" r:id="rId1373"/>
    <hyperlink ref="W6200" r:id="rId1374"/>
    <hyperlink ref="W6251" r:id="rId1375"/>
    <hyperlink ref="W6256" r:id="rId1376"/>
    <hyperlink ref="W6266" r:id="rId1377"/>
    <hyperlink ref="W6278" r:id="rId1378"/>
    <hyperlink ref="W6285" r:id="rId1379"/>
    <hyperlink ref="W6286" r:id="rId1380"/>
    <hyperlink ref="W6287" r:id="rId1381"/>
    <hyperlink ref="W6288" r:id="rId1382"/>
    <hyperlink ref="W6294" r:id="rId1383"/>
    <hyperlink ref="W6295" r:id="rId1384"/>
    <hyperlink ref="W6297" r:id="rId1385"/>
    <hyperlink ref="W6298" r:id="rId1386"/>
    <hyperlink ref="W6305" r:id="rId1387"/>
    <hyperlink ref="W6306" r:id="rId1388"/>
    <hyperlink ref="W6314" r:id="rId1389"/>
    <hyperlink ref="W6319" r:id="rId1390"/>
    <hyperlink ref="W6321" r:id="rId1391"/>
    <hyperlink ref="W6351" r:id="rId1392"/>
    <hyperlink ref="W6354" r:id="rId1393"/>
    <hyperlink ref="W6355" r:id="rId1394"/>
    <hyperlink ref="W6360" r:id="rId1395"/>
    <hyperlink ref="W6363" r:id="rId1396"/>
    <hyperlink ref="W6366" r:id="rId1397"/>
    <hyperlink ref="W6367" r:id="rId1398"/>
    <hyperlink ref="W6368" r:id="rId1399"/>
    <hyperlink ref="W6385" r:id="rId1400"/>
    <hyperlink ref="W6386" r:id="rId1401"/>
    <hyperlink ref="W6387" r:id="rId1402"/>
    <hyperlink ref="W6395" r:id="rId1403"/>
    <hyperlink ref="W6396" r:id="rId1404"/>
    <hyperlink ref="W6407" r:id="rId1405"/>
    <hyperlink ref="W6408" r:id="rId1406"/>
    <hyperlink ref="W6409" r:id="rId1407"/>
    <hyperlink ref="W6422" r:id="rId1408"/>
    <hyperlink ref="W6423" r:id="rId1409"/>
    <hyperlink ref="W6427" r:id="rId1410"/>
    <hyperlink ref="W6428" r:id="rId1411"/>
    <hyperlink ref="W6434" r:id="rId1412"/>
    <hyperlink ref="W6435" r:id="rId1413"/>
    <hyperlink ref="W6436" r:id="rId1414"/>
    <hyperlink ref="W6437" r:id="rId1415"/>
    <hyperlink ref="W6461" r:id="rId1416"/>
    <hyperlink ref="W6470" r:id="rId1417"/>
    <hyperlink ref="W6474" r:id="rId1418"/>
    <hyperlink ref="W6475" r:id="rId1419"/>
    <hyperlink ref="W6476" r:id="rId1420"/>
    <hyperlink ref="W6477" r:id="rId1421"/>
    <hyperlink ref="W6485" r:id="rId1422"/>
    <hyperlink ref="W6510" r:id="rId1423"/>
    <hyperlink ref="W6511" r:id="rId1424"/>
    <hyperlink ref="W6516" r:id="rId1425"/>
    <hyperlink ref="W6517" r:id="rId1426"/>
    <hyperlink ref="W6551" r:id="rId1427"/>
    <hyperlink ref="W6554" r:id="rId1428"/>
    <hyperlink ref="W6555" r:id="rId1429"/>
    <hyperlink ref="W6556" r:id="rId1430"/>
    <hyperlink ref="W6557" r:id="rId1431"/>
    <hyperlink ref="W6558" r:id="rId1432"/>
    <hyperlink ref="W6559" r:id="rId1433"/>
    <hyperlink ref="W6560" r:id="rId1434"/>
    <hyperlink ref="W6564" r:id="rId1435"/>
    <hyperlink ref="W6565" r:id="rId1436"/>
    <hyperlink ref="W6566" r:id="rId1437"/>
    <hyperlink ref="W6581" r:id="rId1438"/>
    <hyperlink ref="W6582" r:id="rId1439"/>
    <hyperlink ref="W6583" r:id="rId1440"/>
    <hyperlink ref="W6589" r:id="rId1441"/>
    <hyperlink ref="W6590" r:id="rId1442"/>
    <hyperlink ref="W6591" r:id="rId1443"/>
    <hyperlink ref="W6592" r:id="rId1444"/>
    <hyperlink ref="W6593" r:id="rId1445"/>
    <hyperlink ref="W6594" r:id="rId1446"/>
    <hyperlink ref="W6595" r:id="rId1447"/>
    <hyperlink ref="W6603" r:id="rId1448"/>
    <hyperlink ref="W6616" r:id="rId1449"/>
    <hyperlink ref="W6618" r:id="rId1450"/>
    <hyperlink ref="X6564" r:id="rId1451"/>
    <hyperlink ref="W6636" r:id="rId1452"/>
    <hyperlink ref="W6641" r:id="rId1453"/>
    <hyperlink ref="W6643" r:id="rId1454"/>
    <hyperlink ref="W6644" r:id="rId1455"/>
    <hyperlink ref="W6645" r:id="rId1456"/>
    <hyperlink ref="W6653" r:id="rId1457"/>
    <hyperlink ref="W6655" r:id="rId1458"/>
    <hyperlink ref="W6666" r:id="rId1459"/>
    <hyperlink ref="W6667" r:id="rId1460"/>
    <hyperlink ref="W6668" r:id="rId1461"/>
    <hyperlink ref="W6669" r:id="rId1462"/>
    <hyperlink ref="W6671" r:id="rId1463"/>
    <hyperlink ref="W6673" r:id="rId1464"/>
    <hyperlink ref="W6681" r:id="rId1465"/>
    <hyperlink ref="W6682" r:id="rId1466"/>
    <hyperlink ref="W6683" r:id="rId1467"/>
    <hyperlink ref="W6684" r:id="rId1468"/>
    <hyperlink ref="W6688" r:id="rId1469"/>
    <hyperlink ref="W6691" r:id="rId1470"/>
    <hyperlink ref="W6692" r:id="rId1471"/>
    <hyperlink ref="W6693" r:id="rId1472"/>
    <hyperlink ref="W6694" r:id="rId1473"/>
    <hyperlink ref="W6695" r:id="rId1474"/>
    <hyperlink ref="W6696" r:id="rId1475"/>
    <hyperlink ref="W6745" r:id="rId1476"/>
    <hyperlink ref="W6746" r:id="rId1477"/>
    <hyperlink ref="W6747" r:id="rId1478"/>
    <hyperlink ref="W6748" r:id="rId1479"/>
    <hyperlink ref="W6750" r:id="rId1480"/>
    <hyperlink ref="W6751" r:id="rId1481"/>
    <hyperlink ref="W6776" r:id="rId1482"/>
    <hyperlink ref="W6778" r:id="rId1483"/>
    <hyperlink ref="W6784" r:id="rId1484"/>
    <hyperlink ref="X6784" r:id="rId1485"/>
    <hyperlink ref="W6790" r:id="rId1486"/>
    <hyperlink ref="W6791" r:id="rId1487"/>
    <hyperlink ref="W6792" r:id="rId1488"/>
    <hyperlink ref="W6793" r:id="rId1489"/>
    <hyperlink ref="W6794" r:id="rId1490"/>
    <hyperlink ref="W6795" r:id="rId1491"/>
    <hyperlink ref="W6796" r:id="rId1492"/>
    <hyperlink ref="W6810" r:id="rId1493"/>
    <hyperlink ref="W6816" r:id="rId1494"/>
    <hyperlink ref="W6819" r:id="rId1495"/>
    <hyperlink ref="W6829" r:id="rId1496"/>
    <hyperlink ref="W6843" r:id="rId1497"/>
    <hyperlink ref="W6845" r:id="rId1498"/>
    <hyperlink ref="W6846" r:id="rId1499"/>
    <hyperlink ref="W6852" r:id="rId1500"/>
    <hyperlink ref="W6853" r:id="rId1501"/>
    <hyperlink ref="W6854" r:id="rId1502"/>
    <hyperlink ref="W6855" r:id="rId1503"/>
    <hyperlink ref="W6856" r:id="rId1504"/>
    <hyperlink ref="W6857" r:id="rId1505"/>
    <hyperlink ref="W6858" r:id="rId1506"/>
    <hyperlink ref="W6859" r:id="rId1507"/>
    <hyperlink ref="W6860" r:id="rId1508"/>
    <hyperlink ref="W6861" r:id="rId1509"/>
    <hyperlink ref="W6862" r:id="rId1510"/>
    <hyperlink ref="W6873" r:id="rId1511"/>
    <hyperlink ref="W6875" r:id="rId1512"/>
    <hyperlink ref="W6876" r:id="rId1513"/>
    <hyperlink ref="W6881" r:id="rId1514"/>
    <hyperlink ref="W6882" r:id="rId1515"/>
    <hyperlink ref="W6883" r:id="rId1516"/>
    <hyperlink ref="W6885" r:id="rId1517"/>
    <hyperlink ref="W6887" r:id="rId1518"/>
    <hyperlink ref="W6888" r:id="rId1519"/>
    <hyperlink ref="W6889" r:id="rId1520"/>
    <hyperlink ref="W6934" r:id="rId1521"/>
    <hyperlink ref="W6935" r:id="rId1522"/>
    <hyperlink ref="W6936" r:id="rId1523"/>
    <hyperlink ref="W6937" r:id="rId1524"/>
    <hyperlink ref="W6938" r:id="rId1525"/>
    <hyperlink ref="W6940" r:id="rId1526"/>
    <hyperlink ref="W6932" r:id="rId1527"/>
    <hyperlink ref="W6960" r:id="rId1528"/>
    <hyperlink ref="W6961" r:id="rId1529"/>
    <hyperlink ref="W6964" r:id="rId1530"/>
    <hyperlink ref="W6965" r:id="rId1531"/>
    <hyperlink ref="W6967" r:id="rId1532"/>
    <hyperlink ref="W6968" r:id="rId1533"/>
    <hyperlink ref="W6969" r:id="rId1534"/>
    <hyperlink ref="W6984" r:id="rId1535"/>
    <hyperlink ref="W6985" r:id="rId1536"/>
    <hyperlink ref="W6986" r:id="rId1537"/>
    <hyperlink ref="W6987" r:id="rId1538"/>
    <hyperlink ref="W6995" r:id="rId1539"/>
    <hyperlink ref="W7010" r:id="rId1540"/>
    <hyperlink ref="W7028" r:id="rId1541"/>
    <hyperlink ref="W7030" r:id="rId1542"/>
    <hyperlink ref="W7037" r:id="rId1543"/>
    <hyperlink ref="W7038" r:id="rId1544"/>
    <hyperlink ref="W7042" r:id="rId1545"/>
    <hyperlink ref="W7043" r:id="rId1546"/>
    <hyperlink ref="W7044" r:id="rId1547"/>
    <hyperlink ref="W7046" r:id="rId1548"/>
    <hyperlink ref="W7047" r:id="rId1549"/>
    <hyperlink ref="W7057" r:id="rId1550"/>
    <hyperlink ref="W7072" r:id="rId1551"/>
    <hyperlink ref="W7073" r:id="rId1552"/>
    <hyperlink ref="W7075" r:id="rId1553"/>
    <hyperlink ref="W7078" r:id="rId1554"/>
    <hyperlink ref="W7081" r:id="rId1555"/>
    <hyperlink ref="W7084" r:id="rId1556"/>
    <hyperlink ref="W7085" r:id="rId1557"/>
    <hyperlink ref="W7130" r:id="rId1558"/>
    <hyperlink ref="W7134" r:id="rId1559"/>
    <hyperlink ref="W7135" r:id="rId1560"/>
    <hyperlink ref="W7136" r:id="rId1561"/>
    <hyperlink ref="W7137" r:id="rId1562"/>
    <hyperlink ref="W7139" r:id="rId1563"/>
    <hyperlink ref="W7156" r:id="rId1564"/>
    <hyperlink ref="W7164" r:id="rId1565"/>
    <hyperlink ref="W7165" r:id="rId1566"/>
    <hyperlink ref="W7166" r:id="rId1567"/>
    <hyperlink ref="W7174" r:id="rId1568"/>
    <hyperlink ref="W7175" r:id="rId1569"/>
    <hyperlink ref="W7187" r:id="rId1570"/>
    <hyperlink ref="W7188" r:id="rId1571"/>
    <hyperlink ref="W7189" r:id="rId1572"/>
    <hyperlink ref="W7190" r:id="rId1573"/>
    <hyperlink ref="W7191" r:id="rId1574"/>
    <hyperlink ref="W7192" r:id="rId1575"/>
    <hyperlink ref="W7193" r:id="rId1576"/>
    <hyperlink ref="W7197" r:id="rId1577"/>
    <hyperlink ref="W7198" r:id="rId1578"/>
    <hyperlink ref="W7199" r:id="rId1579"/>
    <hyperlink ref="W7216" r:id="rId1580"/>
    <hyperlink ref="W7218" r:id="rId1581"/>
    <hyperlink ref="W7220" r:id="rId1582"/>
    <hyperlink ref="W7225" r:id="rId1583"/>
    <hyperlink ref="W7227" r:id="rId1584"/>
    <hyperlink ref="W7232" r:id="rId1585"/>
    <hyperlink ref="W7241" r:id="rId1586"/>
    <hyperlink ref="W7244" r:id="rId1587"/>
    <hyperlink ref="W7246" r:id="rId1588"/>
    <hyperlink ref="W7245" r:id="rId1589"/>
    <hyperlink ref="W7247" r:id="rId1590"/>
    <hyperlink ref="W7248" r:id="rId1591"/>
    <hyperlink ref="W7297" r:id="rId1592"/>
    <hyperlink ref="W7298" r:id="rId1593"/>
    <hyperlink ref="W7301" r:id="rId1594"/>
    <hyperlink ref="W7313" r:id="rId1595"/>
    <hyperlink ref="W7314" r:id="rId1596"/>
    <hyperlink ref="W7357" r:id="rId1597"/>
    <hyperlink ref="W7358" r:id="rId1598"/>
    <hyperlink ref="W7360" r:id="rId1599"/>
    <hyperlink ref="W7361" r:id="rId1600"/>
    <hyperlink ref="W7362" r:id="rId1601"/>
    <hyperlink ref="W7363" r:id="rId1602"/>
    <hyperlink ref="W7365" r:id="rId1603"/>
    <hyperlink ref="W7366" r:id="rId1604"/>
    <hyperlink ref="W7386" r:id="rId1605"/>
    <hyperlink ref="W7387" r:id="rId1606"/>
    <hyperlink ref="W7388" r:id="rId1607"/>
    <hyperlink ref="W7392" r:id="rId1608"/>
    <hyperlink ref="W7421" r:id="rId1609"/>
    <hyperlink ref="W7422" r:id="rId1610"/>
    <hyperlink ref="W7424" r:id="rId1611"/>
    <hyperlink ref="W7428" r:id="rId1612"/>
    <hyperlink ref="W7433" r:id="rId1613"/>
    <hyperlink ref="W7434" r:id="rId1614"/>
    <hyperlink ref="W7439" r:id="rId1615"/>
    <hyperlink ref="W7451" r:id="rId1616"/>
    <hyperlink ref="W7455" r:id="rId1617"/>
    <hyperlink ref="W7460" r:id="rId1618"/>
    <hyperlink ref="W7463" r:id="rId1619"/>
    <hyperlink ref="W7464" r:id="rId1620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352"/>
  <sheetViews>
    <sheetView topLeftCell="A2043" workbookViewId="0">
      <selection activeCell="L2069" sqref="L2069"/>
    </sheetView>
  </sheetViews>
  <sheetFormatPr defaultRowHeight="15" x14ac:dyDescent="0.25"/>
  <cols>
    <col min="1" max="1" width="9.140625" style="275"/>
    <col min="2" max="2" width="11.140625" style="279" customWidth="1"/>
    <col min="3" max="3" width="11.140625" style="276" bestFit="1" customWidth="1"/>
    <col min="4" max="4" width="11.140625" style="280" bestFit="1" customWidth="1"/>
    <col min="5" max="5" width="12.7109375" style="276" customWidth="1"/>
    <col min="6" max="6" width="11.42578125" style="275" bestFit="1" customWidth="1"/>
    <col min="7" max="7" width="11.42578125" style="292" bestFit="1" customWidth="1"/>
    <col min="8" max="8" width="11.5703125" style="292" customWidth="1"/>
    <col min="9" max="9" width="12.28515625" style="275" customWidth="1"/>
    <col min="10" max="10" width="10.7109375" style="277" customWidth="1"/>
    <col min="11" max="11" width="10.42578125" style="277" customWidth="1"/>
    <col min="12" max="12" width="11.28515625" style="277" customWidth="1"/>
    <col min="13" max="13" width="12" style="292" customWidth="1"/>
    <col min="14" max="14" width="9.140625" style="281"/>
    <col min="15" max="15" width="10.5703125" style="236" customWidth="1"/>
    <col min="16" max="16" width="21.28515625" style="284" customWidth="1"/>
    <col min="17" max="17" width="15.42578125" style="284" customWidth="1"/>
    <col min="18" max="18" width="10.85546875" style="276" customWidth="1"/>
    <col min="19" max="19" width="14.5703125" style="275" customWidth="1"/>
    <col min="20" max="20" width="10.7109375" style="279" customWidth="1"/>
    <col min="21" max="21" width="11.140625" style="279" customWidth="1"/>
    <col min="22" max="22" width="12.5703125" style="279" customWidth="1"/>
    <col min="23" max="23" width="11.28515625" style="293" customWidth="1"/>
    <col min="24" max="24" width="9.140625" style="236"/>
    <col min="25" max="25" width="9.140625" style="276"/>
    <col min="26" max="26" width="12.28515625" style="236" customWidth="1"/>
    <col min="27" max="27" width="10.42578125" style="279" customWidth="1"/>
    <col min="28" max="28" width="11.140625" style="279" customWidth="1"/>
    <col min="29" max="29" width="11.5703125" style="279" customWidth="1"/>
    <col min="30" max="30" width="9.140625" style="293"/>
    <col min="31" max="31" width="9.140625" style="282"/>
    <col min="32" max="32" width="11.140625" style="236" bestFit="1" customWidth="1"/>
    <col min="33" max="33" width="11.140625" style="236" customWidth="1"/>
    <col min="34" max="34" width="11.140625" style="236" bestFit="1" customWidth="1"/>
    <col min="35" max="35" width="9.140625" style="283"/>
  </cols>
  <sheetData>
    <row r="1" spans="1:35" s="278" customFormat="1" ht="45" x14ac:dyDescent="0.25">
      <c r="A1" s="285" t="s">
        <v>24</v>
      </c>
      <c r="B1" s="286" t="s">
        <v>15711</v>
      </c>
      <c r="C1" s="287" t="s">
        <v>15712</v>
      </c>
      <c r="D1" s="288" t="s">
        <v>15713</v>
      </c>
      <c r="E1" s="287" t="s">
        <v>15714</v>
      </c>
      <c r="F1" s="285" t="s">
        <v>15715</v>
      </c>
      <c r="G1" s="287" t="s">
        <v>15716</v>
      </c>
      <c r="H1" s="287" t="s">
        <v>15717</v>
      </c>
      <c r="I1" s="285" t="s">
        <v>15718</v>
      </c>
      <c r="J1" s="286" t="s">
        <v>15719</v>
      </c>
      <c r="K1" s="286" t="s">
        <v>15720</v>
      </c>
      <c r="L1" s="286" t="s">
        <v>15721</v>
      </c>
      <c r="M1" s="287" t="s">
        <v>15722</v>
      </c>
      <c r="N1" s="289" t="s">
        <v>15723</v>
      </c>
      <c r="O1" s="285" t="s">
        <v>15724</v>
      </c>
      <c r="P1" s="290" t="s">
        <v>15725</v>
      </c>
      <c r="Q1" s="290" t="s">
        <v>15726</v>
      </c>
      <c r="R1" s="287" t="s">
        <v>15727</v>
      </c>
      <c r="S1" s="285" t="s">
        <v>15718</v>
      </c>
      <c r="T1" s="286" t="s">
        <v>15719</v>
      </c>
      <c r="U1" s="286" t="s">
        <v>15720</v>
      </c>
      <c r="V1" s="286" t="s">
        <v>15721</v>
      </c>
      <c r="W1" s="287" t="s">
        <v>15722</v>
      </c>
      <c r="X1" s="285" t="s">
        <v>15723</v>
      </c>
      <c r="Y1" s="287" t="s">
        <v>15728</v>
      </c>
      <c r="Z1" s="285" t="s">
        <v>15718</v>
      </c>
      <c r="AA1" s="286" t="s">
        <v>15719</v>
      </c>
      <c r="AB1" s="286" t="s">
        <v>15720</v>
      </c>
      <c r="AC1" s="286" t="s">
        <v>15721</v>
      </c>
      <c r="AD1" s="287" t="s">
        <v>15722</v>
      </c>
      <c r="AE1" s="289" t="s">
        <v>15723</v>
      </c>
      <c r="AF1" s="285" t="s">
        <v>15729</v>
      </c>
      <c r="AG1" s="285" t="s">
        <v>15730</v>
      </c>
      <c r="AH1" s="285" t="s">
        <v>15731</v>
      </c>
      <c r="AI1" s="291" t="s">
        <v>15732</v>
      </c>
    </row>
    <row r="2" spans="1:35" ht="30" x14ac:dyDescent="0.25">
      <c r="A2" s="275">
        <f>'Profits 2016'!A5212</f>
        <v>3004099</v>
      </c>
      <c r="B2" s="279">
        <f>'Profits 2016'!B5212</f>
        <v>42614</v>
      </c>
      <c r="C2" s="276">
        <f>'Profits 2016'!H5212</f>
        <v>166.59</v>
      </c>
      <c r="D2" s="280">
        <f>'Profits 2016'!K5212</f>
        <v>148.13168999999999</v>
      </c>
      <c r="E2" s="276">
        <f>'Profits 2016'!L5212</f>
        <v>150</v>
      </c>
      <c r="F2" s="275" t="str">
        <f>'Profits 2016'!P5212</f>
        <v>Nassau</v>
      </c>
      <c r="G2" s="292">
        <f>'Profits 2016'!N5212-'Profits 2016'!M5212</f>
        <v>37.5</v>
      </c>
      <c r="H2" s="319"/>
      <c r="I2" s="320"/>
      <c r="J2" s="321"/>
      <c r="K2" s="321"/>
      <c r="L2" s="321"/>
      <c r="M2" s="319"/>
      <c r="N2" s="322"/>
      <c r="O2" s="236" t="str">
        <f>'Profits 2016'!T5212</f>
        <v>FEDEX GROUND</v>
      </c>
      <c r="P2" s="284" t="str">
        <f>'Profits 2016'!U5212</f>
        <v xml:space="preserve">	680483359652</v>
      </c>
      <c r="Q2" s="284" t="s">
        <v>314</v>
      </c>
      <c r="R2" s="276">
        <f>19.24+5</f>
        <v>24.24</v>
      </c>
      <c r="S2" s="275" t="s">
        <v>15733</v>
      </c>
      <c r="T2" s="279">
        <v>42632</v>
      </c>
      <c r="U2" s="279">
        <v>42639</v>
      </c>
      <c r="V2" s="279">
        <v>42643</v>
      </c>
      <c r="W2" s="293">
        <v>3514.51</v>
      </c>
      <c r="X2" s="236">
        <v>9030</v>
      </c>
      <c r="AF2" s="276">
        <f>G2+H2+R2+Y2</f>
        <v>61.739999999999995</v>
      </c>
      <c r="AG2" s="276">
        <f>M2+R2+Y2</f>
        <v>24.24</v>
      </c>
      <c r="AH2" s="276">
        <f>D2-AG2</f>
        <v>123.89169</v>
      </c>
      <c r="AI2" s="283">
        <f>AH2/AF2</f>
        <v>2.0066681243926143</v>
      </c>
    </row>
    <row r="3" spans="1:35" ht="30" x14ac:dyDescent="0.25">
      <c r="A3" s="275">
        <f>'Profits 2016'!A5213</f>
        <v>3004100</v>
      </c>
      <c r="B3" s="279">
        <f>'Profits 2016'!B5213</f>
        <v>42614</v>
      </c>
      <c r="C3" s="276">
        <f>'Profits 2016'!H5213</f>
        <v>143</v>
      </c>
      <c r="D3" s="280">
        <f>'Profits 2016'!K5213</f>
        <v>127.113</v>
      </c>
      <c r="E3" s="276">
        <f>'Profits 2016'!L5213</f>
        <v>139</v>
      </c>
      <c r="F3" s="275" t="str">
        <f>'Profits 2016'!P5213</f>
        <v>Wirexpress</v>
      </c>
      <c r="G3" s="292">
        <f>'Profits 2016'!N5213-'Profits 2016'!M5213</f>
        <v>69.5</v>
      </c>
      <c r="H3" s="292">
        <v>0</v>
      </c>
      <c r="I3" s="275" t="s">
        <v>15734</v>
      </c>
      <c r="J3" s="277">
        <v>42615</v>
      </c>
      <c r="K3" s="277">
        <v>42627</v>
      </c>
      <c r="L3" s="277">
        <v>42643</v>
      </c>
      <c r="M3" s="292">
        <v>69.5</v>
      </c>
      <c r="N3" s="281">
        <v>9048</v>
      </c>
      <c r="O3" s="236" t="str">
        <f>'Profits 2016'!T5213</f>
        <v>FEDEX GROUND</v>
      </c>
      <c r="P3" s="284" t="str">
        <f>'Profits 2016'!U5213</f>
        <v>118391272714244</v>
      </c>
      <c r="Q3" s="284" t="s">
        <v>314</v>
      </c>
      <c r="R3" s="276">
        <v>16.809999999999999</v>
      </c>
      <c r="S3" s="275" t="s">
        <v>15733</v>
      </c>
      <c r="T3" s="279">
        <v>42632</v>
      </c>
      <c r="U3" s="279">
        <v>42639</v>
      </c>
      <c r="V3" s="279">
        <v>42643</v>
      </c>
      <c r="W3" s="293">
        <v>0</v>
      </c>
      <c r="X3" s="236">
        <v>9030</v>
      </c>
      <c r="AF3" s="276">
        <f t="shared" ref="AF3:AF67" si="0">G3+H3+R3+Y3</f>
        <v>86.31</v>
      </c>
      <c r="AG3" s="276">
        <f t="shared" ref="AG3:AG66" si="1">M3+R3+Y3</f>
        <v>86.31</v>
      </c>
      <c r="AH3" s="276">
        <f t="shared" ref="AH3:AH66" si="2">D3-AG3</f>
        <v>40.802999999999997</v>
      </c>
      <c r="AI3" s="283">
        <f t="shared" ref="AI3:AI66" si="3">AH3/AF3</f>
        <v>0.47274939172749386</v>
      </c>
    </row>
    <row r="4" spans="1:35" ht="30" x14ac:dyDescent="0.25">
      <c r="A4" s="275">
        <f>'Profits 2016'!A5214</f>
        <v>3004101</v>
      </c>
      <c r="B4" s="279">
        <f>'Profits 2016'!B5214</f>
        <v>42614</v>
      </c>
      <c r="C4" s="276">
        <f>'Profits 2016'!H5214</f>
        <v>159.5</v>
      </c>
      <c r="D4" s="280">
        <f>'Profits 2016'!K5214</f>
        <v>141.81450000000001</v>
      </c>
      <c r="E4" s="276">
        <f>'Profits 2016'!L5214</f>
        <v>346</v>
      </c>
      <c r="F4" s="275" t="str">
        <f>'Profits 2016'!P5214</f>
        <v>Wirexpress</v>
      </c>
      <c r="G4" s="292">
        <f>'Profits 2016'!N5214-'Profits 2016'!M5214</f>
        <v>86.5</v>
      </c>
      <c r="H4" s="292">
        <v>0</v>
      </c>
      <c r="I4" s="275" t="s">
        <v>15735</v>
      </c>
      <c r="J4" s="277">
        <v>42615</v>
      </c>
      <c r="K4" s="277">
        <v>42627</v>
      </c>
      <c r="L4" s="277">
        <v>42643</v>
      </c>
      <c r="M4" s="292">
        <v>86.5</v>
      </c>
      <c r="N4" s="281">
        <v>9048</v>
      </c>
      <c r="O4" s="236" t="str">
        <f>'Profits 2016'!T5214</f>
        <v>FEDEX GROUND</v>
      </c>
      <c r="P4" s="284" t="str">
        <f>'Profits 2016'!U5214</f>
        <v xml:space="preserve">440801774472444 </v>
      </c>
      <c r="Q4" s="284" t="s">
        <v>314</v>
      </c>
      <c r="R4" s="276">
        <v>8.11</v>
      </c>
      <c r="S4" s="275" t="s">
        <v>15733</v>
      </c>
      <c r="T4" s="279">
        <v>42632</v>
      </c>
      <c r="U4" s="279">
        <v>42639</v>
      </c>
      <c r="V4" s="279">
        <v>42643</v>
      </c>
      <c r="W4" s="293">
        <v>0</v>
      </c>
      <c r="X4" s="236">
        <v>9030</v>
      </c>
      <c r="AF4" s="276">
        <f t="shared" si="0"/>
        <v>94.61</v>
      </c>
      <c r="AG4" s="276">
        <f t="shared" si="1"/>
        <v>94.61</v>
      </c>
      <c r="AH4" s="276">
        <f t="shared" si="2"/>
        <v>47.20450000000001</v>
      </c>
      <c r="AI4" s="283">
        <f t="shared" si="3"/>
        <v>0.49893774442447958</v>
      </c>
    </row>
    <row r="5" spans="1:35" ht="30" x14ac:dyDescent="0.25">
      <c r="A5" s="275">
        <f>'Profits 2016'!A5215</f>
        <v>3004102</v>
      </c>
      <c r="B5" s="279">
        <f>'Profits 2016'!B5215</f>
        <v>42614</v>
      </c>
      <c r="C5" s="276">
        <f>'Profits 2016'!H5215</f>
        <v>4677.41</v>
      </c>
      <c r="D5" s="280">
        <f>'Profits 2016'!K5215</f>
        <v>4574.2069799999999</v>
      </c>
      <c r="E5" s="276">
        <f>'Profits 2016'!L5215</f>
        <v>1060</v>
      </c>
      <c r="F5" s="275" t="str">
        <f>'Profits 2016'!P5215</f>
        <v>Priority</v>
      </c>
      <c r="G5" s="292">
        <f>'Profits 2016'!N5215-'Profits 2016'!M5215</f>
        <v>1060</v>
      </c>
      <c r="H5" s="292">
        <v>0</v>
      </c>
      <c r="I5" s="275">
        <v>1052525</v>
      </c>
      <c r="J5" s="277">
        <v>41888</v>
      </c>
      <c r="K5" s="277">
        <v>42627</v>
      </c>
      <c r="L5" s="277">
        <v>42643</v>
      </c>
      <c r="M5" s="292">
        <v>3410.5</v>
      </c>
      <c r="N5" s="281">
        <v>9040</v>
      </c>
      <c r="O5" s="236" t="str">
        <f>'Profits 2016'!T5215</f>
        <v>CUSTOMER PICK UP</v>
      </c>
      <c r="P5" s="284" t="str">
        <f>'Profits 2016'!U5215</f>
        <v>CUSTOMER PICK UP</v>
      </c>
      <c r="R5" s="276">
        <v>0</v>
      </c>
      <c r="AF5" s="276">
        <f t="shared" si="0"/>
        <v>1060</v>
      </c>
      <c r="AG5" s="276">
        <f t="shared" si="1"/>
        <v>3410.5</v>
      </c>
      <c r="AH5" s="276">
        <f t="shared" si="2"/>
        <v>1163.7069799999999</v>
      </c>
      <c r="AI5" s="283">
        <f t="shared" si="3"/>
        <v>1.0978367735849055</v>
      </c>
    </row>
    <row r="6" spans="1:35" x14ac:dyDescent="0.25">
      <c r="A6" s="275">
        <f>'Profits 2016'!A5216</f>
        <v>0</v>
      </c>
      <c r="B6" s="279">
        <f>'Profits 2016'!B5216</f>
        <v>0</v>
      </c>
      <c r="C6" s="276">
        <f>'Profits 2016'!H5216</f>
        <v>0</v>
      </c>
      <c r="D6" s="280">
        <f>'Profits 2016'!K5216</f>
        <v>0</v>
      </c>
      <c r="E6" s="276">
        <f>'Profits 2016'!L5216</f>
        <v>1567</v>
      </c>
      <c r="F6" s="275" t="str">
        <f>'Profits 2016'!P5216</f>
        <v>Priority</v>
      </c>
      <c r="G6" s="292">
        <f>'Profits 2016'!N5216-'Profits 2016'!M5216</f>
        <v>2350.5</v>
      </c>
      <c r="H6" s="292">
        <v>0</v>
      </c>
      <c r="I6" s="275">
        <v>1052525</v>
      </c>
      <c r="J6" s="277">
        <v>41888</v>
      </c>
      <c r="K6" s="277">
        <v>42627</v>
      </c>
      <c r="L6" s="277">
        <v>42643</v>
      </c>
      <c r="M6" s="292">
        <v>0</v>
      </c>
      <c r="N6" s="281">
        <v>9040</v>
      </c>
      <c r="O6" s="236">
        <f>'Profits 2016'!T5216</f>
        <v>0</v>
      </c>
      <c r="P6" s="284">
        <f>'Profits 2016'!U5216</f>
        <v>0</v>
      </c>
      <c r="R6" s="276">
        <v>0</v>
      </c>
      <c r="AF6" s="276">
        <f t="shared" si="0"/>
        <v>2350.5</v>
      </c>
      <c r="AG6" s="276">
        <f t="shared" si="1"/>
        <v>0</v>
      </c>
      <c r="AH6" s="276">
        <f t="shared" si="2"/>
        <v>0</v>
      </c>
      <c r="AI6" s="283">
        <f t="shared" si="3"/>
        <v>0</v>
      </c>
    </row>
    <row r="7" spans="1:35" x14ac:dyDescent="0.25">
      <c r="A7" s="275">
        <f>'Profits 2016'!A5217</f>
        <v>0</v>
      </c>
      <c r="B7" s="279">
        <f>'Profits 2016'!B5217</f>
        <v>0</v>
      </c>
      <c r="C7" s="276">
        <f>'Profits 2016'!H5217</f>
        <v>0</v>
      </c>
      <c r="D7" s="280">
        <f>'Profits 2016'!K5217</f>
        <v>0</v>
      </c>
      <c r="E7" s="276">
        <f>'Profits 2016'!L5217</f>
        <v>604.64</v>
      </c>
      <c r="F7" s="275" t="str">
        <f>'Profits 2016'!P5217</f>
        <v>Colonial</v>
      </c>
      <c r="G7" s="292">
        <f>'Profits 2016'!N5217-'Profits 2016'!M5217</f>
        <v>302.32000000000005</v>
      </c>
      <c r="H7" s="292">
        <v>0</v>
      </c>
      <c r="I7" s="275" t="s">
        <v>15736</v>
      </c>
      <c r="J7" s="277">
        <v>42615</v>
      </c>
      <c r="K7" s="277">
        <v>42627</v>
      </c>
      <c r="L7" s="277">
        <v>42650</v>
      </c>
      <c r="M7" s="292">
        <v>369.8</v>
      </c>
      <c r="N7" s="281">
        <v>9065</v>
      </c>
      <c r="O7" s="236">
        <f>'Profits 2016'!T5217</f>
        <v>0</v>
      </c>
      <c r="P7" s="284">
        <f>'Profits 2016'!U5217</f>
        <v>0</v>
      </c>
      <c r="Q7" s="284" t="s">
        <v>15737</v>
      </c>
      <c r="R7" s="276">
        <v>75.03</v>
      </c>
      <c r="S7" s="275" t="s">
        <v>15736</v>
      </c>
      <c r="T7" s="277">
        <v>42615</v>
      </c>
      <c r="U7" s="277">
        <v>42627</v>
      </c>
      <c r="V7" s="279">
        <v>42650</v>
      </c>
      <c r="W7" s="293">
        <v>0</v>
      </c>
      <c r="X7" s="236">
        <v>9065</v>
      </c>
      <c r="AF7" s="276">
        <f t="shared" si="0"/>
        <v>377.35</v>
      </c>
      <c r="AG7" s="276">
        <f t="shared" si="1"/>
        <v>444.83000000000004</v>
      </c>
      <c r="AH7" s="276">
        <f t="shared" si="2"/>
        <v>-444.83000000000004</v>
      </c>
      <c r="AI7" s="283">
        <f t="shared" si="3"/>
        <v>-1.1788260235855308</v>
      </c>
    </row>
    <row r="8" spans="1:35" x14ac:dyDescent="0.25">
      <c r="A8" s="275">
        <f>'Profits 2016'!A5218</f>
        <v>3004103</v>
      </c>
      <c r="B8" s="279">
        <f>'Profits 2016'!B5218</f>
        <v>42614</v>
      </c>
      <c r="C8" s="276">
        <f>'Profits 2016'!H5218</f>
        <v>533</v>
      </c>
      <c r="D8" s="280">
        <f>'Profits 2016'!K5218</f>
        <v>533</v>
      </c>
      <c r="E8" s="276">
        <f>'Profits 2016'!L5218</f>
        <v>0</v>
      </c>
      <c r="F8" s="275" t="str">
        <f>'Profits 2016'!P5218</f>
        <v>N/A</v>
      </c>
      <c r="G8" s="292">
        <f>'Profits 2016'!N5218-'Profits 2016'!M5218</f>
        <v>0</v>
      </c>
      <c r="O8" s="236">
        <f>'Profits 2016'!T5218</f>
        <v>0</v>
      </c>
      <c r="P8" s="284">
        <f>'Profits 2016'!U5218</f>
        <v>0</v>
      </c>
      <c r="AF8" s="276">
        <f t="shared" si="0"/>
        <v>0</v>
      </c>
      <c r="AG8" s="276">
        <f t="shared" si="1"/>
        <v>0</v>
      </c>
      <c r="AH8" s="276">
        <f t="shared" si="2"/>
        <v>533</v>
      </c>
      <c r="AI8" s="283" t="e">
        <f t="shared" si="3"/>
        <v>#DIV/0!</v>
      </c>
    </row>
    <row r="9" spans="1:35" ht="30" x14ac:dyDescent="0.25">
      <c r="A9" s="275">
        <f>'Profits 2016'!A5219</f>
        <v>3004104</v>
      </c>
      <c r="B9" s="279">
        <f>'Profits 2016'!B5219</f>
        <v>42614</v>
      </c>
      <c r="C9" s="276">
        <f>'Profits 2016'!H5219</f>
        <v>148.5</v>
      </c>
      <c r="D9" s="280">
        <f>'Profits 2016'!K5219</f>
        <v>126.22499999999999</v>
      </c>
      <c r="E9" s="276">
        <f>'Profits 2016'!L5219</f>
        <v>990</v>
      </c>
      <c r="F9" s="275" t="str">
        <f>'Profits 2016'!P5219</f>
        <v>Nassau</v>
      </c>
      <c r="G9" s="292">
        <f>'Profits 2016'!N5219-'Profits 2016'!M5219</f>
        <v>49.499999999999993</v>
      </c>
      <c r="H9" s="319"/>
      <c r="I9" s="320"/>
      <c r="J9" s="321"/>
      <c r="K9" s="321"/>
      <c r="L9" s="321"/>
      <c r="M9" s="319"/>
      <c r="N9" s="322"/>
      <c r="O9" s="236" t="str">
        <f>'Profits 2016'!T5219</f>
        <v>FEDEX GROUND</v>
      </c>
      <c r="P9" s="284" t="str">
        <f>'Profits 2016'!U5219</f>
        <v xml:space="preserve"> 	680483359620</v>
      </c>
      <c r="Q9" s="284" t="s">
        <v>314</v>
      </c>
      <c r="R9" s="276">
        <f>34.63+5</f>
        <v>39.630000000000003</v>
      </c>
      <c r="S9" s="275" t="s">
        <v>15733</v>
      </c>
      <c r="T9" s="279">
        <v>42632</v>
      </c>
      <c r="U9" s="279">
        <v>42639</v>
      </c>
      <c r="V9" s="279">
        <v>42643</v>
      </c>
      <c r="W9" s="293">
        <v>0</v>
      </c>
      <c r="X9" s="236">
        <v>9030</v>
      </c>
      <c r="AF9" s="276">
        <f t="shared" si="0"/>
        <v>89.13</v>
      </c>
      <c r="AG9" s="276">
        <f t="shared" si="1"/>
        <v>39.630000000000003</v>
      </c>
      <c r="AH9" s="276">
        <f t="shared" si="2"/>
        <v>86.594999999999999</v>
      </c>
      <c r="AI9" s="283">
        <f t="shared" si="3"/>
        <v>0.97155839784584319</v>
      </c>
    </row>
    <row r="10" spans="1:35" ht="30" x14ac:dyDescent="0.25">
      <c r="A10" s="275">
        <f>'Profits 2016'!A5220</f>
        <v>3004105</v>
      </c>
      <c r="B10" s="279">
        <f>'Profits 2016'!B5220</f>
        <v>42614</v>
      </c>
      <c r="C10" s="276">
        <f>'Profits 2016'!H5220</f>
        <v>148.19999999999999</v>
      </c>
      <c r="D10" s="280">
        <f>'Profits 2016'!K5220</f>
        <v>125.97</v>
      </c>
      <c r="E10" s="276">
        <f>'Profits 2016'!L5220</f>
        <v>698</v>
      </c>
      <c r="F10" s="275" t="str">
        <f>'Profits 2016'!P5220</f>
        <v>Nassau</v>
      </c>
      <c r="G10" s="292">
        <f>'Profits 2016'!N5220-'Profits 2016'!M5220</f>
        <v>69.8</v>
      </c>
      <c r="H10" s="319"/>
      <c r="I10" s="320"/>
      <c r="J10" s="321"/>
      <c r="K10" s="321"/>
      <c r="L10" s="321"/>
      <c r="M10" s="319"/>
      <c r="N10" s="322"/>
      <c r="O10" s="236" t="str">
        <f>'Profits 2016'!T5220</f>
        <v>FEDEX GROUND</v>
      </c>
      <c r="P10" s="284" t="str">
        <f>'Profits 2016'!U5220</f>
        <v xml:space="preserve">	680483359641</v>
      </c>
      <c r="Q10" s="284" t="s">
        <v>314</v>
      </c>
      <c r="R10" s="276">
        <f>31.39+5</f>
        <v>36.39</v>
      </c>
      <c r="S10" s="275" t="s">
        <v>15733</v>
      </c>
      <c r="T10" s="279">
        <v>42632</v>
      </c>
      <c r="U10" s="279">
        <v>42639</v>
      </c>
      <c r="V10" s="279">
        <v>42643</v>
      </c>
      <c r="W10" s="293">
        <v>0</v>
      </c>
      <c r="X10" s="236">
        <v>9030</v>
      </c>
      <c r="AF10" s="276">
        <f t="shared" si="0"/>
        <v>106.19</v>
      </c>
      <c r="AG10" s="276">
        <f t="shared" si="1"/>
        <v>36.39</v>
      </c>
      <c r="AH10" s="276">
        <f t="shared" si="2"/>
        <v>89.58</v>
      </c>
      <c r="AI10" s="283">
        <f t="shared" si="3"/>
        <v>0.84358225821640453</v>
      </c>
    </row>
    <row r="11" spans="1:35" ht="30" x14ac:dyDescent="0.25">
      <c r="A11" s="275">
        <f>'Profits 2016'!A5221</f>
        <v>3004106</v>
      </c>
      <c r="B11" s="279">
        <f>'Profits 2016'!B5221</f>
        <v>42614</v>
      </c>
      <c r="C11" s="276">
        <f>'Profits 2016'!H5221</f>
        <v>297.16000000000003</v>
      </c>
      <c r="D11" s="280">
        <f>'Profits 2016'!K5221</f>
        <v>252.58600000000001</v>
      </c>
      <c r="E11" s="276">
        <f>'Profits 2016'!L5221</f>
        <v>1322</v>
      </c>
      <c r="F11" s="275" t="str">
        <f>'Profits 2016'!P5221</f>
        <v>Thea</v>
      </c>
      <c r="G11" s="292">
        <f>'Profits 2016'!N5221-'Profits 2016'!M5221</f>
        <v>132.20000000000002</v>
      </c>
      <c r="H11" s="319"/>
      <c r="I11" s="320"/>
      <c r="J11" s="321"/>
      <c r="K11" s="321"/>
      <c r="L11" s="321"/>
      <c r="M11" s="319"/>
      <c r="N11" s="322"/>
      <c r="O11" s="236" t="str">
        <f>'Profits 2016'!T5221</f>
        <v>FEDEX GROUND</v>
      </c>
      <c r="P11" s="284" t="str">
        <f>'Profits 2016'!U5221</f>
        <v>675157529363</v>
      </c>
      <c r="Q11" s="284" t="s">
        <v>314</v>
      </c>
      <c r="R11" s="276">
        <v>33.35</v>
      </c>
      <c r="S11" s="275" t="s">
        <v>15733</v>
      </c>
      <c r="T11" s="279">
        <v>42632</v>
      </c>
      <c r="U11" s="279">
        <v>42639</v>
      </c>
      <c r="V11" s="279">
        <v>42643</v>
      </c>
      <c r="W11" s="293">
        <v>0</v>
      </c>
      <c r="X11" s="236">
        <v>9030</v>
      </c>
      <c r="AF11" s="276">
        <f t="shared" si="0"/>
        <v>165.55</v>
      </c>
      <c r="AG11" s="276">
        <f t="shared" si="1"/>
        <v>33.35</v>
      </c>
      <c r="AH11" s="276">
        <f t="shared" si="2"/>
        <v>219.23600000000002</v>
      </c>
      <c r="AI11" s="283">
        <f t="shared" si="3"/>
        <v>1.3242887345212926</v>
      </c>
    </row>
    <row r="12" spans="1:35" ht="30" x14ac:dyDescent="0.25">
      <c r="A12" s="275">
        <f>'Profits 2016'!A5222</f>
        <v>3004107</v>
      </c>
      <c r="B12" s="279">
        <f>'Profits 2016'!B5222</f>
        <v>42614</v>
      </c>
      <c r="C12" s="276">
        <f>'Profits 2016'!H5222</f>
        <v>148.49</v>
      </c>
      <c r="D12" s="280">
        <f>'Profits 2016'!K5222</f>
        <v>126.21650000000001</v>
      </c>
      <c r="E12" s="276">
        <f>'Profits 2016'!L5222</f>
        <v>1322</v>
      </c>
      <c r="F12" s="275" t="str">
        <f>'Profits 2016'!P5222</f>
        <v>Thea</v>
      </c>
      <c r="G12" s="292">
        <f>'Profits 2016'!N5222-'Profits 2016'!M5222</f>
        <v>99.149999999999991</v>
      </c>
      <c r="H12" s="319"/>
      <c r="I12" s="320"/>
      <c r="J12" s="321"/>
      <c r="K12" s="321"/>
      <c r="L12" s="321"/>
      <c r="M12" s="319"/>
      <c r="N12" s="322"/>
      <c r="O12" s="236" t="str">
        <f>'Profits 2016'!T5222</f>
        <v>FEDEX GROUND</v>
      </c>
      <c r="P12" s="284" t="str">
        <f>'Profits 2016'!U5222</f>
        <v>675157529330</v>
      </c>
      <c r="Q12" s="284" t="s">
        <v>314</v>
      </c>
      <c r="R12" s="276">
        <v>20.23</v>
      </c>
      <c r="S12" s="275" t="s">
        <v>15733</v>
      </c>
      <c r="T12" s="279">
        <v>42632</v>
      </c>
      <c r="U12" s="279">
        <v>42639</v>
      </c>
      <c r="V12" s="279">
        <v>42643</v>
      </c>
      <c r="W12" s="293">
        <v>0</v>
      </c>
      <c r="X12" s="236">
        <v>9030</v>
      </c>
      <c r="Y12" s="276">
        <v>11.99</v>
      </c>
      <c r="Z12" s="236" t="s">
        <v>15738</v>
      </c>
      <c r="AA12" s="279">
        <v>42653</v>
      </c>
      <c r="AB12" s="279">
        <v>42656</v>
      </c>
      <c r="AC12" s="279">
        <v>42664</v>
      </c>
      <c r="AD12" s="293">
        <v>11.99</v>
      </c>
      <c r="AE12" s="282">
        <v>9215</v>
      </c>
      <c r="AF12" s="276">
        <f t="shared" si="0"/>
        <v>131.37</v>
      </c>
      <c r="AG12" s="276">
        <f t="shared" si="1"/>
        <v>32.22</v>
      </c>
      <c r="AH12" s="276">
        <f t="shared" si="2"/>
        <v>93.996500000000012</v>
      </c>
      <c r="AI12" s="283">
        <f t="shared" si="3"/>
        <v>0.71550962929131467</v>
      </c>
    </row>
    <row r="13" spans="1:35" ht="30" x14ac:dyDescent="0.25">
      <c r="A13" s="275">
        <f>'Profits 2016'!A5223</f>
        <v>3004108</v>
      </c>
      <c r="B13" s="279">
        <f>'Profits 2016'!B5223</f>
        <v>42614</v>
      </c>
      <c r="C13" s="276">
        <f>'Profits 2016'!H5223</f>
        <v>193.04</v>
      </c>
      <c r="D13" s="280">
        <f>'Profits 2016'!K5223</f>
        <v>164.084</v>
      </c>
      <c r="E13" s="276">
        <f>'Profits 2016'!L5223</f>
        <v>950</v>
      </c>
      <c r="F13" s="275" t="str">
        <f>'Profits 2016'!P5223</f>
        <v>Thea</v>
      </c>
      <c r="G13" s="292">
        <f>'Profits 2016'!N5223-'Profits 2016'!M5223</f>
        <v>95.000000000000014</v>
      </c>
      <c r="H13" s="319"/>
      <c r="I13" s="320"/>
      <c r="J13" s="321"/>
      <c r="K13" s="321"/>
      <c r="L13" s="321"/>
      <c r="M13" s="319"/>
      <c r="N13" s="322"/>
      <c r="O13" s="236" t="str">
        <f>'Profits 2016'!T5223</f>
        <v>FEDEX GROUND</v>
      </c>
      <c r="P13" s="284" t="str">
        <f>'Profits 2016'!U5223</f>
        <v>675157529352</v>
      </c>
      <c r="Q13" s="284" t="s">
        <v>314</v>
      </c>
      <c r="R13" s="276">
        <v>36.049999999999997</v>
      </c>
      <c r="S13" s="275" t="s">
        <v>15739</v>
      </c>
      <c r="T13" s="279">
        <v>42639</v>
      </c>
      <c r="U13" s="279">
        <v>42643</v>
      </c>
      <c r="V13" s="279">
        <v>42657</v>
      </c>
      <c r="W13" s="293">
        <v>0</v>
      </c>
      <c r="X13" s="236">
        <v>9175</v>
      </c>
      <c r="AF13" s="276">
        <f t="shared" si="0"/>
        <v>131.05000000000001</v>
      </c>
      <c r="AG13" s="276">
        <f t="shared" si="1"/>
        <v>36.049999999999997</v>
      </c>
      <c r="AH13" s="276">
        <f t="shared" si="2"/>
        <v>128.03399999999999</v>
      </c>
      <c r="AI13" s="283">
        <f t="shared" si="3"/>
        <v>0.97698588325066749</v>
      </c>
    </row>
    <row r="14" spans="1:35" x14ac:dyDescent="0.25">
      <c r="A14" s="336">
        <f>'Profits 2016'!A5224</f>
        <v>3004109</v>
      </c>
      <c r="B14" s="341">
        <f>'Profits 2016'!B5224</f>
        <v>42614</v>
      </c>
      <c r="C14" s="342">
        <f>'Profits 2016'!H5224</f>
        <v>349</v>
      </c>
      <c r="D14" s="343">
        <f>'Profits 2016'!K5224</f>
        <v>296.64999999999998</v>
      </c>
      <c r="E14" s="342">
        <f>'Profits 2016'!L5224</f>
        <v>650</v>
      </c>
      <c r="F14" s="336" t="str">
        <f>'Profits 2016'!P5224</f>
        <v>Krsitech</v>
      </c>
      <c r="G14" s="335">
        <f>'Profits 2016'!N5224-'Profits 2016'!M5224</f>
        <v>325</v>
      </c>
      <c r="H14" s="335"/>
      <c r="I14" s="336"/>
      <c r="J14" s="337"/>
      <c r="K14" s="337"/>
      <c r="L14" s="337"/>
      <c r="M14" s="335"/>
      <c r="N14" s="338"/>
      <c r="O14" s="344" t="str">
        <f>'Profits 2016'!T5224</f>
        <v>ADP</v>
      </c>
      <c r="P14" s="345" t="str">
        <f>'Profits 2016'!U5224</f>
        <v>373550631</v>
      </c>
      <c r="Q14" s="345"/>
      <c r="R14" s="342"/>
      <c r="S14" s="336"/>
      <c r="T14" s="341"/>
      <c r="U14" s="341"/>
      <c r="V14" s="341"/>
      <c r="W14" s="346"/>
      <c r="X14" s="344"/>
      <c r="AF14" s="276">
        <f t="shared" si="0"/>
        <v>325</v>
      </c>
      <c r="AG14" s="276">
        <f t="shared" si="1"/>
        <v>0</v>
      </c>
      <c r="AH14" s="276">
        <f t="shared" si="2"/>
        <v>296.64999999999998</v>
      </c>
      <c r="AI14" s="283">
        <f t="shared" si="3"/>
        <v>0.91276923076923067</v>
      </c>
    </row>
    <row r="15" spans="1:35" ht="30" x14ac:dyDescent="0.25">
      <c r="A15" s="275">
        <f>'Profits 2016'!A5225</f>
        <v>3004110</v>
      </c>
      <c r="B15" s="279">
        <f>'Profits 2016'!B5225</f>
        <v>42614</v>
      </c>
      <c r="C15" s="276">
        <f>'Profits 2016'!H5225</f>
        <v>133</v>
      </c>
      <c r="D15" s="280">
        <f>'Profits 2016'!K5225</f>
        <v>118.203</v>
      </c>
      <c r="E15" s="276">
        <f>'Profits 2016'!L5225</f>
        <v>220</v>
      </c>
      <c r="F15" s="275" t="str">
        <f>'Profits 2016'!P5225</f>
        <v>Nassau</v>
      </c>
      <c r="G15" s="292">
        <f>'Profits 2016'!N5225-'Profits 2016'!M5225</f>
        <v>55</v>
      </c>
      <c r="H15" s="319"/>
      <c r="I15" s="320"/>
      <c r="J15" s="321"/>
      <c r="K15" s="321"/>
      <c r="L15" s="321"/>
      <c r="M15" s="319"/>
      <c r="N15" s="322"/>
      <c r="O15" s="236" t="str">
        <f>'Profits 2016'!T5225</f>
        <v>FEDEX GROUND</v>
      </c>
      <c r="P15" s="284" t="str">
        <f>'Profits 2016'!U5225</f>
        <v xml:space="preserve"> 	680483359630</v>
      </c>
      <c r="Q15" s="284" t="s">
        <v>314</v>
      </c>
      <c r="R15" s="276">
        <f>26.13+5</f>
        <v>31.13</v>
      </c>
      <c r="S15" s="275" t="s">
        <v>15733</v>
      </c>
      <c r="T15" s="279">
        <v>42632</v>
      </c>
      <c r="U15" s="279">
        <v>42639</v>
      </c>
      <c r="V15" s="279">
        <v>42643</v>
      </c>
      <c r="W15" s="293">
        <v>0</v>
      </c>
      <c r="X15" s="236">
        <v>9030</v>
      </c>
      <c r="AF15" s="276">
        <f t="shared" si="0"/>
        <v>86.13</v>
      </c>
      <c r="AG15" s="276">
        <f t="shared" si="1"/>
        <v>31.13</v>
      </c>
      <c r="AH15" s="276">
        <f t="shared" si="2"/>
        <v>87.073000000000008</v>
      </c>
      <c r="AI15" s="283">
        <f t="shared" si="3"/>
        <v>1.0109485661209801</v>
      </c>
    </row>
    <row r="16" spans="1:35" ht="30" x14ac:dyDescent="0.25">
      <c r="A16" s="275">
        <f>'Profits 2016'!A5226</f>
        <v>3004111</v>
      </c>
      <c r="B16" s="279">
        <f>'Profits 2016'!B5226</f>
        <v>42614</v>
      </c>
      <c r="C16" s="276">
        <f>'Profits 2016'!H5226</f>
        <v>130</v>
      </c>
      <c r="D16" s="280">
        <f>'Profits 2016'!K5226</f>
        <v>130</v>
      </c>
      <c r="E16" s="276">
        <f>'Profits 2016'!L5226</f>
        <v>571.41999999999996</v>
      </c>
      <c r="F16" s="275" t="str">
        <f>'Profits 2016'!P5226</f>
        <v>Thea</v>
      </c>
      <c r="G16" s="292">
        <f>'Profits 2016'!N5226-'Profits 2016'!M5226</f>
        <v>57.141999999999996</v>
      </c>
      <c r="H16" s="319"/>
      <c r="I16" s="320"/>
      <c r="J16" s="321"/>
      <c r="K16" s="321"/>
      <c r="L16" s="321"/>
      <c r="M16" s="319"/>
      <c r="N16" s="322"/>
      <c r="O16" s="344" t="str">
        <f>'Profits 2016'!T5226</f>
        <v>UPS COLLECT</v>
      </c>
      <c r="P16" s="345" t="str">
        <f>'Profits 2016'!U5226</f>
        <v>675157</v>
      </c>
      <c r="Q16" s="345"/>
      <c r="R16" s="342"/>
      <c r="S16" s="336"/>
      <c r="T16" s="341"/>
      <c r="U16" s="341"/>
      <c r="V16" s="341"/>
      <c r="W16" s="346"/>
      <c r="X16" s="344"/>
      <c r="AF16" s="276">
        <f t="shared" si="0"/>
        <v>57.141999999999996</v>
      </c>
      <c r="AG16" s="276">
        <f t="shared" si="1"/>
        <v>0</v>
      </c>
      <c r="AH16" s="276">
        <f t="shared" si="2"/>
        <v>130</v>
      </c>
      <c r="AI16" s="283">
        <f t="shared" si="3"/>
        <v>2.2750341255118829</v>
      </c>
    </row>
    <row r="17" spans="1:35" ht="30" x14ac:dyDescent="0.25">
      <c r="A17" s="275">
        <f>'Profits 2016'!A5227</f>
        <v>3004112</v>
      </c>
      <c r="B17" s="279">
        <f>'Profits 2016'!B5227</f>
        <v>42614</v>
      </c>
      <c r="C17" s="276">
        <f>'Profits 2016'!H5227</f>
        <v>332.6</v>
      </c>
      <c r="D17" s="280">
        <f>'Profits 2016'!K5227</f>
        <v>296.04660000000001</v>
      </c>
      <c r="E17" s="276">
        <f>'Profits 2016'!L5227</f>
        <v>690</v>
      </c>
      <c r="F17" s="275" t="str">
        <f>'Profits 2016'!P5227</f>
        <v>Nassau</v>
      </c>
      <c r="G17" s="292">
        <f>'Profits 2016'!N5227-'Profits 2016'!M5227</f>
        <v>172.5</v>
      </c>
      <c r="H17" s="319"/>
      <c r="I17" s="320"/>
      <c r="J17" s="321"/>
      <c r="K17" s="321"/>
      <c r="L17" s="321"/>
      <c r="M17" s="319"/>
      <c r="N17" s="322"/>
      <c r="O17" s="236" t="str">
        <f>'Profits 2016'!T5227</f>
        <v>FEDEX GROUND</v>
      </c>
      <c r="P17" s="284" t="str">
        <f>'Profits 2016'!U5227</f>
        <v xml:space="preserve"> 	680483359619</v>
      </c>
      <c r="Q17" s="284" t="s">
        <v>314</v>
      </c>
      <c r="R17" s="276">
        <f>44.72+5</f>
        <v>49.72</v>
      </c>
      <c r="S17" s="275" t="s">
        <v>15733</v>
      </c>
      <c r="T17" s="279">
        <v>42632</v>
      </c>
      <c r="U17" s="279">
        <v>42639</v>
      </c>
      <c r="V17" s="279">
        <v>42643</v>
      </c>
      <c r="W17" s="293">
        <v>0</v>
      </c>
      <c r="X17" s="236">
        <v>9030</v>
      </c>
      <c r="AF17" s="276">
        <f t="shared" si="0"/>
        <v>222.22</v>
      </c>
      <c r="AG17" s="276">
        <f t="shared" si="1"/>
        <v>49.72</v>
      </c>
      <c r="AH17" s="276">
        <f t="shared" si="2"/>
        <v>246.32660000000001</v>
      </c>
      <c r="AI17" s="283">
        <f t="shared" si="3"/>
        <v>1.1084807848078482</v>
      </c>
    </row>
    <row r="18" spans="1:35" ht="45" x14ac:dyDescent="0.25">
      <c r="A18" s="275">
        <f>'Profits 2016'!A5228</f>
        <v>3004113</v>
      </c>
      <c r="B18" s="279">
        <f>'Profits 2016'!B5228</f>
        <v>42614</v>
      </c>
      <c r="C18" s="276">
        <f>'Profits 2016'!H5228</f>
        <v>1000</v>
      </c>
      <c r="D18" s="280">
        <f>'Profits 2016'!K5228</f>
        <v>890.7</v>
      </c>
      <c r="E18" s="276">
        <f>'Profits 2016'!L5228</f>
        <v>1680</v>
      </c>
      <c r="F18" s="275" t="str">
        <f>'Profits 2016'!P5228</f>
        <v>Priority</v>
      </c>
      <c r="G18" s="292">
        <f>'Profits 2016'!N5228-'Profits 2016'!M5228</f>
        <v>504</v>
      </c>
      <c r="H18" s="292">
        <v>0</v>
      </c>
      <c r="I18" s="275">
        <v>1052164</v>
      </c>
      <c r="J18" s="277">
        <v>42615</v>
      </c>
      <c r="K18" s="277">
        <v>42627</v>
      </c>
      <c r="L18" s="277">
        <v>42643</v>
      </c>
      <c r="M18" s="292">
        <v>619</v>
      </c>
      <c r="N18" s="281">
        <v>9039</v>
      </c>
      <c r="O18" s="236" t="str">
        <f>'Profits 2016'!T5228</f>
        <v>FEDEX FREIGHT PRIORITY</v>
      </c>
      <c r="P18" s="284" t="str">
        <f>'Profits 2016'!U5228</f>
        <v>3963543791</v>
      </c>
      <c r="Q18" s="284" t="s">
        <v>15740</v>
      </c>
      <c r="R18" s="276">
        <v>115</v>
      </c>
      <c r="S18" s="275">
        <v>1052164</v>
      </c>
      <c r="T18" s="279">
        <v>42615</v>
      </c>
      <c r="U18" s="279">
        <v>42627</v>
      </c>
      <c r="Y18" s="276">
        <v>65.75</v>
      </c>
      <c r="Z18" s="236">
        <v>1058990</v>
      </c>
      <c r="AA18" s="279">
        <v>42636</v>
      </c>
      <c r="AB18" s="279">
        <v>42643</v>
      </c>
      <c r="AC18" s="279">
        <v>42664</v>
      </c>
      <c r="AD18" s="293">
        <v>65.75</v>
      </c>
      <c r="AE18" s="282">
        <v>9225</v>
      </c>
      <c r="AF18" s="276">
        <f t="shared" si="0"/>
        <v>684.75</v>
      </c>
      <c r="AG18" s="276">
        <f t="shared" si="1"/>
        <v>799.75</v>
      </c>
      <c r="AH18" s="276">
        <f t="shared" si="2"/>
        <v>90.950000000000045</v>
      </c>
      <c r="AI18" s="283">
        <f t="shared" si="3"/>
        <v>0.1328221978824389</v>
      </c>
    </row>
    <row r="19" spans="1:35" ht="30" x14ac:dyDescent="0.25">
      <c r="A19" s="275">
        <f>'Profits 2016'!A5229</f>
        <v>3004113</v>
      </c>
      <c r="B19" s="279">
        <f>'Profits 2016'!B5229</f>
        <v>42614</v>
      </c>
      <c r="C19" s="276">
        <f>'Profits 2016'!H5229</f>
        <v>136.82</v>
      </c>
      <c r="D19" s="280">
        <f>'Profits 2016'!K5229</f>
        <v>121.60661999999999</v>
      </c>
      <c r="E19" s="276">
        <f>'Profits 2016'!L5229</f>
        <v>510</v>
      </c>
      <c r="F19" s="275" t="str">
        <f>'Profits 2016'!P5229</f>
        <v>Nassau</v>
      </c>
      <c r="G19" s="292">
        <f>'Profits 2016'!N5229-'Profits 2016'!M5229</f>
        <v>63.75</v>
      </c>
      <c r="H19" s="319"/>
      <c r="I19" s="320"/>
      <c r="J19" s="321"/>
      <c r="K19" s="321"/>
      <c r="L19" s="321"/>
      <c r="M19" s="319"/>
      <c r="N19" s="322"/>
      <c r="O19" s="236" t="str">
        <f>'Profits 2016'!T5229</f>
        <v>FEDEX GROUND</v>
      </c>
      <c r="P19" s="284" t="str">
        <f>'Profits 2016'!U5229</f>
        <v xml:space="preserve">	702723287271</v>
      </c>
      <c r="Q19" s="284" t="s">
        <v>314</v>
      </c>
      <c r="R19" s="276">
        <v>32.36</v>
      </c>
      <c r="S19" s="275" t="s">
        <v>15733</v>
      </c>
      <c r="T19" s="279">
        <v>42632</v>
      </c>
      <c r="U19" s="279">
        <v>42639</v>
      </c>
      <c r="V19" s="279">
        <v>42643</v>
      </c>
      <c r="W19" s="293">
        <v>0</v>
      </c>
      <c r="X19" s="236">
        <v>9030</v>
      </c>
      <c r="AF19" s="276">
        <f t="shared" si="0"/>
        <v>96.11</v>
      </c>
      <c r="AG19" s="276">
        <f t="shared" si="1"/>
        <v>32.36</v>
      </c>
      <c r="AH19" s="276">
        <f t="shared" si="2"/>
        <v>89.246619999999993</v>
      </c>
      <c r="AI19" s="283">
        <f t="shared" si="3"/>
        <v>0.92858828425762141</v>
      </c>
    </row>
    <row r="20" spans="1:35" ht="30" x14ac:dyDescent="0.25">
      <c r="A20" s="275">
        <f>'Profits 2016'!A5230</f>
        <v>3004114</v>
      </c>
      <c r="B20" s="279">
        <f>'Profits 2016'!B5230</f>
        <v>42614</v>
      </c>
      <c r="C20" s="276">
        <f>'Profits 2016'!H5230</f>
        <v>342.99</v>
      </c>
      <c r="D20" s="280">
        <f>'Profits 2016'!K5230</f>
        <v>291.54149999999998</v>
      </c>
      <c r="E20" s="276">
        <f>'Profits 2016'!L5230</f>
        <v>990</v>
      </c>
      <c r="F20" s="275" t="str">
        <f>'Profits 2016'!P5230</f>
        <v>Nassau</v>
      </c>
      <c r="G20" s="292">
        <f>'Profits 2016'!N5230-'Profits 2016'!M5230</f>
        <v>123.75</v>
      </c>
      <c r="H20" s="319"/>
      <c r="I20" s="320"/>
      <c r="J20" s="321"/>
      <c r="K20" s="321"/>
      <c r="L20" s="321"/>
      <c r="M20" s="319"/>
      <c r="N20" s="322"/>
      <c r="O20" s="236" t="str">
        <f>'Profits 2016'!T5230</f>
        <v>FEDEX GROUND</v>
      </c>
      <c r="P20" s="284" t="str">
        <f>'Profits 2016'!U5230</f>
        <v xml:space="preserve">	702723287250</v>
      </c>
      <c r="Q20" s="284" t="s">
        <v>314</v>
      </c>
      <c r="R20" s="276">
        <v>31.04</v>
      </c>
      <c r="S20" s="275" t="s">
        <v>15733</v>
      </c>
      <c r="T20" s="279">
        <v>42632</v>
      </c>
      <c r="U20" s="279">
        <v>42639</v>
      </c>
      <c r="V20" s="279">
        <v>42643</v>
      </c>
      <c r="W20" s="293">
        <v>0</v>
      </c>
      <c r="X20" s="236">
        <v>9030</v>
      </c>
      <c r="AF20" s="276">
        <f t="shared" si="0"/>
        <v>154.79</v>
      </c>
      <c r="AG20" s="276">
        <f t="shared" si="1"/>
        <v>31.04</v>
      </c>
      <c r="AH20" s="276">
        <f t="shared" si="2"/>
        <v>260.50149999999996</v>
      </c>
      <c r="AI20" s="283">
        <f t="shared" si="3"/>
        <v>1.682934944117837</v>
      </c>
    </row>
    <row r="21" spans="1:35" ht="30" x14ac:dyDescent="0.25">
      <c r="A21" s="275">
        <f>'Profits 2016'!A5231</f>
        <v>3004115</v>
      </c>
      <c r="B21" s="279">
        <f>'Profits 2016'!B5231</f>
        <v>42614</v>
      </c>
      <c r="C21" s="276">
        <f>'Profits 2016'!H5231</f>
        <v>222.91</v>
      </c>
      <c r="D21" s="280">
        <f>'Profits 2016'!K5231</f>
        <v>189.4735</v>
      </c>
      <c r="E21" s="276">
        <f>'Profits 2016'!L5231</f>
        <v>174</v>
      </c>
      <c r="F21" s="275" t="str">
        <f>'Profits 2016'!P5231</f>
        <v>Thea</v>
      </c>
      <c r="G21" s="292">
        <f>'Profits 2016'!N5231-'Profits 2016'!M5231</f>
        <v>87</v>
      </c>
      <c r="H21" s="319"/>
      <c r="I21" s="320"/>
      <c r="J21" s="321"/>
      <c r="K21" s="321"/>
      <c r="L21" s="321"/>
      <c r="M21" s="319"/>
      <c r="N21" s="322"/>
      <c r="O21" s="236" t="str">
        <f>'Profits 2016'!T5231</f>
        <v>FEDEX GROUND</v>
      </c>
      <c r="P21" s="284">
        <f>'Profits 2016'!U5231</f>
        <v>675157529444</v>
      </c>
      <c r="Q21" s="284" t="s">
        <v>314</v>
      </c>
      <c r="R21" s="276">
        <v>52.62</v>
      </c>
      <c r="S21" s="275" t="s">
        <v>15733</v>
      </c>
      <c r="T21" s="279">
        <v>42632</v>
      </c>
      <c r="U21" s="279">
        <v>42639</v>
      </c>
      <c r="V21" s="279">
        <v>42643</v>
      </c>
      <c r="W21" s="293">
        <v>0</v>
      </c>
      <c r="X21" s="236">
        <v>9030</v>
      </c>
      <c r="AF21" s="276">
        <f t="shared" si="0"/>
        <v>139.62</v>
      </c>
      <c r="AG21" s="276">
        <f t="shared" si="1"/>
        <v>52.62</v>
      </c>
      <c r="AH21" s="276">
        <f t="shared" si="2"/>
        <v>136.8535</v>
      </c>
      <c r="AI21" s="283">
        <f t="shared" si="3"/>
        <v>0.98018550350952582</v>
      </c>
    </row>
    <row r="22" spans="1:35" ht="45" x14ac:dyDescent="0.25">
      <c r="A22" s="275">
        <f>'Profits 2016'!A5232</f>
        <v>3004116</v>
      </c>
      <c r="B22" s="279">
        <f>'Profits 2016'!B5232</f>
        <v>42614</v>
      </c>
      <c r="C22" s="276">
        <f>'Profits 2016'!H5232</f>
        <v>915</v>
      </c>
      <c r="D22" s="280">
        <f>'Profits 2016'!K5232</f>
        <v>897.31500000000005</v>
      </c>
      <c r="E22" s="276">
        <f>'Profits 2016'!L5232</f>
        <v>1567.3</v>
      </c>
      <c r="F22" s="275" t="str">
        <f>'Profits 2016'!P5232</f>
        <v>General</v>
      </c>
      <c r="G22" s="292">
        <f>'Profits 2016'!N5232-'Profits 2016'!M5232</f>
        <v>470.18999999999994</v>
      </c>
      <c r="H22" s="292">
        <v>22</v>
      </c>
      <c r="I22" s="275">
        <v>3732578</v>
      </c>
      <c r="J22" s="277">
        <v>42615</v>
      </c>
      <c r="K22" s="277">
        <v>42622</v>
      </c>
      <c r="L22" s="277">
        <v>42650</v>
      </c>
      <c r="M22" s="292">
        <v>569.32000000000005</v>
      </c>
      <c r="N22" s="281">
        <v>9079</v>
      </c>
      <c r="O22" s="236" t="str">
        <f>'Profits 2016'!T5232</f>
        <v>FEDEX FREIGHT PRIORITY</v>
      </c>
      <c r="P22" s="284" t="str">
        <f>'Profits 2016'!U5232</f>
        <v>4107956355</v>
      </c>
      <c r="Q22" s="284" t="s">
        <v>15741</v>
      </c>
      <c r="R22" s="276">
        <v>87</v>
      </c>
      <c r="S22" s="275">
        <v>3732578</v>
      </c>
      <c r="T22" s="279">
        <v>42615</v>
      </c>
      <c r="U22" s="279">
        <v>42622</v>
      </c>
      <c r="V22" s="279">
        <v>42650</v>
      </c>
      <c r="W22" s="293">
        <v>87</v>
      </c>
      <c r="X22" s="236">
        <v>9079</v>
      </c>
      <c r="AF22" s="276">
        <f t="shared" si="0"/>
        <v>579.18999999999994</v>
      </c>
      <c r="AG22" s="276">
        <f t="shared" si="1"/>
        <v>656.32</v>
      </c>
      <c r="AH22" s="276">
        <f t="shared" si="2"/>
        <v>240.995</v>
      </c>
      <c r="AI22" s="283">
        <f t="shared" si="3"/>
        <v>0.41608971149363772</v>
      </c>
    </row>
    <row r="23" spans="1:35" x14ac:dyDescent="0.25">
      <c r="A23" s="275">
        <f>'Profits 2016'!A5233</f>
        <v>3004117</v>
      </c>
      <c r="B23" s="279">
        <f>'Profits 2016'!B5233</f>
        <v>42614</v>
      </c>
      <c r="C23" s="276">
        <f>'Profits 2016'!H5233</f>
        <v>1605</v>
      </c>
      <c r="D23" s="280">
        <f>'Profits 2016'!K5233</f>
        <v>1605</v>
      </c>
      <c r="E23" s="276">
        <f>'Profits 2016'!L5233</f>
        <v>143</v>
      </c>
      <c r="F23" s="275" t="str">
        <f>'Profits 2016'!P5233</f>
        <v>ADCable</v>
      </c>
      <c r="G23" s="292">
        <f>'Profits 2016'!N5233-'Profits 2016'!M5233</f>
        <v>143</v>
      </c>
      <c r="H23" s="292">
        <v>0</v>
      </c>
      <c r="I23" s="275">
        <v>137456</v>
      </c>
      <c r="J23" s="277">
        <v>42619</v>
      </c>
      <c r="K23" s="277">
        <v>42627</v>
      </c>
      <c r="L23" s="277">
        <v>42629</v>
      </c>
      <c r="M23" s="292">
        <v>280.27999999999997</v>
      </c>
      <c r="N23" s="281">
        <v>8957</v>
      </c>
      <c r="O23" s="344" t="str">
        <f>'Profits 2016'!T5233</f>
        <v>UPS</v>
      </c>
      <c r="P23" s="345" t="str">
        <f>'Profits 2016'!U5233</f>
        <v>1Z5316EX0343752836</v>
      </c>
      <c r="Q23" s="345"/>
      <c r="R23" s="342"/>
      <c r="S23" s="336"/>
      <c r="T23" s="341"/>
      <c r="U23" s="341"/>
      <c r="V23" s="341"/>
      <c r="W23" s="346"/>
      <c r="X23" s="344"/>
      <c r="AF23" s="276">
        <f t="shared" si="0"/>
        <v>143</v>
      </c>
      <c r="AG23" s="276">
        <f t="shared" si="1"/>
        <v>280.27999999999997</v>
      </c>
      <c r="AH23" s="276">
        <f t="shared" si="2"/>
        <v>1324.72</v>
      </c>
      <c r="AI23" s="283">
        <f t="shared" si="3"/>
        <v>9.2637762237762242</v>
      </c>
    </row>
    <row r="24" spans="1:35" x14ac:dyDescent="0.25">
      <c r="A24" s="275">
        <f>'Profits 2016'!A5234</f>
        <v>0</v>
      </c>
      <c r="B24" s="279">
        <f>'Profits 2016'!B5234</f>
        <v>0</v>
      </c>
      <c r="C24" s="276">
        <f>'Profits 2016'!H5234</f>
        <v>0</v>
      </c>
      <c r="D24" s="280">
        <f>'Profits 2016'!K5234</f>
        <v>0</v>
      </c>
      <c r="E24" s="276">
        <f>'Profits 2016'!L5234</f>
        <v>143</v>
      </c>
      <c r="F24" s="275" t="str">
        <f>'Profits 2016'!P5234</f>
        <v>ADCable</v>
      </c>
      <c r="G24" s="292">
        <f>'Profits 2016'!N5234-'Profits 2016'!M5234</f>
        <v>143</v>
      </c>
      <c r="H24" s="292">
        <v>0</v>
      </c>
      <c r="I24" s="275">
        <v>137456</v>
      </c>
      <c r="J24" s="277">
        <v>42619</v>
      </c>
      <c r="K24" s="277">
        <v>42627</v>
      </c>
      <c r="L24" s="277">
        <v>42629</v>
      </c>
      <c r="M24" s="292">
        <v>0</v>
      </c>
      <c r="N24" s="281">
        <v>8957</v>
      </c>
      <c r="O24" s="344">
        <f>'Profits 2016'!T5234</f>
        <v>0</v>
      </c>
      <c r="P24" s="345" t="str">
        <f>'Profits 2016'!U5234</f>
        <v>1Z5316EX0343074846</v>
      </c>
      <c r="Q24" s="345"/>
      <c r="R24" s="342"/>
      <c r="S24" s="336"/>
      <c r="T24" s="341"/>
      <c r="U24" s="341"/>
      <c r="V24" s="341"/>
      <c r="W24" s="346"/>
      <c r="X24" s="344"/>
      <c r="AF24" s="276">
        <f t="shared" si="0"/>
        <v>143</v>
      </c>
      <c r="AG24" s="276">
        <f t="shared" si="1"/>
        <v>0</v>
      </c>
      <c r="AH24" s="276">
        <f t="shared" si="2"/>
        <v>0</v>
      </c>
      <c r="AI24" s="283">
        <f t="shared" si="3"/>
        <v>0</v>
      </c>
    </row>
    <row r="25" spans="1:35" ht="30" x14ac:dyDescent="0.25">
      <c r="A25" s="275">
        <f>'Profits 2016'!A5235</f>
        <v>0</v>
      </c>
      <c r="B25" s="279">
        <f>'Profits 2016'!B5235</f>
        <v>0</v>
      </c>
      <c r="C25" s="276">
        <f>'Profits 2016'!H5235</f>
        <v>0</v>
      </c>
      <c r="D25" s="280">
        <f>'Profits 2016'!K5235</f>
        <v>0</v>
      </c>
      <c r="E25" s="276">
        <f>'Profits 2016'!L5235</f>
        <v>170</v>
      </c>
      <c r="F25" s="275" t="str">
        <f>'Profits 2016'!P5235</f>
        <v>Krsitech</v>
      </c>
      <c r="G25" s="292">
        <f>'Profits 2016'!N5235-'Profits 2016'!M5235</f>
        <v>255</v>
      </c>
      <c r="H25" s="292">
        <v>0</v>
      </c>
      <c r="I25" s="275">
        <v>121933</v>
      </c>
      <c r="J25" s="277">
        <v>42635</v>
      </c>
      <c r="K25" s="277">
        <v>42641</v>
      </c>
      <c r="L25" s="277">
        <v>42643</v>
      </c>
      <c r="M25" s="292">
        <v>249.9</v>
      </c>
      <c r="N25" s="281">
        <v>9033</v>
      </c>
      <c r="O25" s="344" t="str">
        <f>'Profits 2016'!T5235</f>
        <v>Committed</v>
      </c>
      <c r="P25" s="345">
        <f>'Profits 2016'!U5235</f>
        <v>0</v>
      </c>
      <c r="Q25" s="345"/>
      <c r="R25" s="342"/>
      <c r="S25" s="336"/>
      <c r="T25" s="341"/>
      <c r="U25" s="341"/>
      <c r="V25" s="341"/>
      <c r="W25" s="346"/>
      <c r="X25" s="344"/>
      <c r="AF25" s="276">
        <f t="shared" si="0"/>
        <v>255</v>
      </c>
      <c r="AG25" s="276">
        <f t="shared" si="1"/>
        <v>249.9</v>
      </c>
      <c r="AH25" s="276">
        <f t="shared" si="2"/>
        <v>-249.9</v>
      </c>
      <c r="AI25" s="283">
        <f t="shared" si="3"/>
        <v>-0.98</v>
      </c>
    </row>
    <row r="26" spans="1:35" ht="30" x14ac:dyDescent="0.25">
      <c r="A26" s="275">
        <f>'Profits 2016'!A5236</f>
        <v>3004118</v>
      </c>
      <c r="B26" s="279">
        <f>'Profits 2016'!B5236</f>
        <v>42614</v>
      </c>
      <c r="C26" s="276">
        <f>'Profits 2016'!H5236</f>
        <v>149.29</v>
      </c>
      <c r="D26" s="280">
        <f>'Profits 2016'!K5236</f>
        <v>126.89649999999999</v>
      </c>
      <c r="E26" s="276">
        <f>'Profits 2016'!L5236</f>
        <v>510</v>
      </c>
      <c r="F26" s="275" t="str">
        <f>'Profits 2016'!P5236</f>
        <v>Nassau</v>
      </c>
      <c r="G26" s="292">
        <f>'Profits 2016'!N5236-'Profits 2016'!M5236</f>
        <v>114.75</v>
      </c>
      <c r="H26" s="319"/>
      <c r="I26" s="320"/>
      <c r="J26" s="321"/>
      <c r="K26" s="321"/>
      <c r="L26" s="321"/>
      <c r="M26" s="319"/>
      <c r="N26" s="322"/>
      <c r="O26" s="236" t="str">
        <f>'Profits 2016'!T5236</f>
        <v>FEDEX GROUND</v>
      </c>
      <c r="P26" s="284" t="str">
        <f>'Profits 2016'!U5236</f>
        <v xml:space="preserve">	702723287260</v>
      </c>
      <c r="Q26" s="284" t="s">
        <v>314</v>
      </c>
      <c r="R26" s="276">
        <v>37</v>
      </c>
      <c r="S26" s="275" t="s">
        <v>15733</v>
      </c>
      <c r="T26" s="279">
        <v>42632</v>
      </c>
      <c r="U26" s="279">
        <v>42639</v>
      </c>
      <c r="V26" s="279">
        <v>42643</v>
      </c>
      <c r="W26" s="293">
        <v>0</v>
      </c>
      <c r="X26" s="236">
        <v>9030</v>
      </c>
      <c r="AF26" s="276">
        <f t="shared" si="0"/>
        <v>151.75</v>
      </c>
      <c r="AG26" s="276">
        <f t="shared" si="1"/>
        <v>37</v>
      </c>
      <c r="AH26" s="276">
        <f t="shared" si="2"/>
        <v>89.896499999999989</v>
      </c>
      <c r="AI26" s="283">
        <f t="shared" si="3"/>
        <v>0.59239868204283352</v>
      </c>
    </row>
    <row r="27" spans="1:35" x14ac:dyDescent="0.25">
      <c r="A27" s="275">
        <f>'Profits 2016'!A5237</f>
        <v>3004119</v>
      </c>
      <c r="B27" s="279">
        <f>'Profits 2016'!B5237</f>
        <v>42614</v>
      </c>
      <c r="C27" s="276">
        <f>'Profits 2016'!H5237</f>
        <v>2000</v>
      </c>
      <c r="D27" s="280">
        <f>'Profits 2016'!K5237</f>
        <v>2000</v>
      </c>
      <c r="E27" s="276">
        <f>'Profits 2016'!L5237</f>
        <v>1296</v>
      </c>
      <c r="F27" s="275" t="str">
        <f>'Profits 2016'!P5237</f>
        <v>Nassau</v>
      </c>
      <c r="G27" s="292">
        <f>'Profits 2016'!N5237-'Profits 2016'!M5237</f>
        <v>1296</v>
      </c>
      <c r="H27" s="319"/>
      <c r="I27" s="320"/>
      <c r="J27" s="321"/>
      <c r="K27" s="321"/>
      <c r="L27" s="321"/>
      <c r="M27" s="319"/>
      <c r="N27" s="322"/>
      <c r="O27" s="236" t="str">
        <f>'Profits 2016'!T5237</f>
        <v xml:space="preserve">ESTES/DLS </v>
      </c>
      <c r="P27" s="284" t="str">
        <f>'Profits 2016'!U5237</f>
        <v>0272132701</v>
      </c>
      <c r="Q27" s="284" t="s">
        <v>15742</v>
      </c>
      <c r="R27" s="276">
        <v>188.4</v>
      </c>
      <c r="S27" s="275">
        <v>636693856</v>
      </c>
      <c r="T27" s="279">
        <v>42622</v>
      </c>
      <c r="U27" s="279">
        <v>42629</v>
      </c>
      <c r="V27" s="279">
        <v>42636</v>
      </c>
      <c r="W27" s="293">
        <v>188.4</v>
      </c>
      <c r="X27" s="236">
        <v>9010</v>
      </c>
      <c r="AF27" s="276">
        <f t="shared" si="0"/>
        <v>1484.4</v>
      </c>
      <c r="AG27" s="276">
        <f t="shared" si="1"/>
        <v>188.4</v>
      </c>
      <c r="AH27" s="276">
        <f t="shared" si="2"/>
        <v>1811.6</v>
      </c>
      <c r="AI27" s="283">
        <f t="shared" si="3"/>
        <v>1.2204257612503366</v>
      </c>
    </row>
    <row r="28" spans="1:35" x14ac:dyDescent="0.25">
      <c r="A28" s="275">
        <f>'Profits 2016'!A5238</f>
        <v>0</v>
      </c>
      <c r="B28" s="279">
        <f>'Profits 2016'!B5238</f>
        <v>0</v>
      </c>
      <c r="C28" s="276">
        <f>'Profits 2016'!H5238</f>
        <v>0</v>
      </c>
      <c r="D28" s="280">
        <f>'Profits 2016'!K5238</f>
        <v>0</v>
      </c>
      <c r="E28" s="276">
        <f>'Profits 2016'!L5238</f>
        <v>0</v>
      </c>
      <c r="F28" s="275" t="str">
        <f>'Profits 2016'!P5238</f>
        <v>Nassau</v>
      </c>
      <c r="G28" s="292">
        <f>'Profits 2016'!N5238-'Profits 2016'!M5238</f>
        <v>0</v>
      </c>
      <c r="H28" s="319"/>
      <c r="I28" s="320"/>
      <c r="J28" s="321"/>
      <c r="K28" s="321"/>
      <c r="L28" s="321"/>
      <c r="M28" s="319"/>
      <c r="N28" s="322"/>
      <c r="O28" s="236">
        <f>'Profits 2016'!T5238</f>
        <v>0</v>
      </c>
      <c r="P28" s="284">
        <f>'Profits 2016'!U5238</f>
        <v>0</v>
      </c>
      <c r="Q28" s="284" t="s">
        <v>15742</v>
      </c>
      <c r="R28" s="276">
        <v>0</v>
      </c>
      <c r="S28" s="275">
        <v>636693856</v>
      </c>
      <c r="T28" s="279">
        <v>42622</v>
      </c>
      <c r="U28" s="279">
        <v>42629</v>
      </c>
      <c r="AF28" s="276">
        <f t="shared" si="0"/>
        <v>0</v>
      </c>
      <c r="AG28" s="276">
        <f t="shared" si="1"/>
        <v>0</v>
      </c>
      <c r="AH28" s="276">
        <f t="shared" si="2"/>
        <v>0</v>
      </c>
      <c r="AI28" s="283" t="e">
        <f t="shared" si="3"/>
        <v>#DIV/0!</v>
      </c>
    </row>
    <row r="29" spans="1:35" ht="30" x14ac:dyDescent="0.25">
      <c r="A29" s="275">
        <f>'Profits 2016'!A5239</f>
        <v>3004120</v>
      </c>
      <c r="B29" s="279">
        <f>'Profits 2016'!B5239</f>
        <v>42614</v>
      </c>
      <c r="C29" s="276">
        <f>'Profits 2016'!H5239</f>
        <v>100</v>
      </c>
      <c r="D29" s="280">
        <f>'Profits 2016'!K5239</f>
        <v>85</v>
      </c>
      <c r="E29" s="276">
        <f>'Profits 2016'!L5239</f>
        <v>1150</v>
      </c>
      <c r="F29" s="275" t="str">
        <f>'Profits 2016'!P5239</f>
        <v>Direct</v>
      </c>
      <c r="G29" s="292">
        <f>'Profits 2016'!N5239-'Profits 2016'!M5239</f>
        <v>28.75</v>
      </c>
      <c r="H29" s="292">
        <v>0</v>
      </c>
      <c r="I29" s="275">
        <v>72082</v>
      </c>
      <c r="J29" s="277">
        <v>42619</v>
      </c>
      <c r="K29" s="277">
        <v>42622</v>
      </c>
      <c r="L29" s="277">
        <v>42629</v>
      </c>
      <c r="M29" s="292">
        <v>56.35</v>
      </c>
      <c r="N29" s="281">
        <v>8963</v>
      </c>
      <c r="O29" s="236" t="str">
        <f>'Profits 2016'!T5239</f>
        <v>FEDEX GROUND</v>
      </c>
      <c r="P29" s="284" t="str">
        <f>'Profits 2016'!U5239</f>
        <v>'639794969316</v>
      </c>
      <c r="Q29" s="284" t="s">
        <v>314</v>
      </c>
      <c r="R29" s="276">
        <v>18.78</v>
      </c>
      <c r="S29" s="275" t="s">
        <v>15733</v>
      </c>
      <c r="T29" s="279">
        <v>42632</v>
      </c>
      <c r="U29" s="279">
        <v>42639</v>
      </c>
      <c r="V29" s="279">
        <v>42643</v>
      </c>
      <c r="W29" s="293">
        <v>0</v>
      </c>
      <c r="X29" s="236">
        <v>9030</v>
      </c>
      <c r="AF29" s="276">
        <f t="shared" si="0"/>
        <v>47.53</v>
      </c>
      <c r="AG29" s="276">
        <f t="shared" si="1"/>
        <v>75.13</v>
      </c>
      <c r="AH29" s="276">
        <f t="shared" si="2"/>
        <v>9.8700000000000045</v>
      </c>
      <c r="AI29" s="283">
        <f t="shared" si="3"/>
        <v>0.20765832106038301</v>
      </c>
    </row>
    <row r="30" spans="1:35" x14ac:dyDescent="0.25">
      <c r="A30" s="275">
        <f>'Profits 2016'!A5240</f>
        <v>0</v>
      </c>
      <c r="B30" s="279">
        <f>'Profits 2016'!B5240</f>
        <v>0</v>
      </c>
      <c r="C30" s="276">
        <f>'Profits 2016'!H5240</f>
        <v>0</v>
      </c>
      <c r="D30" s="280">
        <f>'Profits 2016'!K5240</f>
        <v>0</v>
      </c>
      <c r="E30" s="276">
        <f>'Profits 2016'!L5240</f>
        <v>1150</v>
      </c>
      <c r="F30" s="275" t="str">
        <f>'Profits 2016'!P5240</f>
        <v>Direct</v>
      </c>
      <c r="G30" s="292">
        <f>'Profits 2016'!N5240-'Profits 2016'!M5240</f>
        <v>28.75</v>
      </c>
      <c r="H30" s="292">
        <v>0</v>
      </c>
      <c r="I30" s="275">
        <v>72082</v>
      </c>
      <c r="J30" s="277">
        <v>42619</v>
      </c>
      <c r="K30" s="277">
        <v>42622</v>
      </c>
      <c r="L30" s="277">
        <v>42629</v>
      </c>
      <c r="M30" s="292">
        <v>0</v>
      </c>
      <c r="N30" s="281">
        <v>8963</v>
      </c>
      <c r="O30" s="236">
        <f>'Profits 2016'!T5240</f>
        <v>0</v>
      </c>
      <c r="P30" s="284">
        <f>'Profits 2016'!U5240</f>
        <v>0</v>
      </c>
      <c r="Q30" s="284" t="s">
        <v>314</v>
      </c>
      <c r="R30" s="276">
        <v>0</v>
      </c>
      <c r="S30" s="275" t="s">
        <v>15733</v>
      </c>
      <c r="T30" s="279">
        <v>42632</v>
      </c>
      <c r="U30" s="279">
        <v>42639</v>
      </c>
      <c r="V30" s="279">
        <v>42643</v>
      </c>
      <c r="W30" s="293">
        <v>0</v>
      </c>
      <c r="X30" s="236">
        <v>9030</v>
      </c>
      <c r="AF30" s="276">
        <f t="shared" si="0"/>
        <v>28.75</v>
      </c>
      <c r="AG30" s="276">
        <f t="shared" si="1"/>
        <v>0</v>
      </c>
      <c r="AH30" s="276">
        <f t="shared" si="2"/>
        <v>0</v>
      </c>
      <c r="AI30" s="283">
        <f t="shared" si="3"/>
        <v>0</v>
      </c>
    </row>
    <row r="31" spans="1:35" ht="30" x14ac:dyDescent="0.25">
      <c r="A31" s="275">
        <f>'Profits 2016'!A5241</f>
        <v>3004121</v>
      </c>
      <c r="B31" s="279">
        <f>'Profits 2016'!B5241</f>
        <v>42614</v>
      </c>
      <c r="C31" s="276">
        <f>'Profits 2016'!H5241</f>
        <v>180</v>
      </c>
      <c r="D31" s="280">
        <f>'Profits 2016'!K5241</f>
        <v>175.74</v>
      </c>
      <c r="E31" s="276">
        <f>'Profits 2016'!L5241</f>
        <v>2000</v>
      </c>
      <c r="F31" s="275" t="str">
        <f>'Profits 2016'!P5241</f>
        <v>Priority</v>
      </c>
      <c r="G31" s="292">
        <f>'Profits 2016'!N5241-'Profits 2016'!M5241</f>
        <v>60</v>
      </c>
      <c r="H31" s="292">
        <v>0</v>
      </c>
      <c r="I31" s="275">
        <v>1052135</v>
      </c>
      <c r="J31" s="277">
        <v>42615</v>
      </c>
      <c r="K31" s="277">
        <v>42627</v>
      </c>
      <c r="L31" s="277">
        <v>42643</v>
      </c>
      <c r="M31" s="292">
        <v>82.33</v>
      </c>
      <c r="N31" s="281">
        <v>9040</v>
      </c>
      <c r="O31" s="236" t="str">
        <f>'Profits 2016'!T5241</f>
        <v>FEDEX GROUND</v>
      </c>
      <c r="P31" s="284" t="str">
        <f>'Profits 2016'!U5241</f>
        <v>680993425342</v>
      </c>
      <c r="Q31" s="284" t="s">
        <v>15740</v>
      </c>
      <c r="R31" s="276">
        <v>22.33</v>
      </c>
      <c r="S31" s="275">
        <v>1052135</v>
      </c>
      <c r="T31" s="277">
        <v>42615</v>
      </c>
      <c r="U31" s="277">
        <v>42627</v>
      </c>
      <c r="AF31" s="276">
        <f t="shared" si="0"/>
        <v>82.33</v>
      </c>
      <c r="AG31" s="276">
        <f t="shared" si="1"/>
        <v>104.66</v>
      </c>
      <c r="AH31" s="276">
        <f t="shared" si="2"/>
        <v>71.080000000000013</v>
      </c>
      <c r="AI31" s="283">
        <f t="shared" si="3"/>
        <v>0.86335479169197149</v>
      </c>
    </row>
    <row r="32" spans="1:35" ht="30" x14ac:dyDescent="0.25">
      <c r="A32" s="275">
        <f>'Profits 2016'!A5242</f>
        <v>3004122</v>
      </c>
      <c r="B32" s="279">
        <f>'Profits 2016'!B5242</f>
        <v>42614</v>
      </c>
      <c r="C32" s="276">
        <f>'Profits 2016'!H5242</f>
        <v>6000</v>
      </c>
      <c r="D32" s="280">
        <f>'Profits 2016'!K5242</f>
        <v>6000</v>
      </c>
      <c r="E32" s="276">
        <f>'Profits 2016'!L5242</f>
        <v>805</v>
      </c>
      <c r="F32" s="275" t="str">
        <f>'Profits 2016'!P5242</f>
        <v>General</v>
      </c>
      <c r="G32" s="292">
        <f>'Profits 2016'!N5242-'Profits 2016'!M5242</f>
        <v>2012.5</v>
      </c>
      <c r="H32" s="292">
        <v>-0.23</v>
      </c>
      <c r="I32" s="275">
        <v>3732579</v>
      </c>
      <c r="J32" s="277">
        <v>42614</v>
      </c>
      <c r="K32" s="277">
        <v>42622</v>
      </c>
      <c r="L32" s="277">
        <v>42650</v>
      </c>
      <c r="M32" s="292">
        <v>3344.65</v>
      </c>
      <c r="N32" s="281">
        <v>9078</v>
      </c>
      <c r="O32" s="344" t="str">
        <f>'Profits 2016'!T5242</f>
        <v>XPO LOGISTICS</v>
      </c>
      <c r="P32" s="345" t="str">
        <f>'Profits 2016'!U5242</f>
        <v>927924443</v>
      </c>
      <c r="Q32" s="345"/>
      <c r="R32" s="342"/>
      <c r="S32" s="336"/>
      <c r="T32" s="341"/>
      <c r="U32" s="341"/>
      <c r="V32" s="341"/>
      <c r="W32" s="346"/>
      <c r="X32" s="344"/>
      <c r="AF32" s="276">
        <f t="shared" si="0"/>
        <v>2012.27</v>
      </c>
      <c r="AG32" s="276">
        <f t="shared" si="1"/>
        <v>3344.65</v>
      </c>
      <c r="AH32" s="276">
        <f t="shared" si="2"/>
        <v>2655.35</v>
      </c>
      <c r="AI32" s="283">
        <f t="shared" si="3"/>
        <v>1.3195793805006286</v>
      </c>
    </row>
    <row r="33" spans="1:35" x14ac:dyDescent="0.25">
      <c r="A33" s="275">
        <f>'Profits 2016'!A5243</f>
        <v>0</v>
      </c>
      <c r="B33" s="279">
        <f>'Profits 2016'!B5243</f>
        <v>0</v>
      </c>
      <c r="C33" s="276">
        <f>'Profits 2016'!H5243</f>
        <v>0</v>
      </c>
      <c r="D33" s="280">
        <f>'Profits 2016'!K5243</f>
        <v>0</v>
      </c>
      <c r="E33" s="276">
        <f>'Profits 2016'!L5243</f>
        <v>467</v>
      </c>
      <c r="F33" s="275" t="str">
        <f>'Profits 2016'!P5243</f>
        <v>General</v>
      </c>
      <c r="G33" s="292">
        <f>'Profits 2016'!N5243-'Profits 2016'!M5243</f>
        <v>1634.5</v>
      </c>
      <c r="H33" s="292">
        <v>-0.39</v>
      </c>
      <c r="I33" s="275">
        <v>3732580</v>
      </c>
      <c r="J33" s="277">
        <v>42614</v>
      </c>
      <c r="K33" s="277">
        <v>42622</v>
      </c>
      <c r="L33" s="277">
        <v>42650</v>
      </c>
      <c r="M33" s="292">
        <v>228.8</v>
      </c>
      <c r="N33" s="281">
        <v>9080</v>
      </c>
      <c r="O33" s="344">
        <f>'Profits 2016'!T5243</f>
        <v>0</v>
      </c>
      <c r="P33" s="345">
        <f>'Profits 2016'!U5243</f>
        <v>0</v>
      </c>
      <c r="Q33" s="345"/>
      <c r="R33" s="342"/>
      <c r="S33" s="336"/>
      <c r="T33" s="341"/>
      <c r="U33" s="341"/>
      <c r="V33" s="341"/>
      <c r="W33" s="346"/>
      <c r="X33" s="344"/>
      <c r="AF33" s="276">
        <f t="shared" si="0"/>
        <v>1634.11</v>
      </c>
      <c r="AG33" s="276">
        <f t="shared" si="1"/>
        <v>228.8</v>
      </c>
      <c r="AH33" s="276">
        <f t="shared" si="2"/>
        <v>-228.8</v>
      </c>
      <c r="AI33" s="283">
        <f t="shared" si="3"/>
        <v>-0.14001505406612774</v>
      </c>
    </row>
    <row r="34" spans="1:35" ht="30" x14ac:dyDescent="0.25">
      <c r="A34" s="275">
        <f>'Profits 2016'!A5244</f>
        <v>3004123</v>
      </c>
      <c r="B34" s="279">
        <f>'Profits 2016'!B5244</f>
        <v>42614</v>
      </c>
      <c r="C34" s="276">
        <f>'Profits 2016'!H5244</f>
        <v>235.7</v>
      </c>
      <c r="D34" s="280">
        <f>'Profits 2016'!K5244</f>
        <v>200.345</v>
      </c>
      <c r="E34" s="276">
        <f>'Profits 2016'!L5244</f>
        <v>90</v>
      </c>
      <c r="F34" s="275" t="str">
        <f>'Profits 2016'!P5244</f>
        <v>Priority</v>
      </c>
      <c r="G34" s="292">
        <f>'Profits 2016'!N5244-'Profits 2016'!M5244</f>
        <v>180</v>
      </c>
      <c r="H34" s="292">
        <v>0</v>
      </c>
      <c r="I34" s="275">
        <v>1052430</v>
      </c>
      <c r="J34" s="277">
        <v>42619</v>
      </c>
      <c r="K34" s="277">
        <v>42627</v>
      </c>
      <c r="L34" s="277">
        <v>42643</v>
      </c>
      <c r="M34" s="292">
        <v>231.68</v>
      </c>
      <c r="N34" s="281">
        <v>9041</v>
      </c>
      <c r="O34" s="236" t="str">
        <f>'Profits 2016'!T5244</f>
        <v>FEDEX GROUND</v>
      </c>
      <c r="P34" s="284" t="str">
        <f>'Profits 2016'!U5244</f>
        <v>614697966721
614697966732</v>
      </c>
      <c r="Q34" s="284" t="s">
        <v>15740</v>
      </c>
      <c r="R34" s="276">
        <v>51.68</v>
      </c>
      <c r="S34" s="275">
        <v>1052430</v>
      </c>
      <c r="T34" s="279">
        <v>42619</v>
      </c>
      <c r="U34" s="279">
        <v>42627</v>
      </c>
      <c r="AF34" s="276">
        <f t="shared" si="0"/>
        <v>231.68</v>
      </c>
      <c r="AG34" s="276">
        <f t="shared" si="1"/>
        <v>283.36</v>
      </c>
      <c r="AH34" s="276">
        <f t="shared" si="2"/>
        <v>-83.015000000000015</v>
      </c>
      <c r="AI34" s="283">
        <f t="shared" si="3"/>
        <v>-0.35831750690607739</v>
      </c>
    </row>
    <row r="35" spans="1:35" ht="30" x14ac:dyDescent="0.25">
      <c r="A35" s="275">
        <f>'Profits 2016'!A5245</f>
        <v>3004124</v>
      </c>
      <c r="B35" s="279">
        <f>'Profits 2016'!B5245</f>
        <v>42614</v>
      </c>
      <c r="C35" s="276">
        <f>'Profits 2016'!H5245</f>
        <v>654.38</v>
      </c>
      <c r="D35" s="280">
        <f>'Profits 2016'!K5245</f>
        <v>556.22299999999996</v>
      </c>
      <c r="E35" s="276">
        <f>'Profits 2016'!L5245</f>
        <v>950</v>
      </c>
      <c r="F35" s="275" t="str">
        <f>'Profits 2016'!P5245</f>
        <v>Nassau</v>
      </c>
      <c r="G35" s="292">
        <f>'Profits 2016'!N5245-'Profits 2016'!M5245</f>
        <v>285</v>
      </c>
      <c r="H35" s="319"/>
      <c r="I35" s="320"/>
      <c r="J35" s="321"/>
      <c r="K35" s="321"/>
      <c r="L35" s="321"/>
      <c r="M35" s="319"/>
      <c r="N35" s="322"/>
      <c r="O35" s="236" t="str">
        <f>'Profits 2016'!T5245</f>
        <v>FEDEX GROUND</v>
      </c>
      <c r="P35" s="284" t="str">
        <f>'Profits 2016'!U5245</f>
        <v xml:space="preserve">	680483359766</v>
      </c>
      <c r="Q35" s="284" t="s">
        <v>314</v>
      </c>
      <c r="R35" s="276">
        <v>62.8</v>
      </c>
      <c r="S35" s="275" t="s">
        <v>15733</v>
      </c>
      <c r="T35" s="279">
        <v>42632</v>
      </c>
      <c r="U35" s="279">
        <v>42639</v>
      </c>
      <c r="V35" s="279">
        <v>42643</v>
      </c>
      <c r="W35" s="293">
        <v>0</v>
      </c>
      <c r="X35" s="236">
        <v>9030</v>
      </c>
      <c r="AF35" s="276">
        <f t="shared" si="0"/>
        <v>347.8</v>
      </c>
      <c r="AG35" s="276">
        <f t="shared" si="1"/>
        <v>62.8</v>
      </c>
      <c r="AH35" s="276">
        <f t="shared" si="2"/>
        <v>493.42299999999994</v>
      </c>
      <c r="AI35" s="283">
        <f t="shared" si="3"/>
        <v>1.4186975273145483</v>
      </c>
    </row>
    <row r="36" spans="1:35" ht="30" x14ac:dyDescent="0.25">
      <c r="A36" s="275">
        <f>'Profits 2016'!A5246</f>
        <v>3004125</v>
      </c>
      <c r="B36" s="279">
        <f>'Profits 2016'!B5246</f>
        <v>42615</v>
      </c>
      <c r="C36" s="276">
        <f>'Profits 2016'!H5246</f>
        <v>346.47</v>
      </c>
      <c r="D36" s="280">
        <f>'Profits 2016'!K5246</f>
        <v>308.40477000000004</v>
      </c>
      <c r="E36" s="276">
        <f>'Profits 2016'!L5246</f>
        <v>1693</v>
      </c>
      <c r="F36" s="275" t="str">
        <f>'Profits 2016'!P5246</f>
        <v>Nassau</v>
      </c>
      <c r="G36" s="292">
        <f>'Profits 2016'!N5246-'Profits 2016'!M5246</f>
        <v>211.625</v>
      </c>
      <c r="H36" s="319"/>
      <c r="I36" s="320"/>
      <c r="J36" s="321"/>
      <c r="K36" s="321"/>
      <c r="L36" s="321"/>
      <c r="M36" s="319"/>
      <c r="N36" s="322"/>
      <c r="O36" s="236" t="str">
        <f>'Profits 2016'!T5246</f>
        <v>FEDEX GROUND</v>
      </c>
      <c r="P36" s="284" t="str">
        <f>'Profits 2016'!U5246</f>
        <v xml:space="preserve">	665645046935</v>
      </c>
      <c r="Q36" s="284" t="s">
        <v>314</v>
      </c>
      <c r="R36" s="276">
        <v>71.260000000000005</v>
      </c>
      <c r="S36" s="275" t="s">
        <v>15733</v>
      </c>
      <c r="T36" s="279">
        <v>42632</v>
      </c>
      <c r="U36" s="279">
        <v>42639</v>
      </c>
      <c r="V36" s="279">
        <v>42643</v>
      </c>
      <c r="W36" s="293">
        <v>0</v>
      </c>
      <c r="X36" s="236">
        <v>9030</v>
      </c>
      <c r="AF36" s="276">
        <f t="shared" si="0"/>
        <v>282.88499999999999</v>
      </c>
      <c r="AG36" s="276">
        <f t="shared" si="1"/>
        <v>71.260000000000005</v>
      </c>
      <c r="AH36" s="276">
        <f t="shared" si="2"/>
        <v>237.14477000000005</v>
      </c>
      <c r="AI36" s="283">
        <f t="shared" si="3"/>
        <v>0.83830804036976181</v>
      </c>
    </row>
    <row r="37" spans="1:35" ht="30" x14ac:dyDescent="0.25">
      <c r="A37" s="275">
        <f>'Profits 2016'!A5247</f>
        <v>3004126</v>
      </c>
      <c r="B37" s="279">
        <f>'Profits 2016'!B5247</f>
        <v>42615</v>
      </c>
      <c r="C37" s="276">
        <f>'Profits 2016'!H5247</f>
        <v>100.78</v>
      </c>
      <c r="D37" s="280">
        <f>'Profits 2016'!K5247</f>
        <v>89.494979999999998</v>
      </c>
      <c r="E37" s="276">
        <f>'Profits 2016'!L5247</f>
        <v>375</v>
      </c>
      <c r="F37" s="275" t="str">
        <f>'Profits 2016'!P5247</f>
        <v>Nassau</v>
      </c>
      <c r="G37" s="292">
        <f>'Profits 2016'!N5247-'Profits 2016'!M5247</f>
        <v>37.5</v>
      </c>
      <c r="H37" s="319"/>
      <c r="I37" s="320"/>
      <c r="J37" s="321"/>
      <c r="K37" s="321"/>
      <c r="L37" s="321"/>
      <c r="M37" s="319"/>
      <c r="N37" s="322"/>
      <c r="O37" s="236" t="str">
        <f>'Profits 2016'!T5247</f>
        <v>FEDEX GROUND</v>
      </c>
      <c r="P37" s="284" t="str">
        <f>'Profits 2016'!U5247</f>
        <v xml:space="preserve">	680483359700</v>
      </c>
      <c r="Q37" s="284" t="s">
        <v>314</v>
      </c>
      <c r="R37" s="276">
        <v>29.13</v>
      </c>
      <c r="S37" s="275" t="s">
        <v>15733</v>
      </c>
      <c r="T37" s="279">
        <v>42632</v>
      </c>
      <c r="U37" s="279">
        <v>42639</v>
      </c>
      <c r="V37" s="279">
        <v>42643</v>
      </c>
      <c r="W37" s="293">
        <v>0</v>
      </c>
      <c r="X37" s="236">
        <v>9030</v>
      </c>
      <c r="AF37" s="276">
        <f t="shared" si="0"/>
        <v>66.63</v>
      </c>
      <c r="AG37" s="276">
        <f t="shared" si="1"/>
        <v>29.13</v>
      </c>
      <c r="AH37" s="276">
        <f t="shared" si="2"/>
        <v>60.364980000000003</v>
      </c>
      <c r="AI37" s="283">
        <f t="shared" si="3"/>
        <v>0.90597298514182811</v>
      </c>
    </row>
    <row r="38" spans="1:35" ht="30" x14ac:dyDescent="0.25">
      <c r="A38" s="275">
        <f>'Profits 2016'!A5248</f>
        <v>3004127</v>
      </c>
      <c r="B38" s="279">
        <f>'Profits 2016'!B5248</f>
        <v>42615</v>
      </c>
      <c r="C38" s="276">
        <f>'Profits 2016'!H5248</f>
        <v>390.45</v>
      </c>
      <c r="D38" s="280">
        <f>'Profits 2016'!K5248</f>
        <v>347.59095000000002</v>
      </c>
      <c r="E38" s="276">
        <f>'Profits 2016'!L5248</f>
        <v>1060</v>
      </c>
      <c r="F38" s="275" t="str">
        <f>'Profits 2016'!P5248</f>
        <v>Nassau</v>
      </c>
      <c r="G38" s="292">
        <f>'Profits 2016'!N5248-'Profits 2016'!M5248</f>
        <v>212</v>
      </c>
      <c r="H38" s="319"/>
      <c r="I38" s="320"/>
      <c r="J38" s="321"/>
      <c r="K38" s="321"/>
      <c r="L38" s="321"/>
      <c r="M38" s="319"/>
      <c r="N38" s="322"/>
      <c r="O38" s="236" t="str">
        <f>'Profits 2016'!T5248</f>
        <v>FEDEX GROUND</v>
      </c>
      <c r="P38" s="284" t="str">
        <f>'Profits 2016'!U5248</f>
        <v xml:space="preserve"> 	680483359711</v>
      </c>
      <c r="Q38" s="284" t="s">
        <v>314</v>
      </c>
      <c r="R38" s="276">
        <v>65.19</v>
      </c>
      <c r="S38" s="275" t="s">
        <v>15739</v>
      </c>
      <c r="T38" s="279">
        <v>42639</v>
      </c>
      <c r="U38" s="279">
        <v>42643</v>
      </c>
      <c r="V38" s="279">
        <v>42657</v>
      </c>
      <c r="W38" s="293">
        <v>0</v>
      </c>
      <c r="X38" s="236">
        <v>9175</v>
      </c>
      <c r="AF38" s="276">
        <f t="shared" si="0"/>
        <v>277.19</v>
      </c>
      <c r="AG38" s="276">
        <f t="shared" si="1"/>
        <v>65.19</v>
      </c>
      <c r="AH38" s="276">
        <f t="shared" si="2"/>
        <v>282.40095000000002</v>
      </c>
      <c r="AI38" s="283">
        <f t="shared" si="3"/>
        <v>1.0187991991053069</v>
      </c>
    </row>
    <row r="39" spans="1:35" ht="30" x14ac:dyDescent="0.25">
      <c r="A39" s="275">
        <f>'Profits 2016'!A5249</f>
        <v>3004128</v>
      </c>
      <c r="B39" s="279">
        <f>'Profits 2016'!B5249</f>
        <v>42615</v>
      </c>
      <c r="C39" s="276">
        <f>'Profits 2016'!H5249</f>
        <v>263.99</v>
      </c>
      <c r="D39" s="280">
        <f>'Profits 2016'!K5249</f>
        <v>234.91509000000002</v>
      </c>
      <c r="E39" s="276">
        <f>'Profits 2016'!L5249</f>
        <v>577</v>
      </c>
      <c r="F39" s="275" t="str">
        <f>'Profits 2016'!P5249</f>
        <v>Nassau</v>
      </c>
      <c r="G39" s="292">
        <f>'Profits 2016'!N5249-'Profits 2016'!M5249</f>
        <v>144.25</v>
      </c>
      <c r="H39" s="319"/>
      <c r="I39" s="320"/>
      <c r="J39" s="321"/>
      <c r="K39" s="321"/>
      <c r="L39" s="321"/>
      <c r="M39" s="319"/>
      <c r="N39" s="322"/>
      <c r="O39" s="236" t="str">
        <f>'Profits 2016'!T5249</f>
        <v>FEDEX GROUND</v>
      </c>
      <c r="P39" s="284" t="str">
        <f>'Profits 2016'!U5249</f>
        <v xml:space="preserve">	680483359663</v>
      </c>
      <c r="Q39" s="284" t="s">
        <v>314</v>
      </c>
      <c r="R39" s="276">
        <v>36.33</v>
      </c>
      <c r="S39" s="275" t="s">
        <v>15733</v>
      </c>
      <c r="T39" s="279">
        <v>42632</v>
      </c>
      <c r="U39" s="279">
        <v>42639</v>
      </c>
      <c r="V39" s="279">
        <v>42643</v>
      </c>
      <c r="W39" s="293">
        <v>0</v>
      </c>
      <c r="X39" s="236">
        <v>9030</v>
      </c>
      <c r="AF39" s="276">
        <f t="shared" si="0"/>
        <v>180.57999999999998</v>
      </c>
      <c r="AG39" s="276">
        <f t="shared" si="1"/>
        <v>36.33</v>
      </c>
      <c r="AH39" s="276">
        <f t="shared" si="2"/>
        <v>198.58509000000004</v>
      </c>
      <c r="AI39" s="283">
        <f t="shared" si="3"/>
        <v>1.0997069996677376</v>
      </c>
    </row>
    <row r="40" spans="1:35" ht="30" x14ac:dyDescent="0.25">
      <c r="A40" s="275">
        <f>'Profits 2016'!A5250</f>
        <v>3004129</v>
      </c>
      <c r="B40" s="279">
        <f>'Profits 2016'!B5250</f>
        <v>42615</v>
      </c>
      <c r="C40" s="276">
        <f>'Profits 2016'!H5250</f>
        <v>185.9</v>
      </c>
      <c r="D40" s="280">
        <f>'Profits 2016'!K5250</f>
        <v>165.33690000000001</v>
      </c>
      <c r="E40" s="276">
        <f>'Profits 2016'!L5250</f>
        <v>480</v>
      </c>
      <c r="F40" s="275" t="str">
        <f>'Profits 2016'!P5250</f>
        <v>Nassau</v>
      </c>
      <c r="G40" s="292">
        <f>'Profits 2016'!N5250-'Profits 2016'!M5250</f>
        <v>72</v>
      </c>
      <c r="H40" s="319"/>
      <c r="I40" s="320"/>
      <c r="J40" s="321"/>
      <c r="K40" s="321"/>
      <c r="L40" s="321"/>
      <c r="M40" s="319"/>
      <c r="N40" s="322"/>
      <c r="O40" s="236" t="str">
        <f>'Profits 2016'!T5250</f>
        <v>FEDEX GROUND</v>
      </c>
      <c r="P40" s="284" t="str">
        <f>'Profits 2016'!U5250</f>
        <v xml:space="preserve">	680483359744</v>
      </c>
      <c r="Q40" s="284" t="s">
        <v>314</v>
      </c>
      <c r="R40" s="276">
        <v>37.42</v>
      </c>
      <c r="S40" s="275" t="s">
        <v>15733</v>
      </c>
      <c r="T40" s="279">
        <v>42632</v>
      </c>
      <c r="U40" s="279">
        <v>42639</v>
      </c>
      <c r="V40" s="279">
        <v>42643</v>
      </c>
      <c r="W40" s="293">
        <v>0</v>
      </c>
      <c r="X40" s="236">
        <v>9030</v>
      </c>
      <c r="AF40" s="276">
        <f t="shared" si="0"/>
        <v>109.42</v>
      </c>
      <c r="AG40" s="276">
        <f t="shared" si="1"/>
        <v>37.42</v>
      </c>
      <c r="AH40" s="276">
        <f t="shared" si="2"/>
        <v>127.91690000000001</v>
      </c>
      <c r="AI40" s="283">
        <f t="shared" si="3"/>
        <v>1.1690449643575216</v>
      </c>
    </row>
    <row r="41" spans="1:35" ht="30" x14ac:dyDescent="0.25">
      <c r="A41" s="275">
        <f>'Profits 2016'!A5251</f>
        <v>3004130</v>
      </c>
      <c r="B41" s="279">
        <f>'Profits 2016'!B5251</f>
        <v>42615</v>
      </c>
      <c r="C41" s="276">
        <f>'Profits 2016'!H5251</f>
        <v>180.18</v>
      </c>
      <c r="D41" s="280">
        <f>'Profits 2016'!K5251</f>
        <v>160.24037999999999</v>
      </c>
      <c r="E41" s="276">
        <f>'Profits 2016'!L5251</f>
        <v>1150</v>
      </c>
      <c r="F41" s="275" t="str">
        <f>'Profits 2016'!P5251</f>
        <v>Direct</v>
      </c>
      <c r="G41" s="292">
        <f>'Profits 2016'!N5251-'Profits 2016'!M5251</f>
        <v>114.99999999999999</v>
      </c>
      <c r="H41" s="292">
        <v>0</v>
      </c>
      <c r="I41" s="275">
        <v>72101</v>
      </c>
      <c r="J41" s="277">
        <v>42619</v>
      </c>
      <c r="K41" s="277">
        <v>42622</v>
      </c>
      <c r="L41" s="277">
        <v>42629</v>
      </c>
      <c r="M41" s="292">
        <v>112.7</v>
      </c>
      <c r="N41" s="281">
        <v>8963</v>
      </c>
      <c r="O41" s="236" t="str">
        <f>'Profits 2016'!T5251</f>
        <v>FEDEX GROUND</v>
      </c>
      <c r="P41" s="284" t="str">
        <f>'Profits 2016'!U5251</f>
        <v>630512244593</v>
      </c>
      <c r="Q41" s="284" t="s">
        <v>314</v>
      </c>
      <c r="R41" s="276">
        <v>19.98</v>
      </c>
      <c r="S41" s="275" t="s">
        <v>15733</v>
      </c>
      <c r="T41" s="279">
        <v>42632</v>
      </c>
      <c r="U41" s="279">
        <v>42639</v>
      </c>
      <c r="V41" s="279">
        <v>42643</v>
      </c>
      <c r="W41" s="293">
        <v>0</v>
      </c>
      <c r="X41" s="236">
        <v>9030</v>
      </c>
      <c r="AF41" s="276">
        <f t="shared" si="0"/>
        <v>134.97999999999999</v>
      </c>
      <c r="AG41" s="276">
        <f t="shared" si="1"/>
        <v>132.68</v>
      </c>
      <c r="AH41" s="276">
        <f t="shared" si="2"/>
        <v>27.560379999999981</v>
      </c>
      <c r="AI41" s="283">
        <f t="shared" si="3"/>
        <v>0.20418121203141193</v>
      </c>
    </row>
    <row r="42" spans="1:35" ht="30" x14ac:dyDescent="0.25">
      <c r="A42" s="275">
        <f>'Profits 2016'!A5252</f>
        <v>3004131</v>
      </c>
      <c r="B42" s="279">
        <f>'Profits 2016'!B5252</f>
        <v>42615</v>
      </c>
      <c r="C42" s="276">
        <f>'Profits 2016'!H5252</f>
        <v>126.97</v>
      </c>
      <c r="D42" s="280">
        <f>'Profits 2016'!K5252</f>
        <v>112.83027</v>
      </c>
      <c r="E42" s="276">
        <f>'Profits 2016'!L5252</f>
        <v>1322</v>
      </c>
      <c r="F42" s="275" t="str">
        <f>'Profits 2016'!P5252</f>
        <v>Nassau</v>
      </c>
      <c r="G42" s="292">
        <f>'Profits 2016'!N5252-'Profits 2016'!M5252</f>
        <v>66.100000000000009</v>
      </c>
      <c r="H42" s="319"/>
      <c r="I42" s="320"/>
      <c r="J42" s="321"/>
      <c r="K42" s="321"/>
      <c r="L42" s="321"/>
      <c r="M42" s="319"/>
      <c r="N42" s="322"/>
      <c r="O42" s="236" t="str">
        <f>'Profits 2016'!T5252</f>
        <v>FEDEX GROUND</v>
      </c>
      <c r="P42" s="284" t="str">
        <f>'Profits 2016'!U5252</f>
        <v xml:space="preserve">	680483359722</v>
      </c>
      <c r="Q42" s="284" t="s">
        <v>314</v>
      </c>
      <c r="R42" s="276">
        <v>28.74</v>
      </c>
      <c r="S42" s="275" t="s">
        <v>15733</v>
      </c>
      <c r="T42" s="279">
        <v>42632</v>
      </c>
      <c r="U42" s="279">
        <v>42639</v>
      </c>
      <c r="V42" s="279">
        <v>42643</v>
      </c>
      <c r="W42" s="293">
        <v>0</v>
      </c>
      <c r="X42" s="236">
        <v>9030</v>
      </c>
      <c r="AF42" s="276">
        <f t="shared" si="0"/>
        <v>94.84</v>
      </c>
      <c r="AG42" s="276">
        <f t="shared" si="1"/>
        <v>28.74</v>
      </c>
      <c r="AH42" s="276">
        <f t="shared" si="2"/>
        <v>84.090270000000004</v>
      </c>
      <c r="AI42" s="283">
        <f t="shared" si="3"/>
        <v>0.88665404892450439</v>
      </c>
    </row>
    <row r="43" spans="1:35" ht="30" x14ac:dyDescent="0.25">
      <c r="A43" s="275">
        <f>'Profits 2016'!A5253</f>
        <v>3004132</v>
      </c>
      <c r="B43" s="279">
        <f>'Profits 2016'!B5253</f>
        <v>42615</v>
      </c>
      <c r="C43" s="276">
        <f>'Profits 2016'!H5253</f>
        <v>126.71</v>
      </c>
      <c r="D43" s="280">
        <f>'Profits 2016'!K5253</f>
        <v>112.59861000000001</v>
      </c>
      <c r="E43" s="276">
        <f>'Profits 2016'!L5253</f>
        <v>698</v>
      </c>
      <c r="F43" s="275" t="str">
        <f>'Profits 2016'!P5253</f>
        <v>Nassau</v>
      </c>
      <c r="G43" s="292">
        <f>'Profits 2016'!N5253-'Profits 2016'!M5253</f>
        <v>52.350000000000009</v>
      </c>
      <c r="H43" s="319"/>
      <c r="I43" s="320"/>
      <c r="J43" s="321"/>
      <c r="K43" s="321"/>
      <c r="L43" s="321"/>
      <c r="M43" s="319"/>
      <c r="N43" s="322"/>
      <c r="O43" s="236" t="str">
        <f>'Profits 2016'!T5253</f>
        <v>FEDEX GROUND</v>
      </c>
      <c r="P43" s="284" t="str">
        <f>'Profits 2016'!U5253</f>
        <v xml:space="preserve"> 	702723287330</v>
      </c>
      <c r="Q43" s="284" t="s">
        <v>314</v>
      </c>
      <c r="R43" s="276">
        <v>26.67</v>
      </c>
      <c r="S43" s="275" t="s">
        <v>15733</v>
      </c>
      <c r="T43" s="279">
        <v>42632</v>
      </c>
      <c r="U43" s="279">
        <v>42639</v>
      </c>
      <c r="V43" s="279">
        <v>42643</v>
      </c>
      <c r="W43" s="293">
        <v>0</v>
      </c>
      <c r="X43" s="236">
        <v>9030</v>
      </c>
      <c r="AF43" s="276">
        <f t="shared" si="0"/>
        <v>79.02000000000001</v>
      </c>
      <c r="AG43" s="276">
        <f t="shared" si="1"/>
        <v>26.67</v>
      </c>
      <c r="AH43" s="276">
        <f t="shared" si="2"/>
        <v>85.928610000000006</v>
      </c>
      <c r="AI43" s="283">
        <f t="shared" si="3"/>
        <v>1.0874286256643888</v>
      </c>
    </row>
    <row r="44" spans="1:35" ht="30" x14ac:dyDescent="0.25">
      <c r="A44" s="275">
        <f>'Profits 2016'!A5254</f>
        <v>3004133</v>
      </c>
      <c r="B44" s="279">
        <f>'Profits 2016'!B5254</f>
        <v>42615</v>
      </c>
      <c r="C44" s="276">
        <f>'Profits 2016'!H5254</f>
        <v>148.19999999999999</v>
      </c>
      <c r="D44" s="280">
        <f>'Profits 2016'!K5254</f>
        <v>131.74619999999999</v>
      </c>
      <c r="E44" s="276">
        <f>'Profits 2016'!L5254</f>
        <v>698</v>
      </c>
      <c r="F44" s="275" t="str">
        <f>'Profits 2016'!P5254</f>
        <v>Nassau</v>
      </c>
      <c r="G44" s="292">
        <f>'Profits 2016'!N5254-'Profits 2016'!M5254</f>
        <v>69.8</v>
      </c>
      <c r="H44" s="319"/>
      <c r="I44" s="320"/>
      <c r="J44" s="321"/>
      <c r="K44" s="321"/>
      <c r="L44" s="321"/>
      <c r="M44" s="319"/>
      <c r="N44" s="322"/>
      <c r="O44" s="236" t="str">
        <f>'Profits 2016'!T5254</f>
        <v>FEDEX GROUND</v>
      </c>
      <c r="P44" s="284" t="str">
        <f>'Profits 2016'!U5254</f>
        <v xml:space="preserve">	702723287319</v>
      </c>
      <c r="Q44" s="284" t="s">
        <v>314</v>
      </c>
      <c r="R44" s="276">
        <v>26.45</v>
      </c>
      <c r="S44" s="275" t="s">
        <v>15739</v>
      </c>
      <c r="T44" s="279">
        <v>42639</v>
      </c>
      <c r="U44" s="279">
        <v>42643</v>
      </c>
      <c r="V44" s="279">
        <v>42657</v>
      </c>
      <c r="W44" s="293">
        <v>0</v>
      </c>
      <c r="X44" s="236">
        <v>9175</v>
      </c>
      <c r="AF44" s="276">
        <f t="shared" si="0"/>
        <v>96.25</v>
      </c>
      <c r="AG44" s="276">
        <f t="shared" si="1"/>
        <v>26.45</v>
      </c>
      <c r="AH44" s="276">
        <f t="shared" si="2"/>
        <v>105.29619999999998</v>
      </c>
      <c r="AI44" s="283">
        <f t="shared" si="3"/>
        <v>1.0939864935064934</v>
      </c>
    </row>
    <row r="45" spans="1:35" ht="30" x14ac:dyDescent="0.25">
      <c r="A45" s="275">
        <f>'Profits 2016'!A5255</f>
        <v>3004134</v>
      </c>
      <c r="B45" s="279">
        <f>'Profits 2016'!B5255</f>
        <v>42615</v>
      </c>
      <c r="C45" s="276">
        <f>'Profits 2016'!H5255</f>
        <v>339.49</v>
      </c>
      <c r="D45" s="280">
        <f>'Profits 2016'!K5255</f>
        <v>331.72122000000002</v>
      </c>
      <c r="E45" s="276">
        <f>'Profits 2016'!L5255</f>
        <v>670</v>
      </c>
      <c r="F45" s="275" t="str">
        <f>'Profits 2016'!P5255</f>
        <v>Thea</v>
      </c>
      <c r="G45" s="292">
        <f>'Profits 2016'!N5255-'Profits 2016'!M5255</f>
        <v>167.5</v>
      </c>
      <c r="H45" s="319"/>
      <c r="I45" s="320"/>
      <c r="J45" s="321"/>
      <c r="K45" s="321"/>
      <c r="L45" s="321"/>
      <c r="M45" s="319"/>
      <c r="N45" s="322"/>
      <c r="O45" s="236" t="str">
        <f>'Profits 2016'!T5255</f>
        <v>FEDEX GROUND</v>
      </c>
      <c r="P45" s="284" t="str">
        <f>'Profits 2016'!U5255</f>
        <v>675157529400</v>
      </c>
      <c r="Q45" s="284" t="s">
        <v>314</v>
      </c>
      <c r="R45" s="276">
        <v>60.55</v>
      </c>
      <c r="S45" s="275" t="s">
        <v>15733</v>
      </c>
      <c r="T45" s="279">
        <v>42632</v>
      </c>
      <c r="U45" s="279">
        <v>42639</v>
      </c>
      <c r="V45" s="279">
        <v>42643</v>
      </c>
      <c r="W45" s="293">
        <v>0</v>
      </c>
      <c r="X45" s="236">
        <v>9030</v>
      </c>
      <c r="AF45" s="276">
        <f t="shared" si="0"/>
        <v>228.05</v>
      </c>
      <c r="AG45" s="276">
        <f t="shared" si="1"/>
        <v>60.55</v>
      </c>
      <c r="AH45" s="276">
        <f t="shared" si="2"/>
        <v>271.17122000000001</v>
      </c>
      <c r="AI45" s="283">
        <f t="shared" si="3"/>
        <v>1.1890866915150187</v>
      </c>
    </row>
    <row r="46" spans="1:35" ht="30" x14ac:dyDescent="0.25">
      <c r="A46" s="275">
        <f>'Profits 2016'!A5256</f>
        <v>3004135</v>
      </c>
      <c r="B46" s="279">
        <f>'Profits 2016'!B5256</f>
        <v>42615</v>
      </c>
      <c r="C46" s="276">
        <f>'Profits 2016'!H5256</f>
        <v>135</v>
      </c>
      <c r="D46" s="280">
        <f>'Profits 2016'!K5256</f>
        <v>131.72999999999999</v>
      </c>
      <c r="E46" s="276">
        <f>'Profits 2016'!L5256</f>
        <v>1015</v>
      </c>
      <c r="F46" s="275" t="str">
        <f>'Profits 2016'!P5256</f>
        <v>Nassau</v>
      </c>
      <c r="G46" s="292">
        <f>'Profits 2016'!N5256-'Profits 2016'!M5256</f>
        <v>60.899999999999991</v>
      </c>
      <c r="H46" s="319"/>
      <c r="I46" s="320"/>
      <c r="J46" s="321"/>
      <c r="K46" s="321"/>
      <c r="L46" s="321"/>
      <c r="M46" s="319"/>
      <c r="N46" s="322"/>
      <c r="O46" s="236" t="str">
        <f>'Profits 2016'!T5256</f>
        <v>FEDEX GROUND</v>
      </c>
      <c r="P46" s="284" t="str">
        <f>'Profits 2016'!U5256</f>
        <v xml:space="preserve">	702723287341</v>
      </c>
      <c r="Q46" s="284" t="s">
        <v>314</v>
      </c>
      <c r="R46" s="276">
        <v>22.64</v>
      </c>
      <c r="S46" s="275" t="s">
        <v>15733</v>
      </c>
      <c r="T46" s="279">
        <v>42632</v>
      </c>
      <c r="U46" s="279">
        <v>43734</v>
      </c>
      <c r="V46" s="279">
        <v>42643</v>
      </c>
      <c r="W46" s="293">
        <v>0</v>
      </c>
      <c r="X46" s="236">
        <v>9030</v>
      </c>
      <c r="AF46" s="276">
        <f t="shared" si="0"/>
        <v>83.539999999999992</v>
      </c>
      <c r="AG46" s="276">
        <f t="shared" si="1"/>
        <v>22.64</v>
      </c>
      <c r="AH46" s="276">
        <f t="shared" si="2"/>
        <v>109.08999999999999</v>
      </c>
      <c r="AI46" s="283">
        <f t="shared" si="3"/>
        <v>1.3058415130476417</v>
      </c>
    </row>
    <row r="47" spans="1:35" ht="30" x14ac:dyDescent="0.25">
      <c r="A47" s="275">
        <f>'Profits 2016'!A5257</f>
        <v>3004136</v>
      </c>
      <c r="B47" s="279">
        <f>'Profits 2016'!B5257</f>
        <v>42615</v>
      </c>
      <c r="C47" s="276">
        <f>'Profits 2016'!H5257</f>
        <v>553.37</v>
      </c>
      <c r="D47" s="280">
        <f>'Profits 2016'!K5257</f>
        <v>492.75267000000002</v>
      </c>
      <c r="E47" s="276">
        <f>'Profits 2016'!L5257</f>
        <v>480</v>
      </c>
      <c r="F47" s="275" t="str">
        <f>'Profits 2016'!P5257</f>
        <v>Nassau</v>
      </c>
      <c r="G47" s="292">
        <f>'Profits 2016'!N5257-'Profits 2016'!M5257</f>
        <v>240</v>
      </c>
      <c r="H47" s="319"/>
      <c r="I47" s="320"/>
      <c r="J47" s="321"/>
      <c r="K47" s="321"/>
      <c r="L47" s="321"/>
      <c r="M47" s="319"/>
      <c r="N47" s="322"/>
      <c r="O47" s="236" t="str">
        <f>'Profits 2016'!T5257</f>
        <v>PITT OHIO/DLS</v>
      </c>
      <c r="P47" s="284" t="str">
        <f>'Profits 2016'!U5257</f>
        <v>CRH-5014094420</v>
      </c>
      <c r="Q47" s="284" t="s">
        <v>15742</v>
      </c>
      <c r="R47" s="276">
        <v>89.99</v>
      </c>
      <c r="S47" s="275">
        <v>636689713</v>
      </c>
      <c r="T47" s="279">
        <v>42621</v>
      </c>
      <c r="U47" s="279">
        <v>42627</v>
      </c>
      <c r="V47" s="279">
        <v>42636</v>
      </c>
      <c r="W47" s="293">
        <v>89.99</v>
      </c>
      <c r="X47" s="236">
        <v>9009</v>
      </c>
      <c r="AF47" s="276">
        <f t="shared" si="0"/>
        <v>329.99</v>
      </c>
      <c r="AG47" s="276">
        <f t="shared" si="1"/>
        <v>89.99</v>
      </c>
      <c r="AH47" s="276">
        <f t="shared" si="2"/>
        <v>402.76267000000001</v>
      </c>
      <c r="AI47" s="283">
        <f t="shared" si="3"/>
        <v>1.220529925149247</v>
      </c>
    </row>
    <row r="48" spans="1:35" ht="30" customHeight="1" x14ac:dyDescent="0.25">
      <c r="A48" s="275">
        <f>'Profits 2016'!A5258</f>
        <v>3004137</v>
      </c>
      <c r="B48" s="279">
        <f>'Profits 2016'!B5258</f>
        <v>42615</v>
      </c>
      <c r="C48" s="276">
        <f>'Profits 2016'!H5258</f>
        <v>253.94</v>
      </c>
      <c r="D48" s="280">
        <f>'Profits 2016'!K5258</f>
        <v>215.84899999999999</v>
      </c>
      <c r="E48" s="276">
        <f>'Profits 2016'!L5258</f>
        <v>1322</v>
      </c>
      <c r="F48" s="275" t="str">
        <f>'Profits 2016'!P5258</f>
        <v>Nassau</v>
      </c>
      <c r="G48" s="292">
        <f>'Profits 2016'!N5258-'Profits 2016'!M5258</f>
        <v>132.20000000000005</v>
      </c>
      <c r="H48" s="319"/>
      <c r="I48" s="320"/>
      <c r="J48" s="321"/>
      <c r="K48" s="321"/>
      <c r="L48" s="321"/>
      <c r="M48" s="319"/>
      <c r="N48" s="322"/>
      <c r="O48" s="236" t="str">
        <f>'Profits 2016'!T5258</f>
        <v>FEDEX GROUND</v>
      </c>
      <c r="P48" s="284" t="str">
        <f>'Profits 2016'!U5258</f>
        <v xml:space="preserve">	680483359685 680483359696</v>
      </c>
      <c r="Q48" s="284" t="s">
        <v>314</v>
      </c>
      <c r="R48" s="276">
        <v>17.350000000000001</v>
      </c>
      <c r="S48" s="275" t="s">
        <v>15733</v>
      </c>
      <c r="T48" s="279">
        <v>42632</v>
      </c>
      <c r="U48" s="279">
        <v>42639</v>
      </c>
      <c r="V48" s="279">
        <v>42643</v>
      </c>
      <c r="W48" s="293">
        <v>0</v>
      </c>
      <c r="X48" s="236">
        <v>9030</v>
      </c>
      <c r="Y48" s="276">
        <v>17.350000000000001</v>
      </c>
      <c r="Z48" s="236" t="s">
        <v>15733</v>
      </c>
      <c r="AA48" s="279">
        <v>42632</v>
      </c>
      <c r="AB48" s="279">
        <v>42639</v>
      </c>
      <c r="AC48" s="279">
        <v>42643</v>
      </c>
      <c r="AD48" s="293">
        <v>0</v>
      </c>
      <c r="AE48" s="282">
        <v>9030</v>
      </c>
      <c r="AF48" s="276">
        <f t="shared" si="0"/>
        <v>166.90000000000003</v>
      </c>
      <c r="AG48" s="276">
        <f t="shared" si="1"/>
        <v>34.700000000000003</v>
      </c>
      <c r="AH48" s="276">
        <f t="shared" si="2"/>
        <v>181.149</v>
      </c>
      <c r="AI48" s="283">
        <f t="shared" si="3"/>
        <v>1.0853744757339723</v>
      </c>
    </row>
    <row r="49" spans="1:35" ht="30" x14ac:dyDescent="0.25">
      <c r="A49" s="275">
        <f>'Profits 2016'!A5259</f>
        <v>3004138</v>
      </c>
      <c r="B49" s="279">
        <f>'Profits 2016'!B5259</f>
        <v>42615</v>
      </c>
      <c r="C49" s="276">
        <f>'Profits 2016'!H5259</f>
        <v>180.18</v>
      </c>
      <c r="D49" s="280">
        <f>'Profits 2016'!K5259</f>
        <v>153.15300000000002</v>
      </c>
      <c r="E49" s="276">
        <f>'Profits 2016'!L5259</f>
        <v>1150</v>
      </c>
      <c r="F49" s="275" t="str">
        <f>'Profits 2016'!P5259</f>
        <v>Direct</v>
      </c>
      <c r="G49" s="292">
        <f>'Profits 2016'!N5259-'Profits 2016'!M5259</f>
        <v>115</v>
      </c>
      <c r="H49" s="292">
        <v>0</v>
      </c>
      <c r="I49" s="275">
        <v>72108</v>
      </c>
      <c r="J49" s="277">
        <v>42619</v>
      </c>
      <c r="K49" s="277">
        <v>42622</v>
      </c>
      <c r="L49" s="277">
        <v>42629</v>
      </c>
      <c r="M49" s="292">
        <v>112.7</v>
      </c>
      <c r="N49" s="281">
        <v>8963</v>
      </c>
      <c r="O49" s="236" t="str">
        <f>'Profits 2016'!T5259</f>
        <v>FEDEX GROUND</v>
      </c>
      <c r="P49" s="284" t="str">
        <f>'Profits 2016'!U5259</f>
        <v>639564016033</v>
      </c>
      <c r="Q49" s="284" t="s">
        <v>314</v>
      </c>
      <c r="R49" s="276">
        <v>28.34</v>
      </c>
      <c r="S49" s="275" t="s">
        <v>15733</v>
      </c>
      <c r="T49" s="279">
        <v>42632</v>
      </c>
      <c r="U49" s="279">
        <v>42639</v>
      </c>
      <c r="V49" s="279">
        <v>42643</v>
      </c>
      <c r="W49" s="293">
        <v>0</v>
      </c>
      <c r="X49" s="236">
        <v>9030</v>
      </c>
      <c r="AF49" s="276">
        <f t="shared" si="0"/>
        <v>143.34</v>
      </c>
      <c r="AG49" s="276">
        <f t="shared" si="1"/>
        <v>141.04</v>
      </c>
      <c r="AH49" s="276">
        <f t="shared" si="2"/>
        <v>12.113000000000028</v>
      </c>
      <c r="AI49" s="283">
        <f t="shared" si="3"/>
        <v>8.4505371843170279E-2</v>
      </c>
    </row>
    <row r="50" spans="1:35" ht="30" x14ac:dyDescent="0.25">
      <c r="A50" s="275">
        <f>'Profits 2016'!A5260</f>
        <v>3004139</v>
      </c>
      <c r="B50" s="279">
        <f>'Profits 2016'!B5260</f>
        <v>42615</v>
      </c>
      <c r="C50" s="276">
        <f>'Profits 2016'!H5260</f>
        <v>304</v>
      </c>
      <c r="D50" s="280">
        <f>'Profits 2016'!K5260</f>
        <v>270.56399999999996</v>
      </c>
      <c r="E50" s="276">
        <f>'Profits 2016'!L5260</f>
        <v>0</v>
      </c>
      <c r="F50" s="275" t="str">
        <f>'Profits 2016'!P5260</f>
        <v>Nassau</v>
      </c>
      <c r="G50" s="292">
        <f>'Profits 2016'!N5260-'Profits 2016'!M5260</f>
        <v>0</v>
      </c>
      <c r="H50" s="319"/>
      <c r="I50" s="320"/>
      <c r="J50" s="321"/>
      <c r="K50" s="321"/>
      <c r="L50" s="321"/>
      <c r="M50" s="319"/>
      <c r="N50" s="322"/>
      <c r="O50" s="236" t="str">
        <f>'Profits 2016'!T5260</f>
        <v>FEDEX GROUND</v>
      </c>
      <c r="P50" s="284" t="str">
        <f>'Profits 2016'!U5260</f>
        <v xml:space="preserve">	680483359674</v>
      </c>
      <c r="Q50" s="284" t="s">
        <v>314</v>
      </c>
      <c r="R50" s="276">
        <v>20.39</v>
      </c>
      <c r="S50" s="275" t="s">
        <v>15733</v>
      </c>
      <c r="T50" s="279">
        <v>42632</v>
      </c>
      <c r="U50" s="279">
        <v>42639</v>
      </c>
      <c r="V50" s="279">
        <v>42643</v>
      </c>
      <c r="W50" s="293">
        <v>0</v>
      </c>
      <c r="X50" s="236">
        <v>9030</v>
      </c>
      <c r="AF50" s="276">
        <f t="shared" si="0"/>
        <v>20.39</v>
      </c>
      <c r="AG50" s="276">
        <f t="shared" si="1"/>
        <v>20.39</v>
      </c>
      <c r="AH50" s="276">
        <f t="shared" si="2"/>
        <v>250.17399999999998</v>
      </c>
      <c r="AI50" s="283">
        <f t="shared" si="3"/>
        <v>12.269445806768022</v>
      </c>
    </row>
    <row r="51" spans="1:35" ht="30" x14ac:dyDescent="0.25">
      <c r="A51" s="275">
        <f>'Profits 2016'!A5261</f>
        <v>3004140</v>
      </c>
      <c r="B51" s="279">
        <f>'Profits 2016'!B5261</f>
        <v>42615</v>
      </c>
      <c r="C51" s="276">
        <f>'Profits 2016'!H5261</f>
        <v>517.63</v>
      </c>
      <c r="D51" s="280">
        <f>'Profits 2016'!K5261</f>
        <v>460.90832999999998</v>
      </c>
      <c r="E51" s="276">
        <f>'Profits 2016'!L5261</f>
        <v>480</v>
      </c>
      <c r="F51" s="275" t="str">
        <f>'Profits 2016'!P5261</f>
        <v>Thea</v>
      </c>
      <c r="G51" s="292">
        <f>'Profits 2016'!N5261-'Profits 2016'!M5261</f>
        <v>95.999999999999986</v>
      </c>
      <c r="H51" s="319"/>
      <c r="I51" s="320"/>
      <c r="J51" s="321"/>
      <c r="K51" s="321"/>
      <c r="L51" s="321"/>
      <c r="M51" s="319"/>
      <c r="N51" s="322"/>
      <c r="O51" s="236" t="str">
        <f>'Profits 2016'!T5261</f>
        <v>FEDEX GROUND</v>
      </c>
      <c r="P51" s="284" t="str">
        <f>'Profits 2016'!U5261</f>
        <v xml:space="preserve">675157529411 </v>
      </c>
      <c r="Q51" s="284" t="s">
        <v>314</v>
      </c>
      <c r="R51" s="276">
        <v>43.45</v>
      </c>
      <c r="S51" s="275" t="s">
        <v>15733</v>
      </c>
      <c r="T51" s="279">
        <v>42632</v>
      </c>
      <c r="U51" s="279">
        <v>42639</v>
      </c>
      <c r="V51" s="279">
        <v>42643</v>
      </c>
      <c r="W51" s="293">
        <v>0</v>
      </c>
      <c r="X51" s="236">
        <v>9030</v>
      </c>
      <c r="AF51" s="276">
        <f t="shared" si="0"/>
        <v>139.44999999999999</v>
      </c>
      <c r="AG51" s="276">
        <f t="shared" si="1"/>
        <v>43.45</v>
      </c>
      <c r="AH51" s="276">
        <f t="shared" si="2"/>
        <v>417.45832999999999</v>
      </c>
      <c r="AI51" s="283">
        <f t="shared" si="3"/>
        <v>2.9936058085335246</v>
      </c>
    </row>
    <row r="52" spans="1:35" x14ac:dyDescent="0.25">
      <c r="A52" s="275">
        <f>'Profits 2016'!A5262</f>
        <v>0</v>
      </c>
      <c r="B52" s="279">
        <f>'Profits 2016'!B5262</f>
        <v>0</v>
      </c>
      <c r="C52" s="276">
        <f>'Profits 2016'!H5262</f>
        <v>0</v>
      </c>
      <c r="D52" s="280">
        <f>'Profits 2016'!K5262</f>
        <v>0</v>
      </c>
      <c r="E52" s="276">
        <f>'Profits 2016'!L5262</f>
        <v>174</v>
      </c>
      <c r="F52" s="275" t="str">
        <f>'Profits 2016'!P5262</f>
        <v>Thea</v>
      </c>
      <c r="G52" s="292">
        <f>'Profits 2016'!N5262-'Profits 2016'!M5262</f>
        <v>52.2</v>
      </c>
      <c r="H52" s="319"/>
      <c r="I52" s="320"/>
      <c r="J52" s="321"/>
      <c r="K52" s="321"/>
      <c r="L52" s="321"/>
      <c r="M52" s="319"/>
      <c r="N52" s="322"/>
      <c r="O52" s="236">
        <f>'Profits 2016'!T5262</f>
        <v>0</v>
      </c>
      <c r="P52" s="284">
        <f>'Profits 2016'!U5262</f>
        <v>675157529422</v>
      </c>
      <c r="Q52" s="284" t="s">
        <v>314</v>
      </c>
      <c r="R52" s="276">
        <v>39.14</v>
      </c>
      <c r="S52" s="275" t="s">
        <v>15733</v>
      </c>
      <c r="T52" s="279">
        <v>42632</v>
      </c>
      <c r="U52" s="279">
        <v>42639</v>
      </c>
      <c r="V52" s="279">
        <v>42643</v>
      </c>
      <c r="W52" s="293">
        <v>0</v>
      </c>
      <c r="X52" s="236">
        <v>9030</v>
      </c>
      <c r="AF52" s="276">
        <f t="shared" si="0"/>
        <v>91.34</v>
      </c>
      <c r="AG52" s="276">
        <f t="shared" si="1"/>
        <v>39.14</v>
      </c>
      <c r="AH52" s="276">
        <f t="shared" si="2"/>
        <v>-39.14</v>
      </c>
      <c r="AI52" s="283">
        <f t="shared" si="3"/>
        <v>-0.42850886796584192</v>
      </c>
    </row>
    <row r="53" spans="1:35" ht="30" x14ac:dyDescent="0.25">
      <c r="A53" s="275">
        <f>'Profits 2016'!A5263</f>
        <v>3004141</v>
      </c>
      <c r="B53" s="279">
        <f>'Profits 2016'!B5263</f>
        <v>42615</v>
      </c>
      <c r="C53" s="276">
        <f>'Profits 2016'!H5263</f>
        <v>156.13</v>
      </c>
      <c r="D53" s="280">
        <f>'Profits 2016'!K5263</f>
        <v>138.81182999999999</v>
      </c>
      <c r="E53" s="276">
        <f>'Profits 2016'!L5263</f>
        <v>510</v>
      </c>
      <c r="F53" s="275" t="str">
        <f>'Profits 2016'!P5263</f>
        <v>Nassau</v>
      </c>
      <c r="G53" s="292">
        <f>'Profits 2016'!N5263-'Profits 2016'!M5263</f>
        <v>76.5</v>
      </c>
      <c r="H53" s="319"/>
      <c r="I53" s="320"/>
      <c r="J53" s="321"/>
      <c r="K53" s="321"/>
      <c r="L53" s="321"/>
      <c r="M53" s="319"/>
      <c r="N53" s="322"/>
      <c r="O53" s="236" t="str">
        <f>'Profits 2016'!T5263</f>
        <v>FEDEX GROUND</v>
      </c>
      <c r="P53" s="284">
        <f>'Profits 2016'!U5263</f>
        <v>665645046924</v>
      </c>
      <c r="Q53" s="284" t="s">
        <v>314</v>
      </c>
      <c r="R53" s="276">
        <v>51.56</v>
      </c>
      <c r="S53" s="275" t="s">
        <v>15739</v>
      </c>
      <c r="T53" s="279">
        <v>42639</v>
      </c>
      <c r="U53" s="279">
        <v>42643</v>
      </c>
      <c r="V53" s="279">
        <v>42657</v>
      </c>
      <c r="W53" s="293">
        <v>0</v>
      </c>
      <c r="X53" s="236">
        <v>9175</v>
      </c>
      <c r="AF53" s="276">
        <f t="shared" si="0"/>
        <v>128.06</v>
      </c>
      <c r="AG53" s="276">
        <f t="shared" si="1"/>
        <v>51.56</v>
      </c>
      <c r="AH53" s="276">
        <f t="shared" si="2"/>
        <v>87.251829999999984</v>
      </c>
      <c r="AI53" s="283">
        <f t="shared" si="3"/>
        <v>0.68133554583788836</v>
      </c>
    </row>
    <row r="54" spans="1:35" ht="30" x14ac:dyDescent="0.25">
      <c r="A54" s="275">
        <f>'Profits 2016'!A5264</f>
        <v>3004142</v>
      </c>
      <c r="B54" s="279">
        <f>'Profits 2016'!B5264</f>
        <v>42615</v>
      </c>
      <c r="C54" s="276">
        <f>'Profits 2016'!H5264</f>
        <v>115.08</v>
      </c>
      <c r="D54" s="280">
        <f>'Profits 2016'!K5264</f>
        <v>97.817999999999998</v>
      </c>
      <c r="E54" s="276">
        <f>'Profits 2016'!L5264</f>
        <v>577</v>
      </c>
      <c r="F54" s="275" t="str">
        <f>'Profits 2016'!P5264</f>
        <v>Nassau</v>
      </c>
      <c r="G54" s="292">
        <f>'Profits 2016'!N5264-'Profits 2016'!M5264</f>
        <v>57.70000000000001</v>
      </c>
      <c r="H54" s="319"/>
      <c r="I54" s="320"/>
      <c r="J54" s="321"/>
      <c r="K54" s="321"/>
      <c r="L54" s="321"/>
      <c r="M54" s="319"/>
      <c r="N54" s="322"/>
      <c r="O54" s="236" t="str">
        <f>'Profits 2016'!T5264</f>
        <v>FEDEX GROUND</v>
      </c>
      <c r="P54" s="284" t="str">
        <f>'Profits 2016'!U5264</f>
        <v xml:space="preserve">		680483359755</v>
      </c>
      <c r="Q54" s="284" t="s">
        <v>314</v>
      </c>
      <c r="R54" s="276">
        <v>17.79</v>
      </c>
      <c r="S54" s="275" t="s">
        <v>15733</v>
      </c>
      <c r="T54" s="279">
        <v>42632</v>
      </c>
      <c r="U54" s="279">
        <v>42639</v>
      </c>
      <c r="V54" s="279">
        <v>42643</v>
      </c>
      <c r="W54" s="293">
        <v>0</v>
      </c>
      <c r="X54" s="236">
        <v>9030</v>
      </c>
      <c r="AF54" s="276">
        <f t="shared" si="0"/>
        <v>75.490000000000009</v>
      </c>
      <c r="AG54" s="276">
        <f t="shared" si="1"/>
        <v>17.79</v>
      </c>
      <c r="AH54" s="276">
        <f t="shared" si="2"/>
        <v>80.027999999999992</v>
      </c>
      <c r="AI54" s="283">
        <f t="shared" si="3"/>
        <v>1.0601139223738241</v>
      </c>
    </row>
    <row r="55" spans="1:35" ht="30" x14ac:dyDescent="0.25">
      <c r="A55" s="275">
        <f>'Profits 2016'!A5265</f>
        <v>3004143</v>
      </c>
      <c r="B55" s="279">
        <f>'Profits 2016'!B5265</f>
        <v>42615</v>
      </c>
      <c r="C55" s="276">
        <f>'Profits 2016'!H5265</f>
        <v>238.26</v>
      </c>
      <c r="D55" s="280">
        <f>'Profits 2016'!K5265</f>
        <v>211.98965999999999</v>
      </c>
      <c r="E55" s="276">
        <f>'Profits 2016'!L5265</f>
        <v>445</v>
      </c>
      <c r="F55" s="275" t="str">
        <f>'Profits 2016'!P5265</f>
        <v>Nassau</v>
      </c>
      <c r="G55" s="292">
        <f>'Profits 2016'!N5265-'Profits 2016'!M5265</f>
        <v>111.25</v>
      </c>
      <c r="H55" s="319"/>
      <c r="I55" s="320"/>
      <c r="J55" s="321"/>
      <c r="K55" s="321"/>
      <c r="L55" s="321"/>
      <c r="M55" s="319"/>
      <c r="N55" s="322"/>
      <c r="O55" s="236" t="str">
        <f>'Profits 2016'!T5265</f>
        <v>FEDEX GROUND</v>
      </c>
      <c r="P55" s="284" t="str">
        <f>'Profits 2016'!U5265</f>
        <v xml:space="preserve">	680483359733</v>
      </c>
      <c r="Q55" s="284" t="s">
        <v>314</v>
      </c>
      <c r="R55" s="276">
        <v>37.01</v>
      </c>
      <c r="S55" s="275" t="s">
        <v>15739</v>
      </c>
      <c r="T55" s="279">
        <v>42639</v>
      </c>
      <c r="U55" s="279">
        <v>42643</v>
      </c>
      <c r="V55" s="279">
        <v>42657</v>
      </c>
      <c r="W55" s="293">
        <v>0</v>
      </c>
      <c r="X55" s="236">
        <v>9175</v>
      </c>
      <c r="AF55" s="276">
        <f t="shared" si="0"/>
        <v>148.26</v>
      </c>
      <c r="AG55" s="276">
        <f t="shared" si="1"/>
        <v>37.01</v>
      </c>
      <c r="AH55" s="276">
        <f t="shared" si="2"/>
        <v>174.97966</v>
      </c>
      <c r="AI55" s="283">
        <f t="shared" si="3"/>
        <v>1.1802216376635641</v>
      </c>
    </row>
    <row r="56" spans="1:35" ht="30" x14ac:dyDescent="0.25">
      <c r="A56" s="275">
        <f>'Profits 2016'!A5266</f>
        <v>3004144</v>
      </c>
      <c r="B56" s="279">
        <f>'Profits 2016'!B5266</f>
        <v>42615</v>
      </c>
      <c r="C56" s="276">
        <f>'Profits 2016'!H5266</f>
        <v>168.3</v>
      </c>
      <c r="D56" s="280">
        <f>'Profits 2016'!K5266</f>
        <v>143.05500000000001</v>
      </c>
      <c r="E56" s="276">
        <f>'Profits 2016'!L5266</f>
        <v>959</v>
      </c>
      <c r="F56" s="275" t="str">
        <f>'Profits 2016'!P5266</f>
        <v>Direct</v>
      </c>
      <c r="G56" s="292">
        <f>'Profits 2016'!N5266-'Profits 2016'!M5266</f>
        <v>47.95</v>
      </c>
      <c r="H56" s="292">
        <v>0</v>
      </c>
      <c r="I56" s="275">
        <v>72227</v>
      </c>
      <c r="J56" s="277">
        <v>42621</v>
      </c>
      <c r="K56" s="277">
        <v>42627</v>
      </c>
      <c r="L56" s="277">
        <v>42629</v>
      </c>
      <c r="M56" s="292">
        <v>93.98</v>
      </c>
      <c r="N56" s="281">
        <v>8965</v>
      </c>
      <c r="O56" s="236" t="str">
        <f>'Profits 2016'!T5266</f>
        <v>FEDEX GROUND</v>
      </c>
      <c r="P56" s="284" t="str">
        <f>'Profits 2016'!U5266</f>
        <v>639794969338</v>
      </c>
      <c r="Q56" s="284" t="s">
        <v>314</v>
      </c>
      <c r="R56" s="276">
        <v>30.99</v>
      </c>
      <c r="S56" s="275" t="s">
        <v>15739</v>
      </c>
      <c r="T56" s="279">
        <v>42639</v>
      </c>
      <c r="U56" s="279">
        <v>42646</v>
      </c>
      <c r="V56" s="279">
        <v>42657</v>
      </c>
      <c r="W56" s="293">
        <v>0</v>
      </c>
      <c r="X56" s="236">
        <v>9175</v>
      </c>
      <c r="AF56" s="276">
        <f t="shared" si="0"/>
        <v>78.94</v>
      </c>
      <c r="AG56" s="276">
        <f t="shared" si="1"/>
        <v>124.97</v>
      </c>
      <c r="AH56" s="276">
        <f t="shared" si="2"/>
        <v>18.085000000000008</v>
      </c>
      <c r="AI56" s="283">
        <f t="shared" si="3"/>
        <v>0.22909804915125423</v>
      </c>
    </row>
    <row r="57" spans="1:35" x14ac:dyDescent="0.25">
      <c r="A57" s="275">
        <f>'Profits 2016'!A5267</f>
        <v>0</v>
      </c>
      <c r="B57" s="279">
        <f>'Profits 2016'!B5267</f>
        <v>0</v>
      </c>
      <c r="C57" s="276">
        <f>'Profits 2016'!H5267</f>
        <v>0</v>
      </c>
      <c r="D57" s="280">
        <f>'Profits 2016'!K5267</f>
        <v>0</v>
      </c>
      <c r="E57" s="276">
        <f>'Profits 2016'!L5267</f>
        <v>959</v>
      </c>
      <c r="F57" s="275" t="str">
        <f>'Profits 2016'!P5267</f>
        <v>Direct</v>
      </c>
      <c r="G57" s="292">
        <f>'Profits 2016'!N5267-'Profits 2016'!M5267</f>
        <v>47.95</v>
      </c>
      <c r="H57" s="292">
        <v>0</v>
      </c>
      <c r="I57" s="275">
        <v>72227</v>
      </c>
      <c r="J57" s="277">
        <v>42621</v>
      </c>
      <c r="K57" s="277">
        <v>42627</v>
      </c>
      <c r="L57" s="277">
        <v>42629</v>
      </c>
      <c r="M57" s="292">
        <v>0</v>
      </c>
      <c r="N57" s="281">
        <v>8965</v>
      </c>
      <c r="O57" s="236">
        <f>'Profits 2016'!T5267</f>
        <v>0</v>
      </c>
      <c r="P57" s="284">
        <f>'Profits 2016'!U5267</f>
        <v>0</v>
      </c>
      <c r="Q57" s="284" t="s">
        <v>314</v>
      </c>
      <c r="R57" s="276">
        <v>0</v>
      </c>
      <c r="S57" s="275" t="s">
        <v>15739</v>
      </c>
      <c r="T57" s="279">
        <v>42639</v>
      </c>
      <c r="U57" s="279">
        <v>42646</v>
      </c>
      <c r="V57" s="279">
        <v>42657</v>
      </c>
      <c r="W57" s="293">
        <v>0</v>
      </c>
      <c r="X57" s="236">
        <v>9175</v>
      </c>
      <c r="AF57" s="276">
        <f t="shared" si="0"/>
        <v>47.95</v>
      </c>
      <c r="AG57" s="276">
        <f t="shared" si="1"/>
        <v>0</v>
      </c>
      <c r="AH57" s="276">
        <f t="shared" si="2"/>
        <v>0</v>
      </c>
      <c r="AI57" s="283">
        <f t="shared" si="3"/>
        <v>0</v>
      </c>
    </row>
    <row r="58" spans="1:35" x14ac:dyDescent="0.25">
      <c r="A58" s="275">
        <f>'Profits 2016'!A5268</f>
        <v>3004143</v>
      </c>
      <c r="B58" s="279">
        <f>'Profits 2016'!B5268</f>
        <v>42619</v>
      </c>
      <c r="C58" s="276">
        <f>'Profits 2016'!H5268</f>
        <v>380</v>
      </c>
      <c r="D58" s="280">
        <f>'Profits 2016'!K5268</f>
        <v>371.34</v>
      </c>
      <c r="E58" s="276">
        <f>'Profits 2016'!L5268</f>
        <v>2400</v>
      </c>
      <c r="F58" s="275" t="str">
        <f>'Profits 2016'!P5268</f>
        <v>Priority</v>
      </c>
      <c r="G58" s="292">
        <f>'Profits 2016'!N5268-'Profits 2016'!M5268</f>
        <v>240.00000000000003</v>
      </c>
      <c r="H58" s="292">
        <v>0</v>
      </c>
      <c r="I58" s="275">
        <v>1052532</v>
      </c>
      <c r="J58" s="277">
        <v>42619</v>
      </c>
      <c r="K58" s="277">
        <v>42627</v>
      </c>
      <c r="L58" s="277">
        <v>42643</v>
      </c>
      <c r="M58" s="292">
        <v>281.10000000000002</v>
      </c>
      <c r="N58" s="281">
        <v>9041</v>
      </c>
      <c r="O58" s="236" t="str">
        <f>'Profits 2016'!T5268</f>
        <v>UPS</v>
      </c>
      <c r="P58" s="284" t="str">
        <f>'Profits 2016'!U5268</f>
        <v>1z19x16r0350053257</v>
      </c>
      <c r="Q58" s="284" t="s">
        <v>15740</v>
      </c>
      <c r="R58" s="276">
        <v>41.1</v>
      </c>
      <c r="S58" s="275">
        <v>1052532</v>
      </c>
      <c r="T58" s="277">
        <v>42619</v>
      </c>
      <c r="U58" s="277">
        <v>42627</v>
      </c>
      <c r="AF58" s="276">
        <f t="shared" si="0"/>
        <v>281.10000000000002</v>
      </c>
      <c r="AG58" s="276">
        <f t="shared" si="1"/>
        <v>322.20000000000005</v>
      </c>
      <c r="AH58" s="276">
        <f t="shared" si="2"/>
        <v>49.13999999999993</v>
      </c>
      <c r="AI58" s="283">
        <f t="shared" si="3"/>
        <v>0.17481323372465288</v>
      </c>
    </row>
    <row r="59" spans="1:35" ht="30" x14ac:dyDescent="0.25">
      <c r="A59" s="275">
        <f>'Profits 2016'!A5269</f>
        <v>3004144</v>
      </c>
      <c r="B59" s="279">
        <f>'Profits 2016'!B5269</f>
        <v>42619</v>
      </c>
      <c r="C59" s="276">
        <f>'Profits 2016'!H5269</f>
        <v>178.1</v>
      </c>
      <c r="D59" s="280">
        <f>'Profits 2016'!K5269</f>
        <v>158.3871</v>
      </c>
      <c r="E59" s="276">
        <f>'Profits 2016'!L5269</f>
        <v>350</v>
      </c>
      <c r="F59" s="275" t="str">
        <f>'Profits 2016'!P5269</f>
        <v>Nassau</v>
      </c>
      <c r="G59" s="292">
        <f>'Profits 2016'!N5269-'Profits 2016'!M5269</f>
        <v>70</v>
      </c>
      <c r="H59" s="323"/>
      <c r="I59" s="324"/>
      <c r="J59" s="325"/>
      <c r="K59" s="325"/>
      <c r="L59" s="325"/>
      <c r="M59" s="323"/>
      <c r="N59" s="326"/>
      <c r="O59" s="236" t="str">
        <f>'Profits 2016'!T5269</f>
        <v>FEDEX GROUND</v>
      </c>
      <c r="P59" s="284" t="str">
        <f>'Profits 2016'!U5269</f>
        <v> 	680483359788</v>
      </c>
      <c r="Q59" s="284" t="s">
        <v>314</v>
      </c>
      <c r="R59" s="276">
        <v>23.9</v>
      </c>
      <c r="S59" s="275" t="s">
        <v>15733</v>
      </c>
      <c r="T59" s="279">
        <v>42632</v>
      </c>
      <c r="U59" s="279">
        <v>42639</v>
      </c>
      <c r="V59" s="279">
        <v>42643</v>
      </c>
      <c r="W59" s="293">
        <v>0</v>
      </c>
      <c r="X59" s="236">
        <v>9030</v>
      </c>
      <c r="AF59" s="276">
        <f t="shared" si="0"/>
        <v>93.9</v>
      </c>
      <c r="AG59" s="276">
        <f t="shared" si="1"/>
        <v>23.9</v>
      </c>
      <c r="AH59" s="276">
        <f t="shared" si="2"/>
        <v>134.4871</v>
      </c>
      <c r="AI59" s="283">
        <f t="shared" si="3"/>
        <v>1.4322374866879659</v>
      </c>
    </row>
    <row r="60" spans="1:35" x14ac:dyDescent="0.25">
      <c r="A60" s="275">
        <f>'Profits 2016'!A5270</f>
        <v>3004145</v>
      </c>
      <c r="B60" s="279">
        <f>'Profits 2016'!B5270</f>
        <v>42619</v>
      </c>
      <c r="C60" s="276">
        <f>'Profits 2016'!H5270</f>
        <v>1811</v>
      </c>
      <c r="D60" s="280">
        <f>'Profits 2016'!K5270</f>
        <v>1770.8579999999999</v>
      </c>
      <c r="E60" s="276">
        <f>'Profits 2016'!L5270</f>
        <v>1200</v>
      </c>
      <c r="F60" s="275" t="str">
        <f>'Profits 2016'!P5270</f>
        <v>Thea</v>
      </c>
      <c r="G60" s="292">
        <f>'Profits 2016'!N5270-'Profits 2016'!M5270</f>
        <v>959.99999999999989</v>
      </c>
      <c r="H60" s="323"/>
      <c r="I60" s="324"/>
      <c r="J60" s="325"/>
      <c r="K60" s="325"/>
      <c r="L60" s="325"/>
      <c r="M60" s="323"/>
      <c r="N60" s="326"/>
      <c r="O60" s="236" t="str">
        <f>'Profits 2016'!T5270</f>
        <v>R&amp;L/DLS</v>
      </c>
      <c r="P60" s="284" t="str">
        <f>'Profits 2016'!U5270</f>
        <v>90403857-9</v>
      </c>
      <c r="Q60" s="284" t="s">
        <v>15742</v>
      </c>
      <c r="R60" s="276">
        <v>234.89</v>
      </c>
      <c r="S60" s="275">
        <v>636707186</v>
      </c>
      <c r="T60" s="279">
        <v>42626</v>
      </c>
      <c r="U60" s="279">
        <v>42632</v>
      </c>
      <c r="V60" s="279">
        <v>42636</v>
      </c>
      <c r="W60" s="293">
        <v>234.89</v>
      </c>
      <c r="X60" s="236">
        <v>9011</v>
      </c>
      <c r="AF60" s="276">
        <f t="shared" si="0"/>
        <v>1194.8899999999999</v>
      </c>
      <c r="AG60" s="276">
        <f t="shared" si="1"/>
        <v>234.89</v>
      </c>
      <c r="AH60" s="276">
        <f t="shared" si="2"/>
        <v>1535.9679999999998</v>
      </c>
      <c r="AI60" s="283">
        <f t="shared" si="3"/>
        <v>1.2854471959761986</v>
      </c>
    </row>
    <row r="61" spans="1:35" ht="30" x14ac:dyDescent="0.25">
      <c r="A61" s="275">
        <f>'Profits 2016'!A5271</f>
        <v>3004146</v>
      </c>
      <c r="B61" s="279">
        <f>'Profits 2016'!B5271</f>
        <v>42619</v>
      </c>
      <c r="C61" s="276">
        <f>'Profits 2016'!H5271</f>
        <v>3300</v>
      </c>
      <c r="D61" s="280">
        <f>'Profits 2016'!K5271</f>
        <v>3192.45</v>
      </c>
      <c r="E61" s="276">
        <f>'Profits 2016'!L5271</f>
        <v>312.68</v>
      </c>
      <c r="F61" s="275" t="str">
        <f>'Profits 2016'!P5271</f>
        <v>General</v>
      </c>
      <c r="G61" s="292">
        <f>'Profits 2016'!N5271-'Profits 2016'!M5271</f>
        <v>1563.4</v>
      </c>
      <c r="H61" s="292">
        <v>2.44</v>
      </c>
      <c r="I61" s="275">
        <v>3744167</v>
      </c>
      <c r="J61" s="277">
        <v>42632</v>
      </c>
      <c r="K61" s="277">
        <v>42636</v>
      </c>
      <c r="L61" s="277">
        <v>42650</v>
      </c>
      <c r="M61" s="292">
        <v>2045.61</v>
      </c>
      <c r="N61" s="281">
        <v>9093</v>
      </c>
      <c r="O61" s="236" t="str">
        <f>'Profits 2016'!T5271</f>
        <v>XPO LOGISTICS</v>
      </c>
      <c r="P61" s="284">
        <f>'Profits 2016'!U5271</f>
        <v>927925342</v>
      </c>
      <c r="Q61" s="284" t="s">
        <v>15741</v>
      </c>
      <c r="R61" s="276">
        <v>206.73</v>
      </c>
      <c r="S61" s="275">
        <v>3744167</v>
      </c>
      <c r="T61" s="279">
        <v>42632</v>
      </c>
      <c r="U61" s="279">
        <v>42636</v>
      </c>
      <c r="V61" s="279">
        <v>42650</v>
      </c>
      <c r="W61" s="293">
        <v>206.73</v>
      </c>
      <c r="X61" s="236">
        <v>9093</v>
      </c>
      <c r="AF61" s="276">
        <f t="shared" si="0"/>
        <v>1772.5700000000002</v>
      </c>
      <c r="AG61" s="276">
        <f t="shared" si="1"/>
        <v>2252.3399999999997</v>
      </c>
      <c r="AH61" s="276">
        <f t="shared" si="2"/>
        <v>940.11000000000013</v>
      </c>
      <c r="AI61" s="283">
        <f t="shared" si="3"/>
        <v>0.53036551447897684</v>
      </c>
    </row>
    <row r="62" spans="1:35" x14ac:dyDescent="0.25">
      <c r="A62" s="275">
        <f>'Profits 2016'!A5272</f>
        <v>0</v>
      </c>
      <c r="B62" s="279">
        <f>'Profits 2016'!B5272</f>
        <v>0</v>
      </c>
      <c r="C62" s="276">
        <f>'Profits 2016'!H5272</f>
        <v>3300</v>
      </c>
      <c r="D62" s="280">
        <f>'Profits 2016'!K5272</f>
        <v>3192.45</v>
      </c>
      <c r="E62" s="276">
        <f>'Profits 2016'!L5272</f>
        <v>310.08</v>
      </c>
      <c r="F62" s="275" t="str">
        <f>'Profits 2016'!P5272</f>
        <v>General</v>
      </c>
      <c r="G62" s="292">
        <f>'Profits 2016'!N5272-'Profits 2016'!M5272</f>
        <v>310.08</v>
      </c>
      <c r="H62" s="292">
        <v>0.49</v>
      </c>
      <c r="I62" s="275">
        <v>3744167</v>
      </c>
      <c r="J62" s="277">
        <v>42632</v>
      </c>
      <c r="K62" s="277">
        <v>42636</v>
      </c>
      <c r="L62" s="277">
        <v>42650</v>
      </c>
      <c r="M62" s="292">
        <v>0</v>
      </c>
      <c r="N62" s="281">
        <v>9093</v>
      </c>
      <c r="O62" s="236">
        <f>'Profits 2016'!T5272</f>
        <v>0</v>
      </c>
      <c r="P62" s="284">
        <f>'Profits 2016'!U5272</f>
        <v>0</v>
      </c>
      <c r="Q62" s="284" t="s">
        <v>15741</v>
      </c>
      <c r="R62" s="276">
        <v>206.73</v>
      </c>
      <c r="S62" s="275">
        <v>3744167</v>
      </c>
      <c r="T62" s="279">
        <v>42632</v>
      </c>
      <c r="U62" s="279">
        <v>42636</v>
      </c>
      <c r="V62" s="279">
        <v>42650</v>
      </c>
      <c r="W62" s="293">
        <v>0</v>
      </c>
      <c r="X62" s="236">
        <v>9093</v>
      </c>
      <c r="AF62" s="276">
        <f t="shared" ref="AF62" si="4">G62+H62+R62+Y62</f>
        <v>517.29999999999995</v>
      </c>
      <c r="AG62" s="276">
        <f t="shared" si="1"/>
        <v>206.73</v>
      </c>
      <c r="AH62" s="276">
        <f t="shared" si="2"/>
        <v>2985.72</v>
      </c>
      <c r="AI62" s="283">
        <f t="shared" si="3"/>
        <v>5.7717378697081001</v>
      </c>
    </row>
    <row r="63" spans="1:35" x14ac:dyDescent="0.25">
      <c r="A63" s="275">
        <f>'Profits 2016'!A5273</f>
        <v>3004147</v>
      </c>
      <c r="B63" s="279">
        <f>'Profits 2016'!B5273</f>
        <v>42619</v>
      </c>
      <c r="C63" s="276">
        <f>'Profits 2016'!H5273</f>
        <v>370</v>
      </c>
      <c r="D63" s="280">
        <f>'Profits 2016'!K5273</f>
        <v>370</v>
      </c>
      <c r="E63" s="276">
        <f>'Profits 2016'!L5273</f>
        <v>313.02</v>
      </c>
      <c r="F63" s="275" t="str">
        <f>'Profits 2016'!P5273</f>
        <v>AFC</v>
      </c>
      <c r="G63" s="292">
        <f>'Profits 2016'!N5273-'Profits 2016'!M5273</f>
        <v>313.02</v>
      </c>
      <c r="H63" s="292">
        <v>0</v>
      </c>
      <c r="I63" s="275" t="s">
        <v>15743</v>
      </c>
      <c r="J63" s="277">
        <v>42620</v>
      </c>
      <c r="K63" s="277">
        <v>42629</v>
      </c>
      <c r="L63" s="277">
        <v>42657</v>
      </c>
      <c r="M63" s="292">
        <v>306.76</v>
      </c>
      <c r="N63" s="281">
        <v>9156</v>
      </c>
      <c r="O63" s="236" t="str">
        <f>'Profits 2016'!T5273</f>
        <v>UPS</v>
      </c>
      <c r="P63" s="284" t="str">
        <f>'Profits 2016'!U5273</f>
        <v>1Z081179037026795</v>
      </c>
      <c r="R63" s="276">
        <v>0</v>
      </c>
      <c r="AF63" s="276">
        <f t="shared" si="0"/>
        <v>313.02</v>
      </c>
      <c r="AG63" s="276">
        <f t="shared" si="1"/>
        <v>306.76</v>
      </c>
      <c r="AH63" s="276">
        <f t="shared" si="2"/>
        <v>63.240000000000009</v>
      </c>
      <c r="AI63" s="283">
        <f t="shared" si="3"/>
        <v>0.2020318190530957</v>
      </c>
    </row>
    <row r="64" spans="1:35" ht="30" x14ac:dyDescent="0.25">
      <c r="A64" s="275">
        <f>'Profits 2016'!A5274</f>
        <v>3004148</v>
      </c>
      <c r="B64" s="279">
        <f>'Profits 2016'!B5274</f>
        <v>42619</v>
      </c>
      <c r="C64" s="276">
        <f>'Profits 2016'!H5274</f>
        <v>2232</v>
      </c>
      <c r="D64" s="280">
        <f>'Profits 2016'!K5274</f>
        <v>2189.2919999999999</v>
      </c>
      <c r="E64" s="276">
        <f>'Profits 2016'!L5274</f>
        <v>2200</v>
      </c>
      <c r="F64" s="275" t="str">
        <f>'Profits 2016'!P5274</f>
        <v>Priority</v>
      </c>
      <c r="G64" s="292">
        <f>'Profits 2016'!N5274-'Profits 2016'!M5274</f>
        <v>440</v>
      </c>
      <c r="H64" s="292">
        <v>0</v>
      </c>
      <c r="I64" s="275">
        <v>1052920</v>
      </c>
      <c r="J64" s="277">
        <v>42620</v>
      </c>
      <c r="K64" s="277">
        <v>42627</v>
      </c>
      <c r="L64" s="277">
        <v>42650</v>
      </c>
      <c r="M64" s="292">
        <v>1130.28</v>
      </c>
      <c r="N64" s="281">
        <v>9112</v>
      </c>
      <c r="O64" s="236" t="str">
        <f>'Profits 2016'!T5274</f>
        <v>FEDEX GROUND</v>
      </c>
      <c r="P64" s="284">
        <f>'Profits 2016'!U5274</f>
        <v>703688859945</v>
      </c>
      <c r="Q64" s="284" t="s">
        <v>15740</v>
      </c>
      <c r="R64" s="276">
        <v>75.64</v>
      </c>
      <c r="S64" s="275">
        <v>1052920</v>
      </c>
      <c r="T64" s="277">
        <v>42620</v>
      </c>
      <c r="U64" s="277">
        <v>42627</v>
      </c>
      <c r="V64" s="279">
        <v>42650</v>
      </c>
      <c r="W64" s="293">
        <v>75.64</v>
      </c>
      <c r="X64" s="236">
        <v>9112</v>
      </c>
      <c r="AF64" s="276">
        <f t="shared" si="0"/>
        <v>515.64</v>
      </c>
      <c r="AG64" s="276">
        <f t="shared" si="1"/>
        <v>1205.92</v>
      </c>
      <c r="AH64" s="276">
        <f t="shared" si="2"/>
        <v>983.37199999999984</v>
      </c>
      <c r="AI64" s="283">
        <f t="shared" si="3"/>
        <v>1.9070902179815372</v>
      </c>
    </row>
    <row r="65" spans="1:35" ht="30" x14ac:dyDescent="0.25">
      <c r="A65" s="275">
        <f>'Profits 2016'!A5275</f>
        <v>0</v>
      </c>
      <c r="B65" s="279">
        <f>'Profits 2016'!B5275</f>
        <v>0</v>
      </c>
      <c r="C65" s="276">
        <f>'Profits 2016'!H5275</f>
        <v>0</v>
      </c>
      <c r="D65" s="280">
        <f>'Profits 2016'!K5275</f>
        <v>0</v>
      </c>
      <c r="E65" s="276">
        <f>'Profits 2016'!L5275</f>
        <v>1750</v>
      </c>
      <c r="F65" s="275" t="str">
        <f>'Profits 2016'!P5275</f>
        <v>Priority</v>
      </c>
      <c r="G65" s="292">
        <f>'Profits 2016'!N5275-'Profits 2016'!M5275</f>
        <v>87.5</v>
      </c>
      <c r="H65" s="292">
        <v>0</v>
      </c>
      <c r="I65" s="275">
        <v>1052920</v>
      </c>
      <c r="J65" s="277">
        <v>42620</v>
      </c>
      <c r="K65" s="277">
        <v>42627</v>
      </c>
      <c r="L65" s="277">
        <v>42650</v>
      </c>
      <c r="M65" s="292">
        <v>0</v>
      </c>
      <c r="N65" s="281">
        <v>9112</v>
      </c>
      <c r="O65" s="236" t="str">
        <f>'Profits 2016'!T5275</f>
        <v>FEDEX GROUND</v>
      </c>
      <c r="P65" s="284">
        <f>'Profits 2016'!U5275</f>
        <v>703688859956</v>
      </c>
      <c r="Q65" s="284" t="s">
        <v>15740</v>
      </c>
      <c r="R65" s="276">
        <v>0</v>
      </c>
      <c r="S65" s="275">
        <v>1052920</v>
      </c>
      <c r="T65" s="277">
        <v>42620</v>
      </c>
      <c r="U65" s="277">
        <v>42627</v>
      </c>
      <c r="V65" s="279">
        <v>42650</v>
      </c>
      <c r="W65" s="293">
        <v>0</v>
      </c>
      <c r="X65" s="236">
        <v>9112</v>
      </c>
      <c r="AF65" s="276">
        <f t="shared" si="0"/>
        <v>87.5</v>
      </c>
      <c r="AG65" s="276">
        <f t="shared" si="1"/>
        <v>0</v>
      </c>
      <c r="AH65" s="276">
        <f t="shared" si="2"/>
        <v>0</v>
      </c>
      <c r="AI65" s="283">
        <f t="shared" si="3"/>
        <v>0</v>
      </c>
    </row>
    <row r="66" spans="1:35" ht="30" x14ac:dyDescent="0.25">
      <c r="A66" s="275">
        <f>'Profits 2016'!A5276</f>
        <v>0</v>
      </c>
      <c r="B66" s="279">
        <f>'Profits 2016'!B5276</f>
        <v>0</v>
      </c>
      <c r="C66" s="276">
        <f>'Profits 2016'!H5276</f>
        <v>0</v>
      </c>
      <c r="D66" s="280">
        <f>'Profits 2016'!K5276</f>
        <v>0</v>
      </c>
      <c r="E66" s="276">
        <f>'Profits 2016'!L5276</f>
        <v>900</v>
      </c>
      <c r="F66" s="275" t="str">
        <f>'Profits 2016'!P5276</f>
        <v>Priority</v>
      </c>
      <c r="G66" s="292">
        <f>'Profits 2016'!N5276-'Profits 2016'!M5276</f>
        <v>180</v>
      </c>
      <c r="H66" s="292">
        <v>0</v>
      </c>
      <c r="I66" s="275">
        <v>1052920</v>
      </c>
      <c r="J66" s="277">
        <v>42620</v>
      </c>
      <c r="K66" s="277">
        <v>42627</v>
      </c>
      <c r="L66" s="277">
        <v>42650</v>
      </c>
      <c r="M66" s="292">
        <v>0</v>
      </c>
      <c r="N66" s="281">
        <v>9112</v>
      </c>
      <c r="O66" s="236" t="str">
        <f>'Profits 2016'!T5276</f>
        <v>FEDEX GROUND</v>
      </c>
      <c r="P66" s="284">
        <f>'Profits 2016'!U5276</f>
        <v>703688859967</v>
      </c>
      <c r="Q66" s="284" t="s">
        <v>15740</v>
      </c>
      <c r="R66" s="276">
        <v>0</v>
      </c>
      <c r="S66" s="275">
        <v>1052920</v>
      </c>
      <c r="T66" s="277">
        <v>42620</v>
      </c>
      <c r="U66" s="277">
        <v>42627</v>
      </c>
      <c r="V66" s="279">
        <v>42650</v>
      </c>
      <c r="W66" s="293">
        <v>0</v>
      </c>
      <c r="X66" s="236">
        <v>9112</v>
      </c>
      <c r="AF66" s="276">
        <f t="shared" si="0"/>
        <v>180</v>
      </c>
      <c r="AG66" s="276">
        <f t="shared" si="1"/>
        <v>0</v>
      </c>
      <c r="AH66" s="276">
        <f t="shared" si="2"/>
        <v>0</v>
      </c>
      <c r="AI66" s="283">
        <f t="shared" si="3"/>
        <v>0</v>
      </c>
    </row>
    <row r="67" spans="1:35" ht="30" x14ac:dyDescent="0.25">
      <c r="A67" s="275">
        <f>'Profits 2016'!A5277</f>
        <v>0</v>
      </c>
      <c r="B67" s="279">
        <f>'Profits 2016'!B5277</f>
        <v>0</v>
      </c>
      <c r="C67" s="276">
        <f>'Profits 2016'!H5277</f>
        <v>0</v>
      </c>
      <c r="D67" s="280">
        <f>'Profits 2016'!K5277</f>
        <v>0</v>
      </c>
      <c r="E67" s="276">
        <f>'Profits 2016'!L5277</f>
        <v>960</v>
      </c>
      <c r="F67" s="275" t="str">
        <f>'Profits 2016'!P5277</f>
        <v>Priority</v>
      </c>
      <c r="G67" s="292">
        <f>'Profits 2016'!N5277-'Profits 2016'!M5277</f>
        <v>192</v>
      </c>
      <c r="H67" s="292">
        <v>0</v>
      </c>
      <c r="I67" s="275">
        <v>1052820</v>
      </c>
      <c r="J67" s="277">
        <v>42619</v>
      </c>
      <c r="K67" s="277">
        <v>42627</v>
      </c>
      <c r="L67" s="277">
        <v>42643</v>
      </c>
      <c r="M67" s="292">
        <v>580.61</v>
      </c>
      <c r="N67" s="281">
        <v>9041</v>
      </c>
      <c r="O67" s="236" t="str">
        <f>'Profits 2016'!T5277</f>
        <v>FEDEX GROUND</v>
      </c>
      <c r="P67" s="284" t="str">
        <f>'Profits 2016'!U5277</f>
        <v xml:space="preserve">	700044011392</v>
      </c>
      <c r="Q67" s="284" t="s">
        <v>15740</v>
      </c>
      <c r="R67" s="276">
        <v>44.11</v>
      </c>
      <c r="S67" s="275">
        <v>1052820</v>
      </c>
      <c r="T67" s="277">
        <v>42619</v>
      </c>
      <c r="U67" s="277">
        <v>42627</v>
      </c>
      <c r="AF67" s="276">
        <f t="shared" si="0"/>
        <v>236.11</v>
      </c>
      <c r="AG67" s="276">
        <f t="shared" ref="AG67:AG130" si="5">M67+R67+Y67</f>
        <v>624.72</v>
      </c>
      <c r="AH67" s="276">
        <f t="shared" ref="AH67:AH130" si="6">D67-AG67</f>
        <v>-624.72</v>
      </c>
      <c r="AI67" s="283">
        <f t="shared" ref="AI67:AI130" si="7">AH67/AF67</f>
        <v>-2.6458853924018464</v>
      </c>
    </row>
    <row r="68" spans="1:35" ht="30" x14ac:dyDescent="0.25">
      <c r="A68" s="275">
        <f>'Profits 2016'!A5278</f>
        <v>0</v>
      </c>
      <c r="B68" s="279">
        <f>'Profits 2016'!B5278</f>
        <v>0</v>
      </c>
      <c r="C68" s="276">
        <f>'Profits 2016'!H5278</f>
        <v>0</v>
      </c>
      <c r="D68" s="280">
        <f>'Profits 2016'!K5278</f>
        <v>0</v>
      </c>
      <c r="E68" s="276">
        <f>'Profits 2016'!L5278</f>
        <v>600</v>
      </c>
      <c r="F68" s="275" t="str">
        <f>'Profits 2016'!P5278</f>
        <v>Priority</v>
      </c>
      <c r="G68" s="292">
        <f>'Profits 2016'!N5278-'Profits 2016'!M5278</f>
        <v>119.99999999999999</v>
      </c>
      <c r="H68" s="292">
        <v>0</v>
      </c>
      <c r="I68" s="275">
        <v>1053007</v>
      </c>
      <c r="J68" s="277">
        <v>42620</v>
      </c>
      <c r="K68" s="277">
        <v>42627</v>
      </c>
      <c r="L68" s="277">
        <v>42650</v>
      </c>
      <c r="M68" s="292">
        <v>0</v>
      </c>
      <c r="N68" s="281">
        <v>9112</v>
      </c>
      <c r="O68" s="236" t="str">
        <f>'Profits 2016'!T5278</f>
        <v>FEDEX GROUND</v>
      </c>
      <c r="P68" s="284">
        <f>'Profits 2016'!U5278</f>
        <v>609851522130</v>
      </c>
      <c r="Q68" s="284" t="s">
        <v>15740</v>
      </c>
      <c r="R68" s="276">
        <v>30.51</v>
      </c>
      <c r="S68" s="275">
        <v>1053007</v>
      </c>
      <c r="T68" s="277">
        <v>42620</v>
      </c>
      <c r="U68" s="277">
        <v>42627</v>
      </c>
      <c r="V68" s="279">
        <v>42650</v>
      </c>
      <c r="W68" s="293">
        <v>30.51</v>
      </c>
      <c r="X68" s="236">
        <v>9112</v>
      </c>
      <c r="AF68" s="276">
        <f t="shared" ref="AF68:AF131" si="8">G68+H68+R68+Y68</f>
        <v>150.51</v>
      </c>
      <c r="AG68" s="276">
        <f t="shared" si="5"/>
        <v>30.51</v>
      </c>
      <c r="AH68" s="276">
        <f t="shared" si="6"/>
        <v>-30.51</v>
      </c>
      <c r="AI68" s="283">
        <f t="shared" si="7"/>
        <v>-0.2027107833366554</v>
      </c>
    </row>
    <row r="69" spans="1:35" ht="30" x14ac:dyDescent="0.25">
      <c r="A69" s="275">
        <f>'Profits 2016'!A5279</f>
        <v>0</v>
      </c>
      <c r="B69" s="279">
        <f>'Profits 2016'!B5279</f>
        <v>0</v>
      </c>
      <c r="C69" s="276">
        <f>'Profits 2016'!H5279</f>
        <v>0</v>
      </c>
      <c r="D69" s="280">
        <f>'Profits 2016'!K5279</f>
        <v>0</v>
      </c>
      <c r="E69" s="276">
        <f>'Profits 2016'!L5279</f>
        <v>330</v>
      </c>
      <c r="F69" s="275" t="str">
        <f>'Profits 2016'!P5279</f>
        <v>Priority</v>
      </c>
      <c r="G69" s="292">
        <f>'Profits 2016'!N5279-'Profits 2016'!M5279</f>
        <v>165</v>
      </c>
      <c r="H69" s="292">
        <v>0</v>
      </c>
      <c r="I69" s="275">
        <v>1052821</v>
      </c>
      <c r="J69" s="277">
        <v>42619</v>
      </c>
      <c r="K69" s="277">
        <v>42627</v>
      </c>
      <c r="L69" s="277">
        <v>42643</v>
      </c>
      <c r="M69" s="292">
        <v>188.65</v>
      </c>
      <c r="N69" s="281">
        <v>9042</v>
      </c>
      <c r="O69" s="236" t="str">
        <f>'Profits 2016'!T5279</f>
        <v>FEDEX GROUND</v>
      </c>
      <c r="P69" s="284" t="str">
        <f>'Profits 2016'!U5279</f>
        <v xml:space="preserve">	680993425445</v>
      </c>
      <c r="Q69" s="284" t="s">
        <v>15740</v>
      </c>
      <c r="R69" s="276">
        <v>23.65</v>
      </c>
      <c r="S69" s="275">
        <v>1052821</v>
      </c>
      <c r="T69" s="279">
        <v>42619</v>
      </c>
      <c r="U69" s="279">
        <v>42627</v>
      </c>
      <c r="AF69" s="276">
        <f t="shared" si="8"/>
        <v>188.65</v>
      </c>
      <c r="AG69" s="276">
        <f t="shared" si="5"/>
        <v>212.3</v>
      </c>
      <c r="AH69" s="276">
        <f t="shared" si="6"/>
        <v>-212.3</v>
      </c>
      <c r="AI69" s="283">
        <f t="shared" si="7"/>
        <v>-1.1253644314868805</v>
      </c>
    </row>
    <row r="70" spans="1:35" ht="30" x14ac:dyDescent="0.25">
      <c r="A70" s="275">
        <f>'Profits 2016'!A5280</f>
        <v>0</v>
      </c>
      <c r="B70" s="279">
        <f>'Profits 2016'!B5280</f>
        <v>0</v>
      </c>
      <c r="C70" s="276">
        <f>'Profits 2016'!H5280</f>
        <v>0</v>
      </c>
      <c r="D70" s="280">
        <f>'Profits 2016'!K5280</f>
        <v>0</v>
      </c>
      <c r="E70" s="276">
        <f>'Profits 2016'!L5280</f>
        <v>205</v>
      </c>
      <c r="F70" s="275" t="str">
        <f>'Profits 2016'!P5280</f>
        <v>Priority</v>
      </c>
      <c r="G70" s="292">
        <f>'Profits 2016'!N5280-'Profits 2016'!M5280</f>
        <v>102.5</v>
      </c>
      <c r="H70" s="292">
        <v>0</v>
      </c>
      <c r="I70" s="275">
        <v>1052820</v>
      </c>
      <c r="J70" s="277">
        <v>42619</v>
      </c>
      <c r="K70" s="277">
        <v>42627</v>
      </c>
      <c r="L70" s="277">
        <v>42643</v>
      </c>
      <c r="M70" s="292">
        <v>0</v>
      </c>
      <c r="N70" s="281">
        <v>9041</v>
      </c>
      <c r="O70" s="236" t="str">
        <f>'Profits 2016'!T5280</f>
        <v>FEDEX GROUND</v>
      </c>
      <c r="P70" s="284">
        <f>'Profits 2016'!U5280</f>
        <v>700044011407</v>
      </c>
      <c r="Q70" s="284" t="s">
        <v>15740</v>
      </c>
      <c r="R70" s="276">
        <v>0</v>
      </c>
      <c r="S70" s="275">
        <v>1052820</v>
      </c>
      <c r="T70" s="277">
        <v>42619</v>
      </c>
      <c r="U70" s="277">
        <v>42627</v>
      </c>
      <c r="AF70" s="276">
        <f t="shared" si="8"/>
        <v>102.5</v>
      </c>
      <c r="AG70" s="276">
        <f t="shared" si="5"/>
        <v>0</v>
      </c>
      <c r="AH70" s="276">
        <f t="shared" si="6"/>
        <v>0</v>
      </c>
      <c r="AI70" s="283">
        <f t="shared" si="7"/>
        <v>0</v>
      </c>
    </row>
    <row r="71" spans="1:35" ht="30" x14ac:dyDescent="0.25">
      <c r="A71" s="275">
        <f>'Profits 2016'!A5281</f>
        <v>0</v>
      </c>
      <c r="B71" s="279">
        <f>'Profits 2016'!B5281</f>
        <v>0</v>
      </c>
      <c r="C71" s="276">
        <f>'Profits 2016'!H5281</f>
        <v>0</v>
      </c>
      <c r="D71" s="280">
        <f>'Profits 2016'!K5281</f>
        <v>0</v>
      </c>
      <c r="E71" s="276">
        <f>'Profits 2016'!L5281</f>
        <v>140</v>
      </c>
      <c r="F71" s="275" t="str">
        <f>'Profits 2016'!P5281</f>
        <v>Priority</v>
      </c>
      <c r="G71" s="292">
        <f>'Profits 2016'!N5281-'Profits 2016'!M5281</f>
        <v>42</v>
      </c>
      <c r="H71" s="292">
        <v>0</v>
      </c>
      <c r="I71" s="275">
        <v>1052820</v>
      </c>
      <c r="J71" s="277">
        <v>42619</v>
      </c>
      <c r="K71" s="277">
        <v>42627</v>
      </c>
      <c r="L71" s="277">
        <v>42643</v>
      </c>
      <c r="M71" s="292">
        <v>0</v>
      </c>
      <c r="N71" s="281">
        <v>9041</v>
      </c>
      <c r="O71" s="236" t="str">
        <f>'Profits 2016'!T5281</f>
        <v>FEDEX GROUND</v>
      </c>
      <c r="P71" s="284">
        <f>'Profits 2016'!U5281</f>
        <v>700044011418</v>
      </c>
      <c r="Q71" s="284" t="s">
        <v>15740</v>
      </c>
      <c r="R71" s="276">
        <v>0</v>
      </c>
      <c r="S71" s="275">
        <v>1052820</v>
      </c>
      <c r="T71" s="277">
        <v>42619</v>
      </c>
      <c r="U71" s="277">
        <v>42627</v>
      </c>
      <c r="AF71" s="276">
        <f t="shared" si="8"/>
        <v>42</v>
      </c>
      <c r="AG71" s="276">
        <f t="shared" si="5"/>
        <v>0</v>
      </c>
      <c r="AH71" s="276">
        <f t="shared" si="6"/>
        <v>0</v>
      </c>
      <c r="AI71" s="283">
        <f t="shared" si="7"/>
        <v>0</v>
      </c>
    </row>
    <row r="72" spans="1:35" ht="30" x14ac:dyDescent="0.25">
      <c r="A72" s="275">
        <f>'Profits 2016'!A5282</f>
        <v>0</v>
      </c>
      <c r="B72" s="279">
        <f>'Profits 2016'!B5282</f>
        <v>0</v>
      </c>
      <c r="C72" s="276">
        <f>'Profits 2016'!H5282</f>
        <v>0</v>
      </c>
      <c r="D72" s="280">
        <f>'Profits 2016'!K5282</f>
        <v>0</v>
      </c>
      <c r="E72" s="276">
        <f>'Profits 2016'!L5282</f>
        <v>1000</v>
      </c>
      <c r="F72" s="275" t="str">
        <f>'Profits 2016'!P5282</f>
        <v>Priority</v>
      </c>
      <c r="G72" s="292">
        <f>'Profits 2016'!N5282-'Profits 2016'!M5282</f>
        <v>200</v>
      </c>
      <c r="H72" s="292">
        <v>0</v>
      </c>
      <c r="I72" s="275">
        <v>1052820</v>
      </c>
      <c r="J72" s="277">
        <v>42619</v>
      </c>
      <c r="K72" s="277">
        <v>42627</v>
      </c>
      <c r="L72" s="277">
        <v>42643</v>
      </c>
      <c r="M72" s="292">
        <v>0</v>
      </c>
      <c r="N72" s="281">
        <v>9041</v>
      </c>
      <c r="O72" s="236" t="str">
        <f>'Profits 2016'!T5282</f>
        <v>FEDEX GROUND</v>
      </c>
      <c r="P72" s="284" t="str">
        <f>'Profits 2016'!U5282</f>
        <v xml:space="preserve">	700044011429</v>
      </c>
      <c r="Q72" s="284" t="s">
        <v>15740</v>
      </c>
      <c r="R72" s="276">
        <v>0</v>
      </c>
      <c r="S72" s="275">
        <v>1052820</v>
      </c>
      <c r="T72" s="277">
        <v>42619</v>
      </c>
      <c r="U72" s="277">
        <v>42627</v>
      </c>
      <c r="AF72" s="276">
        <f t="shared" si="8"/>
        <v>200</v>
      </c>
      <c r="AG72" s="276">
        <f t="shared" si="5"/>
        <v>0</v>
      </c>
      <c r="AH72" s="276">
        <f t="shared" si="6"/>
        <v>0</v>
      </c>
      <c r="AI72" s="283">
        <f t="shared" si="7"/>
        <v>0</v>
      </c>
    </row>
    <row r="73" spans="1:35" x14ac:dyDescent="0.25">
      <c r="A73" s="275">
        <f>'Profits 2016'!A5283</f>
        <v>3004149</v>
      </c>
      <c r="B73" s="279">
        <f>'Profits 2016'!B5283</f>
        <v>42619</v>
      </c>
      <c r="C73" s="276">
        <f>'Profits 2016'!H5283</f>
        <v>546</v>
      </c>
      <c r="D73" s="280">
        <f>'Profits 2016'!K5283</f>
        <v>486.18600000000004</v>
      </c>
      <c r="E73" s="276">
        <f>'Profits 2016'!L5283</f>
        <v>577</v>
      </c>
      <c r="F73" s="275" t="str">
        <f>'Profits 2016'!P5283</f>
        <v>Nassau</v>
      </c>
      <c r="G73" s="292">
        <f>'Profits 2016'!N5283-'Profits 2016'!M5283</f>
        <v>288.5</v>
      </c>
      <c r="H73" s="319"/>
      <c r="I73" s="320"/>
      <c r="J73" s="321"/>
      <c r="K73" s="321"/>
      <c r="L73" s="321"/>
      <c r="M73" s="319"/>
      <c r="N73" s="322"/>
      <c r="O73" s="236" t="str">
        <f>'Profits 2016'!T5283</f>
        <v>R&amp;L/DLS</v>
      </c>
      <c r="P73" s="284" t="str">
        <f>'Profits 2016'!U5283</f>
        <v>73048701-6</v>
      </c>
      <c r="Q73" s="284" t="s">
        <v>15742</v>
      </c>
      <c r="R73" s="276">
        <v>191.49</v>
      </c>
      <c r="S73" s="275">
        <v>0.63671168300000003</v>
      </c>
      <c r="T73" s="279">
        <v>42627</v>
      </c>
      <c r="U73" s="279">
        <v>42632</v>
      </c>
      <c r="V73" s="279">
        <v>42636</v>
      </c>
      <c r="W73" s="293">
        <v>191.49</v>
      </c>
      <c r="X73" s="236">
        <v>9011</v>
      </c>
      <c r="AF73" s="276">
        <f t="shared" si="8"/>
        <v>479.99</v>
      </c>
      <c r="AG73" s="276">
        <f t="shared" si="5"/>
        <v>191.49</v>
      </c>
      <c r="AH73" s="276">
        <f t="shared" si="6"/>
        <v>294.69600000000003</v>
      </c>
      <c r="AI73" s="283">
        <f t="shared" si="7"/>
        <v>0.61396279089147698</v>
      </c>
    </row>
    <row r="74" spans="1:35" ht="30" x14ac:dyDescent="0.25">
      <c r="A74" s="275">
        <f>'Profits 2016'!A5284</f>
        <v>3004150</v>
      </c>
      <c r="B74" s="279">
        <f>'Profits 2016'!B5284</f>
        <v>42619</v>
      </c>
      <c r="C74" s="276">
        <f>'Profits 2016'!H5284</f>
        <v>333.9</v>
      </c>
      <c r="D74" s="280">
        <f>'Profits 2016'!K5284</f>
        <v>297.20490000000001</v>
      </c>
      <c r="E74" s="276">
        <f>'Profits 2016'!L5284</f>
        <v>409</v>
      </c>
      <c r="F74" s="275" t="str">
        <f>'Profits 2016'!P5284</f>
        <v>Nassau</v>
      </c>
      <c r="G74" s="292">
        <f>'Profits 2016'!N5284-'Profits 2016'!M5284</f>
        <v>102.24999999999999</v>
      </c>
      <c r="H74" s="319"/>
      <c r="I74" s="320"/>
      <c r="J74" s="321"/>
      <c r="K74" s="321"/>
      <c r="L74" s="321"/>
      <c r="M74" s="319"/>
      <c r="N74" s="322"/>
      <c r="O74" s="236" t="str">
        <f>'Profits 2016'!T5284</f>
        <v>FEDEX GROUND</v>
      </c>
      <c r="P74" s="284">
        <f>'Profits 2016'!U5284</f>
        <v>680483359814</v>
      </c>
      <c r="Q74" s="284" t="s">
        <v>314</v>
      </c>
      <c r="R74" s="276">
        <v>44.7</v>
      </c>
      <c r="S74" s="275" t="s">
        <v>15739</v>
      </c>
      <c r="T74" s="279">
        <v>42639</v>
      </c>
      <c r="U74" s="279">
        <v>42643</v>
      </c>
      <c r="V74" s="279">
        <v>42657</v>
      </c>
      <c r="W74" s="293">
        <v>0</v>
      </c>
      <c r="X74" s="236">
        <v>9175</v>
      </c>
      <c r="AF74" s="276">
        <f t="shared" si="8"/>
        <v>146.94999999999999</v>
      </c>
      <c r="AG74" s="276">
        <f t="shared" si="5"/>
        <v>44.7</v>
      </c>
      <c r="AH74" s="276">
        <f t="shared" si="6"/>
        <v>252.50490000000002</v>
      </c>
      <c r="AI74" s="283">
        <f t="shared" si="7"/>
        <v>1.7183048656005446</v>
      </c>
    </row>
    <row r="75" spans="1:35" x14ac:dyDescent="0.25">
      <c r="A75" s="275">
        <f>'Profits 2016'!A5285</f>
        <v>0</v>
      </c>
      <c r="B75" s="279">
        <f>'Profits 2016'!B5285</f>
        <v>0</v>
      </c>
      <c r="C75" s="276">
        <f>'Profits 2016'!H5285</f>
        <v>0</v>
      </c>
      <c r="D75" s="280">
        <f>'Profits 2016'!K5285</f>
        <v>0</v>
      </c>
      <c r="E75" s="276">
        <f>'Profits 2016'!L5285</f>
        <v>205</v>
      </c>
      <c r="F75" s="275" t="str">
        <f>'Profits 2016'!P5285</f>
        <v>Nassau</v>
      </c>
      <c r="G75" s="292">
        <f>'Profits 2016'!N5285-'Profits 2016'!M5285</f>
        <v>51.25</v>
      </c>
      <c r="H75" s="319"/>
      <c r="I75" s="320"/>
      <c r="J75" s="321"/>
      <c r="K75" s="321"/>
      <c r="L75" s="321"/>
      <c r="M75" s="319"/>
      <c r="N75" s="322"/>
      <c r="O75" s="236">
        <f>'Profits 2016'!T5285</f>
        <v>0</v>
      </c>
      <c r="P75" s="284">
        <f>'Profits 2016'!U5285</f>
        <v>680483359825</v>
      </c>
      <c r="Q75" s="284" t="s">
        <v>314</v>
      </c>
      <c r="R75" s="276">
        <v>31.22</v>
      </c>
      <c r="S75" s="275" t="s">
        <v>15739</v>
      </c>
      <c r="T75" s="279">
        <v>42639</v>
      </c>
      <c r="U75" s="279">
        <v>42643</v>
      </c>
      <c r="V75" s="279">
        <v>42657</v>
      </c>
      <c r="W75" s="293">
        <v>0</v>
      </c>
      <c r="X75" s="236">
        <v>9175</v>
      </c>
      <c r="AF75" s="276">
        <f t="shared" si="8"/>
        <v>82.47</v>
      </c>
      <c r="AG75" s="276">
        <f t="shared" si="5"/>
        <v>31.22</v>
      </c>
      <c r="AH75" s="276">
        <f t="shared" si="6"/>
        <v>-31.22</v>
      </c>
      <c r="AI75" s="283">
        <f t="shared" si="7"/>
        <v>-0.37856190129744149</v>
      </c>
    </row>
    <row r="76" spans="1:35" ht="30" x14ac:dyDescent="0.25">
      <c r="A76" s="275">
        <f>'Profits 2016'!A5286</f>
        <v>3004151</v>
      </c>
      <c r="B76" s="279">
        <f>'Profits 2016'!B5286</f>
        <v>42619</v>
      </c>
      <c r="C76" s="276">
        <f>'Profits 2016'!H5286</f>
        <v>551</v>
      </c>
      <c r="D76" s="280">
        <f>'Profits 2016'!K5286</f>
        <v>490.64100000000002</v>
      </c>
      <c r="E76" s="276">
        <f>'Profits 2016'!L5286</f>
        <v>650</v>
      </c>
      <c r="F76" s="275" t="str">
        <f>'Profits 2016'!P5286</f>
        <v>A-Z</v>
      </c>
      <c r="G76" s="292">
        <f>'Profits 2016'!N5286-'Profits 2016'!M5286</f>
        <v>325</v>
      </c>
      <c r="H76" s="292">
        <v>0</v>
      </c>
      <c r="I76" s="275">
        <v>399666</v>
      </c>
      <c r="J76" s="277">
        <v>42620</v>
      </c>
      <c r="K76" s="277">
        <v>42627</v>
      </c>
      <c r="L76" s="277">
        <v>42664</v>
      </c>
      <c r="M76" s="292">
        <v>406.45</v>
      </c>
      <c r="N76" s="281">
        <v>9206</v>
      </c>
      <c r="O76" s="236" t="str">
        <f>'Profits 2016'!T5286</f>
        <v>FEDEX GROUND</v>
      </c>
      <c r="P76" s="284" t="str">
        <f>'Profits 2016'!U5286</f>
        <v>705687152098</v>
      </c>
      <c r="Q76" s="284" t="s">
        <v>235</v>
      </c>
      <c r="R76" s="276">
        <v>81.45</v>
      </c>
      <c r="S76" s="275">
        <v>399666</v>
      </c>
      <c r="T76" s="277">
        <v>42620</v>
      </c>
      <c r="U76" s="277">
        <v>42627</v>
      </c>
      <c r="AF76" s="276">
        <f t="shared" si="8"/>
        <v>406.45</v>
      </c>
      <c r="AG76" s="276">
        <f t="shared" si="5"/>
        <v>487.9</v>
      </c>
      <c r="AH76" s="276">
        <f t="shared" si="6"/>
        <v>2.7410000000000423</v>
      </c>
      <c r="AI76" s="283">
        <f t="shared" si="7"/>
        <v>6.7437569196704206E-3</v>
      </c>
    </row>
    <row r="77" spans="1:35" ht="30" x14ac:dyDescent="0.25">
      <c r="A77" s="275">
        <f>'Profits 2016'!A5287</f>
        <v>3004152</v>
      </c>
      <c r="B77" s="279">
        <f>'Profits 2016'!B5287</f>
        <v>42619</v>
      </c>
      <c r="C77" s="276">
        <f>'Profits 2016'!H5287</f>
        <v>129.47</v>
      </c>
      <c r="D77" s="280">
        <f>'Profits 2016'!K5287</f>
        <v>115.05777</v>
      </c>
      <c r="E77" s="276">
        <f>'Profits 2016'!L5287</f>
        <v>235</v>
      </c>
      <c r="F77" s="275" t="str">
        <f>'Profits 2016'!P5287</f>
        <v>Nassau</v>
      </c>
      <c r="G77" s="292">
        <f>'Profits 2016'!N5287-'Profits 2016'!M5287</f>
        <v>35.25</v>
      </c>
      <c r="H77" s="319"/>
      <c r="I77" s="320"/>
      <c r="J77" s="321"/>
      <c r="K77" s="321"/>
      <c r="L77" s="321"/>
      <c r="M77" s="319"/>
      <c r="N77" s="322"/>
      <c r="O77" s="236" t="str">
        <f>'Profits 2016'!T5287</f>
        <v>FEDEX GROUND</v>
      </c>
      <c r="P77" s="284">
        <f>'Profits 2016'!U5287</f>
        <v>702723287455</v>
      </c>
      <c r="Q77" s="284" t="s">
        <v>314</v>
      </c>
      <c r="R77" s="276">
        <v>17.149999999999999</v>
      </c>
      <c r="S77" s="275" t="s">
        <v>15739</v>
      </c>
      <c r="T77" s="279">
        <v>42639</v>
      </c>
      <c r="U77" s="279">
        <v>42646</v>
      </c>
      <c r="V77" s="279">
        <v>42657</v>
      </c>
      <c r="W77" s="293">
        <v>0</v>
      </c>
      <c r="X77" s="236">
        <v>9175</v>
      </c>
      <c r="AF77" s="276">
        <f t="shared" si="8"/>
        <v>52.4</v>
      </c>
      <c r="AG77" s="276">
        <f t="shared" si="5"/>
        <v>17.149999999999999</v>
      </c>
      <c r="AH77" s="276">
        <f t="shared" si="6"/>
        <v>97.907769999999999</v>
      </c>
      <c r="AI77" s="283">
        <f t="shared" si="7"/>
        <v>1.868468893129771</v>
      </c>
    </row>
    <row r="78" spans="1:35" ht="30" x14ac:dyDescent="0.25">
      <c r="A78" s="275">
        <f>'Profits 2016'!A5288</f>
        <v>3004153</v>
      </c>
      <c r="B78" s="279">
        <f>'Profits 2016'!B5288</f>
        <v>42619</v>
      </c>
      <c r="C78" s="276">
        <f>'Profits 2016'!H5288</f>
        <v>195.25</v>
      </c>
      <c r="D78" s="280">
        <f>'Profits 2016'!K5288</f>
        <v>173.66775000000001</v>
      </c>
      <c r="E78" s="276">
        <f>'Profits 2016'!L5288</f>
        <v>2150</v>
      </c>
      <c r="F78" s="275" t="str">
        <f>'Profits 2016'!P5288</f>
        <v>Nassau</v>
      </c>
      <c r="G78" s="292">
        <f>'Profits 2016'!N5288-'Profits 2016'!M5288</f>
        <v>96.75</v>
      </c>
      <c r="H78" s="319"/>
      <c r="I78" s="320"/>
      <c r="J78" s="321"/>
      <c r="K78" s="321"/>
      <c r="L78" s="321"/>
      <c r="M78" s="319"/>
      <c r="N78" s="322"/>
      <c r="O78" s="236" t="str">
        <f>'Profits 2016'!T5288</f>
        <v>FEDEX GROUND</v>
      </c>
      <c r="P78" s="284" t="str">
        <f>'Profits 2016'!U5288</f>
        <v xml:space="preserve">	702723287411</v>
      </c>
      <c r="Q78" s="284" t="s">
        <v>314</v>
      </c>
      <c r="R78" s="276">
        <v>22.45</v>
      </c>
      <c r="S78" s="275" t="s">
        <v>15739</v>
      </c>
      <c r="T78" s="279">
        <v>42639</v>
      </c>
      <c r="U78" s="279">
        <v>42643</v>
      </c>
      <c r="V78" s="279">
        <v>42657</v>
      </c>
      <c r="W78" s="293">
        <v>0</v>
      </c>
      <c r="X78" s="236">
        <v>9175</v>
      </c>
      <c r="AF78" s="276">
        <f t="shared" si="8"/>
        <v>119.2</v>
      </c>
      <c r="AG78" s="276">
        <f t="shared" si="5"/>
        <v>22.45</v>
      </c>
      <c r="AH78" s="276">
        <f t="shared" si="6"/>
        <v>151.21775000000002</v>
      </c>
      <c r="AI78" s="283">
        <f t="shared" si="7"/>
        <v>1.2686052852348995</v>
      </c>
    </row>
    <row r="79" spans="1:35" ht="30" x14ac:dyDescent="0.25">
      <c r="A79" s="275">
        <f>'Profits 2016'!A5289</f>
        <v>3004154</v>
      </c>
      <c r="B79" s="279">
        <f>'Profits 2016'!B5289</f>
        <v>42619</v>
      </c>
      <c r="C79" s="276">
        <f>'Profits 2016'!H5289</f>
        <v>208.31</v>
      </c>
      <c r="D79" s="280">
        <f>'Profits 2016'!K5289</f>
        <v>185.30421000000001</v>
      </c>
      <c r="E79" s="276">
        <f>'Profits 2016'!L5289</f>
        <v>510</v>
      </c>
      <c r="F79" s="275" t="str">
        <f>'Profits 2016'!P5289</f>
        <v>Nassau</v>
      </c>
      <c r="G79" s="292">
        <f>'Profits 2016'!N5289-'Profits 2016'!M5289</f>
        <v>102</v>
      </c>
      <c r="H79" s="319"/>
      <c r="I79" s="320"/>
      <c r="J79" s="321"/>
      <c r="K79" s="321"/>
      <c r="L79" s="321"/>
      <c r="M79" s="319"/>
      <c r="N79" s="322"/>
      <c r="O79" s="236" t="str">
        <f>'Profits 2016'!T5289</f>
        <v>FEDEX GROUND</v>
      </c>
      <c r="P79" s="284">
        <f>'Profits 2016'!U5289</f>
        <v>702723287466</v>
      </c>
      <c r="Q79" s="284" t="s">
        <v>314</v>
      </c>
      <c r="R79" s="276">
        <v>27.91</v>
      </c>
      <c r="S79" s="275" t="s">
        <v>15733</v>
      </c>
      <c r="T79" s="279">
        <v>42632</v>
      </c>
      <c r="U79" s="279">
        <v>42639</v>
      </c>
      <c r="V79" s="279">
        <v>42643</v>
      </c>
      <c r="W79" s="293">
        <v>0</v>
      </c>
      <c r="X79" s="236">
        <v>9030</v>
      </c>
      <c r="AF79" s="276">
        <f t="shared" si="8"/>
        <v>129.91</v>
      </c>
      <c r="AG79" s="276">
        <f t="shared" si="5"/>
        <v>27.91</v>
      </c>
      <c r="AH79" s="276">
        <f t="shared" si="6"/>
        <v>157.39421000000002</v>
      </c>
      <c r="AI79" s="283">
        <f t="shared" si="7"/>
        <v>1.2115634670156263</v>
      </c>
    </row>
    <row r="80" spans="1:35" ht="30" x14ac:dyDescent="0.25">
      <c r="A80" s="275">
        <f>'Profits 2016'!A5290</f>
        <v>3004155</v>
      </c>
      <c r="B80" s="279">
        <f>'Profits 2016'!B5290</f>
        <v>42619</v>
      </c>
      <c r="C80" s="276">
        <f>'Profits 2016'!H5290</f>
        <v>683.1</v>
      </c>
      <c r="D80" s="280">
        <f>'Profits 2016'!K5290</f>
        <v>608.34209999999996</v>
      </c>
      <c r="E80" s="276">
        <f>'Profits 2016'!L5290</f>
        <v>0</v>
      </c>
      <c r="F80" s="275" t="str">
        <f>'Profits 2016'!P5290</f>
        <v>Nassau</v>
      </c>
      <c r="G80" s="292">
        <f>'Profits 2016'!N5290-'Profits 2016'!M5290</f>
        <v>0</v>
      </c>
      <c r="H80" s="319"/>
      <c r="I80" s="320"/>
      <c r="J80" s="321"/>
      <c r="K80" s="321"/>
      <c r="L80" s="321"/>
      <c r="M80" s="319"/>
      <c r="N80" s="322"/>
      <c r="O80" s="236" t="str">
        <f>'Profits 2016'!T5290</f>
        <v>FEDEX GROUND</v>
      </c>
      <c r="P80" s="284" t="str">
        <f>'Profits 2016'!U5290</f>
        <v xml:space="preserve">	680483359799</v>
      </c>
      <c r="Q80" s="284" t="s">
        <v>314</v>
      </c>
      <c r="R80" s="276">
        <v>59.46</v>
      </c>
      <c r="S80" s="275" t="s">
        <v>15733</v>
      </c>
      <c r="T80" s="279">
        <v>42632</v>
      </c>
      <c r="U80" s="279">
        <v>42639</v>
      </c>
      <c r="V80" s="279">
        <v>42643</v>
      </c>
      <c r="W80" s="293">
        <v>0</v>
      </c>
      <c r="X80" s="236">
        <v>9030</v>
      </c>
      <c r="AF80" s="276">
        <f t="shared" si="8"/>
        <v>59.46</v>
      </c>
      <c r="AG80" s="276">
        <f t="shared" si="5"/>
        <v>59.46</v>
      </c>
      <c r="AH80" s="276">
        <f t="shared" si="6"/>
        <v>548.88209999999992</v>
      </c>
      <c r="AI80" s="283">
        <f t="shared" si="7"/>
        <v>9.2311150353178597</v>
      </c>
    </row>
    <row r="81" spans="1:35" ht="30" x14ac:dyDescent="0.25">
      <c r="A81" s="275">
        <f>'Profits 2016'!A5291</f>
        <v>3004156</v>
      </c>
      <c r="B81" s="279">
        <f>'Profits 2016'!B5291</f>
        <v>42619</v>
      </c>
      <c r="C81" s="276">
        <f>'Profits 2016'!H5291</f>
        <v>555.84</v>
      </c>
      <c r="D81" s="280">
        <f>'Profits 2016'!K5291</f>
        <v>494.95344000000006</v>
      </c>
      <c r="E81" s="276">
        <f>'Profits 2016'!L5291</f>
        <v>577</v>
      </c>
      <c r="F81" s="275" t="str">
        <f>'Profits 2016'!P5291</f>
        <v>Nassau</v>
      </c>
      <c r="G81" s="292">
        <f>'Profits 2016'!N5291-'Profits 2016'!M5291</f>
        <v>144.25</v>
      </c>
      <c r="H81" s="319"/>
      <c r="I81" s="320"/>
      <c r="J81" s="321"/>
      <c r="K81" s="321"/>
      <c r="L81" s="321"/>
      <c r="M81" s="319"/>
      <c r="N81" s="322"/>
      <c r="O81" s="236" t="str">
        <f>'Profits 2016'!T5291</f>
        <v>FEDEX GROUND</v>
      </c>
      <c r="P81" s="284">
        <f>'Profits 2016'!U5291</f>
        <v>680483359836</v>
      </c>
      <c r="Q81" s="284" t="s">
        <v>314</v>
      </c>
      <c r="R81" s="276">
        <v>38.450000000000003</v>
      </c>
      <c r="S81" s="275" t="s">
        <v>15733</v>
      </c>
      <c r="T81" s="279">
        <v>42632</v>
      </c>
      <c r="U81" s="279">
        <v>42639</v>
      </c>
      <c r="V81" s="279">
        <v>42643</v>
      </c>
      <c r="W81" s="293">
        <v>0</v>
      </c>
      <c r="X81" s="236">
        <v>9030</v>
      </c>
      <c r="AF81" s="276">
        <f t="shared" si="8"/>
        <v>182.7</v>
      </c>
      <c r="AG81" s="276">
        <f t="shared" si="5"/>
        <v>38.450000000000003</v>
      </c>
      <c r="AH81" s="276">
        <f t="shared" si="6"/>
        <v>456.50344000000007</v>
      </c>
      <c r="AI81" s="283">
        <f t="shared" si="7"/>
        <v>2.498650465243569</v>
      </c>
    </row>
    <row r="82" spans="1:35" x14ac:dyDescent="0.25">
      <c r="A82" s="275">
        <f>'Profits 2016'!A5292</f>
        <v>0</v>
      </c>
      <c r="B82" s="279">
        <f>'Profits 2016'!B5292</f>
        <v>0</v>
      </c>
      <c r="C82" s="276">
        <f>'Profits 2016'!H5292</f>
        <v>0</v>
      </c>
      <c r="D82" s="280">
        <f>'Profits 2016'!K5292</f>
        <v>0</v>
      </c>
      <c r="E82" s="276">
        <f>'Profits 2016'!L5292</f>
        <v>300</v>
      </c>
      <c r="F82" s="275" t="str">
        <f>'Profits 2016'!P5292</f>
        <v>Nassau</v>
      </c>
      <c r="G82" s="292">
        <f>'Profits 2016'!N5292-'Profits 2016'!M5292</f>
        <v>150</v>
      </c>
      <c r="H82" s="319"/>
      <c r="I82" s="320"/>
      <c r="J82" s="321"/>
      <c r="K82" s="321"/>
      <c r="L82" s="321"/>
      <c r="M82" s="319"/>
      <c r="N82" s="322"/>
      <c r="O82" s="236">
        <f>'Profits 2016'!T5292</f>
        <v>0</v>
      </c>
      <c r="P82" s="284">
        <f>'Profits 2016'!U5292</f>
        <v>680483359847</v>
      </c>
      <c r="Q82" s="284" t="s">
        <v>314</v>
      </c>
      <c r="R82" s="276">
        <v>38.450000000000003</v>
      </c>
      <c r="S82" s="275" t="s">
        <v>15733</v>
      </c>
      <c r="T82" s="279">
        <v>42632</v>
      </c>
      <c r="U82" s="279">
        <v>42639</v>
      </c>
      <c r="V82" s="279">
        <v>42643</v>
      </c>
      <c r="W82" s="293">
        <v>0</v>
      </c>
      <c r="X82" s="236">
        <v>9030</v>
      </c>
      <c r="AF82" s="276">
        <f t="shared" si="8"/>
        <v>188.45</v>
      </c>
      <c r="AG82" s="276">
        <f t="shared" si="5"/>
        <v>38.450000000000003</v>
      </c>
      <c r="AH82" s="276">
        <f t="shared" si="6"/>
        <v>-38.450000000000003</v>
      </c>
      <c r="AI82" s="283">
        <f t="shared" si="7"/>
        <v>-0.2040328999734678</v>
      </c>
    </row>
    <row r="83" spans="1:35" ht="30" x14ac:dyDescent="0.25">
      <c r="A83" s="275">
        <f>'Profits 2016'!A5293</f>
        <v>3004157</v>
      </c>
      <c r="B83" s="279">
        <f>'Profits 2016'!B5293</f>
        <v>42619</v>
      </c>
      <c r="C83" s="276">
        <f>'Profits 2016'!H5293</f>
        <v>507.59</v>
      </c>
      <c r="D83" s="280">
        <f>'Profits 2016'!K5293</f>
        <v>451.96268999999995</v>
      </c>
      <c r="E83" s="276">
        <f>'Profits 2016'!L5293</f>
        <v>300</v>
      </c>
      <c r="F83" s="275" t="str">
        <f>'Profits 2016'!P5293</f>
        <v>Thea</v>
      </c>
      <c r="G83" s="292">
        <f>'Profits 2016'!N5293-'Profits 2016'!M5293</f>
        <v>179.99999999999997</v>
      </c>
      <c r="H83" s="319"/>
      <c r="I83" s="320"/>
      <c r="J83" s="321"/>
      <c r="K83" s="321"/>
      <c r="L83" s="321"/>
      <c r="M83" s="319"/>
      <c r="N83" s="322"/>
      <c r="O83" s="236" t="str">
        <f>'Profits 2016'!T5293</f>
        <v>FEDEX GROUND</v>
      </c>
      <c r="P83" s="284">
        <f>'Profits 2016'!U5293</f>
        <v>675157529503</v>
      </c>
      <c r="Q83" s="284" t="s">
        <v>314</v>
      </c>
      <c r="R83" s="276">
        <v>149.16999999999999</v>
      </c>
      <c r="S83" s="275" t="s">
        <v>15739</v>
      </c>
      <c r="T83" s="279">
        <v>42639</v>
      </c>
      <c r="U83" s="279">
        <v>42646</v>
      </c>
      <c r="V83" s="279">
        <v>42657</v>
      </c>
      <c r="W83" s="293">
        <v>0</v>
      </c>
      <c r="X83" s="236">
        <v>9175</v>
      </c>
      <c r="AF83" s="276">
        <f t="shared" si="8"/>
        <v>329.16999999999996</v>
      </c>
      <c r="AG83" s="276">
        <f t="shared" si="5"/>
        <v>149.16999999999999</v>
      </c>
      <c r="AH83" s="276">
        <f t="shared" si="6"/>
        <v>302.79268999999999</v>
      </c>
      <c r="AI83" s="283">
        <f t="shared" si="7"/>
        <v>0.91986721147127637</v>
      </c>
    </row>
    <row r="84" spans="1:35" ht="30" x14ac:dyDescent="0.25">
      <c r="A84" s="275">
        <f>'Profits 2016'!A5294</f>
        <v>3004158</v>
      </c>
      <c r="B84" s="279">
        <f>'Profits 2016'!B5294</f>
        <v>42619</v>
      </c>
      <c r="C84" s="276">
        <f>'Profits 2016'!H5294</f>
        <v>178.1</v>
      </c>
      <c r="D84" s="280">
        <f>'Profits 2016'!K5294</f>
        <v>158.3871</v>
      </c>
      <c r="E84" s="276">
        <f>'Profits 2016'!L5294</f>
        <v>350</v>
      </c>
      <c r="F84" s="275" t="str">
        <f>'Profits 2016'!P5294</f>
        <v>Nassau</v>
      </c>
      <c r="G84" s="292">
        <f>'Profits 2016'!N5294-'Profits 2016'!M5294</f>
        <v>70</v>
      </c>
      <c r="H84" s="319"/>
      <c r="I84" s="320"/>
      <c r="J84" s="321"/>
      <c r="K84" s="321"/>
      <c r="L84" s="321"/>
      <c r="M84" s="319"/>
      <c r="N84" s="322"/>
      <c r="O84" s="236" t="str">
        <f>'Profits 2016'!T5294</f>
        <v>FEDEX GROUND</v>
      </c>
      <c r="P84" s="284">
        <f>'Profits 2016'!U5294</f>
        <v>680483359803</v>
      </c>
      <c r="Q84" s="284" t="s">
        <v>314</v>
      </c>
      <c r="R84" s="276">
        <v>19.98</v>
      </c>
      <c r="S84" s="275" t="s">
        <v>15733</v>
      </c>
      <c r="T84" s="279">
        <v>42632</v>
      </c>
      <c r="U84" s="279">
        <v>42639</v>
      </c>
      <c r="V84" s="279">
        <v>42643</v>
      </c>
      <c r="W84" s="293">
        <v>0</v>
      </c>
      <c r="X84" s="236">
        <v>9030</v>
      </c>
      <c r="AF84" s="276">
        <f t="shared" si="8"/>
        <v>89.98</v>
      </c>
      <c r="AG84" s="276">
        <f t="shared" si="5"/>
        <v>19.98</v>
      </c>
      <c r="AH84" s="276">
        <f t="shared" si="6"/>
        <v>138.40710000000001</v>
      </c>
      <c r="AI84" s="283">
        <f t="shared" si="7"/>
        <v>1.5381984885530118</v>
      </c>
    </row>
    <row r="85" spans="1:35" ht="30" x14ac:dyDescent="0.25">
      <c r="A85" s="275">
        <f>'Profits 2016'!A5295</f>
        <v>3004159</v>
      </c>
      <c r="B85" s="279">
        <f>'Profits 2016'!B5295</f>
        <v>42619</v>
      </c>
      <c r="C85" s="276">
        <f>'Profits 2016'!H5295</f>
        <v>151.19</v>
      </c>
      <c r="D85" s="280">
        <f>'Profits 2016'!K5295</f>
        <v>134.41029</v>
      </c>
      <c r="E85" s="276">
        <f>'Profits 2016'!L5295</f>
        <v>375</v>
      </c>
      <c r="F85" s="275" t="str">
        <f>'Profits 2016'!P5295</f>
        <v>Nassau</v>
      </c>
      <c r="G85" s="292">
        <f>'Profits 2016'!N5295-'Profits 2016'!M5295</f>
        <v>56.25</v>
      </c>
      <c r="H85" s="319"/>
      <c r="I85" s="320"/>
      <c r="J85" s="321"/>
      <c r="K85" s="321"/>
      <c r="L85" s="321"/>
      <c r="M85" s="319"/>
      <c r="N85" s="322"/>
      <c r="O85" s="236" t="str">
        <f>'Profits 2016'!T5295</f>
        <v>FEDEX GROUND</v>
      </c>
      <c r="P85" s="284" t="str">
        <f>'Profits 2016'!U5295</f>
        <v xml:space="preserve">	702723287477</v>
      </c>
      <c r="Q85" s="284" t="s">
        <v>314</v>
      </c>
      <c r="R85" s="276">
        <v>19.809999999999999</v>
      </c>
      <c r="S85" s="275" t="s">
        <v>15733</v>
      </c>
      <c r="T85" s="279">
        <v>42632</v>
      </c>
      <c r="U85" s="279">
        <v>42639</v>
      </c>
      <c r="V85" s="279">
        <v>42643</v>
      </c>
      <c r="W85" s="293">
        <v>0</v>
      </c>
      <c r="X85" s="236">
        <v>9030</v>
      </c>
      <c r="AF85" s="276">
        <f t="shared" si="8"/>
        <v>76.06</v>
      </c>
      <c r="AG85" s="276">
        <f t="shared" si="5"/>
        <v>19.809999999999999</v>
      </c>
      <c r="AH85" s="276">
        <f t="shared" si="6"/>
        <v>114.60029</v>
      </c>
      <c r="AI85" s="283">
        <f t="shared" si="7"/>
        <v>1.5067090454904022</v>
      </c>
    </row>
    <row r="86" spans="1:35" ht="30" x14ac:dyDescent="0.25">
      <c r="A86" s="275">
        <f>'Profits 2016'!A5296</f>
        <v>3004160</v>
      </c>
      <c r="B86" s="279">
        <f>'Profits 2016'!B5296</f>
        <v>42619</v>
      </c>
      <c r="C86" s="276">
        <f>'Profits 2016'!H5296</f>
        <v>142.75</v>
      </c>
      <c r="D86" s="280">
        <f>'Profits 2016'!K5296</f>
        <v>126.89025000000001</v>
      </c>
      <c r="E86" s="276">
        <f>'Profits 2016'!L5296</f>
        <v>1322</v>
      </c>
      <c r="F86" s="275" t="str">
        <f>'Profits 2016'!P5296</f>
        <v>Nassau</v>
      </c>
      <c r="G86" s="292">
        <f>'Profits 2016'!N5296-'Profits 2016'!M5296</f>
        <v>66.100000000000009</v>
      </c>
      <c r="H86" s="319"/>
      <c r="I86" s="320"/>
      <c r="J86" s="321"/>
      <c r="K86" s="321"/>
      <c r="L86" s="321"/>
      <c r="M86" s="319"/>
      <c r="N86" s="322"/>
      <c r="O86" s="236" t="str">
        <f>'Profits 2016'!T5296</f>
        <v>FEDEX GROUND</v>
      </c>
      <c r="P86" s="284">
        <f>'Profits 2016'!U5296</f>
        <v>702723287591</v>
      </c>
      <c r="Q86" s="284" t="s">
        <v>314</v>
      </c>
      <c r="R86" s="276">
        <v>13.77</v>
      </c>
      <c r="S86" s="275" t="s">
        <v>15733</v>
      </c>
      <c r="T86" s="279">
        <v>42632</v>
      </c>
      <c r="U86" s="279">
        <v>42639</v>
      </c>
      <c r="V86" s="279">
        <v>42643</v>
      </c>
      <c r="W86" s="293">
        <v>0</v>
      </c>
      <c r="X86" s="236">
        <v>9030</v>
      </c>
      <c r="AF86" s="276">
        <f t="shared" si="8"/>
        <v>79.87</v>
      </c>
      <c r="AG86" s="276">
        <f t="shared" si="5"/>
        <v>13.77</v>
      </c>
      <c r="AH86" s="276">
        <f t="shared" si="6"/>
        <v>113.12025000000001</v>
      </c>
      <c r="AI86" s="283">
        <f t="shared" si="7"/>
        <v>1.4163046200075122</v>
      </c>
    </row>
    <row r="87" spans="1:35" ht="30" x14ac:dyDescent="0.25">
      <c r="A87" s="275">
        <f>'Profits 2016'!A5297</f>
        <v>3004161</v>
      </c>
      <c r="B87" s="279">
        <f>'Profits 2016'!B5297</f>
        <v>42619</v>
      </c>
      <c r="C87" s="276">
        <f>'Profits 2016'!H5297</f>
        <v>470.9</v>
      </c>
      <c r="D87" s="280">
        <f>'Profits 2016'!K5297</f>
        <v>419.27190000000002</v>
      </c>
      <c r="E87" s="276">
        <f>'Profits 2016'!L5297</f>
        <v>480</v>
      </c>
      <c r="F87" s="275" t="str">
        <f>'Profits 2016'!P5297</f>
        <v>Nassau</v>
      </c>
      <c r="G87" s="292">
        <f>'Profits 2016'!N5297-'Profits 2016'!M5297</f>
        <v>192</v>
      </c>
      <c r="H87" s="319"/>
      <c r="I87" s="320"/>
      <c r="J87" s="321"/>
      <c r="K87" s="321"/>
      <c r="L87" s="321"/>
      <c r="M87" s="319"/>
      <c r="N87" s="322"/>
      <c r="O87" s="236" t="str">
        <f>'Profits 2016'!T5297</f>
        <v>FEDEX GROUND</v>
      </c>
      <c r="P87" s="284">
        <f>'Profits 2016'!U5297</f>
        <v>702723287444</v>
      </c>
      <c r="Q87" s="284" t="s">
        <v>314</v>
      </c>
      <c r="R87" s="276">
        <v>57.79</v>
      </c>
      <c r="S87" s="275" t="s">
        <v>15733</v>
      </c>
      <c r="T87" s="279">
        <v>42632</v>
      </c>
      <c r="U87" s="279">
        <v>42639</v>
      </c>
      <c r="V87" s="279">
        <v>42643</v>
      </c>
      <c r="W87" s="293">
        <v>0</v>
      </c>
      <c r="X87" s="236">
        <v>9030</v>
      </c>
      <c r="AF87" s="276">
        <f t="shared" si="8"/>
        <v>249.79</v>
      </c>
      <c r="AG87" s="276">
        <f t="shared" si="5"/>
        <v>57.79</v>
      </c>
      <c r="AH87" s="276">
        <f t="shared" si="6"/>
        <v>361.4819</v>
      </c>
      <c r="AI87" s="283">
        <f t="shared" si="7"/>
        <v>1.4471432002882421</v>
      </c>
    </row>
    <row r="88" spans="1:35" ht="30" x14ac:dyDescent="0.25">
      <c r="A88" s="275">
        <f>'Profits 2016'!A5298</f>
        <v>3004162</v>
      </c>
      <c r="B88" s="279">
        <f>'Profits 2016'!B5298</f>
        <v>42619</v>
      </c>
      <c r="C88" s="276">
        <f>'Profits 2016'!H5298</f>
        <v>140.13</v>
      </c>
      <c r="D88" s="280">
        <f>'Profits 2016'!K5298</f>
        <v>124.55583</v>
      </c>
      <c r="E88" s="276">
        <f>'Profits 2016'!L5298</f>
        <v>172</v>
      </c>
      <c r="F88" s="275" t="str">
        <f>'Profits 2016'!P5298</f>
        <v>Priority</v>
      </c>
      <c r="G88" s="292">
        <f>'Profits 2016'!N5298-'Profits 2016'!M5298</f>
        <v>86</v>
      </c>
      <c r="H88" s="292">
        <v>0</v>
      </c>
      <c r="I88" s="275">
        <v>1052797</v>
      </c>
      <c r="J88" s="277">
        <v>42619</v>
      </c>
      <c r="K88" s="277">
        <v>42627</v>
      </c>
      <c r="L88" s="277">
        <v>42643</v>
      </c>
      <c r="M88" s="292">
        <v>104.01</v>
      </c>
      <c r="N88" s="281">
        <v>9042</v>
      </c>
      <c r="O88" s="236" t="str">
        <f>'Profits 2016'!T5298</f>
        <v>FEDEX GROUND</v>
      </c>
      <c r="P88" s="284" t="str">
        <f>'Profits 2016'!U5298</f>
        <v xml:space="preserve">	700044011381</v>
      </c>
      <c r="Q88" s="284" t="s">
        <v>15740</v>
      </c>
      <c r="R88" s="276">
        <v>18.010000000000002</v>
      </c>
      <c r="S88" s="275">
        <v>1052797</v>
      </c>
      <c r="T88" s="279">
        <v>42619</v>
      </c>
      <c r="U88" s="279">
        <v>42627</v>
      </c>
      <c r="AF88" s="276">
        <f t="shared" si="8"/>
        <v>104.01</v>
      </c>
      <c r="AG88" s="276">
        <f t="shared" si="5"/>
        <v>122.02000000000001</v>
      </c>
      <c r="AH88" s="276">
        <f t="shared" si="6"/>
        <v>2.53582999999999</v>
      </c>
      <c r="AI88" s="283">
        <f t="shared" si="7"/>
        <v>2.4380636477261703E-2</v>
      </c>
    </row>
    <row r="89" spans="1:35" ht="30" x14ac:dyDescent="0.25">
      <c r="A89" s="275">
        <f>'Profits 2016'!A5299</f>
        <v>3004163</v>
      </c>
      <c r="B89" s="279">
        <f>'Profits 2016'!B5299</f>
        <v>42619</v>
      </c>
      <c r="C89" s="276">
        <f>'Profits 2016'!H5299</f>
        <v>124.64</v>
      </c>
      <c r="D89" s="280">
        <f>'Profits 2016'!K5299</f>
        <v>110.75424</v>
      </c>
      <c r="E89" s="276">
        <f>'Profits 2016'!L5299</f>
        <v>112</v>
      </c>
      <c r="F89" s="275" t="str">
        <f>'Profits 2016'!P5299</f>
        <v>Priority</v>
      </c>
      <c r="G89" s="292">
        <f>'Profits 2016'!N5299-'Profits 2016'!M5299</f>
        <v>56</v>
      </c>
      <c r="H89" s="292">
        <v>0</v>
      </c>
      <c r="I89" s="275">
        <v>1052780</v>
      </c>
      <c r="J89" s="277">
        <v>42619</v>
      </c>
      <c r="K89" s="277">
        <v>42627</v>
      </c>
      <c r="L89" s="277">
        <v>42643</v>
      </c>
      <c r="M89" s="292">
        <v>70.98</v>
      </c>
      <c r="N89" s="281">
        <v>9042</v>
      </c>
      <c r="O89" s="236" t="str">
        <f>'Profits 2016'!T5299</f>
        <v>FEDEX GROUND</v>
      </c>
      <c r="P89" s="284">
        <f>'Profits 2016'!U5299</f>
        <v>700044011370</v>
      </c>
      <c r="Q89" s="284" t="s">
        <v>15740</v>
      </c>
      <c r="R89" s="276">
        <v>14.98</v>
      </c>
      <c r="S89" s="275">
        <v>1052780</v>
      </c>
      <c r="T89" s="279">
        <v>42619</v>
      </c>
      <c r="U89" s="279">
        <v>42627</v>
      </c>
      <c r="AF89" s="276">
        <f t="shared" si="8"/>
        <v>70.98</v>
      </c>
      <c r="AG89" s="276">
        <f t="shared" si="5"/>
        <v>85.960000000000008</v>
      </c>
      <c r="AH89" s="276">
        <f t="shared" si="6"/>
        <v>24.794239999999988</v>
      </c>
      <c r="AI89" s="283">
        <f t="shared" si="7"/>
        <v>0.34931304592843038</v>
      </c>
    </row>
    <row r="90" spans="1:35" ht="30" x14ac:dyDescent="0.25">
      <c r="A90" s="275">
        <f>'Profits 2016'!A5300</f>
        <v>3004164</v>
      </c>
      <c r="B90" s="279">
        <f>'Profits 2016'!B5300</f>
        <v>42619</v>
      </c>
      <c r="C90" s="276">
        <f>'Profits 2016'!H5300</f>
        <v>195.25</v>
      </c>
      <c r="D90" s="280">
        <f>'Profits 2016'!K5300</f>
        <v>173.66775000000001</v>
      </c>
      <c r="E90" s="276">
        <f>'Profits 2016'!L5300</f>
        <v>950</v>
      </c>
      <c r="F90" s="275" t="str">
        <f>'Profits 2016'!P5300</f>
        <v>Nassau</v>
      </c>
      <c r="G90" s="292">
        <f>'Profits 2016'!N5300-'Profits 2016'!M5300</f>
        <v>95</v>
      </c>
      <c r="H90" s="319"/>
      <c r="I90" s="320"/>
      <c r="J90" s="321"/>
      <c r="K90" s="321"/>
      <c r="L90" s="321"/>
      <c r="M90" s="319"/>
      <c r="N90" s="322"/>
      <c r="O90" s="236" t="str">
        <f>'Profits 2016'!T5300</f>
        <v>FEDEX GROUND</v>
      </c>
      <c r="P90" s="284">
        <f>'Profits 2016'!U5300</f>
        <v>680483359777</v>
      </c>
      <c r="Q90" s="284" t="s">
        <v>314</v>
      </c>
      <c r="R90" s="276">
        <v>41.63</v>
      </c>
      <c r="S90" s="275" t="s">
        <v>15739</v>
      </c>
      <c r="T90" s="279">
        <v>42639</v>
      </c>
      <c r="U90" s="279">
        <v>42643</v>
      </c>
      <c r="V90" s="279">
        <v>42657</v>
      </c>
      <c r="W90" s="293">
        <v>0</v>
      </c>
      <c r="X90" s="236">
        <v>9175</v>
      </c>
      <c r="AF90" s="276">
        <f t="shared" si="8"/>
        <v>136.63</v>
      </c>
      <c r="AG90" s="276">
        <f t="shared" si="5"/>
        <v>41.63</v>
      </c>
      <c r="AH90" s="276">
        <f t="shared" si="6"/>
        <v>132.03775000000002</v>
      </c>
      <c r="AI90" s="283">
        <f t="shared" si="7"/>
        <v>0.96638915318744067</v>
      </c>
    </row>
    <row r="91" spans="1:35" ht="30" x14ac:dyDescent="0.25">
      <c r="A91" s="275">
        <f>'Profits 2016'!A5301</f>
        <v>3004165</v>
      </c>
      <c r="B91" s="279">
        <f>'Profits 2016'!B5301</f>
        <v>42619</v>
      </c>
      <c r="C91" s="276">
        <f>'Profits 2016'!H5301</f>
        <v>343</v>
      </c>
      <c r="D91" s="280">
        <f>'Profits 2016'!K5301</f>
        <v>305.31299999999999</v>
      </c>
      <c r="E91" s="276">
        <f>'Profits 2016'!L5301</f>
        <v>1693</v>
      </c>
      <c r="F91" s="275" t="str">
        <f>'Profits 2016'!P5301</f>
        <v>Nassau</v>
      </c>
      <c r="G91" s="292">
        <f>'Profits 2016'!N5301-'Profits 2016'!M5301</f>
        <v>169.3</v>
      </c>
      <c r="H91" s="319"/>
      <c r="I91" s="320"/>
      <c r="J91" s="321"/>
      <c r="K91" s="321"/>
      <c r="L91" s="321"/>
      <c r="M91" s="319"/>
      <c r="N91" s="322"/>
      <c r="O91" s="344" t="str">
        <f>'Profits 2016'!T5301</f>
        <v>FEDEX GROUND</v>
      </c>
      <c r="P91" s="345">
        <f>'Profits 2016'!U5301</f>
        <v>702723287400</v>
      </c>
      <c r="Q91" s="345"/>
      <c r="R91" s="342"/>
      <c r="S91" s="336"/>
      <c r="T91" s="341"/>
      <c r="U91" s="341"/>
      <c r="V91" s="341"/>
      <c r="W91" s="346"/>
      <c r="X91" s="344"/>
      <c r="AF91" s="276">
        <f t="shared" si="8"/>
        <v>169.3</v>
      </c>
      <c r="AG91" s="276">
        <f t="shared" si="5"/>
        <v>0</v>
      </c>
      <c r="AH91" s="276">
        <f t="shared" si="6"/>
        <v>305.31299999999999</v>
      </c>
      <c r="AI91" s="283">
        <f t="shared" si="7"/>
        <v>1.8033845245126991</v>
      </c>
    </row>
    <row r="92" spans="1:35" ht="30" x14ac:dyDescent="0.25">
      <c r="A92" s="275">
        <f>'Profits 2016'!A5302</f>
        <v>3004166</v>
      </c>
      <c r="B92" s="279">
        <f>'Profits 2016'!B5302</f>
        <v>42619</v>
      </c>
      <c r="C92" s="276">
        <f>'Profits 2016'!H5302</f>
        <v>334.62</v>
      </c>
      <c r="D92" s="280">
        <f>'Profits 2016'!K5302</f>
        <v>297.84642000000002</v>
      </c>
      <c r="E92" s="276">
        <f>'Profits 2016'!L5302</f>
        <v>0</v>
      </c>
      <c r="F92" s="275" t="str">
        <f>'Profits 2016'!P5302</f>
        <v>Nassau</v>
      </c>
      <c r="G92" s="292">
        <f>'Profits 2016'!N5302-'Profits 2016'!M5302</f>
        <v>0</v>
      </c>
      <c r="H92" s="319"/>
      <c r="I92" s="320"/>
      <c r="J92" s="321"/>
      <c r="K92" s="321"/>
      <c r="L92" s="321"/>
      <c r="M92" s="319"/>
      <c r="N92" s="322"/>
      <c r="O92" s="236" t="str">
        <f>'Profits 2016'!T5302</f>
        <v>FEDEX GROUND</v>
      </c>
      <c r="P92" s="284">
        <f>'Profits 2016'!U5302</f>
        <v>702723287558</v>
      </c>
      <c r="Q92" s="284" t="s">
        <v>314</v>
      </c>
      <c r="R92" s="276">
        <v>49.43</v>
      </c>
      <c r="S92" s="275" t="s">
        <v>15739</v>
      </c>
      <c r="T92" s="279">
        <v>42639</v>
      </c>
      <c r="U92" s="279">
        <v>42646</v>
      </c>
      <c r="V92" s="279">
        <v>42657</v>
      </c>
      <c r="W92" s="293">
        <v>0</v>
      </c>
      <c r="X92" s="236">
        <v>9175</v>
      </c>
      <c r="AF92" s="276">
        <f t="shared" si="8"/>
        <v>49.43</v>
      </c>
      <c r="AG92" s="276">
        <f t="shared" si="5"/>
        <v>49.43</v>
      </c>
      <c r="AH92" s="276">
        <f t="shared" si="6"/>
        <v>248.41642000000002</v>
      </c>
      <c r="AI92" s="283">
        <f t="shared" si="7"/>
        <v>5.0256204733967227</v>
      </c>
    </row>
    <row r="93" spans="1:35" ht="30" x14ac:dyDescent="0.25">
      <c r="A93" s="275">
        <f>'Profits 2016'!A5303</f>
        <v>3004167</v>
      </c>
      <c r="B93" s="279">
        <f>'Profits 2016'!B5303</f>
        <v>42619</v>
      </c>
      <c r="C93" s="276">
        <f>'Profits 2016'!H5303</f>
        <v>750</v>
      </c>
      <c r="D93" s="280">
        <f>'Profits 2016'!K5303</f>
        <v>667.95</v>
      </c>
      <c r="E93" s="276">
        <f>'Profits 2016'!L5303</f>
        <v>318.43</v>
      </c>
      <c r="F93" s="275" t="str">
        <f>'Profits 2016'!P5303</f>
        <v>Thea</v>
      </c>
      <c r="G93" s="292">
        <f>'Profits 2016'!N5303-'Profits 2016'!M5303</f>
        <v>318.42999999999995</v>
      </c>
      <c r="H93" s="319"/>
      <c r="I93" s="320"/>
      <c r="J93" s="321"/>
      <c r="K93" s="321"/>
      <c r="L93" s="321"/>
      <c r="M93" s="319"/>
      <c r="N93" s="322"/>
      <c r="O93" s="236" t="str">
        <f>'Profits 2016'!T5303</f>
        <v>FEDEX GROUND</v>
      </c>
      <c r="P93" s="284">
        <f>'Profits 2016'!U5303</f>
        <v>675157529455</v>
      </c>
      <c r="Q93" s="284" t="s">
        <v>314</v>
      </c>
      <c r="R93" s="276">
        <v>71.72</v>
      </c>
      <c r="S93" s="275" t="s">
        <v>15744</v>
      </c>
      <c r="T93" s="279">
        <v>42646</v>
      </c>
      <c r="U93" s="279">
        <v>42653</v>
      </c>
      <c r="V93" s="279">
        <v>42657</v>
      </c>
      <c r="W93" s="293">
        <v>2929.58</v>
      </c>
      <c r="X93" s="236">
        <v>9174</v>
      </c>
      <c r="AF93" s="276">
        <f t="shared" si="8"/>
        <v>390.15</v>
      </c>
      <c r="AG93" s="276">
        <f t="shared" si="5"/>
        <v>71.72</v>
      </c>
      <c r="AH93" s="276">
        <f t="shared" si="6"/>
        <v>596.23</v>
      </c>
      <c r="AI93" s="283">
        <f t="shared" si="7"/>
        <v>1.5282070998333976</v>
      </c>
    </row>
    <row r="94" spans="1:35" ht="30" x14ac:dyDescent="0.25">
      <c r="A94" s="275">
        <f>'Profits 2016'!A5304</f>
        <v>3004168</v>
      </c>
      <c r="B94" s="279">
        <f>'Profits 2016'!B5304</f>
        <v>42619</v>
      </c>
      <c r="C94" s="276">
        <f>'Profits 2016'!H5304</f>
        <v>245</v>
      </c>
      <c r="D94" s="280">
        <f>'Profits 2016'!K5304</f>
        <v>217.99499999999998</v>
      </c>
      <c r="E94" s="276">
        <f>'Profits 2016'!L5304</f>
        <v>1322</v>
      </c>
      <c r="F94" s="275" t="str">
        <f>'Profits 2016'!P5304</f>
        <v>Nassau</v>
      </c>
      <c r="G94" s="292">
        <f>'Profits 2016'!N5304-'Profits 2016'!M5304</f>
        <v>132.20000000000002</v>
      </c>
      <c r="H94" s="319"/>
      <c r="I94" s="320"/>
      <c r="J94" s="321"/>
      <c r="K94" s="321"/>
      <c r="L94" s="321"/>
      <c r="M94" s="319"/>
      <c r="N94" s="322"/>
      <c r="O94" s="236" t="str">
        <f>'Profits 2016'!T5304</f>
        <v>FEDEX GROUND</v>
      </c>
      <c r="P94" s="284" t="str">
        <f>'Profits 2016'!U5304</f>
        <v xml:space="preserve">	702723287374</v>
      </c>
      <c r="Q94" s="284" t="s">
        <v>314</v>
      </c>
      <c r="R94" s="276">
        <v>36.24</v>
      </c>
      <c r="S94" s="275" t="s">
        <v>15739</v>
      </c>
      <c r="T94" s="279">
        <v>42639</v>
      </c>
      <c r="U94" s="279">
        <v>42646</v>
      </c>
      <c r="V94" s="279">
        <v>42657</v>
      </c>
      <c r="W94" s="293">
        <v>3938.58</v>
      </c>
      <c r="X94" s="236">
        <v>9175</v>
      </c>
      <c r="AF94" s="276">
        <f t="shared" si="8"/>
        <v>168.44000000000003</v>
      </c>
      <c r="AG94" s="276">
        <f t="shared" si="5"/>
        <v>36.24</v>
      </c>
      <c r="AH94" s="276">
        <f t="shared" si="6"/>
        <v>181.75499999999997</v>
      </c>
      <c r="AI94" s="283">
        <f t="shared" si="7"/>
        <v>1.0790489194965562</v>
      </c>
    </row>
    <row r="95" spans="1:35" ht="30" x14ac:dyDescent="0.25">
      <c r="A95" s="275">
        <f>'Profits 2016'!A5305</f>
        <v>3004169</v>
      </c>
      <c r="B95" s="279">
        <f>'Profits 2016'!B5305</f>
        <v>42619</v>
      </c>
      <c r="C95" s="276">
        <f>'Profits 2016'!H5305</f>
        <v>431.64</v>
      </c>
      <c r="D95" s="280">
        <f>'Profits 2016'!K5305</f>
        <v>384.29123999999996</v>
      </c>
      <c r="E95" s="276">
        <f>'Profits 2016'!L5305</f>
        <v>1100</v>
      </c>
      <c r="F95" s="275" t="str">
        <f>'Profits 2016'!P5305</f>
        <v>Nassau</v>
      </c>
      <c r="G95" s="292">
        <f>'Profits 2016'!N5305-'Profits 2016'!M5305</f>
        <v>275</v>
      </c>
      <c r="H95" s="319"/>
      <c r="I95" s="320"/>
      <c r="J95" s="321"/>
      <c r="K95" s="321"/>
      <c r="L95" s="321"/>
      <c r="M95" s="319"/>
      <c r="N95" s="322"/>
      <c r="O95" s="236" t="str">
        <f>'Profits 2016'!T5305</f>
        <v>FEDEX GROUND</v>
      </c>
      <c r="P95" s="284" t="str">
        <f>'Profits 2016'!U5305</f>
        <v xml:space="preserve">	702723287536</v>
      </c>
      <c r="Q95" s="284" t="s">
        <v>314</v>
      </c>
      <c r="R95" s="276">
        <v>58.05</v>
      </c>
      <c r="S95" s="275" t="s">
        <v>15739</v>
      </c>
      <c r="T95" s="279">
        <v>42639</v>
      </c>
      <c r="U95" s="279">
        <v>42643</v>
      </c>
      <c r="V95" s="279">
        <v>42657</v>
      </c>
      <c r="W95" s="293">
        <v>0</v>
      </c>
      <c r="X95" s="236">
        <v>9175</v>
      </c>
      <c r="AF95" s="276">
        <f t="shared" si="8"/>
        <v>333.05</v>
      </c>
      <c r="AG95" s="276">
        <f t="shared" si="5"/>
        <v>58.05</v>
      </c>
      <c r="AH95" s="276">
        <f t="shared" si="6"/>
        <v>326.24123999999995</v>
      </c>
      <c r="AI95" s="283">
        <f t="shared" si="7"/>
        <v>0.97955634289145754</v>
      </c>
    </row>
    <row r="96" spans="1:35" ht="30" x14ac:dyDescent="0.25">
      <c r="A96" s="275">
        <f>'Profits 2016'!A5306</f>
        <v>3004170</v>
      </c>
      <c r="B96" s="279">
        <f>'Profits 2016'!B5306</f>
        <v>42619</v>
      </c>
      <c r="C96" s="276">
        <f>'Profits 2016'!H5306</f>
        <v>123.94</v>
      </c>
      <c r="D96" s="280">
        <f>'Profits 2016'!K5306</f>
        <v>110.13054</v>
      </c>
      <c r="E96" s="276">
        <f>'Profits 2016'!L5306</f>
        <v>480</v>
      </c>
      <c r="F96" s="275" t="str">
        <f>'Profits 2016'!P5306</f>
        <v>Nassau</v>
      </c>
      <c r="G96" s="292">
        <f>'Profits 2016'!N5306-'Profits 2016'!M5306</f>
        <v>48</v>
      </c>
      <c r="H96" s="319"/>
      <c r="I96" s="320"/>
      <c r="J96" s="321"/>
      <c r="K96" s="321"/>
      <c r="L96" s="321"/>
      <c r="M96" s="319"/>
      <c r="N96" s="322"/>
      <c r="O96" s="236" t="str">
        <f>'Profits 2016'!T5306</f>
        <v>FEDEX GROUND</v>
      </c>
      <c r="P96" s="284">
        <f>'Profits 2016'!U5306</f>
        <v>702723287617</v>
      </c>
      <c r="Q96" s="284" t="s">
        <v>314</v>
      </c>
      <c r="R96" s="276">
        <v>28.27</v>
      </c>
      <c r="S96" s="275" t="s">
        <v>15733</v>
      </c>
      <c r="T96" s="279">
        <v>42632</v>
      </c>
      <c r="U96" s="279">
        <v>42639</v>
      </c>
      <c r="V96" s="279">
        <v>42643</v>
      </c>
      <c r="W96" s="293">
        <v>0</v>
      </c>
      <c r="X96" s="236">
        <v>9030</v>
      </c>
      <c r="AF96" s="276">
        <f t="shared" si="8"/>
        <v>76.27</v>
      </c>
      <c r="AG96" s="276">
        <f t="shared" si="5"/>
        <v>28.27</v>
      </c>
      <c r="AH96" s="276">
        <f t="shared" si="6"/>
        <v>81.86054</v>
      </c>
      <c r="AI96" s="283">
        <f t="shared" si="7"/>
        <v>1.0732993313229318</v>
      </c>
    </row>
    <row r="97" spans="1:35" ht="30" x14ac:dyDescent="0.25">
      <c r="A97" s="275">
        <f>'Profits 2016'!A5307</f>
        <v>3004171</v>
      </c>
      <c r="B97" s="279">
        <f>'Profits 2016'!B5307</f>
        <v>42619</v>
      </c>
      <c r="C97" s="276">
        <f>'Profits 2016'!H5307</f>
        <v>320</v>
      </c>
      <c r="D97" s="280">
        <f>'Profits 2016'!K5307</f>
        <v>284.82</v>
      </c>
      <c r="E97" s="276">
        <f>'Profits 2016'!L5307</f>
        <v>0</v>
      </c>
      <c r="F97" s="275" t="str">
        <f>'Profits 2016'!P5307</f>
        <v>Thea</v>
      </c>
      <c r="G97" s="292">
        <f>'Profits 2016'!N5307-'Profits 2016'!M5307</f>
        <v>0</v>
      </c>
      <c r="H97" s="319"/>
      <c r="I97" s="320"/>
      <c r="J97" s="321"/>
      <c r="K97" s="321"/>
      <c r="L97" s="321"/>
      <c r="M97" s="319"/>
      <c r="N97" s="322"/>
      <c r="O97" s="236" t="str">
        <f>'Profits 2016'!T5307</f>
        <v>FEDEX GROUND</v>
      </c>
      <c r="P97" s="284">
        <f>'Profits 2016'!U5307</f>
        <v>675157529514</v>
      </c>
      <c r="Q97" s="284" t="s">
        <v>314</v>
      </c>
      <c r="R97" s="276">
        <v>49.35</v>
      </c>
      <c r="S97" s="275" t="s">
        <v>15739</v>
      </c>
      <c r="T97" s="279">
        <v>42639</v>
      </c>
      <c r="U97" s="279">
        <v>42646</v>
      </c>
      <c r="V97" s="279">
        <v>42657</v>
      </c>
      <c r="W97" s="293">
        <v>0</v>
      </c>
      <c r="X97" s="236">
        <v>9175</v>
      </c>
      <c r="AF97" s="276">
        <f t="shared" si="8"/>
        <v>49.35</v>
      </c>
      <c r="AG97" s="276">
        <f t="shared" si="5"/>
        <v>49.35</v>
      </c>
      <c r="AH97" s="276">
        <f t="shared" si="6"/>
        <v>235.47</v>
      </c>
      <c r="AI97" s="283">
        <f t="shared" si="7"/>
        <v>4.7714285714285714</v>
      </c>
    </row>
    <row r="98" spans="1:35" ht="30" x14ac:dyDescent="0.25">
      <c r="A98" s="275">
        <f>'Profits 2016'!A5308</f>
        <v>3004172</v>
      </c>
      <c r="B98" s="279">
        <f>'Profits 2016'!B5308</f>
        <v>42619</v>
      </c>
      <c r="C98" s="276">
        <f>'Profits 2016'!H5308</f>
        <v>262.14999999999998</v>
      </c>
      <c r="D98" s="280">
        <f>'Profits 2016'!K5308</f>
        <v>233.27564999999998</v>
      </c>
      <c r="E98" s="276">
        <f>'Profits 2016'!L5308</f>
        <v>1322</v>
      </c>
      <c r="F98" s="275" t="str">
        <f>'Profits 2016'!P5308</f>
        <v>Nassau</v>
      </c>
      <c r="G98" s="292">
        <f>'Profits 2016'!N5308-'Profits 2016'!M5308</f>
        <v>132.20000000000002</v>
      </c>
      <c r="H98" s="319"/>
      <c r="I98" s="320"/>
      <c r="J98" s="321"/>
      <c r="K98" s="321"/>
      <c r="L98" s="321"/>
      <c r="M98" s="319"/>
      <c r="N98" s="322"/>
      <c r="O98" s="236" t="str">
        <f>'Profits 2016'!T5308</f>
        <v>FEDEX GROUND</v>
      </c>
      <c r="P98" s="284">
        <f>'Profits 2016'!U5308</f>
        <v>702723287352</v>
      </c>
      <c r="Q98" s="284" t="s">
        <v>314</v>
      </c>
      <c r="R98" s="276">
        <v>26.75</v>
      </c>
      <c r="S98" s="275" t="s">
        <v>15733</v>
      </c>
      <c r="T98" s="279">
        <v>42632</v>
      </c>
      <c r="U98" s="279">
        <v>42639</v>
      </c>
      <c r="V98" s="279">
        <v>42643</v>
      </c>
      <c r="W98" s="293">
        <v>0</v>
      </c>
      <c r="X98" s="236">
        <v>9030</v>
      </c>
      <c r="AF98" s="276">
        <f t="shared" si="8"/>
        <v>158.95000000000002</v>
      </c>
      <c r="AG98" s="276">
        <f t="shared" si="5"/>
        <v>26.75</v>
      </c>
      <c r="AH98" s="276">
        <f t="shared" si="6"/>
        <v>206.52564999999998</v>
      </c>
      <c r="AI98" s="283">
        <f t="shared" si="7"/>
        <v>1.2993120478137776</v>
      </c>
    </row>
    <row r="99" spans="1:35" ht="30" x14ac:dyDescent="0.25">
      <c r="A99" s="275">
        <f>'Profits 2016'!A5309</f>
        <v>3004173</v>
      </c>
      <c r="B99" s="279">
        <f>'Profits 2016'!B5309</f>
        <v>42619</v>
      </c>
      <c r="C99" s="276">
        <f>'Profits 2016'!H5309</f>
        <v>167</v>
      </c>
      <c r="D99" s="280">
        <f>'Profits 2016'!K5309</f>
        <v>148.49699999999999</v>
      </c>
      <c r="E99" s="276">
        <f>'Profits 2016'!L5309</f>
        <v>480</v>
      </c>
      <c r="F99" s="275" t="str">
        <f>'Profits 2016'!P5309</f>
        <v>Nassau</v>
      </c>
      <c r="G99" s="292">
        <f>'Profits 2016'!N5309-'Profits 2016'!M5309</f>
        <v>60.000000000000007</v>
      </c>
      <c r="H99" s="319"/>
      <c r="I99" s="320"/>
      <c r="J99" s="321"/>
      <c r="K99" s="321"/>
      <c r="L99" s="321"/>
      <c r="M99" s="319"/>
      <c r="N99" s="322"/>
      <c r="O99" s="236" t="str">
        <f>'Profits 2016'!T5309</f>
        <v>FEDEX GROUND</v>
      </c>
      <c r="P99" s="284">
        <f>'Profits 2016'!U5309</f>
        <v>702723287628</v>
      </c>
      <c r="Q99" s="284" t="s">
        <v>314</v>
      </c>
      <c r="R99" s="276">
        <v>17.46</v>
      </c>
      <c r="S99" s="275" t="s">
        <v>15739</v>
      </c>
      <c r="T99" s="279">
        <v>42639</v>
      </c>
      <c r="U99" s="279">
        <v>42646</v>
      </c>
      <c r="V99" s="279">
        <v>42657</v>
      </c>
      <c r="W99" s="293">
        <v>0</v>
      </c>
      <c r="X99" s="236">
        <v>9175</v>
      </c>
      <c r="AF99" s="276">
        <f t="shared" si="8"/>
        <v>77.460000000000008</v>
      </c>
      <c r="AG99" s="276">
        <f t="shared" si="5"/>
        <v>17.46</v>
      </c>
      <c r="AH99" s="276">
        <f t="shared" si="6"/>
        <v>131.03699999999998</v>
      </c>
      <c r="AI99" s="283">
        <f t="shared" si="7"/>
        <v>1.6916731216111536</v>
      </c>
    </row>
    <row r="100" spans="1:35" ht="30" x14ac:dyDescent="0.25">
      <c r="A100" s="275">
        <f>'Profits 2016'!A5310</f>
        <v>3004174</v>
      </c>
      <c r="B100" s="279">
        <f>'Profits 2016'!B5310</f>
        <v>42619</v>
      </c>
      <c r="C100" s="276">
        <f>'Profits 2016'!H5310</f>
        <v>245</v>
      </c>
      <c r="D100" s="280">
        <f>'Profits 2016'!K5310</f>
        <v>217.99499999999998</v>
      </c>
      <c r="E100" s="276">
        <f>'Profits 2016'!L5310</f>
        <v>1322</v>
      </c>
      <c r="F100" s="275" t="str">
        <f>'Profits 2016'!P5310</f>
        <v>Nassau</v>
      </c>
      <c r="G100" s="292">
        <f>'Profits 2016'!N5310-'Profits 2016'!M5310</f>
        <v>132.20000000000002</v>
      </c>
      <c r="H100" s="319"/>
      <c r="I100" s="320"/>
      <c r="J100" s="321"/>
      <c r="K100" s="321"/>
      <c r="L100" s="321"/>
      <c r="M100" s="319"/>
      <c r="N100" s="322"/>
      <c r="O100" s="236" t="str">
        <f>'Profits 2016'!T5310</f>
        <v>FEDEX GROUND</v>
      </c>
      <c r="P100" s="284">
        <f>'Profits 2016'!U5310</f>
        <v>702723287385</v>
      </c>
      <c r="Q100" s="284" t="s">
        <v>314</v>
      </c>
      <c r="R100" s="276">
        <v>26.8</v>
      </c>
      <c r="S100" s="275" t="s">
        <v>15739</v>
      </c>
      <c r="T100" s="279">
        <v>42639</v>
      </c>
      <c r="U100" s="279">
        <v>42643</v>
      </c>
      <c r="V100" s="279">
        <v>42657</v>
      </c>
      <c r="W100" s="293">
        <v>0</v>
      </c>
      <c r="X100" s="236">
        <v>9175</v>
      </c>
      <c r="AF100" s="276">
        <f t="shared" si="8"/>
        <v>159.00000000000003</v>
      </c>
      <c r="AG100" s="276">
        <f t="shared" si="5"/>
        <v>26.8</v>
      </c>
      <c r="AH100" s="276">
        <f t="shared" si="6"/>
        <v>191.19499999999996</v>
      </c>
      <c r="AI100" s="283">
        <f t="shared" si="7"/>
        <v>1.2024842767295594</v>
      </c>
    </row>
    <row r="101" spans="1:35" x14ac:dyDescent="0.25">
      <c r="A101" s="275">
        <f>'Profits 2016'!A5311</f>
        <v>3004175</v>
      </c>
      <c r="B101" s="279">
        <f>'Profits 2016'!B5311</f>
        <v>42619</v>
      </c>
      <c r="C101" s="276">
        <f>'Profits 2016'!H5311</f>
        <v>0</v>
      </c>
      <c r="D101" s="280">
        <f>'Profits 2016'!K5311</f>
        <v>-0.3</v>
      </c>
      <c r="E101" s="276">
        <f>'Profits 2016'!L5311</f>
        <v>0</v>
      </c>
      <c r="F101" s="275" t="str">
        <f>'Profits 2016'!P5311</f>
        <v>N/A</v>
      </c>
      <c r="G101" s="292">
        <f>'Profits 2016'!N5311-'Profits 2016'!M5311</f>
        <v>0</v>
      </c>
      <c r="O101" s="236">
        <f>'Profits 2016'!T5311</f>
        <v>0</v>
      </c>
      <c r="P101" s="284">
        <f>'Profits 2016'!U5311</f>
        <v>0</v>
      </c>
      <c r="AF101" s="276">
        <f t="shared" si="8"/>
        <v>0</v>
      </c>
      <c r="AG101" s="276">
        <f t="shared" si="5"/>
        <v>0</v>
      </c>
      <c r="AH101" s="276">
        <f t="shared" si="6"/>
        <v>-0.3</v>
      </c>
      <c r="AI101" s="283" t="e">
        <f t="shared" si="7"/>
        <v>#DIV/0!</v>
      </c>
    </row>
    <row r="102" spans="1:35" x14ac:dyDescent="0.25">
      <c r="A102" s="275">
        <f>'Profits 2016'!A5312</f>
        <v>3004176</v>
      </c>
      <c r="B102" s="279">
        <f>'Profits 2016'!B5312</f>
        <v>42619</v>
      </c>
      <c r="C102" s="276">
        <f>'Profits 2016'!H5312</f>
        <v>2190</v>
      </c>
      <c r="D102" s="280">
        <f>'Profits 2016'!K5312</f>
        <v>2148.09</v>
      </c>
      <c r="E102" s="276">
        <f>'Profits 2016'!L5312</f>
        <v>1322</v>
      </c>
      <c r="F102" s="275" t="str">
        <f>'Profits 2016'!P5312</f>
        <v>Thea</v>
      </c>
      <c r="G102" s="292">
        <f>'Profits 2016'!N5312-'Profits 2016'!M5312</f>
        <v>1322</v>
      </c>
      <c r="H102" s="319"/>
      <c r="I102" s="320"/>
      <c r="J102" s="321"/>
      <c r="K102" s="321"/>
      <c r="L102" s="321"/>
      <c r="M102" s="319"/>
      <c r="N102" s="322"/>
      <c r="O102" s="236" t="str">
        <f>'Profits 2016'!T5312</f>
        <v>R&amp;L/DLS</v>
      </c>
      <c r="P102" s="284" t="str">
        <f>'Profits 2016'!U5312</f>
        <v>99016350-3</v>
      </c>
      <c r="Q102" s="284" t="s">
        <v>15742</v>
      </c>
      <c r="R102" s="276">
        <v>106.93</v>
      </c>
      <c r="S102" s="275">
        <v>636689714</v>
      </c>
      <c r="T102" s="279">
        <v>42621</v>
      </c>
      <c r="U102" s="279">
        <v>42627</v>
      </c>
      <c r="V102" s="279">
        <v>42636</v>
      </c>
      <c r="W102" s="293">
        <v>106.93</v>
      </c>
      <c r="X102" s="236">
        <v>9009</v>
      </c>
      <c r="AF102" s="276">
        <f t="shared" si="8"/>
        <v>1428.93</v>
      </c>
      <c r="AG102" s="276">
        <f t="shared" si="5"/>
        <v>106.93</v>
      </c>
      <c r="AH102" s="276">
        <f t="shared" si="6"/>
        <v>2041.16</v>
      </c>
      <c r="AI102" s="283">
        <f t="shared" si="7"/>
        <v>1.4284534581819963</v>
      </c>
    </row>
    <row r="103" spans="1:35" x14ac:dyDescent="0.25">
      <c r="A103" s="275">
        <f>'Profits 2016'!A5313</f>
        <v>3004177</v>
      </c>
      <c r="B103" s="279">
        <f>'Profits 2016'!B5313</f>
        <v>42619</v>
      </c>
      <c r="C103" s="276">
        <f>'Profits 2016'!H5313</f>
        <v>1070</v>
      </c>
      <c r="D103" s="280">
        <f>'Profits 2016'!K5313</f>
        <v>1046.1600000000001</v>
      </c>
      <c r="E103" s="276">
        <f>'Profits 2016'!L5313</f>
        <v>1030</v>
      </c>
      <c r="F103" s="275" t="str">
        <f>'Profits 2016'!P5313</f>
        <v>Priority</v>
      </c>
      <c r="G103" s="292">
        <f>'Profits 2016'!N5313-'Profits 2016'!M5313</f>
        <v>154.5</v>
      </c>
      <c r="H103" s="292">
        <v>0</v>
      </c>
      <c r="I103" s="275">
        <v>1053981</v>
      </c>
      <c r="J103" s="277">
        <v>42622</v>
      </c>
      <c r="K103" s="277">
        <v>42633</v>
      </c>
      <c r="L103" s="277">
        <v>42650</v>
      </c>
      <c r="M103" s="292">
        <v>5800.49</v>
      </c>
      <c r="N103" s="281">
        <v>9114</v>
      </c>
      <c r="O103" s="236" t="str">
        <f>'Profits 2016'!T5313</f>
        <v>R&amp;L/DLS</v>
      </c>
      <c r="P103" s="284">
        <f>'Profits 2016'!U5313</f>
        <v>568357182</v>
      </c>
      <c r="Q103" s="284" t="s">
        <v>15740</v>
      </c>
      <c r="R103" s="276">
        <v>105</v>
      </c>
      <c r="S103" s="275">
        <v>1053981</v>
      </c>
      <c r="T103" s="279">
        <v>42622</v>
      </c>
      <c r="U103" s="279">
        <v>42633</v>
      </c>
      <c r="V103" s="279">
        <v>42650</v>
      </c>
      <c r="W103" s="293">
        <v>105</v>
      </c>
      <c r="X103" s="236">
        <v>9114</v>
      </c>
      <c r="AF103" s="276">
        <f t="shared" si="8"/>
        <v>259.5</v>
      </c>
      <c r="AG103" s="276">
        <f t="shared" si="5"/>
        <v>5905.49</v>
      </c>
      <c r="AH103" s="276">
        <f t="shared" si="6"/>
        <v>-4859.33</v>
      </c>
      <c r="AI103" s="283">
        <f t="shared" si="7"/>
        <v>-18.725741811175336</v>
      </c>
    </row>
    <row r="104" spans="1:35" x14ac:dyDescent="0.25">
      <c r="A104" s="275">
        <f>'Profits 2016'!A5314</f>
        <v>0</v>
      </c>
      <c r="B104" s="279">
        <f>'Profits 2016'!B5314</f>
        <v>0</v>
      </c>
      <c r="C104" s="276">
        <f>'Profits 2016'!H5314</f>
        <v>0</v>
      </c>
      <c r="D104" s="280">
        <f>'Profits 2016'!K5314</f>
        <v>0</v>
      </c>
      <c r="E104" s="276">
        <f>'Profits 2016'!L5314</f>
        <v>373</v>
      </c>
      <c r="F104" s="275" t="str">
        <f>'Profits 2016'!P5314</f>
        <v>Priority</v>
      </c>
      <c r="G104" s="292">
        <f>'Profits 2016'!N5314-'Profits 2016'!M5314</f>
        <v>514.74</v>
      </c>
      <c r="H104" s="292">
        <v>0</v>
      </c>
      <c r="I104" s="275">
        <v>1053981</v>
      </c>
      <c r="J104" s="277">
        <v>42622</v>
      </c>
      <c r="K104" s="277">
        <v>42633</v>
      </c>
      <c r="L104" s="277">
        <v>42650</v>
      </c>
      <c r="M104" s="292">
        <v>0</v>
      </c>
      <c r="N104" s="281">
        <v>9114</v>
      </c>
      <c r="O104" s="236">
        <f>'Profits 2016'!T5314</f>
        <v>0</v>
      </c>
      <c r="P104" s="284">
        <f>'Profits 2016'!U5314</f>
        <v>0</v>
      </c>
      <c r="Q104" s="284" t="s">
        <v>15740</v>
      </c>
      <c r="R104" s="276">
        <v>0</v>
      </c>
      <c r="S104" s="275">
        <v>1053981</v>
      </c>
      <c r="T104" s="279">
        <v>42622</v>
      </c>
      <c r="U104" s="279">
        <v>42633</v>
      </c>
      <c r="V104" s="279">
        <v>42650</v>
      </c>
      <c r="W104" s="293">
        <v>0</v>
      </c>
      <c r="X104" s="236">
        <v>9114</v>
      </c>
      <c r="AF104" s="276">
        <f t="shared" si="8"/>
        <v>514.74</v>
      </c>
      <c r="AG104" s="276">
        <f t="shared" si="5"/>
        <v>0</v>
      </c>
      <c r="AH104" s="276">
        <f t="shared" si="6"/>
        <v>0</v>
      </c>
      <c r="AI104" s="283">
        <f t="shared" si="7"/>
        <v>0</v>
      </c>
    </row>
    <row r="105" spans="1:35" ht="30" x14ac:dyDescent="0.25">
      <c r="A105" s="275">
        <f>'Profits 2016'!A5315</f>
        <v>3004178</v>
      </c>
      <c r="B105" s="279">
        <f>'Profits 2016'!B5315</f>
        <v>42619</v>
      </c>
      <c r="C105" s="276">
        <f>'Profits 2016'!H5315</f>
        <v>347.36</v>
      </c>
      <c r="D105" s="280">
        <f>'Profits 2016'!K5315</f>
        <v>339.41808000000003</v>
      </c>
      <c r="E105" s="276">
        <f>'Profits 2016'!L5315</f>
        <v>1259</v>
      </c>
      <c r="F105" s="275" t="str">
        <f>'Profits 2016'!P5315</f>
        <v>Priority</v>
      </c>
      <c r="G105" s="292">
        <f>'Profits 2016'!N5315-'Profits 2016'!M5315</f>
        <v>151.07999999999998</v>
      </c>
      <c r="H105" s="292">
        <v>0</v>
      </c>
      <c r="I105" s="275">
        <v>1052860</v>
      </c>
      <c r="J105" s="277">
        <v>42620</v>
      </c>
      <c r="K105" s="277">
        <v>42627</v>
      </c>
      <c r="L105" s="277">
        <v>42650</v>
      </c>
      <c r="M105" s="292">
        <v>196.63</v>
      </c>
      <c r="N105" s="281">
        <v>9112</v>
      </c>
      <c r="O105" s="236" t="str">
        <f>'Profits 2016'!T5315</f>
        <v>FEDEX GROUND</v>
      </c>
      <c r="P105" s="284" t="str">
        <f>'Profits 2016'!U5315</f>
        <v xml:space="preserve">	614697966802</v>
      </c>
      <c r="Q105" s="284" t="s">
        <v>15740</v>
      </c>
      <c r="R105" s="276">
        <v>45.55</v>
      </c>
      <c r="S105" s="275">
        <v>1052860</v>
      </c>
      <c r="T105" s="279">
        <v>42620</v>
      </c>
      <c r="U105" s="279">
        <v>42627</v>
      </c>
      <c r="V105" s="279">
        <v>42650</v>
      </c>
      <c r="W105" s="293">
        <v>45.55</v>
      </c>
      <c r="X105" s="236">
        <v>9112</v>
      </c>
      <c r="AF105" s="276">
        <f t="shared" si="8"/>
        <v>196.63</v>
      </c>
      <c r="AG105" s="276">
        <f t="shared" si="5"/>
        <v>242.18</v>
      </c>
      <c r="AH105" s="276">
        <f t="shared" si="6"/>
        <v>97.238080000000025</v>
      </c>
      <c r="AI105" s="283">
        <f t="shared" si="7"/>
        <v>0.49452311447897079</v>
      </c>
    </row>
    <row r="106" spans="1:35" ht="30" x14ac:dyDescent="0.25">
      <c r="A106" s="275">
        <f>'Profits 2016'!A5316</f>
        <v>3004179</v>
      </c>
      <c r="B106" s="279">
        <f>'Profits 2016'!B5316</f>
        <v>42619</v>
      </c>
      <c r="C106" s="276">
        <f>'Profits 2016'!H5316</f>
        <v>125.93</v>
      </c>
      <c r="D106" s="280">
        <f>'Profits 2016'!K5316</f>
        <v>107.04050000000001</v>
      </c>
      <c r="E106" s="276">
        <f>'Profits 2016'!L5316</f>
        <v>0</v>
      </c>
      <c r="F106" s="275" t="str">
        <f>'Profits 2016'!P5316</f>
        <v>Nassau</v>
      </c>
      <c r="G106" s="292">
        <f>'Profits 2016'!N5316-'Profits 2016'!M5316</f>
        <v>0</v>
      </c>
      <c r="H106" s="319"/>
      <c r="I106" s="320"/>
      <c r="J106" s="321"/>
      <c r="K106" s="321"/>
      <c r="L106" s="321"/>
      <c r="M106" s="319"/>
      <c r="N106" s="322"/>
      <c r="O106" s="236" t="str">
        <f>'Profits 2016'!T5316</f>
        <v>FEDEX GROUND</v>
      </c>
      <c r="P106" s="284">
        <f>'Profits 2016'!U5316</f>
        <v>702723287525</v>
      </c>
      <c r="Q106" s="284" t="s">
        <v>314</v>
      </c>
      <c r="R106" s="276">
        <v>19.54</v>
      </c>
      <c r="S106" s="275" t="s">
        <v>15733</v>
      </c>
      <c r="T106" s="279">
        <v>42632</v>
      </c>
      <c r="U106" s="279">
        <v>42639</v>
      </c>
      <c r="V106" s="279">
        <v>42643</v>
      </c>
      <c r="W106" s="293">
        <v>0</v>
      </c>
      <c r="X106" s="236">
        <v>9030</v>
      </c>
      <c r="AF106" s="276">
        <f t="shared" si="8"/>
        <v>19.54</v>
      </c>
      <c r="AG106" s="276">
        <f t="shared" si="5"/>
        <v>19.54</v>
      </c>
      <c r="AH106" s="276">
        <f t="shared" si="6"/>
        <v>87.500500000000017</v>
      </c>
      <c r="AI106" s="283">
        <f t="shared" si="7"/>
        <v>4.4780194472876165</v>
      </c>
    </row>
    <row r="107" spans="1:35" ht="30" x14ac:dyDescent="0.25">
      <c r="A107" s="275">
        <f>'Profits 2016'!A5317</f>
        <v>3004180</v>
      </c>
      <c r="B107" s="279">
        <f>'Profits 2016'!B5317</f>
        <v>42619</v>
      </c>
      <c r="C107" s="276">
        <f>'Profits 2016'!H5317</f>
        <v>193.04</v>
      </c>
      <c r="D107" s="280">
        <f>'Profits 2016'!K5317</f>
        <v>164.084</v>
      </c>
      <c r="E107" s="276">
        <f>'Profits 2016'!L5317</f>
        <v>950</v>
      </c>
      <c r="F107" s="275" t="str">
        <f>'Profits 2016'!P5317</f>
        <v>Nassau</v>
      </c>
      <c r="G107" s="292">
        <f>'Profits 2016'!N5317-'Profits 2016'!M5317</f>
        <v>95</v>
      </c>
      <c r="H107" s="319"/>
      <c r="I107" s="320"/>
      <c r="J107" s="321"/>
      <c r="K107" s="321"/>
      <c r="L107" s="321"/>
      <c r="M107" s="319"/>
      <c r="N107" s="322"/>
      <c r="O107" s="236" t="str">
        <f>'Profits 2016'!T5317</f>
        <v>FEDEX GROUND</v>
      </c>
      <c r="P107" s="284" t="str">
        <f>'Profits 2016'!U5317</f>
        <v xml:space="preserve">	702723287514</v>
      </c>
      <c r="Q107" s="284" t="s">
        <v>314</v>
      </c>
      <c r="R107" s="276">
        <v>42.09</v>
      </c>
      <c r="S107" s="275" t="s">
        <v>15739</v>
      </c>
      <c r="T107" s="279">
        <v>42639</v>
      </c>
      <c r="U107" s="279">
        <v>42646</v>
      </c>
      <c r="V107" s="279">
        <v>42657</v>
      </c>
      <c r="W107" s="293">
        <v>0</v>
      </c>
      <c r="X107" s="236">
        <v>9175</v>
      </c>
      <c r="AF107" s="276">
        <f t="shared" si="8"/>
        <v>137.09</v>
      </c>
      <c r="AG107" s="276">
        <f t="shared" si="5"/>
        <v>42.09</v>
      </c>
      <c r="AH107" s="276">
        <f t="shared" si="6"/>
        <v>121.994</v>
      </c>
      <c r="AI107" s="283">
        <f t="shared" si="7"/>
        <v>0.88988255890291046</v>
      </c>
    </row>
    <row r="108" spans="1:35" ht="30" x14ac:dyDescent="0.25">
      <c r="A108" s="275">
        <f>'Profits 2016'!A5318</f>
        <v>3004181</v>
      </c>
      <c r="B108" s="279">
        <f>'Profits 2016'!B5318</f>
        <v>42619</v>
      </c>
      <c r="C108" s="276">
        <f>'Profits 2016'!H5318</f>
        <v>177.37</v>
      </c>
      <c r="D108" s="280">
        <f>'Profits 2016'!K5318</f>
        <v>150.7645</v>
      </c>
      <c r="E108" s="276">
        <f>'Profits 2016'!L5318</f>
        <v>698</v>
      </c>
      <c r="F108" s="275" t="str">
        <f>'Profits 2016'!P5318</f>
        <v>Nassau</v>
      </c>
      <c r="G108" s="292">
        <f>'Profits 2016'!N5318-'Profits 2016'!M5318</f>
        <v>69.8</v>
      </c>
      <c r="H108" s="319"/>
      <c r="I108" s="320"/>
      <c r="J108" s="321"/>
      <c r="K108" s="321"/>
      <c r="L108" s="321"/>
      <c r="M108" s="319"/>
      <c r="N108" s="322"/>
      <c r="O108" s="236" t="str">
        <f>'Profits 2016'!T5318</f>
        <v>FEDEX GROUND</v>
      </c>
      <c r="P108" s="284">
        <f>'Profits 2016'!U5318</f>
        <v>702723287580</v>
      </c>
      <c r="Q108" s="284" t="s">
        <v>314</v>
      </c>
      <c r="R108" s="276">
        <v>31.52</v>
      </c>
      <c r="S108" s="275" t="s">
        <v>15733</v>
      </c>
      <c r="T108" s="279">
        <v>42632</v>
      </c>
      <c r="U108" s="279">
        <v>42639</v>
      </c>
      <c r="V108" s="279">
        <v>42643</v>
      </c>
      <c r="W108" s="293">
        <v>0</v>
      </c>
      <c r="X108" s="236">
        <v>9030</v>
      </c>
      <c r="AF108" s="276">
        <f t="shared" si="8"/>
        <v>101.32</v>
      </c>
      <c r="AG108" s="276">
        <f t="shared" si="5"/>
        <v>31.52</v>
      </c>
      <c r="AH108" s="276">
        <f t="shared" si="6"/>
        <v>119.2445</v>
      </c>
      <c r="AI108" s="283">
        <f t="shared" si="7"/>
        <v>1.1769097907619424</v>
      </c>
    </row>
    <row r="109" spans="1:35" ht="30" x14ac:dyDescent="0.25">
      <c r="A109" s="275">
        <f>'Profits 2016'!A5319</f>
        <v>3004182</v>
      </c>
      <c r="B109" s="279">
        <f>'Profits 2016'!B5319</f>
        <v>42619</v>
      </c>
      <c r="C109" s="276">
        <f>'Profits 2016'!H5319</f>
        <v>112.29</v>
      </c>
      <c r="D109" s="280">
        <f>'Profits 2016'!K5319</f>
        <v>95.446500000000015</v>
      </c>
      <c r="E109" s="276">
        <f>'Profits 2016'!L5319</f>
        <v>950</v>
      </c>
      <c r="F109" s="275" t="str">
        <f>'Profits 2016'!P5319</f>
        <v>Nassau</v>
      </c>
      <c r="G109" s="292">
        <f>'Profits 2016'!N5319-'Profits 2016'!M5319</f>
        <v>47.5</v>
      </c>
      <c r="H109" s="319"/>
      <c r="I109" s="320"/>
      <c r="J109" s="321"/>
      <c r="K109" s="321"/>
      <c r="L109" s="321"/>
      <c r="M109" s="319"/>
      <c r="N109" s="322"/>
      <c r="O109" s="236" t="str">
        <f>'Profits 2016'!T5319</f>
        <v>FEDEX GROUND</v>
      </c>
      <c r="P109" s="284" t="str">
        <f>'Profits 2016'!U5319</f>
        <v xml:space="preserve">	702723287547</v>
      </c>
      <c r="Q109" s="284" t="s">
        <v>314</v>
      </c>
      <c r="R109" s="276">
        <v>21.5</v>
      </c>
      <c r="S109" s="275" t="s">
        <v>15739</v>
      </c>
      <c r="T109" s="279">
        <v>42639</v>
      </c>
      <c r="U109" s="279">
        <v>42646</v>
      </c>
      <c r="V109" s="279">
        <v>42657</v>
      </c>
      <c r="W109" s="293">
        <v>0</v>
      </c>
      <c r="X109" s="236">
        <v>9175</v>
      </c>
      <c r="AF109" s="276">
        <f t="shared" si="8"/>
        <v>69</v>
      </c>
      <c r="AG109" s="276">
        <f t="shared" si="5"/>
        <v>21.5</v>
      </c>
      <c r="AH109" s="276">
        <f t="shared" si="6"/>
        <v>73.946500000000015</v>
      </c>
      <c r="AI109" s="283">
        <f t="shared" si="7"/>
        <v>1.0716884057971017</v>
      </c>
    </row>
    <row r="110" spans="1:35" ht="30" x14ac:dyDescent="0.25">
      <c r="A110" s="275">
        <f>'Profits 2016'!A5320</f>
        <v>3004183</v>
      </c>
      <c r="B110" s="279">
        <f>'Profits 2016'!B5320</f>
        <v>42619</v>
      </c>
      <c r="C110" s="276">
        <f>'Profits 2016'!H5320</f>
        <v>112.29</v>
      </c>
      <c r="D110" s="280">
        <f>'Profits 2016'!K5320</f>
        <v>95.446500000000015</v>
      </c>
      <c r="E110" s="276">
        <f>'Profits 2016'!L5320</f>
        <v>950</v>
      </c>
      <c r="F110" s="275" t="str">
        <f>'Profits 2016'!P5320</f>
        <v>Nassau</v>
      </c>
      <c r="G110" s="292">
        <f>'Profits 2016'!N5320-'Profits 2016'!M5320</f>
        <v>47.5</v>
      </c>
      <c r="H110" s="319"/>
      <c r="I110" s="320"/>
      <c r="J110" s="321"/>
      <c r="K110" s="321"/>
      <c r="L110" s="321"/>
      <c r="M110" s="319"/>
      <c r="N110" s="322"/>
      <c r="O110" s="236" t="str">
        <f>'Profits 2016'!T5320</f>
        <v>FEDEX GROUND</v>
      </c>
      <c r="P110" s="284" t="str">
        <f>'Profits 2016'!U5320</f>
        <v xml:space="preserve">	702723287570</v>
      </c>
      <c r="Q110" s="284" t="s">
        <v>314</v>
      </c>
      <c r="R110" s="276">
        <v>15.81</v>
      </c>
      <c r="S110" s="275" t="s">
        <v>15733</v>
      </c>
      <c r="T110" s="279">
        <v>42632</v>
      </c>
      <c r="U110" s="279">
        <v>42639</v>
      </c>
      <c r="V110" s="279">
        <v>42643</v>
      </c>
      <c r="W110" s="293">
        <v>0</v>
      </c>
      <c r="X110" s="236">
        <v>9030</v>
      </c>
      <c r="AF110" s="276">
        <f t="shared" si="8"/>
        <v>63.31</v>
      </c>
      <c r="AG110" s="276">
        <f t="shared" si="5"/>
        <v>15.81</v>
      </c>
      <c r="AH110" s="276">
        <f t="shared" si="6"/>
        <v>79.636500000000012</v>
      </c>
      <c r="AI110" s="283">
        <f t="shared" si="7"/>
        <v>1.2578818512083401</v>
      </c>
    </row>
    <row r="111" spans="1:35" ht="30" x14ac:dyDescent="0.25">
      <c r="A111" s="275">
        <f>'Profits 2016'!A5321</f>
        <v>3004184</v>
      </c>
      <c r="B111" s="279">
        <f>'Profits 2016'!B5321</f>
        <v>42619</v>
      </c>
      <c r="C111" s="276">
        <f>'Profits 2016'!H5321</f>
        <v>115.4</v>
      </c>
      <c r="D111" s="280">
        <f>'Profits 2016'!K5321</f>
        <v>98.09</v>
      </c>
      <c r="E111" s="276">
        <f>'Profits 2016'!L5321</f>
        <v>350</v>
      </c>
      <c r="F111" s="275" t="str">
        <f>'Profits 2016'!P5321</f>
        <v>Direct</v>
      </c>
      <c r="G111" s="292">
        <f>'Profits 2016'!N5321-'Profits 2016'!M5321</f>
        <v>70</v>
      </c>
      <c r="H111" s="292">
        <v>0</v>
      </c>
      <c r="I111" s="275">
        <v>72228</v>
      </c>
      <c r="J111" s="277">
        <v>42620</v>
      </c>
      <c r="K111" s="277">
        <v>42627</v>
      </c>
      <c r="L111" s="277">
        <v>42629</v>
      </c>
      <c r="M111" s="292">
        <v>68.599999999999994</v>
      </c>
      <c r="N111" s="281">
        <v>8965</v>
      </c>
      <c r="O111" s="236" t="str">
        <f>'Profits 2016'!T5321</f>
        <v>FEDEX GROUND</v>
      </c>
      <c r="P111" s="284">
        <f>'Profits 2016'!U5321</f>
        <v>630512244619</v>
      </c>
      <c r="Q111" s="284" t="s">
        <v>314</v>
      </c>
      <c r="R111" s="276">
        <v>12.85</v>
      </c>
      <c r="S111" s="275" t="s">
        <v>15733</v>
      </c>
      <c r="T111" s="279">
        <v>42632</v>
      </c>
      <c r="U111" s="279">
        <v>42639</v>
      </c>
      <c r="V111" s="279">
        <v>42643</v>
      </c>
      <c r="W111" s="293">
        <v>0</v>
      </c>
      <c r="X111" s="236">
        <v>9030</v>
      </c>
      <c r="AF111" s="276">
        <f t="shared" si="8"/>
        <v>82.85</v>
      </c>
      <c r="AG111" s="276">
        <f t="shared" si="5"/>
        <v>81.449999999999989</v>
      </c>
      <c r="AH111" s="276">
        <f t="shared" si="6"/>
        <v>16.640000000000015</v>
      </c>
      <c r="AI111" s="283">
        <f t="shared" si="7"/>
        <v>0.2008449004224504</v>
      </c>
    </row>
    <row r="112" spans="1:35" ht="30" x14ac:dyDescent="0.25">
      <c r="A112" s="275">
        <f>'Profits 2016'!A5322</f>
        <v>3004185</v>
      </c>
      <c r="B112" s="279">
        <f>'Profits 2016'!B5322</f>
        <v>42619</v>
      </c>
      <c r="C112" s="276">
        <f>'Profits 2016'!H5322</f>
        <v>111.16</v>
      </c>
      <c r="D112" s="280">
        <f>'Profits 2016'!K5322</f>
        <v>94.48599999999999</v>
      </c>
      <c r="E112" s="276">
        <f>'Profits 2016'!L5322</f>
        <v>950</v>
      </c>
      <c r="F112" s="275" t="str">
        <f>'Profits 2016'!P5322</f>
        <v>Nassau</v>
      </c>
      <c r="G112" s="292">
        <f>'Profits 2016'!N5322-'Profits 2016'!M5322</f>
        <v>47.5</v>
      </c>
      <c r="H112" s="319"/>
      <c r="I112" s="320"/>
      <c r="J112" s="321"/>
      <c r="K112" s="321"/>
      <c r="L112" s="321"/>
      <c r="M112" s="319"/>
      <c r="N112" s="322"/>
      <c r="O112" s="236" t="str">
        <f>'Profits 2016'!T5322</f>
        <v>FEDEX GROUND</v>
      </c>
      <c r="P112" s="284" t="str">
        <f>'Profits 2016'!U5322</f>
        <v xml:space="preserve">	702723287569</v>
      </c>
      <c r="Q112" s="284" t="s">
        <v>314</v>
      </c>
      <c r="R112" s="276">
        <v>32</v>
      </c>
      <c r="S112" s="275" t="s">
        <v>15739</v>
      </c>
      <c r="T112" s="279">
        <v>42639</v>
      </c>
      <c r="U112" s="279">
        <v>42646</v>
      </c>
      <c r="V112" s="279">
        <v>42657</v>
      </c>
      <c r="W112" s="293">
        <v>0</v>
      </c>
      <c r="X112" s="236">
        <v>9175</v>
      </c>
      <c r="AF112" s="276">
        <f t="shared" si="8"/>
        <v>79.5</v>
      </c>
      <c r="AG112" s="276">
        <f t="shared" si="5"/>
        <v>32</v>
      </c>
      <c r="AH112" s="276">
        <f t="shared" si="6"/>
        <v>62.48599999999999</v>
      </c>
      <c r="AI112" s="283">
        <f t="shared" si="7"/>
        <v>0.78598742138364763</v>
      </c>
    </row>
    <row r="113" spans="1:35" ht="30" x14ac:dyDescent="0.25">
      <c r="A113" s="275">
        <f>'Profits 2016'!A5323</f>
        <v>3004186</v>
      </c>
      <c r="B113" s="279">
        <f>'Profits 2016'!B5323</f>
        <v>42619</v>
      </c>
      <c r="C113" s="276">
        <f>'Profits 2016'!H5323</f>
        <v>148.5</v>
      </c>
      <c r="D113" s="280">
        <f>'Profits 2016'!K5323</f>
        <v>126.22499999999999</v>
      </c>
      <c r="E113" s="276">
        <f>'Profits 2016'!L5323</f>
        <v>990</v>
      </c>
      <c r="F113" s="275" t="str">
        <f>'Profits 2016'!P5323</f>
        <v>Nassau</v>
      </c>
      <c r="G113" s="292">
        <f>'Profits 2016'!N5323-'Profits 2016'!M5323</f>
        <v>49.5</v>
      </c>
      <c r="H113" s="319"/>
      <c r="I113" s="320"/>
      <c r="J113" s="321"/>
      <c r="K113" s="321"/>
      <c r="L113" s="321"/>
      <c r="M113" s="319"/>
      <c r="N113" s="322"/>
      <c r="O113" s="236" t="str">
        <f>'Profits 2016'!T5323</f>
        <v>FEDEX GROUND</v>
      </c>
      <c r="P113" s="284">
        <f>'Profits 2016'!U5323</f>
        <v>702723287606</v>
      </c>
      <c r="Q113" s="284" t="s">
        <v>314</v>
      </c>
      <c r="R113" s="276">
        <v>28.26</v>
      </c>
      <c r="S113" s="275" t="s">
        <v>15733</v>
      </c>
      <c r="T113" s="279">
        <v>42632</v>
      </c>
      <c r="U113" s="279">
        <v>42639</v>
      </c>
      <c r="V113" s="279">
        <v>42643</v>
      </c>
      <c r="W113" s="293">
        <v>0</v>
      </c>
      <c r="X113" s="236">
        <v>9030</v>
      </c>
      <c r="AF113" s="276">
        <f t="shared" si="8"/>
        <v>77.760000000000005</v>
      </c>
      <c r="AG113" s="276">
        <f t="shared" si="5"/>
        <v>28.26</v>
      </c>
      <c r="AH113" s="276">
        <f t="shared" si="6"/>
        <v>97.964999999999989</v>
      </c>
      <c r="AI113" s="283">
        <f t="shared" si="7"/>
        <v>1.2598379629629628</v>
      </c>
    </row>
    <row r="114" spans="1:35" ht="30" x14ac:dyDescent="0.25">
      <c r="A114" s="275">
        <f>'Profits 2016'!A5324</f>
        <v>3004187</v>
      </c>
      <c r="B114" s="279">
        <f>'Profits 2016'!B5324</f>
        <v>42619</v>
      </c>
      <c r="C114" s="276">
        <f>'Profits 2016'!H5324</f>
        <v>141</v>
      </c>
      <c r="D114" s="280">
        <f>'Profits 2016'!K5324</f>
        <v>119.85</v>
      </c>
      <c r="E114" s="276">
        <f>'Profits 2016'!L5324</f>
        <v>577</v>
      </c>
      <c r="F114" s="275" t="str">
        <f>'Profits 2016'!P5324</f>
        <v>Nassau</v>
      </c>
      <c r="G114" s="292">
        <f>'Profits 2016'!N5324-'Profits 2016'!M5324</f>
        <v>57.7</v>
      </c>
      <c r="H114" s="319"/>
      <c r="I114" s="320"/>
      <c r="J114" s="321"/>
      <c r="K114" s="321"/>
      <c r="L114" s="321"/>
      <c r="M114" s="319"/>
      <c r="N114" s="322"/>
      <c r="O114" s="236" t="str">
        <f>'Profits 2016'!T5324</f>
        <v>FEDEX GROUND</v>
      </c>
      <c r="P114" s="284">
        <f>'Profits 2016'!U5324</f>
        <v>702723287422</v>
      </c>
      <c r="Q114" s="284" t="s">
        <v>314</v>
      </c>
      <c r="R114" s="276">
        <v>28.16</v>
      </c>
      <c r="S114" s="275" t="s">
        <v>15733</v>
      </c>
      <c r="T114" s="279">
        <v>42632</v>
      </c>
      <c r="U114" s="279">
        <v>42639</v>
      </c>
      <c r="V114" s="279">
        <v>42643</v>
      </c>
      <c r="W114" s="293">
        <v>0</v>
      </c>
      <c r="X114" s="236">
        <v>9030</v>
      </c>
      <c r="AF114" s="276">
        <f t="shared" si="8"/>
        <v>85.86</v>
      </c>
      <c r="AG114" s="276">
        <f t="shared" si="5"/>
        <v>28.16</v>
      </c>
      <c r="AH114" s="276">
        <f t="shared" si="6"/>
        <v>91.69</v>
      </c>
      <c r="AI114" s="283">
        <f t="shared" si="7"/>
        <v>1.0679012345679013</v>
      </c>
    </row>
    <row r="115" spans="1:35" ht="30" x14ac:dyDescent="0.25">
      <c r="A115" s="275">
        <f>'Profits 2016'!A5325</f>
        <v>3004188</v>
      </c>
      <c r="B115" s="279">
        <f>'Profits 2016'!B5325</f>
        <v>42619</v>
      </c>
      <c r="C115" s="276">
        <f>'Profits 2016'!H5325</f>
        <v>242.55</v>
      </c>
      <c r="D115" s="280">
        <f>'Profits 2016'!K5325</f>
        <v>206.16750000000002</v>
      </c>
      <c r="E115" s="276">
        <f>'Profits 2016'!L5325</f>
        <v>1322</v>
      </c>
      <c r="F115" s="275" t="str">
        <f>'Profits 2016'!P5325</f>
        <v>Nassau</v>
      </c>
      <c r="G115" s="292">
        <f>'Profits 2016'!N5325-'Profits 2016'!M5325</f>
        <v>132.20000000000002</v>
      </c>
      <c r="H115" s="319"/>
      <c r="I115" s="320"/>
      <c r="J115" s="321"/>
      <c r="K115" s="321"/>
      <c r="L115" s="321"/>
      <c r="M115" s="319"/>
      <c r="N115" s="322"/>
      <c r="O115" s="236" t="str">
        <f>'Profits 2016'!T5325</f>
        <v>FEDEX GROUND</v>
      </c>
      <c r="P115" s="284">
        <f>'Profits 2016'!U5325</f>
        <v>702723287396</v>
      </c>
      <c r="Q115" s="284" t="s">
        <v>314</v>
      </c>
      <c r="R115" s="276">
        <v>34.69</v>
      </c>
      <c r="S115" s="275" t="s">
        <v>15739</v>
      </c>
      <c r="T115" s="279">
        <v>42639</v>
      </c>
      <c r="U115" s="279">
        <v>42639</v>
      </c>
      <c r="V115" s="279">
        <v>42657</v>
      </c>
      <c r="W115" s="293">
        <v>0</v>
      </c>
      <c r="X115" s="236">
        <v>9175</v>
      </c>
      <c r="AF115" s="276">
        <f t="shared" si="8"/>
        <v>166.89000000000001</v>
      </c>
      <c r="AG115" s="276">
        <f t="shared" si="5"/>
        <v>34.69</v>
      </c>
      <c r="AH115" s="276">
        <f t="shared" si="6"/>
        <v>171.47750000000002</v>
      </c>
      <c r="AI115" s="283">
        <f t="shared" si="7"/>
        <v>1.0274881658577506</v>
      </c>
    </row>
    <row r="116" spans="1:35" ht="30" x14ac:dyDescent="0.25">
      <c r="A116" s="275">
        <f>'Profits 2016'!A5326</f>
        <v>3004189</v>
      </c>
      <c r="B116" s="279">
        <f>'Profits 2016'!B5326</f>
        <v>42619</v>
      </c>
      <c r="C116" s="276">
        <f>'Profits 2016'!H5326</f>
        <v>140</v>
      </c>
      <c r="D116" s="280">
        <f>'Profits 2016'!K5326</f>
        <v>119</v>
      </c>
      <c r="E116" s="276">
        <f>'Profits 2016'!L5326</f>
        <v>480</v>
      </c>
      <c r="F116" s="275" t="str">
        <f>'Profits 2016'!P5326</f>
        <v>Nassau</v>
      </c>
      <c r="G116" s="292">
        <f>'Profits 2016'!N5326-'Profits 2016'!M5326</f>
        <v>72</v>
      </c>
      <c r="H116" s="319"/>
      <c r="I116" s="320"/>
      <c r="J116" s="321"/>
      <c r="K116" s="321"/>
      <c r="L116" s="321"/>
      <c r="M116" s="319"/>
      <c r="N116" s="322"/>
      <c r="O116" s="236" t="str">
        <f>'Profits 2016'!T5326</f>
        <v>FEDEX GROUND</v>
      </c>
      <c r="P116" s="284">
        <f>'Profits 2016'!U5326</f>
        <v>702723287503</v>
      </c>
      <c r="Q116" s="284" t="s">
        <v>314</v>
      </c>
      <c r="R116" s="276">
        <v>22.53</v>
      </c>
      <c r="S116" s="275" t="s">
        <v>15733</v>
      </c>
      <c r="T116" s="279">
        <v>42632</v>
      </c>
      <c r="U116" s="279">
        <v>42639</v>
      </c>
      <c r="V116" s="279">
        <v>42643</v>
      </c>
      <c r="W116" s="293">
        <v>0</v>
      </c>
      <c r="X116" s="236">
        <v>9030</v>
      </c>
      <c r="AF116" s="276">
        <f t="shared" si="8"/>
        <v>94.53</v>
      </c>
      <c r="AG116" s="276">
        <f t="shared" si="5"/>
        <v>22.53</v>
      </c>
      <c r="AH116" s="276">
        <f t="shared" si="6"/>
        <v>96.47</v>
      </c>
      <c r="AI116" s="283">
        <f t="shared" si="7"/>
        <v>1.0205225854226172</v>
      </c>
    </row>
    <row r="117" spans="1:35" ht="30" x14ac:dyDescent="0.25">
      <c r="A117" s="275">
        <f>'Profits 2016'!A5327</f>
        <v>3004190</v>
      </c>
      <c r="B117" s="279">
        <f>'Profits 2016'!B5327</f>
        <v>42619</v>
      </c>
      <c r="C117" s="276">
        <f>'Profits 2016'!H5327</f>
        <v>360.36</v>
      </c>
      <c r="D117" s="280">
        <f>'Profits 2016'!K5327</f>
        <v>306.30600000000004</v>
      </c>
      <c r="E117" s="276">
        <f>'Profits 2016'!L5327</f>
        <v>1180</v>
      </c>
      <c r="F117" s="275" t="str">
        <f>'Profits 2016'!P5327</f>
        <v>Direct</v>
      </c>
      <c r="G117" s="292">
        <f>'Profits 2016'!N5327-'Profits 2016'!M5327</f>
        <v>118</v>
      </c>
      <c r="H117" s="292">
        <v>0</v>
      </c>
      <c r="I117" s="275">
        <v>72226</v>
      </c>
      <c r="J117" s="277">
        <v>42621</v>
      </c>
      <c r="K117" s="277">
        <v>42627</v>
      </c>
      <c r="L117" s="277">
        <v>42629</v>
      </c>
      <c r="M117" s="292">
        <v>231.28</v>
      </c>
      <c r="N117" s="281">
        <v>8964</v>
      </c>
      <c r="O117" s="236" t="str">
        <f>'Profits 2016'!T5327</f>
        <v>FEDEX GROUND</v>
      </c>
      <c r="P117" s="284">
        <f>'Profits 2016'!U5327</f>
        <v>642286528835</v>
      </c>
      <c r="Q117" s="284" t="s">
        <v>314</v>
      </c>
      <c r="R117" s="276">
        <v>34.56</v>
      </c>
      <c r="S117" s="275" t="s">
        <v>15739</v>
      </c>
      <c r="T117" s="279">
        <v>42639</v>
      </c>
      <c r="U117" s="279">
        <v>42646</v>
      </c>
      <c r="V117" s="279">
        <v>42657</v>
      </c>
      <c r="W117" s="293">
        <v>0</v>
      </c>
      <c r="X117" s="236">
        <v>9175</v>
      </c>
      <c r="AF117" s="276">
        <f t="shared" si="8"/>
        <v>152.56</v>
      </c>
      <c r="AG117" s="276">
        <f t="shared" si="5"/>
        <v>265.84000000000003</v>
      </c>
      <c r="AH117" s="276">
        <f t="shared" si="6"/>
        <v>40.466000000000008</v>
      </c>
      <c r="AI117" s="283">
        <f t="shared" si="7"/>
        <v>0.26524646040901945</v>
      </c>
    </row>
    <row r="118" spans="1:35" x14ac:dyDescent="0.25">
      <c r="A118" s="275">
        <f>'Profits 2016'!A5328</f>
        <v>0</v>
      </c>
      <c r="B118" s="279">
        <f>'Profits 2016'!B5328</f>
        <v>0</v>
      </c>
      <c r="C118" s="276">
        <f>'Profits 2016'!H5328</f>
        <v>0</v>
      </c>
      <c r="D118" s="280">
        <f>'Profits 2016'!K5328</f>
        <v>0</v>
      </c>
      <c r="E118" s="276">
        <f>'Profits 2016'!L5328</f>
        <v>1180</v>
      </c>
      <c r="F118" s="275" t="str">
        <f>'Profits 2016'!P5328</f>
        <v>Direct</v>
      </c>
      <c r="G118" s="292">
        <f>'Profits 2016'!N5328-'Profits 2016'!M5328</f>
        <v>118</v>
      </c>
      <c r="H118" s="292">
        <v>0</v>
      </c>
      <c r="I118" s="275">
        <v>72226</v>
      </c>
      <c r="J118" s="277">
        <v>42621</v>
      </c>
      <c r="K118" s="277">
        <v>42627</v>
      </c>
      <c r="L118" s="277">
        <v>42629</v>
      </c>
      <c r="M118" s="292">
        <v>0</v>
      </c>
      <c r="N118" s="281">
        <v>8964</v>
      </c>
      <c r="O118" s="236">
        <f>'Profits 2016'!T5328</f>
        <v>0</v>
      </c>
      <c r="P118" s="284">
        <f>'Profits 2016'!U5328</f>
        <v>0</v>
      </c>
      <c r="Q118" s="284" t="s">
        <v>314</v>
      </c>
      <c r="R118" s="276">
        <v>0</v>
      </c>
      <c r="S118" s="275" t="s">
        <v>15739</v>
      </c>
      <c r="T118" s="279">
        <v>42639</v>
      </c>
      <c r="U118" s="279">
        <v>42646</v>
      </c>
      <c r="V118" s="279">
        <v>42657</v>
      </c>
      <c r="W118" s="293">
        <v>0</v>
      </c>
      <c r="X118" s="236">
        <v>9175</v>
      </c>
      <c r="AF118" s="276">
        <f t="shared" si="8"/>
        <v>118</v>
      </c>
      <c r="AG118" s="276">
        <f t="shared" si="5"/>
        <v>0</v>
      </c>
      <c r="AH118" s="276">
        <f t="shared" si="6"/>
        <v>0</v>
      </c>
      <c r="AI118" s="283">
        <f t="shared" si="7"/>
        <v>0</v>
      </c>
    </row>
    <row r="119" spans="1:35" ht="30" x14ac:dyDescent="0.25">
      <c r="A119" s="275">
        <f>'Profits 2016'!A5329</f>
        <v>3004191</v>
      </c>
      <c r="B119" s="279">
        <f>'Profits 2016'!B5329</f>
        <v>42619</v>
      </c>
      <c r="C119" s="276">
        <f>'Profits 2016'!H5329</f>
        <v>115.15</v>
      </c>
      <c r="D119" s="280">
        <f>'Profits 2016'!K5329</f>
        <v>97.877499999999998</v>
      </c>
      <c r="E119" s="276">
        <f>'Profits 2016'!L5329</f>
        <v>577</v>
      </c>
      <c r="F119" s="275" t="str">
        <f>'Profits 2016'!P5329</f>
        <v>Nassau</v>
      </c>
      <c r="G119" s="292">
        <f>'Profits 2016'!N5329-'Profits 2016'!M5329</f>
        <v>57.7</v>
      </c>
      <c r="H119" s="319"/>
      <c r="I119" s="320"/>
      <c r="J119" s="321"/>
      <c r="K119" s="321"/>
      <c r="L119" s="321"/>
      <c r="M119" s="319"/>
      <c r="N119" s="322"/>
      <c r="O119" s="236" t="str">
        <f>'Profits 2016'!T5329</f>
        <v>FEDEX GROUND</v>
      </c>
      <c r="P119" s="284">
        <f>'Profits 2016'!U5329</f>
        <v>702723287433</v>
      </c>
      <c r="Q119" s="284" t="s">
        <v>314</v>
      </c>
      <c r="R119" s="276">
        <v>14.58</v>
      </c>
      <c r="S119" s="275" t="s">
        <v>15733</v>
      </c>
      <c r="T119" s="279">
        <v>42632</v>
      </c>
      <c r="U119" s="279">
        <v>42639</v>
      </c>
      <c r="V119" s="279">
        <v>42643</v>
      </c>
      <c r="W119" s="293">
        <v>0</v>
      </c>
      <c r="X119" s="236">
        <v>9030</v>
      </c>
      <c r="AF119" s="276">
        <f t="shared" si="8"/>
        <v>72.28</v>
      </c>
      <c r="AG119" s="276">
        <f t="shared" si="5"/>
        <v>14.58</v>
      </c>
      <c r="AH119" s="276">
        <f t="shared" si="6"/>
        <v>83.297499999999999</v>
      </c>
      <c r="AI119" s="283">
        <f t="shared" si="7"/>
        <v>1.1524280575539567</v>
      </c>
    </row>
    <row r="120" spans="1:35" ht="30" x14ac:dyDescent="0.25">
      <c r="A120" s="275">
        <f>'Profits 2016'!A5330</f>
        <v>3004192</v>
      </c>
      <c r="B120" s="279">
        <f>'Profits 2016'!B5330</f>
        <v>42619</v>
      </c>
      <c r="C120" s="276">
        <f>'Profits 2016'!H5330</f>
        <v>113.6</v>
      </c>
      <c r="D120" s="280">
        <f>'Profits 2016'!K5330</f>
        <v>96.56</v>
      </c>
      <c r="E120" s="276">
        <f>'Profits 2016'!L5330</f>
        <v>480</v>
      </c>
      <c r="F120" s="275" t="str">
        <f>'Profits 2016'!P5330</f>
        <v>Nassau</v>
      </c>
      <c r="G120" s="292">
        <f>'Profits 2016'!N5330-'Profits 2016'!M5330</f>
        <v>48</v>
      </c>
      <c r="H120" s="319"/>
      <c r="I120" s="320"/>
      <c r="J120" s="321"/>
      <c r="K120" s="321"/>
      <c r="L120" s="321"/>
      <c r="M120" s="319"/>
      <c r="N120" s="322"/>
      <c r="O120" s="236" t="str">
        <f>'Profits 2016'!T5330</f>
        <v>FEDEX GROUND</v>
      </c>
      <c r="P120" s="284">
        <f>'Profits 2016'!U5330</f>
        <v>702723287639</v>
      </c>
      <c r="Q120" s="284" t="s">
        <v>314</v>
      </c>
      <c r="R120" s="276">
        <v>31.76</v>
      </c>
      <c r="S120" s="275" t="s">
        <v>15733</v>
      </c>
      <c r="T120" s="279">
        <v>42632</v>
      </c>
      <c r="U120" s="279">
        <v>42639</v>
      </c>
      <c r="V120" s="279">
        <v>42643</v>
      </c>
      <c r="W120" s="293">
        <v>0</v>
      </c>
      <c r="X120" s="236">
        <v>9030</v>
      </c>
      <c r="AF120" s="276">
        <f t="shared" si="8"/>
        <v>79.760000000000005</v>
      </c>
      <c r="AG120" s="276">
        <f t="shared" si="5"/>
        <v>31.76</v>
      </c>
      <c r="AH120" s="276">
        <f t="shared" si="6"/>
        <v>64.8</v>
      </c>
      <c r="AI120" s="283">
        <f t="shared" si="7"/>
        <v>0.81243731193580737</v>
      </c>
    </row>
    <row r="121" spans="1:35" ht="30" x14ac:dyDescent="0.25">
      <c r="A121" s="275">
        <f>'Profits 2016'!A5331</f>
        <v>3004193</v>
      </c>
      <c r="B121" s="279">
        <f>'Profits 2016'!B5331</f>
        <v>42619</v>
      </c>
      <c r="C121" s="276">
        <f>'Profits 2016'!H5331</f>
        <v>140</v>
      </c>
      <c r="D121" s="280">
        <f>'Profits 2016'!K5331</f>
        <v>119</v>
      </c>
      <c r="E121" s="276">
        <f>'Profits 2016'!L5331</f>
        <v>480</v>
      </c>
      <c r="F121" s="275" t="str">
        <f>'Profits 2016'!P5331</f>
        <v>Nassau</v>
      </c>
      <c r="G121" s="292">
        <f>'Profits 2016'!N5331-'Profits 2016'!M5331</f>
        <v>72</v>
      </c>
      <c r="H121" s="319"/>
      <c r="I121" s="320"/>
      <c r="J121" s="321"/>
      <c r="K121" s="321"/>
      <c r="L121" s="321"/>
      <c r="M121" s="319"/>
      <c r="N121" s="322"/>
      <c r="O121" s="236" t="str">
        <f>'Profits 2016'!T5331</f>
        <v>FEDEX GROUND</v>
      </c>
      <c r="P121" s="284" t="str">
        <f>'Profits 2016'!U5331</f>
        <v xml:space="preserve">	680483359891</v>
      </c>
      <c r="Q121" s="284" t="s">
        <v>314</v>
      </c>
      <c r="R121" s="276">
        <v>36.18</v>
      </c>
      <c r="S121" s="275" t="s">
        <v>15733</v>
      </c>
      <c r="T121" s="279">
        <v>42632</v>
      </c>
      <c r="U121" s="279">
        <v>42639</v>
      </c>
      <c r="V121" s="279">
        <v>42643</v>
      </c>
      <c r="W121" s="293">
        <v>0</v>
      </c>
      <c r="X121" s="236">
        <v>9030</v>
      </c>
      <c r="AF121" s="276">
        <f t="shared" si="8"/>
        <v>108.18</v>
      </c>
      <c r="AG121" s="276">
        <f t="shared" si="5"/>
        <v>36.18</v>
      </c>
      <c r="AH121" s="276">
        <f t="shared" si="6"/>
        <v>82.82</v>
      </c>
      <c r="AI121" s="283">
        <f t="shared" si="7"/>
        <v>0.76557589203179877</v>
      </c>
    </row>
    <row r="122" spans="1:35" ht="30" x14ac:dyDescent="0.25">
      <c r="A122" s="275">
        <f>'Profits 2016'!A5332</f>
        <v>3004194</v>
      </c>
      <c r="B122" s="279">
        <f>'Profits 2016'!B5332</f>
        <v>42619</v>
      </c>
      <c r="C122" s="276">
        <f>'Profits 2016'!H5332</f>
        <v>222.66</v>
      </c>
      <c r="D122" s="280">
        <f>'Profits 2016'!K5332</f>
        <v>189.261</v>
      </c>
      <c r="E122" s="276">
        <f>'Profits 2016'!L5332</f>
        <v>690</v>
      </c>
      <c r="F122" s="275" t="str">
        <f>'Profits 2016'!P5332</f>
        <v>Nassau</v>
      </c>
      <c r="G122" s="292">
        <f>'Profits 2016'!N5332-'Profits 2016'!M5332</f>
        <v>103.49999999999999</v>
      </c>
      <c r="H122" s="319"/>
      <c r="I122" s="320"/>
      <c r="J122" s="321"/>
      <c r="K122" s="321"/>
      <c r="L122" s="321"/>
      <c r="M122" s="319"/>
      <c r="N122" s="322"/>
      <c r="O122" s="236" t="str">
        <f>'Profits 2016'!T5332</f>
        <v>FEDEX GROUND</v>
      </c>
      <c r="P122" s="284">
        <f>'Profits 2016'!U5332</f>
        <v>702723287488</v>
      </c>
      <c r="Q122" s="284" t="s">
        <v>314</v>
      </c>
      <c r="R122" s="276">
        <v>33.14</v>
      </c>
      <c r="S122" s="275" t="s">
        <v>15733</v>
      </c>
      <c r="T122" s="279">
        <v>42632</v>
      </c>
      <c r="U122" s="279">
        <v>42639</v>
      </c>
      <c r="V122" s="279">
        <v>42643</v>
      </c>
      <c r="W122" s="293">
        <v>0</v>
      </c>
      <c r="X122" s="236">
        <v>9030</v>
      </c>
      <c r="AF122" s="276">
        <f t="shared" si="8"/>
        <v>136.63999999999999</v>
      </c>
      <c r="AG122" s="276">
        <f t="shared" si="5"/>
        <v>33.14</v>
      </c>
      <c r="AH122" s="276">
        <f t="shared" si="6"/>
        <v>156.12099999999998</v>
      </c>
      <c r="AI122" s="283">
        <f t="shared" si="7"/>
        <v>1.1425717213114754</v>
      </c>
    </row>
    <row r="123" spans="1:35" ht="30" x14ac:dyDescent="0.25">
      <c r="A123" s="275">
        <f>'Profits 2016'!A5333</f>
        <v>3004195</v>
      </c>
      <c r="B123" s="279">
        <f>'Profits 2016'!B5333</f>
        <v>42619</v>
      </c>
      <c r="C123" s="276">
        <f>'Profits 2016'!H5333</f>
        <v>599.94000000000005</v>
      </c>
      <c r="D123" s="280">
        <f>'Profits 2016'!K5333</f>
        <v>509.94900000000007</v>
      </c>
      <c r="E123" s="276">
        <f>'Profits 2016'!L5333</f>
        <v>330</v>
      </c>
      <c r="F123" s="275" t="str">
        <f>'Profits 2016'!P5333</f>
        <v>Southwire</v>
      </c>
      <c r="G123" s="292">
        <f>'Profits 2016'!N5333-'Profits 2016'!M5333</f>
        <v>330</v>
      </c>
      <c r="H123" s="292">
        <v>0</v>
      </c>
      <c r="I123" s="275">
        <v>90929169</v>
      </c>
      <c r="J123" s="277">
        <v>42625</v>
      </c>
      <c r="K123" s="277">
        <v>42632</v>
      </c>
      <c r="L123" s="277">
        <v>42650</v>
      </c>
      <c r="M123" s="292">
        <v>323.39999999999998</v>
      </c>
      <c r="N123" s="281">
        <v>9126</v>
      </c>
      <c r="O123" s="344" t="str">
        <f>'Profits 2016'!T5333</f>
        <v>FEDEX GROUND</v>
      </c>
      <c r="P123" s="345">
        <f>'Profits 2016'!U5333</f>
        <v>4217366510</v>
      </c>
      <c r="Q123" s="345"/>
      <c r="R123" s="342"/>
      <c r="S123" s="336"/>
      <c r="T123" s="341"/>
      <c r="U123" s="341"/>
      <c r="V123" s="341"/>
      <c r="W123" s="346"/>
      <c r="X123" s="344"/>
      <c r="AF123" s="276">
        <f t="shared" si="8"/>
        <v>330</v>
      </c>
      <c r="AG123" s="276">
        <f t="shared" si="5"/>
        <v>323.39999999999998</v>
      </c>
      <c r="AH123" s="276">
        <f t="shared" si="6"/>
        <v>186.54900000000009</v>
      </c>
      <c r="AI123" s="283">
        <f t="shared" si="7"/>
        <v>0.56530000000000025</v>
      </c>
    </row>
    <row r="124" spans="1:35" ht="30" x14ac:dyDescent="0.25">
      <c r="A124" s="275">
        <f>'Profits 2016'!A5334</f>
        <v>3004196</v>
      </c>
      <c r="B124" s="279">
        <f>'Profits 2016'!B5334</f>
        <v>42619</v>
      </c>
      <c r="C124" s="276">
        <f>'Profits 2016'!H5334</f>
        <v>294.18</v>
      </c>
      <c r="D124" s="280">
        <f>'Profits 2016'!K5334</f>
        <v>250.053</v>
      </c>
      <c r="E124" s="276">
        <f>'Profits 2016'!L5334</f>
        <v>1322</v>
      </c>
      <c r="F124" s="275" t="str">
        <f>'Profits 2016'!P5334</f>
        <v>Thea</v>
      </c>
      <c r="G124" s="292">
        <f>'Profits 2016'!N5334-'Profits 2016'!M5334</f>
        <v>132.19999999999999</v>
      </c>
      <c r="H124" s="319"/>
      <c r="I124" s="320"/>
      <c r="J124" s="321"/>
      <c r="K124" s="321"/>
      <c r="L124" s="321"/>
      <c r="M124" s="319"/>
      <c r="N124" s="322"/>
      <c r="O124" s="236" t="str">
        <f>'Profits 2016'!T5334</f>
        <v>FEDEX GROUND</v>
      </c>
      <c r="P124" s="284">
        <f>'Profits 2016'!U5334</f>
        <v>675157529499</v>
      </c>
      <c r="Q124" s="284" t="s">
        <v>314</v>
      </c>
      <c r="R124" s="276">
        <v>45.86</v>
      </c>
      <c r="S124" s="275" t="s">
        <v>15739</v>
      </c>
      <c r="T124" s="279">
        <v>42639</v>
      </c>
      <c r="U124" s="279">
        <v>42646</v>
      </c>
      <c r="V124" s="279">
        <v>42657</v>
      </c>
      <c r="W124" s="293">
        <v>0</v>
      </c>
      <c r="X124" s="236">
        <v>9175</v>
      </c>
      <c r="AF124" s="276">
        <f t="shared" si="8"/>
        <v>178.06</v>
      </c>
      <c r="AG124" s="276">
        <f t="shared" si="5"/>
        <v>45.86</v>
      </c>
      <c r="AH124" s="276">
        <f t="shared" si="6"/>
        <v>204.19299999999998</v>
      </c>
      <c r="AI124" s="283">
        <f t="shared" si="7"/>
        <v>1.1467651353476356</v>
      </c>
    </row>
    <row r="125" spans="1:35" ht="30" x14ac:dyDescent="0.25">
      <c r="A125" s="275">
        <f>'Profits 2016'!A5335</f>
        <v>3004197</v>
      </c>
      <c r="B125" s="279">
        <f>'Profits 2016'!B5335</f>
        <v>42619</v>
      </c>
      <c r="C125" s="276">
        <f>'Profits 2016'!H5335</f>
        <v>313.3</v>
      </c>
      <c r="D125" s="280">
        <f>'Profits 2016'!K5335</f>
        <v>266.30500000000001</v>
      </c>
      <c r="E125" s="276">
        <f>'Profits 2016'!L5335</f>
        <v>690</v>
      </c>
      <c r="F125" s="275" t="str">
        <f>'Profits 2016'!P5335</f>
        <v>Nassau</v>
      </c>
      <c r="G125" s="292">
        <f>'Profits 2016'!N5335-'Profits 2016'!M5335</f>
        <v>172.5</v>
      </c>
      <c r="H125" s="319"/>
      <c r="I125" s="320"/>
      <c r="J125" s="321"/>
      <c r="K125" s="321"/>
      <c r="L125" s="321"/>
      <c r="M125" s="319"/>
      <c r="N125" s="322"/>
      <c r="O125" s="236" t="str">
        <f>'Profits 2016'!T5335</f>
        <v>FEDEX GROUND</v>
      </c>
      <c r="P125" s="284">
        <f>'Profits 2016'!U5335</f>
        <v>702723287499</v>
      </c>
      <c r="Q125" s="284" t="s">
        <v>314</v>
      </c>
      <c r="R125" s="276">
        <v>41.18</v>
      </c>
      <c r="S125" s="275" t="s">
        <v>15733</v>
      </c>
      <c r="T125" s="279">
        <v>42632</v>
      </c>
      <c r="U125" s="279">
        <v>42639</v>
      </c>
      <c r="V125" s="279">
        <v>42643</v>
      </c>
      <c r="W125" s="293">
        <v>0</v>
      </c>
      <c r="X125" s="236">
        <v>9030</v>
      </c>
      <c r="AF125" s="276">
        <f t="shared" si="8"/>
        <v>213.68</v>
      </c>
      <c r="AG125" s="276">
        <f t="shared" si="5"/>
        <v>41.18</v>
      </c>
      <c r="AH125" s="276">
        <f t="shared" si="6"/>
        <v>225.125</v>
      </c>
      <c r="AI125" s="283">
        <f t="shared" si="7"/>
        <v>1.053561400224635</v>
      </c>
    </row>
    <row r="126" spans="1:35" ht="30" x14ac:dyDescent="0.25">
      <c r="A126" s="275">
        <f>'Profits 2016'!A5336</f>
        <v>3004198</v>
      </c>
      <c r="B126" s="279">
        <f>'Profits 2016'!B5336</f>
        <v>42619</v>
      </c>
      <c r="C126" s="276">
        <f>'Profits 2016'!H5336</f>
        <v>180</v>
      </c>
      <c r="D126" s="280">
        <f>'Profits 2016'!K5336</f>
        <v>175.74</v>
      </c>
      <c r="E126" s="276">
        <f>'Profits 2016'!L5336</f>
        <v>813</v>
      </c>
      <c r="F126" s="275" t="str">
        <f>'Profits 2016'!P5336</f>
        <v>Priority</v>
      </c>
      <c r="G126" s="292">
        <f>'Profits 2016'!N5336-'Profits 2016'!M5336</f>
        <v>81.300000000000011</v>
      </c>
      <c r="H126" s="292">
        <v>0</v>
      </c>
      <c r="I126" s="275">
        <v>1053062</v>
      </c>
      <c r="J126" s="277">
        <v>42620</v>
      </c>
      <c r="K126" s="277">
        <v>42627</v>
      </c>
      <c r="L126" s="277">
        <v>42650</v>
      </c>
      <c r="M126" s="292">
        <v>394.2</v>
      </c>
      <c r="N126" s="281">
        <v>9113</v>
      </c>
      <c r="O126" s="236" t="str">
        <f>'Profits 2016'!T5336</f>
        <v>FEDEX GROUND</v>
      </c>
      <c r="P126" s="284">
        <f>'Profits 2016'!U5336</f>
        <v>700044011451</v>
      </c>
      <c r="Q126" s="284" t="s">
        <v>15740</v>
      </c>
      <c r="R126" s="276">
        <v>21.26</v>
      </c>
      <c r="S126" s="275">
        <v>1053062</v>
      </c>
      <c r="T126" s="279">
        <v>42620</v>
      </c>
      <c r="U126" s="279">
        <v>42627</v>
      </c>
      <c r="V126" s="279">
        <v>42650</v>
      </c>
      <c r="W126" s="293">
        <v>21.26</v>
      </c>
      <c r="X126" s="236">
        <v>9113</v>
      </c>
      <c r="AF126" s="276">
        <f t="shared" si="8"/>
        <v>102.56000000000002</v>
      </c>
      <c r="AG126" s="276">
        <f t="shared" si="5"/>
        <v>415.46</v>
      </c>
      <c r="AH126" s="276">
        <f t="shared" si="6"/>
        <v>-239.71999999999997</v>
      </c>
      <c r="AI126" s="283">
        <f t="shared" si="7"/>
        <v>-2.337363494539781</v>
      </c>
    </row>
    <row r="127" spans="1:35" ht="30" x14ac:dyDescent="0.25">
      <c r="A127" s="275">
        <f>'Profits 2016'!A5337</f>
        <v>3004199</v>
      </c>
      <c r="B127" s="279">
        <f>'Profits 2016'!B5337</f>
        <v>42620</v>
      </c>
      <c r="C127" s="276">
        <f>'Profits 2016'!H5337</f>
        <v>955</v>
      </c>
      <c r="D127" s="280">
        <f>'Profits 2016'!K5337</f>
        <v>933.69</v>
      </c>
      <c r="E127" s="276">
        <f>'Profits 2016'!L5337</f>
        <v>132</v>
      </c>
      <c r="F127" s="275" t="str">
        <f>'Profits 2016'!P5337</f>
        <v>Houston</v>
      </c>
      <c r="G127" s="292">
        <f>'Profits 2016'!N5337-'Profits 2016'!M5337</f>
        <v>66</v>
      </c>
      <c r="H127" s="292">
        <v>0</v>
      </c>
      <c r="I127" s="275">
        <v>30896272</v>
      </c>
      <c r="J127" s="277">
        <v>42620</v>
      </c>
      <c r="K127" s="277">
        <v>42627</v>
      </c>
      <c r="L127" s="277">
        <v>42650</v>
      </c>
      <c r="M127" s="292">
        <v>66</v>
      </c>
      <c r="N127" s="281">
        <v>9144</v>
      </c>
      <c r="O127" s="344" t="str">
        <f>'Profits 2016'!T5337</f>
        <v>FEDEX GROUND</v>
      </c>
      <c r="P127" s="345">
        <f>'Profits 2016'!U5337</f>
        <v>669974333440</v>
      </c>
      <c r="Q127" s="345"/>
      <c r="R127" s="342"/>
      <c r="S127" s="336"/>
      <c r="T127" s="341"/>
      <c r="U127" s="341"/>
      <c r="V127" s="341"/>
      <c r="W127" s="346"/>
      <c r="X127" s="344"/>
      <c r="AF127" s="276">
        <f t="shared" si="8"/>
        <v>66</v>
      </c>
      <c r="AG127" s="276">
        <f t="shared" si="5"/>
        <v>66</v>
      </c>
      <c r="AH127" s="276">
        <f t="shared" si="6"/>
        <v>867.69</v>
      </c>
      <c r="AI127" s="283">
        <f t="shared" si="7"/>
        <v>13.146818181818183</v>
      </c>
    </row>
    <row r="128" spans="1:35" ht="30" x14ac:dyDescent="0.25">
      <c r="A128" s="275">
        <f>'Profits 2016'!A5338</f>
        <v>0</v>
      </c>
      <c r="B128" s="279">
        <f>'Profits 2016'!B5338</f>
        <v>0</v>
      </c>
      <c r="C128" s="276">
        <f>'Profits 2016'!H5338</f>
        <v>0</v>
      </c>
      <c r="D128" s="280">
        <f>'Profits 2016'!K5338</f>
        <v>0</v>
      </c>
      <c r="E128" s="276">
        <f>'Profits 2016'!L5338</f>
        <v>300</v>
      </c>
      <c r="F128" s="275" t="str">
        <f>'Profits 2016'!P5338</f>
        <v>Priority</v>
      </c>
      <c r="G128" s="292">
        <f>'Profits 2016'!N5338-'Profits 2016'!M5338</f>
        <v>150</v>
      </c>
      <c r="H128" s="292">
        <v>0</v>
      </c>
      <c r="I128" s="275">
        <v>1053320</v>
      </c>
      <c r="J128" s="277">
        <v>42621</v>
      </c>
      <c r="K128" s="277">
        <v>42629</v>
      </c>
      <c r="L128" s="277">
        <v>42650</v>
      </c>
      <c r="M128" s="292">
        <v>0</v>
      </c>
      <c r="N128" s="281">
        <v>9113</v>
      </c>
      <c r="O128" s="236" t="str">
        <f>'Profits 2016'!T5338</f>
        <v>FEDEX GROUND</v>
      </c>
      <c r="P128" s="284">
        <f>'Profits 2016'!U5338</f>
        <v>703688860044</v>
      </c>
      <c r="Q128" s="284" t="s">
        <v>15740</v>
      </c>
      <c r="R128" s="276">
        <v>91.64</v>
      </c>
      <c r="S128" s="275">
        <v>1053320</v>
      </c>
      <c r="T128" s="279">
        <v>42621</v>
      </c>
      <c r="U128" s="279">
        <v>42629</v>
      </c>
      <c r="V128" s="279">
        <v>42650</v>
      </c>
      <c r="W128" s="293">
        <v>91.64</v>
      </c>
      <c r="X128" s="236">
        <v>9113</v>
      </c>
      <c r="AF128" s="276">
        <f t="shared" si="8"/>
        <v>241.64</v>
      </c>
      <c r="AG128" s="276">
        <f t="shared" si="5"/>
        <v>91.64</v>
      </c>
      <c r="AH128" s="276">
        <f t="shared" si="6"/>
        <v>-91.64</v>
      </c>
      <c r="AI128" s="283">
        <f t="shared" si="7"/>
        <v>-0.37924184737626221</v>
      </c>
    </row>
    <row r="129" spans="1:35" ht="30" x14ac:dyDescent="0.25">
      <c r="A129" s="275">
        <f>'Profits 2016'!A5339</f>
        <v>3004200</v>
      </c>
      <c r="B129" s="279">
        <f>'Profits 2016'!B5339</f>
        <v>42620</v>
      </c>
      <c r="C129" s="276">
        <f>'Profits 2016'!H5339</f>
        <v>193.04</v>
      </c>
      <c r="D129" s="280">
        <f>'Profits 2016'!K5339</f>
        <v>164.084</v>
      </c>
      <c r="E129" s="276">
        <f>'Profits 2016'!L5339</f>
        <v>0</v>
      </c>
      <c r="F129" s="275" t="str">
        <f>'Profits 2016'!P5339</f>
        <v>Nassau</v>
      </c>
      <c r="G129" s="292">
        <f>'Profits 2016'!N5339-'Profits 2016'!M5339</f>
        <v>0</v>
      </c>
      <c r="H129" s="319"/>
      <c r="I129" s="320"/>
      <c r="J129" s="321"/>
      <c r="K129" s="321"/>
      <c r="L129" s="321"/>
      <c r="M129" s="319"/>
      <c r="N129" s="322"/>
      <c r="O129" s="236" t="str">
        <f>'Profits 2016'!T5339</f>
        <v>FEDEX GROUND</v>
      </c>
      <c r="P129" s="284" t="str">
        <f>'Profits 2016'!U5339</f>
        <v xml:space="preserve">	680483359906</v>
      </c>
      <c r="Q129" s="284" t="s">
        <v>314</v>
      </c>
      <c r="R129" s="276">
        <v>23.47</v>
      </c>
      <c r="S129" s="275" t="s">
        <v>15733</v>
      </c>
      <c r="T129" s="279">
        <v>42632</v>
      </c>
      <c r="U129" s="279">
        <v>42639</v>
      </c>
      <c r="V129" s="279">
        <v>42643</v>
      </c>
      <c r="W129" s="293">
        <v>0</v>
      </c>
      <c r="X129" s="236">
        <v>9030</v>
      </c>
      <c r="AF129" s="276">
        <f t="shared" si="8"/>
        <v>23.47</v>
      </c>
      <c r="AG129" s="276">
        <f t="shared" si="5"/>
        <v>23.47</v>
      </c>
      <c r="AH129" s="276">
        <f t="shared" si="6"/>
        <v>140.614</v>
      </c>
      <c r="AI129" s="283">
        <f t="shared" si="7"/>
        <v>5.9912228376651049</v>
      </c>
    </row>
    <row r="130" spans="1:35" ht="30" x14ac:dyDescent="0.25">
      <c r="A130" s="275">
        <f>'Profits 2016'!A5340</f>
        <v>3004201</v>
      </c>
      <c r="B130" s="279">
        <f>'Profits 2016'!B5340</f>
        <v>42620</v>
      </c>
      <c r="C130" s="276">
        <f>'Profits 2016'!H5340</f>
        <v>163.22</v>
      </c>
      <c r="D130" s="280">
        <f>'Profits 2016'!K5340</f>
        <v>138.73699999999999</v>
      </c>
      <c r="E130" s="276">
        <f>'Profits 2016'!L5340</f>
        <v>161</v>
      </c>
      <c r="F130" s="275" t="str">
        <f>'Profits 2016'!P5340</f>
        <v>Omni</v>
      </c>
      <c r="G130" s="292">
        <f>'Profits 2016'!N5340-'Profits 2016'!M5340</f>
        <v>80.5</v>
      </c>
      <c r="H130" s="292">
        <v>0</v>
      </c>
      <c r="I130" s="275">
        <v>3245472</v>
      </c>
      <c r="J130" s="277">
        <v>42620</v>
      </c>
      <c r="K130" s="277">
        <v>42627</v>
      </c>
      <c r="L130" s="277">
        <v>42650</v>
      </c>
      <c r="M130" s="292">
        <v>322.44</v>
      </c>
      <c r="N130" s="281">
        <v>9011</v>
      </c>
      <c r="O130" s="236" t="str">
        <f>'Profits 2016'!T5340</f>
        <v>FEDEX GROUND</v>
      </c>
      <c r="P130" s="284" t="str">
        <f>'Profits 2016'!U5340</f>
        <v>777168919550</v>
      </c>
      <c r="Q130" s="284" t="s">
        <v>314</v>
      </c>
      <c r="R130" s="276">
        <v>10.95</v>
      </c>
      <c r="S130" s="275" t="s">
        <v>15733</v>
      </c>
      <c r="T130" s="279">
        <v>42632</v>
      </c>
      <c r="U130" s="279">
        <v>42639</v>
      </c>
      <c r="V130" s="279">
        <v>42643</v>
      </c>
      <c r="W130" s="293">
        <v>0</v>
      </c>
      <c r="X130" s="236">
        <v>9030</v>
      </c>
      <c r="AF130" s="276">
        <f t="shared" si="8"/>
        <v>91.45</v>
      </c>
      <c r="AG130" s="276">
        <f t="shared" si="5"/>
        <v>333.39</v>
      </c>
      <c r="AH130" s="276">
        <f t="shared" si="6"/>
        <v>-194.65299999999999</v>
      </c>
      <c r="AI130" s="283">
        <f t="shared" si="7"/>
        <v>-2.1285183160196826</v>
      </c>
    </row>
    <row r="131" spans="1:35" x14ac:dyDescent="0.25">
      <c r="A131" s="275">
        <f>'Profits 2016'!A5341</f>
        <v>3004202</v>
      </c>
      <c r="B131" s="279">
        <f>'Profits 2016'!B5341</f>
        <v>42620</v>
      </c>
      <c r="C131" s="276">
        <f>'Profits 2016'!H5341</f>
        <v>810</v>
      </c>
      <c r="D131" s="280">
        <f>'Profits 2016'!K5341</f>
        <v>791.88</v>
      </c>
      <c r="E131" s="276">
        <f>'Profits 2016'!L5341</f>
        <v>1035</v>
      </c>
      <c r="F131" s="275" t="str">
        <f>'Profits 2016'!P5341</f>
        <v>Wirexpress</v>
      </c>
      <c r="G131" s="292">
        <f>'Profits 2016'!N5341-'Profits 2016'!M5341</f>
        <v>517.5</v>
      </c>
      <c r="H131" s="292">
        <v>0</v>
      </c>
      <c r="I131" s="275" t="s">
        <v>15745</v>
      </c>
      <c r="J131" s="277">
        <v>42620</v>
      </c>
      <c r="K131" s="277">
        <v>42627</v>
      </c>
      <c r="L131" s="277">
        <v>42650</v>
      </c>
      <c r="M131" s="292">
        <v>603.96</v>
      </c>
      <c r="N131" s="281">
        <v>9138</v>
      </c>
      <c r="O131" s="236" t="str">
        <f>'Profits 2016'!T5341</f>
        <v>R&amp;L/DLS</v>
      </c>
      <c r="P131" s="284">
        <f>'Profits 2016'!U5341</f>
        <v>0</v>
      </c>
      <c r="Q131" s="284" t="s">
        <v>15746</v>
      </c>
      <c r="R131" s="276">
        <v>86.46</v>
      </c>
      <c r="S131" s="275" t="s">
        <v>15745</v>
      </c>
      <c r="T131" s="277">
        <v>42620</v>
      </c>
      <c r="U131" s="277">
        <v>42627</v>
      </c>
      <c r="AF131" s="276">
        <f t="shared" si="8"/>
        <v>603.96</v>
      </c>
      <c r="AG131" s="276">
        <f t="shared" ref="AG131:AG194" si="9">M131+R131+Y131</f>
        <v>690.42000000000007</v>
      </c>
      <c r="AH131" s="276">
        <f t="shared" ref="AH131:AH194" si="10">D131-AG131</f>
        <v>101.45999999999992</v>
      </c>
      <c r="AI131" s="283">
        <f t="shared" ref="AI131:AI194" si="11">AH131/AF131</f>
        <v>0.16799125769918524</v>
      </c>
    </row>
    <row r="132" spans="1:35" ht="30" x14ac:dyDescent="0.25">
      <c r="A132" s="275">
        <f>'Profits 2016'!A5342</f>
        <v>3004203</v>
      </c>
      <c r="B132" s="279">
        <f>'Profits 2016'!B5342</f>
        <v>42620</v>
      </c>
      <c r="C132" s="276">
        <f>'Profits 2016'!H5342</f>
        <v>180.18</v>
      </c>
      <c r="D132" s="280">
        <f>'Profits 2016'!K5342</f>
        <v>183.18</v>
      </c>
      <c r="E132" s="276">
        <f>'Profits 2016'!L5342</f>
        <v>1180</v>
      </c>
      <c r="F132" s="275" t="str">
        <f>'Profits 2016'!P5342</f>
        <v>Direct</v>
      </c>
      <c r="G132" s="292">
        <f>'Profits 2016'!N5342-'Profits 2016'!M5342</f>
        <v>118</v>
      </c>
      <c r="H132" s="292">
        <v>0</v>
      </c>
      <c r="I132" s="275">
        <v>72254</v>
      </c>
      <c r="J132" s="277">
        <v>42620</v>
      </c>
      <c r="K132" s="277">
        <v>42627</v>
      </c>
      <c r="L132" s="277">
        <v>42629</v>
      </c>
      <c r="M132" s="292">
        <v>115.64</v>
      </c>
      <c r="N132" s="281">
        <v>8964</v>
      </c>
      <c r="O132" s="236" t="str">
        <f>'Profits 2016'!T5342</f>
        <v>FEDEX GROUND</v>
      </c>
      <c r="P132" s="284">
        <f>'Profits 2016'!U5342</f>
        <v>639564016044</v>
      </c>
      <c r="Q132" s="284" t="s">
        <v>314</v>
      </c>
      <c r="R132" s="276">
        <v>27.94</v>
      </c>
      <c r="S132" s="275" t="s">
        <v>15739</v>
      </c>
      <c r="T132" s="279">
        <v>42639</v>
      </c>
      <c r="U132" s="279">
        <v>42646</v>
      </c>
      <c r="V132" s="279">
        <v>42657</v>
      </c>
      <c r="W132" s="293">
        <v>0</v>
      </c>
      <c r="X132" s="236">
        <v>9175</v>
      </c>
      <c r="AF132" s="276">
        <f t="shared" ref="AF132:AF195" si="12">G132+H132+R132+Y132</f>
        <v>145.94</v>
      </c>
      <c r="AG132" s="276">
        <f t="shared" si="9"/>
        <v>143.58000000000001</v>
      </c>
      <c r="AH132" s="276">
        <f t="shared" si="10"/>
        <v>39.599999999999994</v>
      </c>
      <c r="AI132" s="283">
        <f t="shared" si="11"/>
        <v>0.27134438810470052</v>
      </c>
    </row>
    <row r="133" spans="1:35" ht="30" x14ac:dyDescent="0.25">
      <c r="A133" s="275">
        <f>'Profits 2016'!A5343</f>
        <v>3004204</v>
      </c>
      <c r="B133" s="279">
        <f>'Profits 2016'!B5343</f>
        <v>42620</v>
      </c>
      <c r="C133" s="276">
        <f>'Profits 2016'!H5343</f>
        <v>114.59</v>
      </c>
      <c r="D133" s="280">
        <f>'Profits 2016'!K5343</f>
        <v>97.401499999999999</v>
      </c>
      <c r="E133" s="276">
        <f>'Profits 2016'!L5343</f>
        <v>0</v>
      </c>
      <c r="F133" s="275" t="str">
        <f>'Profits 2016'!P5343</f>
        <v>Nassau</v>
      </c>
      <c r="G133" s="292">
        <f>'Profits 2016'!N5343-'Profits 2016'!M5343</f>
        <v>0</v>
      </c>
      <c r="H133" s="319"/>
      <c r="I133" s="320"/>
      <c r="J133" s="321"/>
      <c r="K133" s="321"/>
      <c r="L133" s="321"/>
      <c r="M133" s="319"/>
      <c r="N133" s="322"/>
      <c r="O133" s="236" t="str">
        <f>'Profits 2016'!T5343</f>
        <v>FEDEX GROUND</v>
      </c>
      <c r="P133" s="284">
        <f>'Profits 2016'!U5343</f>
        <v>680483359880</v>
      </c>
      <c r="Q133" s="284" t="s">
        <v>314</v>
      </c>
      <c r="R133" s="276">
        <v>29.28</v>
      </c>
      <c r="S133" s="275" t="s">
        <v>15733</v>
      </c>
      <c r="T133" s="279">
        <v>42632</v>
      </c>
      <c r="U133" s="279">
        <v>42639</v>
      </c>
      <c r="V133" s="279">
        <v>42643</v>
      </c>
      <c r="W133" s="293">
        <v>0</v>
      </c>
      <c r="X133" s="236">
        <v>9030</v>
      </c>
      <c r="AF133" s="276">
        <f t="shared" si="12"/>
        <v>29.28</v>
      </c>
      <c r="AG133" s="276">
        <f t="shared" si="9"/>
        <v>29.28</v>
      </c>
      <c r="AH133" s="276">
        <f t="shared" si="10"/>
        <v>68.121499999999997</v>
      </c>
      <c r="AI133" s="283">
        <f t="shared" si="11"/>
        <v>2.3265539617486337</v>
      </c>
    </row>
    <row r="134" spans="1:35" ht="30" x14ac:dyDescent="0.25">
      <c r="A134" s="275">
        <f>'Profits 2016'!A5344</f>
        <v>3004205</v>
      </c>
      <c r="B134" s="279">
        <f>'Profits 2016'!B5344</f>
        <v>42620</v>
      </c>
      <c r="C134" s="276">
        <f>'Profits 2016'!H5344</f>
        <v>107.91</v>
      </c>
      <c r="D134" s="280">
        <f>'Profits 2016'!K5344</f>
        <v>91.723500000000001</v>
      </c>
      <c r="E134" s="276">
        <f>'Profits 2016'!L5344</f>
        <v>775</v>
      </c>
      <c r="F134" s="275" t="str">
        <f>'Profits 2016'!P5344</f>
        <v>Direct</v>
      </c>
      <c r="G134" s="292">
        <f>'Profits 2016'!N5344-'Profits 2016'!M5344</f>
        <v>77.5</v>
      </c>
      <c r="H134" s="292">
        <v>0</v>
      </c>
      <c r="I134" s="275">
        <v>72308</v>
      </c>
      <c r="J134" s="277">
        <v>41161</v>
      </c>
      <c r="K134" s="277">
        <v>42628</v>
      </c>
      <c r="L134" s="277">
        <v>42629</v>
      </c>
      <c r="M134" s="292">
        <v>75.95</v>
      </c>
      <c r="N134" s="281">
        <v>8984</v>
      </c>
      <c r="O134" s="236" t="str">
        <f>'Profits 2016'!T5344</f>
        <v>FEDEX GROUND</v>
      </c>
      <c r="P134" s="284" t="str">
        <f>'Profits 2016'!U5344</f>
        <v>642286528846</v>
      </c>
      <c r="Q134" s="284" t="s">
        <v>314</v>
      </c>
      <c r="R134" s="276">
        <v>16.440000000000001</v>
      </c>
      <c r="S134" s="275" t="s">
        <v>15739</v>
      </c>
      <c r="T134" s="279">
        <v>42639</v>
      </c>
      <c r="U134" s="279">
        <v>42646</v>
      </c>
      <c r="V134" s="279">
        <v>42657</v>
      </c>
      <c r="W134" s="293">
        <v>0</v>
      </c>
      <c r="X134" s="236">
        <v>9175</v>
      </c>
      <c r="AF134" s="276">
        <f t="shared" si="12"/>
        <v>93.94</v>
      </c>
      <c r="AG134" s="276">
        <f t="shared" si="9"/>
        <v>92.39</v>
      </c>
      <c r="AH134" s="276">
        <f t="shared" si="10"/>
        <v>-0.6664999999999992</v>
      </c>
      <c r="AI134" s="283">
        <f t="shared" si="11"/>
        <v>-7.0949542261017585E-3</v>
      </c>
    </row>
    <row r="135" spans="1:35" ht="30" x14ac:dyDescent="0.25">
      <c r="A135" s="275">
        <f>'Profits 2016'!A5345</f>
        <v>3004206</v>
      </c>
      <c r="B135" s="279">
        <f>'Profits 2016'!B5345</f>
        <v>42620</v>
      </c>
      <c r="C135" s="276">
        <f>'Profits 2016'!H5345</f>
        <v>102.6</v>
      </c>
      <c r="D135" s="280">
        <f>'Profits 2016'!K5345</f>
        <v>91.116600000000005</v>
      </c>
      <c r="E135" s="276">
        <f>'Profits 2016'!L5345</f>
        <v>0</v>
      </c>
      <c r="F135" s="275" t="str">
        <f>'Profits 2016'!P5345</f>
        <v>Nassau</v>
      </c>
      <c r="G135" s="292">
        <f>'Profits 2016'!N5345-'Profits 2016'!M5345</f>
        <v>0</v>
      </c>
      <c r="H135" s="319"/>
      <c r="I135" s="320"/>
      <c r="J135" s="321"/>
      <c r="K135" s="321"/>
      <c r="L135" s="321"/>
      <c r="M135" s="319"/>
      <c r="N135" s="322"/>
      <c r="O135" s="236" t="str">
        <f>'Profits 2016'!T5345</f>
        <v>FEDEX GROUND</v>
      </c>
      <c r="P135" s="284" t="str">
        <f>'Profits 2016'!U5345</f>
        <v xml:space="preserve"> 	702723287650</v>
      </c>
      <c r="Q135" s="284" t="s">
        <v>314</v>
      </c>
      <c r="R135" s="276">
        <v>21.63</v>
      </c>
      <c r="S135" s="275" t="s">
        <v>15739</v>
      </c>
      <c r="T135" s="279">
        <v>42639</v>
      </c>
      <c r="U135" s="279">
        <v>42646</v>
      </c>
      <c r="V135" s="279">
        <v>42657</v>
      </c>
      <c r="W135" s="293">
        <v>0</v>
      </c>
      <c r="X135" s="236">
        <v>9175</v>
      </c>
      <c r="AF135" s="276">
        <f t="shared" si="12"/>
        <v>21.63</v>
      </c>
      <c r="AG135" s="276">
        <f t="shared" si="9"/>
        <v>21.63</v>
      </c>
      <c r="AH135" s="276">
        <f t="shared" si="10"/>
        <v>69.48660000000001</v>
      </c>
      <c r="AI135" s="283">
        <f t="shared" si="11"/>
        <v>3.2125104022191406</v>
      </c>
    </row>
    <row r="136" spans="1:35" ht="30" x14ac:dyDescent="0.25">
      <c r="A136" s="275">
        <f>'Profits 2016'!A5346</f>
        <v>3004207</v>
      </c>
      <c r="B136" s="279">
        <f>'Profits 2016'!B5346</f>
        <v>42620</v>
      </c>
      <c r="C136" s="276">
        <f>'Profits 2016'!H5346</f>
        <v>147.97999999999999</v>
      </c>
      <c r="D136" s="280">
        <f>'Profits 2016'!K5346</f>
        <v>131.55018000000001</v>
      </c>
      <c r="E136" s="276">
        <f>'Profits 2016'!L5346</f>
        <v>353</v>
      </c>
      <c r="F136" s="275" t="str">
        <f>'Profits 2016'!P5346</f>
        <v>Direct</v>
      </c>
      <c r="G136" s="292">
        <f>'Profits 2016'!N5346-'Profits 2016'!M5346</f>
        <v>70.600000000000009</v>
      </c>
      <c r="H136" s="292">
        <v>0</v>
      </c>
      <c r="I136" s="275">
        <v>72234</v>
      </c>
      <c r="J136" s="277">
        <v>42620</v>
      </c>
      <c r="K136" s="277">
        <v>42627</v>
      </c>
      <c r="L136" s="277">
        <v>42629</v>
      </c>
      <c r="M136" s="292">
        <v>69.19</v>
      </c>
      <c r="N136" s="281">
        <v>8965</v>
      </c>
      <c r="O136" s="236" t="str">
        <f>'Profits 2016'!T5346</f>
        <v>FEDEX GROUND</v>
      </c>
      <c r="P136" s="284">
        <f>'Profits 2016'!U5346</f>
        <v>630512244620</v>
      </c>
      <c r="Q136" s="284" t="s">
        <v>314</v>
      </c>
      <c r="R136" s="276">
        <v>21.41</v>
      </c>
      <c r="S136" s="275" t="s">
        <v>15739</v>
      </c>
      <c r="T136" s="279">
        <v>42639</v>
      </c>
      <c r="U136" s="279">
        <v>42646</v>
      </c>
      <c r="V136" s="279">
        <v>42657</v>
      </c>
      <c r="W136" s="293">
        <v>0</v>
      </c>
      <c r="X136" s="236">
        <v>9175</v>
      </c>
      <c r="AF136" s="276">
        <f t="shared" si="12"/>
        <v>92.01</v>
      </c>
      <c r="AG136" s="276">
        <f t="shared" si="9"/>
        <v>90.6</v>
      </c>
      <c r="AH136" s="276">
        <f t="shared" si="10"/>
        <v>40.950180000000017</v>
      </c>
      <c r="AI136" s="283">
        <f t="shared" si="11"/>
        <v>0.4450622758395828</v>
      </c>
    </row>
    <row r="137" spans="1:35" ht="30" x14ac:dyDescent="0.25">
      <c r="A137" s="275">
        <f>'Profits 2016'!A5347</f>
        <v>3004208</v>
      </c>
      <c r="B137" s="279">
        <f>'Profits 2016'!B5347</f>
        <v>42620</v>
      </c>
      <c r="C137" s="276">
        <f>'Profits 2016'!H5347</f>
        <v>173.65</v>
      </c>
      <c r="D137" s="280">
        <f>'Profits 2016'!K5347</f>
        <v>154.42215000000002</v>
      </c>
      <c r="E137" s="276">
        <f>'Profits 2016'!L5347</f>
        <v>0</v>
      </c>
      <c r="F137" s="275" t="str">
        <f>'Profits 2016'!P5347</f>
        <v>Nassau</v>
      </c>
      <c r="G137" s="292">
        <f>'Profits 2016'!N5347-'Profits 2016'!M5347</f>
        <v>0</v>
      </c>
      <c r="H137" s="319"/>
      <c r="I137" s="320"/>
      <c r="J137" s="321"/>
      <c r="K137" s="321"/>
      <c r="L137" s="321"/>
      <c r="M137" s="319"/>
      <c r="N137" s="322"/>
      <c r="O137" s="236" t="str">
        <f>'Profits 2016'!T5347</f>
        <v>FEDEX GROUND</v>
      </c>
      <c r="P137" s="284" t="str">
        <f>'Profits 2016'!U5347</f>
        <v xml:space="preserve">	680483359870</v>
      </c>
      <c r="Q137" s="284" t="s">
        <v>314</v>
      </c>
      <c r="R137" s="276">
        <v>41.27</v>
      </c>
      <c r="S137" s="275" t="s">
        <v>15733</v>
      </c>
      <c r="T137" s="279">
        <v>42632</v>
      </c>
      <c r="U137" s="279">
        <v>42639</v>
      </c>
      <c r="V137" s="279">
        <v>42643</v>
      </c>
      <c r="W137" s="293">
        <v>0</v>
      </c>
      <c r="X137" s="236">
        <v>9030</v>
      </c>
      <c r="AF137" s="276">
        <f t="shared" si="12"/>
        <v>41.27</v>
      </c>
      <c r="AG137" s="276">
        <f t="shared" si="9"/>
        <v>41.27</v>
      </c>
      <c r="AH137" s="276">
        <f t="shared" si="10"/>
        <v>113.15215000000001</v>
      </c>
      <c r="AI137" s="283">
        <f t="shared" si="11"/>
        <v>2.7417530894111946</v>
      </c>
    </row>
    <row r="138" spans="1:35" ht="30" x14ac:dyDescent="0.25">
      <c r="A138" s="275">
        <f>'Profits 2016'!A5348</f>
        <v>3004209</v>
      </c>
      <c r="B138" s="279">
        <f>'Profits 2016'!B5348</f>
        <v>42620</v>
      </c>
      <c r="C138" s="276">
        <f>'Profits 2016'!H5348</f>
        <v>365.11</v>
      </c>
      <c r="D138" s="280">
        <f>'Profits 2016'!K5348</f>
        <v>325.01301000000001</v>
      </c>
      <c r="E138" s="276">
        <f>'Profits 2016'!L5348</f>
        <v>0</v>
      </c>
      <c r="F138" s="275" t="str">
        <f>'Profits 2016'!P5348</f>
        <v>Nassau</v>
      </c>
      <c r="G138" s="292">
        <f>'Profits 2016'!N5348-'Profits 2016'!M5348</f>
        <v>0</v>
      </c>
      <c r="H138" s="319"/>
      <c r="I138" s="320"/>
      <c r="J138" s="321"/>
      <c r="K138" s="321"/>
      <c r="L138" s="321"/>
      <c r="M138" s="319"/>
      <c r="N138" s="322"/>
      <c r="O138" s="236" t="str">
        <f>'Profits 2016'!T5348</f>
        <v>FEDEX GROUND</v>
      </c>
      <c r="P138" s="284" t="str">
        <f>'Profits 2016'!U5348</f>
        <v> 	680483359928</v>
      </c>
      <c r="Q138" s="284" t="s">
        <v>314</v>
      </c>
      <c r="R138" s="276">
        <v>30.89</v>
      </c>
      <c r="S138" s="275" t="s">
        <v>15739</v>
      </c>
      <c r="T138" s="279">
        <v>42639</v>
      </c>
      <c r="U138" s="279">
        <v>42643</v>
      </c>
      <c r="V138" s="279">
        <v>42657</v>
      </c>
      <c r="W138" s="293">
        <v>0</v>
      </c>
      <c r="X138" s="236">
        <v>9175</v>
      </c>
      <c r="AF138" s="276">
        <f t="shared" si="12"/>
        <v>30.89</v>
      </c>
      <c r="AG138" s="276">
        <f t="shared" si="9"/>
        <v>30.89</v>
      </c>
      <c r="AH138" s="276">
        <f t="shared" si="10"/>
        <v>294.12301000000002</v>
      </c>
      <c r="AI138" s="283">
        <f t="shared" si="11"/>
        <v>9.5216254451278743</v>
      </c>
    </row>
    <row r="139" spans="1:35" ht="30" x14ac:dyDescent="0.25">
      <c r="A139" s="275">
        <f>'Profits 2016'!A5349</f>
        <v>3004210</v>
      </c>
      <c r="B139" s="279">
        <f>'Profits 2016'!B5349</f>
        <v>42620</v>
      </c>
      <c r="C139" s="276">
        <f>'Profits 2016'!H5349</f>
        <v>320.06</v>
      </c>
      <c r="D139" s="280">
        <f>'Profits 2016'!K5349</f>
        <v>284.87345999999997</v>
      </c>
      <c r="E139" s="276">
        <f>'Profits 2016'!L5349</f>
        <v>0</v>
      </c>
      <c r="F139" s="275" t="str">
        <f>'Profits 2016'!P5349</f>
        <v>Nassau</v>
      </c>
      <c r="G139" s="292">
        <f>'Profits 2016'!N5349-'Profits 2016'!M5349</f>
        <v>0</v>
      </c>
      <c r="H139" s="319"/>
      <c r="I139" s="320"/>
      <c r="J139" s="321"/>
      <c r="K139" s="321"/>
      <c r="L139" s="321"/>
      <c r="M139" s="319"/>
      <c r="N139" s="322"/>
      <c r="O139" s="236" t="str">
        <f>'Profits 2016'!T5349</f>
        <v>FEDEX GROUND</v>
      </c>
      <c r="P139" s="284" t="str">
        <f>'Profits 2016'!U5349</f>
        <v xml:space="preserve"> 	680483359869</v>
      </c>
      <c r="Q139" s="284" t="s">
        <v>314</v>
      </c>
      <c r="R139" s="276">
        <v>54.86</v>
      </c>
      <c r="S139" s="275" t="s">
        <v>15739</v>
      </c>
      <c r="T139" s="279">
        <v>42639</v>
      </c>
      <c r="U139" s="279">
        <v>42643</v>
      </c>
      <c r="V139" s="279">
        <v>42657</v>
      </c>
      <c r="W139" s="293">
        <v>0</v>
      </c>
      <c r="X139" s="236">
        <v>9175</v>
      </c>
      <c r="AF139" s="276">
        <f t="shared" si="12"/>
        <v>54.86</v>
      </c>
      <c r="AG139" s="276">
        <f t="shared" si="9"/>
        <v>54.86</v>
      </c>
      <c r="AH139" s="276">
        <f t="shared" si="10"/>
        <v>230.01345999999995</v>
      </c>
      <c r="AI139" s="283">
        <f t="shared" si="11"/>
        <v>4.1927353262850886</v>
      </c>
    </row>
    <row r="140" spans="1:35" ht="30" x14ac:dyDescent="0.25">
      <c r="A140" s="275">
        <f>'Profits 2016'!A5350</f>
        <v>3004211</v>
      </c>
      <c r="B140" s="279">
        <f>'Profits 2016'!B5350</f>
        <v>42620</v>
      </c>
      <c r="C140" s="276">
        <f>'Profits 2016'!H5350</f>
        <v>365.46</v>
      </c>
      <c r="D140" s="280">
        <f>'Profits 2016'!K5350</f>
        <v>325.32486</v>
      </c>
      <c r="E140" s="276">
        <f>'Profits 2016'!L5350</f>
        <v>0</v>
      </c>
      <c r="F140" s="275" t="str">
        <f>'Profits 2016'!P5350</f>
        <v>Nassau</v>
      </c>
      <c r="G140" s="292">
        <f>'Profits 2016'!N5350-'Profits 2016'!M5350</f>
        <v>0</v>
      </c>
      <c r="H140" s="319"/>
      <c r="I140" s="320"/>
      <c r="J140" s="321"/>
      <c r="K140" s="321"/>
      <c r="L140" s="321"/>
      <c r="M140" s="319"/>
      <c r="N140" s="322"/>
      <c r="O140" s="236" t="str">
        <f>'Profits 2016'!T5350</f>
        <v>FEDEX GROUND</v>
      </c>
      <c r="P140" s="284">
        <f>'Profits 2016'!U5350</f>
        <v>680483359917</v>
      </c>
      <c r="Q140" s="284" t="s">
        <v>314</v>
      </c>
      <c r="R140" s="276">
        <v>42.94</v>
      </c>
      <c r="S140" s="275" t="s">
        <v>15733</v>
      </c>
      <c r="T140" s="279">
        <v>42632</v>
      </c>
      <c r="U140" s="279">
        <v>42639</v>
      </c>
      <c r="V140" s="279">
        <v>42643</v>
      </c>
      <c r="W140" s="293">
        <v>0</v>
      </c>
      <c r="X140" s="236">
        <v>9030</v>
      </c>
      <c r="AF140" s="276">
        <f t="shared" si="12"/>
        <v>42.94</v>
      </c>
      <c r="AG140" s="276">
        <f t="shared" si="9"/>
        <v>42.94</v>
      </c>
      <c r="AH140" s="276">
        <f t="shared" si="10"/>
        <v>282.38486</v>
      </c>
      <c r="AI140" s="283">
        <f t="shared" si="11"/>
        <v>6.5762659524918492</v>
      </c>
    </row>
    <row r="141" spans="1:35" ht="30" x14ac:dyDescent="0.25">
      <c r="A141" s="275">
        <f>'Profits 2016'!A5351</f>
        <v>3004212</v>
      </c>
      <c r="B141" s="279">
        <f>'Profits 2016'!B5351</f>
        <v>42620</v>
      </c>
      <c r="C141" s="276">
        <f>'Profits 2016'!H5351</f>
        <v>164.57</v>
      </c>
      <c r="D141" s="280">
        <f>'Profits 2016'!K5351</f>
        <v>146.33187000000001</v>
      </c>
      <c r="E141" s="276">
        <f>'Profits 2016'!L5351</f>
        <v>0</v>
      </c>
      <c r="F141" s="275" t="str">
        <f>'Profits 2016'!P5351</f>
        <v>Nassau</v>
      </c>
      <c r="G141" s="292">
        <f>'Profits 2016'!N5351-'Profits 2016'!M5351</f>
        <v>0</v>
      </c>
      <c r="H141" s="319"/>
      <c r="I141" s="320"/>
      <c r="J141" s="321"/>
      <c r="K141" s="321"/>
      <c r="L141" s="321"/>
      <c r="M141" s="319"/>
      <c r="N141" s="322"/>
      <c r="O141" s="236" t="str">
        <f>'Profits 2016'!T5351</f>
        <v>FEDEX GROUND</v>
      </c>
      <c r="P141" s="284">
        <f>'Profits 2016'!U5351</f>
        <v>680483359858</v>
      </c>
      <c r="Q141" s="284" t="s">
        <v>314</v>
      </c>
      <c r="R141" s="276">
        <v>31.05</v>
      </c>
      <c r="S141" s="275" t="s">
        <v>15733</v>
      </c>
      <c r="T141" s="279">
        <v>42632</v>
      </c>
      <c r="U141" s="279">
        <v>42639</v>
      </c>
      <c r="V141" s="279">
        <v>42643</v>
      </c>
      <c r="W141" s="293">
        <v>0</v>
      </c>
      <c r="X141" s="236">
        <v>9030</v>
      </c>
      <c r="AF141" s="276">
        <f t="shared" si="12"/>
        <v>31.05</v>
      </c>
      <c r="AG141" s="276">
        <f t="shared" si="9"/>
        <v>31.05</v>
      </c>
      <c r="AH141" s="276">
        <f t="shared" si="10"/>
        <v>115.28187000000001</v>
      </c>
      <c r="AI141" s="283">
        <f t="shared" si="11"/>
        <v>3.7127816425120774</v>
      </c>
    </row>
    <row r="142" spans="1:35" ht="30" x14ac:dyDescent="0.25">
      <c r="A142" s="275">
        <f>'Profits 2016'!A5352</f>
        <v>3004213</v>
      </c>
      <c r="B142" s="279">
        <f>'Profits 2016'!B5352</f>
        <v>42620</v>
      </c>
      <c r="C142" s="276">
        <f>'Profits 2016'!H5352</f>
        <v>58.47</v>
      </c>
      <c r="D142" s="280">
        <f>'Profits 2016'!K5352</f>
        <v>58.47</v>
      </c>
      <c r="E142" s="276">
        <f>'Profits 2016'!L5352</f>
        <v>75</v>
      </c>
      <c r="F142" s="275" t="str">
        <f>'Profits 2016'!P5352</f>
        <v>A-Z</v>
      </c>
      <c r="G142" s="292">
        <f>'Profits 2016'!N5352-'Profits 2016'!M5352</f>
        <v>37.5</v>
      </c>
      <c r="H142" s="292">
        <v>0</v>
      </c>
      <c r="I142" s="275">
        <v>399976</v>
      </c>
      <c r="J142" s="277">
        <v>42621</v>
      </c>
      <c r="K142" s="277">
        <v>42627</v>
      </c>
      <c r="L142" s="277">
        <v>42664</v>
      </c>
      <c r="M142" s="292">
        <v>37.5</v>
      </c>
      <c r="N142" s="281">
        <v>9207</v>
      </c>
      <c r="O142" s="236" t="str">
        <f>'Profits 2016'!T5352</f>
        <v>FEDEX GROUND</v>
      </c>
      <c r="P142" s="284">
        <f>'Profits 2016'!U5352</f>
        <v>700329331482</v>
      </c>
      <c r="Q142" s="284" t="s">
        <v>314</v>
      </c>
      <c r="R142" s="276">
        <v>8.73</v>
      </c>
      <c r="S142" s="275" t="s">
        <v>15739</v>
      </c>
      <c r="T142" s="279">
        <v>42639</v>
      </c>
      <c r="U142" s="279">
        <v>42643</v>
      </c>
      <c r="V142" s="279">
        <v>42657</v>
      </c>
      <c r="W142" s="293">
        <v>0</v>
      </c>
      <c r="X142" s="236">
        <v>9175</v>
      </c>
      <c r="AF142" s="276">
        <f t="shared" si="12"/>
        <v>46.230000000000004</v>
      </c>
      <c r="AG142" s="276">
        <f t="shared" si="9"/>
        <v>46.230000000000004</v>
      </c>
      <c r="AH142" s="276">
        <f t="shared" si="10"/>
        <v>12.239999999999995</v>
      </c>
      <c r="AI142" s="283">
        <f t="shared" si="11"/>
        <v>0.26476314081765073</v>
      </c>
    </row>
    <row r="143" spans="1:35" ht="43.5" customHeight="1" x14ac:dyDescent="0.25">
      <c r="A143" s="275">
        <f>'Profits 2016'!A5353</f>
        <v>3004214</v>
      </c>
      <c r="B143" s="279">
        <f>'Profits 2016'!B5353</f>
        <v>42620</v>
      </c>
      <c r="C143" s="276">
        <f>'Profits 2016'!H5353</f>
        <v>840.15</v>
      </c>
      <c r="D143" s="280">
        <f>'Profits 2016'!K5353</f>
        <v>748.27364999999998</v>
      </c>
      <c r="E143" s="276">
        <f>'Profits 2016'!L5353</f>
        <v>150</v>
      </c>
      <c r="F143" s="275" t="str">
        <f>'Profits 2016'!P5353</f>
        <v>A-Z</v>
      </c>
      <c r="G143" s="292">
        <f>'Profits 2016'!N5353-'Profits 2016'!M5353</f>
        <v>449.99999999999994</v>
      </c>
      <c r="H143" s="292">
        <v>0</v>
      </c>
      <c r="I143" s="275">
        <v>400141</v>
      </c>
      <c r="J143" s="277">
        <v>42622</v>
      </c>
      <c r="K143" s="277">
        <v>42628</v>
      </c>
      <c r="L143" s="277">
        <v>42664</v>
      </c>
      <c r="M143" s="292">
        <v>450</v>
      </c>
      <c r="N143" s="281">
        <v>9207</v>
      </c>
      <c r="O143" s="236" t="str">
        <f>'Profits 2016'!T5353</f>
        <v>FEDEX GROUND</v>
      </c>
      <c r="P143" s="284" t="str">
        <f>'Profits 2016'!U5353</f>
        <v>679590219223, 679590219234, 679590219245</v>
      </c>
      <c r="Q143" s="284" t="s">
        <v>314</v>
      </c>
      <c r="R143" s="276">
        <f>31+31.31+31</f>
        <v>93.31</v>
      </c>
      <c r="S143" s="275" t="s">
        <v>15747</v>
      </c>
      <c r="T143" s="279" t="s">
        <v>15748</v>
      </c>
      <c r="U143" s="279" t="s">
        <v>15749</v>
      </c>
      <c r="V143" s="279">
        <v>42657</v>
      </c>
      <c r="W143" s="293">
        <v>0</v>
      </c>
      <c r="X143" s="236">
        <v>9175</v>
      </c>
      <c r="AF143" s="276">
        <f t="shared" si="12"/>
        <v>543.30999999999995</v>
      </c>
      <c r="AG143" s="276">
        <f t="shared" si="9"/>
        <v>543.30999999999995</v>
      </c>
      <c r="AH143" s="276">
        <f t="shared" si="10"/>
        <v>204.96365000000003</v>
      </c>
      <c r="AI143" s="283">
        <f t="shared" si="11"/>
        <v>0.37724991257293267</v>
      </c>
    </row>
    <row r="144" spans="1:35" ht="30" x14ac:dyDescent="0.25">
      <c r="A144" s="275">
        <f>'Profits 2016'!A5354</f>
        <v>3004215</v>
      </c>
      <c r="B144" s="279">
        <f>'Profits 2016'!B5354</f>
        <v>42620</v>
      </c>
      <c r="C144" s="276">
        <f>'Profits 2016'!H5354</f>
        <v>244.97</v>
      </c>
      <c r="D144" s="280">
        <f>'Profits 2016'!K5354</f>
        <v>208.22450000000001</v>
      </c>
      <c r="E144" s="276">
        <f>'Profits 2016'!L5354</f>
        <v>0</v>
      </c>
      <c r="F144" s="275" t="str">
        <f>'Profits 2016'!P5354</f>
        <v>Thea</v>
      </c>
      <c r="G144" s="292">
        <f>'Profits 2016'!N5354-'Profits 2016'!M5354</f>
        <v>0</v>
      </c>
      <c r="H144" s="319"/>
      <c r="I144" s="320"/>
      <c r="J144" s="321"/>
      <c r="K144" s="321"/>
      <c r="L144" s="321"/>
      <c r="M144" s="319"/>
      <c r="N144" s="322"/>
      <c r="O144" s="236" t="str">
        <f>'Profits 2016'!T5354</f>
        <v>FEDEX GROUND</v>
      </c>
      <c r="P144" s="284">
        <f>'Profits 2016'!U5354</f>
        <v>675157529525</v>
      </c>
      <c r="Q144" s="284" t="s">
        <v>314</v>
      </c>
      <c r="R144" s="276">
        <v>125.56</v>
      </c>
      <c r="S144" s="275" t="s">
        <v>15739</v>
      </c>
      <c r="T144" s="279">
        <v>42639</v>
      </c>
      <c r="U144" s="279">
        <v>42646</v>
      </c>
      <c r="V144" s="279">
        <v>42657</v>
      </c>
      <c r="W144" s="293">
        <v>0</v>
      </c>
      <c r="X144" s="236">
        <v>9175</v>
      </c>
      <c r="AF144" s="276">
        <f t="shared" si="12"/>
        <v>125.56</v>
      </c>
      <c r="AG144" s="276">
        <f t="shared" si="9"/>
        <v>125.56</v>
      </c>
      <c r="AH144" s="276">
        <f t="shared" si="10"/>
        <v>82.664500000000004</v>
      </c>
      <c r="AI144" s="283">
        <f t="shared" si="11"/>
        <v>0.65836651799936285</v>
      </c>
    </row>
    <row r="145" spans="1:35" ht="30" x14ac:dyDescent="0.25">
      <c r="A145" s="275">
        <f>'Profits 2016'!A5355</f>
        <v>3004216</v>
      </c>
      <c r="B145" s="279">
        <f>'Profits 2016'!B5355</f>
        <v>42620</v>
      </c>
      <c r="C145" s="276">
        <f>'Profits 2016'!H5355</f>
        <v>292.8</v>
      </c>
      <c r="D145" s="280">
        <f>'Profits 2016'!K5355</f>
        <v>282.98400000000004</v>
      </c>
      <c r="E145" s="276">
        <f>'Profits 2016'!L5355</f>
        <v>0</v>
      </c>
      <c r="F145" s="275" t="str">
        <f>'Profits 2016'!P5355</f>
        <v>Thea</v>
      </c>
      <c r="G145" s="292">
        <f>'Profits 2016'!N5355-'Profits 2016'!M5355</f>
        <v>0</v>
      </c>
      <c r="H145" s="319"/>
      <c r="I145" s="320"/>
      <c r="J145" s="321"/>
      <c r="K145" s="321"/>
      <c r="L145" s="321"/>
      <c r="M145" s="319"/>
      <c r="N145" s="322"/>
      <c r="O145" s="236" t="str">
        <f>'Profits 2016'!T5355</f>
        <v>FEDEX GROUND</v>
      </c>
      <c r="P145" s="284">
        <f>'Profits 2016'!U5355</f>
        <v>675157529570</v>
      </c>
      <c r="Q145" s="284" t="s">
        <v>314</v>
      </c>
      <c r="R145" s="276">
        <v>51.88</v>
      </c>
      <c r="S145" s="275" t="s">
        <v>15750</v>
      </c>
      <c r="T145" s="279">
        <v>42639</v>
      </c>
      <c r="U145" s="279">
        <v>42646</v>
      </c>
      <c r="V145" s="279">
        <v>42657</v>
      </c>
      <c r="W145" s="293">
        <v>0</v>
      </c>
      <c r="X145" s="236">
        <v>9175</v>
      </c>
      <c r="AF145" s="276">
        <f t="shared" si="12"/>
        <v>51.88</v>
      </c>
      <c r="AG145" s="276">
        <f t="shared" si="9"/>
        <v>51.88</v>
      </c>
      <c r="AH145" s="276">
        <f t="shared" si="10"/>
        <v>231.10400000000004</v>
      </c>
      <c r="AI145" s="283">
        <f t="shared" si="11"/>
        <v>4.4545875096376255</v>
      </c>
    </row>
    <row r="146" spans="1:35" ht="30" x14ac:dyDescent="0.25">
      <c r="A146" s="275">
        <f>'Profits 2016'!A5356</f>
        <v>3004217</v>
      </c>
      <c r="B146" s="279">
        <f>'Profits 2016'!B5356</f>
        <v>42620</v>
      </c>
      <c r="C146" s="276">
        <f>'Profits 2016'!H5356</f>
        <v>140</v>
      </c>
      <c r="D146" s="280">
        <f>'Profits 2016'!K5356</f>
        <v>119</v>
      </c>
      <c r="E146" s="276">
        <f>'Profits 2016'!L5356</f>
        <v>0</v>
      </c>
      <c r="F146" s="275" t="str">
        <f>'Profits 2016'!P5356</f>
        <v>Nassau</v>
      </c>
      <c r="G146" s="292">
        <f>'Profits 2016'!N5356-'Profits 2016'!M5356</f>
        <v>0</v>
      </c>
      <c r="H146" s="319"/>
      <c r="I146" s="320"/>
      <c r="J146" s="321"/>
      <c r="K146" s="321"/>
      <c r="L146" s="321"/>
      <c r="M146" s="319"/>
      <c r="N146" s="322"/>
      <c r="O146" s="236" t="str">
        <f>'Profits 2016'!T5356</f>
        <v>FEDEX GROUND</v>
      </c>
      <c r="P146" s="284">
        <f>'Profits 2016'!U5356</f>
        <v>702723287672</v>
      </c>
      <c r="Q146" s="284" t="s">
        <v>314</v>
      </c>
      <c r="R146" s="276">
        <v>14.35</v>
      </c>
      <c r="S146" s="275" t="s">
        <v>15733</v>
      </c>
      <c r="T146" s="279">
        <v>42632</v>
      </c>
      <c r="U146" s="279">
        <v>42639</v>
      </c>
      <c r="V146" s="279">
        <v>42643</v>
      </c>
      <c r="W146" s="293">
        <v>0</v>
      </c>
      <c r="X146" s="236">
        <v>9030</v>
      </c>
      <c r="AF146" s="276">
        <f t="shared" si="12"/>
        <v>14.35</v>
      </c>
      <c r="AG146" s="276">
        <f t="shared" si="9"/>
        <v>14.35</v>
      </c>
      <c r="AH146" s="276">
        <f t="shared" si="10"/>
        <v>104.65</v>
      </c>
      <c r="AI146" s="283">
        <f t="shared" si="11"/>
        <v>7.2926829268292686</v>
      </c>
    </row>
    <row r="147" spans="1:35" ht="30" x14ac:dyDescent="0.25">
      <c r="A147" s="275">
        <f>'Profits 2016'!A5357</f>
        <v>3004218</v>
      </c>
      <c r="B147" s="279">
        <f>'Profits 2016'!B5357</f>
        <v>42620</v>
      </c>
      <c r="C147" s="276">
        <f>'Profits 2016'!H5357</f>
        <v>210.87</v>
      </c>
      <c r="D147" s="280">
        <f>'Profits 2016'!K5357</f>
        <v>187.58517000000001</v>
      </c>
      <c r="E147" s="276">
        <f>'Profits 2016'!L5357</f>
        <v>0</v>
      </c>
      <c r="F147" s="275" t="str">
        <f>'Profits 2016'!P5357</f>
        <v>Nassau</v>
      </c>
      <c r="G147" s="292">
        <f>'Profits 2016'!N5357-'Profits 2016'!M5357</f>
        <v>0</v>
      </c>
      <c r="H147" s="319"/>
      <c r="I147" s="320"/>
      <c r="J147" s="321"/>
      <c r="K147" s="321"/>
      <c r="L147" s="321"/>
      <c r="M147" s="319"/>
      <c r="N147" s="322"/>
      <c r="O147" s="236" t="str">
        <f>'Profits 2016'!T5357</f>
        <v>FEDEX GROUND</v>
      </c>
      <c r="P147" s="284" t="str">
        <f>'Profits 2016'!U5357</f>
        <v xml:space="preserve">	702723287742</v>
      </c>
      <c r="Q147" s="284" t="s">
        <v>314</v>
      </c>
      <c r="R147" s="276">
        <v>19.96</v>
      </c>
      <c r="S147" s="275" t="s">
        <v>15739</v>
      </c>
      <c r="T147" s="279">
        <v>42639</v>
      </c>
      <c r="U147" s="279">
        <v>42646</v>
      </c>
      <c r="V147" s="279">
        <v>42657</v>
      </c>
      <c r="W147" s="293">
        <v>0</v>
      </c>
      <c r="X147" s="236">
        <v>9175</v>
      </c>
      <c r="AF147" s="276">
        <f t="shared" si="12"/>
        <v>19.96</v>
      </c>
      <c r="AG147" s="276">
        <f t="shared" si="9"/>
        <v>19.96</v>
      </c>
      <c r="AH147" s="276">
        <f t="shared" si="10"/>
        <v>167.62517</v>
      </c>
      <c r="AI147" s="283">
        <f t="shared" si="11"/>
        <v>8.3980546092184358</v>
      </c>
    </row>
    <row r="148" spans="1:35" x14ac:dyDescent="0.25">
      <c r="A148" s="275">
        <f>'Profits 2016'!A5358</f>
        <v>3004219</v>
      </c>
      <c r="B148" s="279">
        <f>'Profits 2016'!B5358</f>
        <v>42620</v>
      </c>
      <c r="C148" s="276">
        <f>'Profits 2016'!H5358</f>
        <v>72</v>
      </c>
      <c r="D148" s="280">
        <f>'Profits 2016'!K5358</f>
        <v>72</v>
      </c>
      <c r="E148" s="276">
        <f>'Profits 2016'!L5358</f>
        <v>0</v>
      </c>
      <c r="F148" s="275" t="str">
        <f>'Profits 2016'!P5358</f>
        <v>Nassau</v>
      </c>
      <c r="G148" s="292">
        <f>'Profits 2016'!N5358-'Profits 2016'!M5358</f>
        <v>0</v>
      </c>
      <c r="H148" s="319"/>
      <c r="I148" s="320"/>
      <c r="J148" s="321"/>
      <c r="K148" s="321"/>
      <c r="L148" s="321"/>
      <c r="M148" s="319"/>
      <c r="N148" s="322"/>
      <c r="O148" s="236">
        <f>'Profits 2016'!T5358</f>
        <v>0</v>
      </c>
      <c r="P148" s="284">
        <f>'Profits 2016'!U5358</f>
        <v>0</v>
      </c>
      <c r="AF148" s="276">
        <f t="shared" si="12"/>
        <v>0</v>
      </c>
      <c r="AG148" s="276">
        <f t="shared" si="9"/>
        <v>0</v>
      </c>
      <c r="AH148" s="276">
        <f t="shared" si="10"/>
        <v>72</v>
      </c>
      <c r="AI148" s="283" t="e">
        <f t="shared" si="11"/>
        <v>#DIV/0!</v>
      </c>
    </row>
    <row r="149" spans="1:35" ht="30" x14ac:dyDescent="0.25">
      <c r="A149" s="275">
        <f>'Profits 2016'!A5359</f>
        <v>3004220</v>
      </c>
      <c r="B149" s="279">
        <f>'Profits 2016'!B5359</f>
        <v>42620</v>
      </c>
      <c r="C149" s="276">
        <f>'Profits 2016'!H5359</f>
        <v>2800</v>
      </c>
      <c r="D149" s="280">
        <f>'Profits 2016'!K5359</f>
        <v>2800</v>
      </c>
      <c r="E149" s="276">
        <f>'Profits 2016'!L5359</f>
        <v>2030</v>
      </c>
      <c r="F149" s="275" t="str">
        <f>'Profits 2016'!P5359</f>
        <v>Direct</v>
      </c>
      <c r="G149" s="292">
        <f>'Profits 2016'!N5359-'Profits 2016'!M5359</f>
        <v>2030</v>
      </c>
      <c r="H149" s="292">
        <v>0</v>
      </c>
      <c r="I149" s="275">
        <v>72256</v>
      </c>
      <c r="J149" s="277">
        <v>42620</v>
      </c>
      <c r="K149" s="277">
        <v>42627</v>
      </c>
      <c r="L149" s="277">
        <v>42629</v>
      </c>
      <c r="M149" s="292">
        <v>1989.4</v>
      </c>
      <c r="N149" s="281">
        <v>8964</v>
      </c>
      <c r="O149" s="236" t="str">
        <f>'Profits 2016'!T5359</f>
        <v>PITT OHIO/DLS</v>
      </c>
      <c r="P149" s="284">
        <f>'Profits 2016'!U5359</f>
        <v>5011109431</v>
      </c>
      <c r="AF149" s="276">
        <f t="shared" si="12"/>
        <v>2030</v>
      </c>
      <c r="AG149" s="276">
        <f t="shared" si="9"/>
        <v>1989.4</v>
      </c>
      <c r="AH149" s="276">
        <f t="shared" si="10"/>
        <v>810.59999999999991</v>
      </c>
      <c r="AI149" s="283">
        <f t="shared" si="11"/>
        <v>0.39931034482758615</v>
      </c>
    </row>
    <row r="150" spans="1:35" x14ac:dyDescent="0.25">
      <c r="A150" s="275">
        <f>'Profits 2016'!A5360</f>
        <v>3004221</v>
      </c>
      <c r="B150" s="279">
        <f>'Profits 2016'!B5360</f>
        <v>42620</v>
      </c>
      <c r="C150" s="276">
        <f>'Profits 2016'!H5360</f>
        <v>1339.8</v>
      </c>
      <c r="D150" s="280">
        <f>'Profits 2016'!K5360</f>
        <v>1310.0244</v>
      </c>
      <c r="E150" s="276">
        <f>'Profits 2016'!L5360</f>
        <v>4900</v>
      </c>
      <c r="F150" s="275" t="str">
        <f>'Profits 2016'!P5360</f>
        <v>General</v>
      </c>
      <c r="G150" s="292">
        <f>'Profits 2016'!N5360-'Profits 2016'!M5360</f>
        <v>646.80000000000007</v>
      </c>
      <c r="H150" s="292">
        <f>1.31+22</f>
        <v>23.31</v>
      </c>
      <c r="I150" s="275">
        <v>3738308</v>
      </c>
      <c r="J150" s="277">
        <v>42625</v>
      </c>
      <c r="K150" s="277">
        <v>42636</v>
      </c>
      <c r="L150" s="277">
        <v>42650</v>
      </c>
      <c r="M150" s="292">
        <v>775.94</v>
      </c>
      <c r="N150" s="281">
        <v>9083</v>
      </c>
      <c r="O150" s="236" t="str">
        <f>'Profits 2016'!T5360</f>
        <v>R&amp;L/DLS</v>
      </c>
      <c r="P150" s="284">
        <f>'Profits 2016'!U5360</f>
        <v>707203566</v>
      </c>
      <c r="Q150" s="284" t="s">
        <v>15742</v>
      </c>
      <c r="R150" s="276">
        <v>121.65</v>
      </c>
      <c r="S150" s="275">
        <v>636716420</v>
      </c>
      <c r="T150" s="279">
        <v>42628</v>
      </c>
      <c r="U150" s="279">
        <v>42632</v>
      </c>
      <c r="V150" s="279">
        <v>42636</v>
      </c>
      <c r="W150" s="293">
        <v>121.65</v>
      </c>
      <c r="X150" s="236">
        <v>9012</v>
      </c>
      <c r="AF150" s="276">
        <f t="shared" si="12"/>
        <v>791.76</v>
      </c>
      <c r="AG150" s="276">
        <f t="shared" si="9"/>
        <v>897.59</v>
      </c>
      <c r="AH150" s="276">
        <f t="shared" si="10"/>
        <v>412.43439999999998</v>
      </c>
      <c r="AI150" s="283">
        <f t="shared" si="11"/>
        <v>0.52090835606749519</v>
      </c>
    </row>
    <row r="151" spans="1:35" x14ac:dyDescent="0.25">
      <c r="A151" s="275">
        <f>'Profits 2016'!A5361</f>
        <v>0</v>
      </c>
      <c r="B151" s="279">
        <f>'Profits 2016'!B5361</f>
        <v>0</v>
      </c>
      <c r="C151" s="276">
        <f>'Profits 2016'!H5361</f>
        <v>0</v>
      </c>
      <c r="D151" s="280">
        <f>'Profits 2016'!K5361</f>
        <v>0</v>
      </c>
      <c r="E151" s="276">
        <f>'Profits 2016'!L5361</f>
        <v>1989.53</v>
      </c>
      <c r="F151" s="275" t="str">
        <f>'Profits 2016'!P5361</f>
        <v>General</v>
      </c>
      <c r="G151" s="292">
        <f>'Profits 2016'!N5361-'Profits 2016'!M5361</f>
        <v>99.476500000000001</v>
      </c>
      <c r="H151" s="292">
        <f>0.19+22</f>
        <v>22.19</v>
      </c>
      <c r="I151" s="275">
        <v>3738308</v>
      </c>
      <c r="J151" s="277">
        <v>42625</v>
      </c>
      <c r="K151" s="277">
        <v>42636</v>
      </c>
      <c r="L151" s="277">
        <v>42650</v>
      </c>
      <c r="M151" s="292">
        <v>0</v>
      </c>
      <c r="N151" s="281">
        <v>9083</v>
      </c>
      <c r="O151" s="236">
        <f>'Profits 2016'!T5361</f>
        <v>0</v>
      </c>
      <c r="P151" s="284">
        <f>'Profits 2016'!U5361</f>
        <v>0</v>
      </c>
      <c r="Q151" s="284" t="s">
        <v>15742</v>
      </c>
      <c r="R151" s="276">
        <v>0</v>
      </c>
      <c r="S151" s="275">
        <v>636716420</v>
      </c>
      <c r="T151" s="279">
        <v>42628</v>
      </c>
      <c r="U151" s="279">
        <v>42632</v>
      </c>
      <c r="AF151" s="276">
        <f t="shared" si="12"/>
        <v>121.6665</v>
      </c>
      <c r="AG151" s="276">
        <f t="shared" si="9"/>
        <v>0</v>
      </c>
      <c r="AH151" s="276">
        <f t="shared" si="10"/>
        <v>0</v>
      </c>
      <c r="AI151" s="283">
        <f t="shared" si="11"/>
        <v>0</v>
      </c>
    </row>
    <row r="152" spans="1:35" x14ac:dyDescent="0.25">
      <c r="A152" s="275">
        <f>'Profits 2016'!A5362</f>
        <v>3004222</v>
      </c>
      <c r="B152" s="279">
        <f>'Profits 2016'!B5362</f>
        <v>42620</v>
      </c>
      <c r="C152" s="276">
        <f>'Profits 2016'!H5362</f>
        <v>22500</v>
      </c>
      <c r="D152" s="280">
        <f>'Profits 2016'!K5362</f>
        <v>22500</v>
      </c>
      <c r="E152" s="276">
        <f>'Profits 2016'!L5362</f>
        <v>166</v>
      </c>
      <c r="F152" s="275" t="str">
        <f>'Profits 2016'!P5362</f>
        <v>Republic</v>
      </c>
      <c r="G152" s="292">
        <f>'Profits 2016'!N5362-'Profits 2016'!M5362</f>
        <v>12450</v>
      </c>
      <c r="H152" s="292">
        <v>0</v>
      </c>
      <c r="I152" s="275">
        <v>306974</v>
      </c>
      <c r="J152" s="277">
        <v>42625</v>
      </c>
      <c r="K152" s="277">
        <v>42629</v>
      </c>
      <c r="L152" s="277">
        <v>42650</v>
      </c>
      <c r="M152" s="292">
        <v>12201</v>
      </c>
      <c r="N152" s="281">
        <v>9117</v>
      </c>
      <c r="O152" s="344">
        <f>'Profits 2016'!T5362</f>
        <v>0</v>
      </c>
      <c r="P152" s="345">
        <f>'Profits 2016'!U5362</f>
        <v>0</v>
      </c>
      <c r="Q152" s="345"/>
      <c r="R152" s="342"/>
      <c r="S152" s="336"/>
      <c r="T152" s="341"/>
      <c r="U152" s="341"/>
      <c r="V152" s="341"/>
      <c r="W152" s="346"/>
      <c r="X152" s="344"/>
      <c r="AF152" s="276">
        <f t="shared" si="12"/>
        <v>12450</v>
      </c>
      <c r="AG152" s="276">
        <f t="shared" si="9"/>
        <v>12201</v>
      </c>
      <c r="AH152" s="276">
        <f t="shared" si="10"/>
        <v>10299</v>
      </c>
      <c r="AI152" s="283">
        <f t="shared" si="11"/>
        <v>0.82722891566265055</v>
      </c>
    </row>
    <row r="153" spans="1:35" ht="30" x14ac:dyDescent="0.25">
      <c r="A153" s="275">
        <f>'Profits 2016'!A5363</f>
        <v>3004223</v>
      </c>
      <c r="B153" s="279">
        <f>'Profits 2016'!B5363</f>
        <v>42621</v>
      </c>
      <c r="C153" s="276">
        <f>'Profits 2016'!H5363</f>
        <v>297.18</v>
      </c>
      <c r="D153" s="280">
        <f>'Profits 2016'!K5363</f>
        <v>290.34204</v>
      </c>
      <c r="E153" s="276">
        <f>'Profits 2016'!L5363</f>
        <v>0</v>
      </c>
      <c r="F153" s="275" t="str">
        <f>'Profits 2016'!P5363</f>
        <v>Nassau</v>
      </c>
      <c r="G153" s="292">
        <f>'Profits 2016'!N5363-'Profits 2016'!M5363</f>
        <v>0</v>
      </c>
      <c r="H153" s="319"/>
      <c r="I153" s="320"/>
      <c r="J153" s="321"/>
      <c r="K153" s="321"/>
      <c r="L153" s="321"/>
      <c r="M153" s="319"/>
      <c r="N153" s="322"/>
      <c r="O153" s="236" t="str">
        <f>'Profits 2016'!T5363</f>
        <v>FEDEX GROUND</v>
      </c>
      <c r="P153" s="284">
        <f>'Profits 2016'!U5363</f>
        <v>702723287710</v>
      </c>
      <c r="Q153" s="284" t="s">
        <v>314</v>
      </c>
      <c r="R153" s="276">
        <v>19.88</v>
      </c>
      <c r="S153" s="275" t="s">
        <v>15739</v>
      </c>
      <c r="T153" s="279">
        <v>42639</v>
      </c>
      <c r="U153" s="279">
        <v>42646</v>
      </c>
      <c r="V153" s="279">
        <v>42657</v>
      </c>
      <c r="W153" s="293">
        <v>0</v>
      </c>
      <c r="X153" s="236">
        <v>9175</v>
      </c>
      <c r="AF153" s="276">
        <f t="shared" si="12"/>
        <v>19.88</v>
      </c>
      <c r="AG153" s="276">
        <f t="shared" si="9"/>
        <v>19.88</v>
      </c>
      <c r="AH153" s="276">
        <f t="shared" si="10"/>
        <v>270.46204</v>
      </c>
      <c r="AI153" s="283">
        <f t="shared" si="11"/>
        <v>13.604730382293763</v>
      </c>
    </row>
    <row r="154" spans="1:35" ht="30" x14ac:dyDescent="0.25">
      <c r="A154" s="275">
        <f>'Profits 2016'!A5364</f>
        <v>3004224</v>
      </c>
      <c r="B154" s="279">
        <f>'Profits 2016'!B5364</f>
        <v>42621</v>
      </c>
      <c r="C154" s="276">
        <f>'Profits 2016'!H5364</f>
        <v>228.5</v>
      </c>
      <c r="D154" s="280">
        <f>'Profits 2016'!K5364</f>
        <v>220.77375000000001</v>
      </c>
      <c r="E154" s="276">
        <f>'Profits 2016'!L5364</f>
        <v>0</v>
      </c>
      <c r="F154" s="275" t="str">
        <f>'Profits 2016'!P5364</f>
        <v>Nassau</v>
      </c>
      <c r="G154" s="292">
        <f>'Profits 2016'!N5364-'Profits 2016'!M5364</f>
        <v>0</v>
      </c>
      <c r="H154" s="319"/>
      <c r="I154" s="320"/>
      <c r="J154" s="321"/>
      <c r="K154" s="321"/>
      <c r="L154" s="321"/>
      <c r="M154" s="319"/>
      <c r="N154" s="322"/>
      <c r="O154" s="236" t="str">
        <f>'Profits 2016'!T5364</f>
        <v>FEDEX GROUND</v>
      </c>
      <c r="P154" s="284">
        <f>'Profits 2016'!U5364</f>
        <v>702723287709</v>
      </c>
      <c r="Q154" s="284" t="s">
        <v>314</v>
      </c>
      <c r="R154" s="276">
        <v>41.2</v>
      </c>
      <c r="S154" s="275" t="s">
        <v>15744</v>
      </c>
      <c r="T154" s="279">
        <v>42646</v>
      </c>
      <c r="U154" s="279">
        <v>42653</v>
      </c>
      <c r="V154" s="279">
        <v>42657</v>
      </c>
      <c r="W154" s="293">
        <v>0</v>
      </c>
      <c r="X154" s="236">
        <v>9174</v>
      </c>
      <c r="AF154" s="276">
        <f t="shared" si="12"/>
        <v>41.2</v>
      </c>
      <c r="AG154" s="276">
        <f t="shared" si="9"/>
        <v>41.2</v>
      </c>
      <c r="AH154" s="276">
        <f t="shared" si="10"/>
        <v>179.57375000000002</v>
      </c>
      <c r="AI154" s="283">
        <f t="shared" si="11"/>
        <v>4.3585861650485436</v>
      </c>
    </row>
    <row r="155" spans="1:35" ht="30" x14ac:dyDescent="0.25">
      <c r="A155" s="275">
        <f>'Profits 2016'!A5365</f>
        <v>3004225</v>
      </c>
      <c r="B155" s="279">
        <f>'Profits 2016'!B5365</f>
        <v>42621</v>
      </c>
      <c r="C155" s="276">
        <f>'Profits 2016'!H5365</f>
        <v>104.18</v>
      </c>
      <c r="D155" s="280">
        <f>'Profits 2016'!K5365</f>
        <v>92.524380000000008</v>
      </c>
      <c r="E155" s="276">
        <f>'Profits 2016'!L5365</f>
        <v>0</v>
      </c>
      <c r="F155" s="275" t="str">
        <f>'Profits 2016'!P5365</f>
        <v>Nassau</v>
      </c>
      <c r="G155" s="292">
        <f>'Profits 2016'!N5365-'Profits 2016'!M5365</f>
        <v>0</v>
      </c>
      <c r="H155" s="319"/>
      <c r="I155" s="320"/>
      <c r="J155" s="321"/>
      <c r="K155" s="321"/>
      <c r="L155" s="321"/>
      <c r="M155" s="319"/>
      <c r="N155" s="322"/>
      <c r="O155" s="236" t="str">
        <f>'Profits 2016'!T5365</f>
        <v>FEDEX GROUND</v>
      </c>
      <c r="P155" s="284">
        <f>'Profits 2016'!U5365</f>
        <v>702723287694</v>
      </c>
      <c r="Q155" s="284" t="s">
        <v>314</v>
      </c>
      <c r="R155" s="276">
        <v>37.29</v>
      </c>
      <c r="S155" s="275" t="s">
        <v>15739</v>
      </c>
      <c r="T155" s="279">
        <v>42639</v>
      </c>
      <c r="U155" s="279">
        <v>42646</v>
      </c>
      <c r="V155" s="279">
        <v>42657</v>
      </c>
      <c r="W155" s="293">
        <v>0</v>
      </c>
      <c r="X155" s="236">
        <v>9175</v>
      </c>
      <c r="AF155" s="276">
        <f t="shared" si="12"/>
        <v>37.29</v>
      </c>
      <c r="AG155" s="276">
        <f t="shared" si="9"/>
        <v>37.29</v>
      </c>
      <c r="AH155" s="276">
        <f t="shared" si="10"/>
        <v>55.234380000000009</v>
      </c>
      <c r="AI155" s="283">
        <f t="shared" si="11"/>
        <v>1.481211584875302</v>
      </c>
    </row>
    <row r="156" spans="1:35" ht="30" x14ac:dyDescent="0.25">
      <c r="A156" s="275">
        <f>'Profits 2016'!A5366</f>
        <v>3004226</v>
      </c>
      <c r="B156" s="279">
        <f>'Profits 2016'!B5366</f>
        <v>42621</v>
      </c>
      <c r="C156" s="276">
        <f>'Profits 2016'!H5366</f>
        <v>1230</v>
      </c>
      <c r="D156" s="280">
        <f>'Profits 2016'!K5366</f>
        <v>1189.7249999999999</v>
      </c>
      <c r="E156" s="276">
        <f>'Profits 2016'!L5366</f>
        <v>0</v>
      </c>
      <c r="F156" s="275" t="str">
        <f>'Profits 2016'!P5366</f>
        <v>Nassau</v>
      </c>
      <c r="G156" s="292">
        <f>'Profits 2016'!N5366-'Profits 2016'!M5366</f>
        <v>0</v>
      </c>
      <c r="H156" s="319"/>
      <c r="I156" s="320"/>
      <c r="J156" s="321"/>
      <c r="K156" s="321"/>
      <c r="L156" s="321"/>
      <c r="M156" s="319"/>
      <c r="N156" s="322"/>
      <c r="O156" s="236" t="str">
        <f>'Profits 2016'!T5366</f>
        <v>JOHN'S EXPRESS</v>
      </c>
      <c r="P156" s="284">
        <f>'Profits 2016'!U5366</f>
        <v>0</v>
      </c>
      <c r="Q156" s="284" t="s">
        <v>15751</v>
      </c>
      <c r="R156" s="276">
        <v>350</v>
      </c>
      <c r="S156" s="275">
        <v>10045405</v>
      </c>
      <c r="T156" s="279">
        <v>42621</v>
      </c>
      <c r="U156" s="279">
        <v>42622</v>
      </c>
      <c r="AF156" s="276">
        <f t="shared" si="12"/>
        <v>350</v>
      </c>
      <c r="AG156" s="276">
        <f t="shared" si="9"/>
        <v>350</v>
      </c>
      <c r="AH156" s="276">
        <f t="shared" si="10"/>
        <v>839.72499999999991</v>
      </c>
      <c r="AI156" s="283">
        <f t="shared" si="11"/>
        <v>2.3992142857142853</v>
      </c>
    </row>
    <row r="157" spans="1:35" ht="30" x14ac:dyDescent="0.25">
      <c r="A157" s="275">
        <f>'Profits 2016'!A5367</f>
        <v>3004227</v>
      </c>
      <c r="B157" s="279">
        <f>'Profits 2016'!B5367</f>
        <v>42621</v>
      </c>
      <c r="C157" s="276">
        <f>'Profits 2016'!H5367</f>
        <v>185.9</v>
      </c>
      <c r="D157" s="280">
        <f>'Profits 2016'!K5367</f>
        <v>165.33690000000001</v>
      </c>
      <c r="E157" s="276">
        <f>'Profits 2016'!L5367</f>
        <v>0</v>
      </c>
      <c r="F157" s="275" t="str">
        <f>'Profits 2016'!P5367</f>
        <v>Nassau</v>
      </c>
      <c r="G157" s="292">
        <f>'Profits 2016'!N5367-'Profits 2016'!M5367</f>
        <v>0</v>
      </c>
      <c r="H157" s="319"/>
      <c r="I157" s="320"/>
      <c r="J157" s="321"/>
      <c r="K157" s="321"/>
      <c r="L157" s="321"/>
      <c r="M157" s="319"/>
      <c r="N157" s="322"/>
      <c r="O157" s="236" t="str">
        <f>'Profits 2016'!T5367</f>
        <v>FEDEX GROUND</v>
      </c>
      <c r="P157" s="284">
        <f>'Profits 2016'!U5367</f>
        <v>702723287661</v>
      </c>
      <c r="Q157" s="284" t="s">
        <v>314</v>
      </c>
      <c r="R157" s="276">
        <v>22.76</v>
      </c>
      <c r="S157" s="275" t="s">
        <v>15739</v>
      </c>
      <c r="T157" s="279">
        <v>42639</v>
      </c>
      <c r="U157" s="279">
        <v>42646</v>
      </c>
      <c r="V157" s="279">
        <v>42657</v>
      </c>
      <c r="W157" s="293">
        <v>0</v>
      </c>
      <c r="X157" s="236">
        <v>9175</v>
      </c>
      <c r="AF157" s="276">
        <f t="shared" si="12"/>
        <v>22.76</v>
      </c>
      <c r="AG157" s="276">
        <f t="shared" si="9"/>
        <v>22.76</v>
      </c>
      <c r="AH157" s="276">
        <f t="shared" si="10"/>
        <v>142.57690000000002</v>
      </c>
      <c r="AI157" s="283">
        <f t="shared" si="11"/>
        <v>6.2643629173989464</v>
      </c>
    </row>
    <row r="158" spans="1:35" ht="30" x14ac:dyDescent="0.25">
      <c r="A158" s="275">
        <f>'Profits 2016'!A5368</f>
        <v>3004228</v>
      </c>
      <c r="B158" s="279">
        <f>'Profits 2016'!B5368</f>
        <v>42621</v>
      </c>
      <c r="C158" s="276">
        <f>'Profits 2016'!H5368</f>
        <v>372.71</v>
      </c>
      <c r="D158" s="280">
        <f>'Profits 2016'!K5368</f>
        <v>331.78460999999999</v>
      </c>
      <c r="E158" s="276">
        <f>'Profits 2016'!L5368</f>
        <v>0</v>
      </c>
      <c r="F158" s="275" t="str">
        <f>'Profits 2016'!P5368</f>
        <v>Thea</v>
      </c>
      <c r="G158" s="292">
        <f>'Profits 2016'!N5368-'Profits 2016'!M5368</f>
        <v>0</v>
      </c>
      <c r="H158" s="319"/>
      <c r="I158" s="320"/>
      <c r="J158" s="321"/>
      <c r="K158" s="321"/>
      <c r="L158" s="321"/>
      <c r="M158" s="319"/>
      <c r="N158" s="322"/>
      <c r="O158" s="236" t="str">
        <f>'Profits 2016'!T5368</f>
        <v>FEDEX GROUND</v>
      </c>
      <c r="P158" s="284">
        <f>'Profits 2016'!U5368</f>
        <v>675157529558</v>
      </c>
      <c r="Q158" s="284" t="s">
        <v>314</v>
      </c>
      <c r="R158" s="276">
        <v>52.34</v>
      </c>
      <c r="S158" s="275" t="s">
        <v>15739</v>
      </c>
      <c r="T158" s="279">
        <v>42639</v>
      </c>
      <c r="U158" s="279">
        <v>42646</v>
      </c>
      <c r="V158" s="279">
        <v>42657</v>
      </c>
      <c r="W158" s="293">
        <v>0</v>
      </c>
      <c r="X158" s="236">
        <v>9175</v>
      </c>
      <c r="AF158" s="276">
        <f t="shared" si="12"/>
        <v>52.34</v>
      </c>
      <c r="AG158" s="276">
        <f t="shared" si="9"/>
        <v>52.34</v>
      </c>
      <c r="AH158" s="276">
        <f t="shared" si="10"/>
        <v>279.44461000000001</v>
      </c>
      <c r="AI158" s="283">
        <f t="shared" si="11"/>
        <v>5.3390257928926248</v>
      </c>
    </row>
    <row r="159" spans="1:35" ht="30" x14ac:dyDescent="0.25">
      <c r="A159" s="275">
        <f>'Profits 2016'!A5369</f>
        <v>3004229</v>
      </c>
      <c r="B159" s="279">
        <f>'Profits 2016'!B5369</f>
        <v>42621</v>
      </c>
      <c r="C159" s="276">
        <f>'Profits 2016'!H5369</f>
        <v>195</v>
      </c>
      <c r="D159" s="280">
        <f>'Profits 2016'!K5369</f>
        <v>188.36250000000001</v>
      </c>
      <c r="E159" s="276">
        <f>'Profits 2016'!L5369</f>
        <v>0</v>
      </c>
      <c r="F159" s="275" t="str">
        <f>'Profits 2016'!P5369</f>
        <v>Nassau</v>
      </c>
      <c r="G159" s="292">
        <f>'Profits 2016'!N5369-'Profits 2016'!M5369</f>
        <v>0</v>
      </c>
      <c r="H159" s="319"/>
      <c r="I159" s="320"/>
      <c r="J159" s="321"/>
      <c r="K159" s="321"/>
      <c r="L159" s="321"/>
      <c r="M159" s="319"/>
      <c r="N159" s="322"/>
      <c r="O159" s="236" t="str">
        <f>'Profits 2016'!T5369</f>
        <v>FEDEX GROUND</v>
      </c>
      <c r="P159" s="284" t="str">
        <f>'Profits 2016'!U5369</f>
        <v xml:space="preserve">	702723287683</v>
      </c>
      <c r="Q159" s="284" t="s">
        <v>314</v>
      </c>
      <c r="R159" s="276">
        <v>54.58</v>
      </c>
      <c r="S159" s="275" t="s">
        <v>15733</v>
      </c>
      <c r="T159" s="279">
        <v>42632</v>
      </c>
      <c r="U159" s="279">
        <v>42639</v>
      </c>
      <c r="V159" s="279">
        <v>42643</v>
      </c>
      <c r="W159" s="293">
        <v>0</v>
      </c>
      <c r="X159" s="236">
        <v>9030</v>
      </c>
      <c r="AF159" s="276">
        <f t="shared" si="12"/>
        <v>54.58</v>
      </c>
      <c r="AG159" s="276">
        <f t="shared" si="9"/>
        <v>54.58</v>
      </c>
      <c r="AH159" s="276">
        <f t="shared" si="10"/>
        <v>133.78250000000003</v>
      </c>
      <c r="AI159" s="283">
        <f t="shared" si="11"/>
        <v>2.4511267863686337</v>
      </c>
    </row>
    <row r="160" spans="1:35" ht="30" x14ac:dyDescent="0.25">
      <c r="A160" s="275">
        <f>'Profits 2016'!A5370</f>
        <v>3004230</v>
      </c>
      <c r="B160" s="279">
        <f>'Profits 2016'!B5370</f>
        <v>42621</v>
      </c>
      <c r="C160" s="276">
        <f>'Profits 2016'!H5370</f>
        <v>1650</v>
      </c>
      <c r="D160" s="280">
        <f>'Profits 2016'!K5370</f>
        <v>1650</v>
      </c>
      <c r="E160" s="276">
        <f>'Profits 2016'!L5370</f>
        <v>10560</v>
      </c>
      <c r="F160" s="275" t="str">
        <f>'Profits 2016'!P5370</f>
        <v>Houston</v>
      </c>
      <c r="G160" s="292">
        <f>'Profits 2016'!N5370-'Profits 2016'!M5370</f>
        <v>1056</v>
      </c>
      <c r="H160" s="292">
        <v>0</v>
      </c>
      <c r="I160" s="275">
        <v>30897736</v>
      </c>
      <c r="J160" s="277">
        <v>42625</v>
      </c>
      <c r="K160" s="277">
        <v>42629</v>
      </c>
      <c r="L160" s="277">
        <v>42650</v>
      </c>
      <c r="M160" s="292">
        <v>541.91999999999996</v>
      </c>
      <c r="N160" s="281">
        <v>9095</v>
      </c>
      <c r="O160" s="236" t="str">
        <f>'Profits 2016'!T5370</f>
        <v>FEDEX GROUND</v>
      </c>
      <c r="P160" s="284" t="str">
        <f>'Profits 2016'!U5370</f>
        <v>543369480841, 543369480852</v>
      </c>
      <c r="Q160" s="284" t="s">
        <v>314</v>
      </c>
      <c r="R160" s="276">
        <v>48.23</v>
      </c>
      <c r="S160" s="275" t="s">
        <v>15739</v>
      </c>
      <c r="T160" s="279">
        <v>42639</v>
      </c>
      <c r="U160" s="279">
        <v>42643</v>
      </c>
      <c r="V160" s="279">
        <v>42657</v>
      </c>
      <c r="W160" s="293">
        <v>0</v>
      </c>
      <c r="X160" s="236">
        <v>9175</v>
      </c>
      <c r="Y160" s="276">
        <v>48.23</v>
      </c>
      <c r="Z160" s="236" t="s">
        <v>15739</v>
      </c>
      <c r="AA160" s="279">
        <v>42639</v>
      </c>
      <c r="AB160" s="279">
        <v>42643</v>
      </c>
      <c r="AC160" s="279">
        <v>42657</v>
      </c>
      <c r="AD160" s="293">
        <v>0</v>
      </c>
      <c r="AE160" s="282">
        <v>9175</v>
      </c>
      <c r="AF160" s="276">
        <f t="shared" si="12"/>
        <v>1152.46</v>
      </c>
      <c r="AG160" s="276">
        <f t="shared" si="9"/>
        <v>638.38</v>
      </c>
      <c r="AH160" s="276">
        <f t="shared" si="10"/>
        <v>1011.62</v>
      </c>
      <c r="AI160" s="283">
        <f t="shared" si="11"/>
        <v>0.8777918539472086</v>
      </c>
    </row>
    <row r="161" spans="1:35" ht="30" x14ac:dyDescent="0.25">
      <c r="A161" s="275">
        <f>'Profits 2016'!A5371</f>
        <v>3004231</v>
      </c>
      <c r="B161" s="279">
        <f>'Profits 2016'!B5371</f>
        <v>42621</v>
      </c>
      <c r="C161" s="276">
        <f>'Profits 2016'!H5371</f>
        <v>116.32</v>
      </c>
      <c r="D161" s="280">
        <f>'Profits 2016'!K5371</f>
        <v>98.872</v>
      </c>
      <c r="E161" s="276">
        <f>'Profits 2016'!L5371</f>
        <v>0</v>
      </c>
      <c r="F161" s="275" t="str">
        <f>'Profits 2016'!P5371</f>
        <v>Nassau</v>
      </c>
      <c r="G161" s="292">
        <f>'Profits 2016'!N5371-'Profits 2016'!M5371</f>
        <v>0</v>
      </c>
      <c r="H161" s="319"/>
      <c r="I161" s="320"/>
      <c r="J161" s="321"/>
      <c r="K161" s="321"/>
      <c r="L161" s="321"/>
      <c r="M161" s="319"/>
      <c r="N161" s="322"/>
      <c r="O161" s="236" t="str">
        <f>'Profits 2016'!T5371</f>
        <v>FEDEX GROUND</v>
      </c>
      <c r="P161" s="284">
        <f>'Profits 2016'!U5371</f>
        <v>702723287753</v>
      </c>
      <c r="Q161" s="284" t="s">
        <v>314</v>
      </c>
      <c r="R161" s="276">
        <v>33.840000000000003</v>
      </c>
      <c r="S161" s="275" t="s">
        <v>15739</v>
      </c>
      <c r="T161" s="279">
        <v>42639</v>
      </c>
      <c r="U161" s="279">
        <v>42646</v>
      </c>
      <c r="V161" s="279">
        <v>42657</v>
      </c>
      <c r="W161" s="293">
        <v>0</v>
      </c>
      <c r="X161" s="236">
        <v>9175</v>
      </c>
      <c r="AF161" s="276">
        <f t="shared" si="12"/>
        <v>33.840000000000003</v>
      </c>
      <c r="AG161" s="276">
        <f t="shared" si="9"/>
        <v>33.840000000000003</v>
      </c>
      <c r="AH161" s="276">
        <f t="shared" si="10"/>
        <v>65.031999999999996</v>
      </c>
      <c r="AI161" s="283">
        <f t="shared" si="11"/>
        <v>1.9217494089834513</v>
      </c>
    </row>
    <row r="162" spans="1:35" ht="30" x14ac:dyDescent="0.25">
      <c r="A162" s="275">
        <f>'Profits 2016'!A5372</f>
        <v>3004232</v>
      </c>
      <c r="B162" s="279">
        <f>'Profits 2016'!B5372</f>
        <v>42621</v>
      </c>
      <c r="C162" s="276">
        <f>'Profits 2016'!H5372</f>
        <v>280</v>
      </c>
      <c r="D162" s="280">
        <f>'Profits 2016'!K5372</f>
        <v>238</v>
      </c>
      <c r="E162" s="276">
        <f>'Profits 2016'!L5372</f>
        <v>0</v>
      </c>
      <c r="F162" s="275" t="str">
        <f>'Profits 2016'!P5372</f>
        <v>Thea</v>
      </c>
      <c r="G162" s="292">
        <f>'Profits 2016'!N5372-'Profits 2016'!M5372</f>
        <v>0</v>
      </c>
      <c r="H162" s="319"/>
      <c r="I162" s="320"/>
      <c r="J162" s="321"/>
      <c r="K162" s="321"/>
      <c r="L162" s="321"/>
      <c r="M162" s="319"/>
      <c r="N162" s="322"/>
      <c r="O162" s="236" t="str">
        <f>'Profits 2016'!T5372</f>
        <v>FEDEX GROUND</v>
      </c>
      <c r="P162" s="284">
        <f>'Profits 2016'!U5372</f>
        <v>675157529547</v>
      </c>
      <c r="Q162" s="284" t="s">
        <v>314</v>
      </c>
      <c r="R162" s="276">
        <v>47.14</v>
      </c>
      <c r="S162" s="275" t="s">
        <v>15739</v>
      </c>
      <c r="T162" s="279">
        <v>42639</v>
      </c>
      <c r="U162" s="279">
        <v>42646</v>
      </c>
      <c r="V162" s="279">
        <v>42657</v>
      </c>
      <c r="W162" s="293">
        <v>0</v>
      </c>
      <c r="X162" s="236">
        <v>9175</v>
      </c>
      <c r="AF162" s="276">
        <f t="shared" si="12"/>
        <v>47.14</v>
      </c>
      <c r="AG162" s="276">
        <f t="shared" si="9"/>
        <v>47.14</v>
      </c>
      <c r="AH162" s="276">
        <f t="shared" si="10"/>
        <v>190.86</v>
      </c>
      <c r="AI162" s="283">
        <f t="shared" si="11"/>
        <v>4.048790835808231</v>
      </c>
    </row>
    <row r="163" spans="1:35" ht="30" x14ac:dyDescent="0.25">
      <c r="A163" s="275">
        <f>'Profits 2016'!A5373</f>
        <v>3004233</v>
      </c>
      <c r="B163" s="279">
        <f>'Profits 2016'!B5373</f>
        <v>42621</v>
      </c>
      <c r="C163" s="276">
        <f>'Profits 2016'!H5373</f>
        <v>108.06</v>
      </c>
      <c r="D163" s="280">
        <f>'Profits 2016'!K5373</f>
        <v>91.850999999999999</v>
      </c>
      <c r="E163" s="276">
        <f>'Profits 2016'!L5373</f>
        <v>1000</v>
      </c>
      <c r="F163" s="275" t="str">
        <f>'Profits 2016'!P5373</f>
        <v>Priority</v>
      </c>
      <c r="G163" s="292">
        <f>'Profits 2016'!N5373-'Profits 2016'!M5373</f>
        <v>50</v>
      </c>
      <c r="H163" s="292">
        <v>0</v>
      </c>
      <c r="I163" s="275">
        <v>1053762</v>
      </c>
      <c r="J163" s="277">
        <v>42621</v>
      </c>
      <c r="K163" s="277">
        <v>42629</v>
      </c>
      <c r="L163" s="277">
        <v>42650</v>
      </c>
      <c r="M163" s="292">
        <v>0</v>
      </c>
      <c r="N163" s="281">
        <v>9113</v>
      </c>
      <c r="O163" s="236" t="str">
        <f>'Profits 2016'!T5373</f>
        <v>FEDEX GROUND</v>
      </c>
      <c r="P163" s="284">
        <f>'Profits 2016'!U5373</f>
        <v>700044011500</v>
      </c>
      <c r="Q163" s="284" t="s">
        <v>314</v>
      </c>
      <c r="R163" s="276">
        <v>12.63</v>
      </c>
      <c r="S163" s="275" t="s">
        <v>15733</v>
      </c>
      <c r="T163" s="279">
        <v>42632</v>
      </c>
      <c r="U163" s="279">
        <v>42639</v>
      </c>
      <c r="V163" s="279">
        <v>42643</v>
      </c>
      <c r="W163" s="293">
        <v>0</v>
      </c>
      <c r="X163" s="236">
        <v>9030</v>
      </c>
      <c r="AF163" s="276">
        <f t="shared" si="12"/>
        <v>62.63</v>
      </c>
      <c r="AG163" s="276">
        <f t="shared" si="9"/>
        <v>12.63</v>
      </c>
      <c r="AH163" s="276">
        <f t="shared" si="10"/>
        <v>79.221000000000004</v>
      </c>
      <c r="AI163" s="283">
        <f t="shared" si="11"/>
        <v>1.2649049976049815</v>
      </c>
    </row>
    <row r="164" spans="1:35" ht="30" x14ac:dyDescent="0.25">
      <c r="A164" s="275">
        <f>'Profits 2016'!A5374</f>
        <v>3004234</v>
      </c>
      <c r="B164" s="279">
        <f>'Profits 2016'!B5374</f>
        <v>42621</v>
      </c>
      <c r="C164" s="276">
        <f>'Profits 2016'!H5374</f>
        <v>434.52</v>
      </c>
      <c r="D164" s="280">
        <f>'Profits 2016'!K5374</f>
        <v>424.66055999999998</v>
      </c>
      <c r="E164" s="276">
        <f>'Profits 2016'!L5374</f>
        <v>0</v>
      </c>
      <c r="F164" s="275" t="str">
        <f>'Profits 2016'!P5374</f>
        <v>Nassau</v>
      </c>
      <c r="G164" s="292">
        <f>'Profits 2016'!N5374-'Profits 2016'!M5374</f>
        <v>0</v>
      </c>
      <c r="H164" s="319"/>
      <c r="I164" s="320"/>
      <c r="J164" s="321"/>
      <c r="K164" s="321"/>
      <c r="L164" s="321"/>
      <c r="M164" s="319"/>
      <c r="N164" s="322"/>
      <c r="O164" s="236" t="str">
        <f>'Profits 2016'!T5374</f>
        <v>FEDEX GROUND</v>
      </c>
      <c r="P164" s="284">
        <f>'Profits 2016'!U5374</f>
        <v>702723287797</v>
      </c>
      <c r="Q164" s="284" t="s">
        <v>314</v>
      </c>
      <c r="R164" s="276">
        <v>37.96</v>
      </c>
      <c r="S164" s="275" t="s">
        <v>15739</v>
      </c>
      <c r="T164" s="279">
        <v>42639</v>
      </c>
      <c r="U164" s="279">
        <v>42646</v>
      </c>
      <c r="V164" s="279">
        <v>42657</v>
      </c>
      <c r="W164" s="293">
        <v>0</v>
      </c>
      <c r="X164" s="236">
        <v>9175</v>
      </c>
      <c r="AF164" s="276">
        <f t="shared" si="12"/>
        <v>37.96</v>
      </c>
      <c r="AG164" s="276">
        <f t="shared" si="9"/>
        <v>37.96</v>
      </c>
      <c r="AH164" s="276">
        <f t="shared" si="10"/>
        <v>386.70056</v>
      </c>
      <c r="AI164" s="283">
        <f t="shared" si="11"/>
        <v>10.187053740779767</v>
      </c>
    </row>
    <row r="165" spans="1:35" ht="30" x14ac:dyDescent="0.25">
      <c r="A165" s="275">
        <f>'Profits 2016'!A5375</f>
        <v>3004235</v>
      </c>
      <c r="B165" s="279">
        <f>'Profits 2016'!B5375</f>
        <v>42621</v>
      </c>
      <c r="C165" s="276">
        <f>'Profits 2016'!H5375</f>
        <v>245</v>
      </c>
      <c r="D165" s="280">
        <f>'Profits 2016'!K5375</f>
        <v>239.31</v>
      </c>
      <c r="E165" s="276">
        <f>'Profits 2016'!L5375</f>
        <v>0</v>
      </c>
      <c r="F165" s="275" t="str">
        <f>'Profits 2016'!P5375</f>
        <v>Nassau</v>
      </c>
      <c r="G165" s="292">
        <f>'Profits 2016'!N5375-'Profits 2016'!M5375</f>
        <v>0</v>
      </c>
      <c r="H165" s="319"/>
      <c r="I165" s="320"/>
      <c r="J165" s="321"/>
      <c r="K165" s="321"/>
      <c r="L165" s="321"/>
      <c r="M165" s="319"/>
      <c r="N165" s="322"/>
      <c r="O165" s="236" t="str">
        <f>'Profits 2016'!T5375</f>
        <v>FEDEX GROUND</v>
      </c>
      <c r="P165" s="284" t="str">
        <f>'Profits 2016'!U5375</f>
        <v xml:space="preserve">	702723287731</v>
      </c>
      <c r="Q165" s="284" t="s">
        <v>314</v>
      </c>
      <c r="R165" s="276">
        <v>34.630000000000003</v>
      </c>
      <c r="S165" s="275" t="s">
        <v>15739</v>
      </c>
      <c r="T165" s="279">
        <v>42639</v>
      </c>
      <c r="U165" s="279">
        <v>42646</v>
      </c>
      <c r="V165" s="279">
        <v>42657</v>
      </c>
      <c r="W165" s="293">
        <v>0</v>
      </c>
      <c r="X165" s="236">
        <v>9175</v>
      </c>
      <c r="AF165" s="276">
        <f t="shared" si="12"/>
        <v>34.630000000000003</v>
      </c>
      <c r="AG165" s="276">
        <f t="shared" si="9"/>
        <v>34.630000000000003</v>
      </c>
      <c r="AH165" s="276">
        <f t="shared" si="10"/>
        <v>204.68</v>
      </c>
      <c r="AI165" s="283">
        <f t="shared" si="11"/>
        <v>5.9104822408316489</v>
      </c>
    </row>
    <row r="166" spans="1:35" ht="30" x14ac:dyDescent="0.25">
      <c r="A166" s="275">
        <f>'Profits 2016'!A5376</f>
        <v>3004236</v>
      </c>
      <c r="B166" s="279">
        <f>'Profits 2016'!B5376</f>
        <v>42621</v>
      </c>
      <c r="C166" s="276">
        <f>'Profits 2016'!H5376</f>
        <v>113.43</v>
      </c>
      <c r="D166" s="280">
        <f>'Profits 2016'!K5376</f>
        <v>96.415500000000009</v>
      </c>
      <c r="E166" s="276">
        <f>'Profits 2016'!L5376</f>
        <v>0</v>
      </c>
      <c r="F166" s="275" t="str">
        <f>'Profits 2016'!P5376</f>
        <v>Nassau</v>
      </c>
      <c r="G166" s="292">
        <f>'Profits 2016'!N5376-'Profits 2016'!M5376</f>
        <v>0</v>
      </c>
      <c r="H166" s="319"/>
      <c r="I166" s="320"/>
      <c r="J166" s="321"/>
      <c r="K166" s="321"/>
      <c r="L166" s="321"/>
      <c r="M166" s="319"/>
      <c r="N166" s="322"/>
      <c r="O166" s="236" t="str">
        <f>'Profits 2016'!T5376</f>
        <v>FEDEX GROUND</v>
      </c>
      <c r="P166" s="284">
        <f>'Profits 2016'!U5376</f>
        <v>702723287786</v>
      </c>
      <c r="Q166" s="284" t="s">
        <v>314</v>
      </c>
      <c r="R166" s="276">
        <v>20.57</v>
      </c>
      <c r="S166" s="275" t="s">
        <v>15739</v>
      </c>
      <c r="T166" s="279">
        <v>42639</v>
      </c>
      <c r="U166" s="279">
        <v>42646</v>
      </c>
      <c r="V166" s="279">
        <v>42657</v>
      </c>
      <c r="W166" s="293">
        <v>0</v>
      </c>
      <c r="X166" s="236">
        <v>9175</v>
      </c>
      <c r="AF166" s="276">
        <f t="shared" si="12"/>
        <v>20.57</v>
      </c>
      <c r="AG166" s="276">
        <f t="shared" si="9"/>
        <v>20.57</v>
      </c>
      <c r="AH166" s="276">
        <f t="shared" si="10"/>
        <v>75.845500000000015</v>
      </c>
      <c r="AI166" s="283">
        <f t="shared" si="11"/>
        <v>3.6871900826446287</v>
      </c>
    </row>
    <row r="167" spans="1:35" ht="30" x14ac:dyDescent="0.25">
      <c r="A167" s="275">
        <f>'Profits 2016'!A5377</f>
        <v>3004237</v>
      </c>
      <c r="B167" s="279">
        <f>'Profits 2016'!B5377</f>
        <v>42621</v>
      </c>
      <c r="C167" s="276">
        <f>'Profits 2016'!H5377</f>
        <v>374.5</v>
      </c>
      <c r="D167" s="280">
        <f>'Profits 2016'!K5377</f>
        <v>333.37950000000001</v>
      </c>
      <c r="E167" s="276">
        <f>'Profits 2016'!L5377</f>
        <v>0</v>
      </c>
      <c r="F167" s="275" t="str">
        <f>'Profits 2016'!P5377</f>
        <v>Nassau</v>
      </c>
      <c r="G167" s="292">
        <f>'Profits 2016'!N5377-'Profits 2016'!M5377</f>
        <v>0</v>
      </c>
      <c r="H167" s="319"/>
      <c r="I167" s="320"/>
      <c r="J167" s="321"/>
      <c r="K167" s="321"/>
      <c r="L167" s="321"/>
      <c r="M167" s="319"/>
      <c r="N167" s="322"/>
      <c r="O167" s="236" t="str">
        <f>'Profits 2016'!T5377</f>
        <v>FEDEX GROUND</v>
      </c>
      <c r="P167" s="284">
        <f>'Profits 2016'!U5377</f>
        <v>702723287720</v>
      </c>
      <c r="Q167" s="284" t="s">
        <v>314</v>
      </c>
      <c r="R167" s="276">
        <v>31.8</v>
      </c>
      <c r="S167" s="275" t="s">
        <v>15739</v>
      </c>
      <c r="T167" s="279">
        <v>42639</v>
      </c>
      <c r="U167" s="279">
        <v>42646</v>
      </c>
      <c r="V167" s="279">
        <v>42657</v>
      </c>
      <c r="W167" s="293">
        <v>0</v>
      </c>
      <c r="X167" s="236">
        <v>9175</v>
      </c>
      <c r="AF167" s="276">
        <f t="shared" si="12"/>
        <v>31.8</v>
      </c>
      <c r="AG167" s="276">
        <f t="shared" si="9"/>
        <v>31.8</v>
      </c>
      <c r="AH167" s="276">
        <f t="shared" si="10"/>
        <v>301.5795</v>
      </c>
      <c r="AI167" s="283">
        <f t="shared" si="11"/>
        <v>9.4836320754716983</v>
      </c>
    </row>
    <row r="168" spans="1:35" x14ac:dyDescent="0.25">
      <c r="A168" s="275">
        <f>'Profits 2016'!A5378</f>
        <v>3004238</v>
      </c>
      <c r="B168" s="279">
        <f>'Profits 2016'!B5378</f>
        <v>42621</v>
      </c>
      <c r="C168" s="276">
        <f>'Profits 2016'!H5378</f>
        <v>630</v>
      </c>
      <c r="D168" s="280">
        <f>'Profits 2016'!K5378</f>
        <v>617.73</v>
      </c>
      <c r="E168" s="276">
        <f>'Profits 2016'!L5378</f>
        <v>1021</v>
      </c>
      <c r="F168" s="275" t="str">
        <f>'Profits 2016'!P5378</f>
        <v>Nassau</v>
      </c>
      <c r="G168" s="292">
        <f>'Profits 2016'!N5378-'Profits 2016'!M5378</f>
        <v>357.35</v>
      </c>
      <c r="H168" s="319"/>
      <c r="I168" s="320"/>
      <c r="J168" s="321"/>
      <c r="K168" s="321"/>
      <c r="L168" s="321"/>
      <c r="M168" s="319"/>
      <c r="N168" s="322"/>
      <c r="O168" s="236" t="str">
        <f>'Profits 2016'!T5378</f>
        <v>XPO/DLS</v>
      </c>
      <c r="P168" s="284" t="str">
        <f>'Profits 2016'!U5378</f>
        <v>521-958931</v>
      </c>
      <c r="Q168" s="284" t="s">
        <v>15742</v>
      </c>
      <c r="R168" s="276">
        <v>129.87</v>
      </c>
      <c r="S168" s="275">
        <v>636716419</v>
      </c>
      <c r="T168" s="279">
        <v>42628</v>
      </c>
      <c r="U168" s="279">
        <v>42632</v>
      </c>
      <c r="V168" s="279">
        <v>42636</v>
      </c>
      <c r="W168" s="293">
        <v>129.87</v>
      </c>
      <c r="X168" s="236">
        <v>9012</v>
      </c>
      <c r="AF168" s="276">
        <f t="shared" si="12"/>
        <v>487.22</v>
      </c>
      <c r="AG168" s="276">
        <f t="shared" si="9"/>
        <v>129.87</v>
      </c>
      <c r="AH168" s="276">
        <f t="shared" si="10"/>
        <v>487.86</v>
      </c>
      <c r="AI168" s="283">
        <f t="shared" si="11"/>
        <v>1.0013135749763966</v>
      </c>
    </row>
    <row r="169" spans="1:35" ht="30" x14ac:dyDescent="0.25">
      <c r="A169" s="275">
        <f>'Profits 2016'!A5379</f>
        <v>3004239</v>
      </c>
      <c r="B169" s="279">
        <f>'Profits 2016'!B5379</f>
        <v>42621</v>
      </c>
      <c r="C169" s="276">
        <f>'Profits 2016'!H5379</f>
        <v>220</v>
      </c>
      <c r="D169" s="280">
        <f>'Profits 2016'!K5379</f>
        <v>215.52</v>
      </c>
      <c r="E169" s="276">
        <f>'Profits 2016'!L5379</f>
        <v>0</v>
      </c>
      <c r="F169" s="275" t="str">
        <f>'Profits 2016'!P5379</f>
        <v>Nassau</v>
      </c>
      <c r="G169" s="292">
        <f>'Profits 2016'!N5379-'Profits 2016'!M5379</f>
        <v>0</v>
      </c>
      <c r="H169" s="319"/>
      <c r="I169" s="320"/>
      <c r="J169" s="321"/>
      <c r="K169" s="321"/>
      <c r="L169" s="321"/>
      <c r="M169" s="319"/>
      <c r="N169" s="322"/>
      <c r="O169" s="236" t="str">
        <f>'Profits 2016'!T5379</f>
        <v>FEDEX GROUND</v>
      </c>
      <c r="P169" s="284">
        <f>'Profits 2016'!U5379</f>
        <v>702723287764</v>
      </c>
      <c r="Q169" s="284" t="s">
        <v>314</v>
      </c>
      <c r="R169" s="276">
        <v>43.58</v>
      </c>
      <c r="S169" s="275" t="s">
        <v>15739</v>
      </c>
      <c r="T169" s="279">
        <v>42639</v>
      </c>
      <c r="U169" s="279">
        <v>42646</v>
      </c>
      <c r="V169" s="279">
        <v>42657</v>
      </c>
      <c r="W169" s="293">
        <v>0</v>
      </c>
      <c r="X169" s="236">
        <v>9175</v>
      </c>
      <c r="AF169" s="276">
        <f t="shared" si="12"/>
        <v>43.58</v>
      </c>
      <c r="AG169" s="276">
        <f t="shared" si="9"/>
        <v>43.58</v>
      </c>
      <c r="AH169" s="276">
        <f t="shared" si="10"/>
        <v>171.94</v>
      </c>
      <c r="AI169" s="283">
        <f t="shared" si="11"/>
        <v>3.9453877925653971</v>
      </c>
    </row>
    <row r="170" spans="1:35" ht="30" x14ac:dyDescent="0.25">
      <c r="A170" s="275">
        <f>'Profits 2016'!A5380</f>
        <v>3004240</v>
      </c>
      <c r="B170" s="279">
        <f>'Profits 2016'!B5380</f>
        <v>42621</v>
      </c>
      <c r="C170" s="276">
        <f>'Profits 2016'!H5380</f>
        <v>161.5</v>
      </c>
      <c r="D170" s="280">
        <f>'Profits 2016'!K5380</f>
        <v>143.59649999999999</v>
      </c>
      <c r="E170" s="276">
        <f>'Profits 2016'!L5380</f>
        <v>1980</v>
      </c>
      <c r="F170" s="275" t="str">
        <f>'Profits 2016'!P5380</f>
        <v>Priority</v>
      </c>
      <c r="G170" s="292">
        <f>'Profits 2016'!N5380-'Profits 2016'!M5380</f>
        <v>99</v>
      </c>
      <c r="H170" s="292">
        <v>0</v>
      </c>
      <c r="I170" s="275">
        <v>1054239</v>
      </c>
      <c r="J170" s="277">
        <v>42625</v>
      </c>
      <c r="K170" s="277">
        <v>42633</v>
      </c>
      <c r="L170" s="277">
        <v>42650</v>
      </c>
      <c r="M170" s="292">
        <v>99</v>
      </c>
      <c r="N170" s="281">
        <v>9143</v>
      </c>
      <c r="O170" s="236" t="str">
        <f>'Profits 2016'!T5380</f>
        <v>FEDEX GROUND</v>
      </c>
      <c r="P170" s="284">
        <f>'Profits 2016'!U5380</f>
        <v>644267287616</v>
      </c>
      <c r="Q170" s="284" t="s">
        <v>314</v>
      </c>
      <c r="R170" s="276">
        <v>12.41</v>
      </c>
      <c r="S170" s="275" t="s">
        <v>15739</v>
      </c>
      <c r="T170" s="279">
        <v>42639</v>
      </c>
      <c r="U170" s="279">
        <v>42646</v>
      </c>
      <c r="V170" s="279">
        <v>42657</v>
      </c>
      <c r="W170" s="293">
        <v>0</v>
      </c>
      <c r="X170" s="236">
        <v>9175</v>
      </c>
      <c r="AF170" s="276">
        <f t="shared" si="12"/>
        <v>111.41</v>
      </c>
      <c r="AG170" s="276">
        <f t="shared" si="9"/>
        <v>111.41</v>
      </c>
      <c r="AH170" s="276">
        <f t="shared" si="10"/>
        <v>32.186499999999995</v>
      </c>
      <c r="AI170" s="283">
        <f t="shared" si="11"/>
        <v>0.28890135535409744</v>
      </c>
    </row>
    <row r="171" spans="1:35" ht="30" x14ac:dyDescent="0.25">
      <c r="A171" s="275">
        <f>'Profits 2016'!A5381</f>
        <v>3004241</v>
      </c>
      <c r="B171" s="279">
        <f>'Profits 2016'!B5381</f>
        <v>42621</v>
      </c>
      <c r="C171" s="276">
        <f>'Profits 2016'!H5381</f>
        <v>211</v>
      </c>
      <c r="D171" s="280">
        <f>'Profits 2016'!K5381</f>
        <v>206.691</v>
      </c>
      <c r="E171" s="276">
        <f>'Profits 2016'!L5381</f>
        <v>1168.55</v>
      </c>
      <c r="F171" s="275" t="str">
        <f>'Profits 2016'!P5381</f>
        <v>AFC</v>
      </c>
      <c r="G171" s="292">
        <f>'Profits 2016'!N5381-'Profits 2016'!M5381</f>
        <v>146.06874999999999</v>
      </c>
      <c r="H171" s="292">
        <v>0</v>
      </c>
      <c r="I171" s="275" t="s">
        <v>15752</v>
      </c>
      <c r="J171" s="277">
        <v>42625</v>
      </c>
      <c r="K171" s="277">
        <v>42629</v>
      </c>
      <c r="L171" s="277">
        <v>42650</v>
      </c>
      <c r="M171" s="292">
        <v>143.15</v>
      </c>
      <c r="N171" s="281">
        <v>9064</v>
      </c>
      <c r="O171" s="236" t="str">
        <f>'Profits 2016'!T5381</f>
        <v>FEDEX GROUND</v>
      </c>
      <c r="P171" s="284">
        <f>'Profits 2016'!U5381</f>
        <v>139648130409938</v>
      </c>
      <c r="AF171" s="276">
        <f t="shared" si="12"/>
        <v>146.06874999999999</v>
      </c>
      <c r="AG171" s="276">
        <f t="shared" si="9"/>
        <v>143.15</v>
      </c>
      <c r="AH171" s="276">
        <f t="shared" si="10"/>
        <v>63.540999999999997</v>
      </c>
      <c r="AI171" s="283">
        <f t="shared" si="11"/>
        <v>0.43500748791237004</v>
      </c>
    </row>
    <row r="172" spans="1:35" ht="45" customHeight="1" x14ac:dyDescent="0.25">
      <c r="A172" s="275">
        <f>'Profits 2016'!A5382</f>
        <v>3004242</v>
      </c>
      <c r="B172" s="279">
        <f>'Profits 2016'!B5382</f>
        <v>42621</v>
      </c>
      <c r="C172" s="276">
        <f>'Profits 2016'!H5382</f>
        <v>569.61</v>
      </c>
      <c r="D172" s="280">
        <f>'Profits 2016'!K5382</f>
        <v>484.16849999999999</v>
      </c>
      <c r="E172" s="276">
        <f>'Profits 2016'!L5382</f>
        <v>561</v>
      </c>
      <c r="F172" s="275" t="str">
        <f>'Profits 2016'!P5382</f>
        <v>Nassau</v>
      </c>
      <c r="G172" s="292">
        <f>'Profits 2016'!N5382-'Profits 2016'!M5382</f>
        <v>210.37500000000003</v>
      </c>
      <c r="H172" s="319"/>
      <c r="I172" s="320"/>
      <c r="J172" s="321"/>
      <c r="K172" s="321"/>
      <c r="L172" s="321"/>
      <c r="M172" s="319"/>
      <c r="N172" s="322"/>
      <c r="O172" s="236" t="str">
        <f>'Profits 2016'!T5382</f>
        <v>FEDEX GROUND</v>
      </c>
      <c r="P172" s="284" t="str">
        <f>'Profits 2016'!U5382</f>
        <v>702723287812 	702723287823 702723287834</v>
      </c>
      <c r="Q172" s="284" t="s">
        <v>314</v>
      </c>
      <c r="R172" s="276">
        <f>26.18+26.36+26.18</f>
        <v>78.72</v>
      </c>
      <c r="S172" s="275" t="s">
        <v>15747</v>
      </c>
      <c r="T172" s="279" t="s">
        <v>15748</v>
      </c>
      <c r="U172" s="279" t="s">
        <v>15749</v>
      </c>
      <c r="V172" s="279">
        <v>42657</v>
      </c>
      <c r="W172" s="293">
        <v>0</v>
      </c>
      <c r="X172" s="236">
        <v>9175</v>
      </c>
      <c r="AF172" s="276">
        <f t="shared" si="12"/>
        <v>289.09500000000003</v>
      </c>
      <c r="AG172" s="276">
        <f t="shared" si="9"/>
        <v>78.72</v>
      </c>
      <c r="AH172" s="276">
        <f t="shared" si="10"/>
        <v>405.44849999999997</v>
      </c>
      <c r="AI172" s="283">
        <f t="shared" si="11"/>
        <v>1.4024749649769104</v>
      </c>
    </row>
    <row r="173" spans="1:35" x14ac:dyDescent="0.25">
      <c r="A173" s="275">
        <f>'Profits 2016'!A5383</f>
        <v>3004243</v>
      </c>
      <c r="B173" s="279">
        <f>'Profits 2016'!B5383</f>
        <v>42621</v>
      </c>
      <c r="C173" s="276">
        <f>'Profits 2016'!H5383</f>
        <v>263.75</v>
      </c>
      <c r="D173" s="280">
        <f>'Profits 2016'!K5383</f>
        <v>257.64749999999998</v>
      </c>
      <c r="E173" s="276">
        <f>'Profits 2016'!L5383</f>
        <v>1300</v>
      </c>
      <c r="F173" s="275" t="str">
        <f>'Profits 2016'!P5383</f>
        <v>Priority</v>
      </c>
      <c r="G173" s="292">
        <f>'Profits 2016'!N5383-'Profits 2016'!M5383</f>
        <v>162.5</v>
      </c>
      <c r="H173" s="292">
        <v>0</v>
      </c>
      <c r="I173" s="275">
        <v>1053995</v>
      </c>
      <c r="J173" s="277">
        <v>42622</v>
      </c>
      <c r="K173" s="277">
        <v>42633</v>
      </c>
      <c r="L173" s="277">
        <v>42650</v>
      </c>
      <c r="M173" s="292">
        <v>0</v>
      </c>
      <c r="N173" s="281">
        <v>9114</v>
      </c>
      <c r="O173" s="236" t="str">
        <f>'Profits 2016'!T5383</f>
        <v>NA</v>
      </c>
      <c r="P173" s="284">
        <f>'Profits 2016'!U5383</f>
        <v>0</v>
      </c>
      <c r="R173" s="276">
        <v>0</v>
      </c>
      <c r="AF173" s="276">
        <f t="shared" si="12"/>
        <v>162.5</v>
      </c>
      <c r="AG173" s="276">
        <f t="shared" si="9"/>
        <v>0</v>
      </c>
      <c r="AH173" s="276">
        <f t="shared" si="10"/>
        <v>257.64749999999998</v>
      </c>
      <c r="AI173" s="283">
        <f t="shared" si="11"/>
        <v>1.5855230769230768</v>
      </c>
    </row>
    <row r="174" spans="1:35" x14ac:dyDescent="0.25">
      <c r="A174" s="275">
        <f>'Profits 2016'!A5384</f>
        <v>0</v>
      </c>
      <c r="B174" s="279">
        <f>'Profits 2016'!B5384</f>
        <v>0</v>
      </c>
      <c r="C174" s="276">
        <f>'Profits 2016'!H5384</f>
        <v>0</v>
      </c>
      <c r="D174" s="280">
        <f>'Profits 2016'!K5384</f>
        <v>0</v>
      </c>
      <c r="E174" s="276">
        <f>'Profits 2016'!L5384</f>
        <v>210</v>
      </c>
      <c r="F174" s="275" t="str">
        <f>'Profits 2016'!P5384</f>
        <v>Priority</v>
      </c>
      <c r="G174" s="292">
        <f>'Profits 2016'!N5384-'Profits 2016'!M5384</f>
        <v>26.25</v>
      </c>
      <c r="H174" s="292">
        <v>0</v>
      </c>
      <c r="I174" s="275">
        <v>1053995</v>
      </c>
      <c r="J174" s="277">
        <v>42622</v>
      </c>
      <c r="K174" s="277">
        <v>42633</v>
      </c>
      <c r="L174" s="277">
        <v>38997</v>
      </c>
      <c r="M174" s="292">
        <v>0</v>
      </c>
      <c r="N174" s="281">
        <v>9114</v>
      </c>
      <c r="O174" s="236" t="str">
        <f>'Profits 2016'!T5384</f>
        <v>NA</v>
      </c>
      <c r="P174" s="284">
        <f>'Profits 2016'!U5384</f>
        <v>0</v>
      </c>
      <c r="R174" s="276">
        <v>0</v>
      </c>
      <c r="AF174" s="276">
        <f t="shared" si="12"/>
        <v>26.25</v>
      </c>
      <c r="AG174" s="276">
        <f t="shared" si="9"/>
        <v>0</v>
      </c>
      <c r="AH174" s="276">
        <f t="shared" si="10"/>
        <v>0</v>
      </c>
      <c r="AI174" s="283">
        <f t="shared" si="11"/>
        <v>0</v>
      </c>
    </row>
    <row r="175" spans="1:35" ht="30" x14ac:dyDescent="0.25">
      <c r="A175" s="275">
        <f>'Profits 2016'!A5385</f>
        <v>3004244</v>
      </c>
      <c r="B175" s="279">
        <f>'Profits 2016'!B5385</f>
        <v>42621</v>
      </c>
      <c r="C175" s="276">
        <f>'Profits 2016'!H5385</f>
        <v>291.85000000000002</v>
      </c>
      <c r="D175" s="280">
        <f>'Profits 2016'!K5385</f>
        <v>259.73835000000003</v>
      </c>
      <c r="E175" s="276">
        <f>'Profits 2016'!L5385</f>
        <v>300</v>
      </c>
      <c r="F175" s="275" t="str">
        <f>'Profits 2016'!P5385</f>
        <v>General</v>
      </c>
      <c r="G175" s="292">
        <f>'Profits 2016'!N5385-'Profits 2016'!M5385</f>
        <v>150</v>
      </c>
      <c r="H175" s="292">
        <v>-0.22</v>
      </c>
      <c r="I175" s="275">
        <v>3739621</v>
      </c>
      <c r="J175" s="277">
        <v>42626</v>
      </c>
      <c r="K175" s="277">
        <v>42632</v>
      </c>
      <c r="L175" s="277">
        <v>42650</v>
      </c>
      <c r="M175" s="292">
        <v>146.78</v>
      </c>
      <c r="N175" s="281">
        <v>9087</v>
      </c>
      <c r="O175" s="344" t="str">
        <f>'Profits 2016'!T5385</f>
        <v>FEDEX GROUND</v>
      </c>
      <c r="P175" s="345">
        <f>'Profits 2016'!U5385</f>
        <v>130423800063981</v>
      </c>
      <c r="Q175" s="345"/>
      <c r="R175" s="342"/>
      <c r="S175" s="336"/>
      <c r="T175" s="341"/>
      <c r="U175" s="341"/>
      <c r="V175" s="341"/>
      <c r="W175" s="346"/>
      <c r="X175" s="344"/>
      <c r="AF175" s="276">
        <f t="shared" si="12"/>
        <v>149.78</v>
      </c>
      <c r="AG175" s="276">
        <f t="shared" si="9"/>
        <v>146.78</v>
      </c>
      <c r="AH175" s="276">
        <f t="shared" si="10"/>
        <v>112.95835000000002</v>
      </c>
      <c r="AI175" s="283">
        <f t="shared" si="11"/>
        <v>0.75416177059687561</v>
      </c>
    </row>
    <row r="176" spans="1:35" x14ac:dyDescent="0.25">
      <c r="A176" s="275">
        <f>'Profits 2016'!A5386</f>
        <v>3004245</v>
      </c>
      <c r="B176" s="279">
        <f>'Profits 2016'!B5386</f>
        <v>42621</v>
      </c>
      <c r="C176" s="276">
        <f>'Profits 2016'!H5386</f>
        <v>660</v>
      </c>
      <c r="D176" s="280">
        <f>'Profits 2016'!K5386</f>
        <v>645.17999999999995</v>
      </c>
      <c r="E176" s="276">
        <f>'Profits 2016'!L5386</f>
        <v>98</v>
      </c>
      <c r="F176" s="275" t="str">
        <f>'Profits 2016'!P5386</f>
        <v>Omni</v>
      </c>
      <c r="G176" s="292">
        <f>'Profits 2016'!N5386-'Profits 2016'!M5386</f>
        <v>98</v>
      </c>
      <c r="H176" s="292">
        <v>0</v>
      </c>
      <c r="I176" s="275">
        <v>3246437</v>
      </c>
      <c r="J176" s="277">
        <v>42621</v>
      </c>
      <c r="K176" s="277">
        <v>42627</v>
      </c>
      <c r="L176" s="277">
        <v>42650</v>
      </c>
      <c r="M176" s="292">
        <v>241.94</v>
      </c>
      <c r="N176" s="281">
        <v>9011</v>
      </c>
      <c r="O176" s="344" t="str">
        <f>'Profits 2016'!T5386</f>
        <v>UPS</v>
      </c>
      <c r="P176" s="345" t="str">
        <f>'Profits 2016'!U5386</f>
        <v>1z1698230176818283</v>
      </c>
      <c r="Q176" s="345"/>
      <c r="R176" s="342"/>
      <c r="S176" s="336"/>
      <c r="T176" s="341"/>
      <c r="U176" s="341"/>
      <c r="V176" s="341"/>
      <c r="W176" s="346"/>
      <c r="X176" s="344"/>
      <c r="AF176" s="276">
        <f t="shared" si="12"/>
        <v>98</v>
      </c>
      <c r="AG176" s="276">
        <f t="shared" si="9"/>
        <v>241.94</v>
      </c>
      <c r="AH176" s="276">
        <f t="shared" si="10"/>
        <v>403.23999999999995</v>
      </c>
      <c r="AI176" s="283">
        <f t="shared" si="11"/>
        <v>4.1146938775510202</v>
      </c>
    </row>
    <row r="177" spans="1:35" x14ac:dyDescent="0.25">
      <c r="A177" s="275">
        <f>'Profits 2016'!A5387</f>
        <v>3004246</v>
      </c>
      <c r="B177" s="279">
        <f>'Profits 2016'!B5387</f>
        <v>42621</v>
      </c>
      <c r="C177" s="276">
        <f>'Profits 2016'!H5387</f>
        <v>342</v>
      </c>
      <c r="D177" s="280">
        <f>'Profits 2016'!K5387</f>
        <v>304.42200000000003</v>
      </c>
      <c r="E177" s="276">
        <f>'Profits 2016'!L5387</f>
        <v>319</v>
      </c>
      <c r="F177" s="275" t="str">
        <f>'Profits 2016'!P5387</f>
        <v>Commodity</v>
      </c>
      <c r="G177" s="292">
        <f>'Profits 2016'!N5387-'Profits 2016'!M5387</f>
        <v>159.5</v>
      </c>
      <c r="H177" s="292">
        <v>0</v>
      </c>
      <c r="I177" s="275" t="s">
        <v>15753</v>
      </c>
      <c r="J177" s="277">
        <v>42622</v>
      </c>
      <c r="K177" s="277">
        <v>42628</v>
      </c>
      <c r="O177" s="236" t="str">
        <f>'Profits 2016'!T5387</f>
        <v>FEDEX</v>
      </c>
      <c r="P177" s="284">
        <f>'Profits 2016'!U5387</f>
        <v>777190680910</v>
      </c>
      <c r="Q177" s="284" t="s">
        <v>314</v>
      </c>
      <c r="R177" s="276">
        <v>60.34</v>
      </c>
      <c r="S177" s="275" t="s">
        <v>15739</v>
      </c>
      <c r="T177" s="279">
        <v>42639</v>
      </c>
      <c r="U177" s="279">
        <v>42646</v>
      </c>
      <c r="V177" s="279">
        <v>42657</v>
      </c>
      <c r="W177" s="293">
        <v>0</v>
      </c>
      <c r="X177" s="236">
        <v>9175</v>
      </c>
      <c r="AF177" s="276">
        <f t="shared" si="12"/>
        <v>219.84</v>
      </c>
      <c r="AG177" s="276">
        <f t="shared" si="9"/>
        <v>60.34</v>
      </c>
      <c r="AH177" s="276">
        <f t="shared" si="10"/>
        <v>244.08200000000002</v>
      </c>
      <c r="AI177" s="283">
        <f t="shared" si="11"/>
        <v>1.1102711062590975</v>
      </c>
    </row>
    <row r="178" spans="1:35" ht="30" x14ac:dyDescent="0.25">
      <c r="A178" s="275">
        <f>'Profits 2016'!A5388</f>
        <v>3004247</v>
      </c>
      <c r="B178" s="279">
        <f>'Profits 2016'!B5388</f>
        <v>42622</v>
      </c>
      <c r="C178" s="276">
        <f>'Profits 2016'!H5388</f>
        <v>180.18</v>
      </c>
      <c r="D178" s="280">
        <f>'Profits 2016'!K5388</f>
        <v>153.15300000000002</v>
      </c>
      <c r="E178" s="276">
        <f>'Profits 2016'!L5388</f>
        <v>1150</v>
      </c>
      <c r="F178" s="275" t="str">
        <f>'Profits 2016'!P5388</f>
        <v>Direct</v>
      </c>
      <c r="G178" s="292">
        <f>'Profits 2016'!N5388-'Profits 2016'!M5388</f>
        <v>115</v>
      </c>
      <c r="I178" s="275">
        <v>72411</v>
      </c>
      <c r="J178" s="277">
        <v>42625</v>
      </c>
      <c r="K178" s="277">
        <v>42628</v>
      </c>
      <c r="L178" s="277">
        <v>42629</v>
      </c>
      <c r="M178" s="292">
        <v>112.7</v>
      </c>
      <c r="N178" s="281">
        <v>8984</v>
      </c>
      <c r="O178" s="236" t="str">
        <f>'Profits 2016'!T5388</f>
        <v>FEDEX GROUND</v>
      </c>
      <c r="P178" s="284" t="str">
        <f>'Profits 2016'!U5388</f>
        <v xml:space="preserve">6305 1224 4652 </v>
      </c>
      <c r="Q178" s="284" t="s">
        <v>314</v>
      </c>
      <c r="R178" s="276">
        <v>19.66</v>
      </c>
      <c r="S178" s="275" t="s">
        <v>15739</v>
      </c>
      <c r="T178" s="279">
        <v>42639</v>
      </c>
      <c r="U178" s="279">
        <v>42646</v>
      </c>
      <c r="V178" s="279">
        <v>42657</v>
      </c>
      <c r="W178" s="293">
        <v>0</v>
      </c>
      <c r="X178" s="236">
        <v>9175</v>
      </c>
      <c r="AF178" s="276">
        <f t="shared" si="12"/>
        <v>134.66</v>
      </c>
      <c r="AG178" s="276">
        <f t="shared" si="9"/>
        <v>132.36000000000001</v>
      </c>
      <c r="AH178" s="276">
        <f t="shared" si="10"/>
        <v>20.793000000000006</v>
      </c>
      <c r="AI178" s="283">
        <f t="shared" si="11"/>
        <v>0.15441110946086445</v>
      </c>
    </row>
    <row r="179" spans="1:35" ht="30" x14ac:dyDescent="0.25">
      <c r="A179" s="275">
        <f>'Profits 2016'!A5389</f>
        <v>3004248</v>
      </c>
      <c r="B179" s="279">
        <f>'Profits 2016'!B5389</f>
        <v>42622</v>
      </c>
      <c r="C179" s="276">
        <f>'Profits 2016'!H5389</f>
        <v>180.18</v>
      </c>
      <c r="D179" s="280">
        <f>'Profits 2016'!K5389</f>
        <v>153.15300000000002</v>
      </c>
      <c r="E179" s="276">
        <f>'Profits 2016'!L5389</f>
        <v>1150</v>
      </c>
      <c r="F179" s="275" t="str">
        <f>'Profits 2016'!P5389</f>
        <v>Direct</v>
      </c>
      <c r="G179" s="292">
        <f>'Profits 2016'!N5389-'Profits 2016'!M5389</f>
        <v>115</v>
      </c>
      <c r="H179" s="292">
        <v>0</v>
      </c>
      <c r="I179" s="275">
        <v>72410</v>
      </c>
      <c r="J179" s="277">
        <v>42625</v>
      </c>
      <c r="K179" s="277">
        <v>42628</v>
      </c>
      <c r="L179" s="277">
        <v>42629</v>
      </c>
      <c r="M179" s="292">
        <v>112.7</v>
      </c>
      <c r="N179" s="281">
        <v>8984</v>
      </c>
      <c r="O179" s="236" t="str">
        <f>'Profits 2016'!T5389</f>
        <v>FEDEX GROUND</v>
      </c>
      <c r="P179" s="284" t="str">
        <f>'Profits 2016'!U5389</f>
        <v xml:space="preserve">6397 9496 9371 </v>
      </c>
      <c r="Q179" s="284" t="s">
        <v>314</v>
      </c>
      <c r="R179" s="276">
        <v>31.13</v>
      </c>
      <c r="S179" s="275" t="s">
        <v>15739</v>
      </c>
      <c r="T179" s="279">
        <v>42639</v>
      </c>
      <c r="U179" s="279">
        <v>42646</v>
      </c>
      <c r="V179" s="279">
        <v>42657</v>
      </c>
      <c r="W179" s="293">
        <v>0</v>
      </c>
      <c r="X179" s="236">
        <v>9175</v>
      </c>
      <c r="AF179" s="276">
        <f t="shared" si="12"/>
        <v>146.13</v>
      </c>
      <c r="AG179" s="276">
        <f t="shared" si="9"/>
        <v>143.83000000000001</v>
      </c>
      <c r="AH179" s="276">
        <f t="shared" si="10"/>
        <v>9.3230000000000075</v>
      </c>
      <c r="AI179" s="283">
        <f t="shared" si="11"/>
        <v>6.379935673715191E-2</v>
      </c>
    </row>
    <row r="180" spans="1:35" ht="30" x14ac:dyDescent="0.25">
      <c r="A180" s="275">
        <f>'Profits 2016'!A5390</f>
        <v>3004249</v>
      </c>
      <c r="B180" s="279">
        <f>'Profits 2016'!B5390</f>
        <v>42622</v>
      </c>
      <c r="C180" s="276">
        <f>'Profits 2016'!H5390</f>
        <v>171.4</v>
      </c>
      <c r="D180" s="280">
        <f>'Profits 2016'!K5390</f>
        <v>152.41740000000001</v>
      </c>
      <c r="E180" s="276">
        <f>'Profits 2016'!L5390</f>
        <v>0</v>
      </c>
      <c r="F180" s="275" t="str">
        <f>'Profits 2016'!P5390</f>
        <v>Nassau</v>
      </c>
      <c r="G180" s="292">
        <f>'Profits 2016'!N5390-'Profits 2016'!M5390</f>
        <v>0</v>
      </c>
      <c r="H180" s="319"/>
      <c r="I180" s="320"/>
      <c r="J180" s="321"/>
      <c r="K180" s="321"/>
      <c r="L180" s="321"/>
      <c r="M180" s="319"/>
      <c r="N180" s="322"/>
      <c r="O180" s="236" t="str">
        <f>'Profits 2016'!T5390</f>
        <v>FEDEX GROUND</v>
      </c>
      <c r="P180" s="284">
        <f>'Profits 2016'!U5390</f>
        <v>702723287890</v>
      </c>
      <c r="Q180" s="284" t="s">
        <v>314</v>
      </c>
      <c r="R180" s="276">
        <v>42.09</v>
      </c>
      <c r="S180" s="275" t="s">
        <v>15739</v>
      </c>
      <c r="T180" s="279">
        <v>42639</v>
      </c>
      <c r="U180" s="279">
        <v>42646</v>
      </c>
      <c r="V180" s="279">
        <v>42657</v>
      </c>
      <c r="W180" s="293">
        <v>0</v>
      </c>
      <c r="X180" s="236">
        <v>9175</v>
      </c>
      <c r="Y180" s="276">
        <v>58.34</v>
      </c>
      <c r="Z180" s="236" t="s">
        <v>9111</v>
      </c>
      <c r="AA180" s="279">
        <v>42653</v>
      </c>
      <c r="AB180" s="279">
        <v>42656</v>
      </c>
      <c r="AC180" s="279">
        <v>42664</v>
      </c>
      <c r="AD180" s="293">
        <v>58.34</v>
      </c>
      <c r="AE180" s="282">
        <v>9215</v>
      </c>
      <c r="AF180" s="276">
        <f t="shared" si="12"/>
        <v>100.43</v>
      </c>
      <c r="AG180" s="276">
        <f t="shared" si="9"/>
        <v>100.43</v>
      </c>
      <c r="AH180" s="276">
        <f t="shared" si="10"/>
        <v>51.987400000000008</v>
      </c>
      <c r="AI180" s="283">
        <f t="shared" si="11"/>
        <v>0.51764811311361147</v>
      </c>
    </row>
    <row r="181" spans="1:35" ht="30" x14ac:dyDescent="0.25">
      <c r="A181" s="275">
        <f>'Profits 2016'!A5391</f>
        <v>3004250</v>
      </c>
      <c r="B181" s="279">
        <f>'Profits 2016'!B5391</f>
        <v>42622</v>
      </c>
      <c r="C181" s="276">
        <f>'Profits 2016'!H5391</f>
        <v>191.1</v>
      </c>
      <c r="D181" s="280">
        <f>'Profits 2016'!K5391</f>
        <v>169.9701</v>
      </c>
      <c r="E181" s="276">
        <f>'Profits 2016'!L5391</f>
        <v>2200</v>
      </c>
      <c r="F181" s="275" t="str">
        <f>'Profits 2016'!P5391</f>
        <v>Direct</v>
      </c>
      <c r="G181" s="292">
        <f>'Profits 2016'!N5391-'Profits 2016'!M5391</f>
        <v>110</v>
      </c>
      <c r="H181" s="292">
        <v>0</v>
      </c>
      <c r="I181" s="275">
        <v>72408</v>
      </c>
      <c r="J181" s="277">
        <v>42625</v>
      </c>
      <c r="K181" s="277">
        <v>42628</v>
      </c>
      <c r="L181" s="277">
        <v>42629</v>
      </c>
      <c r="M181" s="292">
        <v>107.8</v>
      </c>
      <c r="N181" s="281">
        <v>8984</v>
      </c>
      <c r="O181" s="236" t="str">
        <f>'Profits 2016'!T5391</f>
        <v>FEDEX GROUND</v>
      </c>
      <c r="P181" s="284" t="str">
        <f>'Profits 2016'!U5391</f>
        <v>6422 8652 8857</v>
      </c>
      <c r="Q181" s="284" t="s">
        <v>314</v>
      </c>
      <c r="R181" s="276">
        <v>12.69</v>
      </c>
      <c r="S181" s="275" t="s">
        <v>15739</v>
      </c>
      <c r="T181" s="279">
        <v>42639</v>
      </c>
      <c r="U181" s="279">
        <v>42646</v>
      </c>
      <c r="V181" s="279">
        <v>42657</v>
      </c>
      <c r="W181" s="293">
        <v>0</v>
      </c>
      <c r="X181" s="236">
        <v>9175</v>
      </c>
      <c r="AF181" s="276">
        <f t="shared" si="12"/>
        <v>122.69</v>
      </c>
      <c r="AG181" s="276">
        <f t="shared" si="9"/>
        <v>120.49</v>
      </c>
      <c r="AH181" s="276">
        <f t="shared" si="10"/>
        <v>49.480100000000007</v>
      </c>
      <c r="AI181" s="283">
        <f t="shared" si="11"/>
        <v>0.40329366696552293</v>
      </c>
    </row>
    <row r="182" spans="1:35" ht="30" x14ac:dyDescent="0.25">
      <c r="A182" s="275">
        <f>'Profits 2016'!A5392</f>
        <v>3004251</v>
      </c>
      <c r="B182" s="279">
        <f>'Profits 2016'!B5392</f>
        <v>42622</v>
      </c>
      <c r="C182" s="276">
        <f>'Profits 2016'!H5392</f>
        <v>483.09</v>
      </c>
      <c r="D182" s="280">
        <f>'Profits 2016'!K5392</f>
        <v>430.13319000000001</v>
      </c>
      <c r="E182" s="276">
        <f>'Profits 2016'!L5392</f>
        <v>0</v>
      </c>
      <c r="F182" s="275" t="str">
        <f>'Profits 2016'!P5392</f>
        <v>Nassau</v>
      </c>
      <c r="G182" s="292">
        <f>'Profits 2016'!N5392-'Profits 2016'!M5392</f>
        <v>0</v>
      </c>
      <c r="H182" s="319"/>
      <c r="I182" s="320"/>
      <c r="J182" s="321"/>
      <c r="K182" s="321"/>
      <c r="L182" s="321"/>
      <c r="M182" s="319"/>
      <c r="N182" s="322"/>
      <c r="O182" s="236" t="str">
        <f>'Profits 2016'!T5392</f>
        <v>FEDEX GROUND</v>
      </c>
      <c r="P182" s="284">
        <f>'Profits 2016'!U5392</f>
        <v>702723287889</v>
      </c>
      <c r="Q182" s="284" t="s">
        <v>314</v>
      </c>
      <c r="R182" s="276">
        <v>44.99</v>
      </c>
      <c r="S182" s="275" t="s">
        <v>15739</v>
      </c>
      <c r="T182" s="279">
        <v>42639</v>
      </c>
      <c r="U182" s="279">
        <v>42646</v>
      </c>
      <c r="V182" s="279">
        <v>42657</v>
      </c>
      <c r="W182" s="293">
        <v>0</v>
      </c>
      <c r="X182" s="236">
        <v>9175</v>
      </c>
      <c r="AF182" s="276">
        <f t="shared" si="12"/>
        <v>44.99</v>
      </c>
      <c r="AG182" s="276">
        <f t="shared" si="9"/>
        <v>44.99</v>
      </c>
      <c r="AH182" s="276">
        <f t="shared" si="10"/>
        <v>385.14319</v>
      </c>
      <c r="AI182" s="283">
        <f t="shared" si="11"/>
        <v>8.5606399199822185</v>
      </c>
    </row>
    <row r="183" spans="1:35" ht="30" x14ac:dyDescent="0.25">
      <c r="A183" s="275">
        <f>'Profits 2016'!A5393</f>
        <v>3004252</v>
      </c>
      <c r="B183" s="279">
        <f>'Profits 2016'!B5393</f>
        <v>42622</v>
      </c>
      <c r="C183" s="276">
        <f>'Profits 2016'!H5393</f>
        <v>122.14</v>
      </c>
      <c r="D183" s="280">
        <f>'Profits 2016'!K5393</f>
        <v>108.52674</v>
      </c>
      <c r="E183" s="276">
        <f>'Profits 2016'!L5393</f>
        <v>0</v>
      </c>
      <c r="F183" s="275" t="str">
        <f>'Profits 2016'!P5393</f>
        <v>Nassau</v>
      </c>
      <c r="G183" s="292">
        <f>'Profits 2016'!N5393-'Profits 2016'!M5393</f>
        <v>0</v>
      </c>
      <c r="H183" s="319"/>
      <c r="I183" s="320"/>
      <c r="J183" s="321"/>
      <c r="K183" s="321"/>
      <c r="L183" s="321"/>
      <c r="M183" s="319"/>
      <c r="N183" s="322"/>
      <c r="O183" s="236" t="str">
        <f>'Profits 2016'!T5393</f>
        <v>FEDEX GROUND</v>
      </c>
      <c r="P183" s="284">
        <f>'Profits 2016'!U5393</f>
        <v>702723287904</v>
      </c>
      <c r="Q183" s="284" t="s">
        <v>314</v>
      </c>
      <c r="R183" s="276">
        <v>12.26</v>
      </c>
      <c r="S183" s="275" t="s">
        <v>15739</v>
      </c>
      <c r="T183" s="279">
        <v>42639</v>
      </c>
      <c r="U183" s="279">
        <v>42646</v>
      </c>
      <c r="V183" s="279">
        <v>42657</v>
      </c>
      <c r="W183" s="293">
        <v>0</v>
      </c>
      <c r="X183" s="236">
        <v>9175</v>
      </c>
      <c r="AF183" s="276">
        <f t="shared" si="12"/>
        <v>12.26</v>
      </c>
      <c r="AG183" s="276">
        <f t="shared" si="9"/>
        <v>12.26</v>
      </c>
      <c r="AH183" s="276">
        <f t="shared" si="10"/>
        <v>96.266739999999999</v>
      </c>
      <c r="AI183" s="283">
        <f t="shared" si="11"/>
        <v>7.8520995106035887</v>
      </c>
    </row>
    <row r="184" spans="1:35" ht="30" x14ac:dyDescent="0.25">
      <c r="A184" s="275">
        <f>'Profits 2016'!A5394</f>
        <v>3004253</v>
      </c>
      <c r="B184" s="279">
        <f>'Profits 2016'!B5394</f>
        <v>42622</v>
      </c>
      <c r="C184" s="276">
        <f>'Profits 2016'!H5394</f>
        <v>245</v>
      </c>
      <c r="D184" s="280">
        <f>'Profits 2016'!K5394</f>
        <v>217.99499999999998</v>
      </c>
      <c r="E184" s="276">
        <f>'Profits 2016'!L5394</f>
        <v>0</v>
      </c>
      <c r="F184" s="275" t="str">
        <f>'Profits 2016'!P5394</f>
        <v>Nassau</v>
      </c>
      <c r="G184" s="292">
        <f>'Profits 2016'!N5394-'Profits 2016'!M5394</f>
        <v>0</v>
      </c>
      <c r="H184" s="319"/>
      <c r="I184" s="320"/>
      <c r="J184" s="321"/>
      <c r="K184" s="321"/>
      <c r="L184" s="321"/>
      <c r="M184" s="319"/>
      <c r="N184" s="322"/>
      <c r="O184" s="236" t="str">
        <f>'Profits 2016'!T5394</f>
        <v>FEDEX GROUND</v>
      </c>
      <c r="P184" s="284">
        <f>'Profits 2016'!U5394</f>
        <v>702723287845</v>
      </c>
      <c r="Q184" s="284" t="s">
        <v>314</v>
      </c>
      <c r="R184" s="276">
        <v>22.95</v>
      </c>
      <c r="S184" s="275" t="s">
        <v>15739</v>
      </c>
      <c r="T184" s="279">
        <v>42639</v>
      </c>
      <c r="U184" s="279">
        <v>42646</v>
      </c>
      <c r="V184" s="279">
        <v>42657</v>
      </c>
      <c r="W184" s="293">
        <v>0</v>
      </c>
      <c r="X184" s="236">
        <v>9175</v>
      </c>
      <c r="AF184" s="276">
        <f t="shared" si="12"/>
        <v>22.95</v>
      </c>
      <c r="AG184" s="276">
        <f t="shared" si="9"/>
        <v>22.95</v>
      </c>
      <c r="AH184" s="276">
        <f t="shared" si="10"/>
        <v>195.04499999999999</v>
      </c>
      <c r="AI184" s="283">
        <f t="shared" si="11"/>
        <v>8.4986928104575163</v>
      </c>
    </row>
    <row r="185" spans="1:35" ht="29.25" customHeight="1" x14ac:dyDescent="0.25">
      <c r="A185" s="275">
        <f>'Profits 2016'!A5395</f>
        <v>3004254</v>
      </c>
      <c r="B185" s="279">
        <f>'Profits 2016'!B5395</f>
        <v>42622</v>
      </c>
      <c r="C185" s="276">
        <f>'Profits 2016'!H5395</f>
        <v>490</v>
      </c>
      <c r="D185" s="280">
        <f>'Profits 2016'!K5395</f>
        <v>436.28999999999996</v>
      </c>
      <c r="E185" s="276">
        <f>'Profits 2016'!L5395</f>
        <v>0</v>
      </c>
      <c r="F185" s="275" t="str">
        <f>'Profits 2016'!P5395</f>
        <v>Nassau</v>
      </c>
      <c r="G185" s="292">
        <f>'Profits 2016'!N5395-'Profits 2016'!M5395</f>
        <v>0</v>
      </c>
      <c r="H185" s="319"/>
      <c r="I185" s="320"/>
      <c r="J185" s="321"/>
      <c r="K185" s="321"/>
      <c r="L185" s="321"/>
      <c r="M185" s="319"/>
      <c r="N185" s="322"/>
      <c r="O185" s="236" t="str">
        <f>'Profits 2016'!T5395</f>
        <v>FEDEX GROUND</v>
      </c>
      <c r="P185" s="284" t="str">
        <f>'Profits 2016'!U5395</f>
        <v xml:space="preserve">	702723287867 702723287878</v>
      </c>
      <c r="Q185" s="284" t="s">
        <v>314</v>
      </c>
      <c r="R185" s="276">
        <f>27.91+27.91</f>
        <v>55.82</v>
      </c>
      <c r="S185" s="275" t="s">
        <v>15754</v>
      </c>
      <c r="T185" s="279" t="s">
        <v>15755</v>
      </c>
      <c r="U185" s="279" t="s">
        <v>15756</v>
      </c>
      <c r="V185" s="279">
        <v>42657</v>
      </c>
      <c r="W185" s="293">
        <v>0</v>
      </c>
      <c r="X185" s="236">
        <v>9175</v>
      </c>
      <c r="AF185" s="276">
        <f t="shared" si="12"/>
        <v>55.82</v>
      </c>
      <c r="AG185" s="276">
        <f t="shared" si="9"/>
        <v>55.82</v>
      </c>
      <c r="AH185" s="276">
        <f t="shared" si="10"/>
        <v>380.46999999999997</v>
      </c>
      <c r="AI185" s="283">
        <f t="shared" si="11"/>
        <v>6.8160157649587951</v>
      </c>
    </row>
    <row r="186" spans="1:35" ht="30" x14ac:dyDescent="0.25">
      <c r="A186" s="275">
        <f>'Profits 2016'!A5396</f>
        <v>3004255</v>
      </c>
      <c r="B186" s="279">
        <f>'Profits 2016'!B5396</f>
        <v>42622</v>
      </c>
      <c r="C186" s="276">
        <f>'Profits 2016'!H5396</f>
        <v>185.9</v>
      </c>
      <c r="D186" s="280">
        <f>'Profits 2016'!K5396</f>
        <v>182.06790000000001</v>
      </c>
      <c r="E186" s="276">
        <f>'Profits 2016'!L5396</f>
        <v>672</v>
      </c>
      <c r="F186" s="275" t="str">
        <f>'Profits 2016'!P5396</f>
        <v>Houston</v>
      </c>
      <c r="G186" s="292">
        <f>'Profits 2016'!N5396-'Profits 2016'!M5396</f>
        <v>100.8</v>
      </c>
      <c r="H186" s="292">
        <v>0</v>
      </c>
      <c r="I186" s="275">
        <v>30897807</v>
      </c>
      <c r="J186" s="277">
        <v>42625</v>
      </c>
      <c r="K186" s="277">
        <v>42629</v>
      </c>
      <c r="L186" s="277">
        <v>42650</v>
      </c>
      <c r="M186" s="292">
        <v>772.8</v>
      </c>
      <c r="N186" s="281">
        <v>9098</v>
      </c>
      <c r="O186" s="236" t="str">
        <f>'Profits 2016'!T5396</f>
        <v>FEDEX GROUND</v>
      </c>
      <c r="P186" s="284" t="str">
        <f>'Profits 2016'!U5396</f>
        <v>701849703213</v>
      </c>
      <c r="Q186" s="284" t="s">
        <v>314</v>
      </c>
      <c r="R186" s="276">
        <v>23.17</v>
      </c>
      <c r="S186" s="275" t="s">
        <v>15739</v>
      </c>
      <c r="T186" s="279">
        <v>42639</v>
      </c>
      <c r="U186" s="279">
        <v>42643</v>
      </c>
      <c r="V186" s="279">
        <v>42657</v>
      </c>
      <c r="W186" s="293">
        <v>0</v>
      </c>
      <c r="X186" s="236">
        <v>9175</v>
      </c>
      <c r="AF186" s="276">
        <f t="shared" si="12"/>
        <v>123.97</v>
      </c>
      <c r="AG186" s="276">
        <f t="shared" si="9"/>
        <v>795.96999999999991</v>
      </c>
      <c r="AH186" s="276">
        <f t="shared" si="10"/>
        <v>-613.9020999999999</v>
      </c>
      <c r="AI186" s="283">
        <f t="shared" si="11"/>
        <v>-4.952021456804065</v>
      </c>
    </row>
    <row r="187" spans="1:35" x14ac:dyDescent="0.25">
      <c r="A187" s="275">
        <f>'Profits 2016'!A5397</f>
        <v>3004256</v>
      </c>
      <c r="B187" s="279">
        <f>'Profits 2016'!B5397</f>
        <v>42622</v>
      </c>
      <c r="C187" s="276">
        <f>'Profits 2016'!H5397</f>
        <v>3492.5</v>
      </c>
      <c r="D187" s="280">
        <f>'Profits 2016'!K5397</f>
        <v>3415.3649999999998</v>
      </c>
      <c r="E187" s="276">
        <f>'Profits 2016'!L5397</f>
        <v>10200</v>
      </c>
      <c r="F187" s="275" t="str">
        <f>'Profits 2016'!P5397</f>
        <v>General</v>
      </c>
      <c r="G187" s="292">
        <f>'Profits 2016'!N5397-'Profits 2016'!M5397</f>
        <v>1530</v>
      </c>
      <c r="H187" s="292">
        <v>-0.48</v>
      </c>
      <c r="I187" s="275">
        <v>3738309</v>
      </c>
      <c r="J187" s="277">
        <v>42622</v>
      </c>
      <c r="K187" s="277">
        <v>42629</v>
      </c>
      <c r="L187" s="277">
        <v>42650</v>
      </c>
      <c r="M187" s="292">
        <v>2291.1799999999998</v>
      </c>
      <c r="N187" s="281">
        <v>9082</v>
      </c>
      <c r="O187" s="344" t="str">
        <f>'Profits 2016'!T5397</f>
        <v>XPO/DLS</v>
      </c>
      <c r="P187" s="345" t="str">
        <f>'Profits 2016'!U5397</f>
        <v xml:space="preserve">	942291560</v>
      </c>
      <c r="Q187" s="345"/>
      <c r="R187" s="342"/>
      <c r="S187" s="336"/>
      <c r="T187" s="341"/>
      <c r="U187" s="341"/>
      <c r="V187" s="341"/>
      <c r="W187" s="346"/>
      <c r="X187" s="344"/>
      <c r="AF187" s="276">
        <f t="shared" si="12"/>
        <v>1529.52</v>
      </c>
      <c r="AG187" s="276">
        <f t="shared" si="9"/>
        <v>2291.1799999999998</v>
      </c>
      <c r="AH187" s="276">
        <f t="shared" si="10"/>
        <v>1124.1849999999999</v>
      </c>
      <c r="AI187" s="283">
        <f t="shared" si="11"/>
        <v>0.73499202364140381</v>
      </c>
    </row>
    <row r="188" spans="1:35" x14ac:dyDescent="0.25">
      <c r="A188" s="275">
        <f>'Profits 2016'!A5398</f>
        <v>0</v>
      </c>
      <c r="B188" s="279">
        <f>'Profits 2016'!B5398</f>
        <v>0</v>
      </c>
      <c r="C188" s="276">
        <f>'Profits 2016'!H5398</f>
        <v>0</v>
      </c>
      <c r="D188" s="280">
        <f>'Profits 2016'!K5398</f>
        <v>0</v>
      </c>
      <c r="E188" s="276">
        <f>'Profits 2016'!L5398</f>
        <v>558.33000000000004</v>
      </c>
      <c r="F188" s="275" t="str">
        <f>'Profits 2016'!P5398</f>
        <v>General</v>
      </c>
      <c r="G188" s="292">
        <f>'Profits 2016'!N5398-'Profits 2016'!M5398</f>
        <v>139.58250000000001</v>
      </c>
      <c r="H188" s="292">
        <v>-0.04</v>
      </c>
      <c r="I188" s="275">
        <v>3738309</v>
      </c>
      <c r="J188" s="277">
        <v>42622</v>
      </c>
      <c r="K188" s="277">
        <v>42629</v>
      </c>
      <c r="L188" s="277">
        <v>42650</v>
      </c>
      <c r="M188" s="292">
        <v>0</v>
      </c>
      <c r="N188" s="281">
        <v>9082</v>
      </c>
      <c r="O188" s="344">
        <f>'Profits 2016'!T5398</f>
        <v>0</v>
      </c>
      <c r="P188" s="345">
        <f>'Profits 2016'!U5398</f>
        <v>0</v>
      </c>
      <c r="Q188" s="345"/>
      <c r="R188" s="342"/>
      <c r="S188" s="336"/>
      <c r="T188" s="341"/>
      <c r="U188" s="341"/>
      <c r="V188" s="341"/>
      <c r="W188" s="346"/>
      <c r="X188" s="344"/>
      <c r="AF188" s="276">
        <f t="shared" si="12"/>
        <v>139.54250000000002</v>
      </c>
      <c r="AG188" s="276">
        <f t="shared" si="9"/>
        <v>0</v>
      </c>
      <c r="AH188" s="276">
        <f t="shared" si="10"/>
        <v>0</v>
      </c>
      <c r="AI188" s="283">
        <f t="shared" si="11"/>
        <v>0</v>
      </c>
    </row>
    <row r="189" spans="1:35" x14ac:dyDescent="0.25">
      <c r="A189" s="275">
        <f>'Profits 2016'!A5399</f>
        <v>0</v>
      </c>
      <c r="B189" s="279">
        <f>'Profits 2016'!B5399</f>
        <v>0</v>
      </c>
      <c r="C189" s="276">
        <f>'Profits 2016'!H5399</f>
        <v>0</v>
      </c>
      <c r="D189" s="280">
        <f>'Profits 2016'!K5399</f>
        <v>0</v>
      </c>
      <c r="E189" s="276">
        <f>'Profits 2016'!L5399</f>
        <v>776.61</v>
      </c>
      <c r="F189" s="275" t="str">
        <f>'Profits 2016'!P5399</f>
        <v>General</v>
      </c>
      <c r="G189" s="292">
        <f>'Profits 2016'!N5399-'Profits 2016'!M5399</f>
        <v>194.1525</v>
      </c>
      <c r="H189" s="292">
        <v>-0.06</v>
      </c>
      <c r="I189" s="275">
        <v>3738309</v>
      </c>
      <c r="J189" s="277">
        <v>42622</v>
      </c>
      <c r="K189" s="277">
        <v>42629</v>
      </c>
      <c r="L189" s="277">
        <v>42650</v>
      </c>
      <c r="M189" s="292">
        <v>0</v>
      </c>
      <c r="N189" s="281">
        <v>9082</v>
      </c>
      <c r="O189" s="344">
        <f>'Profits 2016'!T5399</f>
        <v>0</v>
      </c>
      <c r="P189" s="345">
        <f>'Profits 2016'!U5399</f>
        <v>0</v>
      </c>
      <c r="Q189" s="345"/>
      <c r="R189" s="342"/>
      <c r="S189" s="336"/>
      <c r="T189" s="341"/>
      <c r="U189" s="341"/>
      <c r="V189" s="341"/>
      <c r="W189" s="346"/>
      <c r="X189" s="344"/>
      <c r="AF189" s="276">
        <f t="shared" si="12"/>
        <v>194.0925</v>
      </c>
      <c r="AG189" s="276">
        <f t="shared" si="9"/>
        <v>0</v>
      </c>
      <c r="AH189" s="276">
        <f t="shared" si="10"/>
        <v>0</v>
      </c>
      <c r="AI189" s="283">
        <f t="shared" si="11"/>
        <v>0</v>
      </c>
    </row>
    <row r="190" spans="1:35" x14ac:dyDescent="0.25">
      <c r="A190" s="275">
        <f>'Profits 2016'!A5400</f>
        <v>0</v>
      </c>
      <c r="B190" s="279">
        <f>'Profits 2016'!B5400</f>
        <v>0</v>
      </c>
      <c r="C190" s="276">
        <f>'Profits 2016'!H5400</f>
        <v>0</v>
      </c>
      <c r="D190" s="280">
        <f>'Profits 2016'!K5400</f>
        <v>0</v>
      </c>
      <c r="E190" s="276">
        <f>'Profits 2016'!L5400</f>
        <v>880</v>
      </c>
      <c r="F190" s="275" t="str">
        <f>'Profits 2016'!P5400</f>
        <v>General</v>
      </c>
      <c r="G190" s="292">
        <f>'Profits 2016'!N5400-'Profits 2016'!M5400</f>
        <v>220</v>
      </c>
      <c r="H190" s="292">
        <v>-0.09</v>
      </c>
      <c r="I190" s="275">
        <v>3738309</v>
      </c>
      <c r="J190" s="277">
        <v>42622</v>
      </c>
      <c r="K190" s="277">
        <v>42629</v>
      </c>
      <c r="L190" s="277">
        <v>42650</v>
      </c>
      <c r="M190" s="292">
        <v>0</v>
      </c>
      <c r="N190" s="281">
        <v>9082</v>
      </c>
      <c r="O190" s="344">
        <f>'Profits 2016'!T5400</f>
        <v>0</v>
      </c>
      <c r="P190" s="345">
        <f>'Profits 2016'!U5400</f>
        <v>0</v>
      </c>
      <c r="Q190" s="345"/>
      <c r="R190" s="342"/>
      <c r="S190" s="336"/>
      <c r="T190" s="341"/>
      <c r="U190" s="341"/>
      <c r="V190" s="341"/>
      <c r="W190" s="346"/>
      <c r="X190" s="344"/>
      <c r="AF190" s="276">
        <f t="shared" si="12"/>
        <v>219.91</v>
      </c>
      <c r="AG190" s="276">
        <f t="shared" si="9"/>
        <v>0</v>
      </c>
      <c r="AH190" s="276">
        <f t="shared" si="10"/>
        <v>0</v>
      </c>
      <c r="AI190" s="283">
        <f t="shared" si="11"/>
        <v>0</v>
      </c>
    </row>
    <row r="191" spans="1:35" x14ac:dyDescent="0.25">
      <c r="A191" s="275">
        <f>'Profits 2016'!A5401</f>
        <v>0</v>
      </c>
      <c r="B191" s="279">
        <f>'Profits 2016'!B5401</f>
        <v>0</v>
      </c>
      <c r="C191" s="276">
        <f>'Profits 2016'!H5401</f>
        <v>0</v>
      </c>
      <c r="D191" s="280">
        <f>'Profits 2016'!K5401</f>
        <v>0</v>
      </c>
      <c r="E191" s="276">
        <f>'Profits 2016'!L5401</f>
        <v>1020</v>
      </c>
      <c r="F191" s="275" t="str">
        <f>'Profits 2016'!P5401</f>
        <v>General</v>
      </c>
      <c r="G191" s="292">
        <f>'Profits 2016'!N5401-'Profits 2016'!M5401</f>
        <v>255</v>
      </c>
      <c r="H191" s="292">
        <v>-0.12</v>
      </c>
      <c r="I191" s="275">
        <v>3738309</v>
      </c>
      <c r="J191" s="277">
        <v>42622</v>
      </c>
      <c r="K191" s="277">
        <v>42629</v>
      </c>
      <c r="L191" s="277">
        <v>42650</v>
      </c>
      <c r="M191" s="292">
        <v>0</v>
      </c>
      <c r="N191" s="281">
        <v>9082</v>
      </c>
      <c r="O191" s="344">
        <f>'Profits 2016'!T5401</f>
        <v>0</v>
      </c>
      <c r="P191" s="345">
        <f>'Profits 2016'!U5401</f>
        <v>0</v>
      </c>
      <c r="Q191" s="345"/>
      <c r="R191" s="342"/>
      <c r="S191" s="336"/>
      <c r="T191" s="341"/>
      <c r="U191" s="341"/>
      <c r="V191" s="341"/>
      <c r="W191" s="346"/>
      <c r="X191" s="344"/>
      <c r="AF191" s="276">
        <f t="shared" si="12"/>
        <v>254.88</v>
      </c>
      <c r="AG191" s="276">
        <f t="shared" si="9"/>
        <v>0</v>
      </c>
      <c r="AH191" s="276">
        <f t="shared" si="10"/>
        <v>0</v>
      </c>
      <c r="AI191" s="283">
        <f t="shared" si="11"/>
        <v>0</v>
      </c>
    </row>
    <row r="192" spans="1:35" ht="30" x14ac:dyDescent="0.25">
      <c r="A192" s="275">
        <f>'Profits 2016'!A5402</f>
        <v>3004257</v>
      </c>
      <c r="B192" s="279">
        <f>'Profits 2016'!B5402</f>
        <v>42622</v>
      </c>
      <c r="C192" s="276">
        <f>'Profits 2016'!H5402</f>
        <v>245</v>
      </c>
      <c r="D192" s="280">
        <f>'Profits 2016'!K5402</f>
        <v>217.99499999999998</v>
      </c>
      <c r="E192" s="276">
        <f>'Profits 2016'!L5402</f>
        <v>1322</v>
      </c>
      <c r="F192" s="275" t="str">
        <f>'Profits 2016'!P5402</f>
        <v>Nassau</v>
      </c>
      <c r="G192" s="292">
        <f>'Profits 2016'!N5402-'Profits 2016'!M5402</f>
        <v>132.20000000000002</v>
      </c>
      <c r="H192" s="319"/>
      <c r="I192" s="320"/>
      <c r="J192" s="321"/>
      <c r="K192" s="321"/>
      <c r="L192" s="321"/>
      <c r="M192" s="319"/>
      <c r="N192" s="322"/>
      <c r="O192" s="236" t="str">
        <f>'Profits 2016'!T5402</f>
        <v>FEDEX GROUND</v>
      </c>
      <c r="P192" s="284" t="str">
        <f>'Profits 2016'!U5402</f>
        <v xml:space="preserve">	702723287856</v>
      </c>
      <c r="Q192" s="284" t="s">
        <v>314</v>
      </c>
      <c r="R192" s="276">
        <v>21.1</v>
      </c>
      <c r="S192" s="275" t="s">
        <v>15739</v>
      </c>
      <c r="T192" s="279">
        <v>42639</v>
      </c>
      <c r="U192" s="279">
        <v>42646</v>
      </c>
      <c r="V192" s="279">
        <v>42657</v>
      </c>
      <c r="W192" s="293">
        <v>0</v>
      </c>
      <c r="X192" s="236">
        <v>9175</v>
      </c>
      <c r="AF192" s="276">
        <f t="shared" si="12"/>
        <v>153.30000000000001</v>
      </c>
      <c r="AG192" s="276">
        <f t="shared" si="9"/>
        <v>21.1</v>
      </c>
      <c r="AH192" s="276">
        <f t="shared" si="10"/>
        <v>196.89499999999998</v>
      </c>
      <c r="AI192" s="283">
        <f t="shared" si="11"/>
        <v>1.2843770384866273</v>
      </c>
    </row>
    <row r="193" spans="1:35" ht="30" x14ac:dyDescent="0.25">
      <c r="A193" s="275">
        <f>'Profits 2016'!A5403</f>
        <v>3004258</v>
      </c>
      <c r="B193" s="279">
        <f>'Profits 2016'!B5403</f>
        <v>42622</v>
      </c>
      <c r="C193" s="276">
        <f>'Profits 2016'!H5403</f>
        <v>270</v>
      </c>
      <c r="D193" s="280">
        <f>'Profits 2016'!K5403</f>
        <v>263.76</v>
      </c>
      <c r="E193" s="276">
        <f>'Profits 2016'!L5403</f>
        <v>0</v>
      </c>
      <c r="F193" s="275" t="str">
        <f>'Profits 2016'!P5403</f>
        <v>Nassau</v>
      </c>
      <c r="G193" s="292">
        <f>'Profits 2016'!N5403-'Profits 2016'!M5403</f>
        <v>0</v>
      </c>
      <c r="H193" s="319"/>
      <c r="I193" s="320"/>
      <c r="J193" s="321"/>
      <c r="K193" s="321"/>
      <c r="L193" s="321"/>
      <c r="M193" s="319"/>
      <c r="N193" s="322"/>
      <c r="O193" s="236" t="str">
        <f>'Profits 2016'!T5403</f>
        <v>FEDEX GROUND</v>
      </c>
      <c r="P193" s="284">
        <f>'Profits 2016'!U5403</f>
        <v>702723287915</v>
      </c>
      <c r="Q193" s="284" t="s">
        <v>314</v>
      </c>
      <c r="R193" s="276">
        <v>37.520000000000003</v>
      </c>
      <c r="S193" s="275" t="s">
        <v>15739</v>
      </c>
      <c r="T193" s="279">
        <v>42639</v>
      </c>
      <c r="U193" s="279">
        <v>42646</v>
      </c>
      <c r="V193" s="279">
        <v>42657</v>
      </c>
      <c r="W193" s="293">
        <v>0</v>
      </c>
      <c r="X193" s="236">
        <v>9175</v>
      </c>
      <c r="AF193" s="276">
        <f t="shared" si="12"/>
        <v>37.520000000000003</v>
      </c>
      <c r="AG193" s="276">
        <f t="shared" si="9"/>
        <v>37.520000000000003</v>
      </c>
      <c r="AH193" s="276">
        <f t="shared" si="10"/>
        <v>226.23999999999998</v>
      </c>
      <c r="AI193" s="283">
        <f t="shared" si="11"/>
        <v>6.0298507462686555</v>
      </c>
    </row>
    <row r="194" spans="1:35" ht="30" x14ac:dyDescent="0.25">
      <c r="A194" s="275">
        <f>'Profits 2016'!A5404</f>
        <v>3004259</v>
      </c>
      <c r="B194" s="279">
        <f>'Profits 2016'!B5404</f>
        <v>42622</v>
      </c>
      <c r="C194" s="276">
        <f>'Profits 2016'!H5404</f>
        <v>222.39</v>
      </c>
      <c r="D194" s="280">
        <f>'Profits 2016'!K5404</f>
        <v>189.03149999999999</v>
      </c>
      <c r="E194" s="276">
        <f>'Profits 2016'!L5404</f>
        <v>950</v>
      </c>
      <c r="F194" s="275" t="str">
        <f>'Profits 2016'!P5404</f>
        <v>Nassau</v>
      </c>
      <c r="G194" s="292">
        <f>'Profits 2016'!N5404-'Profits 2016'!M5404</f>
        <v>94.999999999999986</v>
      </c>
      <c r="H194" s="319"/>
      <c r="I194" s="320"/>
      <c r="J194" s="321"/>
      <c r="K194" s="321"/>
      <c r="L194" s="321"/>
      <c r="M194" s="319"/>
      <c r="N194" s="322"/>
      <c r="O194" s="236" t="str">
        <f>'Profits 2016'!T5404</f>
        <v>FEDEX GROUND</v>
      </c>
      <c r="P194" s="284">
        <f>'Profits 2016'!U5404</f>
        <v>702723287926</v>
      </c>
      <c r="Q194" s="284" t="s">
        <v>314</v>
      </c>
      <c r="R194" s="276">
        <v>48.95</v>
      </c>
      <c r="S194" s="275" t="s">
        <v>15739</v>
      </c>
      <c r="T194" s="279">
        <v>42639</v>
      </c>
      <c r="U194" s="279">
        <v>42646</v>
      </c>
      <c r="V194" s="279">
        <v>42657</v>
      </c>
      <c r="W194" s="293">
        <v>0</v>
      </c>
      <c r="X194" s="236">
        <v>9175</v>
      </c>
      <c r="AF194" s="276">
        <f t="shared" si="12"/>
        <v>143.94999999999999</v>
      </c>
      <c r="AG194" s="276">
        <f t="shared" si="9"/>
        <v>48.95</v>
      </c>
      <c r="AH194" s="276">
        <f t="shared" si="10"/>
        <v>140.08150000000001</v>
      </c>
      <c r="AI194" s="283">
        <f t="shared" si="11"/>
        <v>0.97312608544633561</v>
      </c>
    </row>
    <row r="195" spans="1:35" ht="30" x14ac:dyDescent="0.25">
      <c r="A195" s="275">
        <f>'Profits 2016'!A5405</f>
        <v>3004260</v>
      </c>
      <c r="B195" s="279">
        <f>'Profits 2016'!B5405</f>
        <v>42622</v>
      </c>
      <c r="C195" s="276">
        <f>'Profits 2016'!H5405</f>
        <v>197</v>
      </c>
      <c r="D195" s="280">
        <f>'Profits 2016'!K5405</f>
        <v>175.227</v>
      </c>
      <c r="E195" s="276">
        <f>'Profits 2016'!L5405</f>
        <v>710</v>
      </c>
      <c r="F195" s="275" t="str">
        <f>'Profits 2016'!P5405</f>
        <v>Nassau</v>
      </c>
      <c r="G195" s="292">
        <f>'Profits 2016'!N5405-'Profits 2016'!M5405</f>
        <v>88.75</v>
      </c>
      <c r="H195" s="319"/>
      <c r="I195" s="320"/>
      <c r="J195" s="321"/>
      <c r="K195" s="321"/>
      <c r="L195" s="321"/>
      <c r="M195" s="319"/>
      <c r="N195" s="322"/>
      <c r="O195" s="236" t="str">
        <f>'Profits 2016'!T5405</f>
        <v>FEDEX GROUND</v>
      </c>
      <c r="P195" s="284">
        <f>'Profits 2016'!U5405</f>
        <v>702723287937</v>
      </c>
      <c r="Q195" s="284" t="s">
        <v>314</v>
      </c>
      <c r="R195" s="276">
        <v>26.61</v>
      </c>
      <c r="S195" s="275" t="s">
        <v>15739</v>
      </c>
      <c r="T195" s="279">
        <v>42639</v>
      </c>
      <c r="U195" s="279">
        <v>42646</v>
      </c>
      <c r="V195" s="279">
        <v>42657</v>
      </c>
      <c r="W195" s="293">
        <v>0</v>
      </c>
      <c r="X195" s="236">
        <v>9175</v>
      </c>
      <c r="AF195" s="276">
        <f t="shared" si="12"/>
        <v>115.36</v>
      </c>
      <c r="AG195" s="276">
        <f t="shared" ref="AG195:AG258" si="13">M195+R195+Y195</f>
        <v>26.61</v>
      </c>
      <c r="AH195" s="276">
        <f t="shared" ref="AH195:AH258" si="14">D195-AG195</f>
        <v>148.61700000000002</v>
      </c>
      <c r="AI195" s="283">
        <f t="shared" ref="AI195:AI258" si="15">AH195/AF195</f>
        <v>1.2882888349514565</v>
      </c>
    </row>
    <row r="196" spans="1:35" x14ac:dyDescent="0.25">
      <c r="A196" s="275">
        <f>'Profits 2016'!A5406</f>
        <v>3004261</v>
      </c>
      <c r="B196" s="279">
        <f>'Profits 2016'!B5406</f>
        <v>42622</v>
      </c>
      <c r="C196" s="276">
        <f>'Profits 2016'!H5406</f>
        <v>5420</v>
      </c>
      <c r="D196" s="280">
        <f>'Profits 2016'!K5406</f>
        <v>5300.46</v>
      </c>
      <c r="E196" s="276">
        <f>'Profits 2016'!L5406</f>
        <v>6450</v>
      </c>
      <c r="F196" s="275" t="str">
        <f>'Profits 2016'!P5406</f>
        <v>Priority</v>
      </c>
      <c r="G196" s="292">
        <f>'Profits 2016'!N5406-'Profits 2016'!M5406</f>
        <v>4837.5</v>
      </c>
      <c r="H196" s="292">
        <v>0</v>
      </c>
      <c r="I196" s="275">
        <v>1054555</v>
      </c>
      <c r="J196" s="277">
        <v>42625</v>
      </c>
      <c r="K196" s="277">
        <v>42633</v>
      </c>
      <c r="L196" s="277">
        <v>42650</v>
      </c>
      <c r="M196" s="292">
        <v>0</v>
      </c>
      <c r="N196" s="281">
        <v>9114</v>
      </c>
      <c r="O196" s="344" t="str">
        <f>'Profits 2016'!T5406</f>
        <v>HOT SHOT</v>
      </c>
      <c r="P196" s="345">
        <f>'Profits 2016'!U5406</f>
        <v>999234</v>
      </c>
      <c r="Q196" s="345"/>
      <c r="R196" s="342"/>
      <c r="S196" s="336"/>
      <c r="T196" s="341"/>
      <c r="U196" s="341"/>
      <c r="V196" s="341"/>
      <c r="W196" s="346"/>
      <c r="X196" s="344"/>
      <c r="AF196" s="276">
        <f t="shared" ref="AF196:AF204" si="16">G196+H196+R196+Y196</f>
        <v>4837.5</v>
      </c>
      <c r="AG196" s="276">
        <f t="shared" si="13"/>
        <v>0</v>
      </c>
      <c r="AH196" s="276">
        <f t="shared" si="14"/>
        <v>5300.46</v>
      </c>
      <c r="AI196" s="283">
        <f t="shared" si="15"/>
        <v>1.0957023255813954</v>
      </c>
    </row>
    <row r="197" spans="1:35" ht="30" x14ac:dyDescent="0.25">
      <c r="A197" s="275">
        <f>'Profits 2016'!A5407</f>
        <v>3004262</v>
      </c>
      <c r="B197" s="279">
        <f>'Profits 2016'!B5407</f>
        <v>42622</v>
      </c>
      <c r="C197" s="276">
        <f>'Profits 2016'!H5407</f>
        <v>138.9</v>
      </c>
      <c r="D197" s="280">
        <f>'Profits 2016'!K5407</f>
        <v>123.4599</v>
      </c>
      <c r="E197" s="276">
        <f>'Profits 2016'!L5407</f>
        <v>0</v>
      </c>
      <c r="F197" s="275" t="str">
        <f>'Profits 2016'!P5407</f>
        <v>Nassau</v>
      </c>
      <c r="G197" s="292">
        <f>'Profits 2016'!N5407-'Profits 2016'!M5407</f>
        <v>0</v>
      </c>
      <c r="H197" s="319"/>
      <c r="I197" s="320"/>
      <c r="J197" s="321"/>
      <c r="K197" s="321"/>
      <c r="L197" s="321"/>
      <c r="M197" s="319"/>
      <c r="N197" s="322"/>
      <c r="O197" s="236" t="str">
        <f>'Profits 2016'!T5407</f>
        <v>FEDEX GROUND</v>
      </c>
      <c r="P197" s="284">
        <f>'Profits 2016'!U5407</f>
        <v>702723287960</v>
      </c>
      <c r="Q197" s="284" t="s">
        <v>314</v>
      </c>
      <c r="R197" s="276">
        <v>30.99</v>
      </c>
      <c r="S197" s="275" t="s">
        <v>15739</v>
      </c>
      <c r="T197" s="279">
        <v>42639</v>
      </c>
      <c r="U197" s="279">
        <v>42646</v>
      </c>
      <c r="V197" s="279">
        <v>42657</v>
      </c>
      <c r="W197" s="293">
        <v>0</v>
      </c>
      <c r="X197" s="236">
        <v>9175</v>
      </c>
      <c r="AF197" s="276">
        <f t="shared" si="16"/>
        <v>30.99</v>
      </c>
      <c r="AG197" s="276">
        <f t="shared" si="13"/>
        <v>30.99</v>
      </c>
      <c r="AH197" s="276">
        <f t="shared" si="14"/>
        <v>92.46990000000001</v>
      </c>
      <c r="AI197" s="283">
        <f t="shared" si="15"/>
        <v>2.9838625363020332</v>
      </c>
    </row>
    <row r="198" spans="1:35" ht="30" x14ac:dyDescent="0.25">
      <c r="A198" s="275">
        <f>'Profits 2016'!A5408</f>
        <v>3004263</v>
      </c>
      <c r="B198" s="279">
        <f>'Profits 2016'!B5408</f>
        <v>42622</v>
      </c>
      <c r="C198" s="276">
        <f>'Profits 2016'!H5408</f>
        <v>310.3</v>
      </c>
      <c r="D198" s="280">
        <f>'Profits 2016'!K5408</f>
        <v>263.755</v>
      </c>
      <c r="E198" s="276">
        <f>'Profits 2016'!L5408</f>
        <v>0</v>
      </c>
      <c r="F198" s="275" t="str">
        <f>'Profits 2016'!P5408</f>
        <v>Nassau</v>
      </c>
      <c r="G198" s="292">
        <f>'Profits 2016'!N5408-'Profits 2016'!M5408</f>
        <v>0</v>
      </c>
      <c r="H198" s="319"/>
      <c r="I198" s="320"/>
      <c r="J198" s="321"/>
      <c r="K198" s="321"/>
      <c r="L198" s="321"/>
      <c r="M198" s="319"/>
      <c r="N198" s="322"/>
      <c r="O198" s="236" t="str">
        <f>'Profits 2016'!T5408</f>
        <v>FEDEX GROUND</v>
      </c>
      <c r="P198" s="284">
        <f>'Profits 2016'!U5408</f>
        <v>680483359950</v>
      </c>
      <c r="Q198" s="284" t="s">
        <v>314</v>
      </c>
      <c r="R198" s="276">
        <v>38.340000000000003</v>
      </c>
      <c r="S198" s="275" t="s">
        <v>15739</v>
      </c>
      <c r="T198" s="279">
        <v>42639</v>
      </c>
      <c r="U198" s="279">
        <v>42646</v>
      </c>
      <c r="V198" s="279">
        <v>42657</v>
      </c>
      <c r="W198" s="293">
        <v>0</v>
      </c>
      <c r="X198" s="236">
        <v>9175</v>
      </c>
      <c r="AF198" s="276">
        <f t="shared" si="16"/>
        <v>38.340000000000003</v>
      </c>
      <c r="AG198" s="276">
        <f t="shared" si="13"/>
        <v>38.340000000000003</v>
      </c>
      <c r="AH198" s="276">
        <f t="shared" si="14"/>
        <v>225.41499999999999</v>
      </c>
      <c r="AI198" s="283">
        <f t="shared" si="15"/>
        <v>5.879368805425143</v>
      </c>
    </row>
    <row r="199" spans="1:35" ht="30" x14ac:dyDescent="0.25">
      <c r="A199" s="275">
        <f>'Profits 2016'!A5409</f>
        <v>3004264</v>
      </c>
      <c r="B199" s="279">
        <f>'Profits 2016'!B5409</f>
        <v>42625</v>
      </c>
      <c r="C199" s="276">
        <f>'Profits 2016'!H5409</f>
        <v>361.78</v>
      </c>
      <c r="D199" s="280">
        <f>'Profits 2016'!K5409</f>
        <v>322.04597999999999</v>
      </c>
      <c r="E199" s="276">
        <f>'Profits 2016'!L5409</f>
        <v>900</v>
      </c>
      <c r="F199" s="275" t="str">
        <f>'Profits 2016'!P5409</f>
        <v>Priority</v>
      </c>
      <c r="G199" s="292">
        <f>'Profits 2016'!N5409-'Profits 2016'!M5409</f>
        <v>202.5</v>
      </c>
      <c r="H199" s="292">
        <v>0</v>
      </c>
      <c r="I199" s="275">
        <v>1054968</v>
      </c>
      <c r="J199" s="277">
        <v>42626</v>
      </c>
      <c r="K199" s="277">
        <v>42633</v>
      </c>
      <c r="L199" s="277">
        <v>42650</v>
      </c>
      <c r="M199" s="292">
        <v>307.5</v>
      </c>
      <c r="N199" s="281">
        <v>9116</v>
      </c>
      <c r="O199" s="236" t="str">
        <f>'Profits 2016'!T5409</f>
        <v>R&amp;L CARRIERS</v>
      </c>
      <c r="P199" s="284" t="str">
        <f>'Profits 2016'!U5409</f>
        <v>704137698</v>
      </c>
      <c r="Q199" s="284" t="s">
        <v>15740</v>
      </c>
      <c r="R199" s="276">
        <v>105</v>
      </c>
      <c r="S199" s="275">
        <v>1054968</v>
      </c>
      <c r="T199" s="277">
        <v>42626</v>
      </c>
      <c r="U199" s="277">
        <v>42633</v>
      </c>
      <c r="V199" s="279">
        <v>42650</v>
      </c>
      <c r="W199" s="293">
        <v>105</v>
      </c>
      <c r="X199" s="236">
        <v>9116</v>
      </c>
      <c r="AF199" s="276">
        <f t="shared" si="16"/>
        <v>307.5</v>
      </c>
      <c r="AG199" s="276">
        <f t="shared" si="13"/>
        <v>412.5</v>
      </c>
      <c r="AH199" s="276">
        <f t="shared" si="14"/>
        <v>-90.454020000000014</v>
      </c>
      <c r="AI199" s="283">
        <f t="shared" si="15"/>
        <v>-0.29415941463414641</v>
      </c>
    </row>
    <row r="200" spans="1:35" ht="30" x14ac:dyDescent="0.25">
      <c r="A200" s="275">
        <f>'Profits 2016'!A5410</f>
        <v>3004265</v>
      </c>
      <c r="B200" s="279">
        <f>'Profits 2016'!B5410</f>
        <v>42625</v>
      </c>
      <c r="C200" s="276">
        <f>'Profits 2016'!H5410</f>
        <v>341.55</v>
      </c>
      <c r="D200" s="280">
        <f>'Profits 2016'!K5410</f>
        <v>304.02105</v>
      </c>
      <c r="E200" s="276">
        <f>'Profits 2016'!L5410</f>
        <v>0</v>
      </c>
      <c r="F200" s="275" t="str">
        <f>'Profits 2016'!P5410</f>
        <v>Nassau</v>
      </c>
      <c r="G200" s="292">
        <f>'Profits 2016'!N5410-'Profits 2016'!M5410</f>
        <v>0</v>
      </c>
      <c r="H200" s="319"/>
      <c r="I200" s="320"/>
      <c r="J200" s="321"/>
      <c r="K200" s="321"/>
      <c r="L200" s="321"/>
      <c r="M200" s="319"/>
      <c r="N200" s="322"/>
      <c r="O200" s="236" t="str">
        <f>'Profits 2016'!T5410</f>
        <v>FEDEX GROUND</v>
      </c>
      <c r="P200" s="284" t="str">
        <f>'Profits 2016'!U5410</f>
        <v xml:space="preserve">	702723287970</v>
      </c>
      <c r="Q200" s="284" t="s">
        <v>314</v>
      </c>
      <c r="R200" s="276">
        <v>36.17</v>
      </c>
      <c r="S200" s="275" t="s">
        <v>15739</v>
      </c>
      <c r="T200" s="340">
        <v>42639</v>
      </c>
      <c r="U200" s="340">
        <v>42646</v>
      </c>
      <c r="V200" s="279">
        <v>42657</v>
      </c>
      <c r="W200" s="293">
        <v>0</v>
      </c>
      <c r="X200" s="236">
        <v>9175</v>
      </c>
      <c r="AF200" s="276">
        <f t="shared" si="16"/>
        <v>36.17</v>
      </c>
      <c r="AG200" s="276">
        <f t="shared" si="13"/>
        <v>36.17</v>
      </c>
      <c r="AH200" s="276">
        <f t="shared" si="14"/>
        <v>267.85104999999999</v>
      </c>
      <c r="AI200" s="283">
        <f t="shared" si="15"/>
        <v>7.4053372961017407</v>
      </c>
    </row>
    <row r="201" spans="1:35" x14ac:dyDescent="0.25">
      <c r="A201" s="275">
        <f>'Profits 2016'!A5411</f>
        <v>3004266</v>
      </c>
      <c r="B201" s="279">
        <f>'Profits 2016'!B5411</f>
        <v>42625</v>
      </c>
      <c r="C201" s="276">
        <f>'Profits 2016'!H5411</f>
        <v>820</v>
      </c>
      <c r="D201" s="280">
        <f>'Profits 2016'!K5411</f>
        <v>730.32</v>
      </c>
      <c r="E201" s="276">
        <f>'Profits 2016'!L5411</f>
        <v>1200</v>
      </c>
      <c r="F201" s="275" t="str">
        <f>'Profits 2016'!P5411</f>
        <v>Thea</v>
      </c>
      <c r="G201" s="292">
        <f>'Profits 2016'!N5411-'Profits 2016'!M5411</f>
        <v>360</v>
      </c>
      <c r="H201" s="319"/>
      <c r="I201" s="320"/>
      <c r="J201" s="321"/>
      <c r="K201" s="321"/>
      <c r="L201" s="321"/>
      <c r="M201" s="319"/>
      <c r="N201" s="322"/>
      <c r="O201" s="236" t="str">
        <f>'Profits 2016'!T5411</f>
        <v>FEDEX/DLS</v>
      </c>
      <c r="P201" s="284" t="str">
        <f>'Profits 2016'!U5411</f>
        <v>365324607-4</v>
      </c>
      <c r="Q201" s="284" t="s">
        <v>15742</v>
      </c>
      <c r="R201" s="276">
        <v>203.13</v>
      </c>
      <c r="S201" s="275">
        <v>636751398</v>
      </c>
      <c r="T201" s="340">
        <v>42642</v>
      </c>
      <c r="U201" s="340">
        <v>42642</v>
      </c>
      <c r="V201" s="279">
        <v>42650</v>
      </c>
      <c r="W201" s="293">
        <v>203.13</v>
      </c>
      <c r="X201" s="236">
        <v>9119</v>
      </c>
      <c r="AF201" s="276">
        <f t="shared" si="16"/>
        <v>563.13</v>
      </c>
      <c r="AG201" s="276">
        <f t="shared" si="13"/>
        <v>203.13</v>
      </c>
      <c r="AH201" s="276">
        <f t="shared" si="14"/>
        <v>527.19000000000005</v>
      </c>
      <c r="AI201" s="283">
        <f t="shared" si="15"/>
        <v>0.93617814714186787</v>
      </c>
    </row>
    <row r="202" spans="1:35" ht="30" x14ac:dyDescent="0.25">
      <c r="A202" s="275">
        <f>'Profits 2016'!A5412</f>
        <v>3004267</v>
      </c>
      <c r="B202" s="279">
        <f>'Profits 2016'!B5412</f>
        <v>42625</v>
      </c>
      <c r="C202" s="276">
        <f>'Profits 2016'!H5412</f>
        <v>682.67</v>
      </c>
      <c r="D202" s="280">
        <f>'Profits 2016'!K5412</f>
        <v>607.95897000000002</v>
      </c>
      <c r="E202" s="276">
        <f>'Profits 2016'!L5412</f>
        <v>496.53</v>
      </c>
      <c r="F202" s="275" t="str">
        <f>'Profits 2016'!P5412</f>
        <v>General</v>
      </c>
      <c r="G202" s="292">
        <f>'Profits 2016'!N5412-'Profits 2016'!M5412</f>
        <v>124.13249999999999</v>
      </c>
      <c r="H202" s="292">
        <v>0.33</v>
      </c>
      <c r="I202" s="275">
        <v>3739623</v>
      </c>
      <c r="J202" s="277">
        <v>42625</v>
      </c>
      <c r="K202" s="277">
        <v>42632</v>
      </c>
      <c r="L202" s="277">
        <v>42650</v>
      </c>
      <c r="M202" s="292">
        <v>179.25</v>
      </c>
      <c r="N202" s="281">
        <v>9086</v>
      </c>
      <c r="O202" s="236" t="str">
        <f>'Profits 2016'!T5412</f>
        <v>UPS GROUND</v>
      </c>
      <c r="P202" s="284" t="str">
        <f>'Profits 2016'!U5412</f>
        <v xml:space="preserve">	1Z9X760X0363387106</v>
      </c>
      <c r="Q202" s="284" t="s">
        <v>15741</v>
      </c>
      <c r="R202" s="276">
        <v>57.28</v>
      </c>
      <c r="S202" s="275">
        <v>3739623</v>
      </c>
      <c r="T202" s="277">
        <v>42625</v>
      </c>
      <c r="U202" s="277">
        <v>42632</v>
      </c>
      <c r="V202" s="279">
        <v>42650</v>
      </c>
      <c r="W202" s="293">
        <v>57.28</v>
      </c>
      <c r="X202" s="236">
        <v>9086</v>
      </c>
      <c r="AF202" s="276">
        <f t="shared" si="16"/>
        <v>181.74250000000001</v>
      </c>
      <c r="AG202" s="276">
        <f t="shared" si="13"/>
        <v>236.53</v>
      </c>
      <c r="AH202" s="276">
        <f t="shared" si="14"/>
        <v>371.42897000000005</v>
      </c>
      <c r="AI202" s="283">
        <f t="shared" si="15"/>
        <v>2.0437100292996964</v>
      </c>
    </row>
    <row r="203" spans="1:35" ht="30" x14ac:dyDescent="0.25">
      <c r="A203" s="275">
        <f>'Profits 2016'!A5413</f>
        <v>0</v>
      </c>
      <c r="B203" s="279">
        <f>'Profits 2016'!B5413</f>
        <v>0</v>
      </c>
      <c r="C203" s="276">
        <f>'Profits 2016'!H5413</f>
        <v>0</v>
      </c>
      <c r="D203" s="280">
        <f>'Profits 2016'!K5413</f>
        <v>0</v>
      </c>
      <c r="E203" s="276">
        <f>'Profits 2016'!L5413</f>
        <v>996.12</v>
      </c>
      <c r="F203" s="275" t="str">
        <f>'Profits 2016'!P5413</f>
        <v>General</v>
      </c>
      <c r="G203" s="292">
        <f>'Profits 2016'!N5413-'Profits 2016'!M5413</f>
        <v>249.02999999999997</v>
      </c>
      <c r="H203" s="292">
        <v>0.65</v>
      </c>
      <c r="I203" s="275">
        <v>3739624</v>
      </c>
      <c r="J203" s="277">
        <v>42625</v>
      </c>
      <c r="K203" s="277">
        <v>42632</v>
      </c>
      <c r="L203" s="277">
        <v>42650</v>
      </c>
      <c r="M203" s="292">
        <v>331.69</v>
      </c>
      <c r="N203" s="281">
        <v>9085</v>
      </c>
      <c r="O203" s="236" t="str">
        <f>'Profits 2016'!T5413</f>
        <v>FEDEX GROUND</v>
      </c>
      <c r="P203" s="284">
        <f>'Profits 2016'!U5413</f>
        <v>4107982620</v>
      </c>
      <c r="Q203" s="284" t="s">
        <v>15741</v>
      </c>
      <c r="R203" s="276">
        <v>87</v>
      </c>
      <c r="S203" s="275">
        <v>3739624</v>
      </c>
      <c r="T203" s="279">
        <v>42625</v>
      </c>
      <c r="U203" s="279">
        <v>42632</v>
      </c>
      <c r="V203" s="279">
        <v>42650</v>
      </c>
      <c r="W203" s="293">
        <v>87</v>
      </c>
      <c r="X203" s="236">
        <v>9085</v>
      </c>
      <c r="AF203" s="276">
        <f t="shared" si="16"/>
        <v>336.67999999999995</v>
      </c>
      <c r="AG203" s="276">
        <f t="shared" si="13"/>
        <v>418.69</v>
      </c>
      <c r="AH203" s="276">
        <f t="shared" si="14"/>
        <v>-418.69</v>
      </c>
      <c r="AI203" s="283">
        <f t="shared" si="15"/>
        <v>-1.2435844124985151</v>
      </c>
    </row>
    <row r="204" spans="1:35" ht="30" x14ac:dyDescent="0.25">
      <c r="A204" s="275">
        <f>'Profits 2016'!A5414</f>
        <v>3004268</v>
      </c>
      <c r="B204" s="279">
        <f>'Profits 2016'!B5414</f>
        <v>42625</v>
      </c>
      <c r="C204" s="276">
        <f>'Profits 2016'!H5414</f>
        <v>275.5</v>
      </c>
      <c r="D204" s="280">
        <f>'Profits 2016'!K5414</f>
        <v>245.1705</v>
      </c>
      <c r="E204" s="276">
        <f>'Profits 2016'!L5414</f>
        <v>0</v>
      </c>
      <c r="F204" s="275" t="str">
        <f>'Profits 2016'!P5414</f>
        <v>Nassau</v>
      </c>
      <c r="G204" s="292">
        <f>'Profits 2016'!N5414-'Profits 2016'!M5414</f>
        <v>0</v>
      </c>
      <c r="H204" s="319"/>
      <c r="I204" s="320"/>
      <c r="J204" s="321"/>
      <c r="K204" s="321"/>
      <c r="L204" s="321"/>
      <c r="M204" s="319"/>
      <c r="N204" s="322"/>
      <c r="O204" s="236" t="str">
        <f>'Profits 2016'!T5414</f>
        <v>FEDEX GROUND</v>
      </c>
      <c r="P204" s="284" t="str">
        <f>'Profits 2016'!U5414</f>
        <v xml:space="preserve"> 	680483359939</v>
      </c>
      <c r="Q204" s="284" t="s">
        <v>314</v>
      </c>
      <c r="R204" s="276">
        <v>39.99</v>
      </c>
      <c r="S204" s="275" t="s">
        <v>15739</v>
      </c>
      <c r="T204" s="279">
        <v>42639</v>
      </c>
      <c r="U204" s="279">
        <v>42646</v>
      </c>
      <c r="V204" s="279">
        <v>42657</v>
      </c>
      <c r="W204" s="293">
        <v>0</v>
      </c>
      <c r="X204" s="236">
        <v>9175</v>
      </c>
      <c r="AF204" s="276">
        <f t="shared" si="16"/>
        <v>39.99</v>
      </c>
      <c r="AG204" s="276">
        <f t="shared" si="13"/>
        <v>39.99</v>
      </c>
      <c r="AH204" s="276">
        <f t="shared" si="14"/>
        <v>205.18049999999999</v>
      </c>
      <c r="AI204" s="283">
        <f t="shared" si="15"/>
        <v>5.1307951987996994</v>
      </c>
    </row>
    <row r="205" spans="1:35" ht="43.5" customHeight="1" x14ac:dyDescent="0.25">
      <c r="A205" s="275">
        <f>'Profits 2016'!A5415</f>
        <v>3004269</v>
      </c>
      <c r="B205" s="279">
        <f>'Profits 2016'!B5415</f>
        <v>42625</v>
      </c>
      <c r="C205" s="276">
        <f>'Profits 2016'!H5415</f>
        <v>627</v>
      </c>
      <c r="D205" s="280">
        <f>'Profits 2016'!K5415</f>
        <v>558.35700000000008</v>
      </c>
      <c r="E205" s="276">
        <f>'Profits 2016'!L5415</f>
        <v>665</v>
      </c>
      <c r="F205" s="275" t="str">
        <f>'Profits 2016'!P5415</f>
        <v>A-Z</v>
      </c>
      <c r="G205" s="292">
        <f>'Profits 2016'!N5415-'Profits 2016'!M5415</f>
        <v>399</v>
      </c>
      <c r="H205" s="292">
        <v>0</v>
      </c>
      <c r="I205" s="275">
        <v>400508</v>
      </c>
      <c r="J205" s="277">
        <v>42626</v>
      </c>
      <c r="K205" s="277">
        <v>42632</v>
      </c>
      <c r="L205" s="277">
        <v>42671</v>
      </c>
      <c r="M205" s="292">
        <v>339</v>
      </c>
      <c r="N205" s="281">
        <v>9239</v>
      </c>
      <c r="O205" s="236" t="str">
        <f>'Profits 2016'!T5415</f>
        <v>FEDEX GROUND</v>
      </c>
      <c r="P205" s="284" t="str">
        <f>'Profits 2016'!U5415</f>
        <v>705687152878, 
705687152889, 
705687152890</v>
      </c>
      <c r="Q205" s="284" t="s">
        <v>314</v>
      </c>
      <c r="R205" s="276">
        <f>15.56+15.56+15.56</f>
        <v>46.68</v>
      </c>
      <c r="S205" s="275" t="s">
        <v>15747</v>
      </c>
      <c r="T205" s="279" t="s">
        <v>15748</v>
      </c>
      <c r="U205" s="279" t="s">
        <v>15757</v>
      </c>
      <c r="V205" s="279">
        <v>42657</v>
      </c>
      <c r="W205" s="293">
        <v>0</v>
      </c>
      <c r="X205" s="236">
        <v>9175</v>
      </c>
      <c r="AF205" s="276">
        <f>G205+H206+R205+Y205</f>
        <v>445.68</v>
      </c>
      <c r="AG205" s="276">
        <f t="shared" si="13"/>
        <v>385.68</v>
      </c>
      <c r="AH205" s="276">
        <f t="shared" si="14"/>
        <v>172.67700000000008</v>
      </c>
      <c r="AI205" s="283">
        <f t="shared" si="15"/>
        <v>0.38744614970382352</v>
      </c>
    </row>
    <row r="206" spans="1:35" ht="30" x14ac:dyDescent="0.25">
      <c r="A206" s="275">
        <f>'Profits 2016'!A5416</f>
        <v>3004270</v>
      </c>
      <c r="B206" s="279">
        <f>'Profits 2016'!B5416</f>
        <v>42625</v>
      </c>
      <c r="C206" s="276">
        <f>'Profits 2016'!H5416</f>
        <v>349.12</v>
      </c>
      <c r="D206" s="280">
        <f>'Profits 2016'!K5416</f>
        <v>310.76591999999999</v>
      </c>
      <c r="E206" s="276">
        <f>'Profits 2016'!L5416</f>
        <v>672</v>
      </c>
      <c r="F206" s="275" t="str">
        <f>'Profits 2016'!P5416</f>
        <v>Houston</v>
      </c>
      <c r="G206" s="292">
        <f>'Profits 2016'!N5416-'Profits 2016'!M5416</f>
        <v>201.60000000000002</v>
      </c>
      <c r="H206" s="292">
        <v>0</v>
      </c>
      <c r="I206" s="275">
        <v>30898051</v>
      </c>
      <c r="J206" s="277">
        <v>42625</v>
      </c>
      <c r="K206" s="277">
        <v>42629</v>
      </c>
      <c r="L206" s="277">
        <v>42650</v>
      </c>
      <c r="M206" s="292">
        <v>201.6</v>
      </c>
      <c r="N206" s="281">
        <v>9144</v>
      </c>
      <c r="O206" s="236" t="str">
        <f>'Profits 2016'!T5416</f>
        <v>FEDEX GROUND</v>
      </c>
      <c r="P206" s="284" t="str">
        <f>'Profits 2016'!U5416</f>
        <v>679301396374</v>
      </c>
      <c r="Q206" s="284" t="s">
        <v>314</v>
      </c>
      <c r="R206" s="276">
        <v>64.510000000000005</v>
      </c>
      <c r="S206" s="275" t="s">
        <v>15739</v>
      </c>
      <c r="T206" s="279">
        <v>42639</v>
      </c>
      <c r="U206" s="279">
        <v>42646</v>
      </c>
      <c r="V206" s="279">
        <v>42657</v>
      </c>
      <c r="W206" s="293">
        <v>0</v>
      </c>
      <c r="X206" s="236">
        <v>9175</v>
      </c>
      <c r="AF206" s="276">
        <f t="shared" ref="AF206:AF266" si="17">G206+H207+R206+Y206</f>
        <v>266.11</v>
      </c>
      <c r="AG206" s="276">
        <f t="shared" si="13"/>
        <v>266.11</v>
      </c>
      <c r="AH206" s="276">
        <f t="shared" si="14"/>
        <v>44.655919999999981</v>
      </c>
      <c r="AI206" s="283">
        <f t="shared" si="15"/>
        <v>0.16781000338205998</v>
      </c>
    </row>
    <row r="207" spans="1:35" x14ac:dyDescent="0.25">
      <c r="A207" s="275">
        <f>'Profits 2016'!A5417</f>
        <v>3004271</v>
      </c>
      <c r="B207" s="279">
        <f>'Profits 2016'!B5417</f>
        <v>42625</v>
      </c>
      <c r="C207" s="276">
        <f>'Profits 2016'!H5417</f>
        <v>664.04</v>
      </c>
      <c r="D207" s="280">
        <f>'Profits 2016'!K5417</f>
        <v>591.35964000000001</v>
      </c>
      <c r="E207" s="276">
        <f>'Profits 2016'!L5417</f>
        <v>300</v>
      </c>
      <c r="F207" s="275" t="str">
        <f>'Profits 2016'!P5417</f>
        <v>Thea</v>
      </c>
      <c r="G207" s="292">
        <f>'Profits 2016'!N5417-'Profits 2016'!M5417</f>
        <v>211.5</v>
      </c>
      <c r="H207" s="319"/>
      <c r="I207" s="320"/>
      <c r="J207" s="321"/>
      <c r="K207" s="321"/>
      <c r="L207" s="321"/>
      <c r="M207" s="319"/>
      <c r="N207" s="322"/>
      <c r="O207" s="236" t="str">
        <f>'Profits 2016'!T5417</f>
        <v>R&amp;L/DLS</v>
      </c>
      <c r="P207" s="284" t="str">
        <f>'Profits 2016'!U5417</f>
        <v>44484603-3</v>
      </c>
      <c r="Q207" s="284" t="s">
        <v>15742</v>
      </c>
      <c r="R207" s="276">
        <v>191.49</v>
      </c>
      <c r="S207" s="275">
        <v>636733934</v>
      </c>
      <c r="T207" s="279">
        <v>42633</v>
      </c>
      <c r="U207" s="279">
        <v>42636</v>
      </c>
      <c r="V207" s="279">
        <v>42643</v>
      </c>
      <c r="W207" s="293">
        <v>191.49</v>
      </c>
      <c r="X207" s="236">
        <v>9044</v>
      </c>
      <c r="AF207" s="276">
        <f t="shared" si="17"/>
        <v>402.99</v>
      </c>
      <c r="AG207" s="276">
        <f t="shared" si="13"/>
        <v>191.49</v>
      </c>
      <c r="AH207" s="276">
        <f t="shared" si="14"/>
        <v>399.86964</v>
      </c>
      <c r="AI207" s="283">
        <f t="shared" si="15"/>
        <v>0.99225697908136679</v>
      </c>
    </row>
    <row r="208" spans="1:35" x14ac:dyDescent="0.25">
      <c r="A208" s="275">
        <f>'Profits 2016'!A5418</f>
        <v>3004272</v>
      </c>
      <c r="B208" s="279">
        <f>'Profits 2016'!B5418</f>
        <v>42625</v>
      </c>
      <c r="C208" s="276">
        <f>'Profits 2016'!H5418</f>
        <v>662.62</v>
      </c>
      <c r="D208" s="280">
        <f>'Profits 2016'!K5418</f>
        <v>590.09442000000001</v>
      </c>
      <c r="E208" s="276">
        <f>'Profits 2016'!L5418</f>
        <v>2050</v>
      </c>
      <c r="F208" s="275" t="str">
        <f>'Profits 2016'!P5418</f>
        <v>Priority</v>
      </c>
      <c r="G208" s="292">
        <f>'Profits 2016'!N5418-'Profits 2016'!M5418</f>
        <v>422.29999999999995</v>
      </c>
      <c r="H208" s="292">
        <v>0</v>
      </c>
      <c r="I208" s="275">
        <v>1054745</v>
      </c>
      <c r="J208" s="277">
        <v>42626</v>
      </c>
      <c r="K208" s="277">
        <v>42633</v>
      </c>
      <c r="O208" s="236" t="str">
        <f>'Profits 2016'!T5418</f>
        <v>R&amp;L/DLS</v>
      </c>
      <c r="P208" s="284">
        <f>'Profits 2016'!U5418</f>
        <v>704137743</v>
      </c>
      <c r="Q208" s="284" t="s">
        <v>15740</v>
      </c>
      <c r="R208" s="276">
        <v>105</v>
      </c>
      <c r="S208" s="275">
        <v>1054745</v>
      </c>
      <c r="T208" s="279">
        <v>42626</v>
      </c>
      <c r="U208" s="279">
        <v>42633</v>
      </c>
      <c r="V208" s="279">
        <v>42650</v>
      </c>
      <c r="W208" s="293">
        <v>105</v>
      </c>
      <c r="X208" s="236">
        <v>9143</v>
      </c>
      <c r="AF208" s="276">
        <f t="shared" si="17"/>
        <v>527.29999999999995</v>
      </c>
      <c r="AG208" s="276">
        <f t="shared" si="13"/>
        <v>105</v>
      </c>
      <c r="AH208" s="276">
        <f t="shared" si="14"/>
        <v>485.09442000000001</v>
      </c>
      <c r="AI208" s="283">
        <f t="shared" si="15"/>
        <v>0.91995907453062786</v>
      </c>
    </row>
    <row r="209" spans="1:35" ht="30" x14ac:dyDescent="0.25">
      <c r="A209" s="275">
        <f>'Profits 2016'!A5419</f>
        <v>3004273</v>
      </c>
      <c r="B209" s="279">
        <f>'Profits 2016'!B5419</f>
        <v>42625</v>
      </c>
      <c r="C209" s="276">
        <f>'Profits 2016'!H5419</f>
        <v>320</v>
      </c>
      <c r="D209" s="280">
        <f>'Profits 2016'!K5419</f>
        <v>284.82</v>
      </c>
      <c r="E209" s="276">
        <f>'Profits 2016'!L5419</f>
        <v>0</v>
      </c>
      <c r="F209" s="275" t="str">
        <f>'Profits 2016'!P5419</f>
        <v>Thea</v>
      </c>
      <c r="G209" s="292">
        <f>'Profits 2016'!N5419-'Profits 2016'!M5419</f>
        <v>0</v>
      </c>
      <c r="H209" s="319"/>
      <c r="I209" s="320"/>
      <c r="J209" s="321"/>
      <c r="K209" s="321"/>
      <c r="L209" s="321"/>
      <c r="M209" s="319"/>
      <c r="N209" s="322"/>
      <c r="O209" s="236" t="str">
        <f>'Profits 2016'!T5419</f>
        <v>FEDEX GROUND</v>
      </c>
      <c r="P209" s="284" t="str">
        <f>'Profits 2016'!U5419</f>
        <v>675157529628</v>
      </c>
      <c r="Q209" s="284" t="s">
        <v>314</v>
      </c>
      <c r="R209" s="276">
        <v>38.15</v>
      </c>
      <c r="S209" s="275" t="s">
        <v>15739</v>
      </c>
      <c r="T209" s="279">
        <v>42639</v>
      </c>
      <c r="U209" s="279">
        <v>42646</v>
      </c>
      <c r="V209" s="279">
        <v>42657</v>
      </c>
      <c r="W209" s="293">
        <v>0</v>
      </c>
      <c r="X209" s="236">
        <v>9175</v>
      </c>
      <c r="AF209" s="276">
        <f t="shared" si="17"/>
        <v>38.15</v>
      </c>
      <c r="AG209" s="276">
        <f t="shared" si="13"/>
        <v>38.15</v>
      </c>
      <c r="AH209" s="276">
        <f t="shared" si="14"/>
        <v>246.67</v>
      </c>
      <c r="AI209" s="283">
        <f t="shared" si="15"/>
        <v>6.4657929226736561</v>
      </c>
    </row>
    <row r="210" spans="1:35" ht="30" x14ac:dyDescent="0.25">
      <c r="A210" s="275">
        <f>'Profits 2016'!A5420</f>
        <v>3004274</v>
      </c>
      <c r="B210" s="279">
        <f>'Profits 2016'!B5420</f>
        <v>42625</v>
      </c>
      <c r="C210" s="276">
        <f>'Profits 2016'!H5420</f>
        <v>146.78</v>
      </c>
      <c r="D210" s="280">
        <f>'Profits 2016'!K5420</f>
        <v>130.48097999999999</v>
      </c>
      <c r="E210" s="276">
        <f>'Profits 2016'!L5420</f>
        <v>60</v>
      </c>
      <c r="F210" s="275" t="str">
        <f>'Profits 2016'!P5420</f>
        <v>ERCO</v>
      </c>
      <c r="G210" s="292">
        <f>'Profits 2016'!N5420-'Profits 2016'!M5420</f>
        <v>60</v>
      </c>
      <c r="H210" s="292">
        <v>0</v>
      </c>
      <c r="I210" s="275">
        <v>152148</v>
      </c>
      <c r="J210" s="277">
        <v>42626</v>
      </c>
      <c r="K210" s="277">
        <v>42633</v>
      </c>
      <c r="L210" s="277">
        <v>42650</v>
      </c>
      <c r="M210" s="292">
        <v>60</v>
      </c>
      <c r="N210" s="281">
        <v>9071</v>
      </c>
      <c r="O210" s="236" t="str">
        <f>'Profits 2016'!T5420</f>
        <v>UPS GROUND</v>
      </c>
      <c r="P210" s="284" t="str">
        <f>'Profits 2016'!U5420</f>
        <v xml:space="preserve">1Z7763310372910264
</v>
      </c>
      <c r="Q210" s="284" t="s">
        <v>204</v>
      </c>
      <c r="R210" s="276">
        <f>63.84+2.31+10.76</f>
        <v>76.910000000000011</v>
      </c>
      <c r="S210" s="275" t="s">
        <v>15758</v>
      </c>
      <c r="T210" s="279">
        <v>42630</v>
      </c>
      <c r="U210" s="279">
        <v>42636</v>
      </c>
      <c r="V210" s="279">
        <v>42643</v>
      </c>
      <c r="W210" s="293">
        <v>76.91</v>
      </c>
      <c r="X210" s="236">
        <v>9047</v>
      </c>
      <c r="AF210" s="276">
        <f t="shared" si="17"/>
        <v>136.91000000000003</v>
      </c>
      <c r="AG210" s="276">
        <f t="shared" si="13"/>
        <v>136.91000000000003</v>
      </c>
      <c r="AH210" s="276">
        <f t="shared" si="14"/>
        <v>-6.4290200000000368</v>
      </c>
      <c r="AI210" s="283">
        <f t="shared" si="15"/>
        <v>-4.6958001606895304E-2</v>
      </c>
    </row>
    <row r="211" spans="1:35" ht="30" x14ac:dyDescent="0.25">
      <c r="A211" s="275">
        <f>'Profits 2016'!A5421</f>
        <v>3004275</v>
      </c>
      <c r="B211" s="279">
        <f>'Profits 2016'!B5421</f>
        <v>42625</v>
      </c>
      <c r="C211" s="276">
        <f>'Profits 2016'!H5421</f>
        <v>602.99</v>
      </c>
      <c r="D211" s="280">
        <f>'Profits 2016'!K5421</f>
        <v>536.96409000000006</v>
      </c>
      <c r="E211" s="276">
        <f>'Profits 2016'!L5421</f>
        <v>0</v>
      </c>
      <c r="F211" s="275" t="str">
        <f>'Profits 2016'!P5421</f>
        <v>Nassau</v>
      </c>
      <c r="G211" s="292">
        <f>'Profits 2016'!N5421-'Profits 2016'!M5421</f>
        <v>0</v>
      </c>
      <c r="H211" s="319"/>
      <c r="I211" s="320"/>
      <c r="J211" s="321"/>
      <c r="K211" s="321"/>
      <c r="L211" s="321"/>
      <c r="M211" s="319"/>
      <c r="N211" s="322"/>
      <c r="O211" s="236" t="str">
        <f>'Profits 2016'!T5421</f>
        <v>FEDEX GROUND</v>
      </c>
      <c r="P211" s="284">
        <f>'Profits 2016'!U5421</f>
        <v>680483359994</v>
      </c>
      <c r="Q211" s="284" t="s">
        <v>314</v>
      </c>
      <c r="R211" s="276">
        <v>36.1</v>
      </c>
      <c r="S211" s="275" t="s">
        <v>15739</v>
      </c>
      <c r="T211" s="279">
        <v>42639</v>
      </c>
      <c r="U211" s="279">
        <v>42646</v>
      </c>
      <c r="V211" s="279">
        <v>42657</v>
      </c>
      <c r="W211" s="293">
        <v>0</v>
      </c>
      <c r="X211" s="236">
        <v>9175</v>
      </c>
      <c r="AF211" s="276">
        <f t="shared" si="17"/>
        <v>36.1</v>
      </c>
      <c r="AG211" s="276">
        <f t="shared" si="13"/>
        <v>36.1</v>
      </c>
      <c r="AH211" s="276">
        <f t="shared" si="14"/>
        <v>500.86409000000003</v>
      </c>
      <c r="AI211" s="283">
        <f t="shared" si="15"/>
        <v>13.874351523545707</v>
      </c>
    </row>
    <row r="212" spans="1:35" ht="45" x14ac:dyDescent="0.25">
      <c r="A212" s="275">
        <f>'Profits 2016'!A5422</f>
        <v>3004276</v>
      </c>
      <c r="B212" s="279">
        <f>'Profits 2016'!B5422</f>
        <v>42625</v>
      </c>
      <c r="C212" s="276">
        <f>'Profits 2016'!H5422</f>
        <v>990</v>
      </c>
      <c r="D212" s="280">
        <f>'Profits 2016'!K5422</f>
        <v>881.79</v>
      </c>
      <c r="E212" s="276">
        <f>'Profits 2016'!L5422</f>
        <v>672</v>
      </c>
      <c r="F212" s="275" t="str">
        <f>'Profits 2016'!P5422</f>
        <v>Houston</v>
      </c>
      <c r="G212" s="292">
        <f>'Profits 2016'!N5422-'Profits 2016'!M5422</f>
        <v>672</v>
      </c>
      <c r="H212" s="292">
        <v>0</v>
      </c>
      <c r="I212" s="275">
        <v>30898670</v>
      </c>
      <c r="J212" s="277">
        <v>42626</v>
      </c>
      <c r="K212" s="277">
        <v>42633</v>
      </c>
      <c r="L212" s="277">
        <v>42650</v>
      </c>
      <c r="M212" s="292">
        <v>0</v>
      </c>
      <c r="N212" s="281">
        <v>9098</v>
      </c>
      <c r="O212" s="236" t="str">
        <f>'Profits 2016'!T5422</f>
        <v>TAX AIR FREIGHT/DLS</v>
      </c>
      <c r="P212" s="284" t="str">
        <f>'Profits 2016'!U5422</f>
        <v>06174502</v>
      </c>
      <c r="Q212" s="284" t="s">
        <v>15742</v>
      </c>
      <c r="R212" s="276">
        <v>133.16</v>
      </c>
      <c r="S212" s="275">
        <v>636758648</v>
      </c>
      <c r="T212" s="279">
        <v>42639</v>
      </c>
      <c r="U212" s="279">
        <v>42643</v>
      </c>
      <c r="V212" s="279">
        <v>42650</v>
      </c>
      <c r="W212" s="293">
        <v>133.16</v>
      </c>
      <c r="X212" s="236">
        <v>9119</v>
      </c>
      <c r="AF212" s="276">
        <f t="shared" si="17"/>
        <v>805.16</v>
      </c>
      <c r="AG212" s="276">
        <f t="shared" si="13"/>
        <v>133.16</v>
      </c>
      <c r="AH212" s="276">
        <f t="shared" si="14"/>
        <v>748.63</v>
      </c>
      <c r="AI212" s="283">
        <f t="shared" si="15"/>
        <v>0.92979035222812856</v>
      </c>
    </row>
    <row r="213" spans="1:35" ht="30" x14ac:dyDescent="0.25">
      <c r="A213" s="275">
        <f>'Profits 2016'!A5423</f>
        <v>3004277</v>
      </c>
      <c r="B213" s="279">
        <f>'Profits 2016'!B5423</f>
        <v>42625</v>
      </c>
      <c r="C213" s="276">
        <f>'Profits 2016'!H5423</f>
        <v>309.8</v>
      </c>
      <c r="D213" s="280">
        <f>'Profits 2016'!K5423</f>
        <v>275.73180000000002</v>
      </c>
      <c r="E213" s="276">
        <f>'Profits 2016'!L5423</f>
        <v>672</v>
      </c>
      <c r="F213" s="275" t="str">
        <f>'Profits 2016'!P5423</f>
        <v>Houston</v>
      </c>
      <c r="G213" s="292">
        <f>'Profits 2016'!N5423-'Profits 2016'!M5423</f>
        <v>168</v>
      </c>
      <c r="H213" s="292">
        <v>0</v>
      </c>
      <c r="I213" s="275">
        <v>30897935</v>
      </c>
      <c r="J213" s="277">
        <v>42625</v>
      </c>
      <c r="K213" s="277">
        <v>42629</v>
      </c>
      <c r="L213" s="277">
        <v>42650</v>
      </c>
      <c r="M213" s="292">
        <v>403.2</v>
      </c>
      <c r="N213" s="281">
        <v>9097</v>
      </c>
      <c r="O213" s="236" t="str">
        <f>'Profits 2016'!T5423</f>
        <v>FEDEX GROUND</v>
      </c>
      <c r="P213" s="284" t="str">
        <f>'Profits 2016'!U5423</f>
        <v>701849703246</v>
      </c>
      <c r="Q213" s="284" t="s">
        <v>314</v>
      </c>
      <c r="R213" s="276">
        <v>53.84</v>
      </c>
      <c r="S213" s="275" t="s">
        <v>15739</v>
      </c>
      <c r="T213" s="279">
        <v>42639</v>
      </c>
      <c r="U213" s="279">
        <v>42643</v>
      </c>
      <c r="V213" s="279">
        <v>42657</v>
      </c>
      <c r="W213" s="293">
        <v>0</v>
      </c>
      <c r="X213" s="236">
        <v>9175</v>
      </c>
      <c r="AF213" s="276">
        <f t="shared" si="17"/>
        <v>221.84</v>
      </c>
      <c r="AG213" s="276">
        <f t="shared" si="13"/>
        <v>457.03999999999996</v>
      </c>
      <c r="AH213" s="276">
        <f t="shared" si="14"/>
        <v>-181.30819999999994</v>
      </c>
      <c r="AI213" s="283">
        <f t="shared" si="15"/>
        <v>-0.81729264334655582</v>
      </c>
    </row>
    <row r="214" spans="1:35" ht="30" x14ac:dyDescent="0.25">
      <c r="A214" s="275">
        <f>'Profits 2016'!A5424</f>
        <v>3004278</v>
      </c>
      <c r="B214" s="279">
        <f>'Profits 2016'!B5424</f>
        <v>42625</v>
      </c>
      <c r="C214" s="276">
        <f>'Profits 2016'!H5424</f>
        <v>420</v>
      </c>
      <c r="D214" s="280">
        <f>'Profits 2016'!K5424</f>
        <v>373.92</v>
      </c>
      <c r="E214" s="276">
        <f>'Profits 2016'!L5424</f>
        <v>0</v>
      </c>
      <c r="F214" s="275" t="str">
        <f>'Profits 2016'!P5424</f>
        <v>Nassau</v>
      </c>
      <c r="G214" s="292">
        <f>'Profits 2016'!N5424-'Profits 2016'!M5424</f>
        <v>0</v>
      </c>
      <c r="H214" s="319"/>
      <c r="I214" s="320"/>
      <c r="J214" s="321"/>
      <c r="K214" s="321"/>
      <c r="L214" s="321"/>
      <c r="M214" s="319"/>
      <c r="N214" s="322"/>
      <c r="O214" s="236" t="str">
        <f>'Profits 2016'!T5424</f>
        <v>FEDEX GROUND</v>
      </c>
      <c r="P214" s="284">
        <f>'Profits 2016'!U5424</f>
        <v>702723287992</v>
      </c>
      <c r="Q214" s="284" t="s">
        <v>314</v>
      </c>
      <c r="R214" s="276">
        <v>56.11</v>
      </c>
      <c r="S214" s="275" t="s">
        <v>15744</v>
      </c>
      <c r="T214" s="279">
        <v>42646</v>
      </c>
      <c r="U214" s="279">
        <v>42653</v>
      </c>
      <c r="V214" s="279">
        <v>42657</v>
      </c>
      <c r="W214" s="293">
        <v>0</v>
      </c>
      <c r="X214" s="236">
        <v>9174</v>
      </c>
      <c r="AF214" s="276">
        <f t="shared" si="17"/>
        <v>56.11</v>
      </c>
      <c r="AG214" s="276">
        <f t="shared" si="13"/>
        <v>56.11</v>
      </c>
      <c r="AH214" s="276">
        <f t="shared" si="14"/>
        <v>317.81</v>
      </c>
      <c r="AI214" s="283">
        <f t="shared" si="15"/>
        <v>5.6640527535198721</v>
      </c>
    </row>
    <row r="215" spans="1:35" ht="30" x14ac:dyDescent="0.25">
      <c r="A215" s="275">
        <f>'Profits 2016'!A5425</f>
        <v>3004279</v>
      </c>
      <c r="B215" s="279">
        <f>'Profits 2016'!B5425</f>
        <v>42625</v>
      </c>
      <c r="C215" s="276">
        <f>'Profits 2016'!H5425</f>
        <v>152</v>
      </c>
      <c r="D215" s="280">
        <f>'Profits 2016'!K5425</f>
        <v>135.13200000000001</v>
      </c>
      <c r="E215" s="276">
        <f>'Profits 2016'!L5425</f>
        <v>0</v>
      </c>
      <c r="F215" s="275" t="str">
        <f>'Profits 2016'!P5425</f>
        <v>Nassau</v>
      </c>
      <c r="G215" s="292">
        <f>'Profits 2016'!N5425-'Profits 2016'!M5425</f>
        <v>0</v>
      </c>
      <c r="H215" s="319"/>
      <c r="I215" s="320"/>
      <c r="J215" s="321"/>
      <c r="K215" s="321"/>
      <c r="L215" s="321"/>
      <c r="M215" s="319"/>
      <c r="N215" s="322"/>
      <c r="O215" s="236" t="str">
        <f>'Profits 2016'!T5425</f>
        <v>FEDEX GROUND</v>
      </c>
      <c r="P215" s="284" t="str">
        <f>'Profits 2016'!U5425</f>
        <v xml:space="preserve">	702723288006</v>
      </c>
      <c r="Q215" s="284" t="s">
        <v>314</v>
      </c>
      <c r="R215" s="276">
        <v>16.329999999999998</v>
      </c>
      <c r="S215" s="275" t="s">
        <v>15739</v>
      </c>
      <c r="T215" s="279">
        <v>42639</v>
      </c>
      <c r="U215" s="279">
        <v>42646</v>
      </c>
      <c r="V215" s="279">
        <v>42657</v>
      </c>
      <c r="W215" s="293">
        <v>0</v>
      </c>
      <c r="X215" s="236">
        <v>9175</v>
      </c>
      <c r="AF215" s="276">
        <f t="shared" si="17"/>
        <v>16.329999999999998</v>
      </c>
      <c r="AG215" s="276">
        <f t="shared" si="13"/>
        <v>16.329999999999998</v>
      </c>
      <c r="AH215" s="276">
        <f t="shared" si="14"/>
        <v>118.80200000000001</v>
      </c>
      <c r="AI215" s="283">
        <f t="shared" si="15"/>
        <v>7.2750765462339269</v>
      </c>
    </row>
    <row r="216" spans="1:35" ht="30" x14ac:dyDescent="0.25">
      <c r="A216" s="275">
        <f>'Profits 2016'!A5426</f>
        <v>3004280</v>
      </c>
      <c r="B216" s="279">
        <f>'Profits 2016'!B5426</f>
        <v>42625</v>
      </c>
      <c r="C216" s="276">
        <f>'Profits 2016'!H5426</f>
        <v>140</v>
      </c>
      <c r="D216" s="280">
        <f>'Profits 2016'!K5426</f>
        <v>119</v>
      </c>
      <c r="E216" s="276">
        <f>'Profits 2016'!L5426</f>
        <v>672</v>
      </c>
      <c r="F216" s="275" t="str">
        <f>'Profits 2016'!P5426</f>
        <v>Houston</v>
      </c>
      <c r="G216" s="292">
        <f>'Profits 2016'!N5426-'Profits 2016'!M5426</f>
        <v>100.80000000000001</v>
      </c>
      <c r="H216" s="292">
        <v>0</v>
      </c>
      <c r="I216" s="275">
        <v>30897946</v>
      </c>
      <c r="J216" s="277">
        <v>42625</v>
      </c>
      <c r="K216" s="277">
        <v>42629</v>
      </c>
      <c r="L216" s="277">
        <v>42650</v>
      </c>
      <c r="M216" s="292">
        <v>0</v>
      </c>
      <c r="N216" s="281">
        <v>9097</v>
      </c>
      <c r="O216" s="236" t="str">
        <f>'Profits 2016'!T5426</f>
        <v>FEDEX GROUND</v>
      </c>
      <c r="P216" s="284" t="str">
        <f>'Profits 2016'!U5426</f>
        <v>701849703257</v>
      </c>
      <c r="Q216" s="284" t="s">
        <v>314</v>
      </c>
      <c r="R216" s="276">
        <v>27.6</v>
      </c>
      <c r="S216" s="275" t="s">
        <v>15739</v>
      </c>
      <c r="T216" s="279">
        <v>42639</v>
      </c>
      <c r="U216" s="279">
        <v>42643</v>
      </c>
      <c r="V216" s="279">
        <v>42657</v>
      </c>
      <c r="W216" s="293">
        <v>0</v>
      </c>
      <c r="X216" s="236">
        <v>9175</v>
      </c>
      <c r="AF216" s="276">
        <f t="shared" si="17"/>
        <v>128.4</v>
      </c>
      <c r="AG216" s="276">
        <f t="shared" si="13"/>
        <v>27.6</v>
      </c>
      <c r="AH216" s="276">
        <f t="shared" si="14"/>
        <v>91.4</v>
      </c>
      <c r="AI216" s="283">
        <f t="shared" si="15"/>
        <v>0.71183800623052962</v>
      </c>
    </row>
    <row r="217" spans="1:35" ht="30" x14ac:dyDescent="0.25">
      <c r="A217" s="275">
        <f>'Profits 2016'!A5427</f>
        <v>3004281</v>
      </c>
      <c r="B217" s="279">
        <f>'Profits 2016'!B5427</f>
        <v>42625</v>
      </c>
      <c r="C217" s="276">
        <f>'Profits 2016'!H5427</f>
        <v>995.68</v>
      </c>
      <c r="D217" s="280">
        <f>'Profits 2016'!K5427</f>
        <v>846.32799999999997</v>
      </c>
      <c r="E217" s="276">
        <f>'Profits 2016'!L5427</f>
        <v>1165</v>
      </c>
      <c r="F217" s="275" t="str">
        <f>'Profits 2016'!P5427</f>
        <v>Direct</v>
      </c>
      <c r="G217" s="292">
        <f>'Profits 2016'!N5427-'Profits 2016'!M5427</f>
        <v>233</v>
      </c>
      <c r="H217" s="292">
        <v>0</v>
      </c>
      <c r="I217" s="275">
        <v>72491</v>
      </c>
      <c r="J217" s="277">
        <v>42625</v>
      </c>
      <c r="K217" s="277">
        <v>42629</v>
      </c>
      <c r="L217" s="277">
        <v>42636</v>
      </c>
      <c r="M217" s="292">
        <v>456.68</v>
      </c>
      <c r="N217" s="281">
        <v>8995</v>
      </c>
      <c r="O217" s="236" t="str">
        <f>'Profits 2016'!T5427</f>
        <v>FEDEX GROUND</v>
      </c>
      <c r="P217" s="284" t="str">
        <f>'Profits 2016'!U5427</f>
        <v>6395 6401 6066</v>
      </c>
      <c r="Q217" s="284" t="s">
        <v>314</v>
      </c>
      <c r="R217" s="276">
        <v>50.38</v>
      </c>
      <c r="S217" s="275" t="s">
        <v>15739</v>
      </c>
      <c r="T217" s="279">
        <v>42639</v>
      </c>
      <c r="U217" s="279">
        <v>42646</v>
      </c>
      <c r="V217" s="279">
        <v>42657</v>
      </c>
      <c r="W217" s="293">
        <v>0</v>
      </c>
      <c r="X217" s="236">
        <v>9175</v>
      </c>
      <c r="AF217" s="276">
        <f t="shared" si="17"/>
        <v>283.38</v>
      </c>
      <c r="AG217" s="276">
        <f t="shared" si="13"/>
        <v>507.06</v>
      </c>
      <c r="AH217" s="276">
        <f t="shared" si="14"/>
        <v>339.26799999999997</v>
      </c>
      <c r="AI217" s="283">
        <f t="shared" si="15"/>
        <v>1.1972192815301008</v>
      </c>
    </row>
    <row r="218" spans="1:35" x14ac:dyDescent="0.25">
      <c r="A218" s="275">
        <f>'Profits 2016'!A5428</f>
        <v>0</v>
      </c>
      <c r="B218" s="279">
        <f>'Profits 2016'!B5428</f>
        <v>0</v>
      </c>
      <c r="C218" s="276">
        <f>'Profits 2016'!H5428</f>
        <v>0</v>
      </c>
      <c r="D218" s="280">
        <f>'Profits 2016'!K5428</f>
        <v>0</v>
      </c>
      <c r="E218" s="276">
        <f>'Profits 2016'!L5428</f>
        <v>1165</v>
      </c>
      <c r="F218" s="275" t="str">
        <f>'Profits 2016'!P5428</f>
        <v>Direct</v>
      </c>
      <c r="G218" s="292">
        <f>'Profits 2016'!N5428-'Profits 2016'!M5428</f>
        <v>233.00000000000003</v>
      </c>
      <c r="H218" s="292">
        <v>0</v>
      </c>
      <c r="I218" s="275">
        <v>72491</v>
      </c>
      <c r="J218" s="277">
        <v>42625</v>
      </c>
      <c r="K218" s="277">
        <v>42629</v>
      </c>
      <c r="L218" s="277">
        <v>42636</v>
      </c>
      <c r="M218" s="292">
        <v>456.68</v>
      </c>
      <c r="N218" s="281">
        <v>8995</v>
      </c>
      <c r="O218" s="236">
        <f>'Profits 2016'!T5428</f>
        <v>0</v>
      </c>
      <c r="P218" s="284">
        <f>'Profits 2016'!U5428</f>
        <v>639564016077</v>
      </c>
      <c r="Q218" s="284" t="s">
        <v>314</v>
      </c>
      <c r="R218" s="276">
        <v>49.29</v>
      </c>
      <c r="S218" s="275" t="s">
        <v>15739</v>
      </c>
      <c r="T218" s="279">
        <v>42639</v>
      </c>
      <c r="U218" s="279">
        <v>42646</v>
      </c>
      <c r="V218" s="279">
        <v>42657</v>
      </c>
      <c r="W218" s="293">
        <v>0</v>
      </c>
      <c r="X218" s="236">
        <v>9175</v>
      </c>
      <c r="AF218" s="276">
        <f t="shared" si="17"/>
        <v>282.29000000000002</v>
      </c>
      <c r="AG218" s="276">
        <f t="shared" si="13"/>
        <v>505.97</v>
      </c>
      <c r="AH218" s="276">
        <f t="shared" si="14"/>
        <v>-505.97</v>
      </c>
      <c r="AI218" s="283">
        <f t="shared" si="15"/>
        <v>-1.7923766339579865</v>
      </c>
    </row>
    <row r="219" spans="1:35" ht="30" x14ac:dyDescent="0.25">
      <c r="A219" s="275">
        <f>'Profits 2016'!A5429</f>
        <v>3004282</v>
      </c>
      <c r="B219" s="279">
        <f>'Profits 2016'!B5429</f>
        <v>42625</v>
      </c>
      <c r="C219" s="276">
        <f>'Profits 2016'!H5429</f>
        <v>226.71</v>
      </c>
      <c r="D219" s="280">
        <f>'Profits 2016'!K5429</f>
        <v>192.70350000000002</v>
      </c>
      <c r="E219" s="276">
        <f>'Profits 2016'!L5429</f>
        <v>672</v>
      </c>
      <c r="F219" s="275" t="str">
        <f>'Profits 2016'!P5429</f>
        <v>Houston</v>
      </c>
      <c r="G219" s="292">
        <f>'Profits 2016'!N5429-'Profits 2016'!M5429</f>
        <v>134.4</v>
      </c>
      <c r="H219" s="292">
        <v>0</v>
      </c>
      <c r="I219" s="275">
        <v>30898044</v>
      </c>
      <c r="J219" s="277">
        <v>42625</v>
      </c>
      <c r="K219" s="277">
        <v>42629</v>
      </c>
      <c r="L219" s="277">
        <v>42650</v>
      </c>
      <c r="M219" s="292">
        <v>0</v>
      </c>
      <c r="N219" s="281">
        <v>9097</v>
      </c>
      <c r="O219" s="236" t="str">
        <f>'Profits 2016'!T5429</f>
        <v>FEDEX GROUND</v>
      </c>
      <c r="P219" s="284" t="str">
        <f>'Profits 2016'!U5429</f>
        <v>679301396363</v>
      </c>
      <c r="Q219" s="284" t="s">
        <v>314</v>
      </c>
      <c r="R219" s="276">
        <v>53</v>
      </c>
      <c r="S219" s="275" t="s">
        <v>15739</v>
      </c>
      <c r="T219" s="279">
        <v>42639</v>
      </c>
      <c r="U219" s="279">
        <v>42646</v>
      </c>
      <c r="V219" s="279">
        <v>42657</v>
      </c>
      <c r="W219" s="293">
        <v>0</v>
      </c>
      <c r="X219" s="236">
        <v>9175</v>
      </c>
      <c r="AF219" s="276">
        <f t="shared" si="17"/>
        <v>187.4</v>
      </c>
      <c r="AG219" s="276">
        <f t="shared" si="13"/>
        <v>53</v>
      </c>
      <c r="AH219" s="276">
        <f t="shared" si="14"/>
        <v>139.70350000000002</v>
      </c>
      <c r="AI219" s="283">
        <f t="shared" si="15"/>
        <v>0.74548292422625406</v>
      </c>
    </row>
    <row r="220" spans="1:35" ht="30" x14ac:dyDescent="0.25">
      <c r="A220" s="275">
        <f>'Profits 2016'!A5430</f>
        <v>3004283</v>
      </c>
      <c r="B220" s="279">
        <f>'Profits 2016'!B5430</f>
        <v>42625</v>
      </c>
      <c r="C220" s="276">
        <f>'Profits 2016'!H5430</f>
        <v>114.59</v>
      </c>
      <c r="D220" s="280">
        <f>'Profits 2016'!K5430</f>
        <v>97.401499999999999</v>
      </c>
      <c r="E220" s="276">
        <f>'Profits 2016'!L5430</f>
        <v>0</v>
      </c>
      <c r="F220" s="275" t="str">
        <f>'Profits 2016'!P5430</f>
        <v>Nassau</v>
      </c>
      <c r="G220" s="292">
        <f>'Profits 2016'!N5430-'Profits 2016'!M5430</f>
        <v>0</v>
      </c>
      <c r="H220" s="319"/>
      <c r="I220" s="320"/>
      <c r="J220" s="321"/>
      <c r="K220" s="321"/>
      <c r="L220" s="321"/>
      <c r="M220" s="319"/>
      <c r="N220" s="322"/>
      <c r="O220" s="236" t="str">
        <f>'Profits 2016'!T5430</f>
        <v>FEDEX GROUND</v>
      </c>
      <c r="P220" s="284">
        <f>'Profits 2016'!U5430</f>
        <v>702723287981</v>
      </c>
      <c r="Q220" s="284" t="s">
        <v>314</v>
      </c>
      <c r="R220" s="276">
        <v>12.84</v>
      </c>
      <c r="S220" s="275" t="s">
        <v>15739</v>
      </c>
      <c r="T220" s="279">
        <v>42639</v>
      </c>
      <c r="U220" s="279">
        <v>42646</v>
      </c>
      <c r="V220" s="279">
        <v>42657</v>
      </c>
      <c r="W220" s="293">
        <v>0</v>
      </c>
      <c r="X220" s="236">
        <v>9175</v>
      </c>
      <c r="AF220" s="276">
        <f t="shared" si="17"/>
        <v>12.84</v>
      </c>
      <c r="AG220" s="276">
        <f t="shared" si="13"/>
        <v>12.84</v>
      </c>
      <c r="AH220" s="276">
        <f t="shared" si="14"/>
        <v>84.561499999999995</v>
      </c>
      <c r="AI220" s="283">
        <f t="shared" si="15"/>
        <v>6.5857866043613704</v>
      </c>
    </row>
    <row r="221" spans="1:35" ht="30" x14ac:dyDescent="0.25">
      <c r="A221" s="275">
        <f>'Profits 2016'!A5431</f>
        <v>3004284</v>
      </c>
      <c r="B221" s="279">
        <f>'Profits 2016'!B5431</f>
        <v>42625</v>
      </c>
      <c r="C221" s="276">
        <f>'Profits 2016'!H5431</f>
        <v>180.18</v>
      </c>
      <c r="D221" s="280">
        <f>'Profits 2016'!K5431</f>
        <v>153.15300000000002</v>
      </c>
      <c r="E221" s="276">
        <f>'Profits 2016'!L5431</f>
        <v>1150</v>
      </c>
      <c r="F221" s="275" t="str">
        <f>'Profits 2016'!P5431</f>
        <v>Direct</v>
      </c>
      <c r="G221" s="292">
        <f>'Profits 2016'!N5431-'Profits 2016'!M5431</f>
        <v>115</v>
      </c>
      <c r="H221" s="292">
        <v>0</v>
      </c>
      <c r="I221" s="275">
        <v>72495</v>
      </c>
      <c r="J221" s="277">
        <v>42625</v>
      </c>
      <c r="K221" s="277">
        <v>42629</v>
      </c>
      <c r="L221" s="277">
        <v>42636</v>
      </c>
      <c r="M221" s="292">
        <v>112.7</v>
      </c>
      <c r="N221" s="281">
        <v>8995</v>
      </c>
      <c r="O221" s="236" t="str">
        <f>'Profits 2016'!T5431</f>
        <v>FEDEX GROUND</v>
      </c>
      <c r="P221" s="284" t="str">
        <f>'Profits 2016'!U5431</f>
        <v>6305 1224 4674</v>
      </c>
      <c r="Q221" s="284" t="s">
        <v>314</v>
      </c>
      <c r="R221" s="276">
        <v>27.94</v>
      </c>
      <c r="S221" s="275" t="s">
        <v>15739</v>
      </c>
      <c r="T221" s="279">
        <v>42639</v>
      </c>
      <c r="U221" s="279">
        <v>42646</v>
      </c>
      <c r="V221" s="279">
        <v>42657</v>
      </c>
      <c r="W221" s="293">
        <v>0</v>
      </c>
      <c r="X221" s="236">
        <v>9175</v>
      </c>
      <c r="AF221" s="276">
        <f t="shared" si="17"/>
        <v>142.94</v>
      </c>
      <c r="AG221" s="276">
        <f t="shared" si="13"/>
        <v>140.64000000000001</v>
      </c>
      <c r="AH221" s="276">
        <f t="shared" si="14"/>
        <v>12.513000000000005</v>
      </c>
      <c r="AI221" s="283">
        <f t="shared" si="15"/>
        <v>8.7540226668532284E-2</v>
      </c>
    </row>
    <row r="222" spans="1:35" ht="30" x14ac:dyDescent="0.25">
      <c r="A222" s="275">
        <f>'Profits 2016'!A5432</f>
        <v>3004285</v>
      </c>
      <c r="B222" s="279">
        <f>'Profits 2016'!B5432</f>
        <v>42625</v>
      </c>
      <c r="C222" s="276">
        <f>'Profits 2016'!H5432</f>
        <v>134</v>
      </c>
      <c r="D222" s="280">
        <f>'Profits 2016'!K5432</f>
        <v>113.9</v>
      </c>
      <c r="E222" s="276">
        <f>'Profits 2016'!L5432</f>
        <v>37.369999999999997</v>
      </c>
      <c r="F222" s="275" t="str">
        <f>'Profits 2016'!P5432</f>
        <v>Nassau</v>
      </c>
      <c r="G222" s="292">
        <f>'Profits 2016'!N5432-'Profits 2016'!M5432</f>
        <v>2.8027499999999996</v>
      </c>
      <c r="H222" s="319"/>
      <c r="I222" s="320"/>
      <c r="J222" s="321"/>
      <c r="K222" s="321"/>
      <c r="L222" s="321"/>
      <c r="M222" s="319"/>
      <c r="N222" s="322"/>
      <c r="O222" s="236" t="str">
        <f>'Profits 2016'!T5432</f>
        <v>FEDEX GROUND</v>
      </c>
      <c r="P222" s="284">
        <f>'Profits 2016'!U5432</f>
        <v>665645046968</v>
      </c>
      <c r="Q222" s="284" t="s">
        <v>314</v>
      </c>
      <c r="R222" s="276">
        <v>37.369999999999997</v>
      </c>
      <c r="S222" s="275" t="s">
        <v>15744</v>
      </c>
      <c r="T222" s="279">
        <v>42646</v>
      </c>
      <c r="U222" s="279">
        <v>42653</v>
      </c>
      <c r="V222" s="279">
        <v>42657</v>
      </c>
      <c r="W222" s="293">
        <v>0</v>
      </c>
      <c r="X222" s="236">
        <v>9174</v>
      </c>
      <c r="AF222" s="276">
        <f t="shared" si="17"/>
        <v>40.172749999999994</v>
      </c>
      <c r="AG222" s="276">
        <f t="shared" si="13"/>
        <v>37.369999999999997</v>
      </c>
      <c r="AH222" s="276">
        <f t="shared" si="14"/>
        <v>76.53</v>
      </c>
      <c r="AI222" s="283">
        <f t="shared" si="15"/>
        <v>1.9050226832865564</v>
      </c>
    </row>
    <row r="223" spans="1:35" ht="30" x14ac:dyDescent="0.25">
      <c r="A223" s="275">
        <f>'Profits 2016'!A5433</f>
        <v>3004286</v>
      </c>
      <c r="B223" s="279">
        <f>'Profits 2016'!B5433</f>
        <v>42625</v>
      </c>
      <c r="C223" s="276">
        <f>'Profits 2016'!H5433</f>
        <v>162.01</v>
      </c>
      <c r="D223" s="280">
        <f>'Profits 2016'!K5433</f>
        <v>137.70849999999999</v>
      </c>
      <c r="E223" s="276">
        <f>'Profits 2016'!L5433</f>
        <v>320</v>
      </c>
      <c r="F223" s="275" t="str">
        <f>'Profits 2016'!P5433</f>
        <v>Erco</v>
      </c>
      <c r="G223" s="292">
        <f>'Profits 2016'!N5433-'Profits 2016'!M5433</f>
        <v>80.000000000000014</v>
      </c>
      <c r="H223" s="292">
        <v>0</v>
      </c>
      <c r="I223" s="275">
        <v>152132</v>
      </c>
      <c r="J223" s="277">
        <v>42625</v>
      </c>
      <c r="K223" s="277">
        <v>42629</v>
      </c>
      <c r="L223" s="277">
        <v>42650</v>
      </c>
      <c r="M223" s="292">
        <v>80</v>
      </c>
      <c r="N223" s="281">
        <v>9071</v>
      </c>
      <c r="O223" s="236" t="str">
        <f>'Profits 2016'!T5433</f>
        <v>UPS GROUND</v>
      </c>
      <c r="P223" s="284" t="str">
        <f>'Profits 2016'!U5433</f>
        <v>1Z7763310370582257</v>
      </c>
      <c r="Q223" s="284" t="s">
        <v>204</v>
      </c>
      <c r="R223" s="276">
        <f>26.66+10.76</f>
        <v>37.42</v>
      </c>
      <c r="S223" s="275" t="s">
        <v>15758</v>
      </c>
      <c r="T223" s="279">
        <v>42630</v>
      </c>
      <c r="U223" s="279">
        <v>42636</v>
      </c>
      <c r="V223" s="279">
        <v>42643</v>
      </c>
      <c r="W223" s="293">
        <v>37.42</v>
      </c>
      <c r="X223" s="236">
        <v>9047</v>
      </c>
      <c r="AF223" s="276">
        <f t="shared" si="17"/>
        <v>117.42000000000002</v>
      </c>
      <c r="AG223" s="276">
        <f t="shared" si="13"/>
        <v>117.42</v>
      </c>
      <c r="AH223" s="276">
        <f t="shared" si="14"/>
        <v>20.288499999999985</v>
      </c>
      <c r="AI223" s="283">
        <f t="shared" si="15"/>
        <v>0.17278572645205231</v>
      </c>
    </row>
    <row r="224" spans="1:35" ht="30" x14ac:dyDescent="0.25">
      <c r="A224" s="275">
        <f>'Profits 2016'!A5434</f>
        <v>3004287</v>
      </c>
      <c r="B224" s="279">
        <f>'Profits 2016'!B5434</f>
        <v>42625</v>
      </c>
      <c r="C224" s="276">
        <f>'Profits 2016'!H5434</f>
        <v>53</v>
      </c>
      <c r="D224" s="280">
        <f>'Profits 2016'!K5434</f>
        <v>51.533999999999999</v>
      </c>
      <c r="E224" s="276">
        <f>'Profits 2016'!L5434</f>
        <v>0</v>
      </c>
      <c r="F224" s="275" t="str">
        <f>'Profits 2016'!P5434</f>
        <v>Nassau</v>
      </c>
      <c r="G224" s="292">
        <f>'Profits 2016'!N5434-'Profits 2016'!M5434</f>
        <v>0</v>
      </c>
      <c r="H224" s="319"/>
      <c r="I224" s="320"/>
      <c r="J224" s="321"/>
      <c r="K224" s="321"/>
      <c r="L224" s="321"/>
      <c r="M224" s="319"/>
      <c r="N224" s="322"/>
      <c r="O224" s="236" t="str">
        <f>'Profits 2016'!T5434</f>
        <v>FEDEX GROUND</v>
      </c>
      <c r="P224" s="284">
        <f>'Profits 2016'!U5434</f>
        <v>680483359940</v>
      </c>
      <c r="Q224" s="284" t="s">
        <v>314</v>
      </c>
      <c r="R224" s="276">
        <v>26.57</v>
      </c>
      <c r="S224" s="275" t="s">
        <v>15739</v>
      </c>
      <c r="T224" s="279">
        <v>42639</v>
      </c>
      <c r="U224" s="279">
        <v>42646</v>
      </c>
      <c r="V224" s="279">
        <v>42657</v>
      </c>
      <c r="W224" s="293">
        <v>0</v>
      </c>
      <c r="X224" s="236">
        <v>9175</v>
      </c>
      <c r="AF224" s="276">
        <f t="shared" si="17"/>
        <v>26.57</v>
      </c>
      <c r="AG224" s="276">
        <f t="shared" si="13"/>
        <v>26.57</v>
      </c>
      <c r="AH224" s="276">
        <f t="shared" si="14"/>
        <v>24.963999999999999</v>
      </c>
      <c r="AI224" s="283">
        <f t="shared" si="15"/>
        <v>0.93955589010161833</v>
      </c>
    </row>
    <row r="225" spans="1:35" x14ac:dyDescent="0.25">
      <c r="A225" s="336">
        <f>'Profits 2016'!A5435</f>
        <v>3004288</v>
      </c>
      <c r="B225" s="341">
        <f>'Profits 2016'!B5435</f>
        <v>42625</v>
      </c>
      <c r="C225" s="342">
        <f>'Profits 2016'!H5435</f>
        <v>9294.69</v>
      </c>
      <c r="D225" s="343">
        <f>'Profits 2016'!K5435</f>
        <v>9294.69</v>
      </c>
      <c r="E225" s="342">
        <f>'Profits 2016'!L5435</f>
        <v>330</v>
      </c>
      <c r="F225" s="336" t="str">
        <f>'Profits 2016'!P5435</f>
        <v>Gaffney</v>
      </c>
      <c r="G225" s="335">
        <f>'Profits 2016'!N5435-'Profits 2016'!M5435</f>
        <v>990</v>
      </c>
      <c r="H225" s="335"/>
      <c r="I225" s="336"/>
      <c r="J225" s="337"/>
      <c r="K225" s="337"/>
      <c r="L225" s="337"/>
      <c r="M225" s="335"/>
      <c r="N225" s="338"/>
      <c r="O225" s="344" t="str">
        <f>'Profits 2016'!T5435</f>
        <v>VICTORY</v>
      </c>
      <c r="P225" s="345">
        <f>'Profits 2016'!U5435</f>
        <v>0</v>
      </c>
      <c r="Q225" s="345"/>
      <c r="R225" s="342"/>
      <c r="S225" s="336"/>
      <c r="T225" s="341"/>
      <c r="U225" s="341"/>
      <c r="V225" s="341"/>
      <c r="W225" s="346"/>
      <c r="X225" s="344"/>
      <c r="AF225" s="276">
        <f t="shared" si="17"/>
        <v>990</v>
      </c>
      <c r="AG225" s="276">
        <f t="shared" si="13"/>
        <v>0</v>
      </c>
      <c r="AH225" s="276">
        <f t="shared" si="14"/>
        <v>9294.69</v>
      </c>
      <c r="AI225" s="283">
        <f t="shared" si="15"/>
        <v>9.388575757575758</v>
      </c>
    </row>
    <row r="226" spans="1:35" x14ac:dyDescent="0.25">
      <c r="A226" s="336">
        <f>'Profits 2016'!A5436</f>
        <v>0</v>
      </c>
      <c r="B226" s="341">
        <f>'Profits 2016'!B5436</f>
        <v>0</v>
      </c>
      <c r="C226" s="342">
        <f>'Profits 2016'!H5436</f>
        <v>0</v>
      </c>
      <c r="D226" s="343">
        <f>'Profits 2016'!K5436</f>
        <v>0</v>
      </c>
      <c r="E226" s="342">
        <f>'Profits 2016'!L5436</f>
        <v>300</v>
      </c>
      <c r="F226" s="336" t="str">
        <f>'Profits 2016'!P5436</f>
        <v>Gaffney</v>
      </c>
      <c r="G226" s="335">
        <f>'Profits 2016'!N5436-'Profits 2016'!M5436</f>
        <v>2948.1</v>
      </c>
      <c r="H226" s="335"/>
      <c r="I226" s="336"/>
      <c r="J226" s="337"/>
      <c r="K226" s="337"/>
      <c r="L226" s="337"/>
      <c r="M226" s="335"/>
      <c r="N226" s="338"/>
      <c r="O226" s="344">
        <f>'Profits 2016'!T5436</f>
        <v>0</v>
      </c>
      <c r="P226" s="345">
        <f>'Profits 2016'!U5436</f>
        <v>0</v>
      </c>
      <c r="Q226" s="345"/>
      <c r="R226" s="342"/>
      <c r="S226" s="336"/>
      <c r="T226" s="341"/>
      <c r="U226" s="341"/>
      <c r="V226" s="341"/>
      <c r="W226" s="346"/>
      <c r="X226" s="344"/>
      <c r="AF226" s="276">
        <f t="shared" si="17"/>
        <v>2948.1</v>
      </c>
      <c r="AG226" s="276">
        <f t="shared" si="13"/>
        <v>0</v>
      </c>
      <c r="AH226" s="276">
        <f t="shared" si="14"/>
        <v>0</v>
      </c>
      <c r="AI226" s="283">
        <f t="shared" si="15"/>
        <v>0</v>
      </c>
    </row>
    <row r="227" spans="1:35" x14ac:dyDescent="0.25">
      <c r="A227" s="336">
        <f>'Profits 2016'!A5437</f>
        <v>0</v>
      </c>
      <c r="B227" s="341">
        <f>'Profits 2016'!B5437</f>
        <v>0</v>
      </c>
      <c r="C227" s="342">
        <f>'Profits 2016'!H5437</f>
        <v>0</v>
      </c>
      <c r="D227" s="343">
        <f>'Profits 2016'!K5437</f>
        <v>0</v>
      </c>
      <c r="E227" s="342">
        <f>'Profits 2016'!L5437</f>
        <v>1080</v>
      </c>
      <c r="F227" s="336" t="str">
        <f>'Profits 2016'!P5437</f>
        <v>Gaffney</v>
      </c>
      <c r="G227" s="335">
        <f>'Profits 2016'!N5437-'Profits 2016'!M5437</f>
        <v>2181.6</v>
      </c>
      <c r="H227" s="335"/>
      <c r="I227" s="336"/>
      <c r="J227" s="337"/>
      <c r="K227" s="337"/>
      <c r="L227" s="337"/>
      <c r="M227" s="335"/>
      <c r="N227" s="338"/>
      <c r="O227" s="344">
        <f>'Profits 2016'!T5437</f>
        <v>0</v>
      </c>
      <c r="P227" s="345">
        <f>'Profits 2016'!U5437</f>
        <v>0</v>
      </c>
      <c r="Q227" s="345"/>
      <c r="R227" s="342"/>
      <c r="S227" s="336"/>
      <c r="T227" s="341"/>
      <c r="U227" s="341"/>
      <c r="V227" s="341"/>
      <c r="W227" s="346"/>
      <c r="X227" s="344"/>
      <c r="AF227" s="276">
        <f t="shared" si="17"/>
        <v>2181.6</v>
      </c>
      <c r="AG227" s="276">
        <f t="shared" si="13"/>
        <v>0</v>
      </c>
      <c r="AH227" s="276">
        <f t="shared" si="14"/>
        <v>0</v>
      </c>
      <c r="AI227" s="283">
        <f t="shared" si="15"/>
        <v>0</v>
      </c>
    </row>
    <row r="228" spans="1:35" x14ac:dyDescent="0.25">
      <c r="A228" s="336">
        <f>'Profits 2016'!A5438</f>
        <v>0</v>
      </c>
      <c r="B228" s="341">
        <f>'Profits 2016'!B5438</f>
        <v>0</v>
      </c>
      <c r="C228" s="342">
        <f>'Profits 2016'!H5438</f>
        <v>0</v>
      </c>
      <c r="D228" s="343">
        <f>'Profits 2016'!K5438</f>
        <v>0</v>
      </c>
      <c r="E228" s="342">
        <f>'Profits 2016'!L5438</f>
        <v>45</v>
      </c>
      <c r="F228" s="336" t="str">
        <f>'Profits 2016'!P5438</f>
        <v>Gaffney</v>
      </c>
      <c r="G228" s="335">
        <f>'Profits 2016'!N5438-'Profits 2016'!M5438</f>
        <v>67.5</v>
      </c>
      <c r="H228" s="335"/>
      <c r="I228" s="336"/>
      <c r="J228" s="337"/>
      <c r="K228" s="337"/>
      <c r="L228" s="337"/>
      <c r="M228" s="335"/>
      <c r="N228" s="338"/>
      <c r="O228" s="344">
        <f>'Profits 2016'!T5438</f>
        <v>0</v>
      </c>
      <c r="P228" s="345">
        <f>'Profits 2016'!U5438</f>
        <v>0</v>
      </c>
      <c r="Q228" s="345"/>
      <c r="R228" s="342"/>
      <c r="S228" s="336"/>
      <c r="T228" s="341"/>
      <c r="U228" s="341"/>
      <c r="V228" s="341"/>
      <c r="W228" s="346"/>
      <c r="X228" s="344"/>
      <c r="AF228" s="276">
        <f t="shared" si="17"/>
        <v>67.5</v>
      </c>
      <c r="AG228" s="276">
        <f t="shared" si="13"/>
        <v>0</v>
      </c>
      <c r="AH228" s="276">
        <f t="shared" si="14"/>
        <v>0</v>
      </c>
      <c r="AI228" s="283">
        <f t="shared" si="15"/>
        <v>0</v>
      </c>
    </row>
    <row r="229" spans="1:35" x14ac:dyDescent="0.25">
      <c r="A229" s="336">
        <f>'Profits 2016'!A5439</f>
        <v>0</v>
      </c>
      <c r="B229" s="341">
        <f>'Profits 2016'!B5439</f>
        <v>0</v>
      </c>
      <c r="C229" s="342">
        <f>'Profits 2016'!H5439</f>
        <v>0</v>
      </c>
      <c r="D229" s="343">
        <f>'Profits 2016'!K5439</f>
        <v>0</v>
      </c>
      <c r="E229" s="342">
        <f>'Profits 2016'!L5439</f>
        <v>12</v>
      </c>
      <c r="F229" s="336" t="str">
        <f>'Profits 2016'!P5439</f>
        <v>Gaffney</v>
      </c>
      <c r="G229" s="335">
        <f>'Profits 2016'!N5439-'Profits 2016'!M5439</f>
        <v>6</v>
      </c>
      <c r="H229" s="335"/>
      <c r="I229" s="336"/>
      <c r="J229" s="337"/>
      <c r="K229" s="337"/>
      <c r="L229" s="337"/>
      <c r="M229" s="335"/>
      <c r="N229" s="338"/>
      <c r="O229" s="344">
        <f>'Profits 2016'!T5439</f>
        <v>0</v>
      </c>
      <c r="P229" s="345">
        <f>'Profits 2016'!U5439</f>
        <v>0</v>
      </c>
      <c r="Q229" s="345"/>
      <c r="R229" s="342"/>
      <c r="S229" s="336"/>
      <c r="T229" s="341"/>
      <c r="U229" s="341"/>
      <c r="V229" s="341"/>
      <c r="W229" s="346"/>
      <c r="X229" s="344"/>
      <c r="AF229" s="276">
        <f t="shared" si="17"/>
        <v>6</v>
      </c>
      <c r="AG229" s="276">
        <f t="shared" si="13"/>
        <v>0</v>
      </c>
      <c r="AH229" s="276">
        <f t="shared" si="14"/>
        <v>0</v>
      </c>
      <c r="AI229" s="283">
        <f t="shared" si="15"/>
        <v>0</v>
      </c>
    </row>
    <row r="230" spans="1:35" x14ac:dyDescent="0.25">
      <c r="A230" s="336">
        <f>'Profits 2016'!A5440</f>
        <v>0</v>
      </c>
      <c r="B230" s="341">
        <f>'Profits 2016'!B5440</f>
        <v>0</v>
      </c>
      <c r="C230" s="342">
        <f>'Profits 2016'!H5440</f>
        <v>0</v>
      </c>
      <c r="D230" s="343">
        <f>'Profits 2016'!K5440</f>
        <v>0</v>
      </c>
      <c r="E230" s="342">
        <f>'Profits 2016'!L5440</f>
        <v>40</v>
      </c>
      <c r="F230" s="336" t="str">
        <f>'Profits 2016'!P5440</f>
        <v>Gaffney</v>
      </c>
      <c r="G230" s="335">
        <f>'Profits 2016'!N5440-'Profits 2016'!M5440</f>
        <v>260</v>
      </c>
      <c r="H230" s="335"/>
      <c r="I230" s="336"/>
      <c r="J230" s="337"/>
      <c r="K230" s="337"/>
      <c r="L230" s="337"/>
      <c r="M230" s="335"/>
      <c r="N230" s="338"/>
      <c r="O230" s="344">
        <f>'Profits 2016'!T5440</f>
        <v>0</v>
      </c>
      <c r="P230" s="345">
        <f>'Profits 2016'!U5440</f>
        <v>0</v>
      </c>
      <c r="Q230" s="345"/>
      <c r="R230" s="342"/>
      <c r="S230" s="336"/>
      <c r="T230" s="341"/>
      <c r="U230" s="341"/>
      <c r="V230" s="341"/>
      <c r="W230" s="346"/>
      <c r="X230" s="344"/>
      <c r="AF230" s="276">
        <f t="shared" si="17"/>
        <v>260</v>
      </c>
      <c r="AG230" s="276">
        <f t="shared" si="13"/>
        <v>0</v>
      </c>
      <c r="AH230" s="276">
        <f t="shared" si="14"/>
        <v>0</v>
      </c>
      <c r="AI230" s="283">
        <f t="shared" si="15"/>
        <v>0</v>
      </c>
    </row>
    <row r="231" spans="1:35" x14ac:dyDescent="0.25">
      <c r="A231" s="336">
        <f>'Profits 2016'!A5441</f>
        <v>0</v>
      </c>
      <c r="B231" s="341">
        <f>'Profits 2016'!B5441</f>
        <v>0</v>
      </c>
      <c r="C231" s="342">
        <f>'Profits 2016'!H5441</f>
        <v>0</v>
      </c>
      <c r="D231" s="343">
        <f>'Profits 2016'!K5441</f>
        <v>0</v>
      </c>
      <c r="E231" s="342">
        <f>'Profits 2016'!L5441</f>
        <v>40</v>
      </c>
      <c r="F231" s="336" t="str">
        <f>'Profits 2016'!P5441</f>
        <v>Gaffney</v>
      </c>
      <c r="G231" s="335">
        <f>'Profits 2016'!N5441-'Profits 2016'!M5441</f>
        <v>0</v>
      </c>
      <c r="H231" s="335"/>
      <c r="I231" s="336"/>
      <c r="J231" s="337"/>
      <c r="K231" s="337"/>
      <c r="L231" s="337"/>
      <c r="M231" s="335"/>
      <c r="N231" s="338"/>
      <c r="O231" s="344">
        <f>'Profits 2016'!T5441</f>
        <v>0</v>
      </c>
      <c r="P231" s="345">
        <f>'Profits 2016'!U5441</f>
        <v>0</v>
      </c>
      <c r="Q231" s="345"/>
      <c r="R231" s="342"/>
      <c r="S231" s="336"/>
      <c r="T231" s="341"/>
      <c r="U231" s="341"/>
      <c r="V231" s="341"/>
      <c r="W231" s="346"/>
      <c r="X231" s="344"/>
      <c r="AF231" s="276">
        <f t="shared" si="17"/>
        <v>0</v>
      </c>
      <c r="AG231" s="276">
        <f t="shared" si="13"/>
        <v>0</v>
      </c>
      <c r="AH231" s="276">
        <f t="shared" si="14"/>
        <v>0</v>
      </c>
      <c r="AI231" s="283" t="e">
        <f t="shared" si="15"/>
        <v>#DIV/0!</v>
      </c>
    </row>
    <row r="232" spans="1:35" x14ac:dyDescent="0.25">
      <c r="A232" s="336">
        <f>'Profits 2016'!A5442</f>
        <v>0</v>
      </c>
      <c r="B232" s="341">
        <f>'Profits 2016'!B5442</f>
        <v>0</v>
      </c>
      <c r="C232" s="342">
        <f>'Profits 2016'!H5442</f>
        <v>0</v>
      </c>
      <c r="D232" s="343">
        <f>'Profits 2016'!K5442</f>
        <v>0</v>
      </c>
      <c r="E232" s="342">
        <f>'Profits 2016'!L5442</f>
        <v>40</v>
      </c>
      <c r="F232" s="336" t="str">
        <f>'Profits 2016'!P5442</f>
        <v>Gaffney</v>
      </c>
      <c r="G232" s="335">
        <f>'Profits 2016'!N5442-'Profits 2016'!M5442</f>
        <v>20</v>
      </c>
      <c r="H232" s="335"/>
      <c r="I232" s="336"/>
      <c r="J232" s="337"/>
      <c r="K232" s="337"/>
      <c r="L232" s="337"/>
      <c r="M232" s="335"/>
      <c r="N232" s="338"/>
      <c r="O232" s="344">
        <f>'Profits 2016'!T5442</f>
        <v>0</v>
      </c>
      <c r="P232" s="345">
        <f>'Profits 2016'!U5442</f>
        <v>0</v>
      </c>
      <c r="Q232" s="345"/>
      <c r="R232" s="342"/>
      <c r="S232" s="336"/>
      <c r="T232" s="341"/>
      <c r="U232" s="341"/>
      <c r="V232" s="341"/>
      <c r="W232" s="346"/>
      <c r="X232" s="344"/>
      <c r="AF232" s="276">
        <f t="shared" si="17"/>
        <v>20</v>
      </c>
      <c r="AG232" s="276">
        <f t="shared" si="13"/>
        <v>0</v>
      </c>
      <c r="AH232" s="276">
        <f t="shared" si="14"/>
        <v>0</v>
      </c>
      <c r="AI232" s="283">
        <f t="shared" si="15"/>
        <v>0</v>
      </c>
    </row>
    <row r="233" spans="1:35" x14ac:dyDescent="0.25">
      <c r="A233" s="336">
        <f>'Profits 2016'!A5443</f>
        <v>0</v>
      </c>
      <c r="B233" s="341">
        <f>'Profits 2016'!B5443</f>
        <v>0</v>
      </c>
      <c r="C233" s="342">
        <f>'Profits 2016'!H5443</f>
        <v>0</v>
      </c>
      <c r="D233" s="343">
        <f>'Profits 2016'!K5443</f>
        <v>0</v>
      </c>
      <c r="E233" s="342">
        <f>'Profits 2016'!L5443</f>
        <v>40</v>
      </c>
      <c r="F233" s="336" t="str">
        <f>'Profits 2016'!P5443</f>
        <v>Gaffney</v>
      </c>
      <c r="G233" s="335">
        <f>'Profits 2016'!N5443-'Profits 2016'!M5443</f>
        <v>40</v>
      </c>
      <c r="H233" s="335"/>
      <c r="I233" s="336"/>
      <c r="J233" s="337"/>
      <c r="K233" s="337"/>
      <c r="L233" s="337"/>
      <c r="M233" s="335"/>
      <c r="N233" s="338"/>
      <c r="O233" s="344">
        <f>'Profits 2016'!T5443</f>
        <v>0</v>
      </c>
      <c r="P233" s="345">
        <f>'Profits 2016'!U5443</f>
        <v>0</v>
      </c>
      <c r="Q233" s="345"/>
      <c r="R233" s="342"/>
      <c r="S233" s="336"/>
      <c r="T233" s="341"/>
      <c r="U233" s="341"/>
      <c r="V233" s="341"/>
      <c r="W233" s="346"/>
      <c r="X233" s="344"/>
      <c r="AF233" s="276">
        <f t="shared" si="17"/>
        <v>40</v>
      </c>
      <c r="AG233" s="276">
        <f t="shared" si="13"/>
        <v>0</v>
      </c>
      <c r="AH233" s="276">
        <f t="shared" si="14"/>
        <v>0</v>
      </c>
      <c r="AI233" s="283">
        <f t="shared" si="15"/>
        <v>0</v>
      </c>
    </row>
    <row r="234" spans="1:35" x14ac:dyDescent="0.25">
      <c r="A234" s="336">
        <f>'Profits 2016'!A5444</f>
        <v>0</v>
      </c>
      <c r="B234" s="341">
        <f>'Profits 2016'!B5444</f>
        <v>0</v>
      </c>
      <c r="C234" s="342">
        <f>'Profits 2016'!H5444</f>
        <v>0</v>
      </c>
      <c r="D234" s="343">
        <f>'Profits 2016'!K5444</f>
        <v>0</v>
      </c>
      <c r="E234" s="342">
        <f>'Profits 2016'!L5444</f>
        <v>40</v>
      </c>
      <c r="F234" s="336" t="str">
        <f>'Profits 2016'!P5444</f>
        <v>Gaffney</v>
      </c>
      <c r="G234" s="335">
        <f>'Profits 2016'!N5444-'Profits 2016'!M5444</f>
        <v>0</v>
      </c>
      <c r="H234" s="335"/>
      <c r="I234" s="336"/>
      <c r="J234" s="337"/>
      <c r="K234" s="337"/>
      <c r="L234" s="337"/>
      <c r="M234" s="335"/>
      <c r="N234" s="338"/>
      <c r="O234" s="344">
        <f>'Profits 2016'!T5444</f>
        <v>0</v>
      </c>
      <c r="P234" s="345">
        <f>'Profits 2016'!U5444</f>
        <v>0</v>
      </c>
      <c r="Q234" s="345"/>
      <c r="R234" s="342"/>
      <c r="S234" s="336"/>
      <c r="T234" s="341"/>
      <c r="U234" s="341"/>
      <c r="V234" s="341"/>
      <c r="W234" s="346"/>
      <c r="X234" s="344"/>
      <c r="AF234" s="276">
        <f t="shared" si="17"/>
        <v>0</v>
      </c>
      <c r="AG234" s="276">
        <f t="shared" si="13"/>
        <v>0</v>
      </c>
      <c r="AH234" s="276">
        <f t="shared" si="14"/>
        <v>0</v>
      </c>
      <c r="AI234" s="283" t="e">
        <f t="shared" si="15"/>
        <v>#DIV/0!</v>
      </c>
    </row>
    <row r="235" spans="1:35" x14ac:dyDescent="0.25">
      <c r="A235" s="336">
        <f>'Profits 2016'!A5445</f>
        <v>0</v>
      </c>
      <c r="B235" s="341">
        <f>'Profits 2016'!B5445</f>
        <v>0</v>
      </c>
      <c r="C235" s="342">
        <f>'Profits 2016'!H5445</f>
        <v>0</v>
      </c>
      <c r="D235" s="343">
        <f>'Profits 2016'!K5445</f>
        <v>0</v>
      </c>
      <c r="E235" s="342">
        <f>'Profits 2016'!L5445</f>
        <v>24</v>
      </c>
      <c r="F235" s="336" t="str">
        <f>'Profits 2016'!P5445</f>
        <v>Gaffney</v>
      </c>
      <c r="G235" s="335">
        <f>'Profits 2016'!N5445-'Profits 2016'!M5445</f>
        <v>48</v>
      </c>
      <c r="H235" s="335"/>
      <c r="I235" s="336"/>
      <c r="J235" s="337"/>
      <c r="K235" s="337"/>
      <c r="L235" s="337"/>
      <c r="M235" s="335"/>
      <c r="N235" s="338"/>
      <c r="O235" s="344">
        <f>'Profits 2016'!T5445</f>
        <v>0</v>
      </c>
      <c r="P235" s="345">
        <f>'Profits 2016'!U5445</f>
        <v>0</v>
      </c>
      <c r="Q235" s="345"/>
      <c r="R235" s="342"/>
      <c r="S235" s="336"/>
      <c r="T235" s="341"/>
      <c r="U235" s="341"/>
      <c r="V235" s="341"/>
      <c r="W235" s="346"/>
      <c r="X235" s="344"/>
      <c r="AF235" s="276">
        <f t="shared" si="17"/>
        <v>48</v>
      </c>
      <c r="AG235" s="276">
        <f t="shared" si="13"/>
        <v>0</v>
      </c>
      <c r="AH235" s="276">
        <f t="shared" si="14"/>
        <v>0</v>
      </c>
      <c r="AI235" s="283">
        <f t="shared" si="15"/>
        <v>0</v>
      </c>
    </row>
    <row r="236" spans="1:35" x14ac:dyDescent="0.25">
      <c r="A236" s="275">
        <f>'Profits 2016'!A5446</f>
        <v>3004289</v>
      </c>
      <c r="B236" s="279">
        <f>'Profits 2016'!B5446</f>
        <v>42625</v>
      </c>
      <c r="C236" s="276">
        <f>'Profits 2016'!H5446</f>
        <v>740</v>
      </c>
      <c r="D236" s="280">
        <f>'Profits 2016'!K5446</f>
        <v>723.42</v>
      </c>
      <c r="E236" s="276">
        <f>'Profits 2016'!L5446</f>
        <v>0</v>
      </c>
      <c r="F236" s="275" t="str">
        <f>'Profits 2016'!P5446</f>
        <v>Nassau</v>
      </c>
      <c r="G236" s="292">
        <f>'Profits 2016'!N5446-'Profits 2016'!M5446</f>
        <v>0</v>
      </c>
      <c r="H236" s="319"/>
      <c r="I236" s="320"/>
      <c r="J236" s="321"/>
      <c r="K236" s="321"/>
      <c r="L236" s="321"/>
      <c r="M236" s="319"/>
      <c r="N236" s="322"/>
      <c r="O236" s="236" t="str">
        <f>'Profits 2016'!T5446</f>
        <v>R&amp;L/DLS</v>
      </c>
      <c r="P236" s="284" t="str">
        <f>'Profits 2016'!U5446</f>
        <v>73049152-5</v>
      </c>
      <c r="Q236" s="284" t="s">
        <v>15742</v>
      </c>
      <c r="R236" s="276">
        <v>114.28</v>
      </c>
      <c r="S236" s="275">
        <v>636728696</v>
      </c>
      <c r="T236" s="279">
        <v>42632</v>
      </c>
      <c r="U236" s="279">
        <v>42636</v>
      </c>
      <c r="V236" s="279">
        <v>42643</v>
      </c>
      <c r="W236" s="293">
        <v>114.28</v>
      </c>
      <c r="X236" s="236">
        <v>9043</v>
      </c>
      <c r="AF236" s="276">
        <f t="shared" si="17"/>
        <v>114.28</v>
      </c>
      <c r="AG236" s="276">
        <f t="shared" si="13"/>
        <v>114.28</v>
      </c>
      <c r="AH236" s="276">
        <f t="shared" si="14"/>
        <v>609.14</v>
      </c>
      <c r="AI236" s="283">
        <f t="shared" si="15"/>
        <v>5.3302415120756033</v>
      </c>
    </row>
    <row r="237" spans="1:35" x14ac:dyDescent="0.25">
      <c r="A237" s="275">
        <f>'Profits 2016'!A5447</f>
        <v>0</v>
      </c>
      <c r="B237" s="279">
        <f>'Profits 2016'!B5447</f>
        <v>0</v>
      </c>
      <c r="C237" s="276">
        <f>'Profits 2016'!H5447</f>
        <v>0</v>
      </c>
      <c r="D237" s="280">
        <f>'Profits 2016'!K5447</f>
        <v>0</v>
      </c>
      <c r="E237" s="276">
        <f>'Profits 2016'!L5447</f>
        <v>0</v>
      </c>
      <c r="F237" s="275" t="str">
        <f>'Profits 2016'!P5447</f>
        <v>Nassau</v>
      </c>
      <c r="G237" s="292">
        <f>'Profits 2016'!N5447-'Profits 2016'!M5447</f>
        <v>0</v>
      </c>
      <c r="H237" s="319"/>
      <c r="I237" s="320"/>
      <c r="J237" s="321"/>
      <c r="K237" s="321"/>
      <c r="L237" s="321"/>
      <c r="M237" s="319"/>
      <c r="N237" s="322"/>
      <c r="O237" s="236">
        <f>'Profits 2016'!T5447</f>
        <v>0</v>
      </c>
      <c r="P237" s="284">
        <f>'Profits 2016'!U5447</f>
        <v>0</v>
      </c>
      <c r="Q237" s="284" t="s">
        <v>15742</v>
      </c>
      <c r="R237" s="276">
        <v>0</v>
      </c>
      <c r="S237" s="275">
        <v>636728696</v>
      </c>
      <c r="T237" s="279">
        <v>42632</v>
      </c>
      <c r="U237" s="279">
        <v>42636</v>
      </c>
      <c r="V237" s="279">
        <v>42643</v>
      </c>
      <c r="W237" s="293">
        <v>0</v>
      </c>
      <c r="X237" s="236">
        <v>9043</v>
      </c>
      <c r="AF237" s="276">
        <f t="shared" si="17"/>
        <v>0</v>
      </c>
      <c r="AG237" s="276">
        <f t="shared" si="13"/>
        <v>0</v>
      </c>
      <c r="AH237" s="276">
        <f t="shared" si="14"/>
        <v>0</v>
      </c>
      <c r="AI237" s="283" t="e">
        <f t="shared" si="15"/>
        <v>#DIV/0!</v>
      </c>
    </row>
    <row r="238" spans="1:35" x14ac:dyDescent="0.25">
      <c r="A238" s="275">
        <f>'Profits 2016'!A5448</f>
        <v>3004290</v>
      </c>
      <c r="B238" s="279">
        <f>'Profits 2016'!B5448</f>
        <v>42625</v>
      </c>
      <c r="C238" s="276">
        <f>'Profits 2016'!H5448</f>
        <v>33563</v>
      </c>
      <c r="D238" s="280">
        <f>'Profits 2016'!K5448</f>
        <v>33563</v>
      </c>
      <c r="E238" s="276">
        <f>'Profits 2016'!L5448</f>
        <v>14000</v>
      </c>
      <c r="F238" s="275" t="str">
        <f>'Profits 2016'!P5448</f>
        <v>ERCO</v>
      </c>
      <c r="G238" s="292">
        <f>'Profits 2016'!N5448-'Profits 2016'!M5448</f>
        <v>11256</v>
      </c>
      <c r="H238" s="292">
        <v>0</v>
      </c>
      <c r="I238" s="275">
        <v>152133</v>
      </c>
      <c r="J238" s="277">
        <v>42625</v>
      </c>
      <c r="K238" s="277">
        <v>42629</v>
      </c>
      <c r="L238" s="277">
        <v>42650</v>
      </c>
      <c r="M238" s="292">
        <v>11256</v>
      </c>
      <c r="N238" s="281">
        <v>9071</v>
      </c>
      <c r="O238" s="344" t="str">
        <f>'Profits 2016'!T5448</f>
        <v>VICTORY</v>
      </c>
      <c r="P238" s="345" t="str">
        <f>'Profits 2016'!U5448</f>
        <v>861253</v>
      </c>
      <c r="Q238" s="345"/>
      <c r="R238" s="342"/>
      <c r="S238" s="336"/>
      <c r="T238" s="341"/>
      <c r="U238" s="341"/>
      <c r="V238" s="341"/>
      <c r="W238" s="346"/>
      <c r="X238" s="344"/>
      <c r="AF238" s="276">
        <f t="shared" si="17"/>
        <v>11256</v>
      </c>
      <c r="AG238" s="276">
        <f t="shared" si="13"/>
        <v>11256</v>
      </c>
      <c r="AH238" s="276">
        <f t="shared" si="14"/>
        <v>22307</v>
      </c>
      <c r="AI238" s="283">
        <f t="shared" si="15"/>
        <v>1.9817874911158493</v>
      </c>
    </row>
    <row r="239" spans="1:35" ht="30" x14ac:dyDescent="0.25">
      <c r="A239" s="275">
        <f>'Profits 2016'!A5449</f>
        <v>0</v>
      </c>
      <c r="B239" s="279">
        <f>'Profits 2016'!B5449</f>
        <v>0</v>
      </c>
      <c r="C239" s="276">
        <f>'Profits 2016'!H5449</f>
        <v>0</v>
      </c>
      <c r="D239" s="280">
        <f>'Profits 2016'!K5449</f>
        <v>0</v>
      </c>
      <c r="E239" s="276">
        <f>'Profits 2016'!L5449</f>
        <v>16520</v>
      </c>
      <c r="F239" s="275" t="str">
        <f>'Profits 2016'!P5449</f>
        <v>Service</v>
      </c>
      <c r="G239" s="292">
        <f>'Profits 2016'!N5449-'Profits 2016'!M5449</f>
        <v>13282.08</v>
      </c>
      <c r="H239" s="292">
        <v>0</v>
      </c>
      <c r="I239" s="275">
        <v>50261316</v>
      </c>
      <c r="J239" s="277">
        <v>42625</v>
      </c>
      <c r="K239" s="277">
        <v>42629</v>
      </c>
      <c r="L239" s="277">
        <v>42650</v>
      </c>
      <c r="M239" s="292">
        <v>13282.08</v>
      </c>
      <c r="N239" s="281">
        <v>9123</v>
      </c>
      <c r="O239" s="236" t="str">
        <f>'Profits 2016'!T5449</f>
        <v>Customer Pick Up</v>
      </c>
      <c r="P239" s="284" t="str">
        <f>'Profits 2016'!U5449</f>
        <v>Customer Pick Up</v>
      </c>
      <c r="R239" s="276">
        <v>0</v>
      </c>
      <c r="AF239" s="276">
        <f t="shared" si="17"/>
        <v>13282.08</v>
      </c>
      <c r="AG239" s="276">
        <f t="shared" si="13"/>
        <v>13282.08</v>
      </c>
      <c r="AH239" s="276">
        <f t="shared" si="14"/>
        <v>-13282.08</v>
      </c>
      <c r="AI239" s="283">
        <f t="shared" si="15"/>
        <v>-1</v>
      </c>
    </row>
    <row r="240" spans="1:35" ht="30" x14ac:dyDescent="0.25">
      <c r="A240" s="275">
        <f>'Profits 2016'!A5450</f>
        <v>3004291</v>
      </c>
      <c r="B240" s="279">
        <f>'Profits 2016'!B5450</f>
        <v>42625</v>
      </c>
      <c r="C240" s="276">
        <f>'Profits 2016'!H5450</f>
        <v>113.4</v>
      </c>
      <c r="D240" s="280">
        <f>'Profits 2016'!K5450</f>
        <v>109.4145</v>
      </c>
      <c r="E240" s="276">
        <f>'Profits 2016'!L5450</f>
        <v>672</v>
      </c>
      <c r="F240" s="275" t="str">
        <f>'Profits 2016'!P5450</f>
        <v>Houston</v>
      </c>
      <c r="G240" s="292">
        <f>'Profits 2016'!N5450-'Profits 2016'!M5450</f>
        <v>50.399999999999991</v>
      </c>
      <c r="H240" s="292">
        <v>0</v>
      </c>
      <c r="I240" s="275">
        <v>30898886</v>
      </c>
      <c r="J240" s="277">
        <v>42627</v>
      </c>
      <c r="K240" s="277">
        <v>42633</v>
      </c>
      <c r="L240" s="277">
        <v>42657</v>
      </c>
      <c r="M240" s="292">
        <v>50.4</v>
      </c>
      <c r="N240" s="281">
        <v>9177</v>
      </c>
      <c r="O240" s="236" t="str">
        <f>'Profits 2016'!T5450</f>
        <v>FEDEX GROUND</v>
      </c>
      <c r="P240" s="284" t="str">
        <f>'Profits 2016'!U5450</f>
        <v>543369480955</v>
      </c>
      <c r="Q240" s="284" t="s">
        <v>314</v>
      </c>
      <c r="R240" s="276">
        <v>21.42</v>
      </c>
      <c r="S240" s="275" t="s">
        <v>15739</v>
      </c>
      <c r="T240" s="279">
        <v>42639</v>
      </c>
      <c r="U240" s="279">
        <v>42646</v>
      </c>
      <c r="V240" s="279">
        <v>42657</v>
      </c>
      <c r="W240" s="293">
        <v>0</v>
      </c>
      <c r="X240" s="236">
        <v>9175</v>
      </c>
      <c r="AF240" s="276">
        <f t="shared" si="17"/>
        <v>72.759999999999991</v>
      </c>
      <c r="AG240" s="276">
        <f t="shared" si="13"/>
        <v>71.819999999999993</v>
      </c>
      <c r="AH240" s="276">
        <f t="shared" si="14"/>
        <v>37.594500000000011</v>
      </c>
      <c r="AI240" s="283">
        <f t="shared" si="15"/>
        <v>0.51669186366135256</v>
      </c>
    </row>
    <row r="241" spans="1:35" ht="30" x14ac:dyDescent="0.25">
      <c r="A241" s="275">
        <f>'Profits 2016'!A5451</f>
        <v>3004292</v>
      </c>
      <c r="B241" s="279">
        <f>'Profits 2016'!B5451</f>
        <v>42625</v>
      </c>
      <c r="C241" s="276">
        <f>'Profits 2016'!H5451</f>
        <v>2616.2800000000002</v>
      </c>
      <c r="D241" s="280">
        <f>'Profits 2016'!K5451</f>
        <v>2558.42184</v>
      </c>
      <c r="E241" s="276">
        <f>'Profits 2016'!L5451</f>
        <v>373</v>
      </c>
      <c r="F241" s="275" t="str">
        <f>'Profits 2016'!P5451</f>
        <v>General</v>
      </c>
      <c r="G241" s="292">
        <f>'Profits 2016'!N5451-'Profits 2016'!M5451</f>
        <v>932.5</v>
      </c>
      <c r="H241" s="292">
        <v>0.94</v>
      </c>
      <c r="I241" s="275">
        <v>3739622</v>
      </c>
      <c r="J241" s="277">
        <v>42626</v>
      </c>
      <c r="K241" s="277">
        <v>42632</v>
      </c>
      <c r="L241" s="277">
        <v>42650</v>
      </c>
      <c r="M241" s="292">
        <v>1296.83</v>
      </c>
      <c r="N241" s="281">
        <v>9084</v>
      </c>
      <c r="O241" s="236" t="str">
        <f>'Profits 2016'!T5451</f>
        <v>PITT OHIO/DLS</v>
      </c>
      <c r="P241" s="284" t="str">
        <f>'Profits 2016'!U5451</f>
        <v xml:space="preserve">5011218406	</v>
      </c>
      <c r="Q241" s="284" t="s">
        <v>15741</v>
      </c>
      <c r="R241" s="276">
        <v>67.48</v>
      </c>
      <c r="S241" s="275">
        <v>3739622</v>
      </c>
      <c r="T241" s="277">
        <v>42626</v>
      </c>
      <c r="U241" s="277">
        <v>42632</v>
      </c>
      <c r="V241" s="279">
        <v>42650</v>
      </c>
      <c r="W241" s="293">
        <v>67.48</v>
      </c>
      <c r="X241" s="236">
        <v>9084</v>
      </c>
      <c r="AF241" s="276">
        <f t="shared" si="17"/>
        <v>1000.4300000000001</v>
      </c>
      <c r="AG241" s="276">
        <f t="shared" si="13"/>
        <v>1364.31</v>
      </c>
      <c r="AH241" s="276">
        <f t="shared" si="14"/>
        <v>1194.11184</v>
      </c>
      <c r="AI241" s="283">
        <f t="shared" si="15"/>
        <v>1.1935985926051798</v>
      </c>
    </row>
    <row r="242" spans="1:35" x14ac:dyDescent="0.25">
      <c r="A242" s="275">
        <f>'Profits 2016'!A5452</f>
        <v>0</v>
      </c>
      <c r="B242" s="279">
        <f>'Profits 2016'!B5452</f>
        <v>0</v>
      </c>
      <c r="C242" s="276">
        <f>'Profits 2016'!H5452</f>
        <v>0</v>
      </c>
      <c r="D242" s="280">
        <f>'Profits 2016'!K5452</f>
        <v>0</v>
      </c>
      <c r="E242" s="276">
        <f>'Profits 2016'!L5452</f>
        <v>2257.37</v>
      </c>
      <c r="F242" s="275" t="str">
        <f>'Profits 2016'!P5452</f>
        <v>General</v>
      </c>
      <c r="G242" s="292">
        <f>'Profits 2016'!N5452-'Profits 2016'!M5452</f>
        <v>320.54653999999999</v>
      </c>
      <c r="H242" s="292">
        <v>0.45</v>
      </c>
      <c r="I242" s="275">
        <v>3739622</v>
      </c>
      <c r="J242" s="277">
        <v>42626</v>
      </c>
      <c r="K242" s="277">
        <v>42632</v>
      </c>
      <c r="L242" s="277">
        <v>42650</v>
      </c>
      <c r="M242" s="292">
        <v>0</v>
      </c>
      <c r="N242" s="281">
        <v>9084</v>
      </c>
      <c r="O242" s="236">
        <f>'Profits 2016'!T5452</f>
        <v>0</v>
      </c>
      <c r="P242" s="284">
        <f>'Profits 2016'!U5452</f>
        <v>0</v>
      </c>
      <c r="Q242" s="284" t="s">
        <v>15741</v>
      </c>
      <c r="R242" s="276">
        <v>0</v>
      </c>
      <c r="S242" s="275">
        <v>3739622</v>
      </c>
      <c r="T242" s="277">
        <v>42626</v>
      </c>
      <c r="U242" s="277">
        <v>42632</v>
      </c>
      <c r="AF242" s="276">
        <f t="shared" si="17"/>
        <v>320.54653999999999</v>
      </c>
      <c r="AG242" s="276">
        <f t="shared" si="13"/>
        <v>0</v>
      </c>
      <c r="AH242" s="276">
        <f t="shared" si="14"/>
        <v>0</v>
      </c>
      <c r="AI242" s="283">
        <f t="shared" si="15"/>
        <v>0</v>
      </c>
    </row>
    <row r="243" spans="1:35" ht="30" customHeight="1" x14ac:dyDescent="0.25">
      <c r="A243" s="275">
        <f>'Profits 2016'!A5453</f>
        <v>3004293</v>
      </c>
      <c r="B243" s="279">
        <f>'Profits 2016'!B5453</f>
        <v>42625</v>
      </c>
      <c r="C243" s="276">
        <f>'Profits 2016'!H5453</f>
        <v>280</v>
      </c>
      <c r="D243" s="280">
        <f>'Profits 2016'!K5453</f>
        <v>274.38</v>
      </c>
      <c r="E243" s="276">
        <f>'Profits 2016'!L5453</f>
        <v>300</v>
      </c>
      <c r="F243" s="275" t="str">
        <f>'Profits 2016'!P5453</f>
        <v>Nassau</v>
      </c>
      <c r="G243" s="292">
        <f>'Profits 2016'!N5453-'Profits 2016'!M5453</f>
        <v>150</v>
      </c>
      <c r="H243" s="319"/>
      <c r="I243" s="320"/>
      <c r="J243" s="321"/>
      <c r="K243" s="321"/>
      <c r="L243" s="321"/>
      <c r="M243" s="319"/>
      <c r="N243" s="322"/>
      <c r="O243" s="236" t="str">
        <f>'Profits 2016'!T5453</f>
        <v>FEDEX GROUND</v>
      </c>
      <c r="P243" s="284" t="str">
        <f>'Profits 2016'!U5453</f>
        <v>680483359961 680483359972</v>
      </c>
      <c r="Q243" s="284" t="s">
        <v>314</v>
      </c>
      <c r="R243" s="276">
        <f>23.4+23.4</f>
        <v>46.8</v>
      </c>
      <c r="S243" s="275" t="s">
        <v>15759</v>
      </c>
      <c r="T243" s="279" t="s">
        <v>15755</v>
      </c>
      <c r="U243" s="279" t="s">
        <v>15756</v>
      </c>
      <c r="V243" s="279">
        <v>42657</v>
      </c>
      <c r="W243" s="293">
        <v>0</v>
      </c>
      <c r="X243" s="236">
        <v>9175</v>
      </c>
      <c r="AF243" s="276">
        <f t="shared" si="17"/>
        <v>196.8</v>
      </c>
      <c r="AG243" s="276">
        <f t="shared" si="13"/>
        <v>46.8</v>
      </c>
      <c r="AH243" s="276">
        <f t="shared" si="14"/>
        <v>227.57999999999998</v>
      </c>
      <c r="AI243" s="283">
        <f t="shared" si="15"/>
        <v>1.1564024390243901</v>
      </c>
    </row>
    <row r="244" spans="1:35" x14ac:dyDescent="0.25">
      <c r="A244" s="275">
        <f>'Profits 2016'!A5454</f>
        <v>3004294</v>
      </c>
      <c r="B244" s="279">
        <f>'Profits 2016'!B5454</f>
        <v>42625</v>
      </c>
      <c r="C244" s="276">
        <f>'Profits 2016'!H5454</f>
        <v>1005</v>
      </c>
      <c r="D244" s="280">
        <f>'Profits 2016'!K5454</f>
        <v>1027.4100000000001</v>
      </c>
      <c r="E244" s="276">
        <f>'Profits 2016'!L5454</f>
        <v>411</v>
      </c>
      <c r="F244" s="275" t="str">
        <f>'Profits 2016'!P5454</f>
        <v>Nexans</v>
      </c>
      <c r="G244" s="292">
        <f>'Profits 2016'!N5454-'Profits 2016'!M5454</f>
        <v>616.5</v>
      </c>
      <c r="H244" s="292">
        <v>0</v>
      </c>
      <c r="I244" s="275">
        <v>47331002</v>
      </c>
      <c r="J244" s="277">
        <v>42635</v>
      </c>
      <c r="K244" s="277">
        <v>42641</v>
      </c>
      <c r="L244" s="277">
        <v>42650</v>
      </c>
      <c r="M244" s="292">
        <v>712.58</v>
      </c>
      <c r="N244" s="281">
        <v>9106</v>
      </c>
      <c r="O244" s="236" t="str">
        <f>'Profits 2016'!T5454</f>
        <v>NEMF</v>
      </c>
      <c r="P244" s="284">
        <f>'Profits 2016'!U5454</f>
        <v>23922346</v>
      </c>
      <c r="Q244" s="284" t="s">
        <v>15760</v>
      </c>
      <c r="R244" s="276">
        <v>108.41</v>
      </c>
      <c r="S244" s="275">
        <v>47331002</v>
      </c>
      <c r="T244" s="279">
        <v>42635</v>
      </c>
      <c r="U244" s="279">
        <v>42641</v>
      </c>
      <c r="AF244" s="276">
        <f t="shared" si="17"/>
        <v>724.91</v>
      </c>
      <c r="AG244" s="276">
        <f t="shared" si="13"/>
        <v>820.99</v>
      </c>
      <c r="AH244" s="276">
        <f t="shared" si="14"/>
        <v>206.42000000000007</v>
      </c>
      <c r="AI244" s="283">
        <f t="shared" si="15"/>
        <v>0.2847525899766869</v>
      </c>
    </row>
    <row r="245" spans="1:35" ht="30" x14ac:dyDescent="0.25">
      <c r="A245" s="275">
        <f>'Profits 2016'!A5455</f>
        <v>3004295</v>
      </c>
      <c r="B245" s="279">
        <f>'Profits 2016'!B5455</f>
        <v>42625</v>
      </c>
      <c r="C245" s="276">
        <f>'Profits 2016'!H5455</f>
        <v>142.75</v>
      </c>
      <c r="D245" s="280">
        <f>'Profits 2016'!K5455</f>
        <v>126.89025000000001</v>
      </c>
      <c r="E245" s="276">
        <f>'Profits 2016'!L5455</f>
        <v>0</v>
      </c>
      <c r="F245" s="275" t="str">
        <f>'Profits 2016'!P5455</f>
        <v>Nassau</v>
      </c>
      <c r="G245" s="292">
        <f>'Profits 2016'!N5455-'Profits 2016'!M5455</f>
        <v>0</v>
      </c>
      <c r="H245" s="319"/>
      <c r="I245" s="320"/>
      <c r="J245" s="321"/>
      <c r="K245" s="321"/>
      <c r="L245" s="321"/>
      <c r="M245" s="319"/>
      <c r="N245" s="322"/>
      <c r="O245" s="236" t="str">
        <f>'Profits 2016'!T5455</f>
        <v>FEDEX GROUND</v>
      </c>
      <c r="P245" s="284" t="str">
        <f>'Profits 2016'!U5455</f>
        <v xml:space="preserve">	680483359983</v>
      </c>
      <c r="Q245" s="284" t="s">
        <v>314</v>
      </c>
      <c r="R245" s="276">
        <v>12.5</v>
      </c>
      <c r="S245" s="275" t="s">
        <v>15739</v>
      </c>
      <c r="T245" s="279">
        <v>42639</v>
      </c>
      <c r="U245" s="279">
        <v>42646</v>
      </c>
      <c r="V245" s="279">
        <v>42657</v>
      </c>
      <c r="W245" s="293">
        <v>0</v>
      </c>
      <c r="X245" s="236">
        <v>9175</v>
      </c>
      <c r="AF245" s="276">
        <f t="shared" si="17"/>
        <v>12.5</v>
      </c>
      <c r="AG245" s="276">
        <f t="shared" si="13"/>
        <v>12.5</v>
      </c>
      <c r="AH245" s="276">
        <f t="shared" si="14"/>
        <v>114.39025000000001</v>
      </c>
      <c r="AI245" s="283">
        <f t="shared" si="15"/>
        <v>9.1512200000000004</v>
      </c>
    </row>
    <row r="246" spans="1:35" ht="30" x14ac:dyDescent="0.25">
      <c r="A246" s="275">
        <f>'Profits 2016'!A5456</f>
        <v>3004296</v>
      </c>
      <c r="B246" s="279">
        <f>'Profits 2016'!B5456</f>
        <v>42625</v>
      </c>
      <c r="C246" s="276">
        <f>'Profits 2016'!H5456</f>
        <v>213.77</v>
      </c>
      <c r="D246" s="280">
        <f>'Profits 2016'!K5456</f>
        <v>190.16907000000003</v>
      </c>
      <c r="E246" s="276">
        <f>'Profits 2016'!L5456</f>
        <v>2150</v>
      </c>
      <c r="F246" s="275" t="str">
        <f>'Profits 2016'!P5456</f>
        <v>Nassau</v>
      </c>
      <c r="G246" s="292">
        <f>'Profits 2016'!N5456-'Profits 2016'!M5456</f>
        <v>107.5</v>
      </c>
      <c r="H246" s="319"/>
      <c r="I246" s="320"/>
      <c r="J246" s="321"/>
      <c r="K246" s="321"/>
      <c r="L246" s="321"/>
      <c r="M246" s="319"/>
      <c r="N246" s="322"/>
      <c r="O246" s="236" t="str">
        <f>'Profits 2016'!T5456</f>
        <v>FEDEX GROUND</v>
      </c>
      <c r="P246" s="284">
        <f>'Profits 2016'!U5456</f>
        <v>680483360038</v>
      </c>
      <c r="Q246" s="284" t="s">
        <v>314</v>
      </c>
      <c r="R246" s="276">
        <v>26.19</v>
      </c>
      <c r="S246" s="275" t="s">
        <v>15739</v>
      </c>
      <c r="T246" s="279">
        <v>42639</v>
      </c>
      <c r="U246" s="279">
        <v>42646</v>
      </c>
      <c r="V246" s="279">
        <v>42657</v>
      </c>
      <c r="W246" s="293">
        <v>0</v>
      </c>
      <c r="X246" s="236">
        <v>9175</v>
      </c>
      <c r="AF246" s="276">
        <f t="shared" si="17"/>
        <v>133.69</v>
      </c>
      <c r="AG246" s="276">
        <f t="shared" si="13"/>
        <v>26.19</v>
      </c>
      <c r="AH246" s="276">
        <f t="shared" si="14"/>
        <v>163.97907000000004</v>
      </c>
      <c r="AI246" s="283">
        <f t="shared" si="15"/>
        <v>1.2265619717256342</v>
      </c>
    </row>
    <row r="247" spans="1:35" x14ac:dyDescent="0.25">
      <c r="A247" s="275">
        <f>'Profits 2016'!A5457</f>
        <v>3004297</v>
      </c>
      <c r="B247" s="279">
        <f>'Profits 2016'!B5457</f>
        <v>42625</v>
      </c>
      <c r="C247" s="276">
        <f>'Profits 2016'!H5457</f>
        <v>1336.5</v>
      </c>
      <c r="D247" s="280">
        <f>'Profits 2016'!K5457</f>
        <v>1136.0250000000001</v>
      </c>
      <c r="E247" s="276">
        <f>'Profits 2016'!L5457</f>
        <v>820</v>
      </c>
      <c r="F247" s="275" t="str">
        <f>'Profits 2016'!P5457</f>
        <v>Nexans</v>
      </c>
      <c r="G247" s="292">
        <f>'Profits 2016'!N5457-'Profits 2016'!M5457</f>
        <v>820</v>
      </c>
      <c r="H247" s="292">
        <v>0</v>
      </c>
      <c r="I247" s="275">
        <v>47287202</v>
      </c>
      <c r="J247" s="277">
        <v>42627</v>
      </c>
      <c r="K247" s="277">
        <v>42632</v>
      </c>
      <c r="L247" s="277">
        <v>42650</v>
      </c>
      <c r="M247" s="292">
        <v>803.6</v>
      </c>
      <c r="N247" s="281">
        <v>9101</v>
      </c>
      <c r="O247" s="236" t="str">
        <f>'Profits 2016'!T5457</f>
        <v>R&amp;L/DLS</v>
      </c>
      <c r="P247" s="284" t="str">
        <f>'Profits 2016'!U5457</f>
        <v>I012606255</v>
      </c>
      <c r="Q247" s="284" t="s">
        <v>15742</v>
      </c>
      <c r="R247" s="276">
        <v>139.6</v>
      </c>
      <c r="S247" s="275">
        <v>636737799</v>
      </c>
      <c r="T247" s="279">
        <v>42634</v>
      </c>
      <c r="U247" s="279">
        <v>42639</v>
      </c>
      <c r="V247" s="279">
        <v>42643</v>
      </c>
      <c r="W247" s="293">
        <v>139.6</v>
      </c>
      <c r="X247" s="236">
        <v>9044</v>
      </c>
      <c r="AF247" s="276">
        <f t="shared" si="17"/>
        <v>959.6</v>
      </c>
      <c r="AG247" s="276">
        <f t="shared" si="13"/>
        <v>943.2</v>
      </c>
      <c r="AH247" s="276">
        <f t="shared" si="14"/>
        <v>192.82500000000005</v>
      </c>
      <c r="AI247" s="283">
        <f t="shared" si="15"/>
        <v>0.20094310129220513</v>
      </c>
    </row>
    <row r="248" spans="1:35" x14ac:dyDescent="0.25">
      <c r="A248" s="275">
        <f>'Profits 2016'!A5458</f>
        <v>3004298</v>
      </c>
      <c r="B248" s="279">
        <f>'Profits 2016'!B5458</f>
        <v>42625</v>
      </c>
      <c r="C248" s="276">
        <f>'Profits 2016'!H5458</f>
        <v>6530</v>
      </c>
      <c r="D248" s="280">
        <f>'Profits 2016'!K5458</f>
        <v>6317.4750000000004</v>
      </c>
      <c r="E248" s="276">
        <f>'Profits 2016'!L5458</f>
        <v>1586</v>
      </c>
      <c r="F248" s="275" t="str">
        <f>'Profits 2016'!P5458</f>
        <v>Priority</v>
      </c>
      <c r="G248" s="292">
        <f>'Profits 2016'!N5458-'Profits 2016'!M5458</f>
        <v>4377.3600000000006</v>
      </c>
      <c r="H248" s="292">
        <v>0</v>
      </c>
      <c r="I248" s="275">
        <v>1054962</v>
      </c>
      <c r="J248" s="277">
        <v>42626</v>
      </c>
      <c r="K248" s="277">
        <v>42633</v>
      </c>
      <c r="L248" s="277">
        <v>42650</v>
      </c>
      <c r="M248" s="292">
        <v>4924.5200000000004</v>
      </c>
      <c r="N248" s="281">
        <v>9143</v>
      </c>
      <c r="O248" s="236" t="e">
        <f>'Profits 2016'!#REF!</f>
        <v>#REF!</v>
      </c>
      <c r="P248" s="284" t="e">
        <f>'Profits 2016'!#REF!</f>
        <v>#REF!</v>
      </c>
      <c r="Q248" s="284" t="s">
        <v>15740</v>
      </c>
      <c r="R248" s="276">
        <v>0</v>
      </c>
      <c r="S248" s="275">
        <v>1054962</v>
      </c>
      <c r="T248" s="277">
        <v>42626</v>
      </c>
      <c r="U248" s="277">
        <v>42633</v>
      </c>
      <c r="AF248" s="276">
        <f t="shared" si="17"/>
        <v>4377.3600000000006</v>
      </c>
      <c r="AG248" s="276">
        <f t="shared" si="13"/>
        <v>4924.5200000000004</v>
      </c>
      <c r="AH248" s="276">
        <f t="shared" si="14"/>
        <v>1392.9549999999999</v>
      </c>
      <c r="AI248" s="283">
        <f t="shared" si="15"/>
        <v>0.31821805837308326</v>
      </c>
    </row>
    <row r="249" spans="1:35" x14ac:dyDescent="0.25">
      <c r="A249" s="275">
        <f>'Profits 2016'!A5459</f>
        <v>0</v>
      </c>
      <c r="B249" s="279">
        <f>'Profits 2016'!B5459</f>
        <v>0</v>
      </c>
      <c r="C249" s="276">
        <f>'Profits 2016'!H5459</f>
        <v>0</v>
      </c>
      <c r="D249" s="280">
        <f>'Profits 2016'!K5459</f>
        <v>0</v>
      </c>
      <c r="E249" s="276">
        <f>'Profits 2016'!L5459</f>
        <v>323</v>
      </c>
      <c r="F249" s="275" t="str">
        <f>'Profits 2016'!P5459</f>
        <v>Priority</v>
      </c>
      <c r="G249" s="292">
        <f>'Profits 2016'!N5459-'Profits 2016'!M5459</f>
        <v>297.16000000000003</v>
      </c>
      <c r="H249" s="292">
        <v>0</v>
      </c>
      <c r="I249" s="275">
        <v>1054962</v>
      </c>
      <c r="J249" s="277">
        <v>42626</v>
      </c>
      <c r="K249" s="277">
        <v>42633</v>
      </c>
      <c r="L249" s="277">
        <v>42650</v>
      </c>
      <c r="M249" s="292">
        <v>0</v>
      </c>
      <c r="N249" s="281">
        <v>9143</v>
      </c>
      <c r="O249" s="236" t="str">
        <f>'Profits 2016'!T5458</f>
        <v>VOLPE</v>
      </c>
      <c r="P249" s="284">
        <f>'Profits 2016'!U5458</f>
        <v>33284075</v>
      </c>
      <c r="Q249" s="284" t="s">
        <v>15740</v>
      </c>
      <c r="R249" s="276">
        <v>250</v>
      </c>
      <c r="S249" s="275">
        <v>1054962</v>
      </c>
      <c r="T249" s="277">
        <v>42626</v>
      </c>
      <c r="U249" s="277">
        <v>42633</v>
      </c>
      <c r="V249" s="279">
        <v>42650</v>
      </c>
      <c r="W249" s="293">
        <v>250</v>
      </c>
      <c r="X249" s="236">
        <v>9143</v>
      </c>
      <c r="AF249" s="276">
        <f t="shared" si="17"/>
        <v>557.16000000000008</v>
      </c>
      <c r="AG249" s="276">
        <f t="shared" si="13"/>
        <v>250</v>
      </c>
      <c r="AH249" s="276">
        <f t="shared" si="14"/>
        <v>-250</v>
      </c>
      <c r="AI249" s="283">
        <f t="shared" si="15"/>
        <v>-0.44870414243664292</v>
      </c>
    </row>
    <row r="250" spans="1:35" x14ac:dyDescent="0.25">
      <c r="A250" s="275">
        <f>'Profits 2016'!A5460</f>
        <v>3004299</v>
      </c>
      <c r="B250" s="279">
        <f>'Profits 2016'!B5460</f>
        <v>42625</v>
      </c>
      <c r="C250" s="276">
        <f>'Profits 2016'!H5460</f>
        <v>465</v>
      </c>
      <c r="D250" s="280">
        <f>'Profits 2016'!K5460</f>
        <v>454.47</v>
      </c>
      <c r="E250" s="276">
        <f>'Profits 2016'!L5460</f>
        <v>1000</v>
      </c>
      <c r="F250" s="275" t="str">
        <f>'Profits 2016'!P5460</f>
        <v>Priority</v>
      </c>
      <c r="G250" s="292">
        <f>'Profits 2016'!N5460-'Profits 2016'!M5460</f>
        <v>300</v>
      </c>
      <c r="H250" s="292">
        <v>10</v>
      </c>
      <c r="I250" s="275">
        <v>1054731</v>
      </c>
      <c r="J250" s="277">
        <v>42626</v>
      </c>
      <c r="K250" s="277">
        <v>42633</v>
      </c>
      <c r="L250" s="277">
        <v>42650</v>
      </c>
      <c r="M250" s="292">
        <v>310</v>
      </c>
      <c r="N250" s="281">
        <v>9116</v>
      </c>
      <c r="O250" s="236" t="str">
        <f>'Profits 2016'!T5460</f>
        <v>NA</v>
      </c>
      <c r="P250" s="284">
        <f>'Profits 2016'!U5460</f>
        <v>0</v>
      </c>
      <c r="R250" s="276">
        <v>0</v>
      </c>
      <c r="AF250" s="276">
        <f t="shared" si="17"/>
        <v>300</v>
      </c>
      <c r="AG250" s="276">
        <f t="shared" si="13"/>
        <v>310</v>
      </c>
      <c r="AH250" s="276">
        <f t="shared" si="14"/>
        <v>144.47000000000003</v>
      </c>
      <c r="AI250" s="283">
        <f t="shared" si="15"/>
        <v>0.48156666666666675</v>
      </c>
    </row>
    <row r="251" spans="1:35" ht="30" x14ac:dyDescent="0.25">
      <c r="A251" s="275">
        <f>'Profits 2016'!A5461</f>
        <v>3004300</v>
      </c>
      <c r="B251" s="279">
        <f>'Profits 2016'!B5461</f>
        <v>42625</v>
      </c>
      <c r="C251" s="276">
        <f>'Profits 2016'!H5461</f>
        <v>653.28</v>
      </c>
      <c r="D251" s="280">
        <f>'Profits 2016'!K5461</f>
        <v>638.60784000000001</v>
      </c>
      <c r="E251" s="276">
        <f>'Profits 2016'!L5461</f>
        <v>0</v>
      </c>
      <c r="F251" s="275" t="str">
        <f>'Profits 2016'!P5461</f>
        <v>Nassau</v>
      </c>
      <c r="G251" s="292">
        <f>'Profits 2016'!N5461-'Profits 2016'!M5461</f>
        <v>0</v>
      </c>
      <c r="H251" s="319"/>
      <c r="I251" s="320"/>
      <c r="J251" s="321"/>
      <c r="K251" s="321"/>
      <c r="L251" s="321"/>
      <c r="M251" s="319"/>
      <c r="N251" s="322"/>
      <c r="O251" s="236" t="str">
        <f>'Profits 2016'!T5461</f>
        <v>FEDEX GROUND</v>
      </c>
      <c r="P251" s="284" t="str">
        <f>'Profits 2016'!U5461</f>
        <v xml:space="preserve">	680483360016</v>
      </c>
      <c r="Q251" s="284" t="s">
        <v>314</v>
      </c>
      <c r="R251" s="276">
        <v>46.48</v>
      </c>
      <c r="S251" s="275" t="s">
        <v>15739</v>
      </c>
      <c r="T251" s="279">
        <v>42639</v>
      </c>
      <c r="U251" s="279">
        <v>42646</v>
      </c>
      <c r="V251" s="279">
        <v>42657</v>
      </c>
      <c r="W251" s="293">
        <v>0</v>
      </c>
      <c r="X251" s="236">
        <v>9175</v>
      </c>
      <c r="AF251" s="276">
        <f t="shared" si="17"/>
        <v>46.48</v>
      </c>
      <c r="AG251" s="276">
        <f t="shared" si="13"/>
        <v>46.48</v>
      </c>
      <c r="AH251" s="276">
        <f t="shared" si="14"/>
        <v>592.12783999999999</v>
      </c>
      <c r="AI251" s="283">
        <f t="shared" si="15"/>
        <v>12.739411359724613</v>
      </c>
    </row>
    <row r="252" spans="1:35" ht="30" x14ac:dyDescent="0.25">
      <c r="A252" s="275">
        <f>'Profits 2016'!A5462</f>
        <v>3004301</v>
      </c>
      <c r="B252" s="279">
        <f>'Profits 2016'!B5462</f>
        <v>42626</v>
      </c>
      <c r="C252" s="276">
        <f>'Profits 2016'!H5462</f>
        <v>720</v>
      </c>
      <c r="D252" s="280">
        <f>'Profits 2016'!K5462</f>
        <v>703.86</v>
      </c>
      <c r="E252" s="276">
        <f>'Profits 2016'!L5462</f>
        <v>1079</v>
      </c>
      <c r="F252" s="275" t="str">
        <f>'Profits 2016'!P5462</f>
        <v>Service</v>
      </c>
      <c r="G252" s="292">
        <f>'Profits 2016'!N5462-'Profits 2016'!M5462</f>
        <v>485.55</v>
      </c>
      <c r="H252" s="292">
        <v>0</v>
      </c>
      <c r="I252" s="275">
        <v>50261451</v>
      </c>
      <c r="J252" s="277">
        <v>42626</v>
      </c>
      <c r="K252" s="277">
        <v>42633</v>
      </c>
      <c r="L252" s="277">
        <v>42650</v>
      </c>
      <c r="M252" s="292">
        <v>485.55</v>
      </c>
      <c r="N252" s="281">
        <v>9123</v>
      </c>
      <c r="O252" s="344" t="str">
        <f>'Profits 2016'!T5462</f>
        <v>XPO LOGISTICS</v>
      </c>
      <c r="P252" s="345" t="str">
        <f>'Profits 2016'!U5462</f>
        <v>802237251</v>
      </c>
      <c r="Q252" s="345"/>
      <c r="R252" s="342"/>
      <c r="S252" s="336"/>
      <c r="T252" s="341"/>
      <c r="U252" s="341"/>
      <c r="V252" s="341"/>
      <c r="W252" s="346"/>
      <c r="X252" s="344"/>
      <c r="AF252" s="276">
        <f t="shared" si="17"/>
        <v>485.55</v>
      </c>
      <c r="AG252" s="276">
        <f t="shared" si="13"/>
        <v>485.55</v>
      </c>
      <c r="AH252" s="276">
        <f t="shared" si="14"/>
        <v>218.31</v>
      </c>
      <c r="AI252" s="283">
        <f t="shared" si="15"/>
        <v>0.44961383997528576</v>
      </c>
    </row>
    <row r="253" spans="1:35" x14ac:dyDescent="0.25">
      <c r="A253" s="275">
        <f>'Profits 2016'!A5463</f>
        <v>3004302</v>
      </c>
      <c r="B253" s="279">
        <f>'Profits 2016'!B5463</f>
        <v>42626</v>
      </c>
      <c r="C253" s="276">
        <f>'Profits 2016'!H5463</f>
        <v>590</v>
      </c>
      <c r="D253" s="280">
        <f>'Profits 2016'!K5463</f>
        <v>525.39</v>
      </c>
      <c r="E253" s="276">
        <f>'Profits 2016'!L5463</f>
        <v>1652</v>
      </c>
      <c r="F253" s="275" t="str">
        <f>'Profits 2016'!P5463</f>
        <v>Kalas</v>
      </c>
      <c r="G253" s="292">
        <f>'Profits 2016'!N5463-'Profits 2016'!M5463</f>
        <v>330.40000000000003</v>
      </c>
      <c r="H253" s="292">
        <v>0</v>
      </c>
      <c r="I253" s="275" t="s">
        <v>15761</v>
      </c>
      <c r="J253" s="277">
        <v>42626</v>
      </c>
      <c r="K253" s="277">
        <v>42639</v>
      </c>
      <c r="L253" s="277">
        <v>42643</v>
      </c>
      <c r="M253" s="292">
        <v>323.79000000000002</v>
      </c>
      <c r="N253" s="281">
        <v>9031</v>
      </c>
      <c r="O253" s="344" t="str">
        <f>'Profits 2016'!T5463</f>
        <v>UPS</v>
      </c>
      <c r="P253" s="345" t="str">
        <f>'Profits 2016'!U5463</f>
        <v>1Z16921X0394074280</v>
      </c>
      <c r="Q253" s="345"/>
      <c r="R253" s="342"/>
      <c r="S253" s="336"/>
      <c r="T253" s="341"/>
      <c r="U253" s="341"/>
      <c r="V253" s="341"/>
      <c r="W253" s="346"/>
      <c r="X253" s="344"/>
      <c r="AF253" s="276">
        <f t="shared" si="17"/>
        <v>330.40000000000003</v>
      </c>
      <c r="AG253" s="276">
        <f t="shared" si="13"/>
        <v>323.79000000000002</v>
      </c>
      <c r="AH253" s="276">
        <f t="shared" si="14"/>
        <v>201.59999999999997</v>
      </c>
      <c r="AI253" s="283">
        <f t="shared" si="15"/>
        <v>0.61016949152542355</v>
      </c>
    </row>
    <row r="254" spans="1:35" ht="30" x14ac:dyDescent="0.25">
      <c r="A254" s="275">
        <f>'Profits 2016'!A5464</f>
        <v>3004303</v>
      </c>
      <c r="B254" s="279">
        <f>'Profits 2016'!B5464</f>
        <v>42626</v>
      </c>
      <c r="C254" s="276">
        <f>'Profits 2016'!H5464</f>
        <v>1500</v>
      </c>
      <c r="D254" s="280">
        <f>'Profits 2016'!K5464</f>
        <v>1466.7</v>
      </c>
      <c r="E254" s="276">
        <f>'Profits 2016'!L5464</f>
        <v>7600</v>
      </c>
      <c r="F254" s="275" t="str">
        <f>'Profits 2016'!P5464</f>
        <v>General</v>
      </c>
      <c r="G254" s="292">
        <f>'Profits 2016'!N5464-'Profits 2016'!M5464</f>
        <v>760</v>
      </c>
      <c r="H254" s="292">
        <v>0</v>
      </c>
      <c r="I254" s="275">
        <v>3741954</v>
      </c>
      <c r="J254" s="277">
        <v>42632</v>
      </c>
      <c r="K254" s="277">
        <v>42628</v>
      </c>
      <c r="L254" s="277">
        <v>42650</v>
      </c>
      <c r="M254" s="292">
        <v>846.2</v>
      </c>
      <c r="N254" s="281">
        <v>9142</v>
      </c>
      <c r="O254" s="236" t="str">
        <f>'Profits 2016'!T5464</f>
        <v xml:space="preserve">NEW PENN </v>
      </c>
      <c r="P254" s="284" t="str">
        <f>'Profits 2016'!U5464</f>
        <v xml:space="preserve">	884277831</v>
      </c>
      <c r="Q254" s="284" t="s">
        <v>15741</v>
      </c>
      <c r="R254" s="276">
        <v>101.22</v>
      </c>
      <c r="S254" s="275">
        <v>3741954</v>
      </c>
      <c r="T254" s="277">
        <v>42632</v>
      </c>
      <c r="U254" s="277">
        <v>42628</v>
      </c>
      <c r="V254" s="279">
        <v>42650</v>
      </c>
      <c r="W254" s="293">
        <v>101.22</v>
      </c>
      <c r="X254" s="236">
        <v>9142</v>
      </c>
      <c r="AF254" s="276">
        <f t="shared" si="17"/>
        <v>861.22</v>
      </c>
      <c r="AG254" s="276">
        <f t="shared" si="13"/>
        <v>947.42000000000007</v>
      </c>
      <c r="AH254" s="276">
        <f t="shared" si="14"/>
        <v>519.28</v>
      </c>
      <c r="AI254" s="283">
        <f t="shared" si="15"/>
        <v>0.60295859362299986</v>
      </c>
    </row>
    <row r="255" spans="1:35" ht="30" x14ac:dyDescent="0.25">
      <c r="A255" s="275">
        <f>'Profits 2016'!A5465</f>
        <v>3004304</v>
      </c>
      <c r="B255" s="279">
        <f>'Profits 2016'!B5465</f>
        <v>42626</v>
      </c>
      <c r="C255" s="276">
        <f>'Profits 2016'!H5465</f>
        <v>160.5</v>
      </c>
      <c r="D255" s="280">
        <f>'Profits 2016'!K5465</f>
        <v>136.42500000000001</v>
      </c>
      <c r="E255" s="276">
        <f>'Profits 2016'!L5465</f>
        <v>0</v>
      </c>
      <c r="F255" s="275" t="str">
        <f>'Profits 2016'!P5465</f>
        <v>Thea</v>
      </c>
      <c r="G255" s="292">
        <f>'Profits 2016'!N5465-'Profits 2016'!M5465</f>
        <v>0</v>
      </c>
      <c r="H255" s="319"/>
      <c r="I255" s="320"/>
      <c r="J255" s="321"/>
      <c r="K255" s="321"/>
      <c r="L255" s="321"/>
      <c r="M255" s="319"/>
      <c r="N255" s="322"/>
      <c r="O255" s="347" t="str">
        <f>'Profits 2016'!T5465</f>
        <v>FEDEX GROUND</v>
      </c>
      <c r="P255" s="348" t="str">
        <f>'Profits 2016'!U5465</f>
        <v>675157529856</v>
      </c>
      <c r="Q255" s="348" t="s">
        <v>314</v>
      </c>
      <c r="R255" s="349">
        <v>56.48</v>
      </c>
      <c r="S255" s="332" t="s">
        <v>15738</v>
      </c>
      <c r="T255" s="340">
        <v>42653</v>
      </c>
      <c r="U255" s="340">
        <v>42656</v>
      </c>
      <c r="V255" s="340">
        <v>42664</v>
      </c>
      <c r="W255" s="350">
        <f>R255</f>
        <v>56.48</v>
      </c>
      <c r="X255" s="347">
        <v>9215</v>
      </c>
      <c r="AF255" s="276">
        <f t="shared" si="17"/>
        <v>56.48</v>
      </c>
      <c r="AG255" s="276">
        <f t="shared" si="13"/>
        <v>56.48</v>
      </c>
      <c r="AH255" s="276">
        <f t="shared" si="14"/>
        <v>79.945000000000022</v>
      </c>
      <c r="AI255" s="283">
        <f t="shared" si="15"/>
        <v>1.415456798866856</v>
      </c>
    </row>
    <row r="256" spans="1:35" ht="30" x14ac:dyDescent="0.25">
      <c r="A256" s="275">
        <f>'Profits 2016'!A5466</f>
        <v>3004305</v>
      </c>
      <c r="B256" s="279">
        <f>'Profits 2016'!B5466</f>
        <v>42626</v>
      </c>
      <c r="C256" s="276">
        <f>'Profits 2016'!H5466</f>
        <v>111.16</v>
      </c>
      <c r="D256" s="280">
        <f>'Profits 2016'!K5466</f>
        <v>94.48599999999999</v>
      </c>
      <c r="E256" s="276">
        <f>'Profits 2016'!L5466</f>
        <v>0</v>
      </c>
      <c r="F256" s="275" t="str">
        <f>'Profits 2016'!P5466</f>
        <v>Nassau</v>
      </c>
      <c r="G256" s="292">
        <f>'Profits 2016'!N5466-'Profits 2016'!M5466</f>
        <v>0</v>
      </c>
      <c r="H256" s="319"/>
      <c r="I256" s="320"/>
      <c r="J256" s="321"/>
      <c r="K256" s="321"/>
      <c r="L256" s="321"/>
      <c r="M256" s="319"/>
      <c r="N256" s="322"/>
      <c r="O256" s="236" t="str">
        <f>'Profits 2016'!T5466</f>
        <v>FEDEX GROUND</v>
      </c>
      <c r="P256" s="284" t="str">
        <f>'Profits 2016'!U5466</f>
        <v>680483360060</v>
      </c>
      <c r="Q256" s="284" t="s">
        <v>314</v>
      </c>
      <c r="R256" s="276">
        <v>26.13</v>
      </c>
      <c r="S256" s="275" t="s">
        <v>15744</v>
      </c>
      <c r="T256" s="279">
        <v>42646</v>
      </c>
      <c r="U256" s="279">
        <v>42653</v>
      </c>
      <c r="V256" s="279">
        <v>42657</v>
      </c>
      <c r="W256" s="293">
        <v>0</v>
      </c>
      <c r="X256" s="236">
        <v>9174</v>
      </c>
      <c r="AF256" s="276">
        <f t="shared" si="17"/>
        <v>26.13</v>
      </c>
      <c r="AG256" s="276">
        <f t="shared" si="13"/>
        <v>26.13</v>
      </c>
      <c r="AH256" s="276">
        <f t="shared" si="14"/>
        <v>68.355999999999995</v>
      </c>
      <c r="AI256" s="283">
        <f t="shared" si="15"/>
        <v>2.6159969383849981</v>
      </c>
    </row>
    <row r="257" spans="1:35" x14ac:dyDescent="0.25">
      <c r="A257" s="275">
        <f>'Profits 2016'!A5467</f>
        <v>3004306</v>
      </c>
      <c r="B257" s="279">
        <f>'Profits 2016'!B5467</f>
        <v>42626</v>
      </c>
      <c r="C257" s="276">
        <f>'Profits 2016'!H5467</f>
        <v>540.01</v>
      </c>
      <c r="D257" s="280">
        <f>'Profits 2016'!K5467</f>
        <v>459.00850000000003</v>
      </c>
      <c r="E257" s="276">
        <f>'Profits 2016'!L5467</f>
        <v>0</v>
      </c>
      <c r="F257" s="275" t="str">
        <f>'Profits 2016'!P5467</f>
        <v>Nassau</v>
      </c>
      <c r="G257" s="292">
        <f>'Profits 2016'!N5467-'Profits 2016'!M5467</f>
        <v>0</v>
      </c>
      <c r="H257" s="319"/>
      <c r="I257" s="320"/>
      <c r="J257" s="321"/>
      <c r="K257" s="321"/>
      <c r="L257" s="321"/>
      <c r="M257" s="319"/>
      <c r="N257" s="322"/>
      <c r="O257" s="236" t="str">
        <f>'Profits 2016'!T5467</f>
        <v>XPO/DLS</v>
      </c>
      <c r="P257" s="284" t="str">
        <f>'Profits 2016'!U5467</f>
        <v>521987060</v>
      </c>
      <c r="Q257" s="284" t="s">
        <v>15742</v>
      </c>
      <c r="R257" s="276">
        <v>116.25</v>
      </c>
      <c r="S257" s="275">
        <v>636765106</v>
      </c>
      <c r="T257" s="279">
        <v>42640</v>
      </c>
      <c r="U257" s="279">
        <v>42646</v>
      </c>
      <c r="V257" s="279">
        <v>42650</v>
      </c>
      <c r="W257" s="293">
        <v>116.25</v>
      </c>
      <c r="X257" s="236">
        <v>9121</v>
      </c>
      <c r="AF257" s="276">
        <f t="shared" si="17"/>
        <v>116.25</v>
      </c>
      <c r="AG257" s="276">
        <f t="shared" si="13"/>
        <v>116.25</v>
      </c>
      <c r="AH257" s="276">
        <f t="shared" si="14"/>
        <v>342.75850000000003</v>
      </c>
      <c r="AI257" s="283">
        <f t="shared" si="15"/>
        <v>2.9484602150537635</v>
      </c>
    </row>
    <row r="258" spans="1:35" ht="30" x14ac:dyDescent="0.25">
      <c r="A258" s="275">
        <f>'Profits 2016'!A5468</f>
        <v>3004307</v>
      </c>
      <c r="B258" s="279">
        <f>'Profits 2016'!B5468</f>
        <v>42626</v>
      </c>
      <c r="C258" s="276">
        <f>'Profits 2016'!H5468</f>
        <v>266.48</v>
      </c>
      <c r="D258" s="280">
        <f>'Profits 2016'!K5468</f>
        <v>226.50800000000001</v>
      </c>
      <c r="E258" s="276">
        <f>'Profits 2016'!L5468</f>
        <v>0</v>
      </c>
      <c r="F258" s="275" t="str">
        <f>'Profits 2016'!P5468</f>
        <v>Nassau</v>
      </c>
      <c r="G258" s="292">
        <f>'Profits 2016'!N5468-'Profits 2016'!M5468</f>
        <v>0</v>
      </c>
      <c r="H258" s="319"/>
      <c r="I258" s="320"/>
      <c r="J258" s="321"/>
      <c r="K258" s="321"/>
      <c r="L258" s="321"/>
      <c r="M258" s="319"/>
      <c r="N258" s="322"/>
      <c r="O258" s="236" t="str">
        <f>'Profits 2016'!T5468</f>
        <v>FEDEX GROUND</v>
      </c>
      <c r="P258" s="284" t="str">
        <f>'Profits 2016'!U5468</f>
        <v>680483360050</v>
      </c>
      <c r="Q258" s="284" t="s">
        <v>314</v>
      </c>
      <c r="R258" s="276">
        <v>39.14</v>
      </c>
      <c r="S258" s="275" t="s">
        <v>15739</v>
      </c>
      <c r="T258" s="279">
        <v>42639</v>
      </c>
      <c r="U258" s="279">
        <v>42646</v>
      </c>
      <c r="V258" s="279">
        <v>42657</v>
      </c>
      <c r="W258" s="293">
        <v>0</v>
      </c>
      <c r="X258" s="236">
        <v>9175</v>
      </c>
      <c r="AF258" s="276">
        <f t="shared" si="17"/>
        <v>39.14</v>
      </c>
      <c r="AG258" s="276">
        <f t="shared" si="13"/>
        <v>39.14</v>
      </c>
      <c r="AH258" s="276">
        <f t="shared" si="14"/>
        <v>187.36799999999999</v>
      </c>
      <c r="AI258" s="283">
        <f t="shared" si="15"/>
        <v>4.7871231476750129</v>
      </c>
    </row>
    <row r="259" spans="1:35" ht="30" x14ac:dyDescent="0.25">
      <c r="A259" s="275">
        <f>'Profits 2016'!A5469</f>
        <v>3004308</v>
      </c>
      <c r="B259" s="279">
        <f>'Profits 2016'!B5469</f>
        <v>42626</v>
      </c>
      <c r="C259" s="276">
        <f>'Profits 2016'!H5469</f>
        <v>260</v>
      </c>
      <c r="D259" s="280">
        <f>'Profits 2016'!K5469</f>
        <v>221</v>
      </c>
      <c r="E259" s="276">
        <f>'Profits 2016'!L5469</f>
        <v>0</v>
      </c>
      <c r="F259" s="275" t="str">
        <f>'Profits 2016'!P5469</f>
        <v>Nassau</v>
      </c>
      <c r="G259" s="292">
        <f>'Profits 2016'!N5469-'Profits 2016'!M5469</f>
        <v>0</v>
      </c>
      <c r="H259" s="319"/>
      <c r="I259" s="320"/>
      <c r="J259" s="321"/>
      <c r="K259" s="321"/>
      <c r="L259" s="321"/>
      <c r="M259" s="319"/>
      <c r="N259" s="322"/>
      <c r="O259" s="236" t="str">
        <f>'Profits 2016'!T5469</f>
        <v>FEDEX GROUND</v>
      </c>
      <c r="P259" s="284">
        <f>'Profits 2016'!U5469</f>
        <v>680483360027</v>
      </c>
      <c r="Q259" s="284" t="s">
        <v>314</v>
      </c>
      <c r="R259" s="276">
        <v>35.770000000000003</v>
      </c>
      <c r="S259" s="275" t="s">
        <v>15744</v>
      </c>
      <c r="T259" s="279">
        <v>42646</v>
      </c>
      <c r="U259" s="279">
        <v>42653</v>
      </c>
      <c r="V259" s="279">
        <v>42657</v>
      </c>
      <c r="W259" s="293">
        <v>0</v>
      </c>
      <c r="X259" s="236">
        <v>9174</v>
      </c>
      <c r="AF259" s="276">
        <f t="shared" si="17"/>
        <v>35.770000000000003</v>
      </c>
      <c r="AG259" s="276">
        <f t="shared" ref="AG259:AG322" si="18">M259+R259+Y259</f>
        <v>35.770000000000003</v>
      </c>
      <c r="AH259" s="276">
        <f t="shared" ref="AH259:AH322" si="19">D259-AG259</f>
        <v>185.23</v>
      </c>
      <c r="AI259" s="283">
        <f t="shared" ref="AI259:AI322" si="20">AH259/AF259</f>
        <v>5.1783617556611681</v>
      </c>
    </row>
    <row r="260" spans="1:35" ht="30" x14ac:dyDescent="0.25">
      <c r="A260" s="275">
        <f>'Profits 2016'!A5470</f>
        <v>3004309</v>
      </c>
      <c r="B260" s="279">
        <f>'Profits 2016'!B5470</f>
        <v>42626</v>
      </c>
      <c r="C260" s="276">
        <f>'Profits 2016'!H5470</f>
        <v>193.04</v>
      </c>
      <c r="D260" s="280">
        <f>'Profits 2016'!K5470</f>
        <v>164.084</v>
      </c>
      <c r="E260" s="276">
        <f>'Profits 2016'!L5470</f>
        <v>0</v>
      </c>
      <c r="F260" s="275" t="str">
        <f>'Profits 2016'!P5470</f>
        <v>Nassau</v>
      </c>
      <c r="G260" s="292">
        <f>'Profits 2016'!N5470-'Profits 2016'!M5470</f>
        <v>0</v>
      </c>
      <c r="H260" s="319"/>
      <c r="I260" s="320"/>
      <c r="J260" s="321"/>
      <c r="K260" s="321"/>
      <c r="L260" s="321"/>
      <c r="M260" s="319"/>
      <c r="N260" s="322"/>
      <c r="O260" s="236" t="str">
        <f>'Profits 2016'!T5470</f>
        <v>FEDEX GROUND</v>
      </c>
      <c r="P260" s="284" t="str">
        <f>'Profits 2016'!U5470</f>
        <v>680483360049</v>
      </c>
      <c r="Q260" s="284" t="s">
        <v>314</v>
      </c>
      <c r="R260" s="276">
        <v>22.9</v>
      </c>
      <c r="S260" s="275" t="s">
        <v>15744</v>
      </c>
      <c r="T260" s="279">
        <v>42646</v>
      </c>
      <c r="U260" s="279">
        <v>42653</v>
      </c>
      <c r="V260" s="279">
        <v>42657</v>
      </c>
      <c r="W260" s="293">
        <v>0</v>
      </c>
      <c r="X260" s="236">
        <v>9174</v>
      </c>
      <c r="AF260" s="276">
        <f t="shared" si="17"/>
        <v>22.9</v>
      </c>
      <c r="AG260" s="276">
        <f t="shared" si="18"/>
        <v>22.9</v>
      </c>
      <c r="AH260" s="276">
        <f t="shared" si="19"/>
        <v>141.184</v>
      </c>
      <c r="AI260" s="283">
        <f t="shared" si="20"/>
        <v>6.1652401746724896</v>
      </c>
    </row>
    <row r="261" spans="1:35" ht="30" x14ac:dyDescent="0.25">
      <c r="A261" s="275">
        <f>'Profits 2016'!A5471</f>
        <v>3004310</v>
      </c>
      <c r="B261" s="279">
        <f>'Profits 2016'!B5471</f>
        <v>42626</v>
      </c>
      <c r="C261" s="276">
        <f>'Profits 2016'!H5471</f>
        <v>256.14999999999998</v>
      </c>
      <c r="D261" s="280">
        <f>'Profits 2016'!K5471</f>
        <v>217.72749999999999</v>
      </c>
      <c r="E261" s="276">
        <f>'Profits 2016'!L5471</f>
        <v>0</v>
      </c>
      <c r="F261" s="275" t="str">
        <f>'Profits 2016'!P5471</f>
        <v>Nassau</v>
      </c>
      <c r="G261" s="292">
        <f>'Profits 2016'!N5471-'Profits 2016'!M5471</f>
        <v>0</v>
      </c>
      <c r="H261" s="319"/>
      <c r="I261" s="320"/>
      <c r="J261" s="321"/>
      <c r="K261" s="321"/>
      <c r="L261" s="321"/>
      <c r="M261" s="319"/>
      <c r="N261" s="322"/>
      <c r="O261" s="236" t="str">
        <f>'Profits 2016'!T5471</f>
        <v>FEDEX GROUND</v>
      </c>
      <c r="P261" s="284" t="str">
        <f>'Profits 2016'!U5471</f>
        <v>680483360071</v>
      </c>
      <c r="Q261" s="284" t="s">
        <v>314</v>
      </c>
      <c r="R261" s="276">
        <v>33.81</v>
      </c>
      <c r="S261" s="275" t="s">
        <v>15744</v>
      </c>
      <c r="T261" s="279">
        <v>42646</v>
      </c>
      <c r="U261" s="279">
        <v>42653</v>
      </c>
      <c r="V261" s="279">
        <v>42657</v>
      </c>
      <c r="W261" s="293">
        <v>0</v>
      </c>
      <c r="X261" s="236">
        <v>9174</v>
      </c>
      <c r="AF261" s="276">
        <f t="shared" si="17"/>
        <v>33.81</v>
      </c>
      <c r="AG261" s="276">
        <f t="shared" si="18"/>
        <v>33.81</v>
      </c>
      <c r="AH261" s="276">
        <f t="shared" si="19"/>
        <v>183.91749999999999</v>
      </c>
      <c r="AI261" s="283">
        <f t="shared" si="20"/>
        <v>5.4397367642709247</v>
      </c>
    </row>
    <row r="262" spans="1:35" x14ac:dyDescent="0.25">
      <c r="A262" s="275">
        <f>'Profits 2016'!A5472</f>
        <v>3004311</v>
      </c>
      <c r="B262" s="279">
        <f>'Profits 2016'!B5472</f>
        <v>42626</v>
      </c>
      <c r="C262" s="276">
        <f>'Profits 2016'!H5472</f>
        <v>841.5</v>
      </c>
      <c r="D262" s="280">
        <f>'Profits 2016'!K5472</f>
        <v>715.27499999999998</v>
      </c>
      <c r="E262" s="276">
        <f>'Profits 2016'!L5472</f>
        <v>1100</v>
      </c>
      <c r="F262" s="275" t="str">
        <f>'Profits 2016'!P5472</f>
        <v>Nexans</v>
      </c>
      <c r="G262" s="292">
        <f>'Profits 2016'!N5472-'Profits 2016'!M5472</f>
        <v>550</v>
      </c>
      <c r="H262" s="292">
        <v>0</v>
      </c>
      <c r="I262" s="275">
        <v>47286702</v>
      </c>
      <c r="J262" s="277">
        <v>42627</v>
      </c>
      <c r="K262" s="277">
        <v>42632</v>
      </c>
      <c r="L262" s="277">
        <v>42650</v>
      </c>
      <c r="M262" s="292">
        <v>539</v>
      </c>
      <c r="N262" s="281">
        <v>9102</v>
      </c>
      <c r="O262" s="236" t="str">
        <f>'Profits 2016'!T5472</f>
        <v>XPO/DLS</v>
      </c>
      <c r="P262" s="284" t="str">
        <f>'Profits 2016'!U5472</f>
        <v>594865014</v>
      </c>
      <c r="Q262" s="284" t="s">
        <v>15742</v>
      </c>
      <c r="R262" s="276">
        <v>155.33000000000001</v>
      </c>
      <c r="S262" s="275">
        <v>636765107</v>
      </c>
      <c r="T262" s="279">
        <v>42640</v>
      </c>
      <c r="U262" s="279">
        <v>42646</v>
      </c>
      <c r="V262" s="279">
        <v>42650</v>
      </c>
      <c r="W262" s="293">
        <v>155.33000000000001</v>
      </c>
      <c r="X262" s="236">
        <v>9121</v>
      </c>
      <c r="AF262" s="276">
        <f t="shared" si="17"/>
        <v>705.33</v>
      </c>
      <c r="AG262" s="276">
        <f t="shared" si="18"/>
        <v>694.33</v>
      </c>
      <c r="AH262" s="276">
        <f t="shared" si="19"/>
        <v>20.944999999999936</v>
      </c>
      <c r="AI262" s="283">
        <f t="shared" si="20"/>
        <v>2.9695319921171557E-2</v>
      </c>
    </row>
    <row r="263" spans="1:35" x14ac:dyDescent="0.25">
      <c r="A263" s="275">
        <f>'Profits 2016'!A5473</f>
        <v>3004312</v>
      </c>
      <c r="B263" s="279">
        <f>'Profits 2016'!B5473</f>
        <v>42626</v>
      </c>
      <c r="C263" s="276">
        <f>'Profits 2016'!H5473</f>
        <v>6118.45</v>
      </c>
      <c r="D263" s="280">
        <f>'Profits 2016'!K5473</f>
        <v>5919.3003749999998</v>
      </c>
      <c r="E263" s="276">
        <f>'Profits 2016'!L5473</f>
        <v>1150</v>
      </c>
      <c r="F263" s="275" t="str">
        <f>'Profits 2016'!P5473</f>
        <v>Nexans</v>
      </c>
      <c r="G263" s="292">
        <f>'Profits 2016'!N5473-'Profits 2016'!M5473</f>
        <v>3450</v>
      </c>
      <c r="H263" s="292">
        <v>0</v>
      </c>
      <c r="I263" s="275">
        <v>47285902</v>
      </c>
      <c r="J263" s="277">
        <v>42627</v>
      </c>
      <c r="K263" s="277">
        <v>42632</v>
      </c>
      <c r="L263" s="277">
        <v>42650</v>
      </c>
      <c r="M263" s="292">
        <v>3381</v>
      </c>
      <c r="N263" s="281">
        <v>9100</v>
      </c>
      <c r="O263" s="344" t="str">
        <f>'Profits 2016'!T5473</f>
        <v>duie pyle</v>
      </c>
      <c r="P263" s="345">
        <f>'Profits 2016'!U5473</f>
        <v>340147339</v>
      </c>
      <c r="Q263" s="345"/>
      <c r="R263" s="342"/>
      <c r="S263" s="336"/>
      <c r="T263" s="341"/>
      <c r="U263" s="341"/>
      <c r="V263" s="341"/>
      <c r="W263" s="346"/>
      <c r="X263" s="344"/>
      <c r="AF263" s="276">
        <f t="shared" si="17"/>
        <v>3450</v>
      </c>
      <c r="AG263" s="276">
        <f t="shared" si="18"/>
        <v>3381</v>
      </c>
      <c r="AH263" s="276">
        <f t="shared" si="19"/>
        <v>2538.3003749999998</v>
      </c>
      <c r="AI263" s="283">
        <f t="shared" si="20"/>
        <v>0.73573923913043471</v>
      </c>
    </row>
    <row r="264" spans="1:35" ht="30" x14ac:dyDescent="0.25">
      <c r="A264" s="275">
        <f>'Profits 2016'!A5474</f>
        <v>0</v>
      </c>
      <c r="B264" s="279">
        <f>'Profits 2016'!B5474</f>
        <v>0</v>
      </c>
      <c r="C264" s="276">
        <f>'Profits 2016'!H5474</f>
        <v>0</v>
      </c>
      <c r="D264" s="280">
        <f>'Profits 2016'!K5474</f>
        <v>0</v>
      </c>
      <c r="E264" s="276">
        <f>'Profits 2016'!L5474</f>
        <v>1060</v>
      </c>
      <c r="F264" s="275" t="str">
        <f>'Profits 2016'!P5474</f>
        <v>Nassau</v>
      </c>
      <c r="G264" s="292">
        <f>'Profits 2016'!N5474-'Profits 2016'!M5474</f>
        <v>1643</v>
      </c>
      <c r="H264" s="319"/>
      <c r="I264" s="320"/>
      <c r="J264" s="321"/>
      <c r="K264" s="321"/>
      <c r="L264" s="321"/>
      <c r="M264" s="319"/>
      <c r="N264" s="322"/>
      <c r="O264" s="236" t="str">
        <f>'Profits 2016'!T5474</f>
        <v>PITT OHIO/DLS</v>
      </c>
      <c r="P264" s="284" t="str">
        <f>'Profits 2016'!U5474</f>
        <v>5014094443</v>
      </c>
      <c r="Q264" s="284" t="s">
        <v>15742</v>
      </c>
      <c r="R264" s="276">
        <v>90</v>
      </c>
      <c r="S264" s="275">
        <v>636769492</v>
      </c>
      <c r="T264" s="279">
        <v>42641</v>
      </c>
      <c r="U264" s="279">
        <v>42646</v>
      </c>
      <c r="V264" s="279">
        <v>42650</v>
      </c>
      <c r="W264" s="293">
        <v>90</v>
      </c>
      <c r="X264" s="236">
        <v>9122</v>
      </c>
      <c r="AF264" s="276">
        <f t="shared" si="17"/>
        <v>1733</v>
      </c>
      <c r="AG264" s="276">
        <f t="shared" si="18"/>
        <v>90</v>
      </c>
      <c r="AH264" s="276">
        <f t="shared" si="19"/>
        <v>-90</v>
      </c>
      <c r="AI264" s="283">
        <f t="shared" si="20"/>
        <v>-5.1933064050778993E-2</v>
      </c>
    </row>
    <row r="265" spans="1:35" ht="30" x14ac:dyDescent="0.25">
      <c r="A265" s="275">
        <f>'Profits 2016'!A5475</f>
        <v>3004313</v>
      </c>
      <c r="B265" s="279">
        <f>'Profits 2016'!B5475</f>
        <v>42626</v>
      </c>
      <c r="C265" s="276">
        <f>'Profits 2016'!H5475</f>
        <v>812.25</v>
      </c>
      <c r="D265" s="280">
        <f>'Profits 2016'!K5475</f>
        <v>794.08050000000003</v>
      </c>
      <c r="E265" s="276">
        <f>'Profits 2016'!L5475</f>
        <v>1579</v>
      </c>
      <c r="F265" s="275" t="str">
        <f>'Profits 2016'!P5475</f>
        <v>WireXpress</v>
      </c>
      <c r="G265" s="292">
        <f>'Profits 2016'!N5475-'Profits 2016'!M5475</f>
        <v>394.75</v>
      </c>
      <c r="H265" s="292">
        <v>0</v>
      </c>
      <c r="I265" s="275" t="s">
        <v>15762</v>
      </c>
      <c r="J265" s="277">
        <v>42626</v>
      </c>
      <c r="K265" s="277">
        <v>42633</v>
      </c>
      <c r="L265" s="277">
        <v>42650</v>
      </c>
      <c r="M265" s="292">
        <v>487.84</v>
      </c>
      <c r="N265" s="281">
        <v>9138</v>
      </c>
      <c r="O265" s="344" t="str">
        <f>'Profits 2016'!T5475</f>
        <v>FEDEX GROUND</v>
      </c>
      <c r="P265" s="345" t="str">
        <f>'Profits 2016'!U5475</f>
        <v>440801774494293</v>
      </c>
      <c r="Q265" s="345"/>
      <c r="R265" s="342"/>
      <c r="S265" s="336"/>
      <c r="T265" s="341"/>
      <c r="U265" s="341"/>
      <c r="V265" s="341"/>
      <c r="W265" s="346"/>
      <c r="X265" s="344"/>
      <c r="AF265" s="276">
        <f t="shared" si="17"/>
        <v>394.75</v>
      </c>
      <c r="AG265" s="276">
        <f t="shared" si="18"/>
        <v>487.84</v>
      </c>
      <c r="AH265" s="276">
        <f t="shared" si="19"/>
        <v>306.24050000000005</v>
      </c>
      <c r="AI265" s="283">
        <f t="shared" si="20"/>
        <v>0.77578340721975947</v>
      </c>
    </row>
    <row r="266" spans="1:35" x14ac:dyDescent="0.25">
      <c r="A266" s="275">
        <f>'Profits 2016'!A5476</f>
        <v>0</v>
      </c>
      <c r="B266" s="279">
        <f>'Profits 2016'!B5476</f>
        <v>0</v>
      </c>
      <c r="C266" s="276">
        <f>'Profits 2016'!H5476</f>
        <v>0</v>
      </c>
      <c r="D266" s="280">
        <f>'Profits 2016'!K5476</f>
        <v>0</v>
      </c>
      <c r="E266" s="276">
        <f>'Profits 2016'!L5476</f>
        <v>1052</v>
      </c>
      <c r="F266" s="275" t="str">
        <f>'Profits 2016'!P5476</f>
        <v>WireXpress</v>
      </c>
      <c r="G266" s="292">
        <f>'Profits 2016'!N5476-'Profits 2016'!M5476</f>
        <v>52.6</v>
      </c>
      <c r="H266" s="292">
        <v>0</v>
      </c>
      <c r="I266" s="275" t="s">
        <v>15762</v>
      </c>
      <c r="J266" s="277">
        <v>42626</v>
      </c>
      <c r="K266" s="277">
        <v>42633</v>
      </c>
      <c r="L266" s="277">
        <v>42650</v>
      </c>
      <c r="M266" s="292">
        <v>0</v>
      </c>
      <c r="N266" s="281">
        <v>9138</v>
      </c>
      <c r="O266" s="344">
        <f>'Profits 2016'!T5476</f>
        <v>0</v>
      </c>
      <c r="P266" s="345">
        <f>'Profits 2016'!U5476</f>
        <v>0</v>
      </c>
      <c r="Q266" s="345"/>
      <c r="R266" s="342"/>
      <c r="S266" s="336"/>
      <c r="T266" s="341"/>
      <c r="U266" s="341"/>
      <c r="V266" s="341"/>
      <c r="W266" s="346"/>
      <c r="X266" s="344"/>
      <c r="AF266" s="276">
        <f t="shared" si="17"/>
        <v>62.6</v>
      </c>
      <c r="AG266" s="276">
        <f t="shared" si="18"/>
        <v>0</v>
      </c>
      <c r="AH266" s="276">
        <f t="shared" si="19"/>
        <v>0</v>
      </c>
      <c r="AI266" s="283">
        <f t="shared" si="20"/>
        <v>0</v>
      </c>
    </row>
    <row r="267" spans="1:35" ht="30" x14ac:dyDescent="0.25">
      <c r="A267" s="275">
        <f>'Profits 2016'!A5477</f>
        <v>3004314</v>
      </c>
      <c r="B267" s="279">
        <f>'Profits 2016'!B5477</f>
        <v>42626</v>
      </c>
      <c r="C267" s="276">
        <f>'Profits 2016'!H5477</f>
        <v>110</v>
      </c>
      <c r="D267" s="280">
        <f>'Profits 2016'!K5477</f>
        <v>107.28</v>
      </c>
      <c r="E267" s="276">
        <f>'Profits 2016'!L5477</f>
        <v>1000</v>
      </c>
      <c r="F267" s="275" t="str">
        <f>'Profits 2016'!P5477</f>
        <v>Priority</v>
      </c>
      <c r="G267" s="292">
        <f>'Profits 2016'!N5477-'Profits 2016'!M5477</f>
        <v>70</v>
      </c>
      <c r="H267" s="292">
        <v>10</v>
      </c>
      <c r="I267" s="275">
        <v>1054858</v>
      </c>
      <c r="J267" s="277">
        <v>42626</v>
      </c>
      <c r="K267" s="277">
        <v>42633</v>
      </c>
      <c r="L267" s="277">
        <v>42650</v>
      </c>
      <c r="M267" s="292">
        <v>80</v>
      </c>
      <c r="N267" s="281">
        <v>9116</v>
      </c>
      <c r="O267" s="236" t="str">
        <f>'Profits 2016'!T5477</f>
        <v>Customer Pick Up</v>
      </c>
      <c r="P267" s="284" t="str">
        <f>'Profits 2016'!U5477</f>
        <v>Customer Pick Up</v>
      </c>
      <c r="R267" s="276">
        <v>0</v>
      </c>
      <c r="AF267" s="276">
        <f t="shared" ref="AF267:AF330" si="21">G267+H268+R267+Y267</f>
        <v>70</v>
      </c>
      <c r="AG267" s="276">
        <f t="shared" si="18"/>
        <v>80</v>
      </c>
      <c r="AH267" s="276">
        <f t="shared" si="19"/>
        <v>27.28</v>
      </c>
      <c r="AI267" s="283">
        <f t="shared" si="20"/>
        <v>0.38971428571428574</v>
      </c>
    </row>
    <row r="268" spans="1:35" x14ac:dyDescent="0.25">
      <c r="A268" s="275">
        <f>'Profits 2016'!A5478</f>
        <v>3004315</v>
      </c>
      <c r="B268" s="279">
        <f>'Profits 2016'!B5478</f>
        <v>42626</v>
      </c>
      <c r="C268" s="276">
        <f>'Profits 2016'!H5478</f>
        <v>740</v>
      </c>
      <c r="D268" s="280">
        <f>'Profits 2016'!K5478</f>
        <v>715.65</v>
      </c>
      <c r="E268" s="276">
        <f>'Profits 2016'!L5478</f>
        <v>1000</v>
      </c>
      <c r="F268" s="275" t="str">
        <f>'Profits 2016'!P5478</f>
        <v>Nassau</v>
      </c>
      <c r="G268" s="292">
        <f>'Profits 2016'!N5478-'Profits 2016'!M5478</f>
        <v>400</v>
      </c>
      <c r="H268" s="319"/>
      <c r="I268" s="320"/>
      <c r="J268" s="321"/>
      <c r="K268" s="321"/>
      <c r="L268" s="321"/>
      <c r="M268" s="319"/>
      <c r="N268" s="322"/>
      <c r="O268" s="236" t="str">
        <f>'Profits 2016'!T5478</f>
        <v>XPO/DLS</v>
      </c>
      <c r="P268" s="284" t="str">
        <f>'Profits 2016'!U5478</f>
        <v>521987071</v>
      </c>
      <c r="Q268" s="284" t="s">
        <v>15742</v>
      </c>
      <c r="R268" s="276">
        <v>117.88</v>
      </c>
      <c r="S268" s="275">
        <v>636765108</v>
      </c>
      <c r="T268" s="279">
        <v>42640</v>
      </c>
      <c r="U268" s="279">
        <v>42646</v>
      </c>
      <c r="V268" s="279">
        <v>42650</v>
      </c>
      <c r="W268" s="293">
        <v>117.88</v>
      </c>
      <c r="X268" s="236">
        <v>9121</v>
      </c>
      <c r="AF268" s="276">
        <f t="shared" si="21"/>
        <v>517.88</v>
      </c>
      <c r="AG268" s="276">
        <f t="shared" si="18"/>
        <v>117.88</v>
      </c>
      <c r="AH268" s="276">
        <f t="shared" si="19"/>
        <v>597.77</v>
      </c>
      <c r="AI268" s="283">
        <f t="shared" si="20"/>
        <v>1.154263535954275</v>
      </c>
    </row>
    <row r="269" spans="1:35" ht="30" x14ac:dyDescent="0.25">
      <c r="A269" s="275">
        <f>'Profits 2016'!A5479</f>
        <v>3004316</v>
      </c>
      <c r="B269" s="279">
        <f>'Profits 2016'!B5479</f>
        <v>42626</v>
      </c>
      <c r="C269" s="276">
        <f>'Profits 2016'!H5479</f>
        <v>260</v>
      </c>
      <c r="D269" s="280">
        <f>'Profits 2016'!K5479</f>
        <v>253.98</v>
      </c>
      <c r="E269" s="276">
        <f>'Profits 2016'!L5479</f>
        <v>290</v>
      </c>
      <c r="F269" s="275" t="str">
        <f>'Profits 2016'!P5479</f>
        <v>A-Z</v>
      </c>
      <c r="G269" s="292">
        <f>'Profits 2016'!N5479-'Profits 2016'!M5479</f>
        <v>174</v>
      </c>
      <c r="H269" s="292">
        <v>0</v>
      </c>
      <c r="I269" s="275">
        <v>401282</v>
      </c>
      <c r="J269" s="277">
        <v>42629</v>
      </c>
      <c r="K269" s="277">
        <v>42636</v>
      </c>
      <c r="L269" s="277">
        <v>42671</v>
      </c>
      <c r="M269" s="292">
        <v>174</v>
      </c>
      <c r="N269" s="281">
        <v>9240</v>
      </c>
      <c r="O269" s="236" t="str">
        <f>'Profits 2016'!T5479</f>
        <v>FEDEX GROUND</v>
      </c>
      <c r="P269" s="284" t="str">
        <f>'Profits 2016'!U5479</f>
        <v xml:space="preserve">705687153164
</v>
      </c>
      <c r="Q269" s="284" t="s">
        <v>314</v>
      </c>
      <c r="R269" s="276">
        <v>24.69</v>
      </c>
      <c r="S269" s="275" t="s">
        <v>15739</v>
      </c>
      <c r="T269" s="279">
        <v>42639</v>
      </c>
      <c r="U269" s="279">
        <v>42646</v>
      </c>
      <c r="V269" s="279">
        <v>42657</v>
      </c>
      <c r="W269" s="293">
        <v>0</v>
      </c>
      <c r="X269" s="236">
        <v>9175</v>
      </c>
      <c r="AF269" s="276">
        <f t="shared" si="21"/>
        <v>198.69</v>
      </c>
      <c r="AG269" s="276">
        <f t="shared" si="18"/>
        <v>198.69</v>
      </c>
      <c r="AH269" s="276">
        <f t="shared" si="19"/>
        <v>55.289999999999992</v>
      </c>
      <c r="AI269" s="283">
        <f t="shared" si="20"/>
        <v>0.27827268609391509</v>
      </c>
    </row>
    <row r="270" spans="1:35" x14ac:dyDescent="0.25">
      <c r="A270" s="275">
        <f>'Profits 2016'!A5480</f>
        <v>3004317</v>
      </c>
      <c r="B270" s="279">
        <f>'Profits 2016'!B5480</f>
        <v>42626</v>
      </c>
      <c r="C270" s="276">
        <f>'Profits 2016'!H5480</f>
        <v>360</v>
      </c>
      <c r="D270" s="280">
        <f>'Profits 2016'!K5480</f>
        <v>306</v>
      </c>
      <c r="E270" s="276">
        <f>'Profits 2016'!L5480</f>
        <v>0</v>
      </c>
      <c r="F270" s="275" t="str">
        <f>'Profits 2016'!P5480</f>
        <v>Thea</v>
      </c>
      <c r="G270" s="292">
        <f>'Profits 2016'!N5480-'Profits 2016'!M5480</f>
        <v>0</v>
      </c>
      <c r="H270" s="319"/>
      <c r="I270" s="320"/>
      <c r="J270" s="321"/>
      <c r="K270" s="321"/>
      <c r="L270" s="321"/>
      <c r="M270" s="319"/>
      <c r="N270" s="322"/>
      <c r="O270" s="236" t="str">
        <f>'Profits 2016'!T5480</f>
        <v>R&amp;L/DLS</v>
      </c>
      <c r="P270" s="284" t="str">
        <f>'Profits 2016'!U5480</f>
        <v>44484604-2</v>
      </c>
      <c r="Q270" s="284" t="s">
        <v>15742</v>
      </c>
      <c r="R270" s="276">
        <v>191.04</v>
      </c>
      <c r="S270" s="275">
        <v>636733935</v>
      </c>
      <c r="T270" s="279">
        <v>42633</v>
      </c>
      <c r="U270" s="279">
        <v>42636</v>
      </c>
      <c r="V270" s="279">
        <v>42643</v>
      </c>
      <c r="W270" s="293">
        <v>191.04</v>
      </c>
      <c r="X270" s="236">
        <v>9044</v>
      </c>
      <c r="AF270" s="276">
        <f t="shared" si="21"/>
        <v>191.04</v>
      </c>
      <c r="AG270" s="276">
        <f t="shared" si="18"/>
        <v>191.04</v>
      </c>
      <c r="AH270" s="276">
        <f t="shared" si="19"/>
        <v>114.96000000000001</v>
      </c>
      <c r="AI270" s="283">
        <f t="shared" si="20"/>
        <v>0.60175879396984933</v>
      </c>
    </row>
    <row r="271" spans="1:35" ht="30" x14ac:dyDescent="0.25">
      <c r="A271" s="275">
        <f>'Profits 2016'!A5481</f>
        <v>3004318</v>
      </c>
      <c r="B271" s="279">
        <f>'Profits 2016'!B5481</f>
        <v>42626</v>
      </c>
      <c r="C271" s="276">
        <f>'Profits 2016'!H5481</f>
        <v>579.12</v>
      </c>
      <c r="D271" s="280">
        <f>'Profits 2016'!K5481</f>
        <v>492.25200000000001</v>
      </c>
      <c r="E271" s="276">
        <f>'Profits 2016'!L5481</f>
        <v>0</v>
      </c>
      <c r="F271" s="275" t="str">
        <f>'Profits 2016'!P5481</f>
        <v>Nassau</v>
      </c>
      <c r="G271" s="292">
        <f>'Profits 2016'!N5481-'Profits 2016'!M5481</f>
        <v>0</v>
      </c>
      <c r="H271" s="319"/>
      <c r="I271" s="320"/>
      <c r="J271" s="321"/>
      <c r="K271" s="321"/>
      <c r="L271" s="321"/>
      <c r="M271" s="319"/>
      <c r="N271" s="322"/>
      <c r="O271" s="236" t="str">
        <f>'Profits 2016'!T5481</f>
        <v>FEDEX GROUND</v>
      </c>
      <c r="P271" s="284" t="str">
        <f>'Profits 2016'!U5481</f>
        <v>702723288094, 702723288109, 702723288110</v>
      </c>
      <c r="Q271" s="284" t="s">
        <v>314</v>
      </c>
      <c r="R271" s="276">
        <v>25.77</v>
      </c>
      <c r="S271" s="275" t="s">
        <v>15744</v>
      </c>
      <c r="T271" s="279">
        <v>42646</v>
      </c>
      <c r="U271" s="279">
        <v>42653</v>
      </c>
      <c r="V271" s="279">
        <v>42657</v>
      </c>
      <c r="W271" s="293">
        <v>0</v>
      </c>
      <c r="X271" s="236">
        <v>9174</v>
      </c>
      <c r="Y271" s="276">
        <f>23.44+35.37</f>
        <v>58.81</v>
      </c>
      <c r="Z271" s="236" t="s">
        <v>15744</v>
      </c>
      <c r="AA271" s="279">
        <v>42646</v>
      </c>
      <c r="AB271" s="279">
        <v>42653</v>
      </c>
      <c r="AF271" s="276">
        <f t="shared" si="21"/>
        <v>84.58</v>
      </c>
      <c r="AG271" s="276">
        <f t="shared" si="18"/>
        <v>84.58</v>
      </c>
      <c r="AH271" s="276">
        <f t="shared" si="19"/>
        <v>407.67200000000003</v>
      </c>
      <c r="AI271" s="283">
        <f t="shared" si="20"/>
        <v>4.8199574367462761</v>
      </c>
    </row>
    <row r="272" spans="1:35" ht="30" x14ac:dyDescent="0.25">
      <c r="A272" s="275">
        <f>'Profits 2016'!A5482</f>
        <v>3004319</v>
      </c>
      <c r="B272" s="279">
        <f>'Profits 2016'!B5482</f>
        <v>42626</v>
      </c>
      <c r="C272" s="276">
        <f>'Profits 2016'!H5482</f>
        <v>166.6</v>
      </c>
      <c r="D272" s="280">
        <f>'Profits 2016'!K5482</f>
        <v>141.60999999999999</v>
      </c>
      <c r="E272" s="276">
        <f>'Profits 2016'!L5482</f>
        <v>0</v>
      </c>
      <c r="F272" s="275" t="str">
        <f>'Profits 2016'!P5482</f>
        <v>Nassau</v>
      </c>
      <c r="G272" s="292">
        <f>'Profits 2016'!N5482-'Profits 2016'!M5482</f>
        <v>0</v>
      </c>
      <c r="H272" s="319"/>
      <c r="I272" s="320"/>
      <c r="J272" s="321"/>
      <c r="K272" s="321"/>
      <c r="L272" s="321"/>
      <c r="M272" s="319"/>
      <c r="N272" s="322"/>
      <c r="O272" s="236" t="str">
        <f>'Profits 2016'!T5482</f>
        <v>FEDEX GROUND</v>
      </c>
      <c r="P272" s="284" t="str">
        <f>'Profits 2016'!U5482</f>
        <v>702723288017</v>
      </c>
      <c r="Q272" s="284" t="s">
        <v>314</v>
      </c>
      <c r="R272" s="276">
        <v>24.76</v>
      </c>
      <c r="S272" s="275" t="s">
        <v>15739</v>
      </c>
      <c r="T272" s="279">
        <v>42639</v>
      </c>
      <c r="U272" s="279">
        <v>42646</v>
      </c>
      <c r="V272" s="279">
        <v>42657</v>
      </c>
      <c r="W272" s="293">
        <v>0</v>
      </c>
      <c r="X272" s="236">
        <v>9175</v>
      </c>
      <c r="AF272" s="276">
        <f t="shared" si="21"/>
        <v>24.76</v>
      </c>
      <c r="AG272" s="276">
        <f t="shared" si="18"/>
        <v>24.76</v>
      </c>
      <c r="AH272" s="276">
        <f t="shared" si="19"/>
        <v>116.84999999999998</v>
      </c>
      <c r="AI272" s="283">
        <f t="shared" si="20"/>
        <v>4.7193053311793207</v>
      </c>
    </row>
    <row r="273" spans="1:35" ht="30" x14ac:dyDescent="0.25">
      <c r="A273" s="275">
        <f>'Profits 2016'!A5483</f>
        <v>3004320</v>
      </c>
      <c r="B273" s="279">
        <f>'Profits 2016'!B5483</f>
        <v>42626</v>
      </c>
      <c r="C273" s="276">
        <f>'Profits 2016'!H5483</f>
        <v>107.19</v>
      </c>
      <c r="D273" s="280">
        <f>'Profits 2016'!K5483</f>
        <v>91.111500000000007</v>
      </c>
      <c r="E273" s="276">
        <f>'Profits 2016'!L5483</f>
        <v>217</v>
      </c>
      <c r="F273" s="275" t="str">
        <f>'Profits 2016'!P5483</f>
        <v>Priority</v>
      </c>
      <c r="G273" s="292">
        <f>'Profits 2016'!N5483-'Profits 2016'!M5483</f>
        <v>54.25</v>
      </c>
      <c r="H273" s="292">
        <v>0</v>
      </c>
      <c r="I273" s="275">
        <v>1055170</v>
      </c>
      <c r="J273" s="277">
        <v>42627</v>
      </c>
      <c r="K273" s="277">
        <v>42633</v>
      </c>
      <c r="L273" s="277">
        <v>42657</v>
      </c>
      <c r="M273" s="292">
        <v>54.25</v>
      </c>
      <c r="N273" s="281">
        <v>9203</v>
      </c>
      <c r="O273" s="236" t="str">
        <f>'Profits 2016'!T5483</f>
        <v>FEDEX GROUND</v>
      </c>
      <c r="P273" s="284" t="str">
        <f>'Profits 2016'!U5483</f>
        <v>616712876472</v>
      </c>
      <c r="Q273" s="284" t="s">
        <v>314</v>
      </c>
      <c r="R273" s="276">
        <v>11.02</v>
      </c>
      <c r="S273" s="275" t="s">
        <v>15739</v>
      </c>
      <c r="T273" s="279">
        <v>42639</v>
      </c>
      <c r="U273" s="279">
        <v>42646</v>
      </c>
      <c r="V273" s="279">
        <v>42657</v>
      </c>
      <c r="W273" s="293">
        <v>0</v>
      </c>
      <c r="X273" s="236">
        <v>9175</v>
      </c>
      <c r="AF273" s="276">
        <f t="shared" si="21"/>
        <v>65.27</v>
      </c>
      <c r="AG273" s="276">
        <f t="shared" si="18"/>
        <v>65.27</v>
      </c>
      <c r="AH273" s="276">
        <f t="shared" si="19"/>
        <v>25.841500000000011</v>
      </c>
      <c r="AI273" s="283">
        <f t="shared" si="20"/>
        <v>0.39591696031867646</v>
      </c>
    </row>
    <row r="274" spans="1:35" ht="30" x14ac:dyDescent="0.25">
      <c r="A274" s="275">
        <f>'Profits 2016'!A5484</f>
        <v>3004321</v>
      </c>
      <c r="B274" s="279">
        <f>'Profits 2016'!B5484</f>
        <v>42626</v>
      </c>
      <c r="C274" s="276">
        <f>'Profits 2016'!H5484</f>
        <v>151.25</v>
      </c>
      <c r="D274" s="280">
        <f>'Profits 2016'!K5484</f>
        <v>147.6225</v>
      </c>
      <c r="E274" s="276">
        <f>'Profits 2016'!L5484</f>
        <v>672</v>
      </c>
      <c r="F274" s="275" t="str">
        <f>'Profits 2016'!P5484</f>
        <v>Houston</v>
      </c>
      <c r="G274" s="292">
        <f>'Profits 2016'!N5484-'Profits 2016'!M5484</f>
        <v>84</v>
      </c>
      <c r="H274" s="292">
        <v>0</v>
      </c>
      <c r="I274" s="275">
        <v>30898903</v>
      </c>
      <c r="J274" s="277">
        <v>42627</v>
      </c>
      <c r="K274" s="277">
        <v>42633</v>
      </c>
      <c r="L274" s="277">
        <v>42657</v>
      </c>
      <c r="M274" s="292">
        <v>84</v>
      </c>
      <c r="N274" s="281">
        <v>9177</v>
      </c>
      <c r="O274" s="236" t="str">
        <f>'Profits 2016'!T5484</f>
        <v>FEDEX GROUND</v>
      </c>
      <c r="P274" s="284" t="str">
        <f>'Profits 2016'!U5484</f>
        <v>543369480999</v>
      </c>
      <c r="Q274" s="284" t="s">
        <v>314</v>
      </c>
      <c r="R274" s="276">
        <v>27.96</v>
      </c>
      <c r="S274" s="275" t="s">
        <v>15739</v>
      </c>
      <c r="T274" s="279">
        <v>42639</v>
      </c>
      <c r="U274" s="279">
        <v>42643</v>
      </c>
      <c r="V274" s="279">
        <v>42657</v>
      </c>
      <c r="W274" s="293">
        <v>0</v>
      </c>
      <c r="X274" s="236">
        <v>9175</v>
      </c>
      <c r="AF274" s="276">
        <f t="shared" si="21"/>
        <v>111.96000000000001</v>
      </c>
      <c r="AG274" s="276">
        <f t="shared" si="18"/>
        <v>111.96000000000001</v>
      </c>
      <c r="AH274" s="276">
        <f t="shared" si="19"/>
        <v>35.662499999999994</v>
      </c>
      <c r="AI274" s="283">
        <f t="shared" si="20"/>
        <v>0.31852893890675232</v>
      </c>
    </row>
    <row r="275" spans="1:35" ht="30" x14ac:dyDescent="0.25">
      <c r="A275" s="275">
        <f>'Profits 2016'!A5485</f>
        <v>3004322</v>
      </c>
      <c r="B275" s="279">
        <f>'Profits 2016'!B5485</f>
        <v>42626</v>
      </c>
      <c r="C275" s="276">
        <f>'Profits 2016'!H5485</f>
        <v>110</v>
      </c>
      <c r="D275" s="280">
        <f>'Profits 2016'!K5485</f>
        <v>107.28</v>
      </c>
      <c r="E275" s="276">
        <f>'Profits 2016'!L5485</f>
        <v>750</v>
      </c>
      <c r="F275" s="275" t="str">
        <f>'Profits 2016'!P5485</f>
        <v>A-Z</v>
      </c>
      <c r="G275" s="292">
        <f>'Profits 2016'!N5485-'Profits 2016'!M5485</f>
        <v>18.75</v>
      </c>
      <c r="H275" s="292">
        <v>0</v>
      </c>
      <c r="I275" s="275">
        <v>401086</v>
      </c>
      <c r="J275" s="277">
        <v>42628</v>
      </c>
      <c r="K275" s="277">
        <v>42632</v>
      </c>
      <c r="L275" s="277">
        <v>42671</v>
      </c>
      <c r="M275" s="292">
        <v>18.75</v>
      </c>
      <c r="N275" s="281">
        <v>9239</v>
      </c>
      <c r="O275" s="236" t="str">
        <f>'Profits 2016'!T5485</f>
        <v>FEDEX GROUND</v>
      </c>
      <c r="P275" s="284" t="str">
        <f>'Profits 2016'!U5485</f>
        <v>667087318535</v>
      </c>
      <c r="Q275" s="284" t="s">
        <v>314</v>
      </c>
      <c r="R275" s="276">
        <v>11.36</v>
      </c>
      <c r="S275" s="275" t="s">
        <v>15739</v>
      </c>
      <c r="T275" s="279">
        <v>42639</v>
      </c>
      <c r="U275" s="279">
        <v>42646</v>
      </c>
      <c r="V275" s="279">
        <v>42657</v>
      </c>
      <c r="W275" s="293">
        <v>0</v>
      </c>
      <c r="X275" s="236">
        <v>9175</v>
      </c>
      <c r="AF275" s="276">
        <f t="shared" si="21"/>
        <v>30.11</v>
      </c>
      <c r="AG275" s="276">
        <f t="shared" si="18"/>
        <v>30.11</v>
      </c>
      <c r="AH275" s="276">
        <f t="shared" si="19"/>
        <v>77.17</v>
      </c>
      <c r="AI275" s="283">
        <f t="shared" si="20"/>
        <v>2.5629359016937894</v>
      </c>
    </row>
    <row r="276" spans="1:35" x14ac:dyDescent="0.25">
      <c r="A276" s="275">
        <f>'Profits 2016'!A5486</f>
        <v>0</v>
      </c>
      <c r="B276" s="279">
        <f>'Profits 2016'!B5486</f>
        <v>0</v>
      </c>
      <c r="C276" s="276">
        <f>'Profits 2016'!H5486</f>
        <v>0</v>
      </c>
      <c r="D276" s="280">
        <f>'Profits 2016'!K5486</f>
        <v>0</v>
      </c>
      <c r="E276" s="276">
        <f>'Profits 2016'!L5486</f>
        <v>930</v>
      </c>
      <c r="F276" s="275" t="str">
        <f>'Profits 2016'!P5486</f>
        <v>A-Z</v>
      </c>
      <c r="G276" s="292">
        <f>'Profits 2016'!N5486-'Profits 2016'!M5486</f>
        <v>23.25</v>
      </c>
      <c r="H276" s="292">
        <v>0</v>
      </c>
      <c r="I276" s="275">
        <v>401086</v>
      </c>
      <c r="J276" s="277">
        <v>42628</v>
      </c>
      <c r="K276" s="277">
        <v>42632</v>
      </c>
      <c r="L276" s="277">
        <v>42671</v>
      </c>
      <c r="M276" s="292">
        <v>23.25</v>
      </c>
      <c r="N276" s="281">
        <v>9239</v>
      </c>
      <c r="O276" s="236">
        <f>'Profits 2016'!T5486</f>
        <v>0</v>
      </c>
      <c r="P276" s="284">
        <f>'Profits 2016'!U5486</f>
        <v>0</v>
      </c>
      <c r="R276" s="276">
        <v>0</v>
      </c>
      <c r="AF276" s="276">
        <f t="shared" si="21"/>
        <v>23.25</v>
      </c>
      <c r="AG276" s="276">
        <f t="shared" si="18"/>
        <v>23.25</v>
      </c>
      <c r="AH276" s="276">
        <f t="shared" si="19"/>
        <v>-23.25</v>
      </c>
      <c r="AI276" s="283">
        <f t="shared" si="20"/>
        <v>-1</v>
      </c>
    </row>
    <row r="277" spans="1:35" ht="30" x14ac:dyDescent="0.25">
      <c r="A277" s="275">
        <f>'Profits 2016'!A5487</f>
        <v>3004323</v>
      </c>
      <c r="B277" s="279">
        <f>'Profits 2016'!B5487</f>
        <v>42626</v>
      </c>
      <c r="C277" s="276">
        <f>'Profits 2016'!H5487</f>
        <v>0</v>
      </c>
      <c r="D277" s="280">
        <f>'Profits 2016'!K5487</f>
        <v>0</v>
      </c>
      <c r="E277" s="276">
        <f>'Profits 2016'!L5487</f>
        <v>0</v>
      </c>
      <c r="F277" s="275" t="str">
        <f>'Profits 2016'!P5487</f>
        <v>N/A</v>
      </c>
      <c r="G277" s="292">
        <f>'Profits 2016'!N5487-'Profits 2016'!M5487</f>
        <v>0</v>
      </c>
      <c r="O277" s="236" t="str">
        <f>'Profits 2016'!T5487</f>
        <v>Committed</v>
      </c>
      <c r="P277" s="284">
        <f>'Profits 2016'!U5487</f>
        <v>0</v>
      </c>
      <c r="AF277" s="276">
        <f t="shared" si="21"/>
        <v>0</v>
      </c>
      <c r="AG277" s="276">
        <f t="shared" si="18"/>
        <v>0</v>
      </c>
      <c r="AH277" s="276">
        <f t="shared" si="19"/>
        <v>0</v>
      </c>
      <c r="AI277" s="283" t="e">
        <f t="shared" si="20"/>
        <v>#DIV/0!</v>
      </c>
    </row>
    <row r="278" spans="1:35" ht="30" x14ac:dyDescent="0.25">
      <c r="A278" s="275">
        <f>'Profits 2016'!A5488</f>
        <v>3004324</v>
      </c>
      <c r="B278" s="279">
        <f>'Profits 2016'!B5488</f>
        <v>42627</v>
      </c>
      <c r="C278" s="276">
        <f>'Profits 2016'!H5488</f>
        <v>1098</v>
      </c>
      <c r="D278" s="280">
        <f>'Profits 2016'!K5488</f>
        <v>1073.5440000000001</v>
      </c>
      <c r="E278" s="276">
        <f>'Profits 2016'!L5488</f>
        <v>1200</v>
      </c>
      <c r="F278" s="275" t="str">
        <f>'Profits 2016'!P5488</f>
        <v>Priority</v>
      </c>
      <c r="G278" s="292">
        <f>'Profits 2016'!N5488-'Profits 2016'!M5488</f>
        <v>720</v>
      </c>
      <c r="H278" s="292">
        <v>0</v>
      </c>
      <c r="I278" s="275">
        <v>1056471</v>
      </c>
      <c r="J278" s="277">
        <v>42629</v>
      </c>
      <c r="K278" s="277">
        <v>42636</v>
      </c>
      <c r="L278" s="277">
        <v>42657</v>
      </c>
      <c r="M278" s="292">
        <v>720</v>
      </c>
      <c r="N278" s="281">
        <v>9188</v>
      </c>
      <c r="O278" s="236" t="str">
        <f>'Profits 2016'!T5488</f>
        <v>OAK HARBOR</v>
      </c>
      <c r="P278" s="284">
        <v>21384906</v>
      </c>
      <c r="Q278" s="284" t="s">
        <v>15740</v>
      </c>
      <c r="R278" s="276">
        <v>115</v>
      </c>
      <c r="S278" s="275">
        <v>1056471</v>
      </c>
      <c r="T278" s="279">
        <v>42629</v>
      </c>
      <c r="U278" s="279">
        <v>42636</v>
      </c>
      <c r="V278" s="279">
        <v>42657</v>
      </c>
      <c r="W278" s="293">
        <v>115</v>
      </c>
      <c r="X278" s="236">
        <v>9188</v>
      </c>
      <c r="AF278" s="276">
        <f t="shared" si="21"/>
        <v>835</v>
      </c>
      <c r="AG278" s="276">
        <f t="shared" si="18"/>
        <v>835</v>
      </c>
      <c r="AH278" s="276">
        <f t="shared" si="19"/>
        <v>238.5440000000001</v>
      </c>
      <c r="AI278" s="283">
        <f t="shared" si="20"/>
        <v>0.28568143712574862</v>
      </c>
    </row>
    <row r="279" spans="1:35" x14ac:dyDescent="0.25">
      <c r="A279" s="275">
        <f>'Profits 2016'!A5489</f>
        <v>3004325</v>
      </c>
      <c r="B279" s="279">
        <f>'Profits 2016'!B5489</f>
        <v>42627</v>
      </c>
      <c r="C279" s="276">
        <f>'Profits 2016'!H5489</f>
        <v>4122</v>
      </c>
      <c r="D279" s="280">
        <f>'Profits 2016'!K5489</f>
        <v>4031.0160000000001</v>
      </c>
      <c r="E279" s="276">
        <f>'Profits 2016'!L5489</f>
        <v>4245</v>
      </c>
      <c r="F279" s="275" t="str">
        <f>'Profits 2016'!P5489</f>
        <v>Nexans</v>
      </c>
      <c r="G279" s="292">
        <f>'Profits 2016'!N5489-'Profits 2016'!M5489</f>
        <v>806.55</v>
      </c>
      <c r="H279" s="292">
        <v>0</v>
      </c>
      <c r="I279" s="275">
        <v>47292602</v>
      </c>
      <c r="J279" s="277">
        <v>42628</v>
      </c>
      <c r="K279" s="277">
        <v>42635</v>
      </c>
      <c r="L279" s="277">
        <v>42650</v>
      </c>
      <c r="M279" s="292">
        <v>3398.94</v>
      </c>
      <c r="N279" s="281">
        <v>9103</v>
      </c>
      <c r="O279" s="236" t="str">
        <f>'Profits 2016'!T5489</f>
        <v>NEMF</v>
      </c>
      <c r="P279" s="284">
        <f>'Profits 2016'!U5489</f>
        <v>69788329</v>
      </c>
      <c r="Q279" s="284" t="s">
        <v>15760</v>
      </c>
      <c r="R279" s="276">
        <v>125.25</v>
      </c>
      <c r="S279" s="275">
        <v>47292602</v>
      </c>
      <c r="T279" s="279">
        <v>42628</v>
      </c>
      <c r="U279" s="279">
        <v>42635</v>
      </c>
      <c r="AF279" s="276">
        <f t="shared" si="21"/>
        <v>931.8</v>
      </c>
      <c r="AG279" s="276">
        <f t="shared" si="18"/>
        <v>3524.19</v>
      </c>
      <c r="AH279" s="276">
        <f t="shared" si="19"/>
        <v>506.82600000000002</v>
      </c>
      <c r="AI279" s="283">
        <f t="shared" si="20"/>
        <v>0.54392144236960727</v>
      </c>
    </row>
    <row r="280" spans="1:35" x14ac:dyDescent="0.25">
      <c r="A280" s="275">
        <f>'Profits 2016'!A5490</f>
        <v>0</v>
      </c>
      <c r="B280" s="279">
        <f>'Profits 2016'!B5490</f>
        <v>0</v>
      </c>
      <c r="C280" s="276">
        <f>'Profits 2016'!H5490</f>
        <v>0</v>
      </c>
      <c r="D280" s="280">
        <f>'Profits 2016'!K5490</f>
        <v>0</v>
      </c>
      <c r="E280" s="276">
        <f>'Profits 2016'!L5490</f>
        <v>4245</v>
      </c>
      <c r="F280" s="275" t="str">
        <f>'Profits 2016'!P5490</f>
        <v>Nexans</v>
      </c>
      <c r="G280" s="292">
        <f>'Profits 2016'!N5490-'Profits 2016'!M5490</f>
        <v>806.55</v>
      </c>
      <c r="H280" s="292">
        <v>0</v>
      </c>
      <c r="I280" s="275">
        <v>47292602</v>
      </c>
      <c r="J280" s="277">
        <v>42628</v>
      </c>
      <c r="K280" s="277">
        <v>42635</v>
      </c>
      <c r="L280" s="277">
        <v>42650</v>
      </c>
      <c r="M280" s="292">
        <v>0</v>
      </c>
      <c r="N280" s="281">
        <v>9103</v>
      </c>
      <c r="O280" s="236">
        <f>'Profits 2016'!T5490</f>
        <v>0</v>
      </c>
      <c r="P280" s="284">
        <f>'Profits 2016'!U5490</f>
        <v>0</v>
      </c>
      <c r="Q280" s="284" t="s">
        <v>15760</v>
      </c>
      <c r="R280" s="276">
        <v>0</v>
      </c>
      <c r="S280" s="275">
        <v>47292602</v>
      </c>
      <c r="T280" s="279">
        <v>42628</v>
      </c>
      <c r="U280" s="279">
        <v>42635</v>
      </c>
      <c r="AF280" s="276">
        <f t="shared" si="21"/>
        <v>806.55</v>
      </c>
      <c r="AG280" s="276">
        <f t="shared" si="18"/>
        <v>0</v>
      </c>
      <c r="AH280" s="276">
        <f t="shared" si="19"/>
        <v>0</v>
      </c>
      <c r="AI280" s="283">
        <f t="shared" si="20"/>
        <v>0</v>
      </c>
    </row>
    <row r="281" spans="1:35" x14ac:dyDescent="0.25">
      <c r="A281" s="275">
        <f>'Profits 2016'!A5491</f>
        <v>0</v>
      </c>
      <c r="B281" s="279">
        <f>'Profits 2016'!B5491</f>
        <v>0</v>
      </c>
      <c r="C281" s="276">
        <f>'Profits 2016'!H5491</f>
        <v>0</v>
      </c>
      <c r="D281" s="280">
        <f>'Profits 2016'!K5491</f>
        <v>0</v>
      </c>
      <c r="E281" s="276">
        <f>'Profits 2016'!L5491</f>
        <v>4245</v>
      </c>
      <c r="F281" s="275" t="str">
        <f>'Profits 2016'!P5491</f>
        <v>Nexans</v>
      </c>
      <c r="G281" s="292">
        <f>'Profits 2016'!N5491-'Profits 2016'!M5491</f>
        <v>806.55</v>
      </c>
      <c r="H281" s="292">
        <v>0</v>
      </c>
      <c r="I281" s="275">
        <v>47292602</v>
      </c>
      <c r="J281" s="277">
        <v>42628</v>
      </c>
      <c r="K281" s="277">
        <v>42635</v>
      </c>
      <c r="L281" s="277">
        <v>42650</v>
      </c>
      <c r="M281" s="292">
        <v>0</v>
      </c>
      <c r="N281" s="281">
        <v>9103</v>
      </c>
      <c r="O281" s="236">
        <f>'Profits 2016'!T5491</f>
        <v>0</v>
      </c>
      <c r="P281" s="284">
        <f>'Profits 2016'!U5491</f>
        <v>0</v>
      </c>
      <c r="Q281" s="284" t="s">
        <v>15760</v>
      </c>
      <c r="R281" s="276">
        <v>0</v>
      </c>
      <c r="S281" s="275">
        <v>47292602</v>
      </c>
      <c r="T281" s="279">
        <v>42628</v>
      </c>
      <c r="U281" s="279">
        <v>42635</v>
      </c>
      <c r="AF281" s="276">
        <f t="shared" si="21"/>
        <v>806.55</v>
      </c>
      <c r="AG281" s="276">
        <f t="shared" si="18"/>
        <v>0</v>
      </c>
      <c r="AH281" s="276">
        <f t="shared" si="19"/>
        <v>0</v>
      </c>
      <c r="AI281" s="283">
        <f t="shared" si="20"/>
        <v>0</v>
      </c>
    </row>
    <row r="282" spans="1:35" x14ac:dyDescent="0.25">
      <c r="A282" s="275">
        <f>'Profits 2016'!A5492</f>
        <v>0</v>
      </c>
      <c r="B282" s="279">
        <f>'Profits 2016'!B5492</f>
        <v>0</v>
      </c>
      <c r="C282" s="276">
        <f>'Profits 2016'!H5492</f>
        <v>0</v>
      </c>
      <c r="D282" s="280">
        <f>'Profits 2016'!K5492</f>
        <v>0</v>
      </c>
      <c r="E282" s="276">
        <f>'Profits 2016'!L5492</f>
        <v>4245</v>
      </c>
      <c r="F282" s="275" t="str">
        <f>'Profits 2016'!P5492</f>
        <v>Nexans</v>
      </c>
      <c r="G282" s="292">
        <f>'Profits 2016'!N5492-'Profits 2016'!M5492</f>
        <v>806.55</v>
      </c>
      <c r="H282" s="292">
        <v>0</v>
      </c>
      <c r="I282" s="275">
        <v>47292602</v>
      </c>
      <c r="J282" s="277">
        <v>42628</v>
      </c>
      <c r="K282" s="277">
        <v>42635</v>
      </c>
      <c r="L282" s="277">
        <v>42650</v>
      </c>
      <c r="M282" s="292">
        <v>0</v>
      </c>
      <c r="N282" s="281">
        <v>9103</v>
      </c>
      <c r="O282" s="236">
        <f>'Profits 2016'!T5492</f>
        <v>0</v>
      </c>
      <c r="P282" s="284">
        <f>'Profits 2016'!U5492</f>
        <v>0</v>
      </c>
      <c r="Q282" s="284" t="s">
        <v>15760</v>
      </c>
      <c r="R282" s="276">
        <v>0</v>
      </c>
      <c r="S282" s="275">
        <v>47292602</v>
      </c>
      <c r="T282" s="279">
        <v>42628</v>
      </c>
      <c r="U282" s="279">
        <v>42635</v>
      </c>
      <c r="AF282" s="276">
        <f t="shared" si="21"/>
        <v>806.55</v>
      </c>
      <c r="AG282" s="276">
        <f t="shared" si="18"/>
        <v>0</v>
      </c>
      <c r="AH282" s="276">
        <f t="shared" si="19"/>
        <v>0</v>
      </c>
      <c r="AI282" s="283">
        <f t="shared" si="20"/>
        <v>0</v>
      </c>
    </row>
    <row r="283" spans="1:35" x14ac:dyDescent="0.25">
      <c r="A283" s="275">
        <f>'Profits 2016'!A5493</f>
        <v>0</v>
      </c>
      <c r="B283" s="279">
        <f>'Profits 2016'!B5493</f>
        <v>0</v>
      </c>
      <c r="C283" s="276">
        <f>'Profits 2016'!H5493</f>
        <v>0</v>
      </c>
      <c r="D283" s="280">
        <f>'Profits 2016'!K5493</f>
        <v>0</v>
      </c>
      <c r="E283" s="276">
        <f>'Profits 2016'!L5493</f>
        <v>1143</v>
      </c>
      <c r="F283" s="275" t="str">
        <f>'Profits 2016'!P5493</f>
        <v>Nexans</v>
      </c>
      <c r="G283" s="292">
        <f>'Profits 2016'!N5493-'Profits 2016'!M5493</f>
        <v>114.30000000000001</v>
      </c>
      <c r="H283" s="292">
        <v>0</v>
      </c>
      <c r="I283" s="275">
        <v>47292602</v>
      </c>
      <c r="J283" s="277">
        <v>42628</v>
      </c>
      <c r="K283" s="277">
        <v>42635</v>
      </c>
      <c r="L283" s="277">
        <v>42650</v>
      </c>
      <c r="M283" s="292">
        <v>0</v>
      </c>
      <c r="N283" s="281">
        <v>9103</v>
      </c>
      <c r="O283" s="236">
        <f>'Profits 2016'!T5493</f>
        <v>0</v>
      </c>
      <c r="P283" s="284">
        <f>'Profits 2016'!U5493</f>
        <v>0</v>
      </c>
      <c r="Q283" s="284" t="s">
        <v>15760</v>
      </c>
      <c r="R283" s="276">
        <v>0</v>
      </c>
      <c r="S283" s="275">
        <v>47292602</v>
      </c>
      <c r="T283" s="279">
        <v>42628</v>
      </c>
      <c r="U283" s="279">
        <v>42635</v>
      </c>
      <c r="AF283" s="276">
        <f t="shared" si="21"/>
        <v>114.30000000000001</v>
      </c>
      <c r="AG283" s="276">
        <f t="shared" si="18"/>
        <v>0</v>
      </c>
      <c r="AH283" s="276">
        <f t="shared" si="19"/>
        <v>0</v>
      </c>
      <c r="AI283" s="283">
        <f t="shared" si="20"/>
        <v>0</v>
      </c>
    </row>
    <row r="284" spans="1:35" x14ac:dyDescent="0.25">
      <c r="A284" s="275">
        <f>'Profits 2016'!A5494</f>
        <v>3004326</v>
      </c>
      <c r="B284" s="279">
        <f>'Profits 2016'!B5494</f>
        <v>42627</v>
      </c>
      <c r="C284" s="276">
        <f>'Profits 2016'!H5494</f>
        <v>9085</v>
      </c>
      <c r="D284" s="280">
        <f>'Profits 2016'!K5494</f>
        <v>8884.83</v>
      </c>
      <c r="E284" s="276">
        <f>'Profits 2016'!L5494</f>
        <v>584</v>
      </c>
      <c r="F284" s="275" t="str">
        <f>'Profits 2016'!P5494</f>
        <v>Commodity</v>
      </c>
      <c r="G284" s="292">
        <f>'Profits 2016'!N5494-'Profits 2016'!M5494</f>
        <v>2978.3999999999996</v>
      </c>
      <c r="H284" s="292">
        <v>0</v>
      </c>
      <c r="I284" s="275" t="s">
        <v>15763</v>
      </c>
      <c r="J284" s="277">
        <v>42643</v>
      </c>
      <c r="K284" s="277">
        <v>42649</v>
      </c>
      <c r="L284" s="277">
        <v>42650</v>
      </c>
      <c r="M284" s="292">
        <v>3183.93</v>
      </c>
      <c r="N284" s="281">
        <v>9146</v>
      </c>
      <c r="O284" s="236" t="str">
        <f>'Profits 2016'!T5494</f>
        <v xml:space="preserve">SAIA </v>
      </c>
      <c r="P284" s="284" t="str">
        <f>'Profits 2016'!U5494</f>
        <v>101474725800</v>
      </c>
      <c r="Q284" s="284" t="s">
        <v>15764</v>
      </c>
      <c r="R284" s="276">
        <v>270.51</v>
      </c>
      <c r="S284" s="275" t="s">
        <v>15763</v>
      </c>
      <c r="T284" s="279">
        <v>42643</v>
      </c>
      <c r="U284" s="279">
        <v>42649</v>
      </c>
      <c r="AF284" s="276">
        <f t="shared" si="21"/>
        <v>3248.91</v>
      </c>
      <c r="AG284" s="276">
        <f t="shared" si="18"/>
        <v>3454.4399999999996</v>
      </c>
      <c r="AH284" s="276">
        <f t="shared" si="19"/>
        <v>5430.39</v>
      </c>
      <c r="AI284" s="283">
        <f t="shared" si="20"/>
        <v>1.6714498093206647</v>
      </c>
    </row>
    <row r="285" spans="1:35" ht="30" x14ac:dyDescent="0.25">
      <c r="A285" s="275">
        <f>'Profits 2016'!A5495</f>
        <v>0</v>
      </c>
      <c r="B285" s="279">
        <f>'Profits 2016'!B5495</f>
        <v>0</v>
      </c>
      <c r="C285" s="276">
        <f>'Profits 2016'!H5495</f>
        <v>0</v>
      </c>
      <c r="D285" s="280">
        <f>'Profits 2016'!K5495</f>
        <v>0</v>
      </c>
      <c r="E285" s="276">
        <f>'Profits 2016'!L5495</f>
        <v>806</v>
      </c>
      <c r="F285" s="275" t="str">
        <f>'Profits 2016'!P5495</f>
        <v>Nassau</v>
      </c>
      <c r="G285" s="292">
        <f>'Profits 2016'!N5495-'Profits 2016'!M5495</f>
        <v>2015.0000000000002</v>
      </c>
      <c r="H285" s="319"/>
      <c r="I285" s="320"/>
      <c r="J285" s="321"/>
      <c r="K285" s="321"/>
      <c r="L285" s="321"/>
      <c r="M285" s="319"/>
      <c r="N285" s="322"/>
      <c r="O285" s="236" t="str">
        <f>'Profits 2016'!T5495</f>
        <v>PITT OHIO/DLS</v>
      </c>
      <c r="P285" s="284" t="str">
        <f>'Profits 2016'!U5495</f>
        <v>5014094447</v>
      </c>
      <c r="Q285" s="284" t="s">
        <v>15742</v>
      </c>
      <c r="R285" s="276">
        <v>233.62</v>
      </c>
      <c r="S285" s="275">
        <v>636788742</v>
      </c>
      <c r="T285" s="279">
        <v>42646</v>
      </c>
      <c r="U285" s="279">
        <v>42650</v>
      </c>
      <c r="V285" s="279">
        <v>42657</v>
      </c>
      <c r="W285" s="293">
        <v>233.62</v>
      </c>
      <c r="X285" s="236">
        <v>9193</v>
      </c>
      <c r="AF285" s="276">
        <f t="shared" si="21"/>
        <v>2248.6200000000003</v>
      </c>
      <c r="AG285" s="276">
        <f t="shared" si="18"/>
        <v>233.62</v>
      </c>
      <c r="AH285" s="276">
        <f t="shared" si="19"/>
        <v>-233.62</v>
      </c>
      <c r="AI285" s="283">
        <f t="shared" si="20"/>
        <v>-0.10389483327552008</v>
      </c>
    </row>
    <row r="286" spans="1:35" ht="30" x14ac:dyDescent="0.25">
      <c r="A286" s="275">
        <f>'Profits 2016'!A5496</f>
        <v>0</v>
      </c>
      <c r="B286" s="279">
        <f>'Profits 2016'!B5496</f>
        <v>0</v>
      </c>
      <c r="C286" s="276">
        <f>'Profits 2016'!H5496</f>
        <v>0</v>
      </c>
      <c r="D286" s="280">
        <f>'Profits 2016'!K5496</f>
        <v>0</v>
      </c>
      <c r="E286" s="276">
        <f>'Profits 2016'!L5496</f>
        <v>670</v>
      </c>
      <c r="F286" s="275" t="str">
        <f>'Profits 2016'!P5496</f>
        <v>Thea</v>
      </c>
      <c r="G286" s="292">
        <f>'Profits 2016'!N5496-'Profits 2016'!M5496</f>
        <v>1541.0000000000005</v>
      </c>
      <c r="H286" s="319"/>
      <c r="I286" s="320"/>
      <c r="J286" s="321"/>
      <c r="K286" s="321"/>
      <c r="L286" s="321"/>
      <c r="M286" s="319"/>
      <c r="N286" s="322"/>
      <c r="O286" s="236" t="str">
        <f>'Profits 2016'!T5496</f>
        <v>PITT OHIO/DLS</v>
      </c>
      <c r="P286" s="284" t="str">
        <f>'Profits 2016'!U5496</f>
        <v>5014178437</v>
      </c>
      <c r="Q286" s="284" t="s">
        <v>15742</v>
      </c>
      <c r="R286" s="276">
        <v>214.78</v>
      </c>
      <c r="S286" s="275">
        <v>636769493</v>
      </c>
      <c r="T286" s="279">
        <v>42641</v>
      </c>
      <c r="U286" s="279">
        <v>42646</v>
      </c>
      <c r="V286" s="279">
        <v>42650</v>
      </c>
      <c r="W286" s="293">
        <v>214.78</v>
      </c>
      <c r="X286" s="236">
        <v>9122</v>
      </c>
      <c r="AF286" s="276">
        <f t="shared" si="21"/>
        <v>1755.7800000000004</v>
      </c>
      <c r="AG286" s="276">
        <f t="shared" si="18"/>
        <v>214.78</v>
      </c>
      <c r="AH286" s="276">
        <f t="shared" si="19"/>
        <v>-214.78</v>
      </c>
      <c r="AI286" s="283">
        <f t="shared" si="20"/>
        <v>-0.12232739864903344</v>
      </c>
    </row>
    <row r="287" spans="1:35" ht="30" x14ac:dyDescent="0.25">
      <c r="A287" s="275">
        <f>'Profits 2016'!A5497</f>
        <v>3004327</v>
      </c>
      <c r="B287" s="279">
        <f>'Profits 2016'!B5497</f>
        <v>42627</v>
      </c>
      <c r="C287" s="276">
        <f>'Profits 2016'!H5497</f>
        <v>968.5</v>
      </c>
      <c r="D287" s="280">
        <f>'Profits 2016'!K5497</f>
        <v>946.89300000000003</v>
      </c>
      <c r="E287" s="276">
        <f>'Profits 2016'!L5497</f>
        <v>1079</v>
      </c>
      <c r="F287" s="275" t="str">
        <f>'Profits 2016'!P5497</f>
        <v>Service</v>
      </c>
      <c r="G287" s="292">
        <f>'Profits 2016'!N5497-'Profits 2016'!M5497</f>
        <v>701.35</v>
      </c>
      <c r="H287" s="292">
        <v>0</v>
      </c>
      <c r="I287" s="275">
        <v>50261568</v>
      </c>
      <c r="J287" s="277">
        <v>42627</v>
      </c>
      <c r="K287" s="277">
        <v>42633</v>
      </c>
      <c r="L287" s="277">
        <v>42657</v>
      </c>
      <c r="M287" s="292">
        <v>701.35</v>
      </c>
      <c r="N287" s="281">
        <v>9196</v>
      </c>
      <c r="O287" s="344" t="str">
        <f>'Profits 2016'!T5497</f>
        <v>FEDEX FREIGHT</v>
      </c>
      <c r="P287" s="345" t="str">
        <f>'Profits 2016'!U5497</f>
        <v>3491457944</v>
      </c>
      <c r="Q287" s="345"/>
      <c r="R287" s="342"/>
      <c r="S287" s="336"/>
      <c r="T287" s="341"/>
      <c r="U287" s="341"/>
      <c r="V287" s="341"/>
      <c r="W287" s="346"/>
      <c r="X287" s="344"/>
      <c r="AF287" s="276">
        <f t="shared" si="21"/>
        <v>701.35</v>
      </c>
      <c r="AG287" s="276">
        <f t="shared" si="18"/>
        <v>701.35</v>
      </c>
      <c r="AH287" s="276">
        <f t="shared" si="19"/>
        <v>245.54300000000001</v>
      </c>
      <c r="AI287" s="283">
        <f t="shared" si="20"/>
        <v>0.35010052042489487</v>
      </c>
    </row>
    <row r="288" spans="1:35" x14ac:dyDescent="0.25">
      <c r="A288" s="275">
        <f>'Profits 2016'!A5498</f>
        <v>3004328</v>
      </c>
      <c r="B288" s="279">
        <f>'Profits 2016'!B5498</f>
        <v>42627</v>
      </c>
      <c r="C288" s="276">
        <f>'Profits 2016'!H5498</f>
        <v>600</v>
      </c>
      <c r="D288" s="280">
        <f>'Profits 2016'!K5498</f>
        <v>586.5</v>
      </c>
      <c r="E288" s="276">
        <f>'Profits 2016'!L5498</f>
        <v>185</v>
      </c>
      <c r="F288" s="275" t="str">
        <f>'Profits 2016'!P5498</f>
        <v>A-Z</v>
      </c>
      <c r="G288" s="292">
        <f>'Profits 2016'!N5498-'Profits 2016'!M5498</f>
        <v>370</v>
      </c>
      <c r="H288" s="292">
        <v>0</v>
      </c>
      <c r="I288" s="275">
        <v>401052</v>
      </c>
      <c r="J288" s="277">
        <v>42628</v>
      </c>
      <c r="K288" s="277">
        <v>42632</v>
      </c>
      <c r="L288" s="277">
        <v>42671</v>
      </c>
      <c r="M288" s="292">
        <v>454.03</v>
      </c>
      <c r="N288" s="281">
        <v>9239</v>
      </c>
      <c r="O288" s="236" t="str">
        <f>'Profits 2016'!T5498</f>
        <v>R&amp;L</v>
      </c>
      <c r="P288" s="284" t="str">
        <f>'Profits 2016'!U5498</f>
        <v>509752206</v>
      </c>
      <c r="Q288" s="284" t="s">
        <v>235</v>
      </c>
      <c r="R288" s="276">
        <v>84.03</v>
      </c>
      <c r="S288" s="275">
        <v>401052</v>
      </c>
      <c r="T288" s="277">
        <v>42628</v>
      </c>
      <c r="U288" s="277">
        <v>42632</v>
      </c>
      <c r="AF288" s="276">
        <f t="shared" si="21"/>
        <v>454.03</v>
      </c>
      <c r="AG288" s="276">
        <f t="shared" si="18"/>
        <v>538.05999999999995</v>
      </c>
      <c r="AH288" s="276">
        <f t="shared" si="19"/>
        <v>48.440000000000055</v>
      </c>
      <c r="AI288" s="283">
        <f t="shared" si="20"/>
        <v>0.10668898530934091</v>
      </c>
    </row>
    <row r="289" spans="1:35" ht="30" x14ac:dyDescent="0.25">
      <c r="A289" s="275">
        <f>'Profits 2016'!A5499</f>
        <v>3004329</v>
      </c>
      <c r="B289" s="279">
        <f>'Profits 2016'!B5499</f>
        <v>42627</v>
      </c>
      <c r="C289" s="276">
        <f>'Profits 2016'!H5499</f>
        <v>319.27999999999997</v>
      </c>
      <c r="D289" s="280">
        <f>'Profits 2016'!K5499</f>
        <v>284.17847999999998</v>
      </c>
      <c r="E289" s="276">
        <f>'Profits 2016'!L5499</f>
        <v>990</v>
      </c>
      <c r="F289" s="275" t="str">
        <f>'Profits 2016'!P5499</f>
        <v>Nassau</v>
      </c>
      <c r="G289" s="292">
        <f>'Profits 2016'!N5499-'Profits 2016'!M5499</f>
        <v>148.5</v>
      </c>
      <c r="H289" s="319"/>
      <c r="I289" s="320"/>
      <c r="J289" s="321"/>
      <c r="K289" s="321"/>
      <c r="L289" s="321"/>
      <c r="M289" s="319"/>
      <c r="N289" s="322"/>
      <c r="O289" s="236" t="str">
        <f>'Profits 2016'!T5499</f>
        <v>FEDEX GROUND</v>
      </c>
      <c r="P289" s="284" t="str">
        <f>'Profits 2016'!U5499</f>
        <v>702723288072</v>
      </c>
      <c r="Q289" s="284" t="s">
        <v>314</v>
      </c>
      <c r="R289" s="276">
        <v>25.17</v>
      </c>
      <c r="S289" s="275" t="s">
        <v>15739</v>
      </c>
      <c r="T289" s="279">
        <v>42639</v>
      </c>
      <c r="U289" s="279">
        <v>42646</v>
      </c>
      <c r="V289" s="279">
        <v>42657</v>
      </c>
      <c r="W289" s="293">
        <v>0</v>
      </c>
      <c r="X289" s="236">
        <v>9175</v>
      </c>
      <c r="AF289" s="276">
        <f t="shared" si="21"/>
        <v>173.67000000000002</v>
      </c>
      <c r="AG289" s="276">
        <f t="shared" si="18"/>
        <v>25.17</v>
      </c>
      <c r="AH289" s="276">
        <f t="shared" si="19"/>
        <v>259.00847999999996</v>
      </c>
      <c r="AI289" s="283">
        <f t="shared" si="20"/>
        <v>1.4913829676973567</v>
      </c>
    </row>
    <row r="290" spans="1:35" ht="30" x14ac:dyDescent="0.25">
      <c r="A290" s="275">
        <f>'Profits 2016'!A5500</f>
        <v>3004330</v>
      </c>
      <c r="B290" s="279">
        <f>'Profits 2016'!B5500</f>
        <v>42627</v>
      </c>
      <c r="C290" s="276">
        <f>'Profits 2016'!H5500</f>
        <v>123.94</v>
      </c>
      <c r="D290" s="280">
        <f>'Profits 2016'!K5500</f>
        <v>110.13054</v>
      </c>
      <c r="E290" s="276">
        <f>'Profits 2016'!L5500</f>
        <v>480</v>
      </c>
      <c r="F290" s="275" t="str">
        <f>'Profits 2016'!P5500</f>
        <v>Nassau</v>
      </c>
      <c r="G290" s="292">
        <f>'Profits 2016'!N5500-'Profits 2016'!M5500</f>
        <v>48.000000000000007</v>
      </c>
      <c r="H290" s="319"/>
      <c r="I290" s="320"/>
      <c r="J290" s="321"/>
      <c r="K290" s="321"/>
      <c r="L290" s="321"/>
      <c r="M290" s="319"/>
      <c r="N290" s="322"/>
      <c r="O290" s="236" t="str">
        <f>'Profits 2016'!T5500</f>
        <v>FEDEX GROUND</v>
      </c>
      <c r="P290" s="284" t="str">
        <f>'Profits 2016'!U5500</f>
        <v>702723288050</v>
      </c>
      <c r="Q290" s="284" t="s">
        <v>314</v>
      </c>
      <c r="R290" s="276">
        <v>20.399999999999999</v>
      </c>
      <c r="S290" s="275" t="s">
        <v>15739</v>
      </c>
      <c r="T290" s="279">
        <v>42639</v>
      </c>
      <c r="U290" s="279">
        <v>42646</v>
      </c>
      <c r="V290" s="279">
        <v>42657</v>
      </c>
      <c r="W290" s="293">
        <v>0</v>
      </c>
      <c r="X290" s="236">
        <v>9175</v>
      </c>
      <c r="AF290" s="276">
        <f t="shared" si="21"/>
        <v>68.400000000000006</v>
      </c>
      <c r="AG290" s="276">
        <f t="shared" si="18"/>
        <v>20.399999999999999</v>
      </c>
      <c r="AH290" s="276">
        <f t="shared" si="19"/>
        <v>89.730539999999991</v>
      </c>
      <c r="AI290" s="283">
        <f t="shared" si="20"/>
        <v>1.3118499999999997</v>
      </c>
    </row>
    <row r="291" spans="1:35" ht="30" x14ac:dyDescent="0.25">
      <c r="A291" s="275">
        <f>'Profits 2016'!A5501</f>
        <v>3004331</v>
      </c>
      <c r="B291" s="279">
        <f>'Profits 2016'!B5501</f>
        <v>42627</v>
      </c>
      <c r="C291" s="276">
        <f>'Profits 2016'!H5501</f>
        <v>288.14999999999998</v>
      </c>
      <c r="D291" s="280">
        <f>'Profits 2016'!K5501</f>
        <v>256.44164999999998</v>
      </c>
      <c r="E291" s="276">
        <f>'Profits 2016'!L5501</f>
        <v>2230</v>
      </c>
      <c r="F291" s="275" t="str">
        <f>'Profits 2016'!P5501</f>
        <v>Nassau</v>
      </c>
      <c r="G291" s="292">
        <f>'Profits 2016'!N5501-'Profits 2016'!M5501</f>
        <v>111.50000000000001</v>
      </c>
      <c r="H291" s="319"/>
      <c r="I291" s="320"/>
      <c r="J291" s="321"/>
      <c r="K291" s="321"/>
      <c r="L291" s="321"/>
      <c r="M291" s="319"/>
      <c r="N291" s="322"/>
      <c r="O291" s="236" t="str">
        <f>'Profits 2016'!T5501</f>
        <v>FEDEX GROUND</v>
      </c>
      <c r="P291" s="284" t="str">
        <f>'Profits 2016'!U5501</f>
        <v>702723288083</v>
      </c>
      <c r="Q291" s="284" t="s">
        <v>314</v>
      </c>
      <c r="R291" s="276">
        <v>23.11</v>
      </c>
      <c r="S291" s="275" t="s">
        <v>15744</v>
      </c>
      <c r="T291" s="279">
        <v>42646</v>
      </c>
      <c r="U291" s="279">
        <v>42653</v>
      </c>
      <c r="V291" s="279">
        <v>42657</v>
      </c>
      <c r="W291" s="293">
        <v>0</v>
      </c>
      <c r="X291" s="236">
        <v>9174</v>
      </c>
      <c r="AF291" s="276">
        <f t="shared" si="21"/>
        <v>134.61000000000001</v>
      </c>
      <c r="AG291" s="276">
        <f t="shared" si="18"/>
        <v>23.11</v>
      </c>
      <c r="AH291" s="276">
        <f t="shared" si="19"/>
        <v>233.33164999999997</v>
      </c>
      <c r="AI291" s="283">
        <f t="shared" si="20"/>
        <v>1.7333901641779952</v>
      </c>
    </row>
    <row r="292" spans="1:35" ht="30" x14ac:dyDescent="0.25">
      <c r="A292" s="275">
        <f>'Profits 2016'!A5502</f>
        <v>3004332</v>
      </c>
      <c r="B292" s="279">
        <f>'Profits 2016'!B5502</f>
        <v>42627</v>
      </c>
      <c r="C292" s="276">
        <f>'Profits 2016'!H5502</f>
        <v>156.02000000000001</v>
      </c>
      <c r="D292" s="280">
        <f>'Profits 2016'!K5502</f>
        <v>138.71382000000003</v>
      </c>
      <c r="E292" s="276">
        <f>'Profits 2016'!L5502</f>
        <v>1300</v>
      </c>
      <c r="F292" s="275" t="str">
        <f>'Profits 2016'!P5502</f>
        <v>Priority</v>
      </c>
      <c r="G292" s="292">
        <f>'Profits 2016'!N5502-'Profits 2016'!M5502</f>
        <v>65</v>
      </c>
      <c r="H292" s="292">
        <v>0</v>
      </c>
      <c r="I292" s="275">
        <v>1056163</v>
      </c>
      <c r="J292" s="277">
        <v>42628</v>
      </c>
      <c r="K292" s="277">
        <v>42636</v>
      </c>
      <c r="L292" s="277">
        <v>42657</v>
      </c>
      <c r="M292" s="292">
        <v>65</v>
      </c>
      <c r="N292" s="281">
        <v>9203</v>
      </c>
      <c r="O292" s="236" t="str">
        <f>'Profits 2016'!T5502</f>
        <v>FEDEX GROUND</v>
      </c>
      <c r="P292" s="284" t="str">
        <f>'Profits 2016'!U5502</f>
        <v>777240288724</v>
      </c>
      <c r="Q292" s="284" t="s">
        <v>15740</v>
      </c>
      <c r="R292" s="276">
        <v>19.71</v>
      </c>
      <c r="S292" s="275">
        <v>1056163</v>
      </c>
      <c r="T292" s="279">
        <v>42628</v>
      </c>
      <c r="U292" s="279">
        <v>42636</v>
      </c>
      <c r="AF292" s="276">
        <f t="shared" si="21"/>
        <v>84.710000000000008</v>
      </c>
      <c r="AG292" s="276">
        <f t="shared" si="18"/>
        <v>84.710000000000008</v>
      </c>
      <c r="AH292" s="276">
        <f t="shared" si="19"/>
        <v>54.003820000000019</v>
      </c>
      <c r="AI292" s="283">
        <f t="shared" si="20"/>
        <v>0.63751410695313437</v>
      </c>
    </row>
    <row r="293" spans="1:35" ht="30" x14ac:dyDescent="0.25">
      <c r="A293" s="275">
        <f>'Profits 2016'!A5503</f>
        <v>3004333</v>
      </c>
      <c r="B293" s="279">
        <f>'Profits 2016'!B5503</f>
        <v>42627</v>
      </c>
      <c r="C293" s="276">
        <f>'Profits 2016'!H5503</f>
        <v>557.6</v>
      </c>
      <c r="D293" s="280">
        <f>'Profits 2016'!K5503</f>
        <v>496.52160000000003</v>
      </c>
      <c r="E293" s="276">
        <f>'Profits 2016'!L5503</f>
        <v>640</v>
      </c>
      <c r="F293" s="275" t="str">
        <f>'Profits 2016'!P5503</f>
        <v>Nassau</v>
      </c>
      <c r="G293" s="292">
        <f>'Profits 2016'!N5503-'Profits 2016'!M5503</f>
        <v>160</v>
      </c>
      <c r="H293" s="319"/>
      <c r="I293" s="320"/>
      <c r="J293" s="321"/>
      <c r="K293" s="321"/>
      <c r="L293" s="321"/>
      <c r="M293" s="319"/>
      <c r="N293" s="322"/>
      <c r="O293" s="236" t="str">
        <f>'Profits 2016'!T5503</f>
        <v>FEDEX GROUND</v>
      </c>
      <c r="P293" s="284" t="str">
        <f>'Profits 2016'!U5503</f>
        <v>702723288028</v>
      </c>
      <c r="Q293" s="284" t="s">
        <v>314</v>
      </c>
      <c r="R293" s="276">
        <v>52.74</v>
      </c>
      <c r="S293" s="275" t="s">
        <v>15744</v>
      </c>
      <c r="T293" s="279">
        <v>42646</v>
      </c>
      <c r="U293" s="279">
        <v>42653</v>
      </c>
      <c r="V293" s="279">
        <v>42657</v>
      </c>
      <c r="W293" s="293">
        <v>0</v>
      </c>
      <c r="X293" s="236">
        <v>9174</v>
      </c>
      <c r="AF293" s="276">
        <f t="shared" si="21"/>
        <v>212.74</v>
      </c>
      <c r="AG293" s="276">
        <f t="shared" si="18"/>
        <v>52.74</v>
      </c>
      <c r="AH293" s="276">
        <f t="shared" si="19"/>
        <v>443.78160000000003</v>
      </c>
      <c r="AI293" s="283">
        <f t="shared" si="20"/>
        <v>2.086028015417881</v>
      </c>
    </row>
    <row r="294" spans="1:35" x14ac:dyDescent="0.25">
      <c r="A294" s="275">
        <f>'Profits 2016'!A5504</f>
        <v>0</v>
      </c>
      <c r="B294" s="279">
        <f>'Profits 2016'!B5504</f>
        <v>0</v>
      </c>
      <c r="C294" s="276">
        <f>'Profits 2016'!H5504</f>
        <v>0</v>
      </c>
      <c r="D294" s="280">
        <f>'Profits 2016'!K5504</f>
        <v>0</v>
      </c>
      <c r="E294" s="276">
        <f>'Profits 2016'!L5504</f>
        <v>409</v>
      </c>
      <c r="F294" s="275" t="str">
        <f>'Profits 2016'!P5504</f>
        <v>Nassau</v>
      </c>
      <c r="G294" s="292">
        <f>'Profits 2016'!N5504-'Profits 2016'!M5504</f>
        <v>102.25</v>
      </c>
      <c r="H294" s="319"/>
      <c r="I294" s="320"/>
      <c r="J294" s="321"/>
      <c r="K294" s="321"/>
      <c r="L294" s="321"/>
      <c r="M294" s="319"/>
      <c r="N294" s="322"/>
      <c r="O294" s="236">
        <f>'Profits 2016'!T5504</f>
        <v>0</v>
      </c>
      <c r="P294" s="284" t="str">
        <f>'Profits 2016'!U5504</f>
        <v>702723288039</v>
      </c>
      <c r="Q294" s="284" t="s">
        <v>314</v>
      </c>
      <c r="R294" s="276">
        <v>37.409999999999997</v>
      </c>
      <c r="S294" s="275" t="s">
        <v>15744</v>
      </c>
      <c r="T294" s="279">
        <v>42646</v>
      </c>
      <c r="U294" s="279">
        <v>42653</v>
      </c>
      <c r="V294" s="279">
        <v>42657</v>
      </c>
      <c r="W294" s="293">
        <v>0</v>
      </c>
      <c r="X294" s="236">
        <v>9174</v>
      </c>
      <c r="AF294" s="276">
        <f t="shared" si="21"/>
        <v>139.66</v>
      </c>
      <c r="AG294" s="276">
        <f t="shared" si="18"/>
        <v>37.409999999999997</v>
      </c>
      <c r="AH294" s="276">
        <f t="shared" si="19"/>
        <v>-37.409999999999997</v>
      </c>
      <c r="AI294" s="283">
        <f t="shared" si="20"/>
        <v>-0.26786481454962047</v>
      </c>
    </row>
    <row r="295" spans="1:35" ht="30" x14ac:dyDescent="0.25">
      <c r="A295" s="275">
        <f>'Profits 2016'!A5505</f>
        <v>3004334</v>
      </c>
      <c r="B295" s="279">
        <f>'Profits 2016'!B5505</f>
        <v>42627</v>
      </c>
      <c r="C295" s="276">
        <f>'Profits 2016'!H5505</f>
        <v>67.8</v>
      </c>
      <c r="D295" s="280">
        <f>'Profits 2016'!K5505</f>
        <v>60.1098</v>
      </c>
      <c r="E295" s="276">
        <f>'Profits 2016'!L5505</f>
        <v>480</v>
      </c>
      <c r="F295" s="275" t="str">
        <f>'Profits 2016'!P5505</f>
        <v>Nassau</v>
      </c>
      <c r="G295" s="292">
        <f>'Profits 2016'!N5505-'Profits 2016'!M5505</f>
        <v>21.599999999999994</v>
      </c>
      <c r="H295" s="319"/>
      <c r="I295" s="320"/>
      <c r="J295" s="321"/>
      <c r="K295" s="321"/>
      <c r="L295" s="321"/>
      <c r="M295" s="319"/>
      <c r="N295" s="322"/>
      <c r="O295" s="236" t="str">
        <f>'Profits 2016'!T5505</f>
        <v>FEDEX GROUND</v>
      </c>
      <c r="P295" s="284" t="str">
        <f>'Profits 2016'!U5505</f>
        <v>702723288040</v>
      </c>
      <c r="Q295" s="284" t="s">
        <v>314</v>
      </c>
      <c r="R295" s="276">
        <v>23.97</v>
      </c>
      <c r="S295" s="275" t="s">
        <v>15744</v>
      </c>
      <c r="T295" s="279">
        <v>42646</v>
      </c>
      <c r="U295" s="279">
        <v>42653</v>
      </c>
      <c r="V295" s="279">
        <v>42657</v>
      </c>
      <c r="W295" s="293">
        <v>0</v>
      </c>
      <c r="X295" s="236">
        <v>9174</v>
      </c>
      <c r="AF295" s="276">
        <f t="shared" si="21"/>
        <v>45.569999999999993</v>
      </c>
      <c r="AG295" s="276">
        <f t="shared" si="18"/>
        <v>23.97</v>
      </c>
      <c r="AH295" s="276">
        <f t="shared" si="19"/>
        <v>36.139800000000001</v>
      </c>
      <c r="AI295" s="283">
        <f t="shared" si="20"/>
        <v>0.7930612244897961</v>
      </c>
    </row>
    <row r="296" spans="1:35" ht="30" x14ac:dyDescent="0.25">
      <c r="A296" s="275">
        <f>'Profits 2016'!A5506</f>
        <v>3004335</v>
      </c>
      <c r="B296" s="279">
        <f>'Profits 2016'!B5506</f>
        <v>42627</v>
      </c>
      <c r="C296" s="276">
        <f>'Profits 2016'!H5506</f>
        <v>208.31</v>
      </c>
      <c r="D296" s="280">
        <f>'Profits 2016'!K5506</f>
        <v>185.30421000000001</v>
      </c>
      <c r="E296" s="276">
        <f>'Profits 2016'!L5506</f>
        <v>510</v>
      </c>
      <c r="F296" s="275" t="str">
        <f>'Profits 2016'!P5506</f>
        <v>Nassau</v>
      </c>
      <c r="G296" s="292">
        <f>'Profits 2016'!N5506-'Profits 2016'!M5506</f>
        <v>102</v>
      </c>
      <c r="H296" s="319"/>
      <c r="I296" s="320"/>
      <c r="J296" s="321"/>
      <c r="K296" s="321"/>
      <c r="L296" s="321"/>
      <c r="M296" s="319"/>
      <c r="N296" s="322"/>
      <c r="O296" s="236" t="str">
        <f>'Profits 2016'!T5506</f>
        <v>FEDEX GROUND</v>
      </c>
      <c r="P296" s="284" t="str">
        <f>'Profits 2016'!U5506</f>
        <v>702723288061</v>
      </c>
      <c r="Q296" s="284" t="s">
        <v>314</v>
      </c>
      <c r="R296" s="276">
        <v>37.03</v>
      </c>
      <c r="S296" s="275" t="s">
        <v>15744</v>
      </c>
      <c r="T296" s="279">
        <v>42646</v>
      </c>
      <c r="U296" s="279">
        <v>42653</v>
      </c>
      <c r="V296" s="279">
        <v>42657</v>
      </c>
      <c r="W296" s="293">
        <v>0</v>
      </c>
      <c r="X296" s="236">
        <v>9174</v>
      </c>
      <c r="AF296" s="276">
        <f t="shared" si="21"/>
        <v>139.03</v>
      </c>
      <c r="AG296" s="276">
        <f t="shared" si="18"/>
        <v>37.03</v>
      </c>
      <c r="AH296" s="276">
        <f t="shared" si="19"/>
        <v>148.27421000000001</v>
      </c>
      <c r="AI296" s="283">
        <f t="shared" si="20"/>
        <v>1.0664907573904914</v>
      </c>
    </row>
    <row r="297" spans="1:35" ht="30" x14ac:dyDescent="0.25">
      <c r="A297" s="275">
        <f>'Profits 2016'!A5507</f>
        <v>3004336</v>
      </c>
      <c r="B297" s="279">
        <f>'Profits 2016'!B5507</f>
        <v>42627</v>
      </c>
      <c r="C297" s="276">
        <f>'Profits 2016'!H5507</f>
        <v>216.88</v>
      </c>
      <c r="D297" s="280">
        <f>'Profits 2016'!K5507</f>
        <v>192.94007999999999</v>
      </c>
      <c r="E297" s="276">
        <f>'Profits 2016'!L5507</f>
        <v>672</v>
      </c>
      <c r="F297" s="275" t="str">
        <f>'Profits 2016'!P5507</f>
        <v>Houston</v>
      </c>
      <c r="G297" s="292">
        <f>'Profits 2016'!N5507-'Profits 2016'!M5507</f>
        <v>117.60000000000001</v>
      </c>
      <c r="H297" s="292">
        <v>0</v>
      </c>
      <c r="I297" s="275">
        <v>30899644</v>
      </c>
      <c r="J297" s="277">
        <v>42628</v>
      </c>
      <c r="K297" s="277">
        <v>42636</v>
      </c>
      <c r="L297" s="277">
        <v>42657</v>
      </c>
      <c r="M297" s="292">
        <v>117.6</v>
      </c>
      <c r="N297" s="281">
        <v>9178</v>
      </c>
      <c r="O297" s="236" t="str">
        <f>'Profits 2016'!T5507</f>
        <v>FEDEX GROUND</v>
      </c>
      <c r="P297" s="284" t="str">
        <f>'Profits 2016'!U5507</f>
        <v>679301396514</v>
      </c>
      <c r="Q297" s="284" t="s">
        <v>314</v>
      </c>
      <c r="R297" s="276">
        <v>38.700000000000003</v>
      </c>
      <c r="S297" s="275" t="s">
        <v>15739</v>
      </c>
      <c r="T297" s="279">
        <v>42639</v>
      </c>
      <c r="U297" s="279">
        <v>42646</v>
      </c>
      <c r="V297" s="279">
        <v>42657</v>
      </c>
      <c r="W297" s="293">
        <v>0</v>
      </c>
      <c r="X297" s="236">
        <v>9175</v>
      </c>
      <c r="AF297" s="276">
        <f t="shared" si="21"/>
        <v>156.30000000000001</v>
      </c>
      <c r="AG297" s="276">
        <f t="shared" si="18"/>
        <v>156.30000000000001</v>
      </c>
      <c r="AH297" s="276">
        <f t="shared" si="19"/>
        <v>36.640079999999983</v>
      </c>
      <c r="AI297" s="283">
        <f t="shared" si="20"/>
        <v>0.23442149712092117</v>
      </c>
    </row>
    <row r="298" spans="1:35" x14ac:dyDescent="0.25">
      <c r="A298" s="275">
        <f>'Profits 2016'!A5508</f>
        <v>3004337</v>
      </c>
      <c r="B298" s="279">
        <f>'Profits 2016'!B5508</f>
        <v>42627</v>
      </c>
      <c r="C298" s="276">
        <f>'Profits 2016'!H5508</f>
        <v>475</v>
      </c>
      <c r="D298" s="280">
        <f>'Profits 2016'!K5508</f>
        <v>422.92500000000001</v>
      </c>
      <c r="E298" s="276">
        <f>'Profits 2016'!L5508</f>
        <v>1242</v>
      </c>
      <c r="F298" s="275" t="str">
        <f>'Profits 2016'!P5508</f>
        <v>Nexans</v>
      </c>
      <c r="G298" s="292">
        <f>'Profits 2016'!N5508-'Profits 2016'!M5508</f>
        <v>310.5</v>
      </c>
      <c r="H298" s="292">
        <v>0</v>
      </c>
      <c r="I298" s="275">
        <v>47338702</v>
      </c>
      <c r="J298" s="277">
        <v>42636</v>
      </c>
      <c r="K298" s="277">
        <v>42646</v>
      </c>
      <c r="L298" s="277">
        <v>42650</v>
      </c>
      <c r="M298" s="292">
        <v>304.29000000000002</v>
      </c>
      <c r="N298" s="281">
        <v>9108</v>
      </c>
      <c r="O298" s="347" t="str">
        <f>'Profits 2016'!T5508</f>
        <v>FEDEX</v>
      </c>
      <c r="P298" s="348">
        <f>'Profits 2016'!U5508</f>
        <v>777294989292</v>
      </c>
      <c r="Q298" s="348" t="s">
        <v>15765</v>
      </c>
      <c r="R298" s="349">
        <v>38.130000000000003</v>
      </c>
      <c r="S298" s="332" t="s">
        <v>15738</v>
      </c>
      <c r="T298" s="340">
        <v>42653</v>
      </c>
      <c r="U298" s="340">
        <v>42656</v>
      </c>
      <c r="V298" s="340">
        <v>42664</v>
      </c>
      <c r="W298" s="350">
        <f>R298</f>
        <v>38.130000000000003</v>
      </c>
      <c r="X298" s="347">
        <v>9215</v>
      </c>
      <c r="AF298" s="276">
        <f t="shared" si="21"/>
        <v>348.63</v>
      </c>
      <c r="AG298" s="276">
        <f t="shared" si="18"/>
        <v>342.42</v>
      </c>
      <c r="AH298" s="276">
        <f t="shared" si="19"/>
        <v>80.504999999999995</v>
      </c>
      <c r="AI298" s="283">
        <f t="shared" si="20"/>
        <v>0.23091816539024179</v>
      </c>
    </row>
    <row r="299" spans="1:35" ht="30" x14ac:dyDescent="0.25">
      <c r="A299" s="275">
        <f>'Profits 2016'!A5509</f>
        <v>3004338</v>
      </c>
      <c r="B299" s="279">
        <f>'Profits 2016'!B5509</f>
        <v>42627</v>
      </c>
      <c r="C299" s="276">
        <f>'Profits 2016'!H5509</f>
        <v>144.34</v>
      </c>
      <c r="D299" s="280">
        <f>'Profits 2016'!K5509</f>
        <v>128.30694</v>
      </c>
      <c r="E299" s="276">
        <f>'Profits 2016'!L5509</f>
        <v>0</v>
      </c>
      <c r="F299" s="275" t="str">
        <f>'Profits 2016'!P5509</f>
        <v>Nassau</v>
      </c>
      <c r="G299" s="292">
        <f>'Profits 2016'!N5509-'Profits 2016'!M5509</f>
        <v>0</v>
      </c>
      <c r="H299" s="319"/>
      <c r="I299" s="320"/>
      <c r="J299" s="321"/>
      <c r="K299" s="321"/>
      <c r="L299" s="321"/>
      <c r="M299" s="319"/>
      <c r="N299" s="322"/>
      <c r="O299" s="236" t="str">
        <f>'Profits 2016'!T5509</f>
        <v>FEDEX GROUND</v>
      </c>
      <c r="P299" s="284" t="str">
        <f>'Profits 2016'!U5509</f>
        <v>680483360082</v>
      </c>
      <c r="Q299" s="284" t="s">
        <v>314</v>
      </c>
      <c r="R299" s="276">
        <v>20.22</v>
      </c>
      <c r="S299" s="275" t="s">
        <v>15744</v>
      </c>
      <c r="T299" s="279">
        <v>42646</v>
      </c>
      <c r="U299" s="279">
        <v>42653</v>
      </c>
      <c r="V299" s="279">
        <v>42657</v>
      </c>
      <c r="W299" s="293">
        <v>0</v>
      </c>
      <c r="X299" s="236">
        <v>9174</v>
      </c>
      <c r="AF299" s="276">
        <f t="shared" si="21"/>
        <v>20.22</v>
      </c>
      <c r="AG299" s="276">
        <f t="shared" si="18"/>
        <v>20.22</v>
      </c>
      <c r="AH299" s="276">
        <f t="shared" si="19"/>
        <v>108.08694</v>
      </c>
      <c r="AI299" s="283">
        <f t="shared" si="20"/>
        <v>5.3455459940652821</v>
      </c>
    </row>
    <row r="300" spans="1:35" ht="30" x14ac:dyDescent="0.25">
      <c r="A300" s="275">
        <f>'Profits 2016'!A5510</f>
        <v>3004339</v>
      </c>
      <c r="B300" s="279">
        <f>'Profits 2016'!B5510</f>
        <v>42627</v>
      </c>
      <c r="C300" s="276">
        <f>'Profits 2016'!H5510</f>
        <v>216.88</v>
      </c>
      <c r="D300" s="280">
        <f>'Profits 2016'!K5510</f>
        <v>192.94007999999999</v>
      </c>
      <c r="E300" s="276">
        <f>'Profits 2016'!L5510</f>
        <v>672</v>
      </c>
      <c r="F300" s="275" t="str">
        <f>'Profits 2016'!P5510</f>
        <v>Houston</v>
      </c>
      <c r="G300" s="292">
        <f>'Profits 2016'!N5510-'Profits 2016'!M5510</f>
        <v>117.60000000000002</v>
      </c>
      <c r="H300" s="292">
        <v>0</v>
      </c>
      <c r="I300" s="275">
        <v>30899641</v>
      </c>
      <c r="J300" s="277">
        <v>42628</v>
      </c>
      <c r="K300" s="277">
        <v>42636</v>
      </c>
      <c r="L300" s="277">
        <v>42657</v>
      </c>
      <c r="M300" s="292">
        <v>117.6</v>
      </c>
      <c r="N300" s="281">
        <v>9177</v>
      </c>
      <c r="O300" s="236" t="str">
        <f>'Profits 2016'!T5510</f>
        <v>FEDEX GROUND</v>
      </c>
      <c r="P300" s="284" t="str">
        <f>'Profits 2016'!U5510</f>
        <v>679301396503</v>
      </c>
      <c r="Q300" s="284" t="s">
        <v>314</v>
      </c>
      <c r="R300" s="276">
        <v>39.01</v>
      </c>
      <c r="S300" s="275" t="s">
        <v>15744</v>
      </c>
      <c r="T300" s="279">
        <v>42646</v>
      </c>
      <c r="U300" s="279">
        <v>42653</v>
      </c>
      <c r="V300" s="279">
        <v>42657</v>
      </c>
      <c r="W300" s="293">
        <v>0</v>
      </c>
      <c r="X300" s="236">
        <v>9174</v>
      </c>
      <c r="AF300" s="276">
        <f t="shared" si="21"/>
        <v>156.61000000000001</v>
      </c>
      <c r="AG300" s="276">
        <f t="shared" si="18"/>
        <v>156.60999999999999</v>
      </c>
      <c r="AH300" s="276">
        <f t="shared" si="19"/>
        <v>36.330080000000009</v>
      </c>
      <c r="AI300" s="283">
        <f t="shared" si="20"/>
        <v>0.23197803460826261</v>
      </c>
    </row>
    <row r="301" spans="1:35" x14ac:dyDescent="0.25">
      <c r="A301" s="275">
        <f>'Profits 2016'!A5511</f>
        <v>3004340</v>
      </c>
      <c r="B301" s="279">
        <f>'Profits 2016'!B5511</f>
        <v>42627</v>
      </c>
      <c r="C301" s="276">
        <f>'Profits 2016'!H5511</f>
        <v>401.97</v>
      </c>
      <c r="D301" s="280">
        <f>'Profits 2016'!K5511</f>
        <v>357.85527000000002</v>
      </c>
      <c r="E301" s="276">
        <f>'Profits 2016'!L5511</f>
        <v>900</v>
      </c>
      <c r="F301" s="275" t="str">
        <f>'Profits 2016'!P5511</f>
        <v>Priority</v>
      </c>
      <c r="G301" s="292">
        <f>'Profits 2016'!N5511-'Profits 2016'!M5511</f>
        <v>234</v>
      </c>
      <c r="H301" s="292">
        <v>0</v>
      </c>
      <c r="I301" s="275">
        <v>1055549</v>
      </c>
      <c r="J301" s="277">
        <v>42627</v>
      </c>
      <c r="K301" s="277">
        <v>42633</v>
      </c>
      <c r="L301" s="277">
        <v>42657</v>
      </c>
      <c r="M301" s="292">
        <v>234</v>
      </c>
      <c r="N301" s="281">
        <v>9186</v>
      </c>
      <c r="O301" s="236" t="str">
        <f>'Profits 2016'!T5511</f>
        <v>R&amp;L</v>
      </c>
      <c r="P301" s="284" t="str">
        <f>'Profits 2016'!U5511</f>
        <v xml:space="preserve">	704137815</v>
      </c>
      <c r="Q301" s="284" t="s">
        <v>15740</v>
      </c>
      <c r="R301" s="276">
        <v>105</v>
      </c>
      <c r="S301" s="275">
        <v>1055549</v>
      </c>
      <c r="T301" s="279">
        <v>42627</v>
      </c>
      <c r="U301" s="279">
        <v>42633</v>
      </c>
      <c r="V301" s="279">
        <v>42657</v>
      </c>
      <c r="W301" s="293">
        <v>105</v>
      </c>
      <c r="X301" s="236">
        <v>9186</v>
      </c>
      <c r="AF301" s="276">
        <f t="shared" si="21"/>
        <v>339</v>
      </c>
      <c r="AG301" s="276">
        <f t="shared" si="18"/>
        <v>339</v>
      </c>
      <c r="AH301" s="276">
        <f t="shared" si="19"/>
        <v>18.855270000000019</v>
      </c>
      <c r="AI301" s="283">
        <f t="shared" si="20"/>
        <v>5.5620265486725717E-2</v>
      </c>
    </row>
    <row r="302" spans="1:35" ht="30" x14ac:dyDescent="0.25">
      <c r="A302" s="275">
        <f>'Profits 2016'!A5512</f>
        <v>3004341</v>
      </c>
      <c r="B302" s="279">
        <f>'Profits 2016'!B5512</f>
        <v>42627</v>
      </c>
      <c r="C302" s="276">
        <f>'Profits 2016'!H5512</f>
        <v>108.93</v>
      </c>
      <c r="D302" s="280">
        <f>'Profits 2016'!K5512</f>
        <v>92.590500000000006</v>
      </c>
      <c r="E302" s="276">
        <f>'Profits 2016'!L5512</f>
        <v>950</v>
      </c>
      <c r="F302" s="275" t="str">
        <f>'Profits 2016'!P5512</f>
        <v>Thea</v>
      </c>
      <c r="G302" s="292">
        <f>'Profits 2016'!N5512-'Profits 2016'!M5512</f>
        <v>47.5</v>
      </c>
      <c r="H302" s="319"/>
      <c r="I302" s="320"/>
      <c r="J302" s="321"/>
      <c r="K302" s="321"/>
      <c r="L302" s="321"/>
      <c r="M302" s="319"/>
      <c r="N302" s="322"/>
      <c r="O302" s="236" t="str">
        <f>'Profits 2016'!T5512</f>
        <v>FEDEX GROUND</v>
      </c>
      <c r="P302" s="284" t="str">
        <f>'Profits 2016'!U5512</f>
        <v>675157529823</v>
      </c>
      <c r="Q302" s="284" t="s">
        <v>314</v>
      </c>
      <c r="R302" s="276">
        <v>19.48</v>
      </c>
      <c r="S302" s="275" t="s">
        <v>15744</v>
      </c>
      <c r="T302" s="279">
        <v>42646</v>
      </c>
      <c r="U302" s="279">
        <v>42653</v>
      </c>
      <c r="V302" s="279">
        <v>42657</v>
      </c>
      <c r="W302" s="293">
        <v>0</v>
      </c>
      <c r="X302" s="236">
        <v>9174</v>
      </c>
      <c r="AF302" s="276">
        <f t="shared" si="21"/>
        <v>66.98</v>
      </c>
      <c r="AG302" s="276">
        <f t="shared" si="18"/>
        <v>19.48</v>
      </c>
      <c r="AH302" s="276">
        <f t="shared" si="19"/>
        <v>73.110500000000002</v>
      </c>
      <c r="AI302" s="283">
        <f t="shared" si="20"/>
        <v>1.0915273215885339</v>
      </c>
    </row>
    <row r="303" spans="1:35" ht="30" x14ac:dyDescent="0.25">
      <c r="A303" s="275">
        <f>'Profits 2016'!A5513</f>
        <v>3004342</v>
      </c>
      <c r="B303" s="279">
        <f>'Profits 2016'!B5513</f>
        <v>42627</v>
      </c>
      <c r="C303" s="276">
        <f>'Profits 2016'!H5513</f>
        <v>628.42999999999995</v>
      </c>
      <c r="D303" s="280">
        <f>'Profits 2016'!K5513</f>
        <v>534.16549999999995</v>
      </c>
      <c r="E303" s="276">
        <f>'Profits 2016'!L5513</f>
        <v>1322</v>
      </c>
      <c r="F303" s="275" t="str">
        <f>'Profits 2016'!P5513</f>
        <v>Thea</v>
      </c>
      <c r="G303" s="292">
        <f>'Profits 2016'!N5513-'Profits 2016'!M5513</f>
        <v>330.5</v>
      </c>
      <c r="H303" s="319"/>
      <c r="I303" s="320"/>
      <c r="J303" s="321"/>
      <c r="K303" s="321"/>
      <c r="L303" s="321"/>
      <c r="M303" s="319"/>
      <c r="N303" s="322"/>
      <c r="O303" s="236" t="str">
        <f>'Profits 2016'!T5513</f>
        <v>PITT OHIO/DLS</v>
      </c>
      <c r="P303" s="284" t="str">
        <f>'Profits 2016'!U5513</f>
        <v>5014178463</v>
      </c>
      <c r="Q303" s="284" t="s">
        <v>15742</v>
      </c>
      <c r="R303" s="276">
        <v>90</v>
      </c>
      <c r="S303" s="275">
        <v>636744401</v>
      </c>
      <c r="T303" s="279">
        <v>42635</v>
      </c>
      <c r="U303" s="279">
        <v>42639</v>
      </c>
      <c r="V303" s="279">
        <v>42643</v>
      </c>
      <c r="W303" s="293">
        <v>90</v>
      </c>
      <c r="X303" s="236">
        <v>9045</v>
      </c>
      <c r="AF303" s="276">
        <f t="shared" si="21"/>
        <v>420.5</v>
      </c>
      <c r="AG303" s="276">
        <f t="shared" si="18"/>
        <v>90</v>
      </c>
      <c r="AH303" s="276">
        <f t="shared" si="19"/>
        <v>444.16549999999995</v>
      </c>
      <c r="AI303" s="283">
        <f t="shared" si="20"/>
        <v>1.0562794292508917</v>
      </c>
    </row>
    <row r="304" spans="1:35" ht="30" x14ac:dyDescent="0.25">
      <c r="A304" s="275">
        <f>'Profits 2016'!A5514</f>
        <v>3004343</v>
      </c>
      <c r="B304" s="279">
        <f>'Profits 2016'!B5514</f>
        <v>42627</v>
      </c>
      <c r="C304" s="276">
        <f>'Profits 2016'!H5514</f>
        <v>196.45</v>
      </c>
      <c r="D304" s="280">
        <f>'Profits 2016'!K5514</f>
        <v>166.98249999999999</v>
      </c>
      <c r="E304" s="276">
        <f>'Profits 2016'!L5514</f>
        <v>85</v>
      </c>
      <c r="F304" s="275" t="str">
        <f>'Profits 2016'!P5514</f>
        <v>Priority</v>
      </c>
      <c r="G304" s="292">
        <f>'Profits 2016'!N5514-'Profits 2016'!M5514</f>
        <v>85</v>
      </c>
      <c r="H304" s="292">
        <v>0</v>
      </c>
      <c r="I304" s="275">
        <v>1056160</v>
      </c>
      <c r="J304" s="277">
        <v>42628</v>
      </c>
      <c r="K304" s="277">
        <v>42636</v>
      </c>
      <c r="L304" s="277">
        <v>42657</v>
      </c>
      <c r="M304" s="292">
        <v>85</v>
      </c>
      <c r="N304" s="281">
        <v>9203</v>
      </c>
      <c r="O304" s="236" t="str">
        <f>'Profits 2016'!T5514</f>
        <v>FEDEX GROUND</v>
      </c>
      <c r="P304" s="284" t="str">
        <f>'Profits 2016'!U5514</f>
        <v>614697967100</v>
      </c>
      <c r="Q304" s="284" t="s">
        <v>15740</v>
      </c>
      <c r="R304" s="276">
        <v>22.84</v>
      </c>
      <c r="S304" s="275">
        <v>1056160</v>
      </c>
      <c r="T304" s="279">
        <v>42628</v>
      </c>
      <c r="U304" s="279">
        <v>42636</v>
      </c>
      <c r="V304" s="279">
        <v>42657</v>
      </c>
      <c r="W304" s="293">
        <v>22.84</v>
      </c>
      <c r="X304" s="236">
        <v>9203</v>
      </c>
      <c r="AF304" s="276">
        <f t="shared" si="21"/>
        <v>107.84</v>
      </c>
      <c r="AG304" s="276">
        <f t="shared" si="18"/>
        <v>107.84</v>
      </c>
      <c r="AH304" s="276">
        <f t="shared" si="19"/>
        <v>59.142499999999984</v>
      </c>
      <c r="AI304" s="283">
        <f t="shared" si="20"/>
        <v>0.54842822700296723</v>
      </c>
    </row>
    <row r="305" spans="1:35" x14ac:dyDescent="0.25">
      <c r="A305" s="275">
        <f>'Profits 2016'!A5515</f>
        <v>3004344</v>
      </c>
      <c r="B305" s="279">
        <f>'Profits 2016'!B5515</f>
        <v>42627</v>
      </c>
      <c r="C305" s="276">
        <f>'Profits 2016'!H5515</f>
        <v>642.88</v>
      </c>
      <c r="D305" s="280">
        <f>'Profits 2016'!K5515</f>
        <v>546.44799999999998</v>
      </c>
      <c r="E305" s="276">
        <f>'Profits 2016'!L5515</f>
        <v>1200</v>
      </c>
      <c r="F305" s="275" t="str">
        <f>'Profits 2016'!P5515</f>
        <v>Priority</v>
      </c>
      <c r="G305" s="292">
        <f>'Profits 2016'!N5515-'Profits 2016'!M5515</f>
        <v>420</v>
      </c>
      <c r="H305" s="292">
        <v>0</v>
      </c>
      <c r="I305" s="275">
        <v>1056247</v>
      </c>
      <c r="J305" s="277">
        <v>42629</v>
      </c>
      <c r="K305" s="277">
        <v>42636</v>
      </c>
      <c r="L305" s="277">
        <v>42657</v>
      </c>
      <c r="M305" s="292">
        <v>420</v>
      </c>
      <c r="N305" s="281">
        <v>9189</v>
      </c>
      <c r="O305" s="236" t="str">
        <f>'Profits 2016'!T5515</f>
        <v>R&amp;L</v>
      </c>
      <c r="P305" s="284" t="str">
        <f>'Profits 2016'!U5515</f>
        <v>704137842</v>
      </c>
      <c r="Q305" s="284" t="s">
        <v>15740</v>
      </c>
      <c r="R305" s="276">
        <v>105</v>
      </c>
      <c r="S305" s="275">
        <v>1056247</v>
      </c>
      <c r="T305" s="279">
        <v>42629</v>
      </c>
      <c r="U305" s="279">
        <v>42636</v>
      </c>
      <c r="V305" s="279">
        <v>42657</v>
      </c>
      <c r="W305" s="293">
        <v>105</v>
      </c>
      <c r="X305" s="236">
        <v>9189</v>
      </c>
      <c r="AF305" s="276">
        <f t="shared" si="21"/>
        <v>525</v>
      </c>
      <c r="AG305" s="276">
        <f t="shared" si="18"/>
        <v>525</v>
      </c>
      <c r="AH305" s="276">
        <f t="shared" si="19"/>
        <v>21.447999999999979</v>
      </c>
      <c r="AI305" s="283">
        <f t="shared" si="20"/>
        <v>4.085333333333329E-2</v>
      </c>
    </row>
    <row r="306" spans="1:35" ht="30" x14ac:dyDescent="0.25">
      <c r="A306" s="275">
        <f>'Profits 2016'!A5516</f>
        <v>3004345</v>
      </c>
      <c r="B306" s="279">
        <f>'Profits 2016'!B5516</f>
        <v>42627</v>
      </c>
      <c r="C306" s="276">
        <f>'Profits 2016'!H5516</f>
        <v>126.71</v>
      </c>
      <c r="D306" s="280">
        <f>'Profits 2016'!K5516</f>
        <v>107.70349999999999</v>
      </c>
      <c r="E306" s="276">
        <f>'Profits 2016'!L5516</f>
        <v>698</v>
      </c>
      <c r="F306" s="275" t="str">
        <f>'Profits 2016'!P5516</f>
        <v>Nassau</v>
      </c>
      <c r="G306" s="292">
        <f>'Profits 2016'!N5516-'Profits 2016'!M5516</f>
        <v>52.349999999999994</v>
      </c>
      <c r="H306" s="319"/>
      <c r="I306" s="320"/>
      <c r="J306" s="321"/>
      <c r="K306" s="321"/>
      <c r="L306" s="321"/>
      <c r="M306" s="319"/>
      <c r="N306" s="322"/>
      <c r="O306" s="236" t="str">
        <f>'Profits 2016'!T5516</f>
        <v>FEDEX GROUND</v>
      </c>
      <c r="P306" s="284" t="str">
        <f>'Profits 2016'!U5516</f>
        <v>702723288131</v>
      </c>
      <c r="Q306" s="284" t="s">
        <v>314</v>
      </c>
      <c r="R306" s="276">
        <v>34.06</v>
      </c>
      <c r="S306" s="275" t="s">
        <v>15744</v>
      </c>
      <c r="T306" s="279">
        <v>42646</v>
      </c>
      <c r="U306" s="279">
        <v>42653</v>
      </c>
      <c r="V306" s="279">
        <v>42657</v>
      </c>
      <c r="W306" s="293">
        <v>0</v>
      </c>
      <c r="X306" s="236">
        <v>9174</v>
      </c>
      <c r="AF306" s="276">
        <f t="shared" si="21"/>
        <v>86.41</v>
      </c>
      <c r="AG306" s="276">
        <f t="shared" si="18"/>
        <v>34.06</v>
      </c>
      <c r="AH306" s="276">
        <f t="shared" si="19"/>
        <v>73.643499999999989</v>
      </c>
      <c r="AI306" s="283">
        <f t="shared" si="20"/>
        <v>0.85225668325425286</v>
      </c>
    </row>
    <row r="307" spans="1:35" ht="30" x14ac:dyDescent="0.25">
      <c r="A307" s="275">
        <f>'Profits 2016'!A5517</f>
        <v>3004346</v>
      </c>
      <c r="B307" s="279">
        <f>'Profits 2016'!B5517</f>
        <v>42627</v>
      </c>
      <c r="C307" s="276">
        <f>'Profits 2016'!H5517</f>
        <v>585</v>
      </c>
      <c r="D307" s="280">
        <f>'Profits 2016'!K5517</f>
        <v>585</v>
      </c>
      <c r="E307" s="276">
        <f>'Profits 2016'!L5517</f>
        <v>2615</v>
      </c>
      <c r="F307" s="275" t="str">
        <f>'Profits 2016'!P5517</f>
        <v>Brazil</v>
      </c>
      <c r="G307" s="292">
        <f>'Profits 2016'!N5517-'Profits 2016'!M5517</f>
        <v>261.5</v>
      </c>
      <c r="H307" s="292">
        <v>0</v>
      </c>
      <c r="I307" s="275">
        <v>90936913</v>
      </c>
      <c r="J307" s="277">
        <v>42628</v>
      </c>
      <c r="K307" s="277">
        <v>42632</v>
      </c>
      <c r="L307" s="277">
        <v>42650</v>
      </c>
      <c r="M307" s="292">
        <v>405.72</v>
      </c>
      <c r="N307" s="281">
        <v>9127</v>
      </c>
      <c r="O307" s="344" t="str">
        <f>'Profits 2016'!T5517</f>
        <v>UPS GROUND</v>
      </c>
      <c r="P307" s="345" t="str">
        <f>'Profits 2016'!U5517</f>
        <v>1Z00051f0351851343</v>
      </c>
      <c r="Q307" s="345"/>
      <c r="R307" s="342"/>
      <c r="S307" s="336"/>
      <c r="T307" s="341"/>
      <c r="U307" s="341"/>
      <c r="V307" s="341"/>
      <c r="W307" s="346"/>
      <c r="X307" s="344"/>
      <c r="AF307" s="276">
        <f t="shared" si="21"/>
        <v>261.5</v>
      </c>
      <c r="AG307" s="276">
        <f t="shared" si="18"/>
        <v>405.72</v>
      </c>
      <c r="AH307" s="276">
        <f t="shared" si="19"/>
        <v>179.27999999999997</v>
      </c>
      <c r="AI307" s="283">
        <f t="shared" si="20"/>
        <v>0.68558317399617585</v>
      </c>
    </row>
    <row r="308" spans="1:35" x14ac:dyDescent="0.25">
      <c r="A308" s="275">
        <f>'Profits 2016'!A5518</f>
        <v>0</v>
      </c>
      <c r="B308" s="279">
        <f>'Profits 2016'!B5518</f>
        <v>0</v>
      </c>
      <c r="C308" s="276">
        <f>'Profits 2016'!H5518</f>
        <v>0</v>
      </c>
      <c r="D308" s="280">
        <f>'Profits 2016'!K5518</f>
        <v>0</v>
      </c>
      <c r="E308" s="276">
        <f>'Profits 2016'!L5518</f>
        <v>305</v>
      </c>
      <c r="F308" s="275" t="str">
        <f>'Profits 2016'!P5518</f>
        <v>Brazil</v>
      </c>
      <c r="G308" s="292">
        <f>'Profits 2016'!N5518-'Profits 2016'!M5518</f>
        <v>152.5</v>
      </c>
      <c r="H308" s="292">
        <v>0</v>
      </c>
      <c r="I308" s="275">
        <v>90936913</v>
      </c>
      <c r="J308" s="277">
        <v>42628</v>
      </c>
      <c r="K308" s="277">
        <v>42632</v>
      </c>
      <c r="L308" s="277">
        <v>42650</v>
      </c>
      <c r="M308" s="292">
        <v>0</v>
      </c>
      <c r="N308" s="281">
        <v>9127</v>
      </c>
      <c r="O308" s="344">
        <f>'Profits 2016'!T5518</f>
        <v>0</v>
      </c>
      <c r="P308" s="345">
        <f>'Profits 2016'!U5518</f>
        <v>0</v>
      </c>
      <c r="Q308" s="345"/>
      <c r="R308" s="342"/>
      <c r="S308" s="336"/>
      <c r="T308" s="341"/>
      <c r="U308" s="341"/>
      <c r="V308" s="341"/>
      <c r="W308" s="346"/>
      <c r="X308" s="344"/>
      <c r="AF308" s="276">
        <f t="shared" si="21"/>
        <v>152.5</v>
      </c>
      <c r="AG308" s="276">
        <f t="shared" si="18"/>
        <v>0</v>
      </c>
      <c r="AH308" s="276">
        <f t="shared" si="19"/>
        <v>0</v>
      </c>
      <c r="AI308" s="283">
        <f t="shared" si="20"/>
        <v>0</v>
      </c>
    </row>
    <row r="309" spans="1:35" ht="30" x14ac:dyDescent="0.25">
      <c r="A309" s="275">
        <f>'Profits 2016'!A5519</f>
        <v>3004347</v>
      </c>
      <c r="B309" s="279">
        <f>'Profits 2016'!B5519</f>
        <v>42627</v>
      </c>
      <c r="C309" s="276">
        <f>'Profits 2016'!H5519</f>
        <v>275</v>
      </c>
      <c r="D309" s="280">
        <f>'Profits 2016'!K5519</f>
        <v>268.64999999999998</v>
      </c>
      <c r="E309" s="276">
        <f>'Profits 2016'!L5519</f>
        <v>2000</v>
      </c>
      <c r="F309" s="275" t="str">
        <f>'Profits 2016'!P5519</f>
        <v>Priority</v>
      </c>
      <c r="G309" s="292">
        <f>'Profits 2016'!N5519-'Profits 2016'!M5519</f>
        <v>100</v>
      </c>
      <c r="H309" s="292">
        <v>0</v>
      </c>
      <c r="I309" s="275">
        <v>1055606</v>
      </c>
      <c r="J309" s="277">
        <v>42627</v>
      </c>
      <c r="K309" s="277">
        <v>42633</v>
      </c>
      <c r="L309" s="277">
        <v>42657</v>
      </c>
      <c r="M309" s="292">
        <v>100</v>
      </c>
      <c r="N309" s="281">
        <v>9186</v>
      </c>
      <c r="O309" s="236" t="str">
        <f>'Profits 2016'!T5519</f>
        <v>FEDEX GROUND</v>
      </c>
      <c r="P309" s="284" t="str">
        <f>'Profits 2016'!U5519</f>
        <v>777231318314</v>
      </c>
      <c r="Q309" s="284" t="s">
        <v>15740</v>
      </c>
      <c r="R309" s="276">
        <v>22.16</v>
      </c>
      <c r="S309" s="275">
        <v>1055606</v>
      </c>
      <c r="T309" s="279">
        <v>42627</v>
      </c>
      <c r="U309" s="279">
        <v>42633</v>
      </c>
      <c r="V309" s="279">
        <v>42657</v>
      </c>
      <c r="W309" s="293">
        <v>22.16</v>
      </c>
      <c r="X309" s="236">
        <v>9186</v>
      </c>
      <c r="AF309" s="276">
        <f t="shared" si="21"/>
        <v>122.16</v>
      </c>
      <c r="AG309" s="276">
        <f t="shared" si="18"/>
        <v>122.16</v>
      </c>
      <c r="AH309" s="276">
        <f t="shared" si="19"/>
        <v>146.48999999999998</v>
      </c>
      <c r="AI309" s="283">
        <f t="shared" si="20"/>
        <v>1.1991650294695479</v>
      </c>
    </row>
    <row r="310" spans="1:35" ht="30" x14ac:dyDescent="0.25">
      <c r="A310" s="275">
        <f>'Profits 2016'!A5520</f>
        <v>3004348</v>
      </c>
      <c r="B310" s="279">
        <f>'Profits 2016'!B5520</f>
        <v>42627</v>
      </c>
      <c r="C310" s="276">
        <f>'Profits 2016'!H5520</f>
        <v>335</v>
      </c>
      <c r="D310" s="280">
        <f>'Profits 2016'!K5520</f>
        <v>327.33</v>
      </c>
      <c r="E310" s="276">
        <f>'Profits 2016'!L5520</f>
        <v>1795</v>
      </c>
      <c r="F310" s="275" t="str">
        <f>'Profits 2016'!P5520</f>
        <v>Nassau</v>
      </c>
      <c r="G310" s="292">
        <f>'Profits 2016'!N5520-'Profits 2016'!M5520</f>
        <v>179.5</v>
      </c>
      <c r="H310" s="319"/>
      <c r="I310" s="320"/>
      <c r="J310" s="321"/>
      <c r="K310" s="321"/>
      <c r="L310" s="321"/>
      <c r="M310" s="319"/>
      <c r="N310" s="322"/>
      <c r="O310" s="236" t="str">
        <f>'Profits 2016'!T5520</f>
        <v>FEDEX GROUND</v>
      </c>
      <c r="P310" s="284">
        <f>'Profits 2016'!U5520</f>
        <v>680483360005</v>
      </c>
      <c r="Q310" s="284" t="s">
        <v>314</v>
      </c>
      <c r="R310" s="276">
        <v>58.13</v>
      </c>
      <c r="S310" s="275" t="s">
        <v>15739</v>
      </c>
      <c r="T310" s="279">
        <v>42639</v>
      </c>
      <c r="U310" s="279">
        <v>42646</v>
      </c>
      <c r="V310" s="279">
        <v>42657</v>
      </c>
      <c r="W310" s="293">
        <v>0</v>
      </c>
      <c r="X310" s="236">
        <v>9175</v>
      </c>
      <c r="AF310" s="276">
        <f t="shared" si="21"/>
        <v>237.63</v>
      </c>
      <c r="AG310" s="276">
        <f t="shared" si="18"/>
        <v>58.13</v>
      </c>
      <c r="AH310" s="276">
        <f t="shared" si="19"/>
        <v>269.2</v>
      </c>
      <c r="AI310" s="283">
        <f t="shared" si="20"/>
        <v>1.1328535959264403</v>
      </c>
    </row>
    <row r="311" spans="1:35" x14ac:dyDescent="0.25">
      <c r="A311" s="275">
        <f>'Profits 2016'!A5521</f>
        <v>3004349</v>
      </c>
      <c r="B311" s="279">
        <f>'Profits 2016'!B5521</f>
        <v>42627</v>
      </c>
      <c r="C311" s="276">
        <f>'Profits 2016'!H5521</f>
        <v>3550</v>
      </c>
      <c r="D311" s="280">
        <f>'Profits 2016'!K5521</f>
        <v>3471.6</v>
      </c>
      <c r="E311" s="276">
        <f>'Profits 2016'!L5521</f>
        <v>265</v>
      </c>
      <c r="F311" s="275" t="str">
        <f>'Profits 2016'!P5521</f>
        <v>Priority</v>
      </c>
      <c r="G311" s="292">
        <f>'Profits 2016'!N5521-'Profits 2016'!M5521</f>
        <v>2120</v>
      </c>
      <c r="H311" s="292">
        <v>0</v>
      </c>
      <c r="I311" s="275">
        <v>1056217</v>
      </c>
      <c r="J311" s="277">
        <v>42629</v>
      </c>
      <c r="K311" s="277">
        <v>42636</v>
      </c>
      <c r="L311" s="277">
        <v>42657</v>
      </c>
      <c r="M311" s="292">
        <v>2120</v>
      </c>
      <c r="N311" s="281">
        <v>9188</v>
      </c>
      <c r="O311" s="236" t="str">
        <f>'Profits 2016'!T5521</f>
        <v>SEFL</v>
      </c>
      <c r="P311" s="284" t="str">
        <f>'Profits 2016'!U5521</f>
        <v xml:space="preserve">	376346655</v>
      </c>
      <c r="Q311" s="284" t="s">
        <v>15740</v>
      </c>
      <c r="R311" s="276">
        <v>105</v>
      </c>
      <c r="S311" s="275">
        <v>1056217</v>
      </c>
      <c r="T311" s="279">
        <v>42629</v>
      </c>
      <c r="U311" s="279">
        <v>42636</v>
      </c>
      <c r="V311" s="279">
        <v>42657</v>
      </c>
      <c r="W311" s="293">
        <v>105</v>
      </c>
      <c r="X311" s="236">
        <v>9188</v>
      </c>
      <c r="AF311" s="276">
        <f t="shared" si="21"/>
        <v>2225</v>
      </c>
      <c r="AG311" s="276">
        <f t="shared" si="18"/>
        <v>2225</v>
      </c>
      <c r="AH311" s="276">
        <f t="shared" si="19"/>
        <v>1246.5999999999999</v>
      </c>
      <c r="AI311" s="283">
        <f t="shared" si="20"/>
        <v>0.56026966292134828</v>
      </c>
    </row>
    <row r="312" spans="1:35" x14ac:dyDescent="0.25">
      <c r="A312" s="275">
        <f>'Profits 2016'!A5522</f>
        <v>3004350</v>
      </c>
      <c r="B312" s="279">
        <f>'Profits 2016'!B5522</f>
        <v>42627</v>
      </c>
      <c r="C312" s="276">
        <f>'Profits 2016'!H5522</f>
        <v>1390.46</v>
      </c>
      <c r="D312" s="280">
        <f>'Profits 2016'!K5522</f>
        <v>1359.56988</v>
      </c>
      <c r="E312" s="276">
        <f>'Profits 2016'!L5522</f>
        <v>2000</v>
      </c>
      <c r="F312" s="275" t="str">
        <f>'Profits 2016'!P5522</f>
        <v>Priority</v>
      </c>
      <c r="G312" s="292">
        <f>'Profits 2016'!N5522-'Profits 2016'!M5522</f>
        <v>808</v>
      </c>
      <c r="H312" s="292">
        <v>0</v>
      </c>
      <c r="I312" s="275">
        <v>1055523</v>
      </c>
      <c r="J312" s="277">
        <v>42627</v>
      </c>
      <c r="K312" s="277">
        <v>42633</v>
      </c>
      <c r="L312" s="277">
        <v>42657</v>
      </c>
      <c r="M312" s="292">
        <v>808</v>
      </c>
      <c r="N312" s="281">
        <v>9186</v>
      </c>
      <c r="O312" s="236" t="str">
        <f>'Profits 2016'!T5522</f>
        <v>VOLPE</v>
      </c>
      <c r="P312" s="284" t="str">
        <f>'Profits 2016'!U5522</f>
        <v>32798441</v>
      </c>
      <c r="Q312" s="284" t="s">
        <v>15740</v>
      </c>
      <c r="R312" s="276">
        <v>169.65</v>
      </c>
      <c r="S312" s="275">
        <v>1055523</v>
      </c>
      <c r="T312" s="279">
        <v>42627</v>
      </c>
      <c r="U312" s="279">
        <v>42633</v>
      </c>
      <c r="V312" s="279">
        <v>42657</v>
      </c>
      <c r="W312" s="293">
        <v>169.65</v>
      </c>
      <c r="X312" s="236">
        <v>9186</v>
      </c>
      <c r="AF312" s="276">
        <f t="shared" si="21"/>
        <v>977.65</v>
      </c>
      <c r="AG312" s="276">
        <f t="shared" si="18"/>
        <v>977.65</v>
      </c>
      <c r="AH312" s="276">
        <f t="shared" si="19"/>
        <v>381.91988000000003</v>
      </c>
      <c r="AI312" s="283">
        <f t="shared" si="20"/>
        <v>0.39065092824630498</v>
      </c>
    </row>
    <row r="313" spans="1:35" ht="30" x14ac:dyDescent="0.25">
      <c r="A313" s="275">
        <f>'Profits 2016'!A5523</f>
        <v>3004351</v>
      </c>
      <c r="B313" s="279">
        <f>'Profits 2016'!B5523</f>
        <v>42627</v>
      </c>
      <c r="C313" s="276">
        <f>'Profits 2016'!H5523</f>
        <v>3402</v>
      </c>
      <c r="D313" s="280">
        <f>'Profits 2016'!K5523</f>
        <v>3402</v>
      </c>
      <c r="E313" s="276">
        <f>'Profits 2016'!L5523</f>
        <v>7300</v>
      </c>
      <c r="F313" s="275" t="str">
        <f>'Profits 2016'!P5523</f>
        <v>A-Z</v>
      </c>
      <c r="G313" s="292">
        <f>'Profits 2016'!N5523-'Profits 2016'!M5523</f>
        <v>1941.8000000000002</v>
      </c>
      <c r="H313" s="292">
        <v>0</v>
      </c>
      <c r="I313" s="275">
        <v>402285</v>
      </c>
      <c r="J313" s="277">
        <v>42636</v>
      </c>
      <c r="K313" s="277">
        <v>42642</v>
      </c>
      <c r="L313" s="277">
        <v>42678</v>
      </c>
      <c r="M313" s="292">
        <v>1941.8</v>
      </c>
      <c r="N313" s="281">
        <v>9283</v>
      </c>
      <c r="O313" s="236" t="str">
        <f>'Profits 2016'!T5523</f>
        <v>BAYLINK SHIPPING</v>
      </c>
      <c r="P313" s="284" t="str">
        <f>'Profits 2016'!U5523</f>
        <v>Customer Pick Up</v>
      </c>
      <c r="R313" s="276">
        <v>0</v>
      </c>
      <c r="AF313" s="276">
        <f t="shared" si="21"/>
        <v>1971.8000000000002</v>
      </c>
      <c r="AG313" s="276">
        <f t="shared" si="18"/>
        <v>1941.8</v>
      </c>
      <c r="AH313" s="276">
        <f t="shared" si="19"/>
        <v>1460.2</v>
      </c>
      <c r="AI313" s="283">
        <f t="shared" si="20"/>
        <v>0.74054163708286835</v>
      </c>
    </row>
    <row r="314" spans="1:35" ht="30" x14ac:dyDescent="0.25">
      <c r="A314" s="275">
        <f>'Profits 2016'!A5524</f>
        <v>3004352</v>
      </c>
      <c r="B314" s="279">
        <f>'Profits 2016'!B5524</f>
        <v>42627</v>
      </c>
      <c r="C314" s="276">
        <f>'Profits 2016'!H5524</f>
        <v>32300</v>
      </c>
      <c r="D314" s="280">
        <f>'Profits 2016'!K5524</f>
        <v>31589.1</v>
      </c>
      <c r="E314" s="276">
        <f>'Profits 2016'!L5524</f>
        <v>500</v>
      </c>
      <c r="F314" s="275" t="str">
        <f>'Profits 2016'!P5524</f>
        <v>Southwire</v>
      </c>
      <c r="G314" s="292">
        <f>'Profits 2016'!N5524-'Profits 2016'!M5524</f>
        <v>1250</v>
      </c>
      <c r="H314" s="292">
        <v>30</v>
      </c>
      <c r="I314" s="275">
        <v>90940523</v>
      </c>
      <c r="J314" s="277">
        <v>42630</v>
      </c>
      <c r="K314" s="277">
        <v>42636</v>
      </c>
      <c r="L314" s="277">
        <v>42650</v>
      </c>
      <c r="M314" s="292">
        <v>13524</v>
      </c>
      <c r="N314" s="281">
        <v>9128</v>
      </c>
      <c r="O314" s="344" t="str">
        <f>'Profits 2016'!T5524</f>
        <v>LANDSTAR RANGER</v>
      </c>
      <c r="P314" s="345">
        <f>'Profits 2016'!U5524</f>
        <v>0</v>
      </c>
      <c r="Q314" s="345"/>
      <c r="R314" s="342"/>
      <c r="S314" s="336"/>
      <c r="T314" s="341"/>
      <c r="U314" s="341"/>
      <c r="V314" s="341"/>
      <c r="W314" s="346"/>
      <c r="X314" s="344"/>
      <c r="AF314" s="276">
        <f t="shared" si="21"/>
        <v>1250</v>
      </c>
      <c r="AG314" s="276">
        <f t="shared" si="18"/>
        <v>13524</v>
      </c>
      <c r="AH314" s="276">
        <f t="shared" si="19"/>
        <v>18065.099999999999</v>
      </c>
      <c r="AI314" s="283">
        <f t="shared" si="20"/>
        <v>14.452079999999999</v>
      </c>
    </row>
    <row r="315" spans="1:35" ht="30" x14ac:dyDescent="0.25">
      <c r="A315" s="275">
        <f>'Profits 2016'!A5525</f>
        <v>0</v>
      </c>
      <c r="B315" s="279">
        <f>'Profits 2016'!B5525</f>
        <v>0</v>
      </c>
      <c r="C315" s="276">
        <f>'Profits 2016'!H5525</f>
        <v>0</v>
      </c>
      <c r="D315" s="280">
        <f>'Profits 2016'!K5525</f>
        <v>0</v>
      </c>
      <c r="E315" s="276">
        <f>'Profits 2016'!L5525</f>
        <v>1670</v>
      </c>
      <c r="F315" s="275" t="str">
        <f>'Profits 2016'!P5525</f>
        <v>Priority</v>
      </c>
      <c r="G315" s="292">
        <f>'Profits 2016'!N5525-'Profits 2016'!M5525</f>
        <v>1670</v>
      </c>
      <c r="H315" s="292">
        <v>0</v>
      </c>
      <c r="I315" s="275">
        <v>1056375</v>
      </c>
      <c r="J315" s="277">
        <v>42629</v>
      </c>
      <c r="K315" s="277">
        <v>42636</v>
      </c>
      <c r="L315" s="277">
        <v>42657</v>
      </c>
      <c r="M315" s="292">
        <v>1670</v>
      </c>
      <c r="N315" s="281">
        <v>9188</v>
      </c>
      <c r="O315" s="236" t="str">
        <f>'Profits 2016'!T5525</f>
        <v>FEDEX PRIORITY</v>
      </c>
      <c r="P315" s="284" t="str">
        <f>'Profits 2016'!U5525</f>
        <v xml:space="preserve">	3954144154</v>
      </c>
      <c r="Q315" s="284" t="s">
        <v>15740</v>
      </c>
      <c r="R315" s="276">
        <v>178.28</v>
      </c>
      <c r="S315" s="275">
        <v>1056375</v>
      </c>
      <c r="T315" s="279">
        <v>42629</v>
      </c>
      <c r="U315" s="279">
        <v>42636</v>
      </c>
      <c r="V315" s="279">
        <v>42657</v>
      </c>
      <c r="W315" s="293">
        <v>178.28</v>
      </c>
      <c r="X315" s="236">
        <v>9188</v>
      </c>
      <c r="AF315" s="276">
        <f t="shared" si="21"/>
        <v>1848.28</v>
      </c>
      <c r="AG315" s="276">
        <f t="shared" si="18"/>
        <v>1848.28</v>
      </c>
      <c r="AH315" s="276">
        <f t="shared" si="19"/>
        <v>-1848.28</v>
      </c>
      <c r="AI315" s="283">
        <f t="shared" si="20"/>
        <v>-1</v>
      </c>
    </row>
    <row r="316" spans="1:35" ht="30" x14ac:dyDescent="0.25">
      <c r="A316" s="332">
        <f>'Profits 2016'!A5526</f>
        <v>0</v>
      </c>
      <c r="B316" s="340">
        <f>'Profits 2016'!B5526</f>
        <v>0</v>
      </c>
      <c r="C316" s="349">
        <f>'Profits 2016'!H5526</f>
        <v>0</v>
      </c>
      <c r="D316" s="351">
        <f>'Profits 2016'!K5526</f>
        <v>0</v>
      </c>
      <c r="E316" s="349">
        <f>'Profits 2016'!L5526</f>
        <v>115</v>
      </c>
      <c r="F316" s="332" t="str">
        <f>'Profits 2016'!P5526</f>
        <v>Commodity</v>
      </c>
      <c r="G316" s="331">
        <f>'Profits 2016'!N5526-'Profits 2016'!M5526</f>
        <v>115</v>
      </c>
      <c r="H316" s="331">
        <v>0</v>
      </c>
      <c r="I316" s="332" t="s">
        <v>15766</v>
      </c>
      <c r="J316" s="333">
        <v>42634</v>
      </c>
      <c r="K316" s="333">
        <v>42655</v>
      </c>
      <c r="L316" s="333">
        <v>42657</v>
      </c>
      <c r="M316" s="331">
        <f>115-2.7</f>
        <v>112.3</v>
      </c>
      <c r="N316" s="334">
        <v>9164</v>
      </c>
      <c r="O316" s="347" t="str">
        <f>'Profits 2016'!T5526</f>
        <v>UPS GROUND</v>
      </c>
      <c r="P316" s="348" t="str">
        <f>'Profits 2016'!U5526</f>
        <v>1Z47E47W0341860869</v>
      </c>
      <c r="Q316" s="348" t="s">
        <v>15764</v>
      </c>
      <c r="R316" s="349">
        <v>19.809999999999999</v>
      </c>
      <c r="S316" s="332" t="s">
        <v>15766</v>
      </c>
      <c r="T316" s="340">
        <v>42634</v>
      </c>
      <c r="U316" s="340">
        <v>42655</v>
      </c>
      <c r="V316" s="340">
        <v>42657</v>
      </c>
      <c r="W316" s="350">
        <v>19.809999999999999</v>
      </c>
      <c r="X316" s="347">
        <v>9164</v>
      </c>
      <c r="AF316" s="276">
        <f t="shared" si="21"/>
        <v>164.81</v>
      </c>
      <c r="AG316" s="276">
        <f t="shared" si="18"/>
        <v>132.10999999999999</v>
      </c>
      <c r="AH316" s="276">
        <f t="shared" si="19"/>
        <v>-132.10999999999999</v>
      </c>
      <c r="AI316" s="283">
        <f t="shared" si="20"/>
        <v>-0.8015897093622959</v>
      </c>
    </row>
    <row r="317" spans="1:35" ht="30" x14ac:dyDescent="0.25">
      <c r="A317" s="275">
        <f>'Profits 2016'!A5527</f>
        <v>0</v>
      </c>
      <c r="B317" s="279">
        <f>'Profits 2016'!B5527</f>
        <v>0</v>
      </c>
      <c r="C317" s="276">
        <f>'Profits 2016'!H5527</f>
        <v>0</v>
      </c>
      <c r="D317" s="280">
        <f>'Profits 2016'!K5527</f>
        <v>0</v>
      </c>
      <c r="E317" s="276">
        <f>'Profits 2016'!L5527</f>
        <v>15300</v>
      </c>
      <c r="F317" s="275" t="str">
        <f>'Profits 2016'!P5527</f>
        <v>Southwire</v>
      </c>
      <c r="G317" s="292">
        <f>'Profits 2016'!N5527-'Profits 2016'!M5527</f>
        <v>13770</v>
      </c>
      <c r="H317" s="292">
        <v>30</v>
      </c>
      <c r="I317" s="275">
        <v>90939282</v>
      </c>
      <c r="J317" s="277">
        <v>42629</v>
      </c>
      <c r="K317" s="277">
        <v>42636</v>
      </c>
      <c r="L317" s="277">
        <v>42650</v>
      </c>
      <c r="M317" s="292">
        <v>1254.4000000000001</v>
      </c>
      <c r="N317" s="281">
        <v>9129</v>
      </c>
      <c r="O317" s="344" t="str">
        <f>'Profits 2016'!T5527</f>
        <v>LANDSTAR RANGER</v>
      </c>
      <c r="P317" s="345">
        <f>'Profits 2016'!U5527</f>
        <v>0</v>
      </c>
      <c r="Q317" s="345"/>
      <c r="R317" s="342"/>
      <c r="S317" s="336"/>
      <c r="T317" s="341"/>
      <c r="U317" s="341"/>
      <c r="V317" s="341"/>
      <c r="W317" s="346"/>
      <c r="X317" s="344"/>
      <c r="AF317" s="276">
        <f t="shared" si="21"/>
        <v>13770</v>
      </c>
      <c r="AG317" s="276">
        <f t="shared" si="18"/>
        <v>1254.4000000000001</v>
      </c>
      <c r="AH317" s="276">
        <f t="shared" si="19"/>
        <v>-1254.4000000000001</v>
      </c>
      <c r="AI317" s="283">
        <f t="shared" si="20"/>
        <v>-9.1096586782861297E-2</v>
      </c>
    </row>
    <row r="318" spans="1:35" ht="45" x14ac:dyDescent="0.25">
      <c r="A318" s="275">
        <f>'Profits 2016'!A5528</f>
        <v>0</v>
      </c>
      <c r="B318" s="279">
        <f>'Profits 2016'!B5528</f>
        <v>0</v>
      </c>
      <c r="C318" s="276">
        <f>'Profits 2016'!H5528</f>
        <v>0</v>
      </c>
      <c r="D318" s="280">
        <f>'Profits 2016'!K5528</f>
        <v>0</v>
      </c>
      <c r="E318" s="276">
        <f>'Profits 2016'!L5528</f>
        <v>15300</v>
      </c>
      <c r="F318" s="275" t="str">
        <f>'Profits 2016'!P5528</f>
        <v>Nassau</v>
      </c>
      <c r="G318" s="292">
        <f>'Profits 2016'!N5528-'Profits 2016'!M5528</f>
        <v>9180</v>
      </c>
      <c r="H318" s="319"/>
      <c r="I318" s="320"/>
      <c r="J318" s="321"/>
      <c r="K318" s="321"/>
      <c r="L318" s="321"/>
      <c r="M318" s="319"/>
      <c r="N318" s="322"/>
      <c r="O318" s="236" t="str">
        <f>'Profits 2016'!T5528</f>
        <v>ROAD RUNNER/ECHO</v>
      </c>
      <c r="P318" s="284" t="str">
        <f>'Profits 2016'!U5528</f>
        <v>336700711</v>
      </c>
      <c r="Q318" s="284" t="s">
        <v>15767</v>
      </c>
      <c r="R318" s="276">
        <v>600.65</v>
      </c>
      <c r="S318" s="275" t="s">
        <v>15768</v>
      </c>
      <c r="T318" s="279">
        <v>42653</v>
      </c>
      <c r="U318" s="279">
        <v>42657</v>
      </c>
      <c r="V318" s="279">
        <v>42678</v>
      </c>
      <c r="W318" s="293">
        <v>600.65</v>
      </c>
      <c r="X318" s="236">
        <v>9298</v>
      </c>
      <c r="AF318" s="276">
        <f t="shared" si="21"/>
        <v>9780.65</v>
      </c>
      <c r="AG318" s="276">
        <f t="shared" si="18"/>
        <v>600.65</v>
      </c>
      <c r="AH318" s="276">
        <f t="shared" si="19"/>
        <v>-600.65</v>
      </c>
      <c r="AI318" s="283">
        <f t="shared" si="20"/>
        <v>-6.1412073839673231E-2</v>
      </c>
    </row>
    <row r="319" spans="1:35" x14ac:dyDescent="0.25">
      <c r="A319" s="275">
        <f>'Profits 2016'!A5529</f>
        <v>3004353</v>
      </c>
      <c r="B319" s="279">
        <f>'Profits 2016'!B5529</f>
        <v>42627</v>
      </c>
      <c r="C319" s="276">
        <f>'Profits 2016'!H5529</f>
        <v>6000</v>
      </c>
      <c r="D319" s="280">
        <f>'Profits 2016'!K5529</f>
        <v>5867.7</v>
      </c>
      <c r="E319" s="276">
        <f>'Profits 2016'!L5529</f>
        <v>3300</v>
      </c>
      <c r="F319" s="275" t="str">
        <f>'Profits 2016'!P5529</f>
        <v>ERCO</v>
      </c>
      <c r="G319" s="292">
        <f>'Profits 2016'!N5529-'Profits 2016'!M5529</f>
        <v>3382.5</v>
      </c>
      <c r="H319" s="292">
        <v>0</v>
      </c>
      <c r="I319" s="275">
        <v>152156</v>
      </c>
      <c r="J319" s="277">
        <v>42628</v>
      </c>
      <c r="K319" s="277">
        <v>42633</v>
      </c>
      <c r="L319" s="277">
        <v>42657</v>
      </c>
      <c r="M319" s="292">
        <v>3382.5</v>
      </c>
      <c r="N319" s="281">
        <v>9170</v>
      </c>
      <c r="O319" s="236" t="str">
        <f>'Profits 2016'!T5529</f>
        <v>FEDEX/DLS</v>
      </c>
      <c r="P319" s="284" t="str">
        <f>'Profits 2016'!U5529</f>
        <v>3723474672</v>
      </c>
      <c r="Q319" s="284" t="s">
        <v>15742</v>
      </c>
      <c r="R319" s="276">
        <v>305.49</v>
      </c>
      <c r="S319" s="275">
        <v>636749925</v>
      </c>
      <c r="T319" s="279">
        <v>42636</v>
      </c>
      <c r="U319" s="279">
        <v>42641</v>
      </c>
      <c r="V319" s="279">
        <v>42650</v>
      </c>
      <c r="W319" s="293">
        <v>305.49</v>
      </c>
      <c r="X319" s="236">
        <v>9118</v>
      </c>
      <c r="AF319" s="276">
        <f t="shared" si="21"/>
        <v>3687.99</v>
      </c>
      <c r="AG319" s="276">
        <f t="shared" si="18"/>
        <v>3687.99</v>
      </c>
      <c r="AH319" s="276">
        <f t="shared" si="19"/>
        <v>2179.71</v>
      </c>
      <c r="AI319" s="283">
        <f t="shared" si="20"/>
        <v>0.5910292598407263</v>
      </c>
    </row>
    <row r="320" spans="1:35" ht="30" x14ac:dyDescent="0.25">
      <c r="A320" s="275">
        <f>'Profits 2016'!A5530</f>
        <v>3004354</v>
      </c>
      <c r="B320" s="279">
        <f>'Profits 2016'!B5530</f>
        <v>42628</v>
      </c>
      <c r="C320" s="276">
        <f>'Profits 2016'!H5530</f>
        <v>225</v>
      </c>
      <c r="D320" s="280">
        <f>'Profits 2016'!K5530</f>
        <v>220.42500000000001</v>
      </c>
      <c r="E320" s="276">
        <f>'Profits 2016'!L5530</f>
        <v>3400</v>
      </c>
      <c r="F320" s="275" t="str">
        <f>'Profits 2016'!P5530</f>
        <v>Nassau</v>
      </c>
      <c r="G320" s="292">
        <f>'Profits 2016'!N5530-'Profits 2016'!M5530</f>
        <v>119.00000000000001</v>
      </c>
      <c r="H320" s="319"/>
      <c r="I320" s="320"/>
      <c r="J320" s="321"/>
      <c r="K320" s="321"/>
      <c r="L320" s="321"/>
      <c r="M320" s="319"/>
      <c r="N320" s="322"/>
      <c r="O320" s="236" t="str">
        <f>'Profits 2016'!T5530</f>
        <v>FEDEX GROUND</v>
      </c>
      <c r="P320" s="284" t="str">
        <f>'Profits 2016'!U5530</f>
        <v>702723288186</v>
      </c>
      <c r="Q320" s="284" t="s">
        <v>314</v>
      </c>
      <c r="R320" s="276">
        <v>16.239999999999998</v>
      </c>
      <c r="S320" s="275" t="s">
        <v>15744</v>
      </c>
      <c r="T320" s="279">
        <v>42646</v>
      </c>
      <c r="U320" s="279">
        <v>42653</v>
      </c>
      <c r="V320" s="279">
        <v>42657</v>
      </c>
      <c r="W320" s="293">
        <v>0</v>
      </c>
      <c r="X320" s="236">
        <v>9174</v>
      </c>
      <c r="AF320" s="276">
        <f t="shared" si="21"/>
        <v>135.24</v>
      </c>
      <c r="AG320" s="276">
        <f t="shared" si="18"/>
        <v>16.239999999999998</v>
      </c>
      <c r="AH320" s="276">
        <f t="shared" si="19"/>
        <v>204.185</v>
      </c>
      <c r="AI320" s="283">
        <f t="shared" si="20"/>
        <v>1.5097973972197574</v>
      </c>
    </row>
    <row r="321" spans="1:35" ht="45" x14ac:dyDescent="0.25">
      <c r="A321" s="275">
        <f>'Profits 2016'!A5531</f>
        <v>3004355</v>
      </c>
      <c r="B321" s="279">
        <f>'Profits 2016'!B5531</f>
        <v>42628</v>
      </c>
      <c r="C321" s="276">
        <f>'Profits 2016'!H5531</f>
        <v>1425</v>
      </c>
      <c r="D321" s="280">
        <f>'Profits 2016'!K5531</f>
        <v>1378.3875</v>
      </c>
      <c r="E321" s="276">
        <f>'Profits 2016'!L5531</f>
        <v>950</v>
      </c>
      <c r="F321" s="275" t="str">
        <f>'Profits 2016'!P5531</f>
        <v>Southwire</v>
      </c>
      <c r="G321" s="292">
        <f>'Profits 2016'!N5531-'Profits 2016'!M5531</f>
        <v>950</v>
      </c>
      <c r="H321" s="292">
        <v>0</v>
      </c>
      <c r="I321" s="275">
        <v>90940611</v>
      </c>
      <c r="J321" s="277">
        <v>42630</v>
      </c>
      <c r="K321" s="277">
        <v>42636</v>
      </c>
      <c r="L321" s="277">
        <v>42650</v>
      </c>
      <c r="M321" s="292">
        <v>931</v>
      </c>
      <c r="N321" s="281">
        <v>9130</v>
      </c>
      <c r="O321" s="344" t="str">
        <f>'Profits 2016'!T5531</f>
        <v>OLD DOMINION</v>
      </c>
      <c r="P321" s="345" t="str">
        <f>'Profits 2016'!U5531</f>
        <v>59654848262</v>
      </c>
      <c r="Q321" s="345"/>
      <c r="R321" s="342"/>
      <c r="S321" s="336"/>
      <c r="T321" s="341"/>
      <c r="U321" s="341"/>
      <c r="V321" s="341"/>
      <c r="W321" s="346"/>
      <c r="X321" s="344"/>
      <c r="AF321" s="276">
        <f t="shared" si="21"/>
        <v>950</v>
      </c>
      <c r="AG321" s="276">
        <f t="shared" si="18"/>
        <v>931</v>
      </c>
      <c r="AH321" s="276">
        <f t="shared" si="19"/>
        <v>447.38750000000005</v>
      </c>
      <c r="AI321" s="283">
        <f t="shared" si="20"/>
        <v>0.47093421052631584</v>
      </c>
    </row>
    <row r="322" spans="1:35" x14ac:dyDescent="0.25">
      <c r="A322" s="275">
        <f>'Profits 2016'!A5532</f>
        <v>3004356</v>
      </c>
      <c r="B322" s="279">
        <f>'Profits 2016'!B5532</f>
        <v>42628</v>
      </c>
      <c r="C322" s="276">
        <f>'Profits 2016'!H5532</f>
        <v>3350</v>
      </c>
      <c r="D322" s="280">
        <f>'Profits 2016'!K5532</f>
        <v>3276</v>
      </c>
      <c r="E322" s="276">
        <f>'Profits 2016'!L5532</f>
        <v>4000</v>
      </c>
      <c r="F322" s="275" t="str">
        <f>'Profits 2016'!P5532</f>
        <v>Nassau</v>
      </c>
      <c r="G322" s="292">
        <f>'Profits 2016'!N5532-'Profits 2016'!M5532</f>
        <v>2240</v>
      </c>
      <c r="H322" s="319"/>
      <c r="I322" s="320"/>
      <c r="J322" s="321"/>
      <c r="K322" s="321"/>
      <c r="L322" s="321"/>
      <c r="M322" s="319"/>
      <c r="N322" s="322"/>
      <c r="O322" s="236" t="str">
        <f>'Profits 2016'!T5532</f>
        <v>R&amp;L/DLS</v>
      </c>
      <c r="P322" s="284" t="str">
        <f>'Profits 2016'!U5532</f>
        <v>I730491606</v>
      </c>
      <c r="Q322" s="284" t="s">
        <v>15742</v>
      </c>
      <c r="R322" s="276">
        <v>270.86</v>
      </c>
      <c r="S322" s="275">
        <v>636738617</v>
      </c>
      <c r="T322" s="279">
        <v>42634</v>
      </c>
      <c r="U322" s="279">
        <v>42639</v>
      </c>
      <c r="V322" s="279">
        <v>42643</v>
      </c>
      <c r="W322" s="293">
        <v>270.86</v>
      </c>
      <c r="X322" s="236">
        <v>9045</v>
      </c>
      <c r="AF322" s="276">
        <f t="shared" si="21"/>
        <v>2510.86</v>
      </c>
      <c r="AG322" s="276">
        <f t="shared" si="18"/>
        <v>270.86</v>
      </c>
      <c r="AH322" s="276">
        <f t="shared" si="19"/>
        <v>3005.14</v>
      </c>
      <c r="AI322" s="283">
        <f t="shared" si="20"/>
        <v>1.1968568538269755</v>
      </c>
    </row>
    <row r="323" spans="1:35" ht="30" x14ac:dyDescent="0.25">
      <c r="A323" s="275">
        <f>'Profits 2016'!A5533</f>
        <v>3004357</v>
      </c>
      <c r="B323" s="279">
        <f>'Profits 2016'!B5533</f>
        <v>42628</v>
      </c>
      <c r="C323" s="276">
        <f>'Profits 2016'!H5533</f>
        <v>108.9</v>
      </c>
      <c r="D323" s="280">
        <f>'Profits 2016'!K5533</f>
        <v>96.729900000000001</v>
      </c>
      <c r="E323" s="276">
        <f>'Profits 2016'!L5533</f>
        <v>205</v>
      </c>
      <c r="F323" s="275" t="str">
        <f>'Profits 2016'!P5533</f>
        <v>Nassau</v>
      </c>
      <c r="G323" s="292">
        <f>'Profits 2016'!N5533-'Profits 2016'!M5533</f>
        <v>51.25</v>
      </c>
      <c r="H323" s="319"/>
      <c r="I323" s="320"/>
      <c r="J323" s="321"/>
      <c r="K323" s="321"/>
      <c r="L323" s="321"/>
      <c r="M323" s="319"/>
      <c r="N323" s="322"/>
      <c r="O323" s="236" t="str">
        <f>'Profits 2016'!T5533</f>
        <v>FEDEX GROUND</v>
      </c>
      <c r="P323" s="284" t="str">
        <f>'Profits 2016'!U5533</f>
        <v>702723288153</v>
      </c>
      <c r="Q323" s="284" t="s">
        <v>314</v>
      </c>
      <c r="R323" s="276">
        <v>24.27</v>
      </c>
      <c r="S323" s="275" t="s">
        <v>15744</v>
      </c>
      <c r="T323" s="279">
        <v>42646</v>
      </c>
      <c r="U323" s="279">
        <v>42653</v>
      </c>
      <c r="V323" s="279">
        <v>42657</v>
      </c>
      <c r="W323" s="293">
        <v>0</v>
      </c>
      <c r="X323" s="236">
        <v>9174</v>
      </c>
      <c r="AF323" s="276">
        <f t="shared" si="21"/>
        <v>75.52</v>
      </c>
      <c r="AG323" s="276">
        <f t="shared" ref="AG323:AG386" si="22">M323+R323+Y323</f>
        <v>24.27</v>
      </c>
      <c r="AH323" s="276">
        <f t="shared" ref="AH323:AH386" si="23">D323-AG323</f>
        <v>72.459900000000005</v>
      </c>
      <c r="AI323" s="283">
        <f t="shared" ref="AI323:AI386" si="24">AH323/AF323</f>
        <v>0.95947960805084753</v>
      </c>
    </row>
    <row r="324" spans="1:35" ht="30" x14ac:dyDescent="0.25">
      <c r="A324" s="275">
        <f>'Profits 2016'!A5534</f>
        <v>3004358</v>
      </c>
      <c r="B324" s="279">
        <f>'Profits 2016'!B5534</f>
        <v>42628</v>
      </c>
      <c r="C324" s="276">
        <f>'Profits 2016'!H5534</f>
        <v>67.27</v>
      </c>
      <c r="D324" s="280">
        <f>'Profits 2016'!K5534</f>
        <v>59.637569999999997</v>
      </c>
      <c r="E324" s="276">
        <f>'Profits 2016'!L5534</f>
        <v>133</v>
      </c>
      <c r="F324" s="275" t="str">
        <f>'Profits 2016'!P5534</f>
        <v>Priority</v>
      </c>
      <c r="G324" s="292">
        <f>'Profits 2016'!N5534-'Profits 2016'!M5534</f>
        <v>33.25</v>
      </c>
      <c r="H324" s="292">
        <v>0</v>
      </c>
      <c r="I324" s="275">
        <v>1056327</v>
      </c>
      <c r="J324" s="277">
        <v>42629</v>
      </c>
      <c r="K324" s="277">
        <v>42636</v>
      </c>
      <c r="L324" s="277">
        <v>42657</v>
      </c>
      <c r="M324" s="292">
        <v>33.25</v>
      </c>
      <c r="N324" s="281">
        <v>9190</v>
      </c>
      <c r="O324" s="236" t="str">
        <f>'Profits 2016'!T5534</f>
        <v>FEDEX GROUND</v>
      </c>
      <c r="P324" s="284" t="str">
        <f>'Profits 2016'!U5534</f>
        <v xml:space="preserve">	614697967110</v>
      </c>
      <c r="Q324" s="284" t="s">
        <v>15740</v>
      </c>
      <c r="R324" s="276">
        <v>21.72</v>
      </c>
      <c r="S324" s="275">
        <v>1056327</v>
      </c>
      <c r="T324" s="279">
        <v>42629</v>
      </c>
      <c r="U324" s="279">
        <v>42636</v>
      </c>
      <c r="V324" s="279">
        <v>42657</v>
      </c>
      <c r="W324" s="293">
        <v>21.72</v>
      </c>
      <c r="X324" s="236">
        <v>9190</v>
      </c>
      <c r="AF324" s="276">
        <f t="shared" si="21"/>
        <v>54.97</v>
      </c>
      <c r="AG324" s="276">
        <f t="shared" si="22"/>
        <v>54.97</v>
      </c>
      <c r="AH324" s="276">
        <f t="shared" si="23"/>
        <v>4.6675699999999978</v>
      </c>
      <c r="AI324" s="283">
        <f t="shared" si="24"/>
        <v>8.4911224304165867E-2</v>
      </c>
    </row>
    <row r="325" spans="1:35" ht="30" x14ac:dyDescent="0.25">
      <c r="A325" s="275">
        <f>'Profits 2016'!A5535</f>
        <v>3004359</v>
      </c>
      <c r="B325" s="279">
        <f>'Profits 2016'!B5535</f>
        <v>42628</v>
      </c>
      <c r="C325" s="276">
        <f>'Profits 2016'!H5535</f>
        <v>201.16</v>
      </c>
      <c r="D325" s="280">
        <f>'Profits 2016'!K5535</f>
        <v>178.93356</v>
      </c>
      <c r="E325" s="276">
        <f>'Profits 2016'!L5535</f>
        <v>164</v>
      </c>
      <c r="F325" s="275" t="str">
        <f>'Profits 2016'!P5535</f>
        <v>Priority</v>
      </c>
      <c r="G325" s="292">
        <f>'Profits 2016'!N5535-'Profits 2016'!M5535</f>
        <v>82</v>
      </c>
      <c r="H325" s="292">
        <v>0</v>
      </c>
      <c r="I325" s="275">
        <v>1056374</v>
      </c>
      <c r="J325" s="277">
        <v>42629</v>
      </c>
      <c r="K325" s="277">
        <v>42636</v>
      </c>
      <c r="L325" s="277">
        <v>42657</v>
      </c>
      <c r="M325" s="292">
        <v>82</v>
      </c>
      <c r="N325" s="281">
        <v>9189</v>
      </c>
      <c r="O325" s="236" t="str">
        <f>'Profits 2016'!T5535</f>
        <v>FEDEX GROUND</v>
      </c>
      <c r="P325" s="284" t="str">
        <f>'Profits 2016'!U5535</f>
        <v xml:space="preserve">	777241395162</v>
      </c>
      <c r="Q325" s="284" t="s">
        <v>15740</v>
      </c>
      <c r="R325" s="276">
        <v>30.4</v>
      </c>
      <c r="S325" s="275">
        <v>1056374</v>
      </c>
      <c r="T325" s="279">
        <v>42629</v>
      </c>
      <c r="U325" s="279">
        <v>42636</v>
      </c>
      <c r="V325" s="279">
        <v>42657</v>
      </c>
      <c r="W325" s="293">
        <v>30.4</v>
      </c>
      <c r="X325" s="236">
        <v>9189</v>
      </c>
      <c r="AF325" s="276">
        <f t="shared" si="21"/>
        <v>112.4</v>
      </c>
      <c r="AG325" s="276">
        <f t="shared" si="22"/>
        <v>112.4</v>
      </c>
      <c r="AH325" s="276">
        <f t="shared" si="23"/>
        <v>66.533559999999994</v>
      </c>
      <c r="AI325" s="283">
        <f t="shared" si="24"/>
        <v>0.59193558718861206</v>
      </c>
    </row>
    <row r="326" spans="1:35" ht="30" x14ac:dyDescent="0.25">
      <c r="A326" s="275">
        <f>'Profits 2016'!A5536</f>
        <v>3004360</v>
      </c>
      <c r="B326" s="279">
        <f>'Profits 2016'!B5536</f>
        <v>42628</v>
      </c>
      <c r="C326" s="276">
        <f>'Profits 2016'!H5536</f>
        <v>156.97999999999999</v>
      </c>
      <c r="D326" s="280">
        <f>'Profits 2016'!K5536</f>
        <v>139.56917999999999</v>
      </c>
      <c r="E326" s="276">
        <f>'Profits 2016'!L5536</f>
        <v>640</v>
      </c>
      <c r="F326" s="275" t="str">
        <f>'Profits 2016'!P5536</f>
        <v>Nassau</v>
      </c>
      <c r="G326" s="292">
        <f>'Profits 2016'!N5536-'Profits 2016'!M5536</f>
        <v>64</v>
      </c>
      <c r="H326" s="319"/>
      <c r="I326" s="320"/>
      <c r="J326" s="321"/>
      <c r="K326" s="321"/>
      <c r="L326" s="321"/>
      <c r="M326" s="319"/>
      <c r="N326" s="322"/>
      <c r="O326" s="236" t="str">
        <f>'Profits 2016'!T5536</f>
        <v>FEDEX GROUND</v>
      </c>
      <c r="P326" s="284" t="str">
        <f>'Profits 2016'!U5536</f>
        <v>702723288142</v>
      </c>
      <c r="Q326" s="284" t="s">
        <v>314</v>
      </c>
      <c r="R326" s="276">
        <v>20.39</v>
      </c>
      <c r="S326" s="275" t="s">
        <v>15739</v>
      </c>
      <c r="T326" s="279">
        <v>42639</v>
      </c>
      <c r="U326" s="279">
        <v>42646</v>
      </c>
      <c r="V326" s="279">
        <v>42657</v>
      </c>
      <c r="W326" s="293">
        <v>0</v>
      </c>
      <c r="X326" s="236">
        <v>9175</v>
      </c>
      <c r="AF326" s="276">
        <f t="shared" si="21"/>
        <v>84.39</v>
      </c>
      <c r="AG326" s="276">
        <f t="shared" si="22"/>
        <v>20.39</v>
      </c>
      <c r="AH326" s="276">
        <f t="shared" si="23"/>
        <v>119.17917999999999</v>
      </c>
      <c r="AI326" s="283">
        <f t="shared" si="24"/>
        <v>1.4122429197772246</v>
      </c>
    </row>
    <row r="327" spans="1:35" ht="30" x14ac:dyDescent="0.25">
      <c r="A327" s="275">
        <f>'Profits 2016'!A5537</f>
        <v>3004361</v>
      </c>
      <c r="B327" s="279">
        <f>'Profits 2016'!B5537</f>
        <v>42628</v>
      </c>
      <c r="C327" s="276">
        <f>'Profits 2016'!H5537</f>
        <v>876.5</v>
      </c>
      <c r="D327" s="280">
        <f>'Profits 2016'!K5537</f>
        <v>797.61500000000001</v>
      </c>
      <c r="E327" s="276">
        <f>'Profits 2016'!L5537</f>
        <v>1322</v>
      </c>
      <c r="F327" s="275" t="str">
        <f>'Profits 2016'!P5537</f>
        <v>Thea</v>
      </c>
      <c r="G327" s="292">
        <f>'Profits 2016'!N5537-'Profits 2016'!M5537</f>
        <v>165.25</v>
      </c>
      <c r="H327" s="319"/>
      <c r="I327" s="320"/>
      <c r="J327" s="321"/>
      <c r="K327" s="321"/>
      <c r="L327" s="321"/>
      <c r="M327" s="319"/>
      <c r="N327" s="322"/>
      <c r="O327" s="347" t="str">
        <f>'Profits 2016'!T5537</f>
        <v>FEDEX GROUND</v>
      </c>
      <c r="P327" s="348" t="str">
        <f>'Profits 2016'!U5537</f>
        <v>675157530275</v>
      </c>
      <c r="Q327" s="348" t="s">
        <v>314</v>
      </c>
      <c r="R327" s="349">
        <v>32.909999999999997</v>
      </c>
      <c r="S327" s="332" t="s">
        <v>15738</v>
      </c>
      <c r="T327" s="340">
        <v>42653</v>
      </c>
      <c r="U327" s="340">
        <v>42656</v>
      </c>
      <c r="V327" s="340">
        <v>42664</v>
      </c>
      <c r="W327" s="350">
        <f t="shared" ref="W327:W329" si="25">R327</f>
        <v>32.909999999999997</v>
      </c>
      <c r="X327" s="347">
        <v>9215</v>
      </c>
      <c r="AF327" s="276">
        <f t="shared" si="21"/>
        <v>198.16</v>
      </c>
      <c r="AG327" s="276">
        <f t="shared" si="22"/>
        <v>32.909999999999997</v>
      </c>
      <c r="AH327" s="276">
        <f t="shared" si="23"/>
        <v>764.70500000000004</v>
      </c>
      <c r="AI327" s="283">
        <f t="shared" si="24"/>
        <v>3.8590280581348408</v>
      </c>
    </row>
    <row r="328" spans="1:35" ht="30" x14ac:dyDescent="0.25">
      <c r="A328" s="275">
        <f>'Profits 2016'!A5538</f>
        <v>0</v>
      </c>
      <c r="B328" s="279">
        <f>'Profits 2016'!B5538</f>
        <v>0</v>
      </c>
      <c r="C328" s="276">
        <f>'Profits 2016'!H5538</f>
        <v>0</v>
      </c>
      <c r="D328" s="280">
        <f>'Profits 2016'!K5538</f>
        <v>0</v>
      </c>
      <c r="E328" s="276">
        <f>'Profits 2016'!L5538</f>
        <v>0</v>
      </c>
      <c r="F328" s="275" t="str">
        <f>'Profits 2016'!P5538</f>
        <v>Nassau</v>
      </c>
      <c r="G328" s="292">
        <f>'Profits 2016'!N5538-'Profits 2016'!M5538</f>
        <v>0</v>
      </c>
      <c r="H328" s="319"/>
      <c r="I328" s="320"/>
      <c r="J328" s="321"/>
      <c r="K328" s="321"/>
      <c r="L328" s="321"/>
      <c r="M328" s="319"/>
      <c r="N328" s="322"/>
      <c r="O328" s="347" t="str">
        <f>'Profits 2016'!T5538</f>
        <v>FEDEX GROUND</v>
      </c>
      <c r="P328" s="348" t="str">
        <f>'Profits 2016'!U5538</f>
        <v>702723288782</v>
      </c>
      <c r="Q328" s="348" t="s">
        <v>314</v>
      </c>
      <c r="R328" s="349">
        <v>53.53</v>
      </c>
      <c r="S328" s="332" t="s">
        <v>15738</v>
      </c>
      <c r="T328" s="340">
        <v>42653</v>
      </c>
      <c r="U328" s="340">
        <v>42656</v>
      </c>
      <c r="V328" s="340">
        <v>42664</v>
      </c>
      <c r="W328" s="350">
        <f t="shared" si="25"/>
        <v>53.53</v>
      </c>
      <c r="X328" s="347">
        <v>9215</v>
      </c>
      <c r="AF328" s="276">
        <f t="shared" si="21"/>
        <v>53.53</v>
      </c>
      <c r="AG328" s="276">
        <f t="shared" si="22"/>
        <v>53.53</v>
      </c>
      <c r="AH328" s="276">
        <f t="shared" si="23"/>
        <v>-53.53</v>
      </c>
      <c r="AI328" s="283">
        <f t="shared" si="24"/>
        <v>-1</v>
      </c>
    </row>
    <row r="329" spans="1:35" ht="30" x14ac:dyDescent="0.25">
      <c r="A329" s="275">
        <f>'Profits 2016'!A5539</f>
        <v>3004362</v>
      </c>
      <c r="B329" s="279">
        <f>'Profits 2016'!B5539</f>
        <v>42628</v>
      </c>
      <c r="C329" s="276">
        <f>'Profits 2016'!H5539</f>
        <v>229</v>
      </c>
      <c r="D329" s="280">
        <f>'Profits 2016'!K5539</f>
        <v>203.73899999999998</v>
      </c>
      <c r="E329" s="276">
        <f>'Profits 2016'!L5539</f>
        <v>670</v>
      </c>
      <c r="F329" s="275" t="str">
        <f>'Profits 2016'!P5539</f>
        <v>Thea</v>
      </c>
      <c r="G329" s="292">
        <f>'Profits 2016'!N5539-'Profits 2016'!M5539</f>
        <v>93.800000000000011</v>
      </c>
      <c r="H329" s="319"/>
      <c r="I329" s="320"/>
      <c r="J329" s="321"/>
      <c r="K329" s="321"/>
      <c r="L329" s="321"/>
      <c r="M329" s="319"/>
      <c r="N329" s="322"/>
      <c r="O329" s="347" t="str">
        <f>'Profits 2016'!T5539</f>
        <v>FEDEX GROUND</v>
      </c>
      <c r="P329" s="348" t="str">
        <f>'Profits 2016'!U5539</f>
        <v>675157529845</v>
      </c>
      <c r="Q329" s="348" t="s">
        <v>314</v>
      </c>
      <c r="R329" s="349">
        <v>51.1</v>
      </c>
      <c r="S329" s="332" t="s">
        <v>15738</v>
      </c>
      <c r="T329" s="340">
        <v>42653</v>
      </c>
      <c r="U329" s="340">
        <v>42656</v>
      </c>
      <c r="V329" s="340">
        <v>42664</v>
      </c>
      <c r="W329" s="350">
        <f t="shared" si="25"/>
        <v>51.1</v>
      </c>
      <c r="X329" s="347">
        <v>9215</v>
      </c>
      <c r="AF329" s="276">
        <f t="shared" si="21"/>
        <v>144.9</v>
      </c>
      <c r="AG329" s="276">
        <f t="shared" si="22"/>
        <v>51.1</v>
      </c>
      <c r="AH329" s="276">
        <f t="shared" si="23"/>
        <v>152.63899999999998</v>
      </c>
      <c r="AI329" s="283">
        <f t="shared" si="24"/>
        <v>1.0534092477570738</v>
      </c>
    </row>
    <row r="330" spans="1:35" ht="30" x14ac:dyDescent="0.25">
      <c r="A330" s="275">
        <f>'Profits 2016'!A5540</f>
        <v>3004363</v>
      </c>
      <c r="B330" s="279">
        <f>'Profits 2016'!B5540</f>
        <v>42628</v>
      </c>
      <c r="C330" s="276">
        <f>'Profits 2016'!H5540</f>
        <v>245</v>
      </c>
      <c r="D330" s="280">
        <f>'Profits 2016'!K5540</f>
        <v>217.99499999999998</v>
      </c>
      <c r="E330" s="276">
        <f>'Profits 2016'!L5540</f>
        <v>1322</v>
      </c>
      <c r="F330" s="275" t="str">
        <f>'Profits 2016'!P5540</f>
        <v>Thea</v>
      </c>
      <c r="G330" s="292">
        <f>'Profits 2016'!N5540-'Profits 2016'!M5540</f>
        <v>132.20000000000002</v>
      </c>
      <c r="H330" s="319"/>
      <c r="I330" s="320"/>
      <c r="J330" s="321"/>
      <c r="K330" s="321"/>
      <c r="L330" s="321"/>
      <c r="M330" s="319"/>
      <c r="N330" s="322"/>
      <c r="O330" s="236" t="str">
        <f>'Profits 2016'!T5540</f>
        <v>FEDEX GROUND</v>
      </c>
      <c r="P330" s="284" t="str">
        <f>'Profits 2016'!U5540</f>
        <v>675157529801</v>
      </c>
      <c r="Q330" s="284" t="s">
        <v>314</v>
      </c>
      <c r="R330" s="276">
        <v>29.4</v>
      </c>
      <c r="S330" s="275" t="s">
        <v>15744</v>
      </c>
      <c r="T330" s="279">
        <v>42646</v>
      </c>
      <c r="U330" s="279">
        <v>42653</v>
      </c>
      <c r="V330" s="279">
        <v>42657</v>
      </c>
      <c r="W330" s="293">
        <v>0</v>
      </c>
      <c r="X330" s="236">
        <v>9174</v>
      </c>
      <c r="AF330" s="276">
        <f t="shared" si="21"/>
        <v>161.60000000000002</v>
      </c>
      <c r="AG330" s="276">
        <f t="shared" si="22"/>
        <v>29.4</v>
      </c>
      <c r="AH330" s="276">
        <f t="shared" si="23"/>
        <v>188.59499999999997</v>
      </c>
      <c r="AI330" s="283">
        <f t="shared" si="24"/>
        <v>1.1670482673267324</v>
      </c>
    </row>
    <row r="331" spans="1:35" ht="30" x14ac:dyDescent="0.25">
      <c r="A331" s="275">
        <f>'Profits 2016'!A5541</f>
        <v>3004364</v>
      </c>
      <c r="B331" s="279">
        <f>'Profits 2016'!B5541</f>
        <v>42628</v>
      </c>
      <c r="C331" s="276">
        <f>'Profits 2016'!H5541</f>
        <v>193</v>
      </c>
      <c r="D331" s="280">
        <f>'Profits 2016'!K5541</f>
        <v>171.66299999999998</v>
      </c>
      <c r="E331" s="276">
        <f>'Profits 2016'!L5541</f>
        <v>990</v>
      </c>
      <c r="F331" s="275" t="str">
        <f>'Profits 2016'!P5541</f>
        <v>Nassau</v>
      </c>
      <c r="G331" s="292">
        <f>'Profits 2016'!N5541-'Profits 2016'!M5541</f>
        <v>74.25</v>
      </c>
      <c r="H331" s="319"/>
      <c r="I331" s="320"/>
      <c r="J331" s="321"/>
      <c r="K331" s="321"/>
      <c r="L331" s="321"/>
      <c r="M331" s="319"/>
      <c r="N331" s="322"/>
      <c r="O331" s="236" t="str">
        <f>'Profits 2016'!T5541</f>
        <v>FEDEX GROUND</v>
      </c>
      <c r="P331" s="284" t="str">
        <f>'Profits 2016'!U5541</f>
        <v>702723288164</v>
      </c>
      <c r="Q331" s="284" t="s">
        <v>314</v>
      </c>
      <c r="R331" s="276">
        <v>28.79</v>
      </c>
      <c r="S331" s="275" t="s">
        <v>15744</v>
      </c>
      <c r="T331" s="279">
        <v>42646</v>
      </c>
      <c r="U331" s="279">
        <v>42653</v>
      </c>
      <c r="V331" s="279">
        <v>42657</v>
      </c>
      <c r="W331" s="293">
        <v>0</v>
      </c>
      <c r="X331" s="236">
        <v>9174</v>
      </c>
      <c r="AF331" s="276">
        <f t="shared" ref="AF331:AF351" si="26">G331+H332+R331+Y331</f>
        <v>103.03999999999999</v>
      </c>
      <c r="AG331" s="276">
        <f t="shared" si="22"/>
        <v>28.79</v>
      </c>
      <c r="AH331" s="276">
        <f t="shared" si="23"/>
        <v>142.87299999999999</v>
      </c>
      <c r="AI331" s="283">
        <f t="shared" si="24"/>
        <v>1.3865780279503106</v>
      </c>
    </row>
    <row r="332" spans="1:35" ht="30" x14ac:dyDescent="0.25">
      <c r="A332" s="275">
        <f>'Profits 2016'!A5542</f>
        <v>3004365</v>
      </c>
      <c r="B332" s="279">
        <f>'Profits 2016'!B5542</f>
        <v>42628</v>
      </c>
      <c r="C332" s="276">
        <f>'Profits 2016'!H5542</f>
        <v>118.75</v>
      </c>
      <c r="D332" s="280">
        <f>'Profits 2016'!K5542</f>
        <v>105.50624999999999</v>
      </c>
      <c r="E332" s="276">
        <f>'Profits 2016'!L5542</f>
        <v>123</v>
      </c>
      <c r="F332" s="275" t="str">
        <f>'Profits 2016'!P5542</f>
        <v>Priority</v>
      </c>
      <c r="G332" s="292">
        <f>'Profits 2016'!N5542-'Profits 2016'!M5542</f>
        <v>61.5</v>
      </c>
      <c r="H332" s="292">
        <v>0</v>
      </c>
      <c r="I332" s="275">
        <v>1056269</v>
      </c>
      <c r="J332" s="277">
        <v>42629</v>
      </c>
      <c r="K332" s="277">
        <v>42636</v>
      </c>
      <c r="L332" s="277">
        <v>42657</v>
      </c>
      <c r="M332" s="292">
        <v>61.5</v>
      </c>
      <c r="N332" s="281">
        <v>9189</v>
      </c>
      <c r="O332" s="236" t="str">
        <f>'Profits 2016'!T5542</f>
        <v>UPS GROUND</v>
      </c>
      <c r="P332" s="284" t="str">
        <f>'Profits 2016'!U5542</f>
        <v>1Z096RR40341525989</v>
      </c>
      <c r="Q332" s="284" t="s">
        <v>15740</v>
      </c>
      <c r="R332" s="276">
        <v>24.48</v>
      </c>
      <c r="S332" s="275">
        <v>1056269</v>
      </c>
      <c r="T332" s="279">
        <v>42629</v>
      </c>
      <c r="U332" s="279">
        <v>42636</v>
      </c>
      <c r="V332" s="279">
        <v>42657</v>
      </c>
      <c r="W332" s="293">
        <v>24.48</v>
      </c>
      <c r="X332" s="236">
        <v>9189</v>
      </c>
      <c r="AF332" s="276">
        <f t="shared" si="26"/>
        <v>85.98</v>
      </c>
      <c r="AG332" s="276">
        <f t="shared" si="22"/>
        <v>85.98</v>
      </c>
      <c r="AH332" s="276">
        <f t="shared" si="23"/>
        <v>19.52624999999999</v>
      </c>
      <c r="AI332" s="283">
        <f t="shared" si="24"/>
        <v>0.22710223307745975</v>
      </c>
    </row>
    <row r="333" spans="1:35" ht="30" x14ac:dyDescent="0.25">
      <c r="A333" s="275">
        <f>'Profits 2016'!A5543</f>
        <v>3004366</v>
      </c>
      <c r="B333" s="279">
        <f>'Profits 2016'!B5543</f>
        <v>42628</v>
      </c>
      <c r="C333" s="276">
        <f>'Profits 2016'!H5543</f>
        <v>140</v>
      </c>
      <c r="D333" s="280">
        <f>'Profits 2016'!K5543</f>
        <v>119</v>
      </c>
      <c r="E333" s="276">
        <f>'Profits 2016'!L5543</f>
        <v>480</v>
      </c>
      <c r="F333" s="275" t="str">
        <f>'Profits 2016'!P5543</f>
        <v>Nassau</v>
      </c>
      <c r="G333" s="292">
        <f>'Profits 2016'!N5543-'Profits 2016'!M5543</f>
        <v>72</v>
      </c>
      <c r="H333" s="319"/>
      <c r="I333" s="320"/>
      <c r="J333" s="321"/>
      <c r="K333" s="321"/>
      <c r="L333" s="321"/>
      <c r="M333" s="319"/>
      <c r="N333" s="322"/>
      <c r="O333" s="236" t="str">
        <f>'Profits 2016'!T5543</f>
        <v>FEDEX GROUND</v>
      </c>
      <c r="P333" s="284" t="str">
        <f>'Profits 2016'!U5543</f>
        <v>702723288175</v>
      </c>
      <c r="Q333" s="284" t="s">
        <v>314</v>
      </c>
      <c r="R333" s="276">
        <v>23.25</v>
      </c>
      <c r="S333" s="275" t="s">
        <v>15744</v>
      </c>
      <c r="T333" s="279">
        <v>42646</v>
      </c>
      <c r="U333" s="279">
        <v>42653</v>
      </c>
      <c r="V333" s="279">
        <v>42657</v>
      </c>
      <c r="W333" s="293">
        <v>0</v>
      </c>
      <c r="X333" s="236">
        <v>9174</v>
      </c>
      <c r="AF333" s="276">
        <f t="shared" si="26"/>
        <v>95.25</v>
      </c>
      <c r="AG333" s="276">
        <f t="shared" si="22"/>
        <v>23.25</v>
      </c>
      <c r="AH333" s="276">
        <f t="shared" si="23"/>
        <v>95.75</v>
      </c>
      <c r="AI333" s="283">
        <f t="shared" si="24"/>
        <v>1.0052493438320209</v>
      </c>
    </row>
    <row r="334" spans="1:35" ht="30" x14ac:dyDescent="0.25">
      <c r="A334" s="275">
        <f>'Profits 2016'!A5544</f>
        <v>3004367</v>
      </c>
      <c r="B334" s="279">
        <f>'Profits 2016'!B5544</f>
        <v>42628</v>
      </c>
      <c r="C334" s="276">
        <f>'Profits 2016'!H5544</f>
        <v>159</v>
      </c>
      <c r="D334" s="280">
        <f>'Profits 2016'!K5544</f>
        <v>135.15</v>
      </c>
      <c r="E334" s="276">
        <f>'Profits 2016'!L5544</f>
        <v>468</v>
      </c>
      <c r="F334" s="275" t="str">
        <f>'Profits 2016'!P5544</f>
        <v>Direct</v>
      </c>
      <c r="G334" s="292">
        <f>'Profits 2016'!N5544-'Profits 2016'!M5544</f>
        <v>46.8</v>
      </c>
      <c r="H334" s="292">
        <v>0</v>
      </c>
      <c r="I334" s="275">
        <v>72766</v>
      </c>
      <c r="J334" s="277">
        <v>42632</v>
      </c>
      <c r="K334" s="277">
        <v>42636</v>
      </c>
      <c r="L334" s="277">
        <v>42636</v>
      </c>
      <c r="M334" s="292">
        <v>92.71</v>
      </c>
      <c r="N334" s="281">
        <v>9019</v>
      </c>
      <c r="O334" s="347" t="str">
        <f>'Profits 2016'!T5544</f>
        <v>FEDEX GROUND</v>
      </c>
      <c r="P334" s="348" t="str">
        <f>'Profits 2016'!U5544</f>
        <v>642286528916</v>
      </c>
      <c r="Q334" s="348" t="s">
        <v>314</v>
      </c>
      <c r="R334" s="349">
        <v>23.34</v>
      </c>
      <c r="S334" s="332" t="s">
        <v>15738</v>
      </c>
      <c r="T334" s="340">
        <v>42653</v>
      </c>
      <c r="U334" s="340">
        <v>42656</v>
      </c>
      <c r="V334" s="340">
        <v>42664</v>
      </c>
      <c r="W334" s="350">
        <f>R334</f>
        <v>23.34</v>
      </c>
      <c r="X334" s="347">
        <v>9215</v>
      </c>
      <c r="AF334" s="276">
        <f t="shared" si="26"/>
        <v>70.14</v>
      </c>
      <c r="AG334" s="276">
        <f t="shared" si="22"/>
        <v>116.05</v>
      </c>
      <c r="AH334" s="276">
        <f t="shared" si="23"/>
        <v>19.100000000000009</v>
      </c>
      <c r="AI334" s="283">
        <f t="shared" si="24"/>
        <v>0.27231251782149996</v>
      </c>
    </row>
    <row r="335" spans="1:35" x14ac:dyDescent="0.25">
      <c r="A335" s="275">
        <f>'Profits 2016'!A5545</f>
        <v>0</v>
      </c>
      <c r="B335" s="279">
        <f>'Profits 2016'!B5545</f>
        <v>0</v>
      </c>
      <c r="C335" s="276">
        <f>'Profits 2016'!H5545</f>
        <v>0</v>
      </c>
      <c r="D335" s="280">
        <f>'Profits 2016'!K5545</f>
        <v>0</v>
      </c>
      <c r="E335" s="276">
        <f>'Profits 2016'!L5545</f>
        <v>478</v>
      </c>
      <c r="F335" s="275" t="str">
        <f>'Profits 2016'!P5545</f>
        <v>Direct</v>
      </c>
      <c r="G335" s="292">
        <f>'Profits 2016'!N5545-'Profits 2016'!M5545</f>
        <v>47.800000000000004</v>
      </c>
      <c r="H335" s="292">
        <v>0</v>
      </c>
      <c r="I335" s="275">
        <v>72766</v>
      </c>
      <c r="J335" s="277">
        <v>42632</v>
      </c>
      <c r="K335" s="277">
        <v>42636</v>
      </c>
      <c r="L335" s="277">
        <v>42636</v>
      </c>
      <c r="M335" s="292">
        <v>0</v>
      </c>
      <c r="N335" s="281">
        <v>9019</v>
      </c>
      <c r="O335" s="347">
        <f>'Profits 2016'!T5545</f>
        <v>0</v>
      </c>
      <c r="P335" s="348">
        <f>'Profits 2016'!U5545</f>
        <v>0</v>
      </c>
      <c r="Q335" s="348" t="s">
        <v>314</v>
      </c>
      <c r="R335" s="349">
        <v>0</v>
      </c>
      <c r="S335" s="332" t="s">
        <v>15738</v>
      </c>
      <c r="T335" s="340">
        <v>42653</v>
      </c>
      <c r="U335" s="340">
        <v>42656</v>
      </c>
      <c r="V335" s="340">
        <v>42664</v>
      </c>
      <c r="W335" s="350">
        <f>R335</f>
        <v>0</v>
      </c>
      <c r="X335" s="347">
        <v>9215</v>
      </c>
      <c r="AF335" s="276">
        <f t="shared" si="26"/>
        <v>47.800000000000004</v>
      </c>
      <c r="AG335" s="276">
        <f t="shared" si="22"/>
        <v>0</v>
      </c>
      <c r="AH335" s="276">
        <f t="shared" si="23"/>
        <v>0</v>
      </c>
      <c r="AI335" s="283">
        <f t="shared" si="24"/>
        <v>0</v>
      </c>
    </row>
    <row r="336" spans="1:35" ht="30" x14ac:dyDescent="0.25">
      <c r="A336" s="275">
        <f>'Profits 2016'!A5546</f>
        <v>3004368</v>
      </c>
      <c r="B336" s="279">
        <f>'Profits 2016'!B5546</f>
        <v>42628</v>
      </c>
      <c r="C336" s="276">
        <f>'Profits 2016'!H5546</f>
        <v>118.8</v>
      </c>
      <c r="D336" s="280">
        <f>'Profits 2016'!K5546</f>
        <v>100.97999999999999</v>
      </c>
      <c r="E336" s="276">
        <f>'Profits 2016'!L5546</f>
        <v>950</v>
      </c>
      <c r="F336" s="275" t="str">
        <f>'Profits 2016'!P5546</f>
        <v>Thea</v>
      </c>
      <c r="G336" s="292">
        <f>'Profits 2016'!N5546-'Profits 2016'!M5546</f>
        <v>47.5</v>
      </c>
      <c r="H336" s="319"/>
      <c r="I336" s="320"/>
      <c r="J336" s="321"/>
      <c r="K336" s="321"/>
      <c r="L336" s="321"/>
      <c r="M336" s="319"/>
      <c r="N336" s="322"/>
      <c r="O336" s="236" t="str">
        <f>'Profits 2016'!T5546</f>
        <v>FEDEX GROUND</v>
      </c>
      <c r="P336" s="284" t="str">
        <f>'Profits 2016'!U5546</f>
        <v>675157529797</v>
      </c>
      <c r="Q336" s="284" t="s">
        <v>314</v>
      </c>
      <c r="R336" s="276">
        <v>13.26</v>
      </c>
      <c r="S336" s="275" t="s">
        <v>15744</v>
      </c>
      <c r="T336" s="279">
        <v>42646</v>
      </c>
      <c r="U336" s="279">
        <v>42653</v>
      </c>
      <c r="V336" s="279">
        <v>42657</v>
      </c>
      <c r="W336" s="293">
        <v>0</v>
      </c>
      <c r="X336" s="236">
        <v>9174</v>
      </c>
      <c r="AF336" s="276">
        <f t="shared" si="26"/>
        <v>60.76</v>
      </c>
      <c r="AG336" s="276">
        <f t="shared" si="22"/>
        <v>13.26</v>
      </c>
      <c r="AH336" s="276">
        <f t="shared" si="23"/>
        <v>87.719999999999985</v>
      </c>
      <c r="AI336" s="283">
        <f t="shared" si="24"/>
        <v>1.443712969058591</v>
      </c>
    </row>
    <row r="337" spans="1:35" ht="30" x14ac:dyDescent="0.25">
      <c r="A337" s="275">
        <f>'Profits 2016'!A5547</f>
        <v>3004369</v>
      </c>
      <c r="B337" s="279">
        <f>'Profits 2016'!B5547</f>
        <v>42628</v>
      </c>
      <c r="C337" s="276">
        <f>'Profits 2016'!H5547</f>
        <v>487.83</v>
      </c>
      <c r="D337" s="280">
        <f>'Profits 2016'!K5547</f>
        <v>414.65549999999996</v>
      </c>
      <c r="E337" s="276">
        <f>'Profits 2016'!L5547</f>
        <v>660</v>
      </c>
      <c r="F337" s="275" t="str">
        <f>'Profits 2016'!P5547</f>
        <v>Nassau</v>
      </c>
      <c r="G337" s="292">
        <f>'Profits 2016'!N5547-'Profits 2016'!M5547</f>
        <v>165</v>
      </c>
      <c r="H337" s="319"/>
      <c r="I337" s="320"/>
      <c r="J337" s="321"/>
      <c r="K337" s="321"/>
      <c r="L337" s="321"/>
      <c r="M337" s="319"/>
      <c r="N337" s="322"/>
      <c r="O337" s="236" t="str">
        <f>'Profits 2016'!T5547</f>
        <v>FEDEX GROUND</v>
      </c>
      <c r="P337" s="284" t="str">
        <f>'Profits 2016'!U5547</f>
        <v>702723288201</v>
      </c>
      <c r="Q337" s="284" t="s">
        <v>314</v>
      </c>
      <c r="R337" s="276">
        <v>50.23</v>
      </c>
      <c r="S337" s="275" t="s">
        <v>15744</v>
      </c>
      <c r="T337" s="279">
        <v>42646</v>
      </c>
      <c r="U337" s="279">
        <v>42653</v>
      </c>
      <c r="V337" s="279">
        <v>42657</v>
      </c>
      <c r="W337" s="293">
        <v>0</v>
      </c>
      <c r="X337" s="236">
        <v>9174</v>
      </c>
      <c r="AF337" s="276">
        <f t="shared" si="26"/>
        <v>215.23</v>
      </c>
      <c r="AG337" s="276">
        <f t="shared" si="22"/>
        <v>50.23</v>
      </c>
      <c r="AH337" s="276">
        <f t="shared" si="23"/>
        <v>364.42549999999994</v>
      </c>
      <c r="AI337" s="283">
        <f t="shared" si="24"/>
        <v>1.6931910049714258</v>
      </c>
    </row>
    <row r="338" spans="1:35" ht="30" x14ac:dyDescent="0.25">
      <c r="A338" s="275">
        <f>'Profits 2016'!A5548</f>
        <v>3004370</v>
      </c>
      <c r="B338" s="279">
        <f>'Profits 2016'!B5548</f>
        <v>42628</v>
      </c>
      <c r="C338" s="276">
        <f>'Profits 2016'!H5548</f>
        <v>304.25</v>
      </c>
      <c r="D338" s="280">
        <f>'Profits 2016'!K5548</f>
        <v>258.61250000000001</v>
      </c>
      <c r="E338" s="276">
        <f>'Profits 2016'!L5548</f>
        <v>504</v>
      </c>
      <c r="F338" s="275" t="str">
        <f>'Profits 2016'!P5548</f>
        <v>Nassau</v>
      </c>
      <c r="G338" s="292">
        <f>'Profits 2016'!N5548-'Profits 2016'!M5548</f>
        <v>151.19999999999999</v>
      </c>
      <c r="H338" s="319"/>
      <c r="I338" s="320"/>
      <c r="J338" s="321"/>
      <c r="K338" s="321"/>
      <c r="L338" s="321"/>
      <c r="M338" s="319"/>
      <c r="N338" s="322"/>
      <c r="O338" s="236" t="str">
        <f>'Profits 2016'!T5548</f>
        <v>FEDEX GROUND</v>
      </c>
      <c r="P338" s="284" t="str">
        <f>'Profits 2016'!U5548</f>
        <v xml:space="preserve">	702723288223</v>
      </c>
      <c r="Q338" s="284" t="s">
        <v>314</v>
      </c>
      <c r="R338" s="276">
        <v>56.9</v>
      </c>
      <c r="S338" s="275" t="s">
        <v>15744</v>
      </c>
      <c r="T338" s="279">
        <v>42646</v>
      </c>
      <c r="U338" s="279">
        <v>42653</v>
      </c>
      <c r="V338" s="279">
        <v>42657</v>
      </c>
      <c r="W338" s="293">
        <v>0</v>
      </c>
      <c r="X338" s="236">
        <v>9174</v>
      </c>
      <c r="AF338" s="276">
        <f t="shared" si="26"/>
        <v>208.1</v>
      </c>
      <c r="AG338" s="276">
        <f t="shared" si="22"/>
        <v>56.9</v>
      </c>
      <c r="AH338" s="276">
        <f t="shared" si="23"/>
        <v>201.71250000000001</v>
      </c>
      <c r="AI338" s="283">
        <f t="shared" si="24"/>
        <v>0.9693056222969727</v>
      </c>
    </row>
    <row r="339" spans="1:35" ht="30" x14ac:dyDescent="0.25">
      <c r="A339" s="275">
        <f>'Profits 2016'!A5549</f>
        <v>3004371</v>
      </c>
      <c r="B339" s="279">
        <f>'Profits 2016'!B5549</f>
        <v>42628</v>
      </c>
      <c r="C339" s="276">
        <f>'Profits 2016'!H5549</f>
        <v>118.7</v>
      </c>
      <c r="D339" s="280">
        <f>'Profits 2016'!K5549</f>
        <v>100.89500000000001</v>
      </c>
      <c r="E339" s="276">
        <f>'Profits 2016'!L5549</f>
        <v>577</v>
      </c>
      <c r="F339" s="275" t="str">
        <f>'Profits 2016'!P5549</f>
        <v>Nassau</v>
      </c>
      <c r="G339" s="292">
        <f>'Profits 2016'!N5549-'Profits 2016'!M5549</f>
        <v>57.7</v>
      </c>
      <c r="H339" s="319"/>
      <c r="I339" s="320"/>
      <c r="J339" s="321"/>
      <c r="K339" s="321"/>
      <c r="L339" s="321"/>
      <c r="M339" s="319"/>
      <c r="N339" s="322"/>
      <c r="O339" s="236" t="str">
        <f>'Profits 2016'!T5549</f>
        <v>FEDEX GROUND</v>
      </c>
      <c r="P339" s="284" t="str">
        <f>'Profits 2016'!U5549</f>
        <v>702723288234</v>
      </c>
      <c r="Q339" s="284" t="s">
        <v>314</v>
      </c>
      <c r="R339" s="276">
        <v>22.91</v>
      </c>
      <c r="S339" s="275" t="s">
        <v>15744</v>
      </c>
      <c r="T339" s="279">
        <v>42646</v>
      </c>
      <c r="U339" s="279">
        <v>42653</v>
      </c>
      <c r="V339" s="279">
        <v>42657</v>
      </c>
      <c r="W339" s="293">
        <v>0</v>
      </c>
      <c r="X339" s="236">
        <v>9174</v>
      </c>
      <c r="AF339" s="276">
        <f t="shared" si="26"/>
        <v>80.61</v>
      </c>
      <c r="AG339" s="276">
        <f t="shared" si="22"/>
        <v>22.91</v>
      </c>
      <c r="AH339" s="276">
        <f t="shared" si="23"/>
        <v>77.985000000000014</v>
      </c>
      <c r="AI339" s="283">
        <f t="shared" si="24"/>
        <v>0.96743580200967638</v>
      </c>
    </row>
    <row r="340" spans="1:35" ht="30" x14ac:dyDescent="0.25">
      <c r="A340" s="275">
        <f>'Profits 2016'!A5550</f>
        <v>3004372</v>
      </c>
      <c r="B340" s="279">
        <f>'Profits 2016'!B5550</f>
        <v>42628</v>
      </c>
      <c r="C340" s="276">
        <f>'Profits 2016'!H5550</f>
        <v>193.04</v>
      </c>
      <c r="D340" s="280">
        <f>'Profits 2016'!K5550</f>
        <v>164.084</v>
      </c>
      <c r="E340" s="276">
        <f>'Profits 2016'!L5550</f>
        <v>950</v>
      </c>
      <c r="F340" s="275" t="str">
        <f>'Profits 2016'!P5550</f>
        <v>Thea</v>
      </c>
      <c r="G340" s="292">
        <f>'Profits 2016'!N5550-'Profits 2016'!M5550</f>
        <v>95</v>
      </c>
      <c r="H340" s="319"/>
      <c r="I340" s="320"/>
      <c r="J340" s="321"/>
      <c r="K340" s="321"/>
      <c r="L340" s="321"/>
      <c r="M340" s="319"/>
      <c r="N340" s="322"/>
      <c r="O340" s="236" t="str">
        <f>'Profits 2016'!T5550</f>
        <v>FEDEX GROUND</v>
      </c>
      <c r="P340" s="284" t="str">
        <f>'Profits 2016'!U5550</f>
        <v>675157529786</v>
      </c>
      <c r="Q340" s="284" t="s">
        <v>314</v>
      </c>
      <c r="R340" s="276">
        <v>24.03</v>
      </c>
      <c r="S340" s="275" t="s">
        <v>15744</v>
      </c>
      <c r="T340" s="279">
        <v>42646</v>
      </c>
      <c r="U340" s="279">
        <v>42653</v>
      </c>
      <c r="V340" s="279">
        <v>42657</v>
      </c>
      <c r="W340" s="293">
        <v>0</v>
      </c>
      <c r="X340" s="236">
        <v>9174</v>
      </c>
      <c r="AF340" s="276">
        <f t="shared" si="26"/>
        <v>119.03</v>
      </c>
      <c r="AG340" s="276">
        <f t="shared" si="22"/>
        <v>24.03</v>
      </c>
      <c r="AH340" s="276">
        <f t="shared" si="23"/>
        <v>140.054</v>
      </c>
      <c r="AI340" s="283">
        <f t="shared" si="24"/>
        <v>1.176627740905654</v>
      </c>
    </row>
    <row r="341" spans="1:35" ht="30" x14ac:dyDescent="0.25">
      <c r="A341" s="275">
        <f>'Profits 2016'!A5551</f>
        <v>3004373</v>
      </c>
      <c r="B341" s="279">
        <f>'Profits 2016'!B5551</f>
        <v>42628</v>
      </c>
      <c r="C341" s="276">
        <f>'Profits 2016'!H5551</f>
        <v>234</v>
      </c>
      <c r="D341" s="280">
        <f>'Profits 2016'!K5551</f>
        <v>198.9</v>
      </c>
      <c r="E341" s="276">
        <f>'Profits 2016'!L5551</f>
        <v>1322</v>
      </c>
      <c r="F341" s="275" t="str">
        <f>'Profits 2016'!P5551</f>
        <v>Thea</v>
      </c>
      <c r="G341" s="292">
        <f>'Profits 2016'!N5551-'Profits 2016'!M5551</f>
        <v>132.20000000000002</v>
      </c>
      <c r="H341" s="319"/>
      <c r="I341" s="320"/>
      <c r="J341" s="321"/>
      <c r="K341" s="321"/>
      <c r="L341" s="321"/>
      <c r="M341" s="319"/>
      <c r="N341" s="322"/>
      <c r="O341" s="236" t="str">
        <f>'Profits 2016'!T5551</f>
        <v>FEDEX GROUND</v>
      </c>
      <c r="P341" s="284" t="str">
        <f>'Profits 2016'!U5551</f>
        <v>675157529764</v>
      </c>
      <c r="Q341" s="284" t="s">
        <v>314</v>
      </c>
      <c r="R341" s="276">
        <v>19.739999999999998</v>
      </c>
      <c r="S341" s="275" t="s">
        <v>15744</v>
      </c>
      <c r="T341" s="279">
        <v>42646</v>
      </c>
      <c r="U341" s="279">
        <v>42653</v>
      </c>
      <c r="V341" s="279">
        <v>42657</v>
      </c>
      <c r="W341" s="293">
        <v>0</v>
      </c>
      <c r="X341" s="236">
        <v>9174</v>
      </c>
      <c r="AF341" s="276">
        <f t="shared" si="26"/>
        <v>151.94000000000003</v>
      </c>
      <c r="AG341" s="276">
        <f t="shared" si="22"/>
        <v>19.739999999999998</v>
      </c>
      <c r="AH341" s="276">
        <f t="shared" si="23"/>
        <v>179.16</v>
      </c>
      <c r="AI341" s="283">
        <f t="shared" si="24"/>
        <v>1.1791496643411872</v>
      </c>
    </row>
    <row r="342" spans="1:35" ht="45" x14ac:dyDescent="0.25">
      <c r="A342" s="275">
        <f>'Profits 2016'!A5552</f>
        <v>3004374</v>
      </c>
      <c r="B342" s="279">
        <f>'Profits 2016'!B5552</f>
        <v>42628</v>
      </c>
      <c r="C342" s="276">
        <f>'Profits 2016'!H5552</f>
        <v>559</v>
      </c>
      <c r="D342" s="280">
        <f>'Profits 2016'!K5552</f>
        <v>546.40200000000004</v>
      </c>
      <c r="E342" s="276">
        <f>'Profits 2016'!L5552</f>
        <v>1015</v>
      </c>
      <c r="F342" s="275" t="str">
        <f>'Profits 2016'!P5552</f>
        <v>Nassau</v>
      </c>
      <c r="G342" s="292">
        <f>'Profits 2016'!N5552-'Profits 2016'!M5552</f>
        <v>263.89999999999998</v>
      </c>
      <c r="H342" s="319"/>
      <c r="I342" s="320"/>
      <c r="J342" s="321"/>
      <c r="K342" s="321"/>
      <c r="L342" s="321"/>
      <c r="M342" s="319"/>
      <c r="N342" s="322"/>
      <c r="O342" s="347" t="str">
        <f>'Profits 2016'!T5552</f>
        <v>PYLE TRANS/ECHO</v>
      </c>
      <c r="P342" s="348" t="str">
        <f>'Profits 2016'!U5552</f>
        <v>335786356</v>
      </c>
      <c r="Q342" s="348" t="s">
        <v>15767</v>
      </c>
      <c r="R342" s="349">
        <v>166.97</v>
      </c>
      <c r="S342" s="332" t="s">
        <v>15769</v>
      </c>
      <c r="T342" s="340">
        <v>42647</v>
      </c>
      <c r="U342" s="340">
        <v>42654</v>
      </c>
      <c r="V342" s="340">
        <v>42678</v>
      </c>
      <c r="W342" s="350">
        <v>166.97</v>
      </c>
      <c r="X342" s="347">
        <v>9296</v>
      </c>
      <c r="AF342" s="276">
        <f t="shared" si="26"/>
        <v>430.87</v>
      </c>
      <c r="AG342" s="276">
        <f t="shared" si="22"/>
        <v>166.97</v>
      </c>
      <c r="AH342" s="276">
        <f t="shared" si="23"/>
        <v>379.43200000000002</v>
      </c>
      <c r="AI342" s="283">
        <f t="shared" si="24"/>
        <v>0.88061828393715047</v>
      </c>
    </row>
    <row r="343" spans="1:35" ht="30" x14ac:dyDescent="0.25">
      <c r="A343" s="275">
        <f>'Profits 2016'!A5553</f>
        <v>3004375</v>
      </c>
      <c r="B343" s="279">
        <f>'Profits 2016'!B5553</f>
        <v>42628</v>
      </c>
      <c r="C343" s="276">
        <f>'Profits 2016'!H5553</f>
        <v>334.62</v>
      </c>
      <c r="D343" s="280">
        <f>'Profits 2016'!K5553</f>
        <v>326.95836000000003</v>
      </c>
      <c r="E343" s="276">
        <f>'Profits 2016'!L5553</f>
        <v>0</v>
      </c>
      <c r="F343" s="275" t="str">
        <f>'Profits 2016'!P5553</f>
        <v>Nassau</v>
      </c>
      <c r="G343" s="292">
        <f>'Profits 2016'!N5553-'Profits 2016'!M5553</f>
        <v>0</v>
      </c>
      <c r="H343" s="319"/>
      <c r="I343" s="320"/>
      <c r="J343" s="321"/>
      <c r="K343" s="321"/>
      <c r="L343" s="321"/>
      <c r="M343" s="319"/>
      <c r="N343" s="322"/>
      <c r="O343" s="236" t="str">
        <f>'Profits 2016'!T5553</f>
        <v>FEDEX GROUND</v>
      </c>
      <c r="P343" s="284" t="str">
        <f>'Profits 2016'!U5553</f>
        <v xml:space="preserve">	702723288212</v>
      </c>
      <c r="Q343" s="284" t="s">
        <v>314</v>
      </c>
      <c r="R343" s="276">
        <v>50.38</v>
      </c>
      <c r="S343" s="275" t="s">
        <v>15744</v>
      </c>
      <c r="T343" s="279">
        <v>42646</v>
      </c>
      <c r="U343" s="279">
        <v>42653</v>
      </c>
      <c r="V343" s="279">
        <v>42657</v>
      </c>
      <c r="W343" s="293">
        <v>0</v>
      </c>
      <c r="X343" s="236">
        <v>9174</v>
      </c>
      <c r="AF343" s="276">
        <f t="shared" si="26"/>
        <v>50.38</v>
      </c>
      <c r="AG343" s="276">
        <f t="shared" si="22"/>
        <v>50.38</v>
      </c>
      <c r="AH343" s="276">
        <f t="shared" si="23"/>
        <v>276.57836000000003</v>
      </c>
      <c r="AI343" s="283">
        <f t="shared" si="24"/>
        <v>5.4898443826915448</v>
      </c>
    </row>
    <row r="344" spans="1:35" ht="30" x14ac:dyDescent="0.25">
      <c r="A344" s="275">
        <f>'Profits 2016'!A5554</f>
        <v>3004376</v>
      </c>
      <c r="B344" s="279">
        <f>'Profits 2016'!B5554</f>
        <v>42628</v>
      </c>
      <c r="C344" s="276">
        <f>'Profits 2016'!H5554</f>
        <v>283.27</v>
      </c>
      <c r="D344" s="280">
        <f>'Profits 2016'!K5554</f>
        <v>252.09356999999997</v>
      </c>
      <c r="E344" s="276">
        <f>'Profits 2016'!L5554</f>
        <v>250</v>
      </c>
      <c r="F344" s="275" t="str">
        <f>'Profits 2016'!P5554</f>
        <v>Nassau</v>
      </c>
      <c r="G344" s="292">
        <f>'Profits 2016'!N5554-'Profits 2016'!M5554</f>
        <v>125</v>
      </c>
      <c r="H344" s="319"/>
      <c r="I344" s="320"/>
      <c r="J344" s="321"/>
      <c r="K344" s="321"/>
      <c r="L344" s="321"/>
      <c r="M344" s="319"/>
      <c r="N344" s="322"/>
      <c r="O344" s="236" t="str">
        <f>'Profits 2016'!T5554</f>
        <v>FEDEX GROUND</v>
      </c>
      <c r="P344" s="284" t="str">
        <f>'Profits 2016'!U5554</f>
        <v>702723288197</v>
      </c>
      <c r="Q344" s="284" t="s">
        <v>314</v>
      </c>
      <c r="R344" s="276">
        <v>56.85</v>
      </c>
      <c r="S344" s="275" t="s">
        <v>15744</v>
      </c>
      <c r="T344" s="279">
        <v>42646</v>
      </c>
      <c r="U344" s="279">
        <v>42653</v>
      </c>
      <c r="V344" s="279">
        <v>42657</v>
      </c>
      <c r="W344" s="293">
        <v>0</v>
      </c>
      <c r="X344" s="236">
        <v>9174</v>
      </c>
      <c r="AF344" s="276">
        <f t="shared" si="26"/>
        <v>181.85</v>
      </c>
      <c r="AG344" s="276">
        <f t="shared" si="22"/>
        <v>56.85</v>
      </c>
      <c r="AH344" s="276">
        <f t="shared" si="23"/>
        <v>195.24356999999998</v>
      </c>
      <c r="AI344" s="283">
        <f t="shared" si="24"/>
        <v>1.0736517459444597</v>
      </c>
    </row>
    <row r="345" spans="1:35" ht="30" x14ac:dyDescent="0.25">
      <c r="A345" s="275">
        <f>'Profits 2016'!A5555</f>
        <v>3004377</v>
      </c>
      <c r="B345" s="279">
        <f>'Profits 2016'!B5555</f>
        <v>42628</v>
      </c>
      <c r="C345" s="276">
        <f>'Profits 2016'!H5555</f>
        <v>619.91999999999996</v>
      </c>
      <c r="D345" s="280">
        <f>'Profits 2016'!K5555</f>
        <v>552.04872</v>
      </c>
      <c r="E345" s="276">
        <f>'Profits 2016'!L5555</f>
        <v>584.49</v>
      </c>
      <c r="F345" s="275" t="str">
        <f>'Profits 2016'!P5555</f>
        <v>General</v>
      </c>
      <c r="G345" s="292">
        <f>'Profits 2016'!N5555-'Profits 2016'!M5555</f>
        <v>292.245</v>
      </c>
      <c r="H345" s="292">
        <v>0</v>
      </c>
      <c r="I345" s="275">
        <v>3744168</v>
      </c>
      <c r="J345" s="277">
        <v>42632</v>
      </c>
      <c r="K345" s="277">
        <v>42636</v>
      </c>
      <c r="L345" s="277">
        <v>42650</v>
      </c>
      <c r="M345" s="292">
        <v>334.4</v>
      </c>
      <c r="N345" s="281">
        <v>9089</v>
      </c>
      <c r="O345" s="236" t="str">
        <f>'Profits 2016'!T5555</f>
        <v>NEW PENN</v>
      </c>
      <c r="P345" s="284" t="str">
        <f>'Profits 2016'!U5555</f>
        <v>47681396</v>
      </c>
      <c r="Q345" s="284" t="s">
        <v>15741</v>
      </c>
      <c r="R345" s="276">
        <v>48</v>
      </c>
      <c r="S345" s="275">
        <v>3744168</v>
      </c>
      <c r="T345" s="279">
        <v>42632</v>
      </c>
      <c r="U345" s="279">
        <v>42636</v>
      </c>
      <c r="V345" s="279">
        <v>42647</v>
      </c>
      <c r="W345" s="293">
        <v>48</v>
      </c>
      <c r="X345" s="236">
        <v>9089</v>
      </c>
      <c r="AF345" s="276">
        <f t="shared" si="26"/>
        <v>340.245</v>
      </c>
      <c r="AG345" s="276">
        <f t="shared" si="22"/>
        <v>382.4</v>
      </c>
      <c r="AH345" s="276">
        <f t="shared" si="23"/>
        <v>169.64872000000003</v>
      </c>
      <c r="AI345" s="283">
        <f t="shared" si="24"/>
        <v>0.4986075328072419</v>
      </c>
    </row>
    <row r="346" spans="1:35" x14ac:dyDescent="0.25">
      <c r="A346" s="275">
        <f>'Profits 2016'!A5556</f>
        <v>3004378</v>
      </c>
      <c r="B346" s="279">
        <f>'Profits 2016'!B5556</f>
        <v>42628</v>
      </c>
      <c r="C346" s="276">
        <f>'Profits 2016'!H5556</f>
        <v>10390</v>
      </c>
      <c r="D346" s="280">
        <f>'Profits 2016'!K5556</f>
        <v>10390</v>
      </c>
      <c r="E346" s="276">
        <f>'Profits 2016'!L5556</f>
        <v>3005</v>
      </c>
      <c r="F346" s="275" t="str">
        <f>'Profits 2016'!P5556</f>
        <v>Nexans</v>
      </c>
      <c r="G346" s="292">
        <f>'Profits 2016'!N5556-'Profits 2016'!M5556</f>
        <v>4808</v>
      </c>
      <c r="H346" s="292">
        <v>0</v>
      </c>
      <c r="I346" s="275">
        <v>47338102</v>
      </c>
      <c r="J346" s="277">
        <v>42636</v>
      </c>
      <c r="K346" s="277">
        <v>42646</v>
      </c>
      <c r="L346" s="277">
        <v>42650</v>
      </c>
      <c r="M346" s="292">
        <v>7881.65</v>
      </c>
      <c r="N346" s="281">
        <v>9109</v>
      </c>
      <c r="O346" s="347" t="str">
        <f>'Profits 2016'!T5556</f>
        <v>UPS/DLS</v>
      </c>
      <c r="P346" s="348">
        <f>'Profits 2016'!U5556</f>
        <v>854017194</v>
      </c>
      <c r="Q346" s="348" t="s">
        <v>15742</v>
      </c>
      <c r="R346" s="349">
        <v>525</v>
      </c>
      <c r="S346" s="332">
        <v>636796617</v>
      </c>
      <c r="T346" s="340">
        <v>42648</v>
      </c>
      <c r="U346" s="340">
        <v>42655</v>
      </c>
      <c r="V346" s="340">
        <v>42657</v>
      </c>
      <c r="W346" s="350">
        <v>525</v>
      </c>
      <c r="X346" s="347">
        <v>9195</v>
      </c>
      <c r="AF346" s="276">
        <f t="shared" si="26"/>
        <v>5333</v>
      </c>
      <c r="AG346" s="276">
        <f t="shared" si="22"/>
        <v>8406.65</v>
      </c>
      <c r="AH346" s="276">
        <f t="shared" si="23"/>
        <v>1983.3500000000004</v>
      </c>
      <c r="AI346" s="283">
        <f t="shared" si="24"/>
        <v>0.3719013688355523</v>
      </c>
    </row>
    <row r="347" spans="1:35" x14ac:dyDescent="0.25">
      <c r="A347" s="275">
        <f>'Profits 2016'!A5557</f>
        <v>0</v>
      </c>
      <c r="B347" s="279">
        <f>'Profits 2016'!B5557</f>
        <v>0</v>
      </c>
      <c r="C347" s="276">
        <f>'Profits 2016'!H5557</f>
        <v>0</v>
      </c>
      <c r="D347" s="280">
        <f>'Profits 2016'!K5557</f>
        <v>0</v>
      </c>
      <c r="E347" s="276">
        <f>'Profits 2016'!L5557</f>
        <v>68</v>
      </c>
      <c r="F347" s="275" t="str">
        <f>'Profits 2016'!P5557</f>
        <v>Nexans</v>
      </c>
      <c r="G347" s="292">
        <f>'Profits 2016'!N5557-'Profits 2016'!M5557</f>
        <v>510</v>
      </c>
      <c r="H347" s="292">
        <v>0</v>
      </c>
      <c r="I347" s="275">
        <v>47338102</v>
      </c>
      <c r="J347" s="277">
        <v>42636</v>
      </c>
      <c r="K347" s="277">
        <v>42646</v>
      </c>
      <c r="L347" s="277">
        <v>42650</v>
      </c>
      <c r="M347" s="292">
        <v>0</v>
      </c>
      <c r="N347" s="281">
        <v>9109</v>
      </c>
      <c r="O347" s="347">
        <f>'Profits 2016'!T5557</f>
        <v>0</v>
      </c>
      <c r="P347" s="348">
        <f>'Profits 2016'!U5557</f>
        <v>0</v>
      </c>
      <c r="Q347" s="348" t="s">
        <v>15742</v>
      </c>
      <c r="R347" s="349">
        <v>525</v>
      </c>
      <c r="S347" s="332">
        <v>636796617</v>
      </c>
      <c r="T347" s="340">
        <v>42648</v>
      </c>
      <c r="U347" s="340">
        <v>42655</v>
      </c>
      <c r="V347" s="340">
        <v>42657</v>
      </c>
      <c r="W347" s="350">
        <v>0</v>
      </c>
      <c r="X347" s="347">
        <v>9195</v>
      </c>
      <c r="AF347" s="276">
        <f t="shared" si="26"/>
        <v>1035</v>
      </c>
      <c r="AG347" s="276">
        <f t="shared" si="22"/>
        <v>525</v>
      </c>
      <c r="AH347" s="276">
        <f t="shared" si="23"/>
        <v>-525</v>
      </c>
      <c r="AI347" s="283">
        <f t="shared" si="24"/>
        <v>-0.50724637681159424</v>
      </c>
    </row>
    <row r="348" spans="1:35" x14ac:dyDescent="0.25">
      <c r="A348" s="275">
        <f>'Profits 2016'!A5558</f>
        <v>0</v>
      </c>
      <c r="B348" s="279">
        <f>'Profits 2016'!B5558</f>
        <v>0</v>
      </c>
      <c r="C348" s="276">
        <f>'Profits 2016'!H5558</f>
        <v>0</v>
      </c>
      <c r="D348" s="280">
        <f>'Profits 2016'!K5558</f>
        <v>0</v>
      </c>
      <c r="E348" s="276">
        <f>'Profits 2016'!L5558</f>
        <v>68</v>
      </c>
      <c r="F348" s="275" t="str">
        <f>'Profits 2016'!P5558</f>
        <v>Nexans</v>
      </c>
      <c r="G348" s="292">
        <f>'Profits 2016'!N5558-'Profits 2016'!M5556</f>
        <v>510</v>
      </c>
      <c r="H348" s="292">
        <v>0</v>
      </c>
      <c r="I348" s="275">
        <v>47338102</v>
      </c>
      <c r="J348" s="277">
        <v>42636</v>
      </c>
      <c r="K348" s="277">
        <v>42646</v>
      </c>
      <c r="L348" s="277">
        <v>42650</v>
      </c>
      <c r="M348" s="292">
        <v>0</v>
      </c>
      <c r="N348" s="281">
        <v>9109</v>
      </c>
      <c r="O348" s="347">
        <f>'Profits 2016'!T5558</f>
        <v>0</v>
      </c>
      <c r="P348" s="348">
        <f>'Profits 2016'!U5558</f>
        <v>0</v>
      </c>
      <c r="Q348" s="348" t="s">
        <v>15742</v>
      </c>
      <c r="R348" s="349">
        <v>525</v>
      </c>
      <c r="S348" s="332">
        <v>636796617</v>
      </c>
      <c r="T348" s="340">
        <v>42648</v>
      </c>
      <c r="U348" s="340">
        <v>42655</v>
      </c>
      <c r="V348" s="340">
        <v>42657</v>
      </c>
      <c r="W348" s="350">
        <v>0</v>
      </c>
      <c r="X348" s="347">
        <v>9195</v>
      </c>
      <c r="AF348" s="276">
        <f t="shared" si="26"/>
        <v>1035</v>
      </c>
      <c r="AG348" s="276">
        <f t="shared" si="22"/>
        <v>525</v>
      </c>
      <c r="AH348" s="276">
        <f t="shared" si="23"/>
        <v>-525</v>
      </c>
      <c r="AI348" s="283">
        <f t="shared" si="24"/>
        <v>-0.50724637681159424</v>
      </c>
    </row>
    <row r="349" spans="1:35" x14ac:dyDescent="0.25">
      <c r="A349" s="275">
        <f>'Profits 2016'!A5559</f>
        <v>0</v>
      </c>
      <c r="B349" s="279">
        <f>'Profits 2016'!B5559</f>
        <v>0</v>
      </c>
      <c r="C349" s="276">
        <f>'Profits 2016'!H5559</f>
        <v>0</v>
      </c>
      <c r="D349" s="280">
        <f>'Profits 2016'!K5559</f>
        <v>0</v>
      </c>
      <c r="E349" s="276">
        <f>'Profits 2016'!L5559</f>
        <v>167</v>
      </c>
      <c r="F349" s="275" t="str">
        <f>'Profits 2016'!P5559</f>
        <v>Nexans</v>
      </c>
      <c r="G349" s="292">
        <f>'Profits 2016'!N5559-'Profits 2016'!M5559</f>
        <v>83.5</v>
      </c>
      <c r="H349" s="292">
        <v>0</v>
      </c>
      <c r="I349" s="275">
        <v>47338102</v>
      </c>
      <c r="J349" s="277">
        <v>42636</v>
      </c>
      <c r="K349" s="277">
        <v>42646</v>
      </c>
      <c r="L349" s="277">
        <v>42650</v>
      </c>
      <c r="M349" s="292">
        <v>0</v>
      </c>
      <c r="N349" s="281">
        <v>9109</v>
      </c>
      <c r="O349" s="347">
        <f>'Profits 2016'!T5559</f>
        <v>0</v>
      </c>
      <c r="P349" s="348">
        <f>'Profits 2016'!U5559</f>
        <v>0</v>
      </c>
      <c r="Q349" s="348" t="s">
        <v>15742</v>
      </c>
      <c r="R349" s="349">
        <v>525</v>
      </c>
      <c r="S349" s="332">
        <v>636796617</v>
      </c>
      <c r="T349" s="340">
        <v>42648</v>
      </c>
      <c r="U349" s="340">
        <v>42655</v>
      </c>
      <c r="V349" s="340">
        <v>42657</v>
      </c>
      <c r="W349" s="350">
        <v>0</v>
      </c>
      <c r="X349" s="347">
        <v>9195</v>
      </c>
      <c r="AF349" s="276">
        <f t="shared" si="26"/>
        <v>608.5</v>
      </c>
      <c r="AG349" s="276">
        <f t="shared" si="22"/>
        <v>525</v>
      </c>
      <c r="AH349" s="276">
        <f t="shared" si="23"/>
        <v>-525</v>
      </c>
      <c r="AI349" s="283">
        <f t="shared" si="24"/>
        <v>-0.86277732128184059</v>
      </c>
    </row>
    <row r="350" spans="1:35" x14ac:dyDescent="0.25">
      <c r="A350" s="275">
        <f>'Profits 2016'!A5560</f>
        <v>0</v>
      </c>
      <c r="B350" s="279">
        <f>'Profits 2016'!B5560</f>
        <v>0</v>
      </c>
      <c r="C350" s="276">
        <f>'Profits 2016'!H5560</f>
        <v>0</v>
      </c>
      <c r="D350" s="280">
        <f>'Profits 2016'!K5560</f>
        <v>0</v>
      </c>
      <c r="E350" s="276">
        <f>'Profits 2016'!L5560</f>
        <v>258</v>
      </c>
      <c r="F350" s="275" t="str">
        <f>'Profits 2016'!P5560</f>
        <v>Nexans</v>
      </c>
      <c r="G350" s="292">
        <f>'Profits 2016'!N5560-'Profits 2016'!M5560</f>
        <v>129</v>
      </c>
      <c r="H350" s="292">
        <v>0</v>
      </c>
      <c r="I350" s="275">
        <v>47338102</v>
      </c>
      <c r="J350" s="277">
        <v>42636</v>
      </c>
      <c r="K350" s="277">
        <v>42646</v>
      </c>
      <c r="L350" s="277">
        <v>42650</v>
      </c>
      <c r="M350" s="292">
        <v>0</v>
      </c>
      <c r="N350" s="281">
        <v>9109</v>
      </c>
      <c r="O350" s="347">
        <f>'Profits 2016'!T5560</f>
        <v>0</v>
      </c>
      <c r="P350" s="348">
        <f>'Profits 2016'!U5560</f>
        <v>0</v>
      </c>
      <c r="Q350" s="348" t="s">
        <v>15742</v>
      </c>
      <c r="R350" s="349">
        <v>525</v>
      </c>
      <c r="S350" s="332">
        <v>636796617</v>
      </c>
      <c r="T350" s="340">
        <v>42648</v>
      </c>
      <c r="U350" s="340">
        <v>42655</v>
      </c>
      <c r="V350" s="340">
        <v>42657</v>
      </c>
      <c r="W350" s="350">
        <v>0</v>
      </c>
      <c r="X350" s="347">
        <v>9195</v>
      </c>
      <c r="AF350" s="276">
        <f t="shared" si="26"/>
        <v>654</v>
      </c>
      <c r="AG350" s="276">
        <f t="shared" si="22"/>
        <v>525</v>
      </c>
      <c r="AH350" s="276">
        <f t="shared" si="23"/>
        <v>-525</v>
      </c>
      <c r="AI350" s="283">
        <f t="shared" si="24"/>
        <v>-0.80275229357798161</v>
      </c>
    </row>
    <row r="351" spans="1:35" x14ac:dyDescent="0.25">
      <c r="A351" s="275">
        <f>'Profits 2016'!A5561</f>
        <v>0</v>
      </c>
      <c r="B351" s="279">
        <f>'Profits 2016'!B5561</f>
        <v>0</v>
      </c>
      <c r="C351" s="276">
        <f>'Profits 2016'!H5561</f>
        <v>0</v>
      </c>
      <c r="D351" s="280">
        <f>'Profits 2016'!K5561</f>
        <v>0</v>
      </c>
      <c r="E351" s="276">
        <f>'Profits 2016'!L5561</f>
        <v>318</v>
      </c>
      <c r="F351" s="275" t="str">
        <f>'Profits 2016'!P5561</f>
        <v>Nexans</v>
      </c>
      <c r="G351" s="292">
        <f>'Profits 2016'!N5561-'Profits 2016'!M5561</f>
        <v>1272</v>
      </c>
      <c r="H351" s="292">
        <v>0</v>
      </c>
      <c r="I351" s="275">
        <v>47338102</v>
      </c>
      <c r="J351" s="277">
        <v>42636</v>
      </c>
      <c r="K351" s="277">
        <v>42646</v>
      </c>
      <c r="L351" s="277">
        <v>42650</v>
      </c>
      <c r="M351" s="292">
        <v>0</v>
      </c>
      <c r="N351" s="281">
        <v>9109</v>
      </c>
      <c r="O351" s="347">
        <f>'Profits 2016'!T5561</f>
        <v>0</v>
      </c>
      <c r="P351" s="348">
        <f>'Profits 2016'!U5561</f>
        <v>0</v>
      </c>
      <c r="Q351" s="348" t="s">
        <v>15742</v>
      </c>
      <c r="R351" s="349">
        <v>525</v>
      </c>
      <c r="S351" s="332">
        <v>636796617</v>
      </c>
      <c r="T351" s="340">
        <v>42648</v>
      </c>
      <c r="U351" s="340">
        <v>42655</v>
      </c>
      <c r="V351" s="340">
        <v>42657</v>
      </c>
      <c r="W351" s="350">
        <v>0</v>
      </c>
      <c r="X351" s="347">
        <v>9195</v>
      </c>
      <c r="AF351" s="276">
        <f t="shared" si="26"/>
        <v>1797</v>
      </c>
      <c r="AG351" s="276">
        <f t="shared" si="22"/>
        <v>525</v>
      </c>
      <c r="AH351" s="276">
        <f t="shared" si="23"/>
        <v>-525</v>
      </c>
      <c r="AI351" s="283">
        <f t="shared" si="24"/>
        <v>-0.29215358931552587</v>
      </c>
    </row>
    <row r="352" spans="1:35" x14ac:dyDescent="0.25">
      <c r="A352" s="275">
        <f>'Profits 2016'!A5562</f>
        <v>0</v>
      </c>
      <c r="B352" s="279">
        <f>'Profits 2016'!B5562</f>
        <v>0</v>
      </c>
      <c r="C352" s="276">
        <f>'Profits 2016'!H5562</f>
        <v>0</v>
      </c>
      <c r="D352" s="280">
        <f>'Profits 2016'!K5562</f>
        <v>0</v>
      </c>
      <c r="E352" s="276">
        <f>'Profits 2016'!L5562</f>
        <v>1460</v>
      </c>
      <c r="F352" s="275" t="str">
        <f>'Profits 2016'!P5562</f>
        <v>Nexans</v>
      </c>
      <c r="G352" s="292">
        <f>'Profits 2016'!N5562-'Profits 2016'!M5562</f>
        <v>730</v>
      </c>
      <c r="H352" s="292">
        <v>0</v>
      </c>
      <c r="I352" s="275">
        <v>47338102</v>
      </c>
      <c r="J352" s="277">
        <v>42636</v>
      </c>
      <c r="K352" s="277">
        <v>42646</v>
      </c>
      <c r="L352" s="277">
        <v>42650</v>
      </c>
      <c r="M352" s="292">
        <v>0</v>
      </c>
      <c r="N352" s="281">
        <v>9109</v>
      </c>
      <c r="O352" s="347">
        <f>'Profits 2016'!T5562</f>
        <v>0</v>
      </c>
      <c r="P352" s="348">
        <f>'Profits 2016'!U5562</f>
        <v>0</v>
      </c>
      <c r="Q352" s="348" t="s">
        <v>15742</v>
      </c>
      <c r="R352" s="349">
        <v>525</v>
      </c>
      <c r="S352" s="332">
        <v>636796617</v>
      </c>
      <c r="T352" s="340">
        <v>42648</v>
      </c>
      <c r="U352" s="340">
        <v>42655</v>
      </c>
      <c r="V352" s="340">
        <v>42657</v>
      </c>
      <c r="W352" s="350">
        <v>0</v>
      </c>
      <c r="X352" s="347">
        <v>9195</v>
      </c>
      <c r="AF352" s="276">
        <f t="shared" ref="AF352:AF415" si="27">G352+H353+R352+Y352</f>
        <v>1255</v>
      </c>
      <c r="AG352" s="276">
        <f t="shared" si="22"/>
        <v>525</v>
      </c>
      <c r="AH352" s="276">
        <f t="shared" si="23"/>
        <v>-525</v>
      </c>
      <c r="AI352" s="283">
        <f t="shared" si="24"/>
        <v>-0.41832669322709165</v>
      </c>
    </row>
    <row r="353" spans="1:35" x14ac:dyDescent="0.25">
      <c r="A353" s="275">
        <f>'Profits 2016'!A5563</f>
        <v>3004379</v>
      </c>
      <c r="B353" s="279">
        <f>'Profits 2016'!B5563</f>
        <v>42628</v>
      </c>
      <c r="C353" s="276">
        <f>'Profits 2016'!H5563</f>
        <v>1981.8</v>
      </c>
      <c r="D353" s="280">
        <f>'Profits 2016'!K5563</f>
        <v>1943.8458000000001</v>
      </c>
      <c r="E353" s="276">
        <f>'Profits 2016'!L5563</f>
        <v>640</v>
      </c>
      <c r="F353" s="275" t="str">
        <f>'Profits 2016'!P5563</f>
        <v>ERCO</v>
      </c>
      <c r="G353" s="292">
        <f>'Profits 2016'!N5563-'Profits 2016'!M5563</f>
        <v>534.4</v>
      </c>
      <c r="H353" s="292">
        <v>0</v>
      </c>
      <c r="I353" s="275">
        <v>152173</v>
      </c>
      <c r="J353" s="277">
        <v>42629</v>
      </c>
      <c r="K353" s="277">
        <v>42636</v>
      </c>
      <c r="L353" s="277">
        <v>42657</v>
      </c>
      <c r="M353" s="292">
        <v>1174.4000000000001</v>
      </c>
      <c r="N353" s="281">
        <v>9170</v>
      </c>
      <c r="O353" s="236" t="str">
        <f>'Profits 2016'!T5563</f>
        <v>XPO/DLS</v>
      </c>
      <c r="P353" s="284" t="str">
        <f>'Profits 2016'!U5563</f>
        <v>537433584</v>
      </c>
      <c r="Q353" s="284" t="s">
        <v>15742</v>
      </c>
      <c r="R353" s="276">
        <v>155.32</v>
      </c>
      <c r="S353" s="275">
        <v>636741165</v>
      </c>
      <c r="T353" s="279">
        <v>42634</v>
      </c>
      <c r="U353" s="279">
        <v>42639</v>
      </c>
      <c r="V353" s="279">
        <v>42643</v>
      </c>
      <c r="W353" s="293">
        <v>155.32</v>
      </c>
      <c r="X353" s="236">
        <v>9045</v>
      </c>
      <c r="AF353" s="276">
        <f t="shared" si="27"/>
        <v>689.72</v>
      </c>
      <c r="AG353" s="276">
        <f t="shared" si="22"/>
        <v>1329.72</v>
      </c>
      <c r="AH353" s="276">
        <f t="shared" si="23"/>
        <v>614.12580000000003</v>
      </c>
      <c r="AI353" s="283">
        <f t="shared" si="24"/>
        <v>0.89039871252102298</v>
      </c>
    </row>
    <row r="354" spans="1:35" x14ac:dyDescent="0.25">
      <c r="A354" s="275">
        <f>'Profits 2016'!A5564</f>
        <v>0</v>
      </c>
      <c r="B354" s="279">
        <f>'Profits 2016'!B5564</f>
        <v>0</v>
      </c>
      <c r="C354" s="276">
        <f>'Profits 2016'!H5564</f>
        <v>0</v>
      </c>
      <c r="D354" s="280">
        <f>'Profits 2016'!K5564</f>
        <v>0</v>
      </c>
      <c r="E354" s="276">
        <f>'Profits 2016'!L5564</f>
        <v>640</v>
      </c>
      <c r="F354" s="275" t="str">
        <f>'Profits 2016'!P5564</f>
        <v>ERCO</v>
      </c>
      <c r="G354" s="292">
        <f>'Profits 2016'!N5564-'Profits 2016'!M5564</f>
        <v>640</v>
      </c>
      <c r="H354" s="292">
        <v>0</v>
      </c>
      <c r="I354" s="275">
        <v>152173</v>
      </c>
      <c r="J354" s="277">
        <v>42629</v>
      </c>
      <c r="K354" s="277">
        <v>42636</v>
      </c>
      <c r="L354" s="277">
        <v>42657</v>
      </c>
      <c r="M354" s="292">
        <v>0</v>
      </c>
      <c r="N354" s="281">
        <v>9170</v>
      </c>
      <c r="O354" s="236">
        <f>'Profits 2016'!T5564</f>
        <v>0</v>
      </c>
      <c r="P354" s="284">
        <f>'Profits 2016'!U5564</f>
        <v>0</v>
      </c>
      <c r="Q354" s="284" t="s">
        <v>15742</v>
      </c>
      <c r="R354" s="276">
        <v>0</v>
      </c>
      <c r="S354" s="275">
        <v>636741165</v>
      </c>
      <c r="T354" s="279">
        <v>42634</v>
      </c>
      <c r="U354" s="279">
        <v>42639</v>
      </c>
      <c r="V354" s="279">
        <v>42643</v>
      </c>
      <c r="W354" s="293">
        <v>0</v>
      </c>
      <c r="X354" s="236">
        <v>9045</v>
      </c>
      <c r="AF354" s="276">
        <f t="shared" si="27"/>
        <v>640.04</v>
      </c>
      <c r="AG354" s="276">
        <f t="shared" si="22"/>
        <v>0</v>
      </c>
      <c r="AH354" s="276">
        <f t="shared" si="23"/>
        <v>0</v>
      </c>
      <c r="AI354" s="283">
        <f t="shared" si="24"/>
        <v>0</v>
      </c>
    </row>
    <row r="355" spans="1:35" ht="45" x14ac:dyDescent="0.25">
      <c r="A355" s="275">
        <f>'Profits 2016'!A5565</f>
        <v>3004380</v>
      </c>
      <c r="B355" s="279">
        <f>'Profits 2016'!B5565</f>
        <v>42629</v>
      </c>
      <c r="C355" s="276">
        <f>'Profits 2016'!H5565</f>
        <v>700</v>
      </c>
      <c r="D355" s="280">
        <f>'Profits 2016'!K5565</f>
        <v>700</v>
      </c>
      <c r="E355" s="276">
        <f>'Profits 2016'!L5565</f>
        <v>428.85</v>
      </c>
      <c r="F355" s="275" t="str">
        <f>'Profits 2016'!P5565</f>
        <v>General</v>
      </c>
      <c r="G355" s="292">
        <f>'Profits 2016'!N5565-'Profits 2016'!M5565</f>
        <v>428.85</v>
      </c>
      <c r="H355" s="292">
        <v>0.04</v>
      </c>
      <c r="I355" s="275">
        <v>3744169</v>
      </c>
      <c r="J355" s="277">
        <v>42632</v>
      </c>
      <c r="K355" s="277">
        <v>42636</v>
      </c>
      <c r="L355" s="277">
        <v>42650</v>
      </c>
      <c r="M355" s="292">
        <v>420.23</v>
      </c>
      <c r="N355" s="281">
        <v>9090</v>
      </c>
      <c r="O355" s="236" t="str">
        <f>'Profits 2016'!T5565</f>
        <v>Customer Pick Up at Thea</v>
      </c>
      <c r="P355" s="284" t="str">
        <f>'Profits 2016'!U5565</f>
        <v>Customer Pick Up at Thea</v>
      </c>
      <c r="R355" s="276">
        <v>0</v>
      </c>
      <c r="AF355" s="276">
        <f t="shared" si="27"/>
        <v>428.85</v>
      </c>
      <c r="AG355" s="276">
        <f t="shared" si="22"/>
        <v>420.23</v>
      </c>
      <c r="AH355" s="276">
        <f t="shared" si="23"/>
        <v>279.77</v>
      </c>
      <c r="AI355" s="283">
        <f t="shared" si="24"/>
        <v>0.65237262446076705</v>
      </c>
    </row>
    <row r="356" spans="1:35" ht="45" x14ac:dyDescent="0.25">
      <c r="A356" s="275">
        <f>'Profits 2016'!A5566</f>
        <v>3004382</v>
      </c>
      <c r="B356" s="279">
        <f>'Profits 2016'!B5566</f>
        <v>42629</v>
      </c>
      <c r="C356" s="276">
        <f>'Profits 2016'!H5566</f>
        <v>3195</v>
      </c>
      <c r="D356" s="280">
        <f>'Profits 2016'!K5566</f>
        <v>3195</v>
      </c>
      <c r="E356" s="276">
        <f>'Profits 2016'!L5566</f>
        <v>390</v>
      </c>
      <c r="F356" s="275" t="str">
        <f>'Profits 2016'!P5566</f>
        <v>ERCO</v>
      </c>
      <c r="G356" s="292">
        <f>'Profits 2016'!N5566-'Profits 2016'!M5566</f>
        <v>780</v>
      </c>
      <c r="H356" s="292">
        <v>0</v>
      </c>
      <c r="I356" s="275">
        <v>152185</v>
      </c>
      <c r="J356" s="277">
        <v>42632</v>
      </c>
      <c r="K356" s="277">
        <v>42636</v>
      </c>
      <c r="L356" s="277">
        <v>42657</v>
      </c>
      <c r="M356" s="292">
        <v>1920</v>
      </c>
      <c r="N356" s="281">
        <v>9170</v>
      </c>
      <c r="O356" s="236" t="str">
        <f>'Profits 2016'!T5566</f>
        <v>DAYLIGHT TRANS/ECHO</v>
      </c>
      <c r="P356" s="284" t="str">
        <f>'Profits 2016'!U5566</f>
        <v>96023197</v>
      </c>
      <c r="Q356" s="284" t="s">
        <v>15767</v>
      </c>
      <c r="R356" s="276">
        <v>341.27</v>
      </c>
      <c r="S356" s="275" t="s">
        <v>15770</v>
      </c>
      <c r="T356" s="279">
        <v>42641</v>
      </c>
      <c r="U356" s="279">
        <v>42647</v>
      </c>
      <c r="V356" s="279">
        <v>42671</v>
      </c>
      <c r="W356" s="293">
        <v>341.27</v>
      </c>
      <c r="X356" s="236">
        <v>9247</v>
      </c>
      <c r="AF356" s="276">
        <f t="shared" si="27"/>
        <v>1121.27</v>
      </c>
      <c r="AG356" s="276">
        <f t="shared" si="22"/>
        <v>2261.27</v>
      </c>
      <c r="AH356" s="276">
        <f t="shared" si="23"/>
        <v>933.73</v>
      </c>
      <c r="AI356" s="283">
        <f t="shared" si="24"/>
        <v>0.83274322866035833</v>
      </c>
    </row>
    <row r="357" spans="1:35" x14ac:dyDescent="0.25">
      <c r="A357" s="275">
        <f>'Profits 2016'!A5567</f>
        <v>0</v>
      </c>
      <c r="B357" s="279">
        <f>'Profits 2016'!B5567</f>
        <v>0</v>
      </c>
      <c r="C357" s="276">
        <f>'Profits 2016'!H5567</f>
        <v>0</v>
      </c>
      <c r="D357" s="280">
        <f>'Profits 2016'!K5567</f>
        <v>0</v>
      </c>
      <c r="E357" s="276">
        <f>'Profits 2016'!L5567</f>
        <v>570</v>
      </c>
      <c r="F357" s="275" t="str">
        <f>'Profits 2016'!P5567</f>
        <v>ERCO</v>
      </c>
      <c r="G357" s="292">
        <f>'Profits 2016'!N5567-'Profits 2016'!M5567</f>
        <v>1140</v>
      </c>
      <c r="H357" s="292">
        <v>0</v>
      </c>
      <c r="I357" s="275">
        <v>152185</v>
      </c>
      <c r="J357" s="277">
        <v>42632</v>
      </c>
      <c r="K357" s="277">
        <v>42636</v>
      </c>
      <c r="L357" s="277">
        <v>42657</v>
      </c>
      <c r="M357" s="292">
        <v>0</v>
      </c>
      <c r="N357" s="281">
        <v>9170</v>
      </c>
      <c r="O357" s="236">
        <f>'Profits 2016'!T5567</f>
        <v>0</v>
      </c>
      <c r="P357" s="284">
        <f>'Profits 2016'!U5567</f>
        <v>0</v>
      </c>
      <c r="Q357" s="284" t="s">
        <v>15767</v>
      </c>
      <c r="R357" s="276">
        <v>0</v>
      </c>
      <c r="S357" s="275" t="s">
        <v>15770</v>
      </c>
      <c r="T357" s="279">
        <v>42641</v>
      </c>
      <c r="U357" s="279">
        <v>42647</v>
      </c>
      <c r="V357" s="279">
        <v>42671</v>
      </c>
      <c r="W357" s="293">
        <v>0</v>
      </c>
      <c r="X357" s="236">
        <v>9247</v>
      </c>
      <c r="AF357" s="276">
        <f t="shared" si="27"/>
        <v>1140</v>
      </c>
      <c r="AG357" s="276">
        <f t="shared" si="22"/>
        <v>0</v>
      </c>
      <c r="AH357" s="276">
        <f t="shared" si="23"/>
        <v>0</v>
      </c>
      <c r="AI357" s="283">
        <f t="shared" si="24"/>
        <v>0</v>
      </c>
    </row>
    <row r="358" spans="1:35" x14ac:dyDescent="0.25">
      <c r="A358" s="275">
        <f>'Profits 2016'!A5568</f>
        <v>3004383</v>
      </c>
      <c r="B358" s="279">
        <f>'Profits 2016'!B5568</f>
        <v>42629</v>
      </c>
      <c r="C358" s="276">
        <f>'Profits 2016'!H5568</f>
        <v>21300</v>
      </c>
      <c r="D358" s="280">
        <f>'Profits 2016'!K5568</f>
        <v>21300</v>
      </c>
      <c r="E358" s="276">
        <f>'Profits 2016'!L5568</f>
        <v>6850</v>
      </c>
      <c r="F358" s="275" t="str">
        <f>'Profits 2016'!P5568</f>
        <v>Nexans</v>
      </c>
      <c r="G358" s="292">
        <f>'Profits 2016'!N5568-'Profits 2016'!M5568</f>
        <v>13700</v>
      </c>
      <c r="H358" s="292">
        <v>0</v>
      </c>
      <c r="I358" s="275">
        <v>47310902</v>
      </c>
      <c r="J358" s="277">
        <v>42633</v>
      </c>
      <c r="K358" s="277">
        <v>42639</v>
      </c>
      <c r="L358" s="277">
        <v>42650</v>
      </c>
      <c r="M358" s="292">
        <v>14234.5</v>
      </c>
      <c r="N358" s="281">
        <v>9105</v>
      </c>
      <c r="O358" s="344" t="str">
        <f>'Profits 2016'!T5568</f>
        <v xml:space="preserve">YRC </v>
      </c>
      <c r="P358" s="345">
        <f>'Profits 2016'!U5568</f>
        <v>5612521723</v>
      </c>
      <c r="Q358" s="345"/>
      <c r="R358" s="342"/>
      <c r="S358" s="336"/>
      <c r="T358" s="341"/>
      <c r="U358" s="341"/>
      <c r="V358" s="341"/>
      <c r="W358" s="346"/>
      <c r="X358" s="344"/>
      <c r="AF358" s="276">
        <f t="shared" si="27"/>
        <v>13700</v>
      </c>
      <c r="AG358" s="276">
        <f t="shared" si="22"/>
        <v>14234.5</v>
      </c>
      <c r="AH358" s="276">
        <f t="shared" si="23"/>
        <v>7065.5</v>
      </c>
      <c r="AI358" s="283">
        <f t="shared" si="24"/>
        <v>0.51572992700729925</v>
      </c>
    </row>
    <row r="359" spans="1:35" x14ac:dyDescent="0.25">
      <c r="A359" s="275">
        <f>'Profits 2016'!A5569</f>
        <v>0</v>
      </c>
      <c r="B359" s="279">
        <f>'Profits 2016'!B5569</f>
        <v>0</v>
      </c>
      <c r="C359" s="276">
        <f>'Profits 2016'!H5569</f>
        <v>0</v>
      </c>
      <c r="D359" s="280">
        <f>'Profits 2016'!K5569</f>
        <v>0</v>
      </c>
      <c r="E359" s="276">
        <f>'Profits 2016'!L5569</f>
        <v>1650</v>
      </c>
      <c r="F359" s="275" t="str">
        <f>'Profits 2016'!P5569</f>
        <v>Nexans</v>
      </c>
      <c r="G359" s="292">
        <f>'Profits 2016'!N5569-'Profits 2016'!M5569</f>
        <v>825</v>
      </c>
      <c r="H359" s="292">
        <v>0</v>
      </c>
      <c r="I359" s="275">
        <v>47310902</v>
      </c>
      <c r="J359" s="277">
        <v>42633</v>
      </c>
      <c r="K359" s="277">
        <v>42639</v>
      </c>
      <c r="L359" s="277">
        <v>42650</v>
      </c>
      <c r="M359" s="292">
        <v>0</v>
      </c>
      <c r="N359" s="281">
        <v>9105</v>
      </c>
      <c r="O359" s="344">
        <f>'Profits 2016'!T5569</f>
        <v>0</v>
      </c>
      <c r="P359" s="345">
        <f>'Profits 2016'!U5569</f>
        <v>0</v>
      </c>
      <c r="Q359" s="345"/>
      <c r="R359" s="342"/>
      <c r="S359" s="336"/>
      <c r="T359" s="341"/>
      <c r="U359" s="341"/>
      <c r="V359" s="341"/>
      <c r="W359" s="346"/>
      <c r="X359" s="344"/>
      <c r="AF359" s="276">
        <f t="shared" si="27"/>
        <v>825</v>
      </c>
      <c r="AG359" s="276">
        <f t="shared" si="22"/>
        <v>0</v>
      </c>
      <c r="AH359" s="276">
        <f t="shared" si="23"/>
        <v>0</v>
      </c>
      <c r="AI359" s="283">
        <f t="shared" si="24"/>
        <v>0</v>
      </c>
    </row>
    <row r="360" spans="1:35" ht="30" x14ac:dyDescent="0.25">
      <c r="A360" s="275">
        <f>'Profits 2016'!A5570</f>
        <v>3004384</v>
      </c>
      <c r="B360" s="279">
        <f>'Profits 2016'!B5570</f>
        <v>42629</v>
      </c>
      <c r="C360" s="276">
        <f>'Profits 2016'!H5570</f>
        <v>110</v>
      </c>
      <c r="D360" s="280">
        <f>'Profits 2016'!K5570</f>
        <v>107.28</v>
      </c>
      <c r="E360" s="276">
        <f>'Profits 2016'!L5570</f>
        <v>0</v>
      </c>
      <c r="F360" s="275" t="str">
        <f>'Profits 2016'!P5570</f>
        <v>Nassau</v>
      </c>
      <c r="G360" s="292">
        <f>'Profits 2016'!N5570-'Profits 2016'!M5570</f>
        <v>0</v>
      </c>
      <c r="H360" s="319"/>
      <c r="I360" s="320"/>
      <c r="J360" s="321"/>
      <c r="K360" s="321"/>
      <c r="L360" s="321"/>
      <c r="M360" s="319"/>
      <c r="N360" s="322"/>
      <c r="O360" s="236" t="str">
        <f>'Profits 2016'!T5570</f>
        <v>FEDEX GROUND</v>
      </c>
      <c r="P360" s="284" t="str">
        <f>'Profits 2016'!U5570</f>
        <v>702723288337</v>
      </c>
      <c r="Q360" s="284" t="s">
        <v>314</v>
      </c>
      <c r="R360" s="276">
        <v>21.52</v>
      </c>
      <c r="S360" s="275" t="s">
        <v>15744</v>
      </c>
      <c r="T360" s="279">
        <v>42646</v>
      </c>
      <c r="U360" s="279">
        <v>42653</v>
      </c>
      <c r="V360" s="279">
        <v>42657</v>
      </c>
      <c r="W360" s="293">
        <v>0</v>
      </c>
      <c r="X360" s="236">
        <v>9174</v>
      </c>
      <c r="AF360" s="276">
        <f t="shared" si="27"/>
        <v>21.52</v>
      </c>
      <c r="AG360" s="276">
        <f t="shared" si="22"/>
        <v>21.52</v>
      </c>
      <c r="AH360" s="276">
        <f t="shared" si="23"/>
        <v>85.76</v>
      </c>
      <c r="AI360" s="283">
        <f t="shared" si="24"/>
        <v>3.985130111524164</v>
      </c>
    </row>
    <row r="361" spans="1:35" ht="45" x14ac:dyDescent="0.25">
      <c r="A361" s="275">
        <f>'Profits 2016'!A5571</f>
        <v>3004385</v>
      </c>
      <c r="B361" s="279">
        <f>'Profits 2016'!B5571</f>
        <v>42629</v>
      </c>
      <c r="C361" s="276">
        <f>'Profits 2016'!H5571</f>
        <v>529</v>
      </c>
      <c r="D361" s="280">
        <f>'Profits 2016'!K5571</f>
        <v>517.06200000000001</v>
      </c>
      <c r="E361" s="276">
        <f>'Profits 2016'!L5571</f>
        <v>672</v>
      </c>
      <c r="F361" s="275" t="str">
        <f>'Profits 2016'!P5571</f>
        <v>Houston</v>
      </c>
      <c r="G361" s="292">
        <f>'Profits 2016'!N5571-'Profits 2016'!M5571</f>
        <v>302.40000000000003</v>
      </c>
      <c r="H361" s="292">
        <v>0</v>
      </c>
      <c r="I361" s="275">
        <v>30901548</v>
      </c>
      <c r="J361" s="277">
        <v>42633</v>
      </c>
      <c r="K361" s="277">
        <v>42639</v>
      </c>
      <c r="L361" s="277">
        <v>42657</v>
      </c>
      <c r="M361" s="292">
        <v>302.39999999999998</v>
      </c>
      <c r="N361" s="281">
        <v>9178</v>
      </c>
      <c r="O361" s="236" t="str">
        <f>'Profits 2016'!T5571</f>
        <v xml:space="preserve">SOUTHEASTERN/ECHO </v>
      </c>
      <c r="P361" s="284" t="str">
        <f>'Profits 2016'!U5571</f>
        <v>730568229</v>
      </c>
      <c r="Q361" s="284" t="s">
        <v>15767</v>
      </c>
      <c r="R361" s="276">
        <v>140.06</v>
      </c>
      <c r="S361" s="275" t="s">
        <v>15771</v>
      </c>
      <c r="T361" s="279">
        <v>42641</v>
      </c>
      <c r="U361" s="279">
        <v>42647</v>
      </c>
      <c r="V361" s="279">
        <v>42671</v>
      </c>
      <c r="W361" s="293">
        <v>140.06</v>
      </c>
      <c r="X361" s="236">
        <v>9247</v>
      </c>
      <c r="AF361" s="276">
        <f t="shared" si="27"/>
        <v>442.46000000000004</v>
      </c>
      <c r="AG361" s="276">
        <f t="shared" si="22"/>
        <v>442.46</v>
      </c>
      <c r="AH361" s="276">
        <f t="shared" si="23"/>
        <v>74.602000000000032</v>
      </c>
      <c r="AI361" s="283">
        <f t="shared" si="24"/>
        <v>0.16860733173620221</v>
      </c>
    </row>
    <row r="362" spans="1:35" ht="30" x14ac:dyDescent="0.25">
      <c r="A362" s="275">
        <f>'Profits 2016'!A5572</f>
        <v>3004386</v>
      </c>
      <c r="B362" s="279">
        <f>'Profits 2016'!B5572</f>
        <v>42629</v>
      </c>
      <c r="C362" s="276">
        <f>'Profits 2016'!H5572</f>
        <v>133</v>
      </c>
      <c r="D362" s="280">
        <f>'Profits 2016'!K5572</f>
        <v>118.203</v>
      </c>
      <c r="E362" s="276">
        <f>'Profits 2016'!L5572</f>
        <v>220</v>
      </c>
      <c r="F362" s="275" t="str">
        <f>'Profits 2016'!P5572</f>
        <v>Nassau</v>
      </c>
      <c r="G362" s="292">
        <f>'Profits 2016'!N5572-'Profits 2016'!M5572</f>
        <v>55.000000000000007</v>
      </c>
      <c r="H362" s="319"/>
      <c r="I362" s="320"/>
      <c r="J362" s="321"/>
      <c r="K362" s="321"/>
      <c r="L362" s="321"/>
      <c r="M362" s="319"/>
      <c r="N362" s="322"/>
      <c r="O362" s="236" t="str">
        <f>'Profits 2016'!T5572</f>
        <v>FEDEX GROUND</v>
      </c>
      <c r="P362" s="284" t="str">
        <f>'Profits 2016'!U5572</f>
        <v>680483360093</v>
      </c>
      <c r="Q362" s="284" t="s">
        <v>314</v>
      </c>
      <c r="R362" s="276">
        <v>15.18</v>
      </c>
      <c r="S362" s="275" t="s">
        <v>15744</v>
      </c>
      <c r="T362" s="279">
        <v>42646</v>
      </c>
      <c r="U362" s="279">
        <v>42653</v>
      </c>
      <c r="V362" s="279">
        <v>42657</v>
      </c>
      <c r="W362" s="293">
        <v>0</v>
      </c>
      <c r="X362" s="236">
        <v>9174</v>
      </c>
      <c r="AF362" s="276">
        <f t="shared" si="27"/>
        <v>70.180000000000007</v>
      </c>
      <c r="AG362" s="276">
        <f t="shared" si="22"/>
        <v>15.18</v>
      </c>
      <c r="AH362" s="276">
        <f t="shared" si="23"/>
        <v>103.023</v>
      </c>
      <c r="AI362" s="283">
        <f t="shared" si="24"/>
        <v>1.4679823311484752</v>
      </c>
    </row>
    <row r="363" spans="1:35" ht="30" x14ac:dyDescent="0.25">
      <c r="A363" s="275">
        <f>'Profits 2016'!A5573</f>
        <v>3004387</v>
      </c>
      <c r="B363" s="279">
        <f>'Profits 2016'!B5573</f>
        <v>42629</v>
      </c>
      <c r="C363" s="276">
        <f>'Profits 2016'!H5573</f>
        <v>227.48</v>
      </c>
      <c r="D363" s="280">
        <f>'Profits 2016'!K5573</f>
        <v>202.38468</v>
      </c>
      <c r="E363" s="276">
        <f>'Profits 2016'!L5573</f>
        <v>990</v>
      </c>
      <c r="F363" s="275" t="str">
        <f>'Profits 2016'!P5573</f>
        <v>Nassau</v>
      </c>
      <c r="G363" s="292">
        <f>'Profits 2016'!N5573-'Profits 2016'!M5573</f>
        <v>99</v>
      </c>
      <c r="H363" s="319"/>
      <c r="I363" s="320"/>
      <c r="J363" s="321"/>
      <c r="K363" s="321"/>
      <c r="L363" s="321"/>
      <c r="M363" s="319"/>
      <c r="N363" s="322"/>
      <c r="O363" s="236" t="str">
        <f>'Profits 2016'!T5573</f>
        <v>FEDEX GROUND</v>
      </c>
      <c r="P363" s="284" t="str">
        <f>'Profits 2016'!U5573</f>
        <v>702723288289</v>
      </c>
      <c r="Q363" s="284" t="s">
        <v>314</v>
      </c>
      <c r="R363" s="276">
        <v>28.61</v>
      </c>
      <c r="S363" s="275" t="s">
        <v>15744</v>
      </c>
      <c r="T363" s="279">
        <v>42646</v>
      </c>
      <c r="U363" s="279">
        <v>42653</v>
      </c>
      <c r="V363" s="279">
        <v>42657</v>
      </c>
      <c r="W363" s="293">
        <v>0</v>
      </c>
      <c r="X363" s="236">
        <v>9174</v>
      </c>
      <c r="AF363" s="276">
        <f t="shared" si="27"/>
        <v>127.61</v>
      </c>
      <c r="AG363" s="276">
        <f t="shared" si="22"/>
        <v>28.61</v>
      </c>
      <c r="AH363" s="276">
        <f t="shared" si="23"/>
        <v>173.77467999999999</v>
      </c>
      <c r="AI363" s="283">
        <f t="shared" si="24"/>
        <v>1.3617638116135098</v>
      </c>
    </row>
    <row r="364" spans="1:35" ht="30" x14ac:dyDescent="0.25">
      <c r="A364" s="275">
        <f>'Profits 2016'!A5574</f>
        <v>3004388</v>
      </c>
      <c r="B364" s="279">
        <f>'Profits 2016'!B5574</f>
        <v>42629</v>
      </c>
      <c r="C364" s="276">
        <f>'Profits 2016'!H5574</f>
        <v>186.52</v>
      </c>
      <c r="D364" s="280">
        <f>'Profits 2016'!K5574</f>
        <v>165.88932</v>
      </c>
      <c r="E364" s="276">
        <f>'Profits 2016'!L5574</f>
        <v>480</v>
      </c>
      <c r="F364" s="275" t="str">
        <f>'Profits 2016'!P5574</f>
        <v>Thea</v>
      </c>
      <c r="G364" s="292">
        <f>'Profits 2016'!N5574-'Profits 2016'!M5574</f>
        <v>60</v>
      </c>
      <c r="H364" s="319"/>
      <c r="I364" s="320"/>
      <c r="J364" s="321"/>
      <c r="K364" s="321"/>
      <c r="L364" s="321"/>
      <c r="M364" s="319"/>
      <c r="N364" s="322"/>
      <c r="O364" s="236" t="str">
        <f>'Profits 2016'!T5574</f>
        <v>FEDEX GROUND</v>
      </c>
      <c r="P364" s="284" t="str">
        <f>'Profits 2016'!U5574</f>
        <v>675157529834</v>
      </c>
      <c r="Q364" s="284" t="s">
        <v>314</v>
      </c>
      <c r="R364" s="276">
        <v>44.56</v>
      </c>
      <c r="S364" s="275" t="s">
        <v>15744</v>
      </c>
      <c r="T364" s="279">
        <v>42646</v>
      </c>
      <c r="U364" s="279">
        <v>42653</v>
      </c>
      <c r="V364" s="279">
        <v>42657</v>
      </c>
      <c r="W364" s="293">
        <v>0</v>
      </c>
      <c r="X364" s="236">
        <v>9174</v>
      </c>
      <c r="AF364" s="276">
        <f t="shared" si="27"/>
        <v>104.56</v>
      </c>
      <c r="AG364" s="276">
        <f t="shared" si="22"/>
        <v>44.56</v>
      </c>
      <c r="AH364" s="276">
        <f t="shared" si="23"/>
        <v>121.32932</v>
      </c>
      <c r="AI364" s="283">
        <f t="shared" si="24"/>
        <v>1.1603798775822494</v>
      </c>
    </row>
    <row r="365" spans="1:35" ht="30" x14ac:dyDescent="0.25">
      <c r="A365" s="275">
        <f>'Profits 2016'!A5575</f>
        <v>3004389</v>
      </c>
      <c r="B365" s="279">
        <f>'Profits 2016'!B5575</f>
        <v>42629</v>
      </c>
      <c r="C365" s="276">
        <f>'Profits 2016'!H5575</f>
        <v>384.81</v>
      </c>
      <c r="D365" s="280">
        <f>'Profits 2016'!K5575</f>
        <v>342.56570999999997</v>
      </c>
      <c r="E365" s="276">
        <f>'Profits 2016'!L5575</f>
        <v>687</v>
      </c>
      <c r="F365" s="275" t="str">
        <f>'Profits 2016'!P5575</f>
        <v>Priority</v>
      </c>
      <c r="G365" s="292">
        <f>'Profits 2016'!N5575-'Profits 2016'!M5575</f>
        <v>171.75</v>
      </c>
      <c r="H365" s="292">
        <v>0</v>
      </c>
      <c r="I365" s="275">
        <v>1056709</v>
      </c>
      <c r="J365" s="277">
        <v>42632</v>
      </c>
      <c r="K365" s="277">
        <v>42639</v>
      </c>
      <c r="L365" s="277">
        <v>42657</v>
      </c>
      <c r="M365" s="292">
        <v>171.75</v>
      </c>
      <c r="N365" s="281">
        <v>9190</v>
      </c>
      <c r="O365" s="236" t="str">
        <f>'Profits 2016'!T5575</f>
        <v>FEDEX GROUND</v>
      </c>
      <c r="P365" s="284" t="str">
        <f>'Profits 2016'!U5575</f>
        <v>661091351918</v>
      </c>
      <c r="Q365" s="284" t="s">
        <v>15740</v>
      </c>
      <c r="R365" s="276">
        <v>14.87</v>
      </c>
      <c r="S365" s="275">
        <v>1056709</v>
      </c>
      <c r="T365" s="279">
        <v>42632</v>
      </c>
      <c r="U365" s="279">
        <v>42639</v>
      </c>
      <c r="V365" s="279">
        <v>42657</v>
      </c>
      <c r="W365" s="293">
        <v>14.87</v>
      </c>
      <c r="X365" s="236">
        <v>9190</v>
      </c>
      <c r="AF365" s="276">
        <f t="shared" si="27"/>
        <v>186.62</v>
      </c>
      <c r="AG365" s="276">
        <f t="shared" si="22"/>
        <v>186.62</v>
      </c>
      <c r="AH365" s="276">
        <f t="shared" si="23"/>
        <v>155.94570999999996</v>
      </c>
      <c r="AI365" s="283">
        <f t="shared" si="24"/>
        <v>0.83563235451720053</v>
      </c>
    </row>
    <row r="366" spans="1:35" ht="30" x14ac:dyDescent="0.25">
      <c r="A366" s="275">
        <f>'Profits 2016'!A5576</f>
        <v>3004390</v>
      </c>
      <c r="B366" s="279">
        <f>'Profits 2016'!B5576</f>
        <v>42629</v>
      </c>
      <c r="C366" s="276">
        <f>'Profits 2016'!H5576</f>
        <v>166.59</v>
      </c>
      <c r="D366" s="280">
        <f>'Profits 2016'!K5576</f>
        <v>148.13168999999999</v>
      </c>
      <c r="E366" s="276">
        <f>'Profits 2016'!L5576</f>
        <v>150</v>
      </c>
      <c r="F366" s="275" t="str">
        <f>'Profits 2016'!P5576</f>
        <v>Nassau</v>
      </c>
      <c r="G366" s="292">
        <f>'Profits 2016'!N5576-'Profits 2016'!M5576</f>
        <v>37.5</v>
      </c>
      <c r="H366" s="319"/>
      <c r="I366" s="320"/>
      <c r="J366" s="321"/>
      <c r="K366" s="321"/>
      <c r="L366" s="321"/>
      <c r="M366" s="319"/>
      <c r="N366" s="322"/>
      <c r="O366" s="236" t="str">
        <f>'Profits 2016'!T5576</f>
        <v>FEDEX GROUND</v>
      </c>
      <c r="P366" s="284" t="str">
        <f>'Profits 2016'!U5576</f>
        <v>680483360108</v>
      </c>
      <c r="Q366" s="284" t="s">
        <v>314</v>
      </c>
      <c r="R366" s="276">
        <v>21.26</v>
      </c>
      <c r="S366" s="275" t="s">
        <v>15744</v>
      </c>
      <c r="T366" s="279">
        <v>42646</v>
      </c>
      <c r="U366" s="279">
        <v>42653</v>
      </c>
      <c r="V366" s="279">
        <v>42657</v>
      </c>
      <c r="W366" s="293">
        <v>0</v>
      </c>
      <c r="X366" s="236">
        <v>9174</v>
      </c>
      <c r="AF366" s="276">
        <f t="shared" si="27"/>
        <v>58.760000000000005</v>
      </c>
      <c r="AG366" s="276">
        <f t="shared" si="22"/>
        <v>21.26</v>
      </c>
      <c r="AH366" s="276">
        <f t="shared" si="23"/>
        <v>126.87168999999999</v>
      </c>
      <c r="AI366" s="283">
        <f t="shared" si="24"/>
        <v>2.1591506126616742</v>
      </c>
    </row>
    <row r="367" spans="1:35" ht="30" x14ac:dyDescent="0.25">
      <c r="A367" s="275">
        <f>'Profits 2016'!A5577</f>
        <v>3004391</v>
      </c>
      <c r="B367" s="279">
        <f>'Profits 2016'!B5577</f>
        <v>42629</v>
      </c>
      <c r="C367" s="276">
        <f>'Profits 2016'!H5577</f>
        <v>245</v>
      </c>
      <c r="D367" s="280">
        <f>'Profits 2016'!K5577</f>
        <v>217.99499999999998</v>
      </c>
      <c r="E367" s="276">
        <f>'Profits 2016'!L5577</f>
        <v>1322</v>
      </c>
      <c r="F367" s="275" t="str">
        <f>'Profits 2016'!P5577</f>
        <v>Nassau</v>
      </c>
      <c r="G367" s="292">
        <f>'Profits 2016'!N5577-'Profits 2016'!M5577</f>
        <v>132.20000000000002</v>
      </c>
      <c r="H367" s="319"/>
      <c r="I367" s="320"/>
      <c r="J367" s="321"/>
      <c r="K367" s="321"/>
      <c r="L367" s="321"/>
      <c r="M367" s="319"/>
      <c r="N367" s="322"/>
      <c r="O367" s="236" t="str">
        <f>'Profits 2016'!T5577</f>
        <v>FEDEX GROUND</v>
      </c>
      <c r="P367" s="284" t="str">
        <f>'Profits 2016'!U5577</f>
        <v>702723288278</v>
      </c>
      <c r="Q367" s="284" t="s">
        <v>314</v>
      </c>
      <c r="R367" s="276">
        <v>26.8</v>
      </c>
      <c r="S367" s="275" t="s">
        <v>15744</v>
      </c>
      <c r="T367" s="279">
        <v>42646</v>
      </c>
      <c r="U367" s="279">
        <v>42653</v>
      </c>
      <c r="V367" s="279">
        <v>42657</v>
      </c>
      <c r="W367" s="293">
        <v>0</v>
      </c>
      <c r="X367" s="236">
        <v>9174</v>
      </c>
      <c r="AF367" s="276">
        <f t="shared" si="27"/>
        <v>159.00000000000003</v>
      </c>
      <c r="AG367" s="276">
        <f t="shared" si="22"/>
        <v>26.8</v>
      </c>
      <c r="AH367" s="276">
        <f t="shared" si="23"/>
        <v>191.19499999999996</v>
      </c>
      <c r="AI367" s="283">
        <f t="shared" si="24"/>
        <v>1.2024842767295594</v>
      </c>
    </row>
    <row r="368" spans="1:35" ht="30" x14ac:dyDescent="0.25">
      <c r="A368" s="275">
        <f>'Profits 2016'!A5578</f>
        <v>3004392</v>
      </c>
      <c r="B368" s="279">
        <f>'Profits 2016'!B5578</f>
        <v>42629</v>
      </c>
      <c r="C368" s="276">
        <f>'Profits 2016'!H5578</f>
        <v>245</v>
      </c>
      <c r="D368" s="280">
        <f>'Profits 2016'!K5578</f>
        <v>217.99499999999998</v>
      </c>
      <c r="E368" s="276">
        <f>'Profits 2016'!L5578</f>
        <v>1322</v>
      </c>
      <c r="F368" s="275" t="str">
        <f>'Profits 2016'!P5578</f>
        <v>Nassau</v>
      </c>
      <c r="G368" s="292">
        <f>'Profits 2016'!N5578-'Profits 2016'!M5578</f>
        <v>132.20000000000002</v>
      </c>
      <c r="H368" s="319"/>
      <c r="I368" s="320"/>
      <c r="J368" s="321"/>
      <c r="K368" s="321"/>
      <c r="L368" s="321"/>
      <c r="M368" s="319"/>
      <c r="N368" s="322"/>
      <c r="O368" s="236" t="str">
        <f>'Profits 2016'!T5578</f>
        <v>FEDEX GROUND</v>
      </c>
      <c r="P368" s="284" t="str">
        <f>'Profits 2016'!U5578</f>
        <v xml:space="preserve"> 	702723288267</v>
      </c>
      <c r="Q368" s="284" t="s">
        <v>314</v>
      </c>
      <c r="R368" s="276">
        <v>31.25</v>
      </c>
      <c r="S368" s="275" t="s">
        <v>15744</v>
      </c>
      <c r="T368" s="279">
        <v>42646</v>
      </c>
      <c r="U368" s="279">
        <v>42653</v>
      </c>
      <c r="V368" s="279">
        <v>42657</v>
      </c>
      <c r="W368" s="293">
        <v>0</v>
      </c>
      <c r="X368" s="236">
        <v>9174</v>
      </c>
      <c r="AF368" s="276">
        <f t="shared" si="27"/>
        <v>163.45000000000002</v>
      </c>
      <c r="AG368" s="276">
        <f t="shared" si="22"/>
        <v>31.25</v>
      </c>
      <c r="AH368" s="276">
        <f t="shared" si="23"/>
        <v>186.74499999999998</v>
      </c>
      <c r="AI368" s="283">
        <f t="shared" si="24"/>
        <v>1.1425206485163657</v>
      </c>
    </row>
    <row r="369" spans="1:35" ht="30" x14ac:dyDescent="0.25">
      <c r="A369" s="275">
        <f>'Profits 2016'!A5579</f>
        <v>3004393</v>
      </c>
      <c r="B369" s="279">
        <f>'Profits 2016'!B5579</f>
        <v>42629</v>
      </c>
      <c r="C369" s="276">
        <f>'Profits 2016'!H5579</f>
        <v>141.83000000000001</v>
      </c>
      <c r="D369" s="280">
        <f>'Profits 2016'!K5579</f>
        <v>120.55550000000001</v>
      </c>
      <c r="E369" s="276">
        <f>'Profits 2016'!L5579</f>
        <v>750</v>
      </c>
      <c r="F369" s="275" t="str">
        <f>'Profits 2016'!P5579</f>
        <v>Omni</v>
      </c>
      <c r="G369" s="292">
        <f>'Profits 2016'!N5579-'Profits 2016'!M5579</f>
        <v>75</v>
      </c>
      <c r="H369" s="292">
        <v>0</v>
      </c>
      <c r="I369" s="275">
        <v>3252041</v>
      </c>
      <c r="J369" s="277">
        <v>42629</v>
      </c>
      <c r="K369" s="277">
        <v>42636</v>
      </c>
      <c r="L369" s="277">
        <v>42657</v>
      </c>
      <c r="M369" s="292">
        <v>75</v>
      </c>
      <c r="N369" s="281">
        <v>9185</v>
      </c>
      <c r="O369" s="236" t="str">
        <f>'Profits 2016'!T5579</f>
        <v>FEDEX GROUND</v>
      </c>
      <c r="P369" s="284" t="str">
        <f>'Profits 2016'!U5579</f>
        <v>642723908616</v>
      </c>
      <c r="Q369" s="284" t="s">
        <v>314</v>
      </c>
      <c r="R369" s="276">
        <v>17.55</v>
      </c>
      <c r="S369" s="275" t="s">
        <v>15744</v>
      </c>
      <c r="T369" s="279">
        <v>42646</v>
      </c>
      <c r="U369" s="279">
        <v>42653</v>
      </c>
      <c r="V369" s="279">
        <v>42657</v>
      </c>
      <c r="W369" s="293">
        <v>0</v>
      </c>
      <c r="X369" s="236">
        <v>9174</v>
      </c>
      <c r="AF369" s="276">
        <f t="shared" si="27"/>
        <v>92.55</v>
      </c>
      <c r="AG369" s="276">
        <f t="shared" si="22"/>
        <v>92.55</v>
      </c>
      <c r="AH369" s="276">
        <f t="shared" si="23"/>
        <v>28.005500000000012</v>
      </c>
      <c r="AI369" s="283">
        <f t="shared" si="24"/>
        <v>0.30259859535386291</v>
      </c>
    </row>
    <row r="370" spans="1:35" ht="30" x14ac:dyDescent="0.25">
      <c r="A370" s="275">
        <f>'Profits 2016'!A5580</f>
        <v>3004394</v>
      </c>
      <c r="B370" s="279">
        <f>'Profits 2016'!B5580</f>
        <v>42629</v>
      </c>
      <c r="C370" s="276">
        <f>'Profits 2016'!H5580</f>
        <v>112.29</v>
      </c>
      <c r="D370" s="280">
        <f>'Profits 2016'!K5580</f>
        <v>95.446500000000015</v>
      </c>
      <c r="E370" s="276">
        <f>'Profits 2016'!L5580</f>
        <v>950</v>
      </c>
      <c r="F370" s="275" t="str">
        <f>'Profits 2016'!P5580</f>
        <v>Thea</v>
      </c>
      <c r="G370" s="292">
        <f>'Profits 2016'!N5580-'Profits 2016'!M5580</f>
        <v>47.5</v>
      </c>
      <c r="H370" s="319"/>
      <c r="I370" s="320"/>
      <c r="J370" s="321"/>
      <c r="K370" s="321"/>
      <c r="L370" s="321"/>
      <c r="M370" s="319"/>
      <c r="N370" s="322"/>
      <c r="O370" s="236" t="str">
        <f>'Profits 2016'!T5580</f>
        <v>FEDEX GROUND</v>
      </c>
      <c r="P370" s="284" t="str">
        <f>'Profits 2016'!U5580</f>
        <v>675157529775</v>
      </c>
      <c r="Q370" s="284" t="s">
        <v>314</v>
      </c>
      <c r="R370" s="276">
        <v>11.85</v>
      </c>
      <c r="S370" s="275" t="s">
        <v>15744</v>
      </c>
      <c r="T370" s="279">
        <v>42646</v>
      </c>
      <c r="U370" s="279">
        <v>42653</v>
      </c>
      <c r="V370" s="279">
        <v>42657</v>
      </c>
      <c r="W370" s="293">
        <v>0</v>
      </c>
      <c r="X370" s="236">
        <v>9174</v>
      </c>
      <c r="AF370" s="276">
        <f t="shared" si="27"/>
        <v>59.35</v>
      </c>
      <c r="AG370" s="276">
        <f t="shared" si="22"/>
        <v>11.85</v>
      </c>
      <c r="AH370" s="276">
        <f t="shared" si="23"/>
        <v>83.59650000000002</v>
      </c>
      <c r="AI370" s="283">
        <f t="shared" si="24"/>
        <v>1.408534119629318</v>
      </c>
    </row>
    <row r="371" spans="1:35" ht="30" x14ac:dyDescent="0.25">
      <c r="A371" s="275">
        <f>'Profits 2016'!A5581</f>
        <v>3004395</v>
      </c>
      <c r="B371" s="279">
        <f>'Profits 2016'!B5581</f>
        <v>42629</v>
      </c>
      <c r="C371" s="276">
        <f>'Profits 2016'!H5581</f>
        <v>115.76</v>
      </c>
      <c r="D371" s="280">
        <f>'Profits 2016'!K5581</f>
        <v>98.396000000000001</v>
      </c>
      <c r="E371" s="276">
        <f>'Profits 2016'!L5581</f>
        <v>950</v>
      </c>
      <c r="F371" s="275" t="str">
        <f>'Profits 2016'!P5581</f>
        <v>Nassau</v>
      </c>
      <c r="G371" s="292">
        <f>'Profits 2016'!N5581-'Profits 2016'!M5581</f>
        <v>47.499999999999993</v>
      </c>
      <c r="H371" s="319"/>
      <c r="I371" s="320"/>
      <c r="J371" s="321"/>
      <c r="K371" s="321"/>
      <c r="L371" s="321"/>
      <c r="M371" s="319"/>
      <c r="N371" s="322"/>
      <c r="O371" s="347" t="str">
        <f>'Profits 2016'!T5581</f>
        <v>FEDEX GROUND</v>
      </c>
      <c r="P371" s="348" t="str">
        <f>'Profits 2016'!U5581</f>
        <v>702723288705</v>
      </c>
      <c r="Q371" s="348" t="s">
        <v>314</v>
      </c>
      <c r="R371" s="349">
        <v>18.350000000000001</v>
      </c>
      <c r="S371" s="332" t="s">
        <v>15738</v>
      </c>
      <c r="T371" s="340">
        <v>42653</v>
      </c>
      <c r="U371" s="340">
        <v>42656</v>
      </c>
      <c r="V371" s="340">
        <v>42664</v>
      </c>
      <c r="W371" s="350">
        <f>R371</f>
        <v>18.350000000000001</v>
      </c>
      <c r="X371" s="347">
        <v>9215</v>
      </c>
      <c r="AF371" s="276">
        <f t="shared" si="27"/>
        <v>65.849999999999994</v>
      </c>
      <c r="AG371" s="276">
        <f t="shared" si="22"/>
        <v>18.350000000000001</v>
      </c>
      <c r="AH371" s="276">
        <f t="shared" si="23"/>
        <v>80.045999999999992</v>
      </c>
      <c r="AI371" s="283">
        <f t="shared" si="24"/>
        <v>1.2155808656036446</v>
      </c>
    </row>
    <row r="372" spans="1:35" ht="30" x14ac:dyDescent="0.25">
      <c r="A372" s="275">
        <f>'Profits 2016'!A5582</f>
        <v>3004396</v>
      </c>
      <c r="B372" s="279">
        <f>'Profits 2016'!B5582</f>
        <v>42629</v>
      </c>
      <c r="C372" s="276">
        <f>'Profits 2016'!H5582</f>
        <v>266.48</v>
      </c>
      <c r="D372" s="280">
        <f>'Profits 2016'!K5582</f>
        <v>226.50800000000001</v>
      </c>
      <c r="E372" s="276">
        <f>'Profits 2016'!L5582</f>
        <v>990</v>
      </c>
      <c r="F372" s="275" t="str">
        <f>'Profits 2016'!P5582</f>
        <v>Nassau</v>
      </c>
      <c r="G372" s="292">
        <f>'Profits 2016'!N5582-'Profits 2016'!M5582</f>
        <v>98.999999999999986</v>
      </c>
      <c r="H372" s="319"/>
      <c r="I372" s="320"/>
      <c r="J372" s="321"/>
      <c r="K372" s="321"/>
      <c r="L372" s="321"/>
      <c r="M372" s="319"/>
      <c r="N372" s="322"/>
      <c r="O372" s="236" t="str">
        <f>'Profits 2016'!T5582</f>
        <v>FEDEX GROUND</v>
      </c>
      <c r="P372" s="284" t="str">
        <f>'Profits 2016'!U5582</f>
        <v xml:space="preserve">	702723288290</v>
      </c>
      <c r="Q372" s="284" t="s">
        <v>314</v>
      </c>
      <c r="R372" s="276">
        <v>38.450000000000003</v>
      </c>
      <c r="S372" s="275" t="s">
        <v>15744</v>
      </c>
      <c r="T372" s="279">
        <v>42646</v>
      </c>
      <c r="U372" s="279">
        <v>42653</v>
      </c>
      <c r="V372" s="279">
        <v>42657</v>
      </c>
      <c r="W372" s="293">
        <v>0</v>
      </c>
      <c r="X372" s="236">
        <v>9174</v>
      </c>
      <c r="AF372" s="276">
        <f t="shared" si="27"/>
        <v>137.44999999999999</v>
      </c>
      <c r="AG372" s="276">
        <f t="shared" si="22"/>
        <v>38.450000000000003</v>
      </c>
      <c r="AH372" s="276">
        <f t="shared" si="23"/>
        <v>188.05799999999999</v>
      </c>
      <c r="AI372" s="283">
        <f t="shared" si="24"/>
        <v>1.3681920698435794</v>
      </c>
    </row>
    <row r="373" spans="1:35" ht="30" x14ac:dyDescent="0.25">
      <c r="A373" s="275">
        <f>'Profits 2016'!A5583</f>
        <v>3004397</v>
      </c>
      <c r="B373" s="279">
        <f>'Profits 2016'!B5583</f>
        <v>42629</v>
      </c>
      <c r="C373" s="276">
        <f>'Profits 2016'!H5583</f>
        <v>483.68</v>
      </c>
      <c r="D373" s="280">
        <f>'Profits 2016'!K5583</f>
        <v>411.12800000000004</v>
      </c>
      <c r="E373" s="276">
        <f>'Profits 2016'!L5583</f>
        <v>300</v>
      </c>
      <c r="F373" s="275" t="str">
        <f>'Profits 2016'!P5583</f>
        <v>Nassau</v>
      </c>
      <c r="G373" s="292">
        <f>'Profits 2016'!N5583-'Profits 2016'!M5583</f>
        <v>150</v>
      </c>
      <c r="H373" s="319"/>
      <c r="I373" s="320"/>
      <c r="J373" s="321"/>
      <c r="K373" s="321"/>
      <c r="L373" s="321"/>
      <c r="M373" s="319"/>
      <c r="N373" s="322"/>
      <c r="O373" s="236" t="str">
        <f>'Profits 2016'!T5583</f>
        <v>FEDEX GROUND</v>
      </c>
      <c r="P373" s="284" t="str">
        <f>'Profits 2016'!U5583</f>
        <v>702723288348</v>
      </c>
      <c r="Q373" s="284" t="s">
        <v>314</v>
      </c>
      <c r="R373" s="276">
        <v>31.98</v>
      </c>
      <c r="S373" s="275" t="s">
        <v>15744</v>
      </c>
      <c r="T373" s="279">
        <v>42646</v>
      </c>
      <c r="U373" s="279">
        <v>42653</v>
      </c>
      <c r="V373" s="279">
        <v>42657</v>
      </c>
      <c r="W373" s="293">
        <v>0</v>
      </c>
      <c r="X373" s="236">
        <v>9174</v>
      </c>
      <c r="AF373" s="276">
        <f t="shared" si="27"/>
        <v>181.98</v>
      </c>
      <c r="AG373" s="276">
        <f t="shared" si="22"/>
        <v>31.98</v>
      </c>
      <c r="AH373" s="276">
        <f t="shared" si="23"/>
        <v>379.14800000000002</v>
      </c>
      <c r="AI373" s="283">
        <f t="shared" si="24"/>
        <v>2.0834597208484453</v>
      </c>
    </row>
    <row r="374" spans="1:35" x14ac:dyDescent="0.25">
      <c r="A374" s="275">
        <f>'Profits 2016'!A5584</f>
        <v>0</v>
      </c>
      <c r="B374" s="279">
        <f>'Profits 2016'!B5584</f>
        <v>0</v>
      </c>
      <c r="C374" s="276">
        <f>'Profits 2016'!H5584</f>
        <v>0</v>
      </c>
      <c r="D374" s="280">
        <f>'Profits 2016'!K5584</f>
        <v>0</v>
      </c>
      <c r="E374" s="276">
        <f>'Profits 2016'!L5584</f>
        <v>220</v>
      </c>
      <c r="F374" s="275" t="str">
        <f>'Profits 2016'!P5584</f>
        <v>Nassau</v>
      </c>
      <c r="G374" s="292">
        <f>'Profits 2016'!N5584-'Profits 2016'!M5584</f>
        <v>110</v>
      </c>
      <c r="H374" s="319"/>
      <c r="I374" s="320"/>
      <c r="J374" s="321"/>
      <c r="K374" s="321"/>
      <c r="L374" s="321"/>
      <c r="M374" s="319"/>
      <c r="N374" s="322"/>
      <c r="O374" s="236">
        <f>'Profits 2016'!T5584</f>
        <v>0</v>
      </c>
      <c r="P374" s="284" t="str">
        <f>'Profits 2016'!U5584</f>
        <v>702723288359</v>
      </c>
      <c r="Q374" s="284" t="s">
        <v>314</v>
      </c>
      <c r="R374" s="276">
        <v>28.72</v>
      </c>
      <c r="S374" s="275" t="s">
        <v>15744</v>
      </c>
      <c r="T374" s="279">
        <v>42646</v>
      </c>
      <c r="U374" s="279">
        <v>42653</v>
      </c>
      <c r="V374" s="279">
        <v>42657</v>
      </c>
      <c r="W374" s="293">
        <v>0</v>
      </c>
      <c r="X374" s="236">
        <v>9174</v>
      </c>
      <c r="AF374" s="276">
        <f t="shared" si="27"/>
        <v>138.72</v>
      </c>
      <c r="AG374" s="276">
        <f t="shared" si="22"/>
        <v>28.72</v>
      </c>
      <c r="AH374" s="276">
        <f t="shared" si="23"/>
        <v>-28.72</v>
      </c>
      <c r="AI374" s="283">
        <f t="shared" si="24"/>
        <v>-0.20703575547866204</v>
      </c>
    </row>
    <row r="375" spans="1:35" x14ac:dyDescent="0.25">
      <c r="A375" s="275">
        <f>'Profits 2016'!A5585</f>
        <v>3004398</v>
      </c>
      <c r="B375" s="279">
        <f>'Profits 2016'!B5585</f>
        <v>42629</v>
      </c>
      <c r="C375" s="276">
        <f>'Profits 2016'!H5585</f>
        <v>1100</v>
      </c>
      <c r="D375" s="280">
        <f>'Profits 2016'!K5585</f>
        <v>1075.5</v>
      </c>
      <c r="E375" s="276">
        <f>'Profits 2016'!L5585</f>
        <v>2325</v>
      </c>
      <c r="F375" s="275" t="str">
        <f>'Profits 2016'!P5585</f>
        <v>Nassau</v>
      </c>
      <c r="G375" s="292">
        <f>'Profits 2016'!N5585-'Profits 2016'!M5585</f>
        <v>697.5</v>
      </c>
      <c r="H375" s="319"/>
      <c r="I375" s="320"/>
      <c r="J375" s="321"/>
      <c r="K375" s="321"/>
      <c r="L375" s="321"/>
      <c r="M375" s="319"/>
      <c r="N375" s="322"/>
      <c r="O375" s="236" t="str">
        <f>'Profits 2016'!T5585</f>
        <v>FEDEX/DLS</v>
      </c>
      <c r="P375" s="284" t="str">
        <f>'Profits 2016'!U5585</f>
        <v>3726868191</v>
      </c>
      <c r="Q375" s="284" t="s">
        <v>15742</v>
      </c>
      <c r="R375" s="276">
        <v>176.31</v>
      </c>
      <c r="S375" s="275">
        <v>636758766</v>
      </c>
      <c r="T375" s="279">
        <v>42639</v>
      </c>
      <c r="U375" s="279">
        <v>42643</v>
      </c>
      <c r="V375" s="279">
        <v>42650</v>
      </c>
      <c r="W375" s="293">
        <v>176.31</v>
      </c>
      <c r="X375" s="236">
        <v>9120</v>
      </c>
      <c r="AF375" s="276">
        <f t="shared" si="27"/>
        <v>873.81</v>
      </c>
      <c r="AG375" s="276">
        <f t="shared" si="22"/>
        <v>176.31</v>
      </c>
      <c r="AH375" s="276">
        <f t="shared" si="23"/>
        <v>899.19</v>
      </c>
      <c r="AI375" s="283">
        <f t="shared" si="24"/>
        <v>1.0290452157791741</v>
      </c>
    </row>
    <row r="376" spans="1:35" ht="30" x14ac:dyDescent="0.25">
      <c r="A376" s="275">
        <f>'Profits 2016'!A5586</f>
        <v>3004399</v>
      </c>
      <c r="B376" s="279">
        <f>'Profits 2016'!B5586</f>
        <v>42629</v>
      </c>
      <c r="C376" s="276">
        <f>'Profits 2016'!H5586</f>
        <v>193.04</v>
      </c>
      <c r="D376" s="280">
        <f>'Profits 2016'!K5586</f>
        <v>164.084</v>
      </c>
      <c r="E376" s="276">
        <f>'Profits 2016'!L5586</f>
        <v>950</v>
      </c>
      <c r="F376" s="275" t="str">
        <f>'Profits 2016'!P5586</f>
        <v>Thea</v>
      </c>
      <c r="G376" s="292">
        <f>'Profits 2016'!N5586-'Profits 2016'!M5586</f>
        <v>95</v>
      </c>
      <c r="H376" s="319"/>
      <c r="I376" s="320"/>
      <c r="J376" s="321"/>
      <c r="K376" s="321"/>
      <c r="L376" s="321"/>
      <c r="M376" s="319"/>
      <c r="N376" s="322"/>
      <c r="O376" s="236" t="str">
        <f>'Profits 2016'!T5586</f>
        <v>FEDEX GROUND</v>
      </c>
      <c r="P376" s="284" t="str">
        <f>'Profits 2016'!U5586</f>
        <v>675157529812</v>
      </c>
      <c r="Q376" s="284" t="s">
        <v>314</v>
      </c>
      <c r="R376" s="276">
        <v>22.76</v>
      </c>
      <c r="S376" s="275" t="s">
        <v>15744</v>
      </c>
      <c r="T376" s="279">
        <v>42646</v>
      </c>
      <c r="U376" s="279">
        <v>42653</v>
      </c>
      <c r="V376" s="279">
        <v>42657</v>
      </c>
      <c r="W376" s="293">
        <v>0</v>
      </c>
      <c r="X376" s="236">
        <v>9174</v>
      </c>
      <c r="AF376" s="276">
        <f t="shared" si="27"/>
        <v>117.76</v>
      </c>
      <c r="AG376" s="276">
        <f t="shared" si="22"/>
        <v>22.76</v>
      </c>
      <c r="AH376" s="276">
        <f t="shared" si="23"/>
        <v>141.32400000000001</v>
      </c>
      <c r="AI376" s="283">
        <f t="shared" si="24"/>
        <v>1.200101902173913</v>
      </c>
    </row>
    <row r="377" spans="1:35" ht="30" x14ac:dyDescent="0.25">
      <c r="A377" s="275">
        <f>'Profits 2016'!A5587</f>
        <v>3004400</v>
      </c>
      <c r="B377" s="279">
        <f>'Profits 2016'!B5587</f>
        <v>42629</v>
      </c>
      <c r="C377" s="276">
        <f>'Profits 2016'!H5587</f>
        <v>135.35</v>
      </c>
      <c r="D377" s="280">
        <f>'Profits 2016'!K5587</f>
        <v>115.0475</v>
      </c>
      <c r="E377" s="276">
        <f>'Profits 2016'!L5587</f>
        <v>235</v>
      </c>
      <c r="F377" s="275" t="str">
        <f>'Profits 2016'!P5587</f>
        <v>Thea</v>
      </c>
      <c r="G377" s="292">
        <f>'Profits 2016'!N5587-'Profits 2016'!M5587</f>
        <v>70.5</v>
      </c>
      <c r="H377" s="319"/>
      <c r="I377" s="320"/>
      <c r="J377" s="321"/>
      <c r="K377" s="321"/>
      <c r="L377" s="321"/>
      <c r="M377" s="319"/>
      <c r="N377" s="322"/>
      <c r="O377" s="236" t="str">
        <f>'Profits 2016'!T5587</f>
        <v>FEDEX GROUND</v>
      </c>
      <c r="P377" s="284" t="str">
        <f>'Profits 2016'!U5587</f>
        <v>675157529867</v>
      </c>
      <c r="Q377" s="284" t="s">
        <v>314</v>
      </c>
      <c r="R377" s="276">
        <v>36.94</v>
      </c>
      <c r="S377" s="275" t="s">
        <v>15744</v>
      </c>
      <c r="T377" s="279">
        <v>42646</v>
      </c>
      <c r="U377" s="279">
        <v>42653</v>
      </c>
      <c r="V377" s="279">
        <v>42657</v>
      </c>
      <c r="W377" s="293">
        <v>0</v>
      </c>
      <c r="X377" s="236">
        <v>9174</v>
      </c>
      <c r="AF377" s="276">
        <f t="shared" si="27"/>
        <v>107.44</v>
      </c>
      <c r="AG377" s="276">
        <f t="shared" si="22"/>
        <v>36.94</v>
      </c>
      <c r="AH377" s="276">
        <f t="shared" si="23"/>
        <v>78.107500000000002</v>
      </c>
      <c r="AI377" s="283">
        <f t="shared" si="24"/>
        <v>0.72698715562174243</v>
      </c>
    </row>
    <row r="378" spans="1:35" ht="30" x14ac:dyDescent="0.25">
      <c r="A378" s="275">
        <f>'Profits 2016'!A5588</f>
        <v>3004401</v>
      </c>
      <c r="B378" s="279">
        <f>'Profits 2016'!B5588</f>
        <v>42629</v>
      </c>
      <c r="C378" s="276">
        <f>'Profits 2016'!H5588</f>
        <v>290.08</v>
      </c>
      <c r="D378" s="280">
        <f>'Profits 2016'!K5588</f>
        <v>246.56799999999998</v>
      </c>
      <c r="E378" s="276">
        <f>'Profits 2016'!L5588</f>
        <v>1150</v>
      </c>
      <c r="F378" s="275" t="str">
        <f>'Profits 2016'!P5588</f>
        <v>Direct</v>
      </c>
      <c r="G378" s="292">
        <f>'Profits 2016'!N5588-'Profits 2016'!M5588</f>
        <v>86.25</v>
      </c>
      <c r="H378" s="292">
        <v>0</v>
      </c>
      <c r="I378" s="275">
        <v>72893</v>
      </c>
      <c r="J378" s="277">
        <v>42633</v>
      </c>
      <c r="K378" s="277">
        <v>42639</v>
      </c>
      <c r="L378" s="277">
        <v>42643</v>
      </c>
      <c r="M378" s="292">
        <v>171.25</v>
      </c>
      <c r="N378" s="281">
        <v>9024</v>
      </c>
      <c r="O378" s="236" t="str">
        <f>'Profits 2016'!T5588</f>
        <v>FEDEX GROUND</v>
      </c>
      <c r="P378" s="284" t="str">
        <f>'Profits 2016'!U5588</f>
        <v>639564016147</v>
      </c>
      <c r="Q378" s="284" t="s">
        <v>314</v>
      </c>
      <c r="R378" s="276">
        <v>41.57</v>
      </c>
      <c r="S378" s="275" t="s">
        <v>15744</v>
      </c>
      <c r="T378" s="279">
        <v>42646</v>
      </c>
      <c r="U378" s="279">
        <v>42653</v>
      </c>
      <c r="V378" s="279">
        <v>42657</v>
      </c>
      <c r="W378" s="293">
        <v>0</v>
      </c>
      <c r="X378" s="236">
        <v>9174</v>
      </c>
      <c r="AF378" s="276">
        <f t="shared" si="27"/>
        <v>127.82</v>
      </c>
      <c r="AG378" s="276">
        <f t="shared" si="22"/>
        <v>212.82</v>
      </c>
      <c r="AH378" s="276">
        <f t="shared" si="23"/>
        <v>33.74799999999999</v>
      </c>
      <c r="AI378" s="283">
        <f t="shared" si="24"/>
        <v>0.26402753872633383</v>
      </c>
    </row>
    <row r="379" spans="1:35" x14ac:dyDescent="0.25">
      <c r="A379" s="275">
        <f>'Profits 2016'!A5589</f>
        <v>0</v>
      </c>
      <c r="B379" s="279">
        <f>'Profits 2016'!B5589</f>
        <v>0</v>
      </c>
      <c r="C379" s="276">
        <f>'Profits 2016'!H5589</f>
        <v>0</v>
      </c>
      <c r="D379" s="280">
        <f>'Profits 2016'!K5589</f>
        <v>0</v>
      </c>
      <c r="E379" s="276">
        <f>'Profits 2016'!L5589</f>
        <v>1180</v>
      </c>
      <c r="F379" s="275" t="str">
        <f>'Profits 2016'!P5589</f>
        <v>Direct</v>
      </c>
      <c r="G379" s="292">
        <f>'Profits 2016'!N5589-'Profits 2016'!M5589</f>
        <v>88.5</v>
      </c>
      <c r="H379" s="292">
        <v>0</v>
      </c>
      <c r="I379" s="275">
        <v>72893</v>
      </c>
      <c r="J379" s="277">
        <v>42633</v>
      </c>
      <c r="K379" s="277">
        <v>42639</v>
      </c>
      <c r="L379" s="277">
        <v>42643</v>
      </c>
      <c r="M379" s="292">
        <v>0</v>
      </c>
      <c r="N379" s="281">
        <v>9024</v>
      </c>
      <c r="O379" s="236">
        <f>'Profits 2016'!T5589</f>
        <v>0</v>
      </c>
      <c r="P379" s="284">
        <f>'Profits 2016'!U5589</f>
        <v>0</v>
      </c>
      <c r="Q379" s="284" t="s">
        <v>314</v>
      </c>
      <c r="R379" s="276">
        <v>0</v>
      </c>
      <c r="S379" s="275" t="s">
        <v>15744</v>
      </c>
      <c r="T379" s="279">
        <v>42646</v>
      </c>
      <c r="U379" s="279">
        <v>42653</v>
      </c>
      <c r="V379" s="279">
        <v>42657</v>
      </c>
      <c r="W379" s="293">
        <v>0</v>
      </c>
      <c r="X379" s="236">
        <v>9174</v>
      </c>
      <c r="AF379" s="276">
        <f t="shared" si="27"/>
        <v>88.5</v>
      </c>
      <c r="AG379" s="276">
        <f t="shared" si="22"/>
        <v>0</v>
      </c>
      <c r="AH379" s="276">
        <f t="shared" si="23"/>
        <v>0</v>
      </c>
      <c r="AI379" s="283">
        <f t="shared" si="24"/>
        <v>0</v>
      </c>
    </row>
    <row r="380" spans="1:35" ht="30" x14ac:dyDescent="0.25">
      <c r="A380" s="275">
        <f>'Profits 2016'!A5590</f>
        <v>3004402</v>
      </c>
      <c r="B380" s="279">
        <f>'Profits 2016'!B5590</f>
        <v>42629</v>
      </c>
      <c r="C380" s="276">
        <f>'Profits 2016'!H5590</f>
        <v>244.41</v>
      </c>
      <c r="D380" s="280">
        <f>'Profits 2016'!K5590</f>
        <v>239.46620999999999</v>
      </c>
      <c r="E380" s="276">
        <f>'Profits 2016'!L5590</f>
        <v>1322</v>
      </c>
      <c r="F380" s="275" t="str">
        <f>'Profits 2016'!P5590</f>
        <v>Nassau</v>
      </c>
      <c r="G380" s="292">
        <f>'Profits 2016'!N5590-'Profits 2016'!M5590</f>
        <v>132.20000000000005</v>
      </c>
      <c r="H380" s="319"/>
      <c r="I380" s="320"/>
      <c r="J380" s="321"/>
      <c r="K380" s="321"/>
      <c r="L380" s="321"/>
      <c r="M380" s="319"/>
      <c r="N380" s="322"/>
      <c r="O380" s="236" t="str">
        <f>'Profits 2016'!T5590</f>
        <v>FEDEX GROUND</v>
      </c>
      <c r="P380" s="284" t="str">
        <f>'Profits 2016'!U5590</f>
        <v>702723288315</v>
      </c>
      <c r="Q380" s="284" t="s">
        <v>314</v>
      </c>
      <c r="R380" s="276">
        <v>24.39</v>
      </c>
      <c r="S380" s="275" t="s">
        <v>15744</v>
      </c>
      <c r="T380" s="279">
        <v>42646</v>
      </c>
      <c r="U380" s="279">
        <v>42653</v>
      </c>
      <c r="V380" s="279">
        <v>42657</v>
      </c>
      <c r="W380" s="293">
        <v>0</v>
      </c>
      <c r="X380" s="236">
        <v>9174</v>
      </c>
      <c r="AF380" s="276">
        <f t="shared" si="27"/>
        <v>156.59000000000003</v>
      </c>
      <c r="AG380" s="276">
        <f t="shared" si="22"/>
        <v>24.39</v>
      </c>
      <c r="AH380" s="276">
        <f t="shared" si="23"/>
        <v>215.07621</v>
      </c>
      <c r="AI380" s="283">
        <f t="shared" si="24"/>
        <v>1.3734990101539049</v>
      </c>
    </row>
    <row r="381" spans="1:35" ht="30" x14ac:dyDescent="0.25">
      <c r="A381" s="275">
        <f>'Profits 2016'!A5591</f>
        <v>3004403</v>
      </c>
      <c r="B381" s="279">
        <f>'Profits 2016'!B5591</f>
        <v>42629</v>
      </c>
      <c r="C381" s="276">
        <f>'Profits 2016'!H5591</f>
        <v>140.30000000000001</v>
      </c>
      <c r="D381" s="280">
        <f>'Profits 2016'!K5591</f>
        <v>124.70730000000002</v>
      </c>
      <c r="E381" s="276">
        <f>'Profits 2016'!L5591</f>
        <v>300</v>
      </c>
      <c r="F381" s="275" t="str">
        <f>'Profits 2016'!P5591</f>
        <v>Nassau</v>
      </c>
      <c r="G381" s="292">
        <f>'Profits 2016'!N5591-'Profits 2016'!M5591</f>
        <v>60.000000000000007</v>
      </c>
      <c r="H381" s="319"/>
      <c r="I381" s="320"/>
      <c r="J381" s="321"/>
      <c r="K381" s="321"/>
      <c r="L381" s="321"/>
      <c r="M381" s="319"/>
      <c r="N381" s="322"/>
      <c r="O381" s="236" t="str">
        <f>'Profits 2016'!T5591</f>
        <v>FEDEX GROUND</v>
      </c>
      <c r="P381" s="284" t="str">
        <f>'Profits 2016'!U5591</f>
        <v>702723288326</v>
      </c>
      <c r="Q381" s="284" t="s">
        <v>314</v>
      </c>
      <c r="R381" s="276">
        <v>37.21</v>
      </c>
      <c r="S381" s="275" t="s">
        <v>15744</v>
      </c>
      <c r="T381" s="279">
        <v>42646</v>
      </c>
      <c r="U381" s="279">
        <v>42653</v>
      </c>
      <c r="V381" s="279">
        <v>42657</v>
      </c>
      <c r="W381" s="293">
        <v>0</v>
      </c>
      <c r="X381" s="236">
        <v>9174</v>
      </c>
      <c r="AF381" s="276">
        <f t="shared" si="27"/>
        <v>97.210000000000008</v>
      </c>
      <c r="AG381" s="276">
        <f t="shared" si="22"/>
        <v>37.21</v>
      </c>
      <c r="AH381" s="276">
        <f t="shared" si="23"/>
        <v>87.497300000000024</v>
      </c>
      <c r="AI381" s="283">
        <f t="shared" si="24"/>
        <v>0.90008538216232914</v>
      </c>
    </row>
    <row r="382" spans="1:35" ht="30" x14ac:dyDescent="0.25">
      <c r="A382" s="275">
        <f>'Profits 2016'!A5592</f>
        <v>3004404</v>
      </c>
      <c r="B382" s="279">
        <f>'Profits 2016'!B5592</f>
        <v>42629</v>
      </c>
      <c r="C382" s="276">
        <f>'Profits 2016'!H5592</f>
        <v>112.95</v>
      </c>
      <c r="D382" s="280">
        <f>'Profits 2016'!K5592</f>
        <v>96.007500000000007</v>
      </c>
      <c r="E382" s="276">
        <f>'Profits 2016'!L5592</f>
        <v>101</v>
      </c>
      <c r="F382" s="275" t="str">
        <f>'Profits 2016'!P5592</f>
        <v>Kristech</v>
      </c>
      <c r="G382" s="292">
        <f>'Profits 2016'!N5592-'Profits 2016'!M5592</f>
        <v>50.5</v>
      </c>
      <c r="H382" s="292">
        <v>0</v>
      </c>
      <c r="I382" s="275">
        <v>121874</v>
      </c>
      <c r="J382" s="277">
        <v>42633</v>
      </c>
      <c r="K382" s="277">
        <v>42639</v>
      </c>
      <c r="L382" s="277">
        <v>42643</v>
      </c>
      <c r="M382" s="292">
        <v>49.49</v>
      </c>
      <c r="N382" s="281">
        <v>9032</v>
      </c>
      <c r="O382" s="236" t="str">
        <f>'Profits 2016'!T5592</f>
        <v>FEDEX GROUND</v>
      </c>
      <c r="P382" s="284" t="str">
        <f>'Profits 2016'!U5592</f>
        <v>690306366301</v>
      </c>
      <c r="Q382" s="284" t="s">
        <v>314</v>
      </c>
      <c r="R382" s="276">
        <v>15.66</v>
      </c>
      <c r="S382" s="275" t="s">
        <v>15744</v>
      </c>
      <c r="T382" s="279">
        <v>42646</v>
      </c>
      <c r="U382" s="279">
        <v>42653</v>
      </c>
      <c r="V382" s="279">
        <v>42657</v>
      </c>
      <c r="W382" s="293">
        <v>0</v>
      </c>
      <c r="X382" s="236">
        <v>9174</v>
      </c>
      <c r="AF382" s="276">
        <f t="shared" si="27"/>
        <v>66.16</v>
      </c>
      <c r="AG382" s="276">
        <f t="shared" si="22"/>
        <v>65.150000000000006</v>
      </c>
      <c r="AH382" s="276">
        <f t="shared" si="23"/>
        <v>30.857500000000002</v>
      </c>
      <c r="AI382" s="283">
        <f t="shared" si="24"/>
        <v>0.46640719467956476</v>
      </c>
    </row>
    <row r="383" spans="1:35" x14ac:dyDescent="0.25">
      <c r="A383" s="275">
        <f>'Profits 2016'!A5593</f>
        <v>3004405</v>
      </c>
      <c r="B383" s="279">
        <f>'Profits 2016'!B5593</f>
        <v>42629</v>
      </c>
      <c r="C383" s="276">
        <f>'Profits 2016'!H5593</f>
        <v>1881.5</v>
      </c>
      <c r="D383" s="280">
        <f>'Profits 2016'!K5593</f>
        <v>1881.5</v>
      </c>
      <c r="E383" s="276">
        <f>'Profits 2016'!L5593</f>
        <v>1025</v>
      </c>
      <c r="F383" s="275" t="str">
        <f>'Profits 2016'!P5593</f>
        <v>Nassau</v>
      </c>
      <c r="G383" s="292">
        <f>'Profits 2016'!N5593-'Profits 2016'!M5593</f>
        <v>809.75</v>
      </c>
      <c r="H383" s="319"/>
      <c r="I383" s="320"/>
      <c r="J383" s="321"/>
      <c r="K383" s="321"/>
      <c r="L383" s="321"/>
      <c r="M383" s="319"/>
      <c r="N383" s="322"/>
      <c r="O383" s="236" t="str">
        <f>'Profits 2016'!T5593</f>
        <v>NEMF/DLS</v>
      </c>
      <c r="P383" s="284" t="str">
        <f>'Profits 2016'!U5593</f>
        <v>24103614</v>
      </c>
      <c r="Q383" s="284" t="s">
        <v>15742</v>
      </c>
      <c r="R383" s="276">
        <v>108.38</v>
      </c>
      <c r="S383" s="275">
        <v>636749926</v>
      </c>
      <c r="T383" s="279">
        <v>42636</v>
      </c>
      <c r="U383" s="279">
        <v>42641</v>
      </c>
      <c r="V383" s="279">
        <v>42650</v>
      </c>
      <c r="W383" s="293">
        <v>108.38</v>
      </c>
      <c r="X383" s="236">
        <v>9118</v>
      </c>
      <c r="AF383" s="276">
        <f t="shared" si="27"/>
        <v>918.13</v>
      </c>
      <c r="AG383" s="276">
        <f t="shared" si="22"/>
        <v>108.38</v>
      </c>
      <c r="AH383" s="276">
        <f t="shared" si="23"/>
        <v>1773.12</v>
      </c>
      <c r="AI383" s="283">
        <f t="shared" si="24"/>
        <v>1.9312297822748412</v>
      </c>
    </row>
    <row r="384" spans="1:35" x14ac:dyDescent="0.25">
      <c r="A384" s="275">
        <f>'Profits 2016'!A5594</f>
        <v>0</v>
      </c>
      <c r="B384" s="279">
        <f>'Profits 2016'!B5594</f>
        <v>0</v>
      </c>
      <c r="C384" s="276">
        <f>'Profits 2016'!H5594</f>
        <v>0</v>
      </c>
      <c r="D384" s="280">
        <f>'Profits 2016'!K5594</f>
        <v>0</v>
      </c>
      <c r="E384" s="276">
        <f>'Profits 2016'!L5594</f>
        <v>1322</v>
      </c>
      <c r="F384" s="275" t="str">
        <f>'Profits 2016'!P5594</f>
        <v>Nassau</v>
      </c>
      <c r="G384" s="292">
        <f>'Profits 2016'!N5594-'Profits 2016'!M5594</f>
        <v>264.40000000000003</v>
      </c>
      <c r="H384" s="319"/>
      <c r="I384" s="320"/>
      <c r="J384" s="321"/>
      <c r="K384" s="321"/>
      <c r="L384" s="321"/>
      <c r="M384" s="319"/>
      <c r="N384" s="322"/>
      <c r="O384" s="236">
        <f>'Profits 2016'!T5594</f>
        <v>0</v>
      </c>
      <c r="P384" s="284">
        <f>'Profits 2016'!U5594</f>
        <v>0</v>
      </c>
      <c r="Q384" s="284" t="s">
        <v>15742</v>
      </c>
      <c r="R384" s="276">
        <v>0</v>
      </c>
      <c r="S384" s="275">
        <v>636749926</v>
      </c>
      <c r="T384" s="279">
        <v>42636</v>
      </c>
      <c r="U384" s="279">
        <v>42641</v>
      </c>
      <c r="V384" s="279">
        <v>42650</v>
      </c>
      <c r="W384" s="293">
        <v>0</v>
      </c>
      <c r="X384" s="236">
        <v>9118</v>
      </c>
      <c r="AF384" s="276">
        <f t="shared" si="27"/>
        <v>264.40000000000003</v>
      </c>
      <c r="AG384" s="276">
        <f t="shared" si="22"/>
        <v>0</v>
      </c>
      <c r="AH384" s="276">
        <f t="shared" si="23"/>
        <v>0</v>
      </c>
      <c r="AI384" s="283">
        <f t="shared" si="24"/>
        <v>0</v>
      </c>
    </row>
    <row r="385" spans="1:35" x14ac:dyDescent="0.25">
      <c r="A385" s="275">
        <f>'Profits 2016'!A5595</f>
        <v>0</v>
      </c>
      <c r="B385" s="279">
        <f>'Profits 2016'!B5595</f>
        <v>0</v>
      </c>
      <c r="C385" s="276">
        <f>'Profits 2016'!H5595</f>
        <v>0</v>
      </c>
      <c r="D385" s="280">
        <f>'Profits 2016'!K5595</f>
        <v>0</v>
      </c>
      <c r="E385" s="276">
        <f>'Profits 2016'!L5595</f>
        <v>690</v>
      </c>
      <c r="F385" s="275" t="str">
        <f>'Profits 2016'!P5595</f>
        <v>Nassau</v>
      </c>
      <c r="G385" s="292">
        <f>'Profits 2016'!N5595-'Profits 2016'!M5595</f>
        <v>345</v>
      </c>
      <c r="H385" s="319"/>
      <c r="I385" s="320"/>
      <c r="J385" s="321"/>
      <c r="K385" s="321"/>
      <c r="L385" s="321"/>
      <c r="M385" s="319"/>
      <c r="N385" s="322"/>
      <c r="O385" s="236">
        <f>'Profits 2016'!T5595</f>
        <v>0</v>
      </c>
      <c r="P385" s="284">
        <f>'Profits 2016'!U5595</f>
        <v>0</v>
      </c>
      <c r="Q385" s="284" t="s">
        <v>15742</v>
      </c>
      <c r="R385" s="276">
        <v>0</v>
      </c>
      <c r="S385" s="275">
        <v>636749926</v>
      </c>
      <c r="T385" s="279">
        <v>42636</v>
      </c>
      <c r="U385" s="279">
        <v>42641</v>
      </c>
      <c r="V385" s="279">
        <v>42650</v>
      </c>
      <c r="W385" s="293">
        <v>0</v>
      </c>
      <c r="X385" s="236">
        <v>9118</v>
      </c>
      <c r="AF385" s="276">
        <f t="shared" si="27"/>
        <v>345</v>
      </c>
      <c r="AG385" s="276">
        <f t="shared" si="22"/>
        <v>0</v>
      </c>
      <c r="AH385" s="276">
        <f t="shared" si="23"/>
        <v>0</v>
      </c>
      <c r="AI385" s="283">
        <f t="shared" si="24"/>
        <v>0</v>
      </c>
    </row>
    <row r="386" spans="1:35" ht="30" x14ac:dyDescent="0.25">
      <c r="A386" s="275">
        <f>'Profits 2016'!A5596</f>
        <v>3004406</v>
      </c>
      <c r="B386" s="279">
        <f>'Profits 2016'!B5596</f>
        <v>42629</v>
      </c>
      <c r="C386" s="276">
        <f>'Profits 2016'!H5596</f>
        <v>132.41999999999999</v>
      </c>
      <c r="D386" s="280">
        <f>'Profits 2016'!K5596</f>
        <v>112.55699999999999</v>
      </c>
      <c r="E386" s="276">
        <f>'Profits 2016'!L5596</f>
        <v>765</v>
      </c>
      <c r="F386" s="275" t="str">
        <f>'Profits 2016'!P5596</f>
        <v>Direct</v>
      </c>
      <c r="G386" s="292">
        <f>'Profits 2016'!N5596-'Profits 2016'!M5596</f>
        <v>38.25</v>
      </c>
      <c r="H386" s="292">
        <v>0</v>
      </c>
      <c r="I386" s="275">
        <v>72894</v>
      </c>
      <c r="J386" s="277">
        <v>42633</v>
      </c>
      <c r="K386" s="277">
        <v>42639</v>
      </c>
      <c r="L386" s="277">
        <v>42643</v>
      </c>
      <c r="M386" s="292">
        <v>75.7</v>
      </c>
      <c r="N386" s="281">
        <v>9025</v>
      </c>
      <c r="O386" s="236" t="str">
        <f>'Profits 2016'!T5596</f>
        <v>FEDEX GROUND</v>
      </c>
      <c r="P386" s="284" t="str">
        <f>'Profits 2016'!U5596</f>
        <v>630512244836</v>
      </c>
      <c r="Q386" s="284" t="s">
        <v>314</v>
      </c>
      <c r="R386" s="276">
        <v>67.77</v>
      </c>
      <c r="S386" s="275" t="s">
        <v>15772</v>
      </c>
      <c r="T386" s="279">
        <v>42640</v>
      </c>
      <c r="U386" s="279">
        <v>42646</v>
      </c>
      <c r="V386" s="279">
        <v>42650</v>
      </c>
      <c r="W386" s="293">
        <v>67.77</v>
      </c>
      <c r="X386" s="236">
        <v>9072</v>
      </c>
      <c r="Y386" s="276">
        <v>32.24</v>
      </c>
      <c r="Z386" s="236" t="s">
        <v>15773</v>
      </c>
      <c r="AA386" s="279">
        <v>42676</v>
      </c>
      <c r="AB386" s="279">
        <v>42681</v>
      </c>
      <c r="AF386" s="276">
        <f t="shared" si="27"/>
        <v>138.26</v>
      </c>
      <c r="AG386" s="276">
        <f t="shared" si="22"/>
        <v>175.71</v>
      </c>
      <c r="AH386" s="276">
        <f t="shared" si="23"/>
        <v>-63.15300000000002</v>
      </c>
      <c r="AI386" s="283">
        <f t="shared" si="24"/>
        <v>-0.45676985389845237</v>
      </c>
    </row>
    <row r="387" spans="1:35" x14ac:dyDescent="0.25">
      <c r="A387" s="275">
        <f>'Profits 2016'!A5597</f>
        <v>0</v>
      </c>
      <c r="B387" s="279">
        <f>'Profits 2016'!B5597</f>
        <v>0</v>
      </c>
      <c r="C387" s="276">
        <f>'Profits 2016'!H5597</f>
        <v>0</v>
      </c>
      <c r="D387" s="280">
        <f>'Profits 2016'!K5597</f>
        <v>0</v>
      </c>
      <c r="E387" s="276">
        <f>'Profits 2016'!L5597</f>
        <v>780</v>
      </c>
      <c r="F387" s="275" t="str">
        <f>'Profits 2016'!P5597</f>
        <v>Direct</v>
      </c>
      <c r="G387" s="292">
        <f>'Profits 2016'!N5597-'Profits 2016'!M5597</f>
        <v>39</v>
      </c>
      <c r="H387" s="292">
        <v>0</v>
      </c>
      <c r="I387" s="275">
        <v>72894</v>
      </c>
      <c r="J387" s="277">
        <v>42633</v>
      </c>
      <c r="K387" s="277">
        <v>42639</v>
      </c>
      <c r="L387" s="277">
        <v>42643</v>
      </c>
      <c r="M387" s="292">
        <v>0</v>
      </c>
      <c r="N387" s="281">
        <v>9025</v>
      </c>
      <c r="O387" s="236">
        <f>'Profits 2016'!T5597</f>
        <v>0</v>
      </c>
      <c r="P387" s="284">
        <f>'Profits 2016'!U5597</f>
        <v>0</v>
      </c>
      <c r="Q387" s="284" t="s">
        <v>314</v>
      </c>
      <c r="R387" s="276">
        <v>0</v>
      </c>
      <c r="S387" s="275" t="s">
        <v>15772</v>
      </c>
      <c r="T387" s="279">
        <v>42640</v>
      </c>
      <c r="U387" s="279">
        <v>42646</v>
      </c>
      <c r="V387" s="279">
        <v>42650</v>
      </c>
      <c r="W387" s="293">
        <v>0</v>
      </c>
      <c r="X387" s="236">
        <v>9072</v>
      </c>
      <c r="AF387" s="276">
        <f t="shared" si="27"/>
        <v>39</v>
      </c>
      <c r="AG387" s="276">
        <f t="shared" ref="AG387:AG450" si="28">M387+R387+Y387</f>
        <v>0</v>
      </c>
      <c r="AH387" s="276">
        <f t="shared" ref="AH387:AH450" si="29">D387-AG387</f>
        <v>0</v>
      </c>
      <c r="AI387" s="283">
        <f t="shared" ref="AI387:AI450" si="30">AH387/AF387</f>
        <v>0</v>
      </c>
    </row>
    <row r="388" spans="1:35" ht="30" x14ac:dyDescent="0.25">
      <c r="A388" s="275">
        <f>'Profits 2016'!A5598</f>
        <v>3004407</v>
      </c>
      <c r="B388" s="279">
        <f>'Profits 2016'!B5598</f>
        <v>42629</v>
      </c>
      <c r="C388" s="276">
        <f>'Profits 2016'!H5598</f>
        <v>2395.36</v>
      </c>
      <c r="D388" s="280">
        <f>'Profits 2016'!K5598</f>
        <v>2342.3620800000003</v>
      </c>
      <c r="E388" s="276">
        <f>'Profits 2016'!L5598</f>
        <v>2230</v>
      </c>
      <c r="F388" s="275" t="str">
        <f>'Profits 2016'!P5598</f>
        <v>Service</v>
      </c>
      <c r="G388" s="292">
        <f>'Profits 2016'!N5598-'Profits 2016'!M5598</f>
        <v>1293.3999999999999</v>
      </c>
      <c r="H388" s="292">
        <v>0</v>
      </c>
      <c r="I388" s="275">
        <v>50261967</v>
      </c>
      <c r="J388" s="277">
        <v>42632</v>
      </c>
      <c r="K388" s="277">
        <v>42636</v>
      </c>
      <c r="L388" s="277">
        <v>42657</v>
      </c>
      <c r="M388" s="292">
        <v>1293.4000000000001</v>
      </c>
      <c r="N388" s="281">
        <v>9196</v>
      </c>
      <c r="O388" s="344" t="str">
        <f>'Profits 2016'!T5598</f>
        <v>FEDEX FRT PRIORITY</v>
      </c>
      <c r="P388" s="345" t="str">
        <f>'Profits 2016'!U5598</f>
        <v>3491458191</v>
      </c>
      <c r="Q388" s="345"/>
      <c r="R388" s="342"/>
      <c r="S388" s="336"/>
      <c r="T388" s="341"/>
      <c r="U388" s="341"/>
      <c r="V388" s="341"/>
      <c r="W388" s="346"/>
      <c r="X388" s="344"/>
      <c r="AF388" s="276">
        <f t="shared" si="27"/>
        <v>1293.3999999999999</v>
      </c>
      <c r="AG388" s="276">
        <f t="shared" si="28"/>
        <v>1293.4000000000001</v>
      </c>
      <c r="AH388" s="276">
        <f t="shared" si="29"/>
        <v>1048.9620800000002</v>
      </c>
      <c r="AI388" s="283">
        <f t="shared" si="30"/>
        <v>0.81101134993041624</v>
      </c>
    </row>
    <row r="389" spans="1:35" x14ac:dyDescent="0.25">
      <c r="A389" s="275">
        <f>'Profits 2016'!A5599</f>
        <v>3004408</v>
      </c>
      <c r="B389" s="279">
        <f>'Profits 2016'!B5599</f>
        <v>42632</v>
      </c>
      <c r="C389" s="276">
        <f>'Profits 2016'!H5599</f>
        <v>1638.77</v>
      </c>
      <c r="D389" s="280">
        <f>'Profits 2016'!K5599</f>
        <v>1602.41706</v>
      </c>
      <c r="E389" s="276">
        <f>'Profits 2016'!L5599</f>
        <v>1190</v>
      </c>
      <c r="F389" s="275" t="str">
        <f>'Profits 2016'!P5599</f>
        <v>Priority</v>
      </c>
      <c r="G389" s="292">
        <f>'Profits 2016'!N5599-'Profits 2016'!M5599</f>
        <v>1190</v>
      </c>
      <c r="H389" s="331">
        <v>0</v>
      </c>
      <c r="I389" s="332">
        <v>1058323</v>
      </c>
      <c r="J389" s="333">
        <v>42635</v>
      </c>
      <c r="K389" s="333">
        <v>42642</v>
      </c>
      <c r="L389" s="333">
        <v>42664</v>
      </c>
      <c r="M389" s="331">
        <v>1190</v>
      </c>
      <c r="N389" s="334">
        <v>9235</v>
      </c>
      <c r="O389" s="236" t="str">
        <f>'Profits 2016'!T5599</f>
        <v>SAIA</v>
      </c>
      <c r="P389" s="284" t="str">
        <f>'Profits 2016'!U5599</f>
        <v>9835144402</v>
      </c>
      <c r="Q389" s="284" t="s">
        <v>15740</v>
      </c>
      <c r="R389" s="276">
        <v>115</v>
      </c>
      <c r="S389" s="275">
        <v>1058323</v>
      </c>
      <c r="T389" s="279">
        <v>42635</v>
      </c>
      <c r="U389" s="279">
        <v>42642</v>
      </c>
      <c r="V389" s="279">
        <v>42664</v>
      </c>
      <c r="W389" s="293">
        <v>115</v>
      </c>
      <c r="X389" s="236">
        <v>9235</v>
      </c>
      <c r="AF389" s="276">
        <f t="shared" si="27"/>
        <v>1305</v>
      </c>
      <c r="AG389" s="276">
        <f t="shared" si="28"/>
        <v>1305</v>
      </c>
      <c r="AH389" s="276">
        <f t="shared" si="29"/>
        <v>297.41705999999999</v>
      </c>
      <c r="AI389" s="283">
        <f t="shared" si="30"/>
        <v>0.22790579310344827</v>
      </c>
    </row>
    <row r="390" spans="1:35" x14ac:dyDescent="0.25">
      <c r="A390" s="275">
        <f>'Profits 2016'!A5600</f>
        <v>3004409</v>
      </c>
      <c r="B390" s="279">
        <f>'Profits 2016'!B5600</f>
        <v>42632</v>
      </c>
      <c r="C390" s="276">
        <f>'Profits 2016'!H5600</f>
        <v>1072.9000000000001</v>
      </c>
      <c r="D390" s="280">
        <f>'Profits 2016'!K5600</f>
        <v>1072.9000000000001</v>
      </c>
      <c r="E390" s="276">
        <f>'Profits 2016'!L5600</f>
        <v>104</v>
      </c>
      <c r="F390" s="275" t="str">
        <f>'Profits 2016'!P5600</f>
        <v>Nexans</v>
      </c>
      <c r="G390" s="292">
        <f>'Profits 2016'!N5600-'Profits 2016'!M5600</f>
        <v>208</v>
      </c>
      <c r="H390" s="292">
        <v>0</v>
      </c>
      <c r="I390" s="275">
        <v>47331102</v>
      </c>
      <c r="J390" s="277">
        <v>42635</v>
      </c>
      <c r="K390" s="277">
        <v>42641</v>
      </c>
      <c r="L390" s="277">
        <v>42650</v>
      </c>
      <c r="M390" s="292">
        <v>593.1</v>
      </c>
      <c r="N390" s="281">
        <v>9107</v>
      </c>
      <c r="O390" s="236" t="str">
        <f>'Profits 2016'!T5600</f>
        <v>NEMF</v>
      </c>
      <c r="P390" s="284">
        <f>'Profits 2016'!U5600</f>
        <v>23922347</v>
      </c>
      <c r="Q390" s="284" t="s">
        <v>15760</v>
      </c>
      <c r="R390" s="276">
        <v>56.35</v>
      </c>
      <c r="S390" s="275">
        <v>47331102</v>
      </c>
      <c r="T390" s="279">
        <v>42635</v>
      </c>
      <c r="U390" s="279">
        <v>42641</v>
      </c>
      <c r="AF390" s="276">
        <f t="shared" si="27"/>
        <v>264.35000000000002</v>
      </c>
      <c r="AG390" s="276">
        <f t="shared" si="28"/>
        <v>649.45000000000005</v>
      </c>
      <c r="AH390" s="276">
        <f t="shared" si="29"/>
        <v>423.45000000000005</v>
      </c>
      <c r="AI390" s="283">
        <f t="shared" si="30"/>
        <v>1.6018536031776054</v>
      </c>
    </row>
    <row r="391" spans="1:35" ht="30" x14ac:dyDescent="0.25">
      <c r="A391" s="275">
        <f>'Profits 2016'!A5601</f>
        <v>0</v>
      </c>
      <c r="B391" s="279">
        <f>'Profits 2016'!B5601</f>
        <v>0</v>
      </c>
      <c r="C391" s="276">
        <f>'Profits 2016'!H5601</f>
        <v>0</v>
      </c>
      <c r="D391" s="280">
        <f>'Profits 2016'!K5601</f>
        <v>0</v>
      </c>
      <c r="E391" s="276">
        <f>'Profits 2016'!L5601</f>
        <v>310</v>
      </c>
      <c r="F391" s="275" t="str">
        <f>'Profits 2016'!P5601</f>
        <v>A-Z</v>
      </c>
      <c r="G391" s="292">
        <f>'Profits 2016'!N5601-'Profits 2016'!M5601</f>
        <v>55.800000000000004</v>
      </c>
      <c r="H391" s="292">
        <v>0</v>
      </c>
      <c r="I391" s="275">
        <v>401576</v>
      </c>
      <c r="J391" s="277">
        <v>42633</v>
      </c>
      <c r="K391" s="277">
        <v>42639</v>
      </c>
      <c r="L391" s="277">
        <v>42678</v>
      </c>
      <c r="M391" s="292">
        <v>55.8</v>
      </c>
      <c r="N391" s="281">
        <v>9282</v>
      </c>
      <c r="O391" s="236" t="str">
        <f>'Profits 2016'!T5601</f>
        <v>FEDEX GROUND</v>
      </c>
      <c r="P391" s="284" t="str">
        <f>'Profits 2016'!U5601</f>
        <v>654016290385</v>
      </c>
      <c r="Q391" s="284" t="s">
        <v>314</v>
      </c>
      <c r="R391" s="276">
        <v>9.0399999999999991</v>
      </c>
      <c r="S391" s="275" t="s">
        <v>15744</v>
      </c>
      <c r="T391" s="279">
        <v>42646</v>
      </c>
      <c r="U391" s="279">
        <v>42653</v>
      </c>
      <c r="V391" s="279">
        <v>42657</v>
      </c>
      <c r="W391" s="293">
        <v>0</v>
      </c>
      <c r="X391" s="236">
        <v>9174</v>
      </c>
      <c r="AF391" s="276">
        <f t="shared" si="27"/>
        <v>64.84</v>
      </c>
      <c r="AG391" s="276">
        <f t="shared" si="28"/>
        <v>64.84</v>
      </c>
      <c r="AH391" s="276">
        <f t="shared" si="29"/>
        <v>-64.84</v>
      </c>
      <c r="AI391" s="283">
        <f t="shared" si="30"/>
        <v>-1</v>
      </c>
    </row>
    <row r="392" spans="1:35" x14ac:dyDescent="0.25">
      <c r="A392" s="275">
        <f>'Profits 2016'!A5602</f>
        <v>0</v>
      </c>
      <c r="B392" s="279">
        <f>'Profits 2016'!B5602</f>
        <v>0</v>
      </c>
      <c r="C392" s="276">
        <f>'Profits 2016'!H5602</f>
        <v>0</v>
      </c>
      <c r="D392" s="280">
        <f>'Profits 2016'!K5602</f>
        <v>0</v>
      </c>
      <c r="E392" s="276">
        <f>'Profits 2016'!L5602</f>
        <v>160</v>
      </c>
      <c r="F392" s="275" t="str">
        <f>'Profits 2016'!P5602</f>
        <v>A-Z</v>
      </c>
      <c r="G392" s="292">
        <f>'Profits 2016'!N5602-'Profits 2016'!M5602</f>
        <v>9.5999999999999979</v>
      </c>
      <c r="H392" s="292">
        <v>0</v>
      </c>
      <c r="I392" s="275">
        <v>401576</v>
      </c>
      <c r="J392" s="277">
        <v>42633</v>
      </c>
      <c r="K392" s="277">
        <v>42639</v>
      </c>
      <c r="L392" s="277">
        <v>42678</v>
      </c>
      <c r="M392" s="292">
        <v>9.6</v>
      </c>
      <c r="N392" s="281">
        <v>9282</v>
      </c>
      <c r="O392" s="236">
        <f>'Profits 2016'!T5602</f>
        <v>0</v>
      </c>
      <c r="P392" s="284" t="str">
        <f>'Profits 2016'!U5602</f>
        <v>654016290396</v>
      </c>
      <c r="Q392" s="284" t="s">
        <v>314</v>
      </c>
      <c r="R392" s="276">
        <v>7.48</v>
      </c>
      <c r="S392" s="275" t="s">
        <v>15744</v>
      </c>
      <c r="T392" s="279">
        <v>42646</v>
      </c>
      <c r="U392" s="279">
        <v>42653</v>
      </c>
      <c r="V392" s="279">
        <v>42657</v>
      </c>
      <c r="W392" s="293">
        <v>0</v>
      </c>
      <c r="X392" s="236">
        <v>9174</v>
      </c>
      <c r="AF392" s="276">
        <f t="shared" si="27"/>
        <v>17.079999999999998</v>
      </c>
      <c r="AG392" s="276">
        <f t="shared" si="28"/>
        <v>17.079999999999998</v>
      </c>
      <c r="AH392" s="276">
        <f t="shared" si="29"/>
        <v>-17.079999999999998</v>
      </c>
      <c r="AI392" s="283">
        <f t="shared" si="30"/>
        <v>-1</v>
      </c>
    </row>
    <row r="393" spans="1:35" x14ac:dyDescent="0.25">
      <c r="A393" s="275">
        <f>'Profits 2016'!A5603</f>
        <v>0</v>
      </c>
      <c r="B393" s="279">
        <f>'Profits 2016'!B5603</f>
        <v>0</v>
      </c>
      <c r="C393" s="276">
        <f>'Profits 2016'!H5603</f>
        <v>0</v>
      </c>
      <c r="D393" s="280">
        <f>'Profits 2016'!K5603</f>
        <v>0</v>
      </c>
      <c r="E393" s="276">
        <f>'Profits 2016'!L5603</f>
        <v>3397</v>
      </c>
      <c r="F393" s="275" t="str">
        <f>'Profits 2016'!P5603</f>
        <v>Nexans</v>
      </c>
      <c r="G393" s="292">
        <f>'Profits 2016'!N5603-'Profits 2016'!M5603</f>
        <v>339.70000000000005</v>
      </c>
      <c r="H393" s="292">
        <v>0</v>
      </c>
      <c r="I393" s="275">
        <v>47331102</v>
      </c>
      <c r="J393" s="277">
        <v>42635</v>
      </c>
      <c r="K393" s="277">
        <v>42641</v>
      </c>
      <c r="L393" s="277">
        <v>42650</v>
      </c>
      <c r="M393" s="292">
        <v>0</v>
      </c>
      <c r="N393" s="281">
        <v>9107</v>
      </c>
      <c r="O393" s="236" t="str">
        <f>'Profits 2016'!T5603</f>
        <v>NEMF</v>
      </c>
      <c r="P393" s="284">
        <f>'Profits 2016'!U5603</f>
        <v>23922347</v>
      </c>
      <c r="Q393" s="284" t="s">
        <v>15760</v>
      </c>
      <c r="R393" s="276">
        <v>56.35</v>
      </c>
      <c r="S393" s="275">
        <v>47331102</v>
      </c>
      <c r="T393" s="279">
        <v>42635</v>
      </c>
      <c r="U393" s="279">
        <v>42641</v>
      </c>
      <c r="AF393" s="276">
        <f t="shared" si="27"/>
        <v>396.05000000000007</v>
      </c>
      <c r="AG393" s="276">
        <f t="shared" si="28"/>
        <v>56.35</v>
      </c>
      <c r="AH393" s="276">
        <f t="shared" si="29"/>
        <v>-56.35</v>
      </c>
      <c r="AI393" s="283">
        <f t="shared" si="30"/>
        <v>-0.14228001514960231</v>
      </c>
    </row>
    <row r="394" spans="1:35" ht="30" x14ac:dyDescent="0.25">
      <c r="A394" s="275">
        <f>'Profits 2016'!A5604</f>
        <v>0</v>
      </c>
      <c r="B394" s="279">
        <f>'Profits 2016'!B5604</f>
        <v>0</v>
      </c>
      <c r="C394" s="276">
        <f>'Profits 2016'!H5604</f>
        <v>0</v>
      </c>
      <c r="D394" s="280">
        <f>'Profits 2016'!K5604</f>
        <v>0</v>
      </c>
      <c r="E394" s="276">
        <f>'Profits 2016'!L5604</f>
        <v>1322</v>
      </c>
      <c r="F394" s="275" t="str">
        <f>'Profits 2016'!P5604</f>
        <v>Thea</v>
      </c>
      <c r="G394" s="292">
        <f>'Profits 2016'!N5604-'Profits 2016'!M5604</f>
        <v>99.149999999999991</v>
      </c>
      <c r="H394" s="319"/>
      <c r="I394" s="320"/>
      <c r="J394" s="321"/>
      <c r="K394" s="321"/>
      <c r="L394" s="321"/>
      <c r="M394" s="319"/>
      <c r="N394" s="322"/>
      <c r="O394" s="347" t="str">
        <f>'Profits 2016'!T5604</f>
        <v>FEDEX GROUND</v>
      </c>
      <c r="P394" s="348" t="str">
        <f>'Profits 2016'!U5604</f>
        <v>675157529981</v>
      </c>
      <c r="Q394" s="348" t="s">
        <v>314</v>
      </c>
      <c r="R394" s="349">
        <v>13.88</v>
      </c>
      <c r="S394" s="332" t="s">
        <v>15738</v>
      </c>
      <c r="T394" s="340">
        <v>42653</v>
      </c>
      <c r="U394" s="340">
        <v>42656</v>
      </c>
      <c r="V394" s="340">
        <v>42664</v>
      </c>
      <c r="W394" s="350">
        <f>R394</f>
        <v>13.88</v>
      </c>
      <c r="X394" s="347">
        <v>9215</v>
      </c>
      <c r="AF394" s="276">
        <f t="shared" si="27"/>
        <v>113.02999999999999</v>
      </c>
      <c r="AG394" s="276">
        <f t="shared" si="28"/>
        <v>13.88</v>
      </c>
      <c r="AH394" s="276">
        <f t="shared" si="29"/>
        <v>-13.88</v>
      </c>
      <c r="AI394" s="283">
        <f t="shared" si="30"/>
        <v>-0.12279925683446874</v>
      </c>
    </row>
    <row r="395" spans="1:35" x14ac:dyDescent="0.25">
      <c r="A395" s="275">
        <f>'Profits 2016'!A5605</f>
        <v>3004410</v>
      </c>
      <c r="B395" s="279">
        <f>'Profits 2016'!B5605</f>
        <v>42632</v>
      </c>
      <c r="C395" s="276">
        <f>'Profits 2016'!H5605</f>
        <v>3347.85</v>
      </c>
      <c r="D395" s="280">
        <f>'Profits 2016'!K5605</f>
        <v>3273.8973000000001</v>
      </c>
      <c r="E395" s="276">
        <f>'Profits 2016'!L5605</f>
        <v>5210</v>
      </c>
      <c r="F395" s="275" t="str">
        <f>'Profits 2016'!P5605</f>
        <v>Priority</v>
      </c>
      <c r="G395" s="292">
        <f>'Profits 2016'!N5605-'Profits 2016'!M5605</f>
        <v>1563</v>
      </c>
      <c r="H395" s="292">
        <v>0</v>
      </c>
      <c r="I395" s="275">
        <v>1057143</v>
      </c>
      <c r="J395" s="277">
        <v>42633</v>
      </c>
      <c r="K395" s="277">
        <v>42641</v>
      </c>
      <c r="L395" s="277">
        <v>42657</v>
      </c>
      <c r="M395" s="292">
        <v>1863</v>
      </c>
      <c r="N395" s="281">
        <v>9190</v>
      </c>
      <c r="O395" s="236" t="e">
        <f>'Profits 2016'!#REF!</f>
        <v>#REF!</v>
      </c>
      <c r="P395" s="284" t="e">
        <f>'Profits 2016'!#REF!</f>
        <v>#REF!</v>
      </c>
      <c r="Q395" s="284" t="s">
        <v>15740</v>
      </c>
      <c r="R395" s="276">
        <v>165.1</v>
      </c>
      <c r="S395" s="275">
        <v>1027143</v>
      </c>
      <c r="T395" s="279">
        <v>42633</v>
      </c>
      <c r="U395" s="279">
        <v>42641</v>
      </c>
      <c r="V395" s="279">
        <v>42657</v>
      </c>
      <c r="W395" s="293">
        <v>165.1</v>
      </c>
      <c r="X395" s="236">
        <v>9190</v>
      </c>
      <c r="AF395" s="276">
        <f t="shared" si="27"/>
        <v>1728.1</v>
      </c>
      <c r="AG395" s="276">
        <f t="shared" si="28"/>
        <v>2028.1</v>
      </c>
      <c r="AH395" s="276">
        <f t="shared" si="29"/>
        <v>1245.7973000000002</v>
      </c>
      <c r="AI395" s="283">
        <f t="shared" si="30"/>
        <v>0.72090579248886077</v>
      </c>
    </row>
    <row r="396" spans="1:35" x14ac:dyDescent="0.25">
      <c r="A396" s="275">
        <f>'Profits 2016'!A5606</f>
        <v>0</v>
      </c>
      <c r="B396" s="279">
        <f>'Profits 2016'!B5606</f>
        <v>0</v>
      </c>
      <c r="C396" s="276">
        <f>'Profits 2016'!H5606</f>
        <v>0</v>
      </c>
      <c r="D396" s="280">
        <f>'Profits 2016'!K5606</f>
        <v>0</v>
      </c>
      <c r="E396" s="276">
        <f>'Profits 2016'!L5606</f>
        <v>1500</v>
      </c>
      <c r="F396" s="275" t="str">
        <f>'Profits 2016'!P5606</f>
        <v>Priority</v>
      </c>
      <c r="G396" s="292">
        <f>'Profits 2016'!N5606-'Profits 2016'!M5606</f>
        <v>300</v>
      </c>
      <c r="H396" s="292">
        <v>0</v>
      </c>
      <c r="I396" s="275">
        <v>1057143</v>
      </c>
      <c r="J396" s="277">
        <v>42633</v>
      </c>
      <c r="K396" s="277">
        <v>42641</v>
      </c>
      <c r="L396" s="277">
        <v>42657</v>
      </c>
      <c r="M396" s="292">
        <v>0</v>
      </c>
      <c r="N396" s="281">
        <v>9190</v>
      </c>
      <c r="O396" s="347" t="str">
        <f>'Profits 2016'!T5605</f>
        <v>RAC</v>
      </c>
      <c r="P396" s="348" t="str">
        <f>'Profits 2016'!U5605</f>
        <v>51954319</v>
      </c>
      <c r="Q396" s="284" t="s">
        <v>15740</v>
      </c>
      <c r="R396" s="276">
        <v>0</v>
      </c>
      <c r="S396" s="275">
        <v>1027143</v>
      </c>
      <c r="T396" s="279">
        <v>42633</v>
      </c>
      <c r="U396" s="279">
        <v>42641</v>
      </c>
      <c r="V396" s="340">
        <v>42657</v>
      </c>
      <c r="W396" s="350">
        <v>0</v>
      </c>
      <c r="X396" s="347">
        <v>9190</v>
      </c>
      <c r="AF396" s="276">
        <f t="shared" si="27"/>
        <v>300</v>
      </c>
      <c r="AG396" s="276">
        <f t="shared" si="28"/>
        <v>0</v>
      </c>
      <c r="AH396" s="276">
        <f t="shared" si="29"/>
        <v>0</v>
      </c>
      <c r="AI396" s="283">
        <f t="shared" si="30"/>
        <v>0</v>
      </c>
    </row>
    <row r="397" spans="1:35" ht="30" x14ac:dyDescent="0.25">
      <c r="A397" s="275">
        <f>'Profits 2016'!A5607</f>
        <v>3004411</v>
      </c>
      <c r="B397" s="279">
        <f>'Profits 2016'!B5607</f>
        <v>42632</v>
      </c>
      <c r="C397" s="276">
        <f>'Profits 2016'!H5607</f>
        <v>540</v>
      </c>
      <c r="D397" s="280">
        <f>'Profits 2016'!K5607</f>
        <v>527.82000000000005</v>
      </c>
      <c r="E397" s="276">
        <f>'Profits 2016'!L5607</f>
        <v>2030</v>
      </c>
      <c r="F397" s="275" t="str">
        <f>'Profits 2016'!P5607</f>
        <v>Priority</v>
      </c>
      <c r="G397" s="292">
        <f>'Profits 2016'!N5607-'Profits 2016'!M5607</f>
        <v>355.25</v>
      </c>
      <c r="H397" s="292">
        <v>0</v>
      </c>
      <c r="I397" s="275">
        <v>1057487</v>
      </c>
      <c r="J397" s="277">
        <v>42633</v>
      </c>
      <c r="K397" s="277">
        <v>42641</v>
      </c>
      <c r="L397" s="277">
        <v>42657</v>
      </c>
      <c r="M397" s="292">
        <v>386.4</v>
      </c>
      <c r="N397" s="281">
        <v>9191</v>
      </c>
      <c r="O397" s="236" t="str">
        <f>'Profits 2016'!T5607</f>
        <v>FEDEX PRIORITY</v>
      </c>
      <c r="P397" s="284" t="str">
        <f>'Profits 2016'!U5607</f>
        <v>3963548890</v>
      </c>
      <c r="Q397" s="284" t="s">
        <v>15740</v>
      </c>
      <c r="R397" s="276">
        <v>215.23</v>
      </c>
      <c r="S397" s="275">
        <v>1057487</v>
      </c>
      <c r="T397" s="279">
        <v>42633</v>
      </c>
      <c r="U397" s="279">
        <v>42641</v>
      </c>
      <c r="V397" s="279" t="s">
        <v>15774</v>
      </c>
      <c r="W397" s="293">
        <v>215.23</v>
      </c>
      <c r="X397" s="236">
        <v>9191</v>
      </c>
      <c r="AF397" s="276">
        <f t="shared" si="27"/>
        <v>570.48</v>
      </c>
      <c r="AG397" s="276">
        <f t="shared" si="28"/>
        <v>601.63</v>
      </c>
      <c r="AH397" s="276">
        <f t="shared" si="29"/>
        <v>-73.809999999999945</v>
      </c>
      <c r="AI397" s="283">
        <f t="shared" si="30"/>
        <v>-0.12938227457579571</v>
      </c>
    </row>
    <row r="398" spans="1:35" x14ac:dyDescent="0.25">
      <c r="A398" s="275">
        <f>'Profits 2016'!A5608</f>
        <v>0</v>
      </c>
      <c r="B398" s="279">
        <f>'Profits 2016'!B5608</f>
        <v>0</v>
      </c>
      <c r="C398" s="276">
        <f>'Profits 2016'!H5608</f>
        <v>0</v>
      </c>
      <c r="D398" s="280">
        <f>'Profits 2016'!K5608</f>
        <v>0</v>
      </c>
      <c r="E398" s="276">
        <f>'Profits 2016'!L5608</f>
        <v>178</v>
      </c>
      <c r="F398" s="275" t="str">
        <f>'Profits 2016'!P5608</f>
        <v>Priority</v>
      </c>
      <c r="G398" s="292">
        <f>'Profits 2016'!N5608-'Profits 2016'!M5608</f>
        <v>31.150000000000002</v>
      </c>
      <c r="H398" s="292">
        <v>0</v>
      </c>
      <c r="I398" s="275">
        <v>1057487</v>
      </c>
      <c r="J398" s="277">
        <v>42633</v>
      </c>
      <c r="K398" s="277">
        <v>42641</v>
      </c>
      <c r="L398" s="277">
        <v>42657</v>
      </c>
      <c r="M398" s="292">
        <v>0</v>
      </c>
      <c r="N398" s="281">
        <v>9191</v>
      </c>
      <c r="O398" s="236">
        <f>'Profits 2016'!T5608</f>
        <v>0</v>
      </c>
      <c r="P398" s="284">
        <f>'Profits 2016'!U5608</f>
        <v>0</v>
      </c>
      <c r="Q398" s="284" t="s">
        <v>15740</v>
      </c>
      <c r="R398" s="276">
        <v>215.23</v>
      </c>
      <c r="S398" s="275">
        <v>1057487</v>
      </c>
      <c r="T398" s="279">
        <v>42633</v>
      </c>
      <c r="U398" s="279">
        <v>42641</v>
      </c>
      <c r="V398" s="279">
        <v>42657</v>
      </c>
      <c r="W398" s="293">
        <v>0</v>
      </c>
      <c r="X398" s="236">
        <v>9191</v>
      </c>
      <c r="AF398" s="276">
        <f t="shared" si="27"/>
        <v>246.38</v>
      </c>
      <c r="AG398" s="276">
        <f t="shared" si="28"/>
        <v>215.23</v>
      </c>
      <c r="AH398" s="276">
        <f t="shared" si="29"/>
        <v>-215.23</v>
      </c>
      <c r="AI398" s="283">
        <f t="shared" si="30"/>
        <v>-0.87356928322104066</v>
      </c>
    </row>
    <row r="399" spans="1:35" ht="30" x14ac:dyDescent="0.25">
      <c r="A399" s="275">
        <f>'Profits 2016'!A5609</f>
        <v>3004412</v>
      </c>
      <c r="B399" s="279">
        <f>'Profits 2016'!B5609</f>
        <v>42632</v>
      </c>
      <c r="C399" s="276">
        <f>'Profits 2016'!H5609</f>
        <v>280</v>
      </c>
      <c r="D399" s="280">
        <f>'Profits 2016'!K5609</f>
        <v>274.38</v>
      </c>
      <c r="E399" s="276">
        <f>'Profits 2016'!L5609</f>
        <v>320</v>
      </c>
      <c r="F399" s="275" t="str">
        <f>'Profits 2016'!P5609</f>
        <v>Priority</v>
      </c>
      <c r="G399" s="292">
        <f>'Profits 2016'!N5609-'Profits 2016'!M5609</f>
        <v>160</v>
      </c>
      <c r="H399" s="292">
        <v>0</v>
      </c>
      <c r="I399" s="275">
        <v>1057482</v>
      </c>
      <c r="J399" s="277">
        <v>42633</v>
      </c>
      <c r="K399" s="277">
        <v>42641</v>
      </c>
      <c r="L399" s="277">
        <v>42657</v>
      </c>
      <c r="M399" s="292">
        <v>160</v>
      </c>
      <c r="N399" s="281">
        <v>9191</v>
      </c>
      <c r="O399" s="236" t="str">
        <f>'Profits 2016'!T5609</f>
        <v>FEDEX GROUND</v>
      </c>
      <c r="P399" s="284" t="str">
        <f>'Profits 2016'!U5609</f>
        <v xml:space="preserve">	616712876623</v>
      </c>
      <c r="Q399" s="284" t="s">
        <v>15740</v>
      </c>
      <c r="R399" s="276">
        <v>23.07</v>
      </c>
      <c r="S399" s="275">
        <v>1057482</v>
      </c>
      <c r="T399" s="279">
        <v>42633</v>
      </c>
      <c r="U399" s="279">
        <v>42428</v>
      </c>
      <c r="V399" s="279" t="s">
        <v>15774</v>
      </c>
      <c r="W399" s="293">
        <v>23.07</v>
      </c>
      <c r="X399" s="236">
        <v>9191</v>
      </c>
      <c r="AF399" s="276">
        <f t="shared" si="27"/>
        <v>183.07</v>
      </c>
      <c r="AG399" s="276">
        <f t="shared" si="28"/>
        <v>183.07</v>
      </c>
      <c r="AH399" s="276">
        <f t="shared" si="29"/>
        <v>91.31</v>
      </c>
      <c r="AI399" s="283">
        <f t="shared" si="30"/>
        <v>0.49877096192713172</v>
      </c>
    </row>
    <row r="400" spans="1:35" x14ac:dyDescent="0.25">
      <c r="A400" s="275">
        <f>'Profits 2016'!A5610</f>
        <v>3004413</v>
      </c>
      <c r="B400" s="279">
        <f>'Profits 2016'!B5610</f>
        <v>42632</v>
      </c>
      <c r="C400" s="276">
        <f>'Profits 2016'!H5610</f>
        <v>0</v>
      </c>
      <c r="D400" s="280">
        <f>'Profits 2016'!K5610</f>
        <v>-0.3</v>
      </c>
      <c r="E400" s="276">
        <f>'Profits 2016'!L5610</f>
        <v>0</v>
      </c>
      <c r="F400" s="275" t="str">
        <f>'Profits 2016'!P5610</f>
        <v>Nassau</v>
      </c>
      <c r="G400" s="292">
        <f>'Profits 2016'!N5610-'Profits 2016'!M5610</f>
        <v>0</v>
      </c>
      <c r="H400" s="319"/>
      <c r="I400" s="320"/>
      <c r="J400" s="321"/>
      <c r="K400" s="321"/>
      <c r="L400" s="321"/>
      <c r="M400" s="319"/>
      <c r="N400" s="322"/>
      <c r="O400" s="236">
        <f>'Profits 2016'!T5610</f>
        <v>0</v>
      </c>
      <c r="P400" s="284">
        <f>'Profits 2016'!U5610</f>
        <v>0</v>
      </c>
      <c r="R400" s="276">
        <v>0</v>
      </c>
      <c r="AF400" s="276">
        <f t="shared" si="27"/>
        <v>0</v>
      </c>
      <c r="AG400" s="276">
        <f t="shared" si="28"/>
        <v>0</v>
      </c>
      <c r="AH400" s="276">
        <f t="shared" si="29"/>
        <v>-0.3</v>
      </c>
      <c r="AI400" s="283" t="e">
        <f t="shared" si="30"/>
        <v>#DIV/0!</v>
      </c>
    </row>
    <row r="401" spans="1:35" ht="30" x14ac:dyDescent="0.25">
      <c r="A401" s="275">
        <f>'Profits 2016'!A5611</f>
        <v>3004414</v>
      </c>
      <c r="B401" s="279">
        <f>'Profits 2016'!B5611</f>
        <v>42632</v>
      </c>
      <c r="C401" s="276">
        <f>'Profits 2016'!H5611</f>
        <v>161.69999999999999</v>
      </c>
      <c r="D401" s="280">
        <f>'Profits 2016'!K5611</f>
        <v>143.7747</v>
      </c>
      <c r="E401" s="276">
        <f>'Profits 2016'!L5611</f>
        <v>2200</v>
      </c>
      <c r="F401" s="275" t="str">
        <f>'Profits 2016'!P5611</f>
        <v>Direct</v>
      </c>
      <c r="G401" s="292">
        <f>'Profits 2016'!N5611-'Profits 2016'!M5611</f>
        <v>109.99999999999999</v>
      </c>
      <c r="H401" s="292">
        <v>0</v>
      </c>
      <c r="I401" s="275">
        <v>72901</v>
      </c>
      <c r="J401" s="277">
        <v>42633</v>
      </c>
      <c r="K401" s="277">
        <v>42639</v>
      </c>
      <c r="L401" s="277">
        <v>42643</v>
      </c>
      <c r="M401" s="292">
        <v>107.8</v>
      </c>
      <c r="N401" s="281">
        <v>9024</v>
      </c>
      <c r="O401" s="347" t="str">
        <f>'Profits 2016'!T5611</f>
        <v>FEDEX GROUND</v>
      </c>
      <c r="P401" s="348" t="str">
        <f>'Profits 2016'!U5611</f>
        <v>639794969420</v>
      </c>
      <c r="Q401" s="348" t="s">
        <v>314</v>
      </c>
      <c r="R401" s="349">
        <v>30.58</v>
      </c>
      <c r="S401" s="332" t="s">
        <v>15738</v>
      </c>
      <c r="T401" s="340">
        <v>42653</v>
      </c>
      <c r="U401" s="340">
        <v>42656</v>
      </c>
      <c r="V401" s="340">
        <v>42664</v>
      </c>
      <c r="W401" s="350">
        <f>R401</f>
        <v>30.58</v>
      </c>
      <c r="X401" s="347">
        <v>9215</v>
      </c>
      <c r="AF401" s="276">
        <f t="shared" si="27"/>
        <v>150.57999999999998</v>
      </c>
      <c r="AG401" s="276">
        <f t="shared" si="28"/>
        <v>138.38</v>
      </c>
      <c r="AH401" s="276">
        <f t="shared" si="29"/>
        <v>5.3947000000000003</v>
      </c>
      <c r="AI401" s="283">
        <f t="shared" si="30"/>
        <v>3.5826138929472715E-2</v>
      </c>
    </row>
    <row r="402" spans="1:35" ht="30" x14ac:dyDescent="0.25">
      <c r="A402" s="275">
        <f>'Profits 2016'!A5612</f>
        <v>3004415</v>
      </c>
      <c r="B402" s="279">
        <f>'Profits 2016'!B5612</f>
        <v>42632</v>
      </c>
      <c r="C402" s="276">
        <f>'Profits 2016'!H5612</f>
        <v>195.03</v>
      </c>
      <c r="D402" s="280">
        <f>'Profits 2016'!K5612</f>
        <v>173.47173000000001</v>
      </c>
      <c r="E402" s="276">
        <f>'Profits 2016'!L5612</f>
        <v>3400</v>
      </c>
      <c r="F402" s="275" t="str">
        <f>'Profits 2016'!P5612</f>
        <v>Priority</v>
      </c>
      <c r="G402" s="292">
        <f>'Profits 2016'!N5612-'Profits 2016'!M5612</f>
        <v>85</v>
      </c>
      <c r="H402" s="292">
        <v>10</v>
      </c>
      <c r="I402" s="275">
        <v>1057416</v>
      </c>
      <c r="J402" s="277">
        <v>42633</v>
      </c>
      <c r="K402" s="277">
        <v>42641</v>
      </c>
      <c r="L402" s="277">
        <v>42657</v>
      </c>
      <c r="M402" s="292">
        <v>95</v>
      </c>
      <c r="N402" s="281">
        <v>9191</v>
      </c>
      <c r="O402" s="236" t="str">
        <f>'Profits 2016'!T5612</f>
        <v>FEDEX GROUND</v>
      </c>
      <c r="P402" s="284" t="str">
        <f>'Profits 2016'!U5612</f>
        <v>777270828419</v>
      </c>
      <c r="Q402" s="284" t="s">
        <v>15740</v>
      </c>
      <c r="R402" s="276">
        <v>26.74</v>
      </c>
      <c r="S402" s="275">
        <v>1057416</v>
      </c>
      <c r="T402" s="279">
        <v>42633</v>
      </c>
      <c r="U402" s="279">
        <v>42641</v>
      </c>
      <c r="V402" s="279">
        <v>42657</v>
      </c>
      <c r="W402" s="293">
        <v>26.74</v>
      </c>
      <c r="X402" s="236">
        <v>9191</v>
      </c>
      <c r="AF402" s="276">
        <f t="shared" si="27"/>
        <v>111.74</v>
      </c>
      <c r="AG402" s="276">
        <f t="shared" si="28"/>
        <v>121.74</v>
      </c>
      <c r="AH402" s="276">
        <f t="shared" si="29"/>
        <v>51.731730000000013</v>
      </c>
      <c r="AI402" s="283">
        <f t="shared" si="30"/>
        <v>0.46296518704134609</v>
      </c>
    </row>
    <row r="403" spans="1:35" ht="30" x14ac:dyDescent="0.25">
      <c r="A403" s="275">
        <f>'Profits 2016'!A5613</f>
        <v>3004416</v>
      </c>
      <c r="B403" s="279">
        <f>'Profits 2016'!B5613</f>
        <v>42632</v>
      </c>
      <c r="C403" s="276">
        <f>'Profits 2016'!H5613</f>
        <v>147.12</v>
      </c>
      <c r="D403" s="280">
        <f>'Profits 2016'!K5613</f>
        <v>130.78391999999999</v>
      </c>
      <c r="E403" s="276">
        <f>'Profits 2016'!L5613</f>
        <v>235</v>
      </c>
      <c r="F403" s="275" t="str">
        <f>'Profits 2016'!P5613</f>
        <v>Nassau</v>
      </c>
      <c r="G403" s="292">
        <f>'Profits 2016'!N5613-'Profits 2016'!M5613</f>
        <v>47</v>
      </c>
      <c r="H403" s="319"/>
      <c r="I403" s="320"/>
      <c r="J403" s="321"/>
      <c r="K403" s="321"/>
      <c r="L403" s="321"/>
      <c r="M403" s="319"/>
      <c r="N403" s="322"/>
      <c r="O403" s="236" t="str">
        <f>'Profits 2016'!T5613</f>
        <v>FEDEX GROUND</v>
      </c>
      <c r="P403" s="284" t="str">
        <f>'Profits 2016'!U5613</f>
        <v>665645047004</v>
      </c>
      <c r="Q403" s="284" t="s">
        <v>314</v>
      </c>
      <c r="R403" s="276">
        <v>18.420000000000002</v>
      </c>
      <c r="S403" s="275" t="s">
        <v>15744</v>
      </c>
      <c r="T403" s="279">
        <v>42646</v>
      </c>
      <c r="U403" s="279">
        <v>42653</v>
      </c>
      <c r="V403" s="279">
        <v>42657</v>
      </c>
      <c r="W403" s="293">
        <v>0</v>
      </c>
      <c r="X403" s="236">
        <v>9174</v>
      </c>
      <c r="AF403" s="276">
        <f t="shared" si="27"/>
        <v>65.42</v>
      </c>
      <c r="AG403" s="276">
        <f t="shared" si="28"/>
        <v>18.420000000000002</v>
      </c>
      <c r="AH403" s="276">
        <f t="shared" si="29"/>
        <v>112.36391999999999</v>
      </c>
      <c r="AI403" s="283">
        <f t="shared" si="30"/>
        <v>1.7175774992357076</v>
      </c>
    </row>
    <row r="404" spans="1:35" ht="30" x14ac:dyDescent="0.25">
      <c r="A404" s="275">
        <f>'Profits 2016'!A5614</f>
        <v>3004417</v>
      </c>
      <c r="B404" s="279">
        <f>'Profits 2016'!B5614</f>
        <v>42632</v>
      </c>
      <c r="C404" s="276">
        <f>'Profits 2016'!H5614</f>
        <v>245</v>
      </c>
      <c r="D404" s="280">
        <f>'Profits 2016'!K5614</f>
        <v>217.99499999999998</v>
      </c>
      <c r="E404" s="276">
        <f>'Profits 2016'!L5614</f>
        <v>1322</v>
      </c>
      <c r="F404" s="275" t="str">
        <f>'Profits 2016'!P5614</f>
        <v>Nassau</v>
      </c>
      <c r="G404" s="292">
        <f>'Profits 2016'!N5614-'Profits 2016'!M5614</f>
        <v>132.20000000000002</v>
      </c>
      <c r="H404" s="319"/>
      <c r="I404" s="320"/>
      <c r="J404" s="321"/>
      <c r="K404" s="321"/>
      <c r="L404" s="321"/>
      <c r="M404" s="319"/>
      <c r="N404" s="322"/>
      <c r="O404" s="347" t="str">
        <f>'Profits 2016'!T5614</f>
        <v>FEDEX GROUND</v>
      </c>
      <c r="P404" s="348" t="str">
        <f>'Profits 2016'!U5614</f>
        <v>702723288370</v>
      </c>
      <c r="Q404" s="348" t="s">
        <v>314</v>
      </c>
      <c r="R404" s="349">
        <v>50.76</v>
      </c>
      <c r="S404" s="332" t="s">
        <v>15738</v>
      </c>
      <c r="T404" s="340">
        <v>42653</v>
      </c>
      <c r="U404" s="340">
        <v>42656</v>
      </c>
      <c r="V404" s="340">
        <v>42664</v>
      </c>
      <c r="W404" s="350">
        <f t="shared" ref="W404:W405" si="31">R404</f>
        <v>50.76</v>
      </c>
      <c r="X404" s="347">
        <v>9215</v>
      </c>
      <c r="AF404" s="276">
        <f t="shared" si="27"/>
        <v>182.96</v>
      </c>
      <c r="AG404" s="276">
        <f t="shared" si="28"/>
        <v>50.76</v>
      </c>
      <c r="AH404" s="276">
        <f t="shared" si="29"/>
        <v>167.23499999999999</v>
      </c>
      <c r="AI404" s="283">
        <f t="shared" si="30"/>
        <v>0.91405225185832961</v>
      </c>
    </row>
    <row r="405" spans="1:35" ht="30" x14ac:dyDescent="0.25">
      <c r="A405" s="275">
        <f>'Profits 2016'!A5615</f>
        <v>3004418</v>
      </c>
      <c r="B405" s="279">
        <f>'Profits 2016'!B5615</f>
        <v>42632</v>
      </c>
      <c r="C405" s="276">
        <f>'Profits 2016'!H5615</f>
        <v>749.1</v>
      </c>
      <c r="D405" s="280">
        <f>'Profits 2016'!K5615</f>
        <v>667.1481</v>
      </c>
      <c r="E405" s="276">
        <f>'Profits 2016'!L5615</f>
        <v>3300</v>
      </c>
      <c r="F405" s="275" t="str">
        <f>'Profits 2016'!P5615</f>
        <v>Nassau</v>
      </c>
      <c r="G405" s="292">
        <f>'Profits 2016'!N5615-'Profits 2016'!M5615</f>
        <v>330</v>
      </c>
      <c r="H405" s="319"/>
      <c r="I405" s="320"/>
      <c r="J405" s="321"/>
      <c r="K405" s="321"/>
      <c r="L405" s="321"/>
      <c r="M405" s="319"/>
      <c r="N405" s="322"/>
      <c r="O405" s="347" t="str">
        <f>'Profits 2016'!T5615</f>
        <v>FEDEX GROUND</v>
      </c>
      <c r="P405" s="348" t="str">
        <f>'Profits 2016'!U5615</f>
        <v>702723288495</v>
      </c>
      <c r="Q405" s="348" t="s">
        <v>314</v>
      </c>
      <c r="R405" s="349">
        <v>71.72</v>
      </c>
      <c r="S405" s="332" t="s">
        <v>15738</v>
      </c>
      <c r="T405" s="340">
        <v>42653</v>
      </c>
      <c r="U405" s="340">
        <v>42656</v>
      </c>
      <c r="V405" s="340">
        <v>42664</v>
      </c>
      <c r="W405" s="350">
        <f t="shared" si="31"/>
        <v>71.72</v>
      </c>
      <c r="X405" s="347">
        <v>9215</v>
      </c>
      <c r="AF405" s="276">
        <f t="shared" si="27"/>
        <v>401.72</v>
      </c>
      <c r="AG405" s="276">
        <f t="shared" si="28"/>
        <v>71.72</v>
      </c>
      <c r="AH405" s="276">
        <f t="shared" si="29"/>
        <v>595.42809999999997</v>
      </c>
      <c r="AI405" s="283">
        <f t="shared" si="30"/>
        <v>1.4821968037439011</v>
      </c>
    </row>
    <row r="406" spans="1:35" ht="30" x14ac:dyDescent="0.25">
      <c r="A406" s="275">
        <f>'Profits 2016'!A5616</f>
        <v>3004419</v>
      </c>
      <c r="B406" s="279">
        <f>'Profits 2016'!B5616</f>
        <v>42632</v>
      </c>
      <c r="C406" s="276">
        <f>'Profits 2016'!H5616</f>
        <v>298.44</v>
      </c>
      <c r="D406" s="280">
        <f>'Profits 2016'!K5616</f>
        <v>265.61004000000003</v>
      </c>
      <c r="E406" s="276">
        <f>'Profits 2016'!L5616</f>
        <v>595</v>
      </c>
      <c r="F406" s="275" t="str">
        <f>'Profits 2016'!P5616</f>
        <v>Nassau</v>
      </c>
      <c r="G406" s="292">
        <f>'Profits 2016'!N5616-'Profits 2016'!M5616</f>
        <v>119.00000000000001</v>
      </c>
      <c r="H406" s="319"/>
      <c r="I406" s="320"/>
      <c r="J406" s="321"/>
      <c r="K406" s="321"/>
      <c r="L406" s="321"/>
      <c r="M406" s="319"/>
      <c r="N406" s="322"/>
      <c r="O406" s="236" t="str">
        <f>'Profits 2016'!T5616</f>
        <v>FEDEX GROUND</v>
      </c>
      <c r="P406" s="284" t="str">
        <f>'Profits 2016'!U5616</f>
        <v>702723288418</v>
      </c>
      <c r="Q406" s="284" t="s">
        <v>314</v>
      </c>
      <c r="R406" s="276">
        <v>45.86</v>
      </c>
      <c r="S406" s="275" t="s">
        <v>15744</v>
      </c>
      <c r="T406" s="279">
        <v>42646</v>
      </c>
      <c r="U406" s="279">
        <v>42653</v>
      </c>
      <c r="V406" s="279">
        <v>42657</v>
      </c>
      <c r="W406" s="293">
        <v>0</v>
      </c>
      <c r="X406" s="236">
        <v>9174</v>
      </c>
      <c r="AF406" s="276">
        <f t="shared" si="27"/>
        <v>164.86</v>
      </c>
      <c r="AG406" s="276">
        <f t="shared" si="28"/>
        <v>45.86</v>
      </c>
      <c r="AH406" s="276">
        <f t="shared" si="29"/>
        <v>219.75004000000001</v>
      </c>
      <c r="AI406" s="283">
        <f t="shared" si="30"/>
        <v>1.3329494116219822</v>
      </c>
    </row>
    <row r="407" spans="1:35" ht="30" x14ac:dyDescent="0.25">
      <c r="A407" s="275">
        <f>'Profits 2016'!A5617</f>
        <v>3004420</v>
      </c>
      <c r="B407" s="279">
        <f>'Profits 2016'!B5617</f>
        <v>42632</v>
      </c>
      <c r="C407" s="276">
        <f>'Profits 2016'!H5617</f>
        <v>245</v>
      </c>
      <c r="D407" s="280">
        <f>'Profits 2016'!K5617</f>
        <v>217.99499999999998</v>
      </c>
      <c r="E407" s="276">
        <f>'Profits 2016'!L5617</f>
        <v>1322</v>
      </c>
      <c r="F407" s="275" t="str">
        <f>'Profits 2016'!P5617</f>
        <v>Nassau</v>
      </c>
      <c r="G407" s="292">
        <f>'Profits 2016'!N5617-'Profits 2016'!M5617</f>
        <v>132.20000000000005</v>
      </c>
      <c r="H407" s="319"/>
      <c r="I407" s="320"/>
      <c r="J407" s="321"/>
      <c r="K407" s="321"/>
      <c r="L407" s="321"/>
      <c r="M407" s="319"/>
      <c r="N407" s="322"/>
      <c r="O407" s="236" t="str">
        <f>'Profits 2016'!T5617</f>
        <v>FEDEX GROUND</v>
      </c>
      <c r="P407" s="284" t="str">
        <f>'Profits 2016'!U5617</f>
        <v xml:space="preserve">	702723288381</v>
      </c>
      <c r="Q407" s="284" t="s">
        <v>314</v>
      </c>
      <c r="R407" s="276">
        <v>35.89</v>
      </c>
      <c r="S407" s="275" t="s">
        <v>15744</v>
      </c>
      <c r="T407" s="279">
        <v>42646</v>
      </c>
      <c r="U407" s="279">
        <v>42653</v>
      </c>
      <c r="V407" s="279">
        <v>42657</v>
      </c>
      <c r="W407" s="293">
        <v>0</v>
      </c>
      <c r="X407" s="236">
        <v>9174</v>
      </c>
      <c r="AF407" s="276">
        <f t="shared" si="27"/>
        <v>168.09000000000003</v>
      </c>
      <c r="AG407" s="276">
        <f t="shared" si="28"/>
        <v>35.89</v>
      </c>
      <c r="AH407" s="276">
        <f t="shared" si="29"/>
        <v>182.10499999999996</v>
      </c>
      <c r="AI407" s="283">
        <f t="shared" si="30"/>
        <v>1.0833779522874647</v>
      </c>
    </row>
    <row r="408" spans="1:35" ht="30" x14ac:dyDescent="0.25">
      <c r="A408" s="275">
        <f>'Profits 2016'!A5618</f>
        <v>3004421</v>
      </c>
      <c r="B408" s="279">
        <f>'Profits 2016'!B5618</f>
        <v>42632</v>
      </c>
      <c r="C408" s="276">
        <f>'Profits 2016'!H5618</f>
        <v>112.63</v>
      </c>
      <c r="D408" s="280">
        <f>'Profits 2016'!K5618</f>
        <v>100.05332999999999</v>
      </c>
      <c r="E408" s="276">
        <f>'Profits 2016'!L5618</f>
        <v>510</v>
      </c>
      <c r="F408" s="275" t="str">
        <f>'Profits 2016'!P5618</f>
        <v>Nassau</v>
      </c>
      <c r="G408" s="292">
        <f>'Profits 2016'!N5618-'Profits 2016'!M5618</f>
        <v>50.999999999999993</v>
      </c>
      <c r="H408" s="319"/>
      <c r="I408" s="320"/>
      <c r="J408" s="321"/>
      <c r="K408" s="321"/>
      <c r="L408" s="321"/>
      <c r="M408" s="319"/>
      <c r="N408" s="322"/>
      <c r="O408" s="236" t="str">
        <f>'Profits 2016'!T5618</f>
        <v>FEDEX GROUND</v>
      </c>
      <c r="P408" s="284" t="str">
        <f>'Profits 2016'!U5618</f>
        <v>702723288407</v>
      </c>
      <c r="Q408" s="284" t="s">
        <v>314</v>
      </c>
      <c r="R408" s="276">
        <v>25.07</v>
      </c>
      <c r="S408" s="275" t="s">
        <v>15744</v>
      </c>
      <c r="T408" s="279">
        <v>42646</v>
      </c>
      <c r="U408" s="279">
        <v>42653</v>
      </c>
      <c r="V408" s="279">
        <v>42657</v>
      </c>
      <c r="W408" s="293">
        <v>0</v>
      </c>
      <c r="X408" s="236">
        <v>9174</v>
      </c>
      <c r="AF408" s="276">
        <f t="shared" si="27"/>
        <v>76.069999999999993</v>
      </c>
      <c r="AG408" s="276">
        <f t="shared" si="28"/>
        <v>25.07</v>
      </c>
      <c r="AH408" s="276">
        <f t="shared" si="29"/>
        <v>74.983329999999995</v>
      </c>
      <c r="AI408" s="283">
        <f t="shared" si="30"/>
        <v>0.98571486788484297</v>
      </c>
    </row>
    <row r="409" spans="1:35" ht="30" x14ac:dyDescent="0.25">
      <c r="A409" s="275">
        <f>'Profits 2016'!A5619</f>
        <v>3004422</v>
      </c>
      <c r="B409" s="279">
        <f>'Profits 2016'!B5619</f>
        <v>42632</v>
      </c>
      <c r="C409" s="276">
        <f>'Profits 2016'!H5619</f>
        <v>334.62</v>
      </c>
      <c r="D409" s="280">
        <f>'Profits 2016'!K5619</f>
        <v>297.84642000000002</v>
      </c>
      <c r="E409" s="276">
        <f>'Profits 2016'!L5619</f>
        <v>0</v>
      </c>
      <c r="F409" s="275" t="str">
        <f>'Profits 2016'!P5619</f>
        <v>Nassau</v>
      </c>
      <c r="G409" s="292">
        <f>'Profits 2016'!N5619-'Profits 2016'!M5619</f>
        <v>0</v>
      </c>
      <c r="H409" s="319"/>
      <c r="I409" s="320"/>
      <c r="J409" s="321"/>
      <c r="K409" s="321"/>
      <c r="L409" s="321"/>
      <c r="M409" s="319"/>
      <c r="N409" s="322"/>
      <c r="O409" s="236" t="str">
        <f>'Profits 2016'!T5619</f>
        <v>FEDEX GROUND</v>
      </c>
      <c r="P409" s="284" t="str">
        <f>'Profits 2016'!U5619</f>
        <v>702723288430</v>
      </c>
      <c r="Q409" s="284" t="s">
        <v>314</v>
      </c>
      <c r="R409" s="276">
        <v>34.58</v>
      </c>
      <c r="S409" s="275" t="s">
        <v>15744</v>
      </c>
      <c r="T409" s="279">
        <v>42646</v>
      </c>
      <c r="U409" s="279">
        <v>42653</v>
      </c>
      <c r="V409" s="279">
        <v>42657</v>
      </c>
      <c r="W409" s="293">
        <v>0</v>
      </c>
      <c r="X409" s="236">
        <v>9174</v>
      </c>
      <c r="AF409" s="276">
        <f t="shared" si="27"/>
        <v>34.58</v>
      </c>
      <c r="AG409" s="276">
        <f t="shared" si="28"/>
        <v>34.58</v>
      </c>
      <c r="AH409" s="276">
        <f t="shared" si="29"/>
        <v>263.26642000000004</v>
      </c>
      <c r="AI409" s="283">
        <f t="shared" si="30"/>
        <v>7.6132567958357447</v>
      </c>
    </row>
    <row r="410" spans="1:35" ht="30" x14ac:dyDescent="0.25">
      <c r="A410" s="275">
        <f>'Profits 2016'!A5620</f>
        <v>3004423</v>
      </c>
      <c r="B410" s="279">
        <f>'Profits 2016'!B5620</f>
        <v>42632</v>
      </c>
      <c r="C410" s="276">
        <f>'Profits 2016'!H5620</f>
        <v>251.97</v>
      </c>
      <c r="D410" s="280">
        <f>'Profits 2016'!K5620</f>
        <v>224.20526999999998</v>
      </c>
      <c r="E410" s="276">
        <f>'Profits 2016'!L5620</f>
        <v>375</v>
      </c>
      <c r="F410" s="275" t="str">
        <f>'Profits 2016'!P5620</f>
        <v>Nassau</v>
      </c>
      <c r="G410" s="292">
        <f>'Profits 2016'!N5620-'Profits 2016'!M5620</f>
        <v>93.75</v>
      </c>
      <c r="H410" s="319"/>
      <c r="I410" s="320"/>
      <c r="J410" s="321"/>
      <c r="K410" s="321"/>
      <c r="L410" s="321"/>
      <c r="M410" s="319"/>
      <c r="N410" s="322"/>
      <c r="O410" s="236" t="str">
        <f>'Profits 2016'!T5620</f>
        <v>FEDEX GROUND</v>
      </c>
      <c r="P410" s="284" t="str">
        <f>'Profits 2016'!U5620</f>
        <v xml:space="preserve">	665645047015</v>
      </c>
      <c r="Q410" s="284" t="s">
        <v>314</v>
      </c>
      <c r="R410" s="276">
        <v>34.659999999999997</v>
      </c>
      <c r="S410" s="275" t="s">
        <v>15744</v>
      </c>
      <c r="T410" s="279">
        <v>42646</v>
      </c>
      <c r="U410" s="279">
        <v>42653</v>
      </c>
      <c r="V410" s="279">
        <v>42657</v>
      </c>
      <c r="W410" s="293">
        <v>0</v>
      </c>
      <c r="X410" s="236">
        <v>9174</v>
      </c>
      <c r="AF410" s="276">
        <f t="shared" si="27"/>
        <v>128.41</v>
      </c>
      <c r="AG410" s="276">
        <f t="shared" si="28"/>
        <v>34.659999999999997</v>
      </c>
      <c r="AH410" s="276">
        <f t="shared" si="29"/>
        <v>189.54526999999999</v>
      </c>
      <c r="AI410" s="283">
        <f t="shared" si="30"/>
        <v>1.4760943072969395</v>
      </c>
    </row>
    <row r="411" spans="1:35" ht="30" x14ac:dyDescent="0.25">
      <c r="A411" s="275">
        <f>'Profits 2016'!A5621</f>
        <v>3004424</v>
      </c>
      <c r="B411" s="279">
        <f>'Profits 2016'!B5621</f>
        <v>42632</v>
      </c>
      <c r="C411" s="276">
        <f>'Profits 2016'!H5621</f>
        <v>216.88</v>
      </c>
      <c r="D411" s="280">
        <f>'Profits 2016'!K5621</f>
        <v>192.94007999999999</v>
      </c>
      <c r="E411" s="276">
        <f>'Profits 2016'!L5621</f>
        <v>672</v>
      </c>
      <c r="F411" s="275" t="str">
        <f>'Profits 2016'!P5621</f>
        <v>Houston</v>
      </c>
      <c r="G411" s="292">
        <f>'Profits 2016'!N5621-'Profits 2016'!M5621</f>
        <v>117.6</v>
      </c>
      <c r="H411" s="292">
        <v>0</v>
      </c>
      <c r="I411" s="275">
        <v>30901377</v>
      </c>
      <c r="J411" s="277">
        <v>42633</v>
      </c>
      <c r="K411" s="277">
        <v>42639</v>
      </c>
      <c r="L411" s="277">
        <v>42657</v>
      </c>
      <c r="M411" s="292">
        <v>117.6</v>
      </c>
      <c r="N411" s="281">
        <v>9179</v>
      </c>
      <c r="O411" s="236" t="str">
        <f>'Profits 2016'!T5621</f>
        <v>FEDEX GROUND</v>
      </c>
      <c r="P411" s="284" t="str">
        <f>'Profits 2016'!U5621</f>
        <v>679301396710</v>
      </c>
      <c r="Q411" s="284" t="s">
        <v>314</v>
      </c>
      <c r="R411" s="276">
        <v>38.83</v>
      </c>
      <c r="S411" s="275" t="s">
        <v>15744</v>
      </c>
      <c r="T411" s="279">
        <v>42646</v>
      </c>
      <c r="U411" s="279">
        <v>42653</v>
      </c>
      <c r="V411" s="279">
        <v>42657</v>
      </c>
      <c r="W411" s="293">
        <v>0</v>
      </c>
      <c r="X411" s="236">
        <v>9174</v>
      </c>
      <c r="AF411" s="276">
        <f t="shared" si="27"/>
        <v>156.43</v>
      </c>
      <c r="AG411" s="276">
        <f t="shared" si="28"/>
        <v>156.43</v>
      </c>
      <c r="AH411" s="276">
        <f t="shared" si="29"/>
        <v>36.510079999999988</v>
      </c>
      <c r="AI411" s="283">
        <f t="shared" si="30"/>
        <v>0.23339564022246365</v>
      </c>
    </row>
    <row r="412" spans="1:35" ht="30" x14ac:dyDescent="0.25">
      <c r="A412" s="275">
        <f>'Profits 2016'!A5622</f>
        <v>3004425</v>
      </c>
      <c r="B412" s="279">
        <f>'Profits 2016'!B5622</f>
        <v>42632</v>
      </c>
      <c r="C412" s="276">
        <f>'Profits 2016'!H5622</f>
        <v>349.12</v>
      </c>
      <c r="D412" s="280">
        <f>'Profits 2016'!K5622</f>
        <v>310.76591999999999</v>
      </c>
      <c r="E412" s="276">
        <f>'Profits 2016'!L5622</f>
        <v>672</v>
      </c>
      <c r="F412" s="275" t="str">
        <f>'Profits 2016'!P5622</f>
        <v>Houston</v>
      </c>
      <c r="G412" s="292">
        <f>'Profits 2016'!N5622-'Profits 2016'!M5622</f>
        <v>201.6</v>
      </c>
      <c r="H412" s="292">
        <v>0</v>
      </c>
      <c r="I412" s="275">
        <v>30901369</v>
      </c>
      <c r="J412" s="277">
        <v>42633</v>
      </c>
      <c r="K412" s="277">
        <v>42639</v>
      </c>
      <c r="L412" s="277">
        <v>42657</v>
      </c>
      <c r="M412" s="292">
        <v>201.6</v>
      </c>
      <c r="N412" s="281">
        <v>9178</v>
      </c>
      <c r="O412" s="236" t="str">
        <f>'Profits 2016'!T5622</f>
        <v>FEDEX GROUND</v>
      </c>
      <c r="P412" s="284" t="str">
        <f>'Profits 2016'!U5622</f>
        <v>679301396694</v>
      </c>
      <c r="Q412" s="284" t="s">
        <v>314</v>
      </c>
      <c r="R412" s="276">
        <v>61.52</v>
      </c>
      <c r="S412" s="275" t="s">
        <v>15744</v>
      </c>
      <c r="T412" s="279">
        <v>42646</v>
      </c>
      <c r="U412" s="279">
        <v>42653</v>
      </c>
      <c r="V412" s="279">
        <v>42657</v>
      </c>
      <c r="W412" s="293">
        <v>0</v>
      </c>
      <c r="X412" s="236">
        <v>9174</v>
      </c>
      <c r="AF412" s="276">
        <f t="shared" si="27"/>
        <v>263.12</v>
      </c>
      <c r="AG412" s="276">
        <f t="shared" si="28"/>
        <v>263.12</v>
      </c>
      <c r="AH412" s="276">
        <f t="shared" si="29"/>
        <v>47.64591999999999</v>
      </c>
      <c r="AI412" s="283">
        <f t="shared" si="30"/>
        <v>0.1810805716023107</v>
      </c>
    </row>
    <row r="413" spans="1:35" ht="30" x14ac:dyDescent="0.25">
      <c r="A413" s="275">
        <f>'Profits 2016'!A5623</f>
        <v>3004426</v>
      </c>
      <c r="B413" s="279">
        <f>'Profits 2016'!B5623</f>
        <v>42632</v>
      </c>
      <c r="C413" s="276">
        <f>'Profits 2016'!H5623</f>
        <v>112.76</v>
      </c>
      <c r="D413" s="280">
        <f>'Profits 2016'!K5623</f>
        <v>100.16916000000001</v>
      </c>
      <c r="E413" s="276">
        <f>'Profits 2016'!L5623</f>
        <v>350</v>
      </c>
      <c r="F413" s="275" t="str">
        <f>'Profits 2016'!P5623</f>
        <v>Nassau</v>
      </c>
      <c r="G413" s="292">
        <f>'Profits 2016'!N5623-'Profits 2016'!M5623</f>
        <v>35</v>
      </c>
      <c r="H413" s="319"/>
      <c r="I413" s="320"/>
      <c r="J413" s="321"/>
      <c r="K413" s="321"/>
      <c r="L413" s="321"/>
      <c r="M413" s="319"/>
      <c r="N413" s="322"/>
      <c r="O413" s="236" t="str">
        <f>'Profits 2016'!T5623</f>
        <v>FEDEX GROUND</v>
      </c>
      <c r="P413" s="284" t="str">
        <f>'Profits 2016'!U5623</f>
        <v>702723288429</v>
      </c>
      <c r="Q413" s="284" t="s">
        <v>314</v>
      </c>
      <c r="R413" s="276">
        <v>31.3</v>
      </c>
      <c r="S413" s="275" t="s">
        <v>15744</v>
      </c>
      <c r="T413" s="279">
        <v>42646</v>
      </c>
      <c r="U413" s="279">
        <v>42653</v>
      </c>
      <c r="V413" s="279">
        <v>42657</v>
      </c>
      <c r="W413" s="293">
        <v>0</v>
      </c>
      <c r="X413" s="236">
        <v>9174</v>
      </c>
      <c r="AF413" s="276">
        <f t="shared" si="27"/>
        <v>66.3</v>
      </c>
      <c r="AG413" s="276">
        <f t="shared" si="28"/>
        <v>31.3</v>
      </c>
      <c r="AH413" s="276">
        <f t="shared" si="29"/>
        <v>68.869160000000008</v>
      </c>
      <c r="AI413" s="283">
        <f t="shared" si="30"/>
        <v>1.0387505279034692</v>
      </c>
    </row>
    <row r="414" spans="1:35" ht="30" x14ac:dyDescent="0.25">
      <c r="A414" s="275">
        <f>'Profits 2016'!A5624</f>
        <v>3004427</v>
      </c>
      <c r="B414" s="279">
        <f>'Profits 2016'!B5624</f>
        <v>42632</v>
      </c>
      <c r="C414" s="276">
        <f>'Profits 2016'!H5624</f>
        <v>270</v>
      </c>
      <c r="D414" s="280">
        <f>'Profits 2016'!K5624</f>
        <v>240.26999999999998</v>
      </c>
      <c r="E414" s="276">
        <f>'Profits 2016'!L5624</f>
        <v>570</v>
      </c>
      <c r="F414" s="275" t="str">
        <f>'Profits 2016'!P5624</f>
        <v>Nassau</v>
      </c>
      <c r="G414" s="292">
        <f>'Profits 2016'!N5624-'Profits 2016'!M5624</f>
        <v>142.5</v>
      </c>
      <c r="H414" s="319"/>
      <c r="I414" s="320"/>
      <c r="J414" s="321"/>
      <c r="K414" s="321"/>
      <c r="L414" s="321"/>
      <c r="M414" s="319"/>
      <c r="N414" s="322"/>
      <c r="O414" s="236" t="str">
        <f>'Profits 2016'!T5624</f>
        <v>FEDEX GROUND</v>
      </c>
      <c r="P414" s="284" t="str">
        <f>'Profits 2016'!U5624</f>
        <v xml:space="preserve">	702723288392</v>
      </c>
      <c r="Q414" s="284" t="s">
        <v>314</v>
      </c>
      <c r="R414" s="276">
        <v>31</v>
      </c>
      <c r="S414" s="275" t="s">
        <v>15744</v>
      </c>
      <c r="T414" s="279">
        <v>42646</v>
      </c>
      <c r="U414" s="279">
        <v>42653</v>
      </c>
      <c r="V414" s="279">
        <v>42657</v>
      </c>
      <c r="W414" s="293">
        <v>0</v>
      </c>
      <c r="X414" s="236">
        <v>9174</v>
      </c>
      <c r="AF414" s="276">
        <f t="shared" si="27"/>
        <v>173.5</v>
      </c>
      <c r="AG414" s="276">
        <f t="shared" si="28"/>
        <v>31</v>
      </c>
      <c r="AH414" s="276">
        <f t="shared" si="29"/>
        <v>209.26999999999998</v>
      </c>
      <c r="AI414" s="283">
        <f t="shared" si="30"/>
        <v>1.2061671469740634</v>
      </c>
    </row>
    <row r="415" spans="1:35" x14ac:dyDescent="0.25">
      <c r="A415" s="275">
        <f>'Profits 2016'!A5625</f>
        <v>3004428</v>
      </c>
      <c r="B415" s="279">
        <f>'Profits 2016'!B5625</f>
        <v>42632</v>
      </c>
      <c r="C415" s="276">
        <f>'Profits 2016'!H5625</f>
        <v>4122</v>
      </c>
      <c r="D415" s="280">
        <f>'Profits 2016'!K5625</f>
        <v>4031.0160000000001</v>
      </c>
      <c r="E415" s="276">
        <f>'Profits 2016'!L5625</f>
        <v>4245</v>
      </c>
      <c r="F415" s="275" t="str">
        <f>'Profits 2016'!P5625</f>
        <v>Nexans</v>
      </c>
      <c r="G415" s="292">
        <f>'Profits 2016'!N5625-'Profits 2016'!M5625</f>
        <v>806.55</v>
      </c>
      <c r="H415" s="292">
        <v>0</v>
      </c>
      <c r="I415" s="275">
        <v>47314402</v>
      </c>
      <c r="J415" s="277">
        <v>42633</v>
      </c>
      <c r="K415" s="277">
        <v>42639</v>
      </c>
      <c r="L415" s="277">
        <v>42650</v>
      </c>
      <c r="M415" s="292">
        <v>3465.16</v>
      </c>
      <c r="N415" s="281">
        <v>9104</v>
      </c>
      <c r="O415" s="236" t="str">
        <f>'Profits 2016'!T5625</f>
        <v>NEMF</v>
      </c>
      <c r="P415" s="284">
        <f>'Profits 2016'!U5625</f>
        <v>23922331</v>
      </c>
      <c r="Q415" s="284" t="s">
        <v>15760</v>
      </c>
      <c r="R415" s="276">
        <v>191.47</v>
      </c>
      <c r="S415" s="275">
        <v>47314402</v>
      </c>
      <c r="T415" s="277">
        <v>42633</v>
      </c>
      <c r="U415" s="277">
        <v>42639</v>
      </c>
      <c r="AF415" s="276">
        <f t="shared" si="27"/>
        <v>998.02</v>
      </c>
      <c r="AG415" s="276">
        <f t="shared" si="28"/>
        <v>3656.6299999999997</v>
      </c>
      <c r="AH415" s="276">
        <f t="shared" si="29"/>
        <v>374.38600000000042</v>
      </c>
      <c r="AI415" s="283">
        <f t="shared" si="30"/>
        <v>0.37512875493477127</v>
      </c>
    </row>
    <row r="416" spans="1:35" x14ac:dyDescent="0.25">
      <c r="A416" s="275">
        <f>'Profits 2016'!A5626</f>
        <v>0</v>
      </c>
      <c r="B416" s="279">
        <f>'Profits 2016'!B5626</f>
        <v>0</v>
      </c>
      <c r="C416" s="276">
        <f>'Profits 2016'!H5626</f>
        <v>0</v>
      </c>
      <c r="D416" s="280">
        <f>'Profits 2016'!K5626</f>
        <v>0</v>
      </c>
      <c r="E416" s="276">
        <f>'Profits 2016'!L5626</f>
        <v>4245</v>
      </c>
      <c r="F416" s="275" t="str">
        <f>'Profits 2016'!P5626</f>
        <v>Nexans</v>
      </c>
      <c r="G416" s="292">
        <f>'Profits 2016'!N5626-'Profits 2016'!M5626</f>
        <v>806.55</v>
      </c>
      <c r="H416" s="292">
        <v>0</v>
      </c>
      <c r="I416" s="275">
        <v>47314402</v>
      </c>
      <c r="J416" s="277">
        <v>42633</v>
      </c>
      <c r="K416" s="277">
        <v>42639</v>
      </c>
      <c r="L416" s="277">
        <v>42650</v>
      </c>
      <c r="M416" s="292">
        <v>0</v>
      </c>
      <c r="N416" s="281">
        <v>9104</v>
      </c>
      <c r="O416" s="236">
        <f>'Profits 2016'!T5626</f>
        <v>0</v>
      </c>
      <c r="P416" s="284">
        <f>'Profits 2016'!U5626</f>
        <v>0</v>
      </c>
      <c r="Q416" s="284" t="s">
        <v>15760</v>
      </c>
      <c r="R416" s="276">
        <v>191.47</v>
      </c>
      <c r="S416" s="275">
        <v>47314402</v>
      </c>
      <c r="T416" s="277">
        <v>42633</v>
      </c>
      <c r="U416" s="277">
        <v>42639</v>
      </c>
      <c r="AF416" s="276">
        <f t="shared" ref="AF416:AF420" si="32">G416+H417+R416+Y416</f>
        <v>998.02</v>
      </c>
      <c r="AG416" s="276">
        <f t="shared" si="28"/>
        <v>191.47</v>
      </c>
      <c r="AH416" s="276">
        <f t="shared" si="29"/>
        <v>-191.47</v>
      </c>
      <c r="AI416" s="283">
        <f t="shared" si="30"/>
        <v>-0.19184986272820184</v>
      </c>
    </row>
    <row r="417" spans="1:35" x14ac:dyDescent="0.25">
      <c r="A417" s="275">
        <f>'Profits 2016'!A5627</f>
        <v>0</v>
      </c>
      <c r="B417" s="279">
        <f>'Profits 2016'!B5627</f>
        <v>0</v>
      </c>
      <c r="C417" s="276">
        <f>'Profits 2016'!H5627</f>
        <v>0</v>
      </c>
      <c r="D417" s="280">
        <f>'Profits 2016'!K5627</f>
        <v>0</v>
      </c>
      <c r="E417" s="276">
        <f>'Profits 2016'!L5627</f>
        <v>4245</v>
      </c>
      <c r="F417" s="275" t="str">
        <f>'Profits 2016'!P5627</f>
        <v>Nexans</v>
      </c>
      <c r="G417" s="292">
        <f>'Profits 2016'!N5627-'Profits 2016'!M5627</f>
        <v>806.55</v>
      </c>
      <c r="H417" s="292">
        <v>0</v>
      </c>
      <c r="I417" s="275">
        <v>47314402</v>
      </c>
      <c r="J417" s="277">
        <v>42633</v>
      </c>
      <c r="K417" s="277">
        <v>42639</v>
      </c>
      <c r="L417" s="277">
        <v>42650</v>
      </c>
      <c r="M417" s="292">
        <v>0</v>
      </c>
      <c r="N417" s="281">
        <v>9104</v>
      </c>
      <c r="O417" s="236">
        <f>'Profits 2016'!T5627</f>
        <v>0</v>
      </c>
      <c r="P417" s="284">
        <f>'Profits 2016'!U5627</f>
        <v>0</v>
      </c>
      <c r="Q417" s="284" t="s">
        <v>15760</v>
      </c>
      <c r="R417" s="276">
        <v>191.47</v>
      </c>
      <c r="S417" s="275">
        <v>47314402</v>
      </c>
      <c r="T417" s="277">
        <v>42633</v>
      </c>
      <c r="U417" s="277">
        <v>42639</v>
      </c>
      <c r="AF417" s="276">
        <f t="shared" si="32"/>
        <v>998.02</v>
      </c>
      <c r="AG417" s="276">
        <f t="shared" si="28"/>
        <v>191.47</v>
      </c>
      <c r="AH417" s="276">
        <f t="shared" si="29"/>
        <v>-191.47</v>
      </c>
      <c r="AI417" s="283">
        <f t="shared" si="30"/>
        <v>-0.19184986272820184</v>
      </c>
    </row>
    <row r="418" spans="1:35" x14ac:dyDescent="0.25">
      <c r="A418" s="275">
        <f>'Profits 2016'!A5628</f>
        <v>0</v>
      </c>
      <c r="B418" s="279">
        <f>'Profits 2016'!B5628</f>
        <v>0</v>
      </c>
      <c r="C418" s="276">
        <f>'Profits 2016'!H5628</f>
        <v>0</v>
      </c>
      <c r="D418" s="280">
        <f>'Profits 2016'!K5628</f>
        <v>0</v>
      </c>
      <c r="E418" s="276">
        <f>'Profits 2016'!L5628</f>
        <v>4245</v>
      </c>
      <c r="F418" s="275" t="str">
        <f>'Profits 2016'!P5628</f>
        <v>Nexans</v>
      </c>
      <c r="G418" s="292">
        <f>'Profits 2016'!N5628-'Profits 2016'!M5628</f>
        <v>806.55</v>
      </c>
      <c r="H418" s="292">
        <v>0</v>
      </c>
      <c r="I418" s="275">
        <v>47314402</v>
      </c>
      <c r="J418" s="277">
        <v>42633</v>
      </c>
      <c r="K418" s="277">
        <v>42639</v>
      </c>
      <c r="L418" s="277">
        <v>42650</v>
      </c>
      <c r="M418" s="292">
        <v>0</v>
      </c>
      <c r="N418" s="281">
        <v>9104</v>
      </c>
      <c r="O418" s="236">
        <f>'Profits 2016'!T5628</f>
        <v>0</v>
      </c>
      <c r="P418" s="284">
        <f>'Profits 2016'!U5628</f>
        <v>0</v>
      </c>
      <c r="Q418" s="284" t="s">
        <v>15760</v>
      </c>
      <c r="R418" s="276">
        <v>191.47</v>
      </c>
      <c r="S418" s="275">
        <v>47314402</v>
      </c>
      <c r="T418" s="277">
        <v>42633</v>
      </c>
      <c r="U418" s="277">
        <v>42639</v>
      </c>
      <c r="AF418" s="276">
        <f t="shared" si="32"/>
        <v>998.02</v>
      </c>
      <c r="AG418" s="276">
        <f t="shared" si="28"/>
        <v>191.47</v>
      </c>
      <c r="AH418" s="276">
        <f t="shared" si="29"/>
        <v>-191.47</v>
      </c>
      <c r="AI418" s="283">
        <f t="shared" si="30"/>
        <v>-0.19184986272820184</v>
      </c>
    </row>
    <row r="419" spans="1:35" x14ac:dyDescent="0.25">
      <c r="A419" s="275">
        <f>'Profits 2016'!A5629</f>
        <v>0</v>
      </c>
      <c r="B419" s="279">
        <f>'Profits 2016'!B5629</f>
        <v>0</v>
      </c>
      <c r="C419" s="276">
        <f>'Profits 2016'!H5629</f>
        <v>0</v>
      </c>
      <c r="D419" s="280">
        <f>'Profits 2016'!K5629</f>
        <v>0</v>
      </c>
      <c r="E419" s="276">
        <f>'Profits 2016'!L5629</f>
        <v>1143</v>
      </c>
      <c r="F419" s="275" t="str">
        <f>'Profits 2016'!P5629</f>
        <v>Nexans</v>
      </c>
      <c r="G419" s="292">
        <f>'Profits 2016'!N5629-'Profits 2016'!M5629</f>
        <v>114.30000000000001</v>
      </c>
      <c r="H419" s="292">
        <v>0</v>
      </c>
      <c r="I419" s="275">
        <v>47314402</v>
      </c>
      <c r="J419" s="277">
        <v>42633</v>
      </c>
      <c r="K419" s="277">
        <v>42639</v>
      </c>
      <c r="L419" s="277">
        <v>42650</v>
      </c>
      <c r="M419" s="292">
        <v>0</v>
      </c>
      <c r="N419" s="281">
        <v>9104</v>
      </c>
      <c r="O419" s="236">
        <f>'Profits 2016'!T5629</f>
        <v>0</v>
      </c>
      <c r="P419" s="284">
        <f>'Profits 2016'!U5629</f>
        <v>0</v>
      </c>
      <c r="Q419" s="284" t="s">
        <v>15760</v>
      </c>
      <c r="R419" s="276">
        <v>191.47</v>
      </c>
      <c r="S419" s="275">
        <v>47314402</v>
      </c>
      <c r="T419" s="277">
        <v>42633</v>
      </c>
      <c r="U419" s="277">
        <v>42639</v>
      </c>
      <c r="AF419" s="276">
        <f t="shared" si="32"/>
        <v>305.77</v>
      </c>
      <c r="AG419" s="276">
        <f t="shared" si="28"/>
        <v>191.47</v>
      </c>
      <c r="AH419" s="276">
        <f t="shared" si="29"/>
        <v>-191.47</v>
      </c>
      <c r="AI419" s="283">
        <f t="shared" si="30"/>
        <v>-0.62618961964875564</v>
      </c>
    </row>
    <row r="420" spans="1:35" ht="30" x14ac:dyDescent="0.25">
      <c r="A420" s="275">
        <f>'Profits 2016'!A5630</f>
        <v>3004429</v>
      </c>
      <c r="B420" s="279">
        <f>'Profits 2016'!B5630</f>
        <v>42632</v>
      </c>
      <c r="C420" s="276">
        <f>'Profits 2016'!H5630</f>
        <v>299.97000000000003</v>
      </c>
      <c r="D420" s="280">
        <f>'Profits 2016'!K5630</f>
        <v>254.97450000000003</v>
      </c>
      <c r="E420" s="276">
        <f>'Profits 2016'!L5630</f>
        <v>300</v>
      </c>
      <c r="F420" s="275" t="str">
        <f>'Profits 2016'!P5630</f>
        <v>Nassau</v>
      </c>
      <c r="G420" s="292">
        <f>'Profits 2016'!N5630-'Profits 2016'!M5630</f>
        <v>150</v>
      </c>
      <c r="H420" s="319"/>
      <c r="I420" s="320"/>
      <c r="J420" s="321"/>
      <c r="K420" s="321"/>
      <c r="L420" s="321"/>
      <c r="M420" s="319"/>
      <c r="N420" s="322"/>
      <c r="O420" s="347" t="str">
        <f>'Profits 2016'!T5630</f>
        <v>FEDEX GROUND</v>
      </c>
      <c r="P420" s="348" t="str">
        <f>'Profits 2016'!U5630</f>
        <v>665645046990</v>
      </c>
      <c r="Q420" s="348" t="s">
        <v>314</v>
      </c>
      <c r="R420" s="349">
        <v>45.64</v>
      </c>
      <c r="S420" s="332" t="s">
        <v>15738</v>
      </c>
      <c r="T420" s="340">
        <v>42653</v>
      </c>
      <c r="U420" s="340">
        <v>42656</v>
      </c>
      <c r="V420" s="340">
        <v>42664</v>
      </c>
      <c r="W420" s="350">
        <f>R420</f>
        <v>45.64</v>
      </c>
      <c r="X420" s="347">
        <v>9215</v>
      </c>
      <c r="AF420" s="276">
        <f t="shared" si="32"/>
        <v>195.64</v>
      </c>
      <c r="AG420" s="276">
        <f t="shared" si="28"/>
        <v>45.64</v>
      </c>
      <c r="AH420" s="276">
        <f t="shared" si="29"/>
        <v>209.33450000000005</v>
      </c>
      <c r="AI420" s="283">
        <f t="shared" si="30"/>
        <v>1.0699984665712536</v>
      </c>
    </row>
    <row r="421" spans="1:35" ht="30" x14ac:dyDescent="0.25">
      <c r="A421" s="275">
        <f>'Profits 2016'!A5631</f>
        <v>3004430</v>
      </c>
      <c r="B421" s="279">
        <f>'Profits 2016'!B5631</f>
        <v>42632</v>
      </c>
      <c r="C421" s="276">
        <f>'Profits 2016'!H5631</f>
        <v>126.71</v>
      </c>
      <c r="D421" s="280">
        <f>'Profits 2016'!K5631</f>
        <v>107.70349999999999</v>
      </c>
      <c r="E421" s="276">
        <f>'Profits 2016'!L5631</f>
        <v>698</v>
      </c>
      <c r="F421" s="275" t="str">
        <f>'Profits 2016'!P5631</f>
        <v>Nassau</v>
      </c>
      <c r="G421" s="292">
        <f>'Profits 2016'!N5631-'Profits 2016'!M5631</f>
        <v>52.350000000000009</v>
      </c>
      <c r="H421" s="319"/>
      <c r="I421" s="320"/>
      <c r="J421" s="321"/>
      <c r="K421" s="321"/>
      <c r="L421" s="321"/>
      <c r="M421" s="319"/>
      <c r="N421" s="322"/>
      <c r="O421" s="236" t="str">
        <f>'Profits 2016'!T5631</f>
        <v>FEDEX GROUND</v>
      </c>
      <c r="P421" s="284" t="str">
        <f>'Profits 2016'!U5631</f>
        <v>665645047070</v>
      </c>
      <c r="Q421" s="284" t="s">
        <v>314</v>
      </c>
      <c r="R421" s="276">
        <v>19.88</v>
      </c>
      <c r="S421" s="275" t="s">
        <v>15744</v>
      </c>
      <c r="T421" s="279">
        <v>42646</v>
      </c>
      <c r="U421" s="279">
        <v>42653</v>
      </c>
      <c r="V421" s="279">
        <v>42657</v>
      </c>
      <c r="W421" s="293">
        <v>0</v>
      </c>
      <c r="X421" s="236">
        <v>9174</v>
      </c>
      <c r="AF421" s="276">
        <f t="shared" ref="AF421:AF484" si="33">G421+H422+R421+Y421</f>
        <v>72.23</v>
      </c>
      <c r="AG421" s="276">
        <f t="shared" si="28"/>
        <v>19.88</v>
      </c>
      <c r="AH421" s="276">
        <f t="shared" si="29"/>
        <v>87.823499999999996</v>
      </c>
      <c r="AI421" s="283">
        <f t="shared" si="30"/>
        <v>1.2158867506576214</v>
      </c>
    </row>
    <row r="422" spans="1:35" ht="30" x14ac:dyDescent="0.25">
      <c r="A422" s="275">
        <f>'Profits 2016'!A5632</f>
        <v>3004431</v>
      </c>
      <c r="B422" s="279">
        <f>'Profits 2016'!B5632</f>
        <v>42632</v>
      </c>
      <c r="C422" s="276">
        <f>'Profits 2016'!H5632</f>
        <v>4600</v>
      </c>
      <c r="D422" s="280">
        <f>'Profits 2016'!K5632</f>
        <v>4600</v>
      </c>
      <c r="E422" s="276">
        <f>'Profits 2016'!L5632</f>
        <v>298</v>
      </c>
      <c r="F422" s="275" t="str">
        <f>'Profits 2016'!P5632</f>
        <v>Kris-Tech</v>
      </c>
      <c r="G422" s="292">
        <f>'Profits 2016'!N5632-'Profits 2016'!M5632</f>
        <v>2980</v>
      </c>
      <c r="H422" s="292">
        <v>0</v>
      </c>
      <c r="I422" s="275">
        <v>121889</v>
      </c>
      <c r="J422" s="277">
        <v>42633</v>
      </c>
      <c r="K422" s="277">
        <v>42639</v>
      </c>
      <c r="L422" s="277">
        <v>42643</v>
      </c>
      <c r="M422" s="292">
        <v>2920.4</v>
      </c>
      <c r="N422" s="281">
        <v>9032</v>
      </c>
      <c r="O422" s="344" t="str">
        <f>'Profits 2016'!T5632</f>
        <v>UPS FREIGHT</v>
      </c>
      <c r="P422" s="345" t="str">
        <f>'Profits 2016'!U5632</f>
        <v>468101620</v>
      </c>
      <c r="Q422" s="345"/>
      <c r="R422" s="342"/>
      <c r="S422" s="336"/>
      <c r="T422" s="341"/>
      <c r="U422" s="341"/>
      <c r="V422" s="341"/>
      <c r="W422" s="346"/>
      <c r="X422" s="344"/>
      <c r="AF422" s="276">
        <f t="shared" si="33"/>
        <v>2980</v>
      </c>
      <c r="AG422" s="276">
        <f t="shared" si="28"/>
        <v>2920.4</v>
      </c>
      <c r="AH422" s="276">
        <f t="shared" si="29"/>
        <v>1679.6</v>
      </c>
      <c r="AI422" s="283">
        <f t="shared" si="30"/>
        <v>0.56362416107382551</v>
      </c>
    </row>
    <row r="423" spans="1:35" ht="30" x14ac:dyDescent="0.25">
      <c r="A423" s="275">
        <f>'Profits 2016'!A5633</f>
        <v>3004432</v>
      </c>
      <c r="B423" s="279">
        <f>'Profits 2016'!B5633</f>
        <v>42632</v>
      </c>
      <c r="C423" s="276">
        <f>'Profits 2016'!H5633</f>
        <v>4665</v>
      </c>
      <c r="D423" s="280">
        <f>'Profits 2016'!K5633</f>
        <v>4562.07</v>
      </c>
      <c r="E423" s="276">
        <f>'Profits 2016'!L5633</f>
        <v>300</v>
      </c>
      <c r="F423" s="275" t="str">
        <f>'Profits 2016'!P5633</f>
        <v>Thea</v>
      </c>
      <c r="G423" s="292">
        <f>'Profits 2016'!N5633-'Profits 2016'!M5633</f>
        <v>870</v>
      </c>
      <c r="H423" s="319"/>
      <c r="I423" s="320"/>
      <c r="J423" s="321"/>
      <c r="K423" s="321"/>
      <c r="L423" s="321"/>
      <c r="M423" s="319"/>
      <c r="N423" s="322"/>
      <c r="O423" s="236" t="str">
        <f>'Profits 2016'!T5633</f>
        <v>WARD/ECHO</v>
      </c>
      <c r="P423" s="284" t="str">
        <f>'Profits 2016'!U5633</f>
        <v>AWN-018-1384339</v>
      </c>
      <c r="Q423" s="284" t="s">
        <v>15767</v>
      </c>
      <c r="R423" s="276">
        <v>88.35</v>
      </c>
      <c r="S423" s="275" t="s">
        <v>15775</v>
      </c>
      <c r="T423" s="279">
        <v>42642</v>
      </c>
      <c r="U423" s="279">
        <v>42647</v>
      </c>
      <c r="V423" s="279">
        <v>42671</v>
      </c>
      <c r="W423" s="293">
        <v>88.35</v>
      </c>
      <c r="X423" s="236">
        <v>9248</v>
      </c>
      <c r="AF423" s="276">
        <f t="shared" si="33"/>
        <v>958.35</v>
      </c>
      <c r="AG423" s="276">
        <f t="shared" si="28"/>
        <v>88.35</v>
      </c>
      <c r="AH423" s="276">
        <f t="shared" si="29"/>
        <v>4473.7199999999993</v>
      </c>
      <c r="AI423" s="283">
        <f t="shared" si="30"/>
        <v>4.6681483800281729</v>
      </c>
    </row>
    <row r="424" spans="1:35" ht="30" x14ac:dyDescent="0.25">
      <c r="A424" s="275">
        <f>'Profits 2016'!A5634</f>
        <v>0</v>
      </c>
      <c r="B424" s="279">
        <f>'Profits 2016'!B5634</f>
        <v>0</v>
      </c>
      <c r="C424" s="276">
        <f>'Profits 2016'!H5634</f>
        <v>0</v>
      </c>
      <c r="D424" s="280">
        <f>'Profits 2016'!K5634</f>
        <v>0</v>
      </c>
      <c r="E424" s="276">
        <f>'Profits 2016'!L5634</f>
        <v>1296</v>
      </c>
      <c r="F424" s="275" t="str">
        <f>'Profits 2016'!P5634</f>
        <v>Nassau</v>
      </c>
      <c r="G424" s="292">
        <f>'Profits 2016'!N5634-'Profits 2016'!M5634</f>
        <v>1944.0000000000002</v>
      </c>
      <c r="H424" s="319"/>
      <c r="I424" s="320"/>
      <c r="J424" s="321"/>
      <c r="K424" s="321"/>
      <c r="L424" s="321"/>
      <c r="M424" s="319"/>
      <c r="N424" s="322"/>
      <c r="O424" s="236" t="str">
        <f>'Profits 2016'!T5634</f>
        <v>WARD/ECHO</v>
      </c>
      <c r="P424" s="284">
        <f>'Profits 2016'!U5634</f>
        <v>153824114</v>
      </c>
      <c r="Q424" s="284" t="s">
        <v>15767</v>
      </c>
      <c r="R424" s="276">
        <v>143.28</v>
      </c>
      <c r="S424" s="275" t="s">
        <v>15776</v>
      </c>
      <c r="T424" s="279">
        <v>42640</v>
      </c>
      <c r="U424" s="279">
        <v>42647</v>
      </c>
      <c r="V424" s="279">
        <v>42664</v>
      </c>
      <c r="W424" s="293">
        <v>143.28</v>
      </c>
      <c r="X424" s="236">
        <v>9213</v>
      </c>
      <c r="AF424" s="276">
        <f t="shared" si="33"/>
        <v>2087.2800000000002</v>
      </c>
      <c r="AG424" s="276">
        <f t="shared" si="28"/>
        <v>143.28</v>
      </c>
      <c r="AH424" s="276">
        <f t="shared" si="29"/>
        <v>-143.28</v>
      </c>
      <c r="AI424" s="283">
        <f t="shared" si="30"/>
        <v>-6.8644360124180751E-2</v>
      </c>
    </row>
    <row r="425" spans="1:35" ht="30" x14ac:dyDescent="0.25">
      <c r="A425" s="275">
        <f>'Profits 2016'!A5635</f>
        <v>3004433</v>
      </c>
      <c r="B425" s="279">
        <f>'Profits 2016'!B5635</f>
        <v>42632</v>
      </c>
      <c r="C425" s="276">
        <f>'Profits 2016'!H5635</f>
        <v>2200</v>
      </c>
      <c r="D425" s="280">
        <f>'Profits 2016'!K5635</f>
        <v>2128.1999999999998</v>
      </c>
      <c r="E425" s="276">
        <f>'Profits 2016'!L5635</f>
        <v>1350</v>
      </c>
      <c r="F425" s="275" t="str">
        <f>'Profits 2016'!P5635</f>
        <v>Direct</v>
      </c>
      <c r="G425" s="292">
        <f>'Profits 2016'!N5635-'Profits 2016'!M5635</f>
        <v>1350</v>
      </c>
      <c r="H425" s="292">
        <v>0</v>
      </c>
      <c r="I425" s="275">
        <v>72900</v>
      </c>
      <c r="J425" s="277">
        <v>42633</v>
      </c>
      <c r="K425" s="277">
        <v>42639</v>
      </c>
      <c r="L425" s="277">
        <v>42643</v>
      </c>
      <c r="M425" s="292">
        <v>1323</v>
      </c>
      <c r="N425" s="281">
        <v>9023</v>
      </c>
      <c r="O425" s="344" t="str">
        <f>'Profits 2016'!T5635</f>
        <v>FEDEX PRIORITY</v>
      </c>
      <c r="P425" s="345" t="str">
        <f>'Profits 2016'!U5635</f>
        <v>253861587-0</v>
      </c>
      <c r="Q425" s="345"/>
      <c r="R425" s="342"/>
      <c r="S425" s="336"/>
      <c r="T425" s="341"/>
      <c r="U425" s="341"/>
      <c r="V425" s="341"/>
      <c r="W425" s="346"/>
      <c r="X425" s="344"/>
      <c r="AF425" s="276">
        <f t="shared" si="33"/>
        <v>1350</v>
      </c>
      <c r="AG425" s="276">
        <f t="shared" si="28"/>
        <v>1323</v>
      </c>
      <c r="AH425" s="276">
        <f t="shared" si="29"/>
        <v>805.19999999999982</v>
      </c>
      <c r="AI425" s="283">
        <f t="shared" si="30"/>
        <v>0.59644444444444433</v>
      </c>
    </row>
    <row r="426" spans="1:35" ht="30" x14ac:dyDescent="0.25">
      <c r="A426" s="275">
        <f>'Profits 2016'!A5636</f>
        <v>3004434</v>
      </c>
      <c r="B426" s="279">
        <f>'Profits 2016'!B5636</f>
        <v>42632</v>
      </c>
      <c r="C426" s="276">
        <f>'Profits 2016'!H5636</f>
        <v>1490</v>
      </c>
      <c r="D426" s="280">
        <f>'Profits 2016'!K5636</f>
        <v>1456.92</v>
      </c>
      <c r="E426" s="276">
        <f>'Profits 2016'!L5636</f>
        <v>716</v>
      </c>
      <c r="F426" s="275" t="str">
        <f>'Profits 2016'!P5636</f>
        <v>Nassau</v>
      </c>
      <c r="G426" s="292">
        <f>'Profits 2016'!N5636-'Profits 2016'!M5636</f>
        <v>716</v>
      </c>
      <c r="H426" s="319"/>
      <c r="I426" s="320"/>
      <c r="J426" s="321"/>
      <c r="K426" s="321"/>
      <c r="L426" s="321"/>
      <c r="M426" s="319"/>
      <c r="N426" s="322"/>
      <c r="O426" s="236" t="str">
        <f>'Profits 2016'!T5636</f>
        <v>PITT OHIO/DLS</v>
      </c>
      <c r="P426" s="284" t="str">
        <f>'Profits 2016'!U5636</f>
        <v>5014092961</v>
      </c>
      <c r="Q426" s="284" t="s">
        <v>15742</v>
      </c>
      <c r="R426" s="276">
        <v>90.01</v>
      </c>
      <c r="S426" s="275">
        <v>636758767</v>
      </c>
      <c r="T426" s="279">
        <v>42639</v>
      </c>
      <c r="U426" s="279">
        <v>42643</v>
      </c>
      <c r="V426" s="279">
        <v>42650</v>
      </c>
      <c r="W426" s="293">
        <v>90.01</v>
      </c>
      <c r="X426" s="236">
        <v>9119</v>
      </c>
      <c r="AF426" s="276">
        <f t="shared" si="33"/>
        <v>806.01</v>
      </c>
      <c r="AG426" s="276">
        <f t="shared" si="28"/>
        <v>90.01</v>
      </c>
      <c r="AH426" s="276">
        <f t="shared" si="29"/>
        <v>1366.91</v>
      </c>
      <c r="AI426" s="283">
        <f t="shared" si="30"/>
        <v>1.6958970732373049</v>
      </c>
    </row>
    <row r="427" spans="1:35" x14ac:dyDescent="0.25">
      <c r="A427" s="275">
        <f>'Profits 2016'!A5637</f>
        <v>3004435</v>
      </c>
      <c r="B427" s="279">
        <f>'Profits 2016'!B5637</f>
        <v>42632</v>
      </c>
      <c r="C427" s="276">
        <f>'Profits 2016'!H5637</f>
        <v>1108.03</v>
      </c>
      <c r="D427" s="280">
        <f>'Profits 2016'!K5637</f>
        <v>1083.3533399999999</v>
      </c>
      <c r="E427" s="276">
        <f>'Profits 2016'!L5637</f>
        <v>3075</v>
      </c>
      <c r="F427" s="275" t="str">
        <f>'Profits 2016'!P5637</f>
        <v>Priority</v>
      </c>
      <c r="G427" s="292">
        <f>'Profits 2016'!N5637-'Profits 2016'!M5637</f>
        <v>461.25</v>
      </c>
      <c r="H427" s="292">
        <v>0</v>
      </c>
      <c r="I427" s="275">
        <v>1057818</v>
      </c>
      <c r="J427" s="277">
        <v>42633</v>
      </c>
      <c r="K427" s="277">
        <v>42641</v>
      </c>
      <c r="L427" s="277">
        <v>42664</v>
      </c>
      <c r="M427" s="292">
        <v>461.25</v>
      </c>
      <c r="N427" s="281">
        <v>9235</v>
      </c>
      <c r="O427" s="236" t="str">
        <f>'Profits 2016'!T5637</f>
        <v>NEMF</v>
      </c>
      <c r="P427" s="284" t="str">
        <f>'Profits 2016'!U5637</f>
        <v>25182122</v>
      </c>
      <c r="Q427" s="284" t="s">
        <v>15740</v>
      </c>
      <c r="R427" s="276">
        <v>125.36</v>
      </c>
      <c r="S427" s="275">
        <v>1057818</v>
      </c>
      <c r="T427" s="279">
        <v>42634</v>
      </c>
      <c r="U427" s="279">
        <v>42641</v>
      </c>
      <c r="V427" s="279">
        <v>42664</v>
      </c>
      <c r="W427" s="293">
        <v>125.36</v>
      </c>
      <c r="X427" s="236">
        <v>9235</v>
      </c>
      <c r="AF427" s="276">
        <f t="shared" si="33"/>
        <v>586.61</v>
      </c>
      <c r="AG427" s="276">
        <f t="shared" si="28"/>
        <v>586.61</v>
      </c>
      <c r="AH427" s="276">
        <f t="shared" si="29"/>
        <v>496.74333999999988</v>
      </c>
      <c r="AI427" s="283">
        <f t="shared" si="30"/>
        <v>0.84680339578254693</v>
      </c>
    </row>
    <row r="428" spans="1:35" ht="30" x14ac:dyDescent="0.25">
      <c r="A428" s="275">
        <f>'Profits 2016'!A5638</f>
        <v>3004436</v>
      </c>
      <c r="B428" s="279">
        <f>'Profits 2016'!B5638</f>
        <v>42632</v>
      </c>
      <c r="C428" s="276">
        <f>'Profits 2016'!H5638</f>
        <v>180.18</v>
      </c>
      <c r="D428" s="280">
        <f>'Profits 2016'!K5638</f>
        <v>153.15300000000002</v>
      </c>
      <c r="E428" s="276">
        <f>'Profits 2016'!L5638</f>
        <v>1180</v>
      </c>
      <c r="F428" s="275" t="str">
        <f>'Profits 2016'!P5638</f>
        <v>Direct</v>
      </c>
      <c r="G428" s="292">
        <f>'Profits 2016'!N5638-'Profits 2016'!M5638</f>
        <v>118</v>
      </c>
      <c r="H428" s="292">
        <v>0</v>
      </c>
      <c r="I428" s="275">
        <v>72906</v>
      </c>
      <c r="J428" s="277">
        <v>42633</v>
      </c>
      <c r="K428" s="277">
        <v>42639</v>
      </c>
      <c r="L428" s="277">
        <v>42643</v>
      </c>
      <c r="M428" s="292">
        <v>115.64</v>
      </c>
      <c r="N428" s="281">
        <v>9025</v>
      </c>
      <c r="O428" s="236" t="str">
        <f>'Profits 2016'!T5638</f>
        <v>FEDEX GROUND</v>
      </c>
      <c r="P428" s="284" t="str">
        <f>'Profits 2016'!U5638</f>
        <v>639564016170</v>
      </c>
      <c r="Q428" s="284" t="s">
        <v>314</v>
      </c>
      <c r="R428" s="276">
        <v>24</v>
      </c>
      <c r="S428" s="275" t="s">
        <v>15777</v>
      </c>
      <c r="T428" s="279">
        <v>42646</v>
      </c>
      <c r="U428" s="279">
        <v>42653</v>
      </c>
      <c r="V428" s="279">
        <v>42657</v>
      </c>
      <c r="W428" s="293">
        <v>0</v>
      </c>
      <c r="X428" s="236">
        <v>9174</v>
      </c>
      <c r="AF428" s="276">
        <f t="shared" si="33"/>
        <v>142</v>
      </c>
      <c r="AG428" s="276">
        <f t="shared" si="28"/>
        <v>139.63999999999999</v>
      </c>
      <c r="AH428" s="276">
        <f t="shared" si="29"/>
        <v>13.513000000000034</v>
      </c>
      <c r="AI428" s="283">
        <f t="shared" si="30"/>
        <v>9.5161971830986153E-2</v>
      </c>
    </row>
    <row r="429" spans="1:35" ht="30" x14ac:dyDescent="0.25">
      <c r="A429" s="275">
        <f>'Profits 2016'!A5639</f>
        <v>3004437</v>
      </c>
      <c r="B429" s="279">
        <f>'Profits 2016'!B5639</f>
        <v>42632</v>
      </c>
      <c r="C429" s="276">
        <f>'Profits 2016'!H5639</f>
        <v>218.22</v>
      </c>
      <c r="D429" s="280">
        <f>'Profits 2016'!K5639</f>
        <v>185.48699999999999</v>
      </c>
      <c r="E429" s="276">
        <f>'Profits 2016'!L5639</f>
        <v>690</v>
      </c>
      <c r="F429" s="275" t="str">
        <f>'Profits 2016'!P5639</f>
        <v>Nassau</v>
      </c>
      <c r="G429" s="292">
        <f>'Profits 2016'!N5639-'Profits 2016'!M5639</f>
        <v>103.49999999999999</v>
      </c>
      <c r="H429" s="319"/>
      <c r="I429" s="320"/>
      <c r="J429" s="321"/>
      <c r="K429" s="321"/>
      <c r="L429" s="321"/>
      <c r="M429" s="319"/>
      <c r="N429" s="322"/>
      <c r="O429" s="236" t="str">
        <f>'Profits 2016'!T5639</f>
        <v>FEDEX GROUND</v>
      </c>
      <c r="P429" s="284" t="str">
        <f>'Profits 2016'!U5639</f>
        <v>665645047081</v>
      </c>
      <c r="Q429" s="284" t="s">
        <v>314</v>
      </c>
      <c r="R429" s="276">
        <v>28.58</v>
      </c>
      <c r="S429" s="275" t="s">
        <v>15778</v>
      </c>
      <c r="T429" s="279">
        <v>42646</v>
      </c>
      <c r="U429" s="279">
        <v>42653</v>
      </c>
      <c r="V429" s="279">
        <v>42657</v>
      </c>
      <c r="W429" s="293">
        <v>0</v>
      </c>
      <c r="X429" s="236">
        <v>9174</v>
      </c>
      <c r="AF429" s="276">
        <f t="shared" si="33"/>
        <v>132.07999999999998</v>
      </c>
      <c r="AG429" s="276">
        <f t="shared" si="28"/>
        <v>28.58</v>
      </c>
      <c r="AH429" s="276">
        <f t="shared" si="29"/>
        <v>156.90699999999998</v>
      </c>
      <c r="AI429" s="283">
        <f t="shared" si="30"/>
        <v>1.1879694124772866</v>
      </c>
    </row>
    <row r="430" spans="1:35" ht="30" x14ac:dyDescent="0.25">
      <c r="A430" s="275">
        <f>'Profits 2016'!A5640</f>
        <v>3004438</v>
      </c>
      <c r="B430" s="279">
        <f>'Profits 2016'!B5640</f>
        <v>42632</v>
      </c>
      <c r="C430" s="276">
        <f>'Profits 2016'!H5640</f>
        <v>320</v>
      </c>
      <c r="D430" s="280">
        <f>'Profits 2016'!K5640</f>
        <v>272</v>
      </c>
      <c r="E430" s="276">
        <f>'Profits 2016'!L5640</f>
        <v>690</v>
      </c>
      <c r="F430" s="275" t="str">
        <f>'Profits 2016'!P5640</f>
        <v>Nassau</v>
      </c>
      <c r="G430" s="292">
        <f>'Profits 2016'!N5640-'Profits 2016'!M5640</f>
        <v>172.5</v>
      </c>
      <c r="H430" s="319"/>
      <c r="I430" s="320"/>
      <c r="J430" s="321"/>
      <c r="K430" s="321"/>
      <c r="L430" s="321"/>
      <c r="M430" s="319"/>
      <c r="N430" s="322"/>
      <c r="O430" s="236" t="str">
        <f>'Profits 2016'!T5640</f>
        <v>FEDEX GROUND</v>
      </c>
      <c r="P430" s="284" t="str">
        <f>'Profits 2016'!U5640</f>
        <v>665645047060</v>
      </c>
      <c r="Q430" s="284" t="s">
        <v>314</v>
      </c>
      <c r="R430" s="276">
        <v>56.91</v>
      </c>
      <c r="S430" s="275" t="s">
        <v>15744</v>
      </c>
      <c r="T430" s="279">
        <v>42646</v>
      </c>
      <c r="U430" s="279">
        <v>42653</v>
      </c>
      <c r="V430" s="279">
        <v>42657</v>
      </c>
      <c r="W430" s="293">
        <v>0</v>
      </c>
      <c r="X430" s="236">
        <v>9174</v>
      </c>
      <c r="AF430" s="276">
        <f t="shared" si="33"/>
        <v>229.41</v>
      </c>
      <c r="AG430" s="276">
        <f t="shared" si="28"/>
        <v>56.91</v>
      </c>
      <c r="AH430" s="276">
        <f t="shared" si="29"/>
        <v>215.09</v>
      </c>
      <c r="AI430" s="283">
        <f t="shared" si="30"/>
        <v>0.93757900701800279</v>
      </c>
    </row>
    <row r="431" spans="1:35" ht="30" x14ac:dyDescent="0.25">
      <c r="A431" s="275">
        <f>'Profits 2016'!A5641</f>
        <v>3004439</v>
      </c>
      <c r="B431" s="279">
        <f>'Profits 2016'!B5641</f>
        <v>42632</v>
      </c>
      <c r="C431" s="276">
        <f>'Profits 2016'!H5641</f>
        <v>118.7</v>
      </c>
      <c r="D431" s="280">
        <f>'Profits 2016'!K5641</f>
        <v>100.89500000000001</v>
      </c>
      <c r="E431" s="276">
        <f>'Profits 2016'!L5641</f>
        <v>577</v>
      </c>
      <c r="F431" s="275" t="str">
        <f>'Profits 2016'!P5641</f>
        <v>Nassau</v>
      </c>
      <c r="G431" s="292">
        <f>'Profits 2016'!N5641-'Profits 2016'!M5641</f>
        <v>57.7</v>
      </c>
      <c r="H431" s="319"/>
      <c r="I431" s="320"/>
      <c r="J431" s="321"/>
      <c r="K431" s="321"/>
      <c r="L431" s="321"/>
      <c r="M431" s="319"/>
      <c r="N431" s="322"/>
      <c r="O431" s="236" t="str">
        <f>'Profits 2016'!T5641</f>
        <v>FEDEX GROUND</v>
      </c>
      <c r="P431" s="284" t="str">
        <f>'Profits 2016'!U5641</f>
        <v>665645047026</v>
      </c>
      <c r="Q431" s="284" t="s">
        <v>314</v>
      </c>
      <c r="R431" s="276">
        <v>9.34</v>
      </c>
      <c r="S431" s="275" t="s">
        <v>15744</v>
      </c>
      <c r="T431" s="279">
        <v>42646</v>
      </c>
      <c r="U431" s="279">
        <v>42653</v>
      </c>
      <c r="V431" s="279">
        <v>42657</v>
      </c>
      <c r="W431" s="293">
        <v>0</v>
      </c>
      <c r="X431" s="236">
        <v>9174</v>
      </c>
      <c r="AF431" s="276">
        <f t="shared" si="33"/>
        <v>67.040000000000006</v>
      </c>
      <c r="AG431" s="276">
        <f t="shared" si="28"/>
        <v>9.34</v>
      </c>
      <c r="AH431" s="276">
        <f t="shared" si="29"/>
        <v>91.555000000000007</v>
      </c>
      <c r="AI431" s="283">
        <f t="shared" si="30"/>
        <v>1.3656772076372314</v>
      </c>
    </row>
    <row r="432" spans="1:35" ht="30" x14ac:dyDescent="0.25">
      <c r="A432" s="275">
        <f>'Profits 2016'!A5642</f>
        <v>3004440</v>
      </c>
      <c r="B432" s="279">
        <f>'Profits 2016'!B5642</f>
        <v>42632</v>
      </c>
      <c r="C432" s="276">
        <f>'Profits 2016'!H5642</f>
        <v>577</v>
      </c>
      <c r="D432" s="280">
        <f>'Profits 2016'!K5642</f>
        <v>490.45</v>
      </c>
      <c r="E432" s="276">
        <f>'Profits 2016'!L5642</f>
        <v>504</v>
      </c>
      <c r="F432" s="275" t="str">
        <f>'Profits 2016'!P5642</f>
        <v>Nassau</v>
      </c>
      <c r="G432" s="292">
        <f>'Profits 2016'!N5642-'Profits 2016'!M5642</f>
        <v>252</v>
      </c>
      <c r="H432" s="319"/>
      <c r="I432" s="320"/>
      <c r="J432" s="321"/>
      <c r="K432" s="321"/>
      <c r="L432" s="321"/>
      <c r="M432" s="319"/>
      <c r="N432" s="322"/>
      <c r="O432" s="236" t="str">
        <f>'Profits 2016'!T5642</f>
        <v>FEDEX GROUND</v>
      </c>
      <c r="P432" s="284" t="str">
        <f>'Profits 2016'!U5642</f>
        <v>665645047037</v>
      </c>
      <c r="Q432" s="284" t="s">
        <v>314</v>
      </c>
      <c r="R432" s="276">
        <v>58.64</v>
      </c>
      <c r="S432" s="275" t="s">
        <v>15744</v>
      </c>
      <c r="T432" s="279">
        <v>42646</v>
      </c>
      <c r="U432" s="279">
        <v>42653</v>
      </c>
      <c r="V432" s="279">
        <v>42657</v>
      </c>
      <c r="W432" s="293">
        <v>0</v>
      </c>
      <c r="X432" s="236">
        <v>9174</v>
      </c>
      <c r="AF432" s="276">
        <f t="shared" si="33"/>
        <v>310.64</v>
      </c>
      <c r="AG432" s="276">
        <f t="shared" si="28"/>
        <v>58.64</v>
      </c>
      <c r="AH432" s="276">
        <f t="shared" si="29"/>
        <v>431.81</v>
      </c>
      <c r="AI432" s="283">
        <f t="shared" si="30"/>
        <v>1.3900656708730363</v>
      </c>
    </row>
    <row r="433" spans="1:35" ht="29.25" customHeight="1" x14ac:dyDescent="0.25">
      <c r="A433" s="275">
        <f>'Profits 2016'!A5643</f>
        <v>3004441</v>
      </c>
      <c r="B433" s="279">
        <f>'Profits 2016'!B5643</f>
        <v>42632</v>
      </c>
      <c r="C433" s="276">
        <f>'Profits 2016'!H5643</f>
        <v>640</v>
      </c>
      <c r="D433" s="280">
        <f>'Profits 2016'!K5643</f>
        <v>544</v>
      </c>
      <c r="E433" s="276">
        <f>'Profits 2016'!L5643</f>
        <v>690</v>
      </c>
      <c r="F433" s="275" t="str">
        <f>'Profits 2016'!P5643</f>
        <v>Nassau</v>
      </c>
      <c r="G433" s="292">
        <f>'Profits 2016'!N5643-'Profits 2016'!M5643</f>
        <v>345</v>
      </c>
      <c r="H433" s="319"/>
      <c r="I433" s="320"/>
      <c r="J433" s="321"/>
      <c r="K433" s="321"/>
      <c r="L433" s="321"/>
      <c r="M433" s="319"/>
      <c r="N433" s="322"/>
      <c r="O433" s="354" t="str">
        <f>'Profits 2016'!T5643</f>
        <v>FEDEX GROUND</v>
      </c>
      <c r="P433" s="348" t="str">
        <f>'Profits 2016'!U5643</f>
        <v>665645047048, 665645047059</v>
      </c>
      <c r="Q433" s="348" t="s">
        <v>314</v>
      </c>
      <c r="R433" s="355">
        <f>52.74+52.74</f>
        <v>105.48</v>
      </c>
      <c r="S433" s="332" t="s">
        <v>15779</v>
      </c>
      <c r="T433" s="333" t="s">
        <v>15780</v>
      </c>
      <c r="U433" s="333" t="s">
        <v>15781</v>
      </c>
      <c r="V433" s="340">
        <v>42664</v>
      </c>
      <c r="W433" s="350">
        <f>R433</f>
        <v>105.48</v>
      </c>
      <c r="X433" s="347">
        <v>9215</v>
      </c>
      <c r="AF433" s="276">
        <f t="shared" si="33"/>
        <v>450.48</v>
      </c>
      <c r="AG433" s="276">
        <f t="shared" si="28"/>
        <v>105.48</v>
      </c>
      <c r="AH433" s="276">
        <f t="shared" si="29"/>
        <v>438.52</v>
      </c>
      <c r="AI433" s="283">
        <f t="shared" si="30"/>
        <v>0.97345054164446809</v>
      </c>
    </row>
    <row r="434" spans="1:35" ht="30" x14ac:dyDescent="0.25">
      <c r="A434" s="275">
        <f>'Profits 2016'!A5644</f>
        <v>3004442</v>
      </c>
      <c r="B434" s="279">
        <f>'Profits 2016'!B5644</f>
        <v>42632</v>
      </c>
      <c r="C434" s="276">
        <f>'Profits 2016'!H5644</f>
        <v>24.2</v>
      </c>
      <c r="D434" s="280">
        <f>'Profits 2016'!K5644</f>
        <v>21.2622</v>
      </c>
      <c r="E434" s="276">
        <f>'Profits 2016'!L5644</f>
        <v>595</v>
      </c>
      <c r="F434" s="275" t="str">
        <f>'Profits 2016'!P5644</f>
        <v>Nassau</v>
      </c>
      <c r="G434" s="292">
        <f>'Profits 2016'!N5644-'Profits 2016'!M5644</f>
        <v>5.9499999999999993</v>
      </c>
      <c r="H434" s="319"/>
      <c r="I434" s="320"/>
      <c r="J434" s="321"/>
      <c r="K434" s="321"/>
      <c r="L434" s="321"/>
      <c r="M434" s="319"/>
      <c r="N434" s="322"/>
      <c r="O434" s="236" t="str">
        <f>'Profits 2016'!T5644</f>
        <v>FEDEX GROUND</v>
      </c>
      <c r="P434" s="284" t="str">
        <f>'Profits 2016'!U5644</f>
        <v xml:space="preserve">	665645046980</v>
      </c>
      <c r="Q434" s="284" t="s">
        <v>314</v>
      </c>
      <c r="R434" s="276">
        <v>11.05</v>
      </c>
      <c r="S434" s="275" t="s">
        <v>15744</v>
      </c>
      <c r="T434" s="279">
        <v>42646</v>
      </c>
      <c r="U434" s="279">
        <v>42653</v>
      </c>
      <c r="V434" s="279">
        <v>42657</v>
      </c>
      <c r="W434" s="293">
        <v>0</v>
      </c>
      <c r="X434" s="236">
        <v>9174</v>
      </c>
      <c r="AF434" s="276">
        <f t="shared" si="33"/>
        <v>17</v>
      </c>
      <c r="AG434" s="276">
        <f t="shared" si="28"/>
        <v>11.05</v>
      </c>
      <c r="AH434" s="276">
        <f t="shared" si="29"/>
        <v>10.212199999999999</v>
      </c>
      <c r="AI434" s="283">
        <f t="shared" si="30"/>
        <v>0.60071764705882347</v>
      </c>
    </row>
    <row r="435" spans="1:35" ht="30" x14ac:dyDescent="0.25">
      <c r="A435" s="275">
        <f>'Profits 2016'!A5645</f>
        <v>3004443</v>
      </c>
      <c r="B435" s="279">
        <f>'Profits 2016'!B5645</f>
        <v>42632</v>
      </c>
      <c r="C435" s="276">
        <f>'Profits 2016'!H5645</f>
        <v>250</v>
      </c>
      <c r="D435" s="280">
        <f>'Profits 2016'!K5645</f>
        <v>212.5</v>
      </c>
      <c r="E435" s="276">
        <f>'Profits 2016'!L5645</f>
        <v>959</v>
      </c>
      <c r="F435" s="275" t="str">
        <f>'Profits 2016'!P5645</f>
        <v>Direct</v>
      </c>
      <c r="G435" s="292">
        <f>'Profits 2016'!N5645-'Profits 2016'!M5645</f>
        <v>71.924999999999997</v>
      </c>
      <c r="H435" s="292">
        <v>0</v>
      </c>
      <c r="I435" s="275">
        <v>72902</v>
      </c>
      <c r="J435" s="277">
        <v>42633</v>
      </c>
      <c r="K435" s="277">
        <v>42639</v>
      </c>
      <c r="L435" s="277">
        <v>42643</v>
      </c>
      <c r="M435" s="292">
        <v>142.44999999999999</v>
      </c>
      <c r="N435" s="281">
        <v>9024</v>
      </c>
      <c r="O435" s="347" t="str">
        <f>'Profits 2016'!T5645</f>
        <v>FEDEX GROUND</v>
      </c>
      <c r="P435" s="348" t="str">
        <f>'Profits 2016'!U5645</f>
        <v>642286528938</v>
      </c>
      <c r="Q435" s="348" t="s">
        <v>314</v>
      </c>
      <c r="R435" s="349">
        <v>19.66</v>
      </c>
      <c r="S435" s="332" t="s">
        <v>15738</v>
      </c>
      <c r="T435" s="340">
        <v>42653</v>
      </c>
      <c r="U435" s="340">
        <v>42656</v>
      </c>
      <c r="V435" s="340">
        <v>42664</v>
      </c>
      <c r="W435" s="350">
        <f>R435</f>
        <v>19.66</v>
      </c>
      <c r="X435" s="347">
        <v>9215</v>
      </c>
      <c r="AF435" s="276">
        <f t="shared" si="33"/>
        <v>91.584999999999994</v>
      </c>
      <c r="AG435" s="276">
        <f t="shared" si="28"/>
        <v>162.10999999999999</v>
      </c>
      <c r="AH435" s="276">
        <f t="shared" si="29"/>
        <v>50.390000000000015</v>
      </c>
      <c r="AI435" s="283">
        <f t="shared" si="30"/>
        <v>0.55019926843915512</v>
      </c>
    </row>
    <row r="436" spans="1:35" x14ac:dyDescent="0.25">
      <c r="A436" s="275">
        <f>'Profits 2016'!A5646</f>
        <v>0</v>
      </c>
      <c r="B436" s="279">
        <f>'Profits 2016'!B5646</f>
        <v>0</v>
      </c>
      <c r="C436" s="276">
        <f>'Profits 2016'!H5646</f>
        <v>0</v>
      </c>
      <c r="D436" s="280">
        <f>'Profits 2016'!K5646</f>
        <v>0</v>
      </c>
      <c r="E436" s="276">
        <f>'Profits 2016'!L5646</f>
        <v>979</v>
      </c>
      <c r="F436" s="275" t="str">
        <f>'Profits 2016'!P5646</f>
        <v>DIrect</v>
      </c>
      <c r="G436" s="292">
        <f>'Profits 2016'!N5646-'Profits 2016'!M5646</f>
        <v>73.424999999999983</v>
      </c>
      <c r="H436" s="292">
        <v>0</v>
      </c>
      <c r="I436" s="275">
        <v>72902</v>
      </c>
      <c r="J436" s="277">
        <v>42633</v>
      </c>
      <c r="K436" s="277">
        <v>42639</v>
      </c>
      <c r="L436" s="277">
        <v>42643</v>
      </c>
      <c r="M436" s="292">
        <v>0</v>
      </c>
      <c r="N436" s="281">
        <v>9024</v>
      </c>
      <c r="O436" s="347">
        <f>'Profits 2016'!T5646</f>
        <v>0</v>
      </c>
      <c r="P436" s="348">
        <f>'Profits 2016'!U5646</f>
        <v>642286528949</v>
      </c>
      <c r="Q436" s="348" t="s">
        <v>15782</v>
      </c>
      <c r="R436" s="349">
        <v>20.21</v>
      </c>
      <c r="S436" s="332" t="s">
        <v>15738</v>
      </c>
      <c r="T436" s="340">
        <v>42653</v>
      </c>
      <c r="U436" s="340">
        <v>42656</v>
      </c>
      <c r="V436" s="340">
        <v>42664</v>
      </c>
      <c r="W436" s="350">
        <f>R436</f>
        <v>20.21</v>
      </c>
      <c r="X436" s="347">
        <v>9215</v>
      </c>
      <c r="AF436" s="276">
        <f t="shared" si="33"/>
        <v>93.634999999999991</v>
      </c>
      <c r="AG436" s="276">
        <f t="shared" si="28"/>
        <v>20.21</v>
      </c>
      <c r="AH436" s="276">
        <f t="shared" si="29"/>
        <v>-20.21</v>
      </c>
      <c r="AI436" s="283">
        <f t="shared" si="30"/>
        <v>-0.21583809472953491</v>
      </c>
    </row>
    <row r="437" spans="1:35" ht="30" x14ac:dyDescent="0.25">
      <c r="A437" s="275">
        <f>'Profits 2016'!A5647</f>
        <v>3004444</v>
      </c>
      <c r="B437" s="279">
        <f>'Profits 2016'!B5647</f>
        <v>42632</v>
      </c>
      <c r="C437" s="276">
        <f>'Profits 2016'!H5647</f>
        <v>350</v>
      </c>
      <c r="D437" s="280">
        <f>'Profits 2016'!K5647</f>
        <v>297.5</v>
      </c>
      <c r="E437" s="276">
        <f>'Profits 2016'!L5647</f>
        <v>672</v>
      </c>
      <c r="F437" s="275" t="str">
        <f>'Profits 2016'!P5647</f>
        <v>Houston</v>
      </c>
      <c r="G437" s="292">
        <f>'Profits 2016'!N5647-'Profits 2016'!M5647</f>
        <v>235.20000000000002</v>
      </c>
      <c r="H437" s="292">
        <v>0</v>
      </c>
      <c r="I437" s="275">
        <v>30901768</v>
      </c>
      <c r="J437" s="277">
        <v>42634</v>
      </c>
      <c r="K437" s="277">
        <v>42639</v>
      </c>
      <c r="L437" s="277">
        <v>42664</v>
      </c>
      <c r="M437" s="292">
        <v>235.2</v>
      </c>
      <c r="N437" s="281">
        <v>9234</v>
      </c>
      <c r="O437" s="236" t="str">
        <f>'Profits 2016'!T5647</f>
        <v>FEDEX PRIORITY</v>
      </c>
      <c r="P437" s="284" t="str">
        <f>'Profits 2016'!U5647</f>
        <v>3976150161</v>
      </c>
      <c r="Q437" s="284" t="s">
        <v>260</v>
      </c>
      <c r="R437" s="276">
        <v>122.1</v>
      </c>
      <c r="S437" s="275">
        <v>3976150161</v>
      </c>
      <c r="T437" s="279">
        <v>42640</v>
      </c>
      <c r="U437" s="279">
        <v>42647</v>
      </c>
      <c r="V437" s="279">
        <v>42657</v>
      </c>
      <c r="W437" s="293">
        <v>122.1</v>
      </c>
      <c r="X437" s="236">
        <v>9171</v>
      </c>
      <c r="AF437" s="276">
        <f t="shared" si="33"/>
        <v>357.3</v>
      </c>
      <c r="AG437" s="276">
        <f t="shared" si="28"/>
        <v>357.29999999999995</v>
      </c>
      <c r="AH437" s="276">
        <f t="shared" si="29"/>
        <v>-59.799999999999955</v>
      </c>
      <c r="AI437" s="283">
        <f t="shared" si="30"/>
        <v>-0.16736635880212694</v>
      </c>
    </row>
    <row r="438" spans="1:35" ht="30" x14ac:dyDescent="0.25">
      <c r="A438" s="275">
        <f>'Profits 2016'!A5648</f>
        <v>3004445</v>
      </c>
      <c r="B438" s="279">
        <f>'Profits 2016'!B5648</f>
        <v>42632</v>
      </c>
      <c r="C438" s="276">
        <f>'Profits 2016'!H5648</f>
        <v>180</v>
      </c>
      <c r="D438" s="280">
        <f>'Profits 2016'!K5648</f>
        <v>153</v>
      </c>
      <c r="E438" s="276">
        <f>'Profits 2016'!L5648</f>
        <v>672</v>
      </c>
      <c r="F438" s="275" t="str">
        <f>'Profits 2016'!P5648</f>
        <v>Houston</v>
      </c>
      <c r="G438" s="292">
        <f>'Profits 2016'!N5648-'Profits 2016'!M5648</f>
        <v>100.79999999999998</v>
      </c>
      <c r="H438" s="292">
        <v>0</v>
      </c>
      <c r="I438" s="275">
        <v>30901357</v>
      </c>
      <c r="J438" s="277">
        <v>42633</v>
      </c>
      <c r="K438" s="277">
        <v>42639</v>
      </c>
      <c r="L438" s="277">
        <v>42657</v>
      </c>
      <c r="M438" s="292">
        <v>100.8</v>
      </c>
      <c r="N438" s="281">
        <v>9179</v>
      </c>
      <c r="O438" s="236" t="str">
        <f>'Profits 2016'!T5648</f>
        <v>FEDEX GROUND</v>
      </c>
      <c r="P438" s="284" t="str">
        <f>'Profits 2016'!U5648</f>
        <v>701849703360</v>
      </c>
      <c r="Q438" s="284" t="s">
        <v>314</v>
      </c>
      <c r="R438" s="276">
        <v>29.22</v>
      </c>
      <c r="S438" s="275" t="s">
        <v>15744</v>
      </c>
      <c r="T438" s="279">
        <v>42646</v>
      </c>
      <c r="U438" s="279">
        <v>42653</v>
      </c>
      <c r="V438" s="279">
        <v>42657</v>
      </c>
      <c r="W438" s="293">
        <v>0</v>
      </c>
      <c r="X438" s="236">
        <v>9174</v>
      </c>
      <c r="AF438" s="276">
        <f t="shared" si="33"/>
        <v>130.01999999999998</v>
      </c>
      <c r="AG438" s="276">
        <f t="shared" si="28"/>
        <v>130.01999999999998</v>
      </c>
      <c r="AH438" s="276">
        <f t="shared" si="29"/>
        <v>22.980000000000018</v>
      </c>
      <c r="AI438" s="283">
        <f t="shared" si="30"/>
        <v>0.17674203968620228</v>
      </c>
    </row>
    <row r="439" spans="1:35" ht="30" x14ac:dyDescent="0.25">
      <c r="A439" s="275">
        <f>'Profits 2016'!A5649</f>
        <v>3004446</v>
      </c>
      <c r="B439" s="279">
        <f>'Profits 2016'!B5649</f>
        <v>42632</v>
      </c>
      <c r="C439" s="276">
        <f>'Profits 2016'!H5649</f>
        <v>124.97</v>
      </c>
      <c r="D439" s="280">
        <f>'Profits 2016'!K5649</f>
        <v>106.22450000000001</v>
      </c>
      <c r="E439" s="276">
        <f>'Profits 2016'!L5649</f>
        <v>672</v>
      </c>
      <c r="F439" s="275" t="str">
        <f>'Profits 2016'!P5649</f>
        <v>Houston</v>
      </c>
      <c r="G439" s="292">
        <f>'Profits 2016'!N5649-'Profits 2016'!M5649</f>
        <v>67.2</v>
      </c>
      <c r="H439" s="292">
        <v>0</v>
      </c>
      <c r="I439" s="275">
        <v>30901373</v>
      </c>
      <c r="J439" s="277">
        <v>42633</v>
      </c>
      <c r="K439" s="277">
        <v>42639</v>
      </c>
      <c r="L439" s="277">
        <v>42657</v>
      </c>
      <c r="M439" s="292">
        <v>67.2</v>
      </c>
      <c r="N439" s="281">
        <v>9178</v>
      </c>
      <c r="O439" s="236" t="str">
        <f>'Profits 2016'!T5649</f>
        <v>FEDEX GROUND</v>
      </c>
      <c r="P439" s="284" t="str">
        <f>'Profits 2016'!U5649</f>
        <v>679301396709</v>
      </c>
      <c r="Q439" s="284" t="s">
        <v>314</v>
      </c>
      <c r="R439" s="276">
        <v>38.31</v>
      </c>
      <c r="S439" s="275" t="s">
        <v>15744</v>
      </c>
      <c r="T439" s="279">
        <v>42646</v>
      </c>
      <c r="U439" s="279">
        <v>42653</v>
      </c>
      <c r="V439" s="279">
        <v>42657</v>
      </c>
      <c r="W439" s="293">
        <v>0</v>
      </c>
      <c r="X439" s="236">
        <v>9174</v>
      </c>
      <c r="AF439" s="276">
        <f t="shared" si="33"/>
        <v>105.51</v>
      </c>
      <c r="AG439" s="276">
        <f t="shared" si="28"/>
        <v>105.51</v>
      </c>
      <c r="AH439" s="276">
        <f t="shared" si="29"/>
        <v>0.71450000000000102</v>
      </c>
      <c r="AI439" s="283">
        <f t="shared" si="30"/>
        <v>6.7718699649322433E-3</v>
      </c>
    </row>
    <row r="440" spans="1:35" ht="30" x14ac:dyDescent="0.25">
      <c r="A440" s="275">
        <f>'Profits 2016'!A5650</f>
        <v>3004447</v>
      </c>
      <c r="B440" s="279">
        <f>'Profits 2016'!B5650</f>
        <v>42632</v>
      </c>
      <c r="C440" s="276">
        <f>'Profits 2016'!H5650</f>
        <v>360.36</v>
      </c>
      <c r="D440" s="280">
        <f>'Profits 2016'!K5650</f>
        <v>306.30600000000004</v>
      </c>
      <c r="E440" s="276">
        <f>'Profits 2016'!L5650</f>
        <v>1180</v>
      </c>
      <c r="F440" s="275" t="str">
        <f>'Profits 2016'!P5650</f>
        <v>Direct</v>
      </c>
      <c r="G440" s="292">
        <f>'Profits 2016'!N5650-'Profits 2016'!M5650</f>
        <v>236</v>
      </c>
      <c r="H440" s="292">
        <v>0</v>
      </c>
      <c r="I440" s="275">
        <v>72968</v>
      </c>
      <c r="J440" s="277">
        <v>42634</v>
      </c>
      <c r="K440" s="277">
        <v>42639</v>
      </c>
      <c r="L440" s="277">
        <v>42643</v>
      </c>
      <c r="M440" s="292">
        <v>231.28</v>
      </c>
      <c r="N440" s="281">
        <v>9026</v>
      </c>
      <c r="O440" s="347" t="str">
        <f>'Profits 2016'!T5650</f>
        <v>FEDEX GROUND</v>
      </c>
      <c r="P440" s="348">
        <f>'Profits 2016'!U5650</f>
        <v>639794969500</v>
      </c>
      <c r="Q440" s="348" t="s">
        <v>314</v>
      </c>
      <c r="R440" s="349">
        <v>48</v>
      </c>
      <c r="S440" s="332" t="s">
        <v>15738</v>
      </c>
      <c r="T440" s="340">
        <v>42653</v>
      </c>
      <c r="U440" s="340">
        <v>42656</v>
      </c>
      <c r="V440" s="340">
        <v>42664</v>
      </c>
      <c r="W440" s="350">
        <f>R440</f>
        <v>48</v>
      </c>
      <c r="X440" s="347">
        <v>9215</v>
      </c>
      <c r="AF440" s="276">
        <f t="shared" si="33"/>
        <v>284</v>
      </c>
      <c r="AG440" s="276">
        <f t="shared" si="28"/>
        <v>279.27999999999997</v>
      </c>
      <c r="AH440" s="276">
        <f t="shared" si="29"/>
        <v>27.026000000000067</v>
      </c>
      <c r="AI440" s="283">
        <f t="shared" si="30"/>
        <v>9.5161971830986153E-2</v>
      </c>
    </row>
    <row r="441" spans="1:35" x14ac:dyDescent="0.25">
      <c r="A441" s="275">
        <f>'Profits 2016'!A5651</f>
        <v>3004448</v>
      </c>
      <c r="B441" s="279">
        <f>'Profits 2016'!B5651</f>
        <v>42632</v>
      </c>
      <c r="C441" s="276">
        <f>'Profits 2016'!H5651</f>
        <v>664.98</v>
      </c>
      <c r="D441" s="280">
        <f>'Profits 2016'!K5651</f>
        <v>565.23300000000006</v>
      </c>
      <c r="E441" s="276">
        <v>30</v>
      </c>
      <c r="F441" s="275" t="str">
        <f>'Profits 2016'!P5651</f>
        <v>Thea</v>
      </c>
      <c r="G441" s="292">
        <f>'Profits 2016'!N5651-'Profits 2016'!M5651</f>
        <v>332.00000000000006</v>
      </c>
      <c r="H441" s="319"/>
      <c r="I441" s="320"/>
      <c r="J441" s="321"/>
      <c r="K441" s="321"/>
      <c r="L441" s="321"/>
      <c r="M441" s="319"/>
      <c r="N441" s="322"/>
      <c r="O441" s="236" t="str">
        <f>'Profits 2016'!T5651</f>
        <v>FEDEX/DLS</v>
      </c>
      <c r="P441" s="284">
        <f>'Profits 2016'!U5651</f>
        <v>3653246225</v>
      </c>
      <c r="Q441" s="284" t="s">
        <v>15742</v>
      </c>
      <c r="R441" s="276">
        <v>187.2</v>
      </c>
      <c r="S441" s="275">
        <v>636787424</v>
      </c>
      <c r="T441" s="279">
        <v>42646</v>
      </c>
      <c r="U441" s="279">
        <v>42650</v>
      </c>
      <c r="V441" s="279">
        <v>42657</v>
      </c>
      <c r="W441" s="293">
        <v>187.2</v>
      </c>
      <c r="X441" s="236">
        <v>9192</v>
      </c>
      <c r="AF441" s="276">
        <f t="shared" si="33"/>
        <v>519.20000000000005</v>
      </c>
      <c r="AG441" s="276">
        <f t="shared" si="28"/>
        <v>187.2</v>
      </c>
      <c r="AH441" s="276">
        <f t="shared" si="29"/>
        <v>378.03300000000007</v>
      </c>
      <c r="AI441" s="283">
        <f t="shared" si="30"/>
        <v>0.72810670261941457</v>
      </c>
    </row>
    <row r="442" spans="1:35" ht="30" x14ac:dyDescent="0.25">
      <c r="A442" s="275">
        <f>'Profits 2016'!A5652</f>
        <v>3004449</v>
      </c>
      <c r="B442" s="279">
        <f>'Profits 2016'!B5652</f>
        <v>42632</v>
      </c>
      <c r="C442" s="276">
        <f>'Profits 2016'!H5652</f>
        <v>161.94</v>
      </c>
      <c r="D442" s="280">
        <f>'Profits 2016'!K5652</f>
        <v>137.649</v>
      </c>
      <c r="E442" s="276">
        <f>'Profits 2016'!L5652</f>
        <v>565</v>
      </c>
      <c r="F442" s="275" t="str">
        <f>'Profits 2016'!P5652</f>
        <v>WireExpress</v>
      </c>
      <c r="G442" s="292">
        <f>'Profits 2016'!N5652-'Profits 2016'!M5652</f>
        <v>84.75</v>
      </c>
      <c r="H442" s="292">
        <v>0</v>
      </c>
      <c r="I442" s="275" t="s">
        <v>15783</v>
      </c>
      <c r="J442" s="277">
        <v>42633</v>
      </c>
      <c r="K442" s="277">
        <v>42639</v>
      </c>
      <c r="L442" s="277">
        <v>42657</v>
      </c>
      <c r="M442" s="292">
        <v>84.75</v>
      </c>
      <c r="N442" s="281">
        <v>9199</v>
      </c>
      <c r="O442" s="236" t="str">
        <f>'Profits 2016'!T5652</f>
        <v>FEDEX GROUND</v>
      </c>
      <c r="P442" s="284" t="str">
        <f>'Profits 2016'!U5652</f>
        <v xml:space="preserve">118391272726438 </v>
      </c>
      <c r="Q442" s="284" t="s">
        <v>314</v>
      </c>
      <c r="R442" s="276">
        <v>7.22</v>
      </c>
      <c r="S442" s="275" t="s">
        <v>15744</v>
      </c>
      <c r="T442" s="279">
        <v>42646</v>
      </c>
      <c r="U442" s="279">
        <v>42653</v>
      </c>
      <c r="V442" s="279">
        <v>42657</v>
      </c>
      <c r="W442" s="293">
        <v>0</v>
      </c>
      <c r="X442" s="236">
        <v>9174</v>
      </c>
      <c r="AF442" s="276">
        <f t="shared" si="33"/>
        <v>91.97</v>
      </c>
      <c r="AG442" s="276">
        <f t="shared" si="28"/>
        <v>91.97</v>
      </c>
      <c r="AH442" s="276">
        <f t="shared" si="29"/>
        <v>45.679000000000002</v>
      </c>
      <c r="AI442" s="283">
        <f t="shared" si="30"/>
        <v>0.49667282809611835</v>
      </c>
    </row>
    <row r="443" spans="1:35" ht="30" x14ac:dyDescent="0.25">
      <c r="A443" s="275">
        <f>'Profits 2016'!A5653</f>
        <v>3004450</v>
      </c>
      <c r="B443" s="279">
        <f>'Profits 2016'!B5653</f>
        <v>42632</v>
      </c>
      <c r="C443" s="276">
        <f>'Profits 2016'!H5653</f>
        <v>250</v>
      </c>
      <c r="D443" s="280">
        <f>'Profits 2016'!K5653</f>
        <v>212.5</v>
      </c>
      <c r="E443" s="276">
        <f>'Profits 2016'!L5653</f>
        <v>959</v>
      </c>
      <c r="F443" s="275" t="str">
        <f>'Profits 2016'!P5653</f>
        <v>Direct</v>
      </c>
      <c r="G443" s="292">
        <f>'Profits 2016'!N5653-'Profits 2016'!M5653</f>
        <v>71.924999999999997</v>
      </c>
      <c r="H443" s="292">
        <v>0</v>
      </c>
      <c r="I443" s="275">
        <v>72904</v>
      </c>
      <c r="J443" s="277">
        <v>42633</v>
      </c>
      <c r="K443" s="277">
        <v>42639</v>
      </c>
      <c r="L443" s="277">
        <v>42643</v>
      </c>
      <c r="M443" s="292">
        <v>142.44999999999999</v>
      </c>
      <c r="N443" s="281">
        <v>9025</v>
      </c>
      <c r="O443" s="236" t="str">
        <f>'Profits 2016'!T5653</f>
        <v>FEDEX GROUND</v>
      </c>
      <c r="P443" s="284" t="str">
        <f>'Profits 2016'!U5653</f>
        <v>642286528971</v>
      </c>
      <c r="Q443" s="284" t="s">
        <v>314</v>
      </c>
      <c r="R443" s="276">
        <v>27.83</v>
      </c>
      <c r="S443" s="275" t="s">
        <v>15744</v>
      </c>
      <c r="T443" s="279">
        <v>42646</v>
      </c>
      <c r="U443" s="279">
        <v>42653</v>
      </c>
      <c r="V443" s="279">
        <v>42657</v>
      </c>
      <c r="W443" s="293">
        <v>0</v>
      </c>
      <c r="X443" s="236">
        <v>9174</v>
      </c>
      <c r="AF443" s="276">
        <f t="shared" si="33"/>
        <v>99.754999999999995</v>
      </c>
      <c r="AG443" s="276">
        <f t="shared" si="28"/>
        <v>170.27999999999997</v>
      </c>
      <c r="AH443" s="276">
        <f t="shared" si="29"/>
        <v>42.220000000000027</v>
      </c>
      <c r="AI443" s="283">
        <f t="shared" si="30"/>
        <v>0.42323693047967548</v>
      </c>
    </row>
    <row r="444" spans="1:35" x14ac:dyDescent="0.25">
      <c r="A444" s="275">
        <f>'Profits 2016'!A5654</f>
        <v>0</v>
      </c>
      <c r="B444" s="279">
        <f>'Profits 2016'!B5654</f>
        <v>0</v>
      </c>
      <c r="C444" s="276">
        <f>'Profits 2016'!H5654</f>
        <v>0</v>
      </c>
      <c r="D444" s="280">
        <f>'Profits 2016'!K5654</f>
        <v>0</v>
      </c>
      <c r="E444" s="276">
        <f>'Profits 2016'!L5654</f>
        <v>979</v>
      </c>
      <c r="F444" s="275" t="str">
        <f>'Profits 2016'!P5654</f>
        <v>Direct</v>
      </c>
      <c r="G444" s="292">
        <f>'Profits 2016'!N5654-'Profits 2016'!M5654</f>
        <v>73.424999999999997</v>
      </c>
      <c r="H444" s="292">
        <v>0</v>
      </c>
      <c r="I444" s="275">
        <v>72904</v>
      </c>
      <c r="J444" s="277">
        <v>42633</v>
      </c>
      <c r="K444" s="277">
        <v>42639</v>
      </c>
      <c r="L444" s="277">
        <v>42643</v>
      </c>
      <c r="M444" s="292">
        <v>0</v>
      </c>
      <c r="N444" s="281">
        <v>9025</v>
      </c>
      <c r="O444" s="236">
        <f>'Profits 2016'!T5654</f>
        <v>0</v>
      </c>
      <c r="P444" s="284">
        <f>'Profits 2016'!U5654</f>
        <v>0</v>
      </c>
      <c r="Q444" s="284" t="s">
        <v>314</v>
      </c>
      <c r="R444" s="276">
        <v>0</v>
      </c>
      <c r="S444" s="275" t="s">
        <v>15744</v>
      </c>
      <c r="T444" s="279">
        <v>42646</v>
      </c>
      <c r="U444" s="279">
        <v>42653</v>
      </c>
      <c r="V444" s="279">
        <v>42657</v>
      </c>
      <c r="W444" s="293">
        <v>0</v>
      </c>
      <c r="X444" s="236">
        <v>9174</v>
      </c>
      <c r="AF444" s="276">
        <f t="shared" si="33"/>
        <v>73.424999999999997</v>
      </c>
      <c r="AG444" s="276">
        <f t="shared" si="28"/>
        <v>0</v>
      </c>
      <c r="AH444" s="276">
        <f t="shared" si="29"/>
        <v>0</v>
      </c>
      <c r="AI444" s="283">
        <f t="shared" si="30"/>
        <v>0</v>
      </c>
    </row>
    <row r="445" spans="1:35" ht="30" x14ac:dyDescent="0.25">
      <c r="A445" s="275">
        <f>'Profits 2016'!A5655</f>
        <v>3004451</v>
      </c>
      <c r="B445" s="279">
        <f>'Profits 2016'!B5655</f>
        <v>42632</v>
      </c>
      <c r="C445" s="276">
        <f>'Profits 2016'!H5655</f>
        <v>260</v>
      </c>
      <c r="D445" s="280">
        <f>'Profits 2016'!K5655</f>
        <v>221</v>
      </c>
      <c r="E445" s="276">
        <f>'Profits 2016'!L5655</f>
        <v>1322</v>
      </c>
      <c r="F445" s="275" t="str">
        <f>'Profits 2016'!P5655</f>
        <v>Thea</v>
      </c>
      <c r="G445" s="292">
        <f>'Profits 2016'!N5655-'Profits 2016'!M5655</f>
        <v>132.20000000000002</v>
      </c>
      <c r="H445" s="319"/>
      <c r="I445" s="320"/>
      <c r="J445" s="321"/>
      <c r="K445" s="321"/>
      <c r="L445" s="321"/>
      <c r="M445" s="319"/>
      <c r="N445" s="322"/>
      <c r="O445" s="347" t="str">
        <f>'Profits 2016'!T5655</f>
        <v>FEDEX GROUND</v>
      </c>
      <c r="P445" s="348" t="str">
        <f>'Profits 2016'!U5655</f>
        <v>675157529970</v>
      </c>
      <c r="Q445" s="348" t="s">
        <v>314</v>
      </c>
      <c r="R445" s="349">
        <v>30.32</v>
      </c>
      <c r="S445" s="332" t="s">
        <v>15738</v>
      </c>
      <c r="T445" s="340">
        <v>42653</v>
      </c>
      <c r="U445" s="340">
        <v>42656</v>
      </c>
      <c r="V445" s="340">
        <v>42664</v>
      </c>
      <c r="W445" s="350">
        <f>R445</f>
        <v>30.32</v>
      </c>
      <c r="X445" s="347">
        <v>9215</v>
      </c>
      <c r="AF445" s="276">
        <f t="shared" si="33"/>
        <v>162.52000000000001</v>
      </c>
      <c r="AG445" s="276">
        <f t="shared" si="28"/>
        <v>30.32</v>
      </c>
      <c r="AH445" s="276">
        <f t="shared" si="29"/>
        <v>190.68</v>
      </c>
      <c r="AI445" s="283">
        <f t="shared" si="30"/>
        <v>1.1732709820329805</v>
      </c>
    </row>
    <row r="446" spans="1:35" ht="30" x14ac:dyDescent="0.25">
      <c r="A446" s="275">
        <f>'Profits 2016'!A5656</f>
        <v>3004452</v>
      </c>
      <c r="B446" s="279">
        <f>'Profits 2016'!B5656</f>
        <v>42632</v>
      </c>
      <c r="C446" s="276">
        <f>'Profits 2016'!H5656</f>
        <v>186.06</v>
      </c>
      <c r="D446" s="280">
        <f>'Profits 2016'!K5656</f>
        <v>158.15100000000001</v>
      </c>
      <c r="E446" s="276">
        <f>'Profits 2016'!L5656</f>
        <v>680</v>
      </c>
      <c r="F446" s="275" t="str">
        <f>'Profits 2016'!P5656</f>
        <v>Nassau</v>
      </c>
      <c r="G446" s="292">
        <f>'Profits 2016'!N5656-'Profits 2016'!M5656</f>
        <v>85</v>
      </c>
      <c r="H446" s="319"/>
      <c r="I446" s="320"/>
      <c r="J446" s="321"/>
      <c r="K446" s="321"/>
      <c r="L446" s="321"/>
      <c r="M446" s="319"/>
      <c r="N446" s="322"/>
      <c r="O446" s="236" t="str">
        <f>'Profits 2016'!T5656</f>
        <v>FEDEX GROUND</v>
      </c>
      <c r="P446" s="284" t="str">
        <f>'Profits 2016'!U5656</f>
        <v>680483360119</v>
      </c>
      <c r="Q446" s="284" t="s">
        <v>314</v>
      </c>
      <c r="R446" s="276">
        <v>14.05</v>
      </c>
      <c r="S446" s="275" t="s">
        <v>15744</v>
      </c>
      <c r="T446" s="279">
        <v>42646</v>
      </c>
      <c r="U446" s="279">
        <v>42653</v>
      </c>
      <c r="V446" s="279">
        <v>42657</v>
      </c>
      <c r="W446" s="293">
        <v>0</v>
      </c>
      <c r="X446" s="236">
        <v>9174</v>
      </c>
      <c r="AF446" s="276">
        <f t="shared" si="33"/>
        <v>99.05</v>
      </c>
      <c r="AG446" s="276">
        <f t="shared" si="28"/>
        <v>14.05</v>
      </c>
      <c r="AH446" s="276">
        <f t="shared" si="29"/>
        <v>144.101</v>
      </c>
      <c r="AI446" s="283">
        <f t="shared" si="30"/>
        <v>1.4548308934881373</v>
      </c>
    </row>
    <row r="447" spans="1:35" x14ac:dyDescent="0.25">
      <c r="A447" s="275">
        <f>'Profits 2016'!A5657</f>
        <v>3004453</v>
      </c>
      <c r="B447" s="279">
        <f>'Profits 2016'!B5657</f>
        <v>42633</v>
      </c>
      <c r="C447" s="276">
        <f>'Profits 2016'!H5657</f>
        <v>589</v>
      </c>
      <c r="D447" s="280">
        <f>'Profits 2016'!K5657</f>
        <v>575.74199999999996</v>
      </c>
      <c r="E447" s="276">
        <f>'Profits 2016'!L5657</f>
        <v>806</v>
      </c>
      <c r="F447" s="275" t="str">
        <f>'Profits 2016'!P5657</f>
        <v>Nassau</v>
      </c>
      <c r="G447" s="292">
        <f>'Profits 2016'!N5657-'Profits 2016'!M5657</f>
        <v>306.28000000000009</v>
      </c>
      <c r="H447" s="319"/>
      <c r="I447" s="320"/>
      <c r="J447" s="321"/>
      <c r="K447" s="321"/>
      <c r="L447" s="321"/>
      <c r="M447" s="319"/>
      <c r="N447" s="322"/>
      <c r="O447" s="236" t="str">
        <f>'Profits 2016'!T5657</f>
        <v>R&amp;L/ECHO</v>
      </c>
      <c r="P447" s="284">
        <f>'Profits 2016'!U5657</f>
        <v>730487151</v>
      </c>
      <c r="Q447" s="284" t="s">
        <v>15767</v>
      </c>
      <c r="R447" s="276">
        <v>114.03</v>
      </c>
      <c r="S447" s="275" t="s">
        <v>15784</v>
      </c>
      <c r="T447" s="279">
        <v>42641</v>
      </c>
      <c r="U447" s="279">
        <v>42647</v>
      </c>
      <c r="V447" s="279">
        <v>42671</v>
      </c>
      <c r="W447" s="293">
        <v>114.03</v>
      </c>
      <c r="X447" s="236">
        <v>9248</v>
      </c>
      <c r="AF447" s="276">
        <f t="shared" si="33"/>
        <v>445.15000000000009</v>
      </c>
      <c r="AG447" s="276">
        <f t="shared" si="28"/>
        <v>114.03</v>
      </c>
      <c r="AH447" s="276">
        <f t="shared" si="29"/>
        <v>461.71199999999999</v>
      </c>
      <c r="AI447" s="283">
        <f t="shared" si="30"/>
        <v>1.0372054363697627</v>
      </c>
    </row>
    <row r="448" spans="1:35" ht="30" x14ac:dyDescent="0.25">
      <c r="A448" s="275">
        <f>'Profits 2016'!A5658</f>
        <v>3004454</v>
      </c>
      <c r="B448" s="279">
        <f>'Profits 2016'!B5658</f>
        <v>42633</v>
      </c>
      <c r="C448" s="276">
        <f>'Profits 2016'!H5658</f>
        <v>1014</v>
      </c>
      <c r="D448" s="280">
        <f>'Profits 2016'!K5658</f>
        <v>991.39200000000005</v>
      </c>
      <c r="E448" s="276">
        <f>'Profits 2016'!L5658</f>
        <v>1738.94</v>
      </c>
      <c r="F448" s="275" t="str">
        <f>'Profits 2016'!P5658</f>
        <v>General</v>
      </c>
      <c r="G448" s="292">
        <f>'Profits 2016'!N5658-'Profits 2016'!M5658</f>
        <v>208.6728</v>
      </c>
      <c r="H448" s="292">
        <f>25-0.16</f>
        <v>24.84</v>
      </c>
      <c r="I448" s="275">
        <v>3747572</v>
      </c>
      <c r="J448" s="277">
        <v>42635</v>
      </c>
      <c r="K448" s="277">
        <v>42639</v>
      </c>
      <c r="L448" s="277">
        <v>42650</v>
      </c>
      <c r="M448" s="292">
        <v>532.64</v>
      </c>
      <c r="N448" s="281">
        <v>9092</v>
      </c>
      <c r="O448" s="236" t="str">
        <f>'Profits 2016'!T5658</f>
        <v>NEW PENN</v>
      </c>
      <c r="P448" s="284" t="str">
        <f>'Profits 2016'!U5658</f>
        <v>47681451</v>
      </c>
      <c r="Q448" s="284" t="s">
        <v>15741</v>
      </c>
      <c r="R448" s="276">
        <v>48</v>
      </c>
      <c r="S448" s="358">
        <v>3747572</v>
      </c>
      <c r="T448" s="279">
        <v>42635</v>
      </c>
      <c r="U448" s="279">
        <v>42639</v>
      </c>
      <c r="V448" s="279">
        <v>42650</v>
      </c>
      <c r="W448" s="293">
        <v>48</v>
      </c>
      <c r="X448" s="236">
        <v>9092</v>
      </c>
      <c r="AF448" s="276">
        <f t="shared" si="33"/>
        <v>281.44280000000003</v>
      </c>
      <c r="AG448" s="276">
        <f t="shared" si="28"/>
        <v>580.64</v>
      </c>
      <c r="AH448" s="276">
        <f t="shared" si="29"/>
        <v>410.75200000000007</v>
      </c>
      <c r="AI448" s="283">
        <f t="shared" si="30"/>
        <v>1.4594510856202398</v>
      </c>
    </row>
    <row r="449" spans="1:35" x14ac:dyDescent="0.25">
      <c r="A449" s="275">
        <f>'Profits 2016'!A5659</f>
        <v>0</v>
      </c>
      <c r="B449" s="279">
        <f>'Profits 2016'!B5659</f>
        <v>0</v>
      </c>
      <c r="C449" s="276">
        <f>'Profits 2016'!H5659</f>
        <v>0</v>
      </c>
      <c r="D449" s="280">
        <f>'Profits 2016'!K5659</f>
        <v>0</v>
      </c>
      <c r="E449" s="276">
        <f>'Profits 2016'!L5659</f>
        <v>1750</v>
      </c>
      <c r="F449" s="275" t="str">
        <f>'Profits 2016'!P5659</f>
        <v>General</v>
      </c>
      <c r="G449" s="292">
        <f>'Profits 2016'!N5659-'Profits 2016'!M5659</f>
        <v>236.25000000000003</v>
      </c>
      <c r="H449" s="292">
        <f>25-0.23</f>
        <v>24.77</v>
      </c>
      <c r="I449" s="275">
        <v>3747572</v>
      </c>
      <c r="J449" s="277">
        <v>42635</v>
      </c>
      <c r="K449" s="277">
        <v>42639</v>
      </c>
      <c r="L449" s="277">
        <v>42650</v>
      </c>
      <c r="M449" s="292">
        <v>0</v>
      </c>
      <c r="N449" s="281">
        <v>9092</v>
      </c>
      <c r="O449" s="236">
        <f>'Profits 2016'!T5659</f>
        <v>0</v>
      </c>
      <c r="P449" s="284">
        <f>'Profits 2016'!U5659</f>
        <v>0</v>
      </c>
      <c r="Q449" s="284" t="s">
        <v>15741</v>
      </c>
      <c r="R449" s="276">
        <v>48</v>
      </c>
      <c r="S449" s="358">
        <v>3747572</v>
      </c>
      <c r="T449" s="279">
        <v>42635</v>
      </c>
      <c r="U449" s="279">
        <v>42639</v>
      </c>
      <c r="V449" s="279">
        <v>42650</v>
      </c>
      <c r="W449" s="293">
        <v>0</v>
      </c>
      <c r="X449" s="236">
        <v>9092</v>
      </c>
      <c r="AF449" s="276">
        <f t="shared" si="33"/>
        <v>284.25</v>
      </c>
      <c r="AG449" s="276">
        <f t="shared" si="28"/>
        <v>48</v>
      </c>
      <c r="AH449" s="276">
        <f t="shared" si="29"/>
        <v>-48</v>
      </c>
      <c r="AI449" s="283">
        <f t="shared" si="30"/>
        <v>-0.16886543535620052</v>
      </c>
    </row>
    <row r="450" spans="1:35" ht="30" x14ac:dyDescent="0.25">
      <c r="A450" s="275">
        <f>'Profits 2016'!A5660</f>
        <v>3004455</v>
      </c>
      <c r="B450" s="279">
        <f>'Profits 2016'!B5660</f>
        <v>42633</v>
      </c>
      <c r="C450" s="276">
        <f>'Profits 2016'!H5660</f>
        <v>396.5</v>
      </c>
      <c r="D450" s="280">
        <f>'Profits 2016'!K5660</f>
        <v>387.47699999999998</v>
      </c>
      <c r="E450" s="276">
        <f>'Profits 2016'!L5660</f>
        <v>595</v>
      </c>
      <c r="F450" s="275" t="str">
        <f>'Profits 2016'!P5660</f>
        <v>Nassau</v>
      </c>
      <c r="G450" s="292">
        <f>'Profits 2016'!N5660-'Profits 2016'!M5660</f>
        <v>193.37500000000003</v>
      </c>
      <c r="H450" s="319"/>
      <c r="I450" s="320"/>
      <c r="J450" s="321"/>
      <c r="K450" s="321"/>
      <c r="L450" s="321"/>
      <c r="M450" s="319"/>
      <c r="N450" s="322"/>
      <c r="O450" s="236" t="str">
        <f>'Profits 2016'!T5660</f>
        <v>FEDEX GROUND</v>
      </c>
      <c r="P450" s="284" t="str">
        <f>'Profits 2016'!U5660</f>
        <v>680483360152</v>
      </c>
      <c r="Q450" s="284" t="s">
        <v>314</v>
      </c>
      <c r="R450" s="276">
        <v>63.35</v>
      </c>
      <c r="S450" s="275" t="s">
        <v>15744</v>
      </c>
      <c r="T450" s="279">
        <v>42646</v>
      </c>
      <c r="U450" s="279">
        <v>42653</v>
      </c>
      <c r="V450" s="279">
        <v>42657</v>
      </c>
      <c r="W450" s="293">
        <v>0</v>
      </c>
      <c r="X450" s="236">
        <v>9174</v>
      </c>
      <c r="AF450" s="276">
        <f t="shared" si="33"/>
        <v>256.72500000000002</v>
      </c>
      <c r="AG450" s="276">
        <f t="shared" si="28"/>
        <v>63.35</v>
      </c>
      <c r="AH450" s="276">
        <f t="shared" si="29"/>
        <v>324.12699999999995</v>
      </c>
      <c r="AI450" s="283">
        <f t="shared" si="30"/>
        <v>1.262545525367611</v>
      </c>
    </row>
    <row r="451" spans="1:35" ht="30" x14ac:dyDescent="0.25">
      <c r="A451" s="275">
        <f>'Profits 2016'!A5661</f>
        <v>3004456</v>
      </c>
      <c r="B451" s="279">
        <f>'Profits 2016'!B5661</f>
        <v>42633</v>
      </c>
      <c r="C451" s="276">
        <f>'Profits 2016'!H5661</f>
        <v>790</v>
      </c>
      <c r="D451" s="280">
        <f>'Profits 2016'!K5661</f>
        <v>790</v>
      </c>
      <c r="E451" s="276">
        <f>'Profits 2016'!L5661</f>
        <v>3300</v>
      </c>
      <c r="F451" s="275" t="str">
        <f>'Profits 2016'!P5661</f>
        <v>Nassau</v>
      </c>
      <c r="G451" s="292">
        <f>'Profits 2016'!N5661-'Profits 2016'!M5661</f>
        <v>165</v>
      </c>
      <c r="H451" s="319"/>
      <c r="I451" s="320"/>
      <c r="J451" s="321"/>
      <c r="K451" s="321"/>
      <c r="L451" s="321"/>
      <c r="M451" s="319"/>
      <c r="N451" s="322"/>
      <c r="O451" s="236" t="str">
        <f>'Profits 2016'!T5661</f>
        <v>FEDEX GROUND</v>
      </c>
      <c r="P451" s="284" t="str">
        <f>'Profits 2016'!U5661</f>
        <v xml:space="preserve">	702723288484</v>
      </c>
      <c r="Q451" s="284" t="s">
        <v>314</v>
      </c>
      <c r="R451" s="276">
        <v>24.2</v>
      </c>
      <c r="S451" s="275" t="s">
        <v>15744</v>
      </c>
      <c r="T451" s="279">
        <v>42646</v>
      </c>
      <c r="U451" s="279">
        <v>42653</v>
      </c>
      <c r="V451" s="279">
        <v>42657</v>
      </c>
      <c r="W451" s="293">
        <v>0</v>
      </c>
      <c r="X451" s="236">
        <v>9174</v>
      </c>
      <c r="AF451" s="276">
        <f t="shared" si="33"/>
        <v>189.2</v>
      </c>
      <c r="AG451" s="276">
        <f t="shared" ref="AG451:AG514" si="34">M451+R451+Y451</f>
        <v>24.2</v>
      </c>
      <c r="AH451" s="276">
        <f t="shared" ref="AH451:AH514" si="35">D451-AG451</f>
        <v>765.8</v>
      </c>
      <c r="AI451" s="283">
        <f t="shared" ref="AI451:AI514" si="36">AH451/AF451</f>
        <v>4.0475687103594078</v>
      </c>
    </row>
    <row r="452" spans="1:35" x14ac:dyDescent="0.25">
      <c r="A452" s="275">
        <f>'Profits 2016'!A5662</f>
        <v>0</v>
      </c>
      <c r="B452" s="279">
        <f>'Profits 2016'!B5662</f>
        <v>0</v>
      </c>
      <c r="C452" s="276">
        <f>'Profits 2016'!H5662</f>
        <v>0</v>
      </c>
      <c r="D452" s="280">
        <f>'Profits 2016'!K5662</f>
        <v>0</v>
      </c>
      <c r="E452" s="276">
        <f>'Profits 2016'!L5662</f>
        <v>0</v>
      </c>
      <c r="F452" s="275" t="str">
        <f>'Profits 2016'!P5662</f>
        <v>Nassau</v>
      </c>
      <c r="G452" s="292">
        <f>'Profits 2016'!N5662-'Profits 2016'!M5662</f>
        <v>0</v>
      </c>
      <c r="H452" s="319"/>
      <c r="I452" s="320"/>
      <c r="J452" s="321"/>
      <c r="K452" s="321"/>
      <c r="L452" s="321"/>
      <c r="M452" s="319"/>
      <c r="N452" s="322"/>
      <c r="O452" s="236">
        <f>'Profits 2016'!T5662</f>
        <v>0</v>
      </c>
      <c r="P452" s="284">
        <f>'Profits 2016'!U5662</f>
        <v>0</v>
      </c>
      <c r="AF452" s="276">
        <f t="shared" si="33"/>
        <v>0</v>
      </c>
      <c r="AG452" s="276">
        <f t="shared" si="34"/>
        <v>0</v>
      </c>
      <c r="AH452" s="276">
        <f t="shared" si="35"/>
        <v>0</v>
      </c>
      <c r="AI452" s="283" t="e">
        <f t="shared" si="36"/>
        <v>#DIV/0!</v>
      </c>
    </row>
    <row r="453" spans="1:35" ht="30" x14ac:dyDescent="0.25">
      <c r="A453" s="275">
        <f>'Profits 2016'!A5663</f>
        <v>0</v>
      </c>
      <c r="B453" s="279">
        <f>'Profits 2016'!B5663</f>
        <v>0</v>
      </c>
      <c r="C453" s="276">
        <f>'Profits 2016'!H5663</f>
        <v>0</v>
      </c>
      <c r="D453" s="280">
        <f>'Profits 2016'!K5663</f>
        <v>0</v>
      </c>
      <c r="E453" s="276">
        <f>'Profits 2016'!L5663</f>
        <v>48.5</v>
      </c>
      <c r="F453" s="275" t="str">
        <f>'Profits 2016'!P5663</f>
        <v>Kris-Tech</v>
      </c>
      <c r="G453" s="292">
        <f>'Profits 2016'!N5663-'Profits 2016'!M5663</f>
        <v>194</v>
      </c>
      <c r="H453" s="292">
        <v>0</v>
      </c>
      <c r="I453" s="275">
        <v>121916</v>
      </c>
      <c r="J453" s="277">
        <v>42634</v>
      </c>
      <c r="K453" s="277">
        <v>42639</v>
      </c>
      <c r="L453" s="277">
        <v>42643</v>
      </c>
      <c r="M453" s="292">
        <v>190.12</v>
      </c>
      <c r="N453" s="281">
        <v>9033</v>
      </c>
      <c r="O453" s="236" t="str">
        <f>'Profits 2016'!T5663</f>
        <v>FEDEX GROUND</v>
      </c>
      <c r="P453" s="284" t="str">
        <f>'Profits 2016'!U5663</f>
        <v>690306366459</v>
      </c>
      <c r="Q453" s="284" t="s">
        <v>314</v>
      </c>
      <c r="R453" s="276">
        <v>24.6</v>
      </c>
      <c r="S453" s="275" t="s">
        <v>15744</v>
      </c>
      <c r="T453" s="279">
        <v>42646</v>
      </c>
      <c r="U453" s="279">
        <v>42653</v>
      </c>
      <c r="V453" s="279">
        <v>42657</v>
      </c>
      <c r="W453" s="293">
        <v>0</v>
      </c>
      <c r="X453" s="236">
        <v>9174</v>
      </c>
      <c r="AF453" s="276">
        <f t="shared" si="33"/>
        <v>218.6</v>
      </c>
      <c r="AG453" s="276">
        <f t="shared" si="34"/>
        <v>214.72</v>
      </c>
      <c r="AH453" s="276">
        <f t="shared" si="35"/>
        <v>-214.72</v>
      </c>
      <c r="AI453" s="283">
        <f t="shared" si="36"/>
        <v>-0.98225068618481248</v>
      </c>
    </row>
    <row r="454" spans="1:35" ht="30" x14ac:dyDescent="0.25">
      <c r="A454" s="275">
        <f>'Profits 2016'!A5664</f>
        <v>3004457</v>
      </c>
      <c r="B454" s="279">
        <f>'Profits 2016'!B5664</f>
        <v>42633</v>
      </c>
      <c r="C454" s="276">
        <f>'Profits 2016'!H5664</f>
        <v>245</v>
      </c>
      <c r="D454" s="280">
        <f>'Profits 2016'!K5664</f>
        <v>217.99499999999998</v>
      </c>
      <c r="E454" s="276">
        <f>'Profits 2016'!L5664</f>
        <v>1322</v>
      </c>
      <c r="F454" s="275" t="str">
        <f>'Profits 2016'!P5664</f>
        <v>Nassau</v>
      </c>
      <c r="G454" s="292">
        <f>'Profits 2016'!N5664-'Profits 2016'!M5664</f>
        <v>132.20000000000002</v>
      </c>
      <c r="H454" s="319"/>
      <c r="I454" s="320"/>
      <c r="J454" s="321"/>
      <c r="K454" s="321"/>
      <c r="L454" s="321"/>
      <c r="M454" s="319"/>
      <c r="N454" s="322"/>
      <c r="O454" s="236" t="str">
        <f>'Profits 2016'!T5664</f>
        <v>FEDEX GROUND</v>
      </c>
      <c r="P454" s="284" t="str">
        <f>'Profits 2016'!U5664</f>
        <v>680483360130</v>
      </c>
      <c r="Q454" s="284" t="s">
        <v>314</v>
      </c>
      <c r="R454" s="276">
        <v>36.340000000000003</v>
      </c>
      <c r="S454" s="275" t="s">
        <v>15738</v>
      </c>
      <c r="T454" s="279">
        <v>42653</v>
      </c>
      <c r="U454" s="279">
        <v>42656</v>
      </c>
      <c r="V454" s="340">
        <v>42664</v>
      </c>
      <c r="W454" s="350">
        <f t="shared" ref="W454:W456" si="37">R454</f>
        <v>36.340000000000003</v>
      </c>
      <c r="X454" s="347">
        <v>9215</v>
      </c>
      <c r="AF454" s="276">
        <f t="shared" si="33"/>
        <v>168.54000000000002</v>
      </c>
      <c r="AG454" s="276">
        <f t="shared" si="34"/>
        <v>36.340000000000003</v>
      </c>
      <c r="AH454" s="276">
        <f t="shared" si="35"/>
        <v>181.65499999999997</v>
      </c>
      <c r="AI454" s="283">
        <f t="shared" si="36"/>
        <v>1.0778153554052448</v>
      </c>
    </row>
    <row r="455" spans="1:35" ht="30" x14ac:dyDescent="0.25">
      <c r="A455" s="275">
        <f>'Profits 2016'!A5665</f>
        <v>3004458</v>
      </c>
      <c r="B455" s="279">
        <f>'Profits 2016'!B5665</f>
        <v>42633</v>
      </c>
      <c r="C455" s="276">
        <f>'Profits 2016'!H5665</f>
        <v>122.5</v>
      </c>
      <c r="D455" s="280">
        <f>'Profits 2016'!K5665</f>
        <v>108.8475</v>
      </c>
      <c r="E455" s="276">
        <f>'Profits 2016'!L5665</f>
        <v>1470</v>
      </c>
      <c r="F455" s="275" t="str">
        <f>'Profits 2016'!P5665</f>
        <v>Direct</v>
      </c>
      <c r="G455" s="292">
        <f>'Profits 2016'!N5665-'Profits 2016'!M5665</f>
        <v>73.5</v>
      </c>
      <c r="H455" s="292">
        <v>0</v>
      </c>
      <c r="I455" s="275">
        <v>72995</v>
      </c>
      <c r="J455" s="277">
        <v>42634</v>
      </c>
      <c r="K455" s="277">
        <v>42639</v>
      </c>
      <c r="L455" s="277">
        <v>42643</v>
      </c>
      <c r="M455" s="292">
        <v>72.03</v>
      </c>
      <c r="N455" s="281">
        <v>9026</v>
      </c>
      <c r="O455" s="236" t="str">
        <f>'Profits 2016'!T5665</f>
        <v>FEDEX GROUND</v>
      </c>
      <c r="P455" s="284" t="str">
        <f>'Profits 2016'!U5665</f>
        <v>639564016240</v>
      </c>
      <c r="Q455" s="284" t="s">
        <v>314</v>
      </c>
      <c r="R455" s="276">
        <v>71.72</v>
      </c>
      <c r="S455" s="275" t="s">
        <v>15738</v>
      </c>
      <c r="T455" s="279">
        <v>42653</v>
      </c>
      <c r="U455" s="279">
        <v>42656</v>
      </c>
      <c r="V455" s="340">
        <v>42664</v>
      </c>
      <c r="W455" s="350">
        <f t="shared" si="37"/>
        <v>71.72</v>
      </c>
      <c r="X455" s="347">
        <v>9215</v>
      </c>
      <c r="AF455" s="276">
        <f t="shared" si="33"/>
        <v>145.22</v>
      </c>
      <c r="AG455" s="276">
        <f t="shared" si="34"/>
        <v>143.75</v>
      </c>
      <c r="AH455" s="276">
        <f t="shared" si="35"/>
        <v>-34.902500000000003</v>
      </c>
      <c r="AI455" s="283">
        <f t="shared" si="36"/>
        <v>-0.2403422393609696</v>
      </c>
    </row>
    <row r="456" spans="1:35" ht="30" x14ac:dyDescent="0.25">
      <c r="A456" s="275">
        <f>'Profits 2016'!A5666</f>
        <v>3004459</v>
      </c>
      <c r="B456" s="279">
        <f>'Profits 2016'!B5666</f>
        <v>42633</v>
      </c>
      <c r="C456" s="276">
        <f>'Profits 2016'!H5666</f>
        <v>230</v>
      </c>
      <c r="D456" s="280">
        <f>'Profits 2016'!K5666</f>
        <v>204.63000000000002</v>
      </c>
      <c r="E456" s="276">
        <f>'Profits 2016'!L5666</f>
        <v>220</v>
      </c>
      <c r="F456" s="275" t="str">
        <f>'Profits 2016'!P5666</f>
        <v>Nassau</v>
      </c>
      <c r="G456" s="292">
        <f>'Profits 2016'!N5666-'Profits 2016'!M5666</f>
        <v>110</v>
      </c>
      <c r="H456" s="319"/>
      <c r="I456" s="320"/>
      <c r="J456" s="321"/>
      <c r="K456" s="321"/>
      <c r="L456" s="321"/>
      <c r="M456" s="319"/>
      <c r="N456" s="322"/>
      <c r="O456" s="236" t="str">
        <f>'Profits 2016'!T5666</f>
        <v>FEDEX GROUND</v>
      </c>
      <c r="P456" s="284" t="str">
        <f>'Profits 2016'!U5666</f>
        <v>680483360141</v>
      </c>
      <c r="Q456" s="284" t="s">
        <v>314</v>
      </c>
      <c r="R456" s="276">
        <v>41.1</v>
      </c>
      <c r="S456" s="275" t="s">
        <v>15738</v>
      </c>
      <c r="T456" s="279">
        <v>42653</v>
      </c>
      <c r="U456" s="279">
        <v>42656</v>
      </c>
      <c r="V456" s="340">
        <v>42664</v>
      </c>
      <c r="W456" s="350">
        <f t="shared" si="37"/>
        <v>41.1</v>
      </c>
      <c r="X456" s="347">
        <v>9215</v>
      </c>
      <c r="AF456" s="276">
        <f t="shared" si="33"/>
        <v>151.1</v>
      </c>
      <c r="AG456" s="276">
        <f t="shared" si="34"/>
        <v>41.1</v>
      </c>
      <c r="AH456" s="276">
        <f t="shared" si="35"/>
        <v>163.53000000000003</v>
      </c>
      <c r="AI456" s="283">
        <f t="shared" si="36"/>
        <v>1.0822634017207149</v>
      </c>
    </row>
    <row r="457" spans="1:35" x14ac:dyDescent="0.25">
      <c r="A457" s="275">
        <f>'Profits 2016'!A5667</f>
        <v>3004460</v>
      </c>
      <c r="B457" s="279">
        <f>'Profits 2016'!B5667</f>
        <v>42633</v>
      </c>
      <c r="C457" s="276">
        <f>'Profits 2016'!H5667</f>
        <v>583.20000000000005</v>
      </c>
      <c r="D457" s="280">
        <f>'Profits 2016'!K5667</f>
        <v>519.33119999999997</v>
      </c>
      <c r="E457" s="276">
        <f>'Profits 2016'!L5667</f>
        <v>1200</v>
      </c>
      <c r="F457" s="275" t="str">
        <f>'Profits 2016'!P5667</f>
        <v>Thea</v>
      </c>
      <c r="G457" s="292">
        <f>'Profits 2016'!N5667-'Profits 2016'!M5667</f>
        <v>251.99999999999997</v>
      </c>
      <c r="H457" s="319"/>
      <c r="I457" s="320"/>
      <c r="J457" s="321"/>
      <c r="K457" s="321"/>
      <c r="L457" s="321"/>
      <c r="M457" s="319"/>
      <c r="N457" s="322"/>
      <c r="O457" s="236" t="str">
        <f>'Profits 2016'!T5667</f>
        <v>R&amp;L/ECHO</v>
      </c>
      <c r="P457" s="284" t="str">
        <f>'Profits 2016'!U5667</f>
        <v>904038588</v>
      </c>
      <c r="Q457" s="284" t="s">
        <v>15767</v>
      </c>
      <c r="R457" s="276">
        <v>181.54</v>
      </c>
      <c r="S457" s="275" t="s">
        <v>15785</v>
      </c>
      <c r="T457" s="279">
        <v>42647</v>
      </c>
      <c r="U457" s="279">
        <v>42654</v>
      </c>
      <c r="V457" s="279">
        <v>42678</v>
      </c>
      <c r="W457" s="293">
        <v>181.54</v>
      </c>
      <c r="X457" s="236">
        <v>9296</v>
      </c>
      <c r="AF457" s="276">
        <f t="shared" si="33"/>
        <v>433.53999999999996</v>
      </c>
      <c r="AG457" s="276">
        <f t="shared" si="34"/>
        <v>181.54</v>
      </c>
      <c r="AH457" s="276">
        <f t="shared" si="35"/>
        <v>337.7912</v>
      </c>
      <c r="AI457" s="283">
        <f t="shared" si="36"/>
        <v>0.77914656087096934</v>
      </c>
    </row>
    <row r="458" spans="1:35" ht="30" x14ac:dyDescent="0.25">
      <c r="A458" s="275">
        <f>'Profits 2016'!A5668</f>
        <v>3004461</v>
      </c>
      <c r="B458" s="279">
        <f>'Profits 2016'!B5668</f>
        <v>42633</v>
      </c>
      <c r="C458" s="276">
        <f>'Profits 2016'!H5668</f>
        <v>257.17</v>
      </c>
      <c r="D458" s="280">
        <f>'Profits 2016'!K5668</f>
        <v>228.83847000000003</v>
      </c>
      <c r="E458" s="276">
        <f>'Profits 2016'!L5668</f>
        <v>510</v>
      </c>
      <c r="F458" s="275" t="str">
        <f>'Profits 2016'!P5668</f>
        <v>Nassau</v>
      </c>
      <c r="G458" s="292">
        <f>'Profits 2016'!N5668-'Profits 2016'!M5668</f>
        <v>140.25</v>
      </c>
      <c r="H458" s="319"/>
      <c r="I458" s="320"/>
      <c r="J458" s="321"/>
      <c r="K458" s="321"/>
      <c r="L458" s="321"/>
      <c r="M458" s="319"/>
      <c r="N458" s="322"/>
      <c r="O458" s="236" t="str">
        <f>'Profits 2016'!T5668</f>
        <v>FEDEX GROUND</v>
      </c>
      <c r="P458" s="284" t="str">
        <f>'Profits 2016'!U5668</f>
        <v>680483360120</v>
      </c>
      <c r="Q458" s="284" t="s">
        <v>314</v>
      </c>
      <c r="R458" s="276">
        <v>45.86</v>
      </c>
      <c r="S458" s="275" t="s">
        <v>15738</v>
      </c>
      <c r="T458" s="279">
        <v>42653</v>
      </c>
      <c r="U458" s="279">
        <v>42656</v>
      </c>
      <c r="V458" s="340">
        <v>42664</v>
      </c>
      <c r="W458" s="350">
        <f>R458</f>
        <v>45.86</v>
      </c>
      <c r="X458" s="347">
        <v>9215</v>
      </c>
      <c r="AF458" s="276">
        <f t="shared" si="33"/>
        <v>186.11</v>
      </c>
      <c r="AG458" s="276">
        <f t="shared" si="34"/>
        <v>45.86</v>
      </c>
      <c r="AH458" s="276">
        <f t="shared" si="35"/>
        <v>182.97847000000002</v>
      </c>
      <c r="AI458" s="283">
        <f t="shared" si="36"/>
        <v>0.98317376820160118</v>
      </c>
    </row>
    <row r="459" spans="1:35" ht="30" x14ac:dyDescent="0.25">
      <c r="A459" s="275">
        <f>'Profits 2016'!A5669</f>
        <v>3004462</v>
      </c>
      <c r="B459" s="279">
        <f>'Profits 2016'!B5669</f>
        <v>42633</v>
      </c>
      <c r="C459" s="276">
        <f>'Profits 2016'!H5669</f>
        <v>168.27</v>
      </c>
      <c r="D459" s="280">
        <f>'Profits 2016'!K5669</f>
        <v>149.62857</v>
      </c>
      <c r="E459" s="276">
        <f>'Profits 2016'!L5669</f>
        <v>300</v>
      </c>
      <c r="F459" s="275" t="str">
        <f>'Profits 2016'!P5669</f>
        <v>Nassau</v>
      </c>
      <c r="G459" s="292">
        <f>'Profits 2016'!N5669-'Profits 2016'!M5669</f>
        <v>75</v>
      </c>
      <c r="H459" s="319"/>
      <c r="I459" s="320"/>
      <c r="J459" s="321"/>
      <c r="K459" s="321"/>
      <c r="L459" s="321"/>
      <c r="M459" s="319"/>
      <c r="N459" s="322"/>
      <c r="O459" s="236" t="str">
        <f>'Profits 2016'!T5669</f>
        <v>FEDEX GROUND</v>
      </c>
      <c r="P459" s="284" t="str">
        <f>'Profits 2016'!U5669</f>
        <v>680483360174</v>
      </c>
      <c r="Q459" s="284" t="s">
        <v>314</v>
      </c>
      <c r="R459" s="276">
        <v>19.84</v>
      </c>
      <c r="S459" s="275" t="s">
        <v>15744</v>
      </c>
      <c r="T459" s="279">
        <v>42646</v>
      </c>
      <c r="U459" s="279">
        <v>42653</v>
      </c>
      <c r="V459" s="279">
        <v>42657</v>
      </c>
      <c r="W459" s="293">
        <v>0</v>
      </c>
      <c r="X459" s="236">
        <v>9174</v>
      </c>
      <c r="AF459" s="276">
        <f t="shared" si="33"/>
        <v>94.84</v>
      </c>
      <c r="AG459" s="276">
        <f t="shared" si="34"/>
        <v>19.84</v>
      </c>
      <c r="AH459" s="276">
        <f t="shared" si="35"/>
        <v>129.78856999999999</v>
      </c>
      <c r="AI459" s="283">
        <f t="shared" si="36"/>
        <v>1.3685003163222267</v>
      </c>
    </row>
    <row r="460" spans="1:35" ht="30" x14ac:dyDescent="0.25">
      <c r="A460" s="275">
        <f>'Profits 2016'!A5670</f>
        <v>3004463</v>
      </c>
      <c r="B460" s="279">
        <f>'Profits 2016'!B5670</f>
        <v>42633</v>
      </c>
      <c r="C460" s="276">
        <f>'Profits 2016'!H5670</f>
        <v>126.71</v>
      </c>
      <c r="D460" s="280">
        <f>'Profits 2016'!K5670</f>
        <v>107.70349999999999</v>
      </c>
      <c r="E460" s="276">
        <f>'Profits 2016'!L5670</f>
        <v>698</v>
      </c>
      <c r="F460" s="275" t="str">
        <f>'Profits 2016'!P5670</f>
        <v>Nassau</v>
      </c>
      <c r="G460" s="292">
        <f>'Profits 2016'!N5670-'Profits 2016'!M5670</f>
        <v>52.350000000000009</v>
      </c>
      <c r="H460" s="319"/>
      <c r="I460" s="320"/>
      <c r="J460" s="321"/>
      <c r="K460" s="321"/>
      <c r="L460" s="321"/>
      <c r="M460" s="319"/>
      <c r="N460" s="322"/>
      <c r="O460" s="236" t="str">
        <f>'Profits 2016'!T5670</f>
        <v>FEDEX GROUND</v>
      </c>
      <c r="P460" s="284" t="str">
        <f>'Profits 2016'!U5670</f>
        <v xml:space="preserve">	702723288462</v>
      </c>
      <c r="Q460" s="284" t="s">
        <v>314</v>
      </c>
      <c r="R460" s="276">
        <v>13.91</v>
      </c>
      <c r="S460" s="275" t="s">
        <v>15744</v>
      </c>
      <c r="T460" s="279">
        <v>42646</v>
      </c>
      <c r="U460" s="279">
        <v>42653</v>
      </c>
      <c r="V460" s="279">
        <v>42657</v>
      </c>
      <c r="W460" s="293">
        <v>0</v>
      </c>
      <c r="X460" s="236">
        <v>9174</v>
      </c>
      <c r="AF460" s="276">
        <f t="shared" si="33"/>
        <v>66.260000000000005</v>
      </c>
      <c r="AG460" s="276">
        <f t="shared" si="34"/>
        <v>13.91</v>
      </c>
      <c r="AH460" s="276">
        <f t="shared" si="35"/>
        <v>93.793499999999995</v>
      </c>
      <c r="AI460" s="283">
        <f t="shared" si="36"/>
        <v>1.4155372773920916</v>
      </c>
    </row>
    <row r="461" spans="1:35" ht="30" x14ac:dyDescent="0.25">
      <c r="A461" s="275">
        <f>'Profits 2016'!A5671</f>
        <v>3004464</v>
      </c>
      <c r="B461" s="279">
        <f>'Profits 2016'!B5671</f>
        <v>42633</v>
      </c>
      <c r="C461" s="276">
        <f>'Profits 2016'!H5671</f>
        <v>359.27</v>
      </c>
      <c r="D461" s="280">
        <f>'Profits 2016'!K5671</f>
        <v>305.37950000000001</v>
      </c>
      <c r="E461" s="276">
        <f>'Profits 2016'!L5671</f>
        <v>577</v>
      </c>
      <c r="F461" s="275" t="str">
        <f>'Profits 2016'!P5671</f>
        <v>Nassau</v>
      </c>
      <c r="G461" s="292">
        <f>'Profits 2016'!N5671-'Profits 2016'!M5671</f>
        <v>173.1</v>
      </c>
      <c r="H461" s="319"/>
      <c r="I461" s="320"/>
      <c r="J461" s="321"/>
      <c r="K461" s="321"/>
      <c r="L461" s="321"/>
      <c r="M461" s="319"/>
      <c r="N461" s="322"/>
      <c r="O461" s="236" t="str">
        <f>'Profits 2016'!T5671</f>
        <v>FEDEX GROUND</v>
      </c>
      <c r="P461" s="284" t="str">
        <f>'Profits 2016'!U5671</f>
        <v>702723288451</v>
      </c>
      <c r="Q461" s="284" t="s">
        <v>314</v>
      </c>
      <c r="R461" s="276">
        <v>42.72</v>
      </c>
      <c r="S461" s="275" t="s">
        <v>15738</v>
      </c>
      <c r="T461" s="279">
        <v>42653</v>
      </c>
      <c r="U461" s="279">
        <v>42656</v>
      </c>
      <c r="V461" s="340">
        <v>42664</v>
      </c>
      <c r="W461" s="350">
        <f>R461</f>
        <v>42.72</v>
      </c>
      <c r="X461" s="347">
        <v>9215</v>
      </c>
      <c r="AF461" s="276">
        <f t="shared" si="33"/>
        <v>215.82</v>
      </c>
      <c r="AG461" s="276">
        <f t="shared" si="34"/>
        <v>42.72</v>
      </c>
      <c r="AH461" s="276">
        <f t="shared" si="35"/>
        <v>262.65949999999998</v>
      </c>
      <c r="AI461" s="283">
        <f t="shared" si="36"/>
        <v>1.2170303957001205</v>
      </c>
    </row>
    <row r="462" spans="1:35" ht="30" x14ac:dyDescent="0.25">
      <c r="A462" s="275">
        <f>'Profits 2016'!A5672</f>
        <v>3004465</v>
      </c>
      <c r="B462" s="279">
        <f>'Profits 2016'!B5672</f>
        <v>42633</v>
      </c>
      <c r="C462" s="276">
        <f>'Profits 2016'!H5672</f>
        <v>296.01</v>
      </c>
      <c r="D462" s="280">
        <f>'Profits 2016'!K5672</f>
        <v>251.60849999999999</v>
      </c>
      <c r="E462" s="276">
        <f>'Profits 2016'!L5672</f>
        <v>395</v>
      </c>
      <c r="F462" s="275" t="str">
        <f>'Profits 2016'!P5672</f>
        <v>Nassau</v>
      </c>
      <c r="G462" s="292">
        <f>'Profits 2016'!N5672-'Profits 2016'!M5672</f>
        <v>197.5</v>
      </c>
      <c r="H462" s="319"/>
      <c r="I462" s="320"/>
      <c r="J462" s="321"/>
      <c r="K462" s="321"/>
      <c r="L462" s="321"/>
      <c r="M462" s="319"/>
      <c r="N462" s="322"/>
      <c r="O462" s="236" t="str">
        <f>'Profits 2016'!T5672</f>
        <v>FEDEX GROUND</v>
      </c>
      <c r="P462" s="284" t="str">
        <f>'Profits 2016'!U5672</f>
        <v>702723288440</v>
      </c>
      <c r="Q462" s="284" t="s">
        <v>314</v>
      </c>
      <c r="R462" s="276">
        <v>42.22</v>
      </c>
      <c r="S462" s="275" t="s">
        <v>15744</v>
      </c>
      <c r="T462" s="279">
        <v>42646</v>
      </c>
      <c r="U462" s="279">
        <v>42653</v>
      </c>
      <c r="AF462" s="276">
        <f t="shared" si="33"/>
        <v>239.72</v>
      </c>
      <c r="AG462" s="276">
        <f t="shared" si="34"/>
        <v>42.22</v>
      </c>
      <c r="AH462" s="276">
        <f t="shared" si="35"/>
        <v>209.38849999999999</v>
      </c>
      <c r="AI462" s="283">
        <f t="shared" si="36"/>
        <v>0.87347113298848655</v>
      </c>
    </row>
    <row r="463" spans="1:35" ht="30" x14ac:dyDescent="0.25">
      <c r="A463" s="275">
        <f>'Profits 2016'!A5673</f>
        <v>3004466</v>
      </c>
      <c r="B463" s="279">
        <f>'Profits 2016'!B5673</f>
        <v>42633</v>
      </c>
      <c r="C463" s="276">
        <f>'Profits 2016'!H5673</f>
        <v>187.8</v>
      </c>
      <c r="D463" s="280">
        <f>'Profits 2016'!K5673</f>
        <v>159.63</v>
      </c>
      <c r="E463" s="276">
        <f>'Profits 2016'!L5673</f>
        <v>1450</v>
      </c>
      <c r="F463" s="275" t="str">
        <f>'Profits 2016'!P5673</f>
        <v>Direct</v>
      </c>
      <c r="G463" s="292">
        <f>'Profits 2016'!N5673-'Profits 2016'!M5673</f>
        <v>36.25</v>
      </c>
      <c r="H463" s="292">
        <v>0</v>
      </c>
      <c r="I463" s="275">
        <v>73048</v>
      </c>
      <c r="J463" s="277">
        <v>42635</v>
      </c>
      <c r="K463" s="277">
        <v>42639</v>
      </c>
      <c r="L463" s="277">
        <v>42643</v>
      </c>
      <c r="M463" s="292">
        <v>71.540000000000006</v>
      </c>
      <c r="N463" s="281">
        <v>9026</v>
      </c>
      <c r="O463" s="236" t="str">
        <f>'Profits 2016'!T5673</f>
        <v>FEDEX GROUND</v>
      </c>
      <c r="P463" s="284" t="str">
        <f>'Profits 2016'!U5673</f>
        <v>639794969511</v>
      </c>
      <c r="Q463" s="284" t="s">
        <v>314</v>
      </c>
      <c r="R463" s="276">
        <v>44.25</v>
      </c>
      <c r="S463" s="275" t="s">
        <v>15786</v>
      </c>
      <c r="T463" s="279">
        <v>42647</v>
      </c>
      <c r="U463" s="279">
        <v>42654</v>
      </c>
      <c r="V463" s="279">
        <v>42657</v>
      </c>
      <c r="W463" s="293">
        <v>44.25</v>
      </c>
      <c r="X463" s="236">
        <v>9176</v>
      </c>
      <c r="Y463" s="276">
        <v>34.11</v>
      </c>
      <c r="Z463" s="236" t="s">
        <v>15787</v>
      </c>
      <c r="AA463" s="279">
        <v>42681</v>
      </c>
      <c r="AB463" s="279">
        <v>42688</v>
      </c>
      <c r="AC463" s="279">
        <v>42692</v>
      </c>
      <c r="AD463" s="293">
        <v>34.11</v>
      </c>
      <c r="AE463" s="282">
        <v>9443</v>
      </c>
      <c r="AF463" s="276">
        <f t="shared" si="33"/>
        <v>114.61</v>
      </c>
      <c r="AG463" s="276">
        <f t="shared" si="34"/>
        <v>149.9</v>
      </c>
      <c r="AH463" s="276">
        <f t="shared" si="35"/>
        <v>9.7299999999999898</v>
      </c>
      <c r="AI463" s="283">
        <f t="shared" si="36"/>
        <v>8.4896605880813103E-2</v>
      </c>
    </row>
    <row r="464" spans="1:35" x14ac:dyDescent="0.25">
      <c r="A464" s="275">
        <f>'Profits 2016'!A5674</f>
        <v>0</v>
      </c>
      <c r="B464" s="279">
        <f>'Profits 2016'!B5674</f>
        <v>0</v>
      </c>
      <c r="C464" s="276">
        <f>'Profits 2016'!H5674</f>
        <v>0</v>
      </c>
      <c r="D464" s="280">
        <f>'Profits 2016'!K5674</f>
        <v>0</v>
      </c>
      <c r="E464" s="276">
        <f>'Profits 2016'!L5674</f>
        <v>1470</v>
      </c>
      <c r="F464" s="275" t="str">
        <f>'Profits 2016'!P5674</f>
        <v>Direct</v>
      </c>
      <c r="G464" s="292">
        <f>'Profits 2016'!N5674-'Profits 2016'!M5674</f>
        <v>36.75</v>
      </c>
      <c r="H464" s="292">
        <v>0</v>
      </c>
      <c r="I464" s="275">
        <v>73048</v>
      </c>
      <c r="J464" s="277">
        <v>42635</v>
      </c>
      <c r="K464" s="277">
        <v>42639</v>
      </c>
      <c r="L464" s="277">
        <v>42643</v>
      </c>
      <c r="M464" s="292">
        <v>0</v>
      </c>
      <c r="N464" s="281">
        <v>9026</v>
      </c>
      <c r="O464" s="236">
        <f>'Profits 2016'!T5674</f>
        <v>0</v>
      </c>
      <c r="P464" s="284">
        <f>'Profits 2016'!U5674</f>
        <v>0</v>
      </c>
      <c r="Q464" s="284" t="s">
        <v>314</v>
      </c>
      <c r="R464" s="276">
        <v>44.25</v>
      </c>
      <c r="S464" s="275" t="s">
        <v>15786</v>
      </c>
      <c r="T464" s="279">
        <v>42647</v>
      </c>
      <c r="U464" s="279">
        <v>42654</v>
      </c>
      <c r="V464" s="279">
        <v>42657</v>
      </c>
      <c r="W464" s="293">
        <v>0</v>
      </c>
      <c r="X464" s="236">
        <v>9176</v>
      </c>
      <c r="AF464" s="276">
        <f t="shared" si="33"/>
        <v>81</v>
      </c>
      <c r="AG464" s="276">
        <f t="shared" si="34"/>
        <v>44.25</v>
      </c>
      <c r="AH464" s="276">
        <f t="shared" si="35"/>
        <v>-44.25</v>
      </c>
      <c r="AI464" s="283">
        <f t="shared" si="36"/>
        <v>-0.54629629629629628</v>
      </c>
    </row>
    <row r="465" spans="1:35" ht="30" x14ac:dyDescent="0.25">
      <c r="A465" s="275">
        <f>'Profits 2016'!A5675</f>
        <v>3004467</v>
      </c>
      <c r="B465" s="279">
        <f>'Profits 2016'!B5675</f>
        <v>42633</v>
      </c>
      <c r="C465" s="276">
        <f>'Profits 2016'!H5675</f>
        <v>234</v>
      </c>
      <c r="D465" s="280">
        <f>'Profits 2016'!K5675</f>
        <v>198.9</v>
      </c>
      <c r="E465" s="276">
        <f>'Profits 2016'!L5675</f>
        <v>1322</v>
      </c>
      <c r="F465" s="275" t="str">
        <f>'Profits 2016'!P5675</f>
        <v>Thea</v>
      </c>
      <c r="G465" s="292">
        <f>'Profits 2016'!N5675-'Profits 2016'!M5675</f>
        <v>132.20000000000002</v>
      </c>
      <c r="H465" s="319"/>
      <c r="I465" s="320"/>
      <c r="J465" s="321"/>
      <c r="K465" s="321"/>
      <c r="L465" s="321"/>
      <c r="M465" s="319"/>
      <c r="N465" s="322"/>
      <c r="O465" s="236" t="str">
        <f>'Profits 2016'!T5675</f>
        <v>FEDEX GROUND</v>
      </c>
      <c r="P465" s="284">
        <f>'Profits 2016'!U5675</f>
        <v>675157529960</v>
      </c>
      <c r="Q465" s="284" t="s">
        <v>314</v>
      </c>
      <c r="R465" s="276">
        <v>28</v>
      </c>
      <c r="S465" s="275" t="s">
        <v>15738</v>
      </c>
      <c r="T465" s="279">
        <v>42653</v>
      </c>
      <c r="U465" s="279">
        <v>42656</v>
      </c>
      <c r="V465" s="340">
        <v>42664</v>
      </c>
      <c r="W465" s="350">
        <f>R465</f>
        <v>28</v>
      </c>
      <c r="X465" s="347">
        <v>9215</v>
      </c>
      <c r="AF465" s="276">
        <f t="shared" si="33"/>
        <v>160.20000000000002</v>
      </c>
      <c r="AG465" s="276">
        <f t="shared" si="34"/>
        <v>28</v>
      </c>
      <c r="AH465" s="276">
        <f t="shared" si="35"/>
        <v>170.9</v>
      </c>
      <c r="AI465" s="283">
        <f t="shared" si="36"/>
        <v>1.0667915106117352</v>
      </c>
    </row>
    <row r="466" spans="1:35" ht="30" x14ac:dyDescent="0.25">
      <c r="A466" s="275">
        <f>'Profits 2016'!A5676</f>
        <v>3004468</v>
      </c>
      <c r="B466" s="279">
        <f>'Profits 2016'!B5676</f>
        <v>42633</v>
      </c>
      <c r="C466" s="276">
        <f>'Profits 2016'!H5676</f>
        <v>180</v>
      </c>
      <c r="D466" s="280">
        <f>'Profits 2016'!K5676</f>
        <v>153</v>
      </c>
      <c r="E466" s="276">
        <f>'Profits 2016'!L5676</f>
        <v>672</v>
      </c>
      <c r="F466" s="275" t="str">
        <f>'Profits 2016'!P5676</f>
        <v>Houston</v>
      </c>
      <c r="G466" s="292">
        <f>'Profits 2016'!N5676-'Profits 2016'!M5676</f>
        <v>100.8</v>
      </c>
      <c r="H466" s="292">
        <v>0</v>
      </c>
      <c r="I466" s="275">
        <v>30902016</v>
      </c>
      <c r="J466" s="277">
        <v>42634</v>
      </c>
      <c r="K466" s="277">
        <v>42639</v>
      </c>
      <c r="L466" s="277">
        <v>42664</v>
      </c>
      <c r="M466" s="292">
        <v>100.8</v>
      </c>
      <c r="N466" s="281">
        <v>9234</v>
      </c>
      <c r="O466" s="236" t="str">
        <f>'Profits 2016'!T5676</f>
        <v>FEDEX GROUND</v>
      </c>
      <c r="P466" s="284" t="str">
        <f>'Profits 2016'!U5676</f>
        <v>701849703382</v>
      </c>
      <c r="Q466" s="284" t="s">
        <v>314</v>
      </c>
      <c r="R466" s="276">
        <v>24.34</v>
      </c>
      <c r="S466" s="275" t="s">
        <v>15744</v>
      </c>
      <c r="T466" s="279">
        <v>42646</v>
      </c>
      <c r="U466" s="279">
        <v>42653</v>
      </c>
      <c r="V466" s="279">
        <v>42657</v>
      </c>
      <c r="W466" s="293">
        <v>0</v>
      </c>
      <c r="X466" s="236">
        <v>9174</v>
      </c>
      <c r="AF466" s="276">
        <f t="shared" si="33"/>
        <v>125.14</v>
      </c>
      <c r="AG466" s="276">
        <f t="shared" si="34"/>
        <v>125.14</v>
      </c>
      <c r="AH466" s="276">
        <f t="shared" si="35"/>
        <v>27.86</v>
      </c>
      <c r="AI466" s="283">
        <f t="shared" si="36"/>
        <v>0.22263065366789195</v>
      </c>
    </row>
    <row r="467" spans="1:35" ht="30" x14ac:dyDescent="0.25">
      <c r="A467" s="275">
        <f>'Profits 2016'!A5677</f>
        <v>3004469</v>
      </c>
      <c r="B467" s="279">
        <f>'Profits 2016'!B5677</f>
        <v>42633</v>
      </c>
      <c r="C467" s="276">
        <f>'Profits 2016'!H5677</f>
        <v>148</v>
      </c>
      <c r="D467" s="280">
        <f>'Profits 2016'!K5677</f>
        <v>144.44399999999999</v>
      </c>
      <c r="E467" s="276">
        <f>'Profits 2016'!L5677</f>
        <v>905</v>
      </c>
      <c r="F467" s="275" t="str">
        <f>'Profits 2016'!P5677</f>
        <v>Priority</v>
      </c>
      <c r="G467" s="292">
        <f>'Profits 2016'!N5677-'Profits 2016'!M5677</f>
        <v>92.31</v>
      </c>
      <c r="H467" s="292">
        <v>0</v>
      </c>
      <c r="I467" s="275">
        <v>1058213</v>
      </c>
      <c r="J467" s="277">
        <v>42635</v>
      </c>
      <c r="K467" s="277">
        <v>42642</v>
      </c>
      <c r="L467" s="277">
        <v>42664</v>
      </c>
      <c r="M467" s="292">
        <v>92.31</v>
      </c>
      <c r="N467" s="281">
        <v>9223</v>
      </c>
      <c r="O467" s="236" t="str">
        <f>'Profits 2016'!T5677</f>
        <v>FEDEX GROUND</v>
      </c>
      <c r="P467" s="284" t="str">
        <f>'Profits 2016'!U5677</f>
        <v>700044012090</v>
      </c>
      <c r="Q467" s="284" t="s">
        <v>15740</v>
      </c>
      <c r="R467" s="276">
        <v>20.9</v>
      </c>
      <c r="S467" s="358">
        <v>1058213</v>
      </c>
      <c r="T467" s="279">
        <v>42635</v>
      </c>
      <c r="U467" s="279">
        <v>42642</v>
      </c>
      <c r="V467" s="279">
        <v>42664</v>
      </c>
      <c r="W467" s="293">
        <v>20.9</v>
      </c>
      <c r="X467" s="236">
        <v>9223</v>
      </c>
      <c r="AF467" s="276">
        <f t="shared" si="33"/>
        <v>113.21000000000001</v>
      </c>
      <c r="AG467" s="276">
        <f t="shared" si="34"/>
        <v>113.21000000000001</v>
      </c>
      <c r="AH467" s="276">
        <f t="shared" si="35"/>
        <v>31.23399999999998</v>
      </c>
      <c r="AI467" s="283">
        <f t="shared" si="36"/>
        <v>0.27589435562229464</v>
      </c>
    </row>
    <row r="468" spans="1:35" ht="45" x14ac:dyDescent="0.25">
      <c r="A468" s="275">
        <f>'Profits 2016'!A5678</f>
        <v>3004470</v>
      </c>
      <c r="B468" s="279">
        <f>'Profits 2016'!B5678</f>
        <v>42633</v>
      </c>
      <c r="C468" s="276">
        <f>'Profits 2016'!H5678</f>
        <v>19600</v>
      </c>
      <c r="D468" s="280">
        <f>'Profits 2016'!K5678</f>
        <v>18962.7</v>
      </c>
      <c r="E468" s="276">
        <f>'Profits 2016'!L5678</f>
        <v>4210</v>
      </c>
      <c r="F468" s="275" t="str">
        <f>'Profits 2016'!P5678</f>
        <v>Robertson</v>
      </c>
      <c r="G468" s="292">
        <f>'Profits 2016'!N5678-'Profits 2016'!M5678</f>
        <v>16877.890000000003</v>
      </c>
      <c r="H468" s="292">
        <v>0</v>
      </c>
      <c r="I468" s="275">
        <v>1143704</v>
      </c>
      <c r="J468" s="277">
        <v>42636</v>
      </c>
      <c r="K468" s="277">
        <v>42639</v>
      </c>
      <c r="L468" s="277">
        <v>42643</v>
      </c>
      <c r="M468" s="292">
        <v>16540.330000000002</v>
      </c>
      <c r="N468" s="281">
        <v>9049</v>
      </c>
      <c r="O468" s="236" t="str">
        <f>'Profits 2016'!T5678</f>
        <v>MEYERS TRANSPORT</v>
      </c>
      <c r="P468" s="284" t="str">
        <f>'Profits 2016'!U5678</f>
        <v>1271882933</v>
      </c>
      <c r="S468" s="358"/>
      <c r="AF468" s="276">
        <f t="shared" si="33"/>
        <v>16877.890000000003</v>
      </c>
      <c r="AG468" s="276">
        <f t="shared" si="34"/>
        <v>16540.330000000002</v>
      </c>
      <c r="AH468" s="276">
        <f t="shared" si="35"/>
        <v>2422.369999999999</v>
      </c>
      <c r="AI468" s="283">
        <f t="shared" si="36"/>
        <v>0.14352327216257474</v>
      </c>
    </row>
    <row r="469" spans="1:35" ht="30" x14ac:dyDescent="0.25">
      <c r="A469" s="275">
        <f>'Profits 2016'!A5679</f>
        <v>3004471</v>
      </c>
      <c r="B469" s="279">
        <f>'Profits 2016'!B5679</f>
        <v>42633</v>
      </c>
      <c r="C469" s="276">
        <f>'Profits 2016'!H5679</f>
        <v>2243.8000000000002</v>
      </c>
      <c r="D469" s="280">
        <f>'Profits 2016'!K5679</f>
        <v>2194.1364000000003</v>
      </c>
      <c r="E469" s="276">
        <f>'Profits 2016'!L5679</f>
        <v>1490</v>
      </c>
      <c r="F469" s="275" t="str">
        <f>'Profits 2016'!P5679</f>
        <v>Priority</v>
      </c>
      <c r="G469" s="292">
        <f>'Profits 2016'!N5679-'Profits 2016'!M5679</f>
        <v>1192</v>
      </c>
      <c r="H469" s="292">
        <v>0</v>
      </c>
      <c r="I469" s="275">
        <v>1058819</v>
      </c>
      <c r="J469" s="277">
        <v>42636</v>
      </c>
      <c r="K469" s="277">
        <v>42643</v>
      </c>
      <c r="L469" s="277">
        <v>42664</v>
      </c>
      <c r="M469" s="292">
        <v>1192</v>
      </c>
      <c r="N469" s="281">
        <v>9224</v>
      </c>
      <c r="O469" s="236" t="str">
        <f>'Profits 2016'!T5679</f>
        <v>Customer Pick Up</v>
      </c>
      <c r="P469" s="284" t="str">
        <f>'Profits 2016'!U5679</f>
        <v>Customer Pick Up</v>
      </c>
      <c r="S469" s="358"/>
      <c r="AF469" s="276">
        <f t="shared" si="33"/>
        <v>1192</v>
      </c>
      <c r="AG469" s="276">
        <f t="shared" si="34"/>
        <v>1192</v>
      </c>
      <c r="AH469" s="276">
        <f t="shared" si="35"/>
        <v>1002.1364000000003</v>
      </c>
      <c r="AI469" s="283">
        <f t="shared" si="36"/>
        <v>0.8407184563758392</v>
      </c>
    </row>
    <row r="470" spans="1:35" x14ac:dyDescent="0.25">
      <c r="A470" s="275">
        <f>'Profits 2016'!A5680</f>
        <v>0</v>
      </c>
      <c r="B470" s="279">
        <f>'Profits 2016'!B5680</f>
        <v>0</v>
      </c>
      <c r="C470" s="276">
        <f>'Profits 2016'!H5680</f>
        <v>0</v>
      </c>
      <c r="D470" s="280">
        <f>'Profits 2016'!K5680</f>
        <v>0</v>
      </c>
      <c r="E470" s="276">
        <f>'Profits 2016'!L5680</f>
        <v>930.23</v>
      </c>
      <c r="F470" s="275" t="str">
        <f>'Profits 2016'!P5680</f>
        <v>Service</v>
      </c>
      <c r="G470" s="292">
        <f>'Profits 2016'!N5680-'Profits 2016'!M5680</f>
        <v>399.99889999999999</v>
      </c>
      <c r="H470" s="292">
        <v>0</v>
      </c>
      <c r="I470" s="275">
        <v>50262508</v>
      </c>
      <c r="J470" s="277">
        <v>42636</v>
      </c>
      <c r="K470" s="277">
        <v>42642</v>
      </c>
      <c r="L470" s="277">
        <v>42664</v>
      </c>
      <c r="M470" s="292">
        <v>400</v>
      </c>
      <c r="N470" s="281">
        <v>9231</v>
      </c>
      <c r="O470" s="236" t="str">
        <f>'Profits 2016'!T5680</f>
        <v>ESTES</v>
      </c>
      <c r="P470" s="284" t="str">
        <f>'Profits 2016'!U5680</f>
        <v>1651405033</v>
      </c>
      <c r="S470" s="358"/>
      <c r="AF470" s="276">
        <f t="shared" si="33"/>
        <v>399.99889999999999</v>
      </c>
      <c r="AG470" s="276">
        <f t="shared" si="34"/>
        <v>400</v>
      </c>
      <c r="AH470" s="276">
        <f t="shared" si="35"/>
        <v>-400</v>
      </c>
      <c r="AI470" s="283">
        <f t="shared" si="36"/>
        <v>-1.0000027500075626</v>
      </c>
    </row>
    <row r="471" spans="1:35" ht="30" x14ac:dyDescent="0.25">
      <c r="A471" s="275">
        <f>'Profits 2016'!A5681</f>
        <v>0</v>
      </c>
      <c r="B471" s="279">
        <f>'Profits 2016'!B5681</f>
        <v>0</v>
      </c>
      <c r="C471" s="276">
        <f>'Profits 2016'!H5681</f>
        <v>0</v>
      </c>
      <c r="D471" s="280">
        <f>'Profits 2016'!K5681</f>
        <v>0</v>
      </c>
      <c r="E471" s="276">
        <f>'Profits 2016'!L5681</f>
        <v>610</v>
      </c>
      <c r="F471" s="275" t="str">
        <f>'Profits 2016'!P5681</f>
        <v>Priority</v>
      </c>
      <c r="G471" s="292">
        <f>'Profits 2016'!N5681-'Profits 2016'!M5681</f>
        <v>183</v>
      </c>
      <c r="H471" s="292">
        <v>0</v>
      </c>
      <c r="I471" s="275">
        <v>1058819</v>
      </c>
      <c r="J471" s="277">
        <v>42636</v>
      </c>
      <c r="K471" s="277">
        <v>42643</v>
      </c>
      <c r="L471" s="277">
        <v>42664</v>
      </c>
      <c r="M471" s="292">
        <v>183</v>
      </c>
      <c r="N471" s="281">
        <v>9224</v>
      </c>
      <c r="O471" s="236" t="str">
        <f>'Profits 2016'!T5681</f>
        <v>Customer Pick Up</v>
      </c>
      <c r="P471" s="284" t="str">
        <f>'Profits 2016'!U5681</f>
        <v>Customer Pick Up</v>
      </c>
      <c r="S471" s="358"/>
      <c r="AF471" s="276">
        <f t="shared" si="33"/>
        <v>183</v>
      </c>
      <c r="AG471" s="276">
        <f t="shared" si="34"/>
        <v>183</v>
      </c>
      <c r="AH471" s="276">
        <f t="shared" si="35"/>
        <v>-183</v>
      </c>
      <c r="AI471" s="283">
        <f t="shared" si="36"/>
        <v>-1</v>
      </c>
    </row>
    <row r="472" spans="1:35" ht="30" x14ac:dyDescent="0.25">
      <c r="A472" s="275">
        <f>'Profits 2016'!A5682</f>
        <v>3004472</v>
      </c>
      <c r="B472" s="279">
        <f>'Profits 2016'!B5682</f>
        <v>42633</v>
      </c>
      <c r="C472" s="276">
        <f>'Profits 2016'!H5682</f>
        <v>567.33000000000004</v>
      </c>
      <c r="D472" s="280">
        <f>'Profits 2016'!K5682</f>
        <v>505.19103000000001</v>
      </c>
      <c r="E472" s="276">
        <f>'Profits 2016'!L5682</f>
        <v>1120</v>
      </c>
      <c r="F472" s="275" t="str">
        <f>'Profits 2016'!P5682</f>
        <v>A-Z</v>
      </c>
      <c r="G472" s="292">
        <f>'Profits 2016'!N5682-'Profits 2016'!M5682</f>
        <v>280</v>
      </c>
      <c r="H472" s="292">
        <v>0</v>
      </c>
      <c r="I472" s="275">
        <v>402144</v>
      </c>
      <c r="J472" s="277">
        <v>42635</v>
      </c>
      <c r="K472" s="277">
        <v>42639</v>
      </c>
      <c r="L472" s="277">
        <v>42678</v>
      </c>
      <c r="M472" s="292">
        <v>280</v>
      </c>
      <c r="N472" s="281">
        <v>9282</v>
      </c>
      <c r="O472" s="236" t="str">
        <f>'Profits 2016'!T5682</f>
        <v>FEDEX GROUND</v>
      </c>
      <c r="P472" s="284" t="str">
        <f>'Profits 2016'!U5682</f>
        <v>667087321196</v>
      </c>
      <c r="Q472" s="284" t="s">
        <v>314</v>
      </c>
      <c r="R472" s="276">
        <v>46.79</v>
      </c>
      <c r="S472" s="358" t="s">
        <v>15744</v>
      </c>
      <c r="T472" s="279">
        <v>42646</v>
      </c>
      <c r="U472" s="279">
        <v>42653</v>
      </c>
      <c r="V472" s="279">
        <v>42657</v>
      </c>
      <c r="W472" s="293">
        <v>0</v>
      </c>
      <c r="X472" s="236">
        <v>9174</v>
      </c>
      <c r="AF472" s="276">
        <f t="shared" si="33"/>
        <v>326.79000000000002</v>
      </c>
      <c r="AG472" s="276">
        <f t="shared" si="34"/>
        <v>326.79000000000002</v>
      </c>
      <c r="AH472" s="276">
        <f t="shared" si="35"/>
        <v>178.40102999999999</v>
      </c>
      <c r="AI472" s="283">
        <f t="shared" si="36"/>
        <v>0.54591948958046443</v>
      </c>
    </row>
    <row r="473" spans="1:35" ht="30" x14ac:dyDescent="0.25">
      <c r="A473" s="275">
        <f>'Profits 2016'!A5683</f>
        <v>3004473</v>
      </c>
      <c r="B473" s="279">
        <f>'Profits 2016'!B5683</f>
        <v>42633</v>
      </c>
      <c r="C473" s="276">
        <f>'Profits 2016'!H5683</f>
        <v>136.78</v>
      </c>
      <c r="D473" s="280">
        <f>'Profits 2016'!K5683</f>
        <v>116.26300000000001</v>
      </c>
      <c r="E473" s="276">
        <f>'Profits 2016'!L5683</f>
        <v>577</v>
      </c>
      <c r="F473" s="275" t="str">
        <f>'Profits 2016'!P5683</f>
        <v>Nassau</v>
      </c>
      <c r="G473" s="292">
        <f>'Profits 2016'!N5683-'Profits 2016'!M5683</f>
        <v>57.7</v>
      </c>
      <c r="H473" s="319"/>
      <c r="I473" s="320"/>
      <c r="J473" s="321"/>
      <c r="K473" s="321"/>
      <c r="L473" s="321"/>
      <c r="M473" s="319"/>
      <c r="N473" s="322"/>
      <c r="O473" s="236" t="str">
        <f>'Profits 2016'!T5683</f>
        <v>FEDEX GROUND</v>
      </c>
      <c r="P473" s="284" t="str">
        <f>'Profits 2016'!U5683</f>
        <v>702723288473</v>
      </c>
      <c r="Q473" s="284" t="s">
        <v>314</v>
      </c>
      <c r="R473" s="276">
        <v>23.64</v>
      </c>
      <c r="S473" s="358" t="s">
        <v>15744</v>
      </c>
      <c r="T473" s="279">
        <v>42646</v>
      </c>
      <c r="U473" s="279">
        <v>42653</v>
      </c>
      <c r="V473" s="279">
        <v>42657</v>
      </c>
      <c r="W473" s="293">
        <v>0</v>
      </c>
      <c r="X473" s="236">
        <v>9174</v>
      </c>
      <c r="AF473" s="276">
        <f t="shared" si="33"/>
        <v>81.34</v>
      </c>
      <c r="AG473" s="276">
        <f t="shared" si="34"/>
        <v>23.64</v>
      </c>
      <c r="AH473" s="276">
        <f t="shared" si="35"/>
        <v>92.623000000000005</v>
      </c>
      <c r="AI473" s="283">
        <f t="shared" si="36"/>
        <v>1.1387140398328006</v>
      </c>
    </row>
    <row r="474" spans="1:35" ht="30" x14ac:dyDescent="0.25">
      <c r="A474" s="275">
        <f>'Profits 2016'!A5684</f>
        <v>3004474</v>
      </c>
      <c r="B474" s="279">
        <f>'Profits 2016'!B5684</f>
        <v>42633</v>
      </c>
      <c r="C474" s="276">
        <f>'Profits 2016'!H5684</f>
        <v>167.37</v>
      </c>
      <c r="D474" s="280">
        <f>'Profits 2016'!K5684</f>
        <v>148.82667000000001</v>
      </c>
      <c r="E474" s="276">
        <f>'Profits 2016'!L5684</f>
        <v>919</v>
      </c>
      <c r="F474" s="275" t="str">
        <f>'Profits 2016'!P5684</f>
        <v>Priority</v>
      </c>
      <c r="G474" s="292">
        <f>'Profits 2016'!N5684-'Profits 2016'!M5684</f>
        <v>97.414000000000001</v>
      </c>
      <c r="H474" s="292">
        <v>0</v>
      </c>
      <c r="I474" s="275">
        <v>1058180</v>
      </c>
      <c r="J474" s="277">
        <v>42635</v>
      </c>
      <c r="K474" s="277">
        <v>42642</v>
      </c>
      <c r="L474" s="277">
        <v>42664</v>
      </c>
      <c r="M474" s="292">
        <v>97.41</v>
      </c>
      <c r="N474" s="281">
        <v>9223</v>
      </c>
      <c r="O474" s="236" t="str">
        <f>'Profits 2016'!T5684</f>
        <v>FEDEX GROUND</v>
      </c>
      <c r="P474" s="284" t="str">
        <f>'Profits 2016'!U5684</f>
        <v xml:space="preserve">	703688860490</v>
      </c>
      <c r="Q474" s="284" t="s">
        <v>15740</v>
      </c>
      <c r="R474" s="276">
        <v>19.25</v>
      </c>
      <c r="S474" s="358">
        <v>1058180</v>
      </c>
      <c r="T474" s="279">
        <v>42635</v>
      </c>
      <c r="U474" s="279">
        <v>42642</v>
      </c>
      <c r="V474" s="279">
        <v>42664</v>
      </c>
      <c r="W474" s="293">
        <v>1.25</v>
      </c>
      <c r="X474" s="236">
        <v>9223</v>
      </c>
      <c r="AF474" s="276">
        <f t="shared" si="33"/>
        <v>116.664</v>
      </c>
      <c r="AG474" s="276">
        <f t="shared" si="34"/>
        <v>116.66</v>
      </c>
      <c r="AH474" s="276">
        <f t="shared" si="35"/>
        <v>32.166670000000011</v>
      </c>
      <c r="AI474" s="283">
        <f t="shared" si="36"/>
        <v>0.27572061647123369</v>
      </c>
    </row>
    <row r="475" spans="1:35" ht="30" x14ac:dyDescent="0.25">
      <c r="A475" s="275">
        <f>'Profits 2016'!A5685</f>
        <v>3004475</v>
      </c>
      <c r="B475" s="279">
        <f>'Profits 2016'!B5685</f>
        <v>42633</v>
      </c>
      <c r="C475" s="276">
        <f>'Profits 2016'!H5685</f>
        <v>201</v>
      </c>
      <c r="D475" s="280">
        <f>'Profits 2016'!K5685</f>
        <v>178.791</v>
      </c>
      <c r="E475" s="276">
        <f>'Profits 2016'!L5685</f>
        <v>190</v>
      </c>
      <c r="F475" s="275" t="str">
        <f>'Profits 2016'!P5685</f>
        <v>Commodity</v>
      </c>
      <c r="G475" s="292">
        <f>'Profits 2016'!N5685-'Profits 2016'!M5685</f>
        <v>47.5</v>
      </c>
      <c r="H475" s="292">
        <v>0</v>
      </c>
      <c r="I475" s="275" t="s">
        <v>15788</v>
      </c>
      <c r="J475" s="277">
        <v>42634</v>
      </c>
      <c r="K475" s="277">
        <v>42655</v>
      </c>
      <c r="L475" s="277">
        <v>42657</v>
      </c>
      <c r="M475" s="292">
        <v>46.55</v>
      </c>
      <c r="N475" s="281">
        <v>9164</v>
      </c>
      <c r="O475" s="236" t="str">
        <f>'Profits 2016'!T5685</f>
        <v>FEDEX GROUND</v>
      </c>
      <c r="P475" s="284" t="str">
        <f>'Profits 2016'!U5685</f>
        <v>777279729740</v>
      </c>
      <c r="Q475" s="284" t="s">
        <v>314</v>
      </c>
      <c r="R475" s="276">
        <v>22.11</v>
      </c>
      <c r="S475" s="358" t="s">
        <v>15738</v>
      </c>
      <c r="T475" s="279">
        <v>42653</v>
      </c>
      <c r="U475" s="279">
        <v>42656</v>
      </c>
      <c r="V475" s="340">
        <v>42664</v>
      </c>
      <c r="W475" s="350">
        <f>R475</f>
        <v>22.11</v>
      </c>
      <c r="X475" s="347">
        <v>9215</v>
      </c>
      <c r="AF475" s="276">
        <f t="shared" si="33"/>
        <v>69.61</v>
      </c>
      <c r="AG475" s="276">
        <f t="shared" si="34"/>
        <v>68.66</v>
      </c>
      <c r="AH475" s="276">
        <f t="shared" si="35"/>
        <v>110.131</v>
      </c>
      <c r="AI475" s="283">
        <f t="shared" si="36"/>
        <v>1.5821146387013361</v>
      </c>
    </row>
    <row r="476" spans="1:35" ht="30" x14ac:dyDescent="0.25">
      <c r="A476" s="275">
        <f>'Profits 2016'!A5686</f>
        <v>3004476</v>
      </c>
      <c r="B476" s="279">
        <f>'Profits 2016'!B5686</f>
        <v>42633</v>
      </c>
      <c r="C476" s="276">
        <f>'Profits 2016'!H5686</f>
        <v>147.12</v>
      </c>
      <c r="D476" s="280">
        <f>'Profits 2016'!K5686</f>
        <v>130.78391999999999</v>
      </c>
      <c r="E476" s="276">
        <f>'Profits 2016'!L5686</f>
        <v>235</v>
      </c>
      <c r="F476" s="275" t="str">
        <f>'Profits 2016'!P5686</f>
        <v>Nassau</v>
      </c>
      <c r="G476" s="292">
        <f>'Profits 2016'!N5686-'Profits 2016'!M5686</f>
        <v>47</v>
      </c>
      <c r="H476" s="319"/>
      <c r="I476" s="320"/>
      <c r="J476" s="321"/>
      <c r="K476" s="321"/>
      <c r="L476" s="321"/>
      <c r="M476" s="319"/>
      <c r="N476" s="322"/>
      <c r="O476" s="236" t="str">
        <f>'Profits 2016'!T5686</f>
        <v>FEDEX GROUND</v>
      </c>
      <c r="P476" s="284" t="str">
        <f>'Profits 2016'!U5686</f>
        <v>680483360163</v>
      </c>
      <c r="Q476" s="284" t="s">
        <v>314</v>
      </c>
      <c r="R476" s="276">
        <v>16.54</v>
      </c>
      <c r="S476" s="358" t="s">
        <v>15744</v>
      </c>
      <c r="T476" s="279">
        <v>42646</v>
      </c>
      <c r="U476" s="279">
        <v>42653</v>
      </c>
      <c r="V476" s="279">
        <v>42657</v>
      </c>
      <c r="W476" s="293">
        <v>0</v>
      </c>
      <c r="X476" s="236">
        <v>9174</v>
      </c>
      <c r="AF476" s="276">
        <f t="shared" si="33"/>
        <v>63.54</v>
      </c>
      <c r="AG476" s="276">
        <f t="shared" si="34"/>
        <v>16.54</v>
      </c>
      <c r="AH476" s="276">
        <f t="shared" si="35"/>
        <v>114.24392</v>
      </c>
      <c r="AI476" s="283">
        <f t="shared" si="36"/>
        <v>1.797984261882279</v>
      </c>
    </row>
    <row r="477" spans="1:35" x14ac:dyDescent="0.25">
      <c r="A477" s="275">
        <f>'Profits 2016'!A5687</f>
        <v>3004477</v>
      </c>
      <c r="B477" s="279">
        <f>'Profits 2016'!B5687</f>
        <v>42634</v>
      </c>
      <c r="C477" s="276">
        <f>'Profits 2016'!H5687</f>
        <v>138.9</v>
      </c>
      <c r="D477" s="280">
        <f>'Profits 2016'!K5687</f>
        <v>123.4599</v>
      </c>
      <c r="E477" s="276">
        <f>'Profits 2016'!L5687</f>
        <v>648</v>
      </c>
      <c r="F477" s="275" t="str">
        <f>'Profits 2016'!P5687</f>
        <v>Thea</v>
      </c>
      <c r="G477" s="292">
        <f>'Profits 2016'!N5687-'Profits 2016'!M5687</f>
        <v>64.8</v>
      </c>
      <c r="H477" s="319"/>
      <c r="I477" s="320"/>
      <c r="J477" s="321"/>
      <c r="K477" s="321"/>
      <c r="L477" s="321"/>
      <c r="M477" s="319"/>
      <c r="N477" s="322"/>
      <c r="O477" s="236" t="str">
        <f>'Profits 2016'!T5687</f>
        <v>Fedex</v>
      </c>
      <c r="P477" s="284">
        <f>'Profits 2016'!U5687</f>
        <v>675157529992</v>
      </c>
      <c r="Q477" s="284" t="s">
        <v>314</v>
      </c>
      <c r="R477" s="276">
        <v>10.25</v>
      </c>
      <c r="S477" s="358" t="s">
        <v>15738</v>
      </c>
      <c r="T477" s="279">
        <v>42653</v>
      </c>
      <c r="U477" s="279">
        <v>42656</v>
      </c>
      <c r="V477" s="340">
        <v>42664</v>
      </c>
      <c r="W477" s="350">
        <f>R477</f>
        <v>10.25</v>
      </c>
      <c r="X477" s="347">
        <v>9215</v>
      </c>
      <c r="AF477" s="276">
        <f t="shared" si="33"/>
        <v>75.05</v>
      </c>
      <c r="AG477" s="276">
        <f t="shared" si="34"/>
        <v>10.25</v>
      </c>
      <c r="AH477" s="276">
        <f t="shared" si="35"/>
        <v>113.2099</v>
      </c>
      <c r="AI477" s="283">
        <f t="shared" si="36"/>
        <v>1.5084596935376418</v>
      </c>
    </row>
    <row r="478" spans="1:35" ht="30" x14ac:dyDescent="0.25">
      <c r="A478" s="275">
        <f>'Profits 2016'!A5688</f>
        <v>3004478</v>
      </c>
      <c r="B478" s="279">
        <f>'Profits 2016'!B5688</f>
        <v>42634</v>
      </c>
      <c r="C478" s="276">
        <f>'Profits 2016'!H5688</f>
        <v>112.63</v>
      </c>
      <c r="D478" s="280">
        <f>'Profits 2016'!K5688</f>
        <v>100.05332999999999</v>
      </c>
      <c r="E478" s="276">
        <f>'Profits 2016'!L5688</f>
        <v>510</v>
      </c>
      <c r="F478" s="275" t="str">
        <f>'Profits 2016'!P5688</f>
        <v>Nassau</v>
      </c>
      <c r="G478" s="292">
        <f>'Profits 2016'!N5688-'Profits 2016'!M5688</f>
        <v>51</v>
      </c>
      <c r="H478" s="319"/>
      <c r="I478" s="320"/>
      <c r="J478" s="321"/>
      <c r="K478" s="321"/>
      <c r="L478" s="321"/>
      <c r="M478" s="319"/>
      <c r="N478" s="322"/>
      <c r="O478" s="236" t="str">
        <f>'Profits 2016'!T5688</f>
        <v>FEDEX GROUND</v>
      </c>
      <c r="P478" s="284" t="str">
        <f>'Profits 2016'!U5688</f>
        <v>680483360200</v>
      </c>
      <c r="Q478" s="284" t="s">
        <v>314</v>
      </c>
      <c r="R478" s="276">
        <v>14.58</v>
      </c>
      <c r="S478" s="358" t="s">
        <v>15738</v>
      </c>
      <c r="T478" s="279">
        <v>42653</v>
      </c>
      <c r="U478" s="279">
        <v>42656</v>
      </c>
      <c r="V478" s="340">
        <v>42664</v>
      </c>
      <c r="W478" s="350">
        <f>R478</f>
        <v>14.58</v>
      </c>
      <c r="X478" s="347">
        <v>9215</v>
      </c>
      <c r="AF478" s="276">
        <f t="shared" si="33"/>
        <v>65.58</v>
      </c>
      <c r="AG478" s="276">
        <f t="shared" si="34"/>
        <v>14.58</v>
      </c>
      <c r="AH478" s="276">
        <f t="shared" si="35"/>
        <v>85.47332999999999</v>
      </c>
      <c r="AI478" s="283">
        <f t="shared" si="36"/>
        <v>1.3033444647758461</v>
      </c>
    </row>
    <row r="479" spans="1:35" x14ac:dyDescent="0.25">
      <c r="A479" s="275">
        <f>'Profits 2016'!A5689</f>
        <v>3004479</v>
      </c>
      <c r="B479" s="279">
        <f>'Profits 2016'!B5689</f>
        <v>42634</v>
      </c>
      <c r="C479" s="276">
        <f>'Profits 2016'!H5689</f>
        <v>1000</v>
      </c>
      <c r="D479" s="280">
        <f>'Profits 2016'!K5689</f>
        <v>890.7</v>
      </c>
      <c r="E479" s="276">
        <f>'Profits 2016'!L5689</f>
        <v>1200</v>
      </c>
      <c r="F479" s="275" t="str">
        <f>'Profits 2016'!P5689</f>
        <v>Priority</v>
      </c>
      <c r="G479" s="292">
        <f>'Profits 2016'!N5689-'Profits 2016'!M5689</f>
        <v>600</v>
      </c>
      <c r="H479" s="292">
        <v>0</v>
      </c>
      <c r="I479" s="275">
        <v>1058312</v>
      </c>
      <c r="J479" s="277">
        <v>42635</v>
      </c>
      <c r="K479" s="277">
        <v>42642</v>
      </c>
      <c r="L479" s="277">
        <v>42664</v>
      </c>
      <c r="M479" s="292">
        <v>600</v>
      </c>
      <c r="N479" s="281">
        <v>9223</v>
      </c>
      <c r="O479" s="236" t="str">
        <f>'Profits 2016'!T5689</f>
        <v>SEFL</v>
      </c>
      <c r="P479" s="284" t="str">
        <f>'Profits 2016'!U5689</f>
        <v xml:space="preserve">	382408977</v>
      </c>
      <c r="Q479" s="284" t="s">
        <v>15740</v>
      </c>
      <c r="R479" s="276">
        <v>140.15</v>
      </c>
      <c r="S479" s="358">
        <v>1058312</v>
      </c>
      <c r="T479" s="279">
        <v>42635</v>
      </c>
      <c r="U479" s="279">
        <v>42642</v>
      </c>
      <c r="V479" s="279">
        <v>42664</v>
      </c>
      <c r="W479" s="293">
        <v>14.15</v>
      </c>
      <c r="X479" s="236">
        <v>9223</v>
      </c>
      <c r="AF479" s="276">
        <f t="shared" si="33"/>
        <v>740.15</v>
      </c>
      <c r="AG479" s="276">
        <f t="shared" si="34"/>
        <v>740.15</v>
      </c>
      <c r="AH479" s="276">
        <f t="shared" si="35"/>
        <v>150.55000000000007</v>
      </c>
      <c r="AI479" s="283">
        <f t="shared" si="36"/>
        <v>0.20340471526042028</v>
      </c>
    </row>
    <row r="480" spans="1:35" ht="30" x14ac:dyDescent="0.25">
      <c r="A480" s="275">
        <f>'Profits 2016'!A5690</f>
        <v>3004480</v>
      </c>
      <c r="B480" s="279">
        <f>'Profits 2016'!B5690</f>
        <v>42634</v>
      </c>
      <c r="C480" s="276">
        <f>'Profits 2016'!H5690</f>
        <v>119.44</v>
      </c>
      <c r="D480" s="280">
        <f>'Profits 2016'!K5690</f>
        <v>106.12103999999999</v>
      </c>
      <c r="E480" s="276">
        <f>'Profits 2016'!L5690</f>
        <v>400</v>
      </c>
      <c r="F480" s="275" t="str">
        <f>'Profits 2016'!P5690</f>
        <v>Nassau</v>
      </c>
      <c r="G480" s="292">
        <f>'Profits 2016'!N5690-'Profits 2016'!M5690</f>
        <v>40</v>
      </c>
      <c r="H480" s="319"/>
      <c r="I480" s="320"/>
      <c r="J480" s="321"/>
      <c r="K480" s="321"/>
      <c r="L480" s="321"/>
      <c r="M480" s="319"/>
      <c r="N480" s="322"/>
      <c r="O480" s="236" t="str">
        <f>'Profits 2016'!T5690</f>
        <v>FEDEX GROUND</v>
      </c>
      <c r="P480" s="284" t="str">
        <f>'Profits 2016'!U5690</f>
        <v>702723288532</v>
      </c>
      <c r="Q480" s="284" t="s">
        <v>314</v>
      </c>
      <c r="R480" s="276">
        <v>28.61</v>
      </c>
      <c r="S480" s="275" t="s">
        <v>15738</v>
      </c>
      <c r="T480" s="279">
        <v>42653</v>
      </c>
      <c r="U480" s="279">
        <v>42656</v>
      </c>
      <c r="V480" s="340">
        <v>42664</v>
      </c>
      <c r="W480" s="350">
        <f t="shared" ref="W480:W482" si="38">R480</f>
        <v>28.61</v>
      </c>
      <c r="X480" s="347">
        <v>9215</v>
      </c>
      <c r="AF480" s="276">
        <f t="shared" si="33"/>
        <v>68.61</v>
      </c>
      <c r="AG480" s="276">
        <f t="shared" si="34"/>
        <v>28.61</v>
      </c>
      <c r="AH480" s="276">
        <f t="shared" si="35"/>
        <v>77.511039999999994</v>
      </c>
      <c r="AI480" s="283">
        <f t="shared" si="36"/>
        <v>1.1297338580381868</v>
      </c>
    </row>
    <row r="481" spans="1:35" ht="30" x14ac:dyDescent="0.25">
      <c r="A481" s="275">
        <f>'Profits 2016'!A5691</f>
        <v>3004481</v>
      </c>
      <c r="B481" s="279">
        <f>'Profits 2016'!B5691</f>
        <v>42634</v>
      </c>
      <c r="C481" s="276">
        <f>'Profits 2016'!H5691</f>
        <v>197.99</v>
      </c>
      <c r="D481" s="280">
        <f>'Profits 2016'!K5691</f>
        <v>176.10909000000001</v>
      </c>
      <c r="E481" s="276">
        <f>'Profits 2016'!L5691</f>
        <v>395</v>
      </c>
      <c r="F481" s="275" t="str">
        <f>'Profits 2016'!P5691</f>
        <v>Nassau</v>
      </c>
      <c r="G481" s="292">
        <f>'Profits 2016'!N5691-'Profits 2016'!M5691</f>
        <v>98.75</v>
      </c>
      <c r="H481" s="319"/>
      <c r="I481" s="320"/>
      <c r="J481" s="321"/>
      <c r="K481" s="321"/>
      <c r="L481" s="321"/>
      <c r="M481" s="319"/>
      <c r="N481" s="322"/>
      <c r="O481" s="236" t="str">
        <f>'Profits 2016'!T5691</f>
        <v>FEDEX GROUND</v>
      </c>
      <c r="P481" s="284" t="str">
        <f>'Profits 2016'!U5691</f>
        <v>680483360233</v>
      </c>
      <c r="Q481" s="284" t="s">
        <v>314</v>
      </c>
      <c r="R481" s="276">
        <v>17.95</v>
      </c>
      <c r="S481" s="275" t="s">
        <v>15738</v>
      </c>
      <c r="T481" s="279">
        <v>42653</v>
      </c>
      <c r="U481" s="279">
        <v>42656</v>
      </c>
      <c r="V481" s="340">
        <v>42664</v>
      </c>
      <c r="W481" s="350">
        <f t="shared" si="38"/>
        <v>17.95</v>
      </c>
      <c r="X481" s="347">
        <v>9215</v>
      </c>
      <c r="AF481" s="276">
        <f t="shared" si="33"/>
        <v>116.7</v>
      </c>
      <c r="AG481" s="276">
        <f t="shared" si="34"/>
        <v>17.95</v>
      </c>
      <c r="AH481" s="276">
        <f t="shared" si="35"/>
        <v>158.15909000000002</v>
      </c>
      <c r="AI481" s="283">
        <f t="shared" si="36"/>
        <v>1.3552621251071124</v>
      </c>
    </row>
    <row r="482" spans="1:35" ht="30" x14ac:dyDescent="0.25">
      <c r="A482" s="275">
        <f>'Profits 2016'!A5692</f>
        <v>3004482</v>
      </c>
      <c r="B482" s="279">
        <f>'Profits 2016'!B5692</f>
        <v>42634</v>
      </c>
      <c r="C482" s="276">
        <f>'Profits 2016'!H5692</f>
        <v>182.27</v>
      </c>
      <c r="D482" s="280">
        <f>'Profits 2016'!K5692</f>
        <v>162.10257000000001</v>
      </c>
      <c r="E482" s="276">
        <f>'Profits 2016'!L5692</f>
        <v>510</v>
      </c>
      <c r="F482" s="275" t="str">
        <f>'Profits 2016'!P5692</f>
        <v>Nassau</v>
      </c>
      <c r="G482" s="292">
        <f>'Profits 2016'!N5692-'Profits 2016'!M5692</f>
        <v>89.250000000000028</v>
      </c>
      <c r="H482" s="319"/>
      <c r="I482" s="320"/>
      <c r="J482" s="321"/>
      <c r="K482" s="321"/>
      <c r="L482" s="321"/>
      <c r="M482" s="319"/>
      <c r="N482" s="322"/>
      <c r="O482" s="236" t="str">
        <f>'Profits 2016'!T5692</f>
        <v>FEDEX GROUND</v>
      </c>
      <c r="P482" s="284" t="str">
        <f>'Profits 2016'!U5692</f>
        <v>68043360211</v>
      </c>
      <c r="Q482" s="284" t="s">
        <v>314</v>
      </c>
      <c r="R482" s="276">
        <v>33.51</v>
      </c>
      <c r="S482" s="275" t="s">
        <v>15738</v>
      </c>
      <c r="T482" s="279">
        <v>42653</v>
      </c>
      <c r="U482" s="279">
        <v>42656</v>
      </c>
      <c r="V482" s="340">
        <v>42664</v>
      </c>
      <c r="W482" s="350">
        <f t="shared" si="38"/>
        <v>33.51</v>
      </c>
      <c r="X482" s="347">
        <v>9215</v>
      </c>
      <c r="AF482" s="276">
        <f t="shared" si="33"/>
        <v>122.76000000000002</v>
      </c>
      <c r="AG482" s="276">
        <f t="shared" si="34"/>
        <v>33.51</v>
      </c>
      <c r="AH482" s="276">
        <f t="shared" si="35"/>
        <v>128.59257000000002</v>
      </c>
      <c r="AI482" s="283">
        <f t="shared" si="36"/>
        <v>1.0475119745845554</v>
      </c>
    </row>
    <row r="483" spans="1:35" ht="30" x14ac:dyDescent="0.25">
      <c r="A483" s="275">
        <f>'Profits 2016'!A5693</f>
        <v>3004483</v>
      </c>
      <c r="B483" s="279">
        <f>'Profits 2016'!B5693</f>
        <v>42634</v>
      </c>
      <c r="C483" s="276">
        <f>'Profits 2016'!H5693</f>
        <v>9028</v>
      </c>
      <c r="D483" s="280">
        <f>'Profits 2016'!K5693</f>
        <v>9028</v>
      </c>
      <c r="E483" s="276">
        <f>'Profits 2016'!L5693</f>
        <v>2630</v>
      </c>
      <c r="F483" s="275" t="str">
        <f>'Profits 2016'!P5693</f>
        <v>Wirexpess</v>
      </c>
      <c r="G483" s="292">
        <f>'Profits 2016'!N5693-'Profits 2016'!M5693</f>
        <v>2630</v>
      </c>
      <c r="H483" s="292">
        <v>0</v>
      </c>
      <c r="I483" s="275" t="s">
        <v>15789</v>
      </c>
      <c r="J483" s="277">
        <v>42639</v>
      </c>
      <c r="K483" s="277">
        <v>42647</v>
      </c>
      <c r="L483" s="277">
        <v>42664</v>
      </c>
      <c r="M483" s="292">
        <v>2630</v>
      </c>
      <c r="N483" s="281">
        <v>9232</v>
      </c>
      <c r="O483" s="236" t="str">
        <f>'Profits 2016'!T5693</f>
        <v>R &amp; L carriers</v>
      </c>
      <c r="P483" s="284" t="e">
        <f>'Profits 2016'!#REF!</f>
        <v>#REF!</v>
      </c>
      <c r="AF483" s="276">
        <f t="shared" si="33"/>
        <v>2630</v>
      </c>
      <c r="AG483" s="276">
        <f t="shared" si="34"/>
        <v>2630</v>
      </c>
      <c r="AH483" s="276">
        <f t="shared" si="35"/>
        <v>6398</v>
      </c>
      <c r="AI483" s="283">
        <f t="shared" si="36"/>
        <v>2.4326996197718631</v>
      </c>
    </row>
    <row r="484" spans="1:35" x14ac:dyDescent="0.25">
      <c r="A484" s="275">
        <f>'Profits 2016'!A5694</f>
        <v>0</v>
      </c>
      <c r="B484" s="279">
        <f>'Profits 2016'!B5694</f>
        <v>0</v>
      </c>
      <c r="C484" s="276">
        <f>'Profits 2016'!H5694</f>
        <v>0</v>
      </c>
      <c r="D484" s="280">
        <f>'Profits 2016'!K5694</f>
        <v>0</v>
      </c>
      <c r="E484" s="276">
        <f>'Profits 2016'!L5694</f>
        <v>4891</v>
      </c>
      <c r="F484" s="275" t="str">
        <f>'Profits 2016'!P5694</f>
        <v>Wirexpess</v>
      </c>
      <c r="G484" s="292">
        <f>'Profits 2016'!N5694-'Profits 2016'!M5694</f>
        <v>4891</v>
      </c>
      <c r="H484" s="292">
        <v>0</v>
      </c>
      <c r="I484" s="275" t="s">
        <v>15789</v>
      </c>
      <c r="J484" s="277">
        <v>42639</v>
      </c>
      <c r="K484" s="277">
        <v>42647</v>
      </c>
      <c r="L484" s="277">
        <v>42664</v>
      </c>
      <c r="M484" s="292">
        <v>4891</v>
      </c>
      <c r="N484" s="281">
        <v>9232</v>
      </c>
      <c r="O484" s="236">
        <f>'Profits 2016'!T5694</f>
        <v>0</v>
      </c>
      <c r="P484" s="284">
        <f>'Profits 2016'!U5693</f>
        <v>553479471</v>
      </c>
      <c r="AF484" s="276">
        <f t="shared" si="33"/>
        <v>4891</v>
      </c>
      <c r="AG484" s="276">
        <f t="shared" si="34"/>
        <v>4891</v>
      </c>
      <c r="AH484" s="276">
        <f t="shared" si="35"/>
        <v>-4891</v>
      </c>
      <c r="AI484" s="283">
        <f t="shared" si="36"/>
        <v>-1</v>
      </c>
    </row>
    <row r="485" spans="1:35" x14ac:dyDescent="0.25">
      <c r="A485" s="275">
        <f>'Profits 2016'!A5695</f>
        <v>3004484</v>
      </c>
      <c r="B485" s="279">
        <f>'Profits 2016'!B5695</f>
        <v>42634</v>
      </c>
      <c r="C485" s="276">
        <f>'Profits 2016'!H5695</f>
        <v>2010</v>
      </c>
      <c r="D485" s="280">
        <f>'Profits 2016'!K5695</f>
        <v>1965.48</v>
      </c>
      <c r="E485" s="276">
        <f>'Profits 2016'!L5695</f>
        <v>1322</v>
      </c>
      <c r="F485" s="275" t="str">
        <f>'Profits 2016'!P5695</f>
        <v>Nassau</v>
      </c>
      <c r="G485" s="292">
        <f>'Profits 2016'!N5695-'Profits 2016'!M5695</f>
        <v>1322</v>
      </c>
      <c r="H485" s="319"/>
      <c r="I485" s="320"/>
      <c r="J485" s="321"/>
      <c r="K485" s="321"/>
      <c r="L485" s="321"/>
      <c r="M485" s="319"/>
      <c r="N485" s="322"/>
      <c r="O485" s="236" t="str">
        <f>'Profits 2016'!T5695</f>
        <v>NEMF/DLS</v>
      </c>
      <c r="P485" s="284" t="str">
        <f>'Profits 2016'!U5695</f>
        <v>24103623</v>
      </c>
      <c r="Q485" s="284" t="s">
        <v>15742</v>
      </c>
      <c r="R485" s="276">
        <v>108.38</v>
      </c>
      <c r="S485" s="275">
        <v>636764415</v>
      </c>
      <c r="T485" s="279">
        <v>42640</v>
      </c>
      <c r="U485" s="279">
        <v>42646</v>
      </c>
      <c r="V485" s="279">
        <v>42650</v>
      </c>
      <c r="W485" s="293">
        <v>108.38</v>
      </c>
      <c r="X485" s="236">
        <v>9120</v>
      </c>
      <c r="AF485" s="276">
        <f t="shared" ref="AF485:AF492" si="39">G485+H486+R485+Y485</f>
        <v>1430.38</v>
      </c>
      <c r="AG485" s="276">
        <f t="shared" si="34"/>
        <v>108.38</v>
      </c>
      <c r="AH485" s="276">
        <f t="shared" si="35"/>
        <v>1857.1</v>
      </c>
      <c r="AI485" s="283">
        <f t="shared" si="36"/>
        <v>1.2983263188802974</v>
      </c>
    </row>
    <row r="486" spans="1:35" ht="30" x14ac:dyDescent="0.25">
      <c r="A486" s="275">
        <f>'Profits 2016'!A5696</f>
        <v>3004485</v>
      </c>
      <c r="B486" s="279">
        <f>'Profits 2016'!B5696</f>
        <v>42634</v>
      </c>
      <c r="C486" s="276">
        <f>'Profits 2016'!H5696</f>
        <v>193.04</v>
      </c>
      <c r="D486" s="280">
        <f>'Profits 2016'!K5696</f>
        <v>164.084</v>
      </c>
      <c r="E486" s="276">
        <f>'Profits 2016'!L5696</f>
        <v>950</v>
      </c>
      <c r="F486" s="275" t="str">
        <f>'Profits 2016'!P5696</f>
        <v>Nassau</v>
      </c>
      <c r="G486" s="292">
        <f>'Profits 2016'!N5696-'Profits 2016'!M5696</f>
        <v>95</v>
      </c>
      <c r="H486" s="319"/>
      <c r="I486" s="320"/>
      <c r="J486" s="321"/>
      <c r="K486" s="321"/>
      <c r="L486" s="321"/>
      <c r="M486" s="319"/>
      <c r="N486" s="322"/>
      <c r="O486" s="236" t="str">
        <f>'Profits 2016'!T5696</f>
        <v>FEDEX GROUND</v>
      </c>
      <c r="P486" s="284" t="str">
        <f>'Profits 2016'!U5696</f>
        <v>702723288521</v>
      </c>
      <c r="Q486" s="284" t="s">
        <v>314</v>
      </c>
      <c r="R486" s="276">
        <v>24.18</v>
      </c>
      <c r="S486" s="275" t="s">
        <v>15738</v>
      </c>
      <c r="T486" s="279">
        <v>42653</v>
      </c>
      <c r="U486" s="279">
        <v>42656</v>
      </c>
      <c r="V486" s="340">
        <v>42664</v>
      </c>
      <c r="W486" s="350">
        <f t="shared" ref="W486:W488" si="40">R486</f>
        <v>24.18</v>
      </c>
      <c r="X486" s="347">
        <v>9215</v>
      </c>
      <c r="AF486" s="276">
        <f t="shared" si="39"/>
        <v>119.18</v>
      </c>
      <c r="AG486" s="276">
        <f t="shared" si="34"/>
        <v>24.18</v>
      </c>
      <c r="AH486" s="276">
        <f t="shared" si="35"/>
        <v>139.904</v>
      </c>
      <c r="AI486" s="283">
        <f t="shared" si="36"/>
        <v>1.173888236281255</v>
      </c>
    </row>
    <row r="487" spans="1:35" ht="30" x14ac:dyDescent="0.25">
      <c r="A487" s="275">
        <f>'Profits 2016'!A5697</f>
        <v>3004486</v>
      </c>
      <c r="B487" s="279">
        <f>'Profits 2016'!B5697</f>
        <v>42634</v>
      </c>
      <c r="C487" s="276">
        <f>'Profits 2016'!H5697</f>
        <v>299.97000000000003</v>
      </c>
      <c r="D487" s="280">
        <f>'Profits 2016'!K5697</f>
        <v>254.97450000000003</v>
      </c>
      <c r="E487" s="276">
        <f>'Profits 2016'!L5697</f>
        <v>300</v>
      </c>
      <c r="F487" s="275" t="str">
        <f>'Profits 2016'!P5697</f>
        <v>Nassau</v>
      </c>
      <c r="G487" s="292">
        <f>'Profits 2016'!N5697-'Profits 2016'!M5697</f>
        <v>150</v>
      </c>
      <c r="H487" s="319"/>
      <c r="I487" s="320"/>
      <c r="J487" s="321"/>
      <c r="K487" s="321"/>
      <c r="L487" s="321"/>
      <c r="M487" s="319"/>
      <c r="N487" s="322"/>
      <c r="O487" s="236" t="str">
        <f>'Profits 2016'!T5697</f>
        <v>FEDEX GROUND</v>
      </c>
      <c r="P487" s="284" t="str">
        <f>'Profits 2016'!U5697</f>
        <v>702723288543</v>
      </c>
      <c r="Q487" s="284" t="s">
        <v>314</v>
      </c>
      <c r="R487" s="276">
        <v>41</v>
      </c>
      <c r="S487" s="275" t="s">
        <v>15738</v>
      </c>
      <c r="T487" s="279">
        <v>42653</v>
      </c>
      <c r="U487" s="279">
        <v>42656</v>
      </c>
      <c r="V487" s="340">
        <v>42664</v>
      </c>
      <c r="W487" s="350">
        <f t="shared" si="40"/>
        <v>41</v>
      </c>
      <c r="X487" s="347">
        <v>9215</v>
      </c>
      <c r="AF487" s="276">
        <f t="shared" si="39"/>
        <v>191</v>
      </c>
      <c r="AG487" s="276">
        <f t="shared" si="34"/>
        <v>41</v>
      </c>
      <c r="AH487" s="276">
        <f t="shared" si="35"/>
        <v>213.97450000000003</v>
      </c>
      <c r="AI487" s="283">
        <f t="shared" si="36"/>
        <v>1.1202853403141364</v>
      </c>
    </row>
    <row r="488" spans="1:35" ht="30" x14ac:dyDescent="0.25">
      <c r="A488" s="275">
        <f>'Profits 2016'!A5698</f>
        <v>3004487</v>
      </c>
      <c r="B488" s="279">
        <f>'Profits 2016'!B5698</f>
        <v>42634</v>
      </c>
      <c r="C488" s="276">
        <f>'Profits 2016'!H5698</f>
        <v>146.09</v>
      </c>
      <c r="D488" s="280">
        <f>'Profits 2016'!K5698</f>
        <v>124.1765</v>
      </c>
      <c r="E488" s="276">
        <f>'Profits 2016'!L5698</f>
        <v>190</v>
      </c>
      <c r="F488" s="275" t="str">
        <f>'Profits 2016'!P5698</f>
        <v>Commodity</v>
      </c>
      <c r="G488" s="292">
        <f>'Profits 2016'!N5698-'Profits 2016'!M5698</f>
        <v>28.499999999999996</v>
      </c>
      <c r="H488" s="292">
        <v>0</v>
      </c>
      <c r="I488" s="275" t="s">
        <v>15790</v>
      </c>
      <c r="J488" s="277">
        <v>42636</v>
      </c>
      <c r="K488" s="277">
        <v>42655</v>
      </c>
      <c r="L488" s="277">
        <v>42657</v>
      </c>
      <c r="M488" s="292">
        <v>27.93</v>
      </c>
      <c r="N488" s="281">
        <v>9163</v>
      </c>
      <c r="O488" s="236" t="str">
        <f>'Profits 2016'!T5698</f>
        <v>FEDEX GROUND</v>
      </c>
      <c r="P488" s="284" t="str">
        <f>'Profits 2016'!U5698</f>
        <v>77700134124</v>
      </c>
      <c r="Q488" s="284" t="s">
        <v>314</v>
      </c>
      <c r="R488" s="276">
        <v>25.99</v>
      </c>
      <c r="S488" s="275" t="s">
        <v>15738</v>
      </c>
      <c r="T488" s="279">
        <v>42653</v>
      </c>
      <c r="U488" s="279">
        <v>42656</v>
      </c>
      <c r="V488" s="340">
        <v>42664</v>
      </c>
      <c r="W488" s="350">
        <f t="shared" si="40"/>
        <v>25.99</v>
      </c>
      <c r="X488" s="347">
        <v>9215</v>
      </c>
      <c r="AF488" s="276">
        <f t="shared" si="39"/>
        <v>54.489999999999995</v>
      </c>
      <c r="AG488" s="276">
        <f t="shared" si="34"/>
        <v>53.92</v>
      </c>
      <c r="AH488" s="276">
        <f t="shared" si="35"/>
        <v>70.256500000000003</v>
      </c>
      <c r="AI488" s="283">
        <f t="shared" si="36"/>
        <v>1.2893466691135991</v>
      </c>
    </row>
    <row r="489" spans="1:35" ht="30" x14ac:dyDescent="0.25">
      <c r="A489" s="275">
        <f>'Profits 2016'!A5699</f>
        <v>3004488</v>
      </c>
      <c r="B489" s="279">
        <f>'Profits 2016'!B5699</f>
        <v>42634</v>
      </c>
      <c r="C489" s="276">
        <f>'Profits 2016'!H5699</f>
        <v>420</v>
      </c>
      <c r="D489" s="280">
        <f>'Profits 2016'!K5699</f>
        <v>410.46</v>
      </c>
      <c r="E489" s="276">
        <f>'Profits 2016'!L5699</f>
        <v>990</v>
      </c>
      <c r="F489" s="275" t="str">
        <f>'Profits 2016'!P5699</f>
        <v>Nassau</v>
      </c>
      <c r="G489" s="292">
        <f>'Profits 2016'!N5699-'Profits 2016'!M5699</f>
        <v>198</v>
      </c>
      <c r="H489" s="319"/>
      <c r="I489" s="320"/>
      <c r="J489" s="321"/>
      <c r="K489" s="321"/>
      <c r="L489" s="321"/>
      <c r="M489" s="319"/>
      <c r="N489" s="322"/>
      <c r="O489" s="236" t="str">
        <f>'Profits 2016'!T5699</f>
        <v>Customer Pick Up</v>
      </c>
      <c r="P489" s="284" t="str">
        <f>'Profits 2016'!U5699</f>
        <v>Customer Pick Up</v>
      </c>
      <c r="AF489" s="276">
        <f t="shared" si="39"/>
        <v>198</v>
      </c>
      <c r="AG489" s="276">
        <f t="shared" si="34"/>
        <v>0</v>
      </c>
      <c r="AH489" s="276">
        <f t="shared" si="35"/>
        <v>410.46</v>
      </c>
      <c r="AI489" s="283">
        <f t="shared" si="36"/>
        <v>2.0730303030303028</v>
      </c>
    </row>
    <row r="490" spans="1:35" ht="30" x14ac:dyDescent="0.25">
      <c r="A490" s="275">
        <f>'Profits 2016'!A5700</f>
        <v>3004489</v>
      </c>
      <c r="B490" s="279">
        <f>'Profits 2016'!B5700</f>
        <v>42634</v>
      </c>
      <c r="C490" s="276">
        <f>'Profits 2016'!H5700</f>
        <v>1704</v>
      </c>
      <c r="D490" s="280">
        <f>'Profits 2016'!K5700</f>
        <v>1671.3240000000001</v>
      </c>
      <c r="E490" s="276">
        <f>'Profits 2016'!L5700</f>
        <v>0</v>
      </c>
      <c r="F490" s="275" t="str">
        <f>'Profits 2016'!P5700</f>
        <v>Nassau</v>
      </c>
      <c r="G490" s="292">
        <f>'Profits 2016'!N5700-'Profits 2016'!M5700</f>
        <v>0</v>
      </c>
      <c r="H490" s="319"/>
      <c r="I490" s="320"/>
      <c r="J490" s="321"/>
      <c r="K490" s="321"/>
      <c r="L490" s="321"/>
      <c r="M490" s="319"/>
      <c r="N490" s="322"/>
      <c r="O490" s="236" t="str">
        <f>'Profits 2016'!T5700</f>
        <v>PITT OHIO/DLS</v>
      </c>
      <c r="P490" s="284" t="str">
        <f>'Profits 2016'!U5700</f>
        <v>5014092970</v>
      </c>
      <c r="Q490" s="284" t="s">
        <v>15742</v>
      </c>
      <c r="R490" s="276">
        <v>154.25</v>
      </c>
      <c r="S490" s="275">
        <v>636764416</v>
      </c>
      <c r="T490" s="279">
        <v>42640</v>
      </c>
      <c r="U490" s="279">
        <v>42646</v>
      </c>
      <c r="V490" s="279">
        <v>42650</v>
      </c>
      <c r="W490" s="293">
        <v>154.25</v>
      </c>
      <c r="X490" s="236">
        <v>9120</v>
      </c>
      <c r="AF490" s="276">
        <f t="shared" si="39"/>
        <v>154.25</v>
      </c>
      <c r="AG490" s="276">
        <f t="shared" si="34"/>
        <v>154.25</v>
      </c>
      <c r="AH490" s="276">
        <f t="shared" si="35"/>
        <v>1517.0740000000001</v>
      </c>
      <c r="AI490" s="283">
        <f t="shared" si="36"/>
        <v>9.8351636952998387</v>
      </c>
    </row>
    <row r="491" spans="1:35" x14ac:dyDescent="0.25">
      <c r="A491" s="275">
        <f>'Profits 2016'!A5701</f>
        <v>0</v>
      </c>
      <c r="B491" s="279">
        <f>'Profits 2016'!B5701</f>
        <v>0</v>
      </c>
      <c r="C491" s="276">
        <f>'Profits 2016'!H5701</f>
        <v>0</v>
      </c>
      <c r="D491" s="280">
        <f>'Profits 2016'!K5701</f>
        <v>0</v>
      </c>
      <c r="E491" s="276">
        <f>'Profits 2016'!L5701</f>
        <v>3840</v>
      </c>
      <c r="F491" s="275" t="str">
        <f>'Profits 2016'!P5701</f>
        <v>Nassau</v>
      </c>
      <c r="G491" s="292">
        <f>'Profits 2016'!N5701-'Profits 2016'!M5701</f>
        <v>468.48</v>
      </c>
      <c r="H491" s="319"/>
      <c r="I491" s="320"/>
      <c r="J491" s="321"/>
      <c r="K491" s="321"/>
      <c r="L491" s="321"/>
      <c r="M491" s="319"/>
      <c r="N491" s="322"/>
      <c r="O491" s="236">
        <f>'Profits 2016'!T5701</f>
        <v>0</v>
      </c>
      <c r="P491" s="284">
        <f>'Profits 2016'!U5701</f>
        <v>0</v>
      </c>
      <c r="Q491" s="284" t="s">
        <v>15742</v>
      </c>
      <c r="R491" s="276">
        <v>0</v>
      </c>
      <c r="S491" s="275">
        <v>636764416</v>
      </c>
      <c r="T491" s="279">
        <v>42640</v>
      </c>
      <c r="U491" s="279">
        <v>42646</v>
      </c>
      <c r="V491" s="279">
        <v>42650</v>
      </c>
      <c r="W491" s="293">
        <v>0</v>
      </c>
      <c r="X491" s="236">
        <v>9120</v>
      </c>
      <c r="AF491" s="276">
        <f t="shared" si="39"/>
        <v>468.48</v>
      </c>
      <c r="AG491" s="276">
        <f t="shared" si="34"/>
        <v>0</v>
      </c>
      <c r="AH491" s="276">
        <f t="shared" si="35"/>
        <v>0</v>
      </c>
      <c r="AI491" s="283">
        <f t="shared" si="36"/>
        <v>0</v>
      </c>
    </row>
    <row r="492" spans="1:35" x14ac:dyDescent="0.25">
      <c r="A492" s="275">
        <f>'Profits 2016'!A5702</f>
        <v>0</v>
      </c>
      <c r="B492" s="279">
        <f>'Profits 2016'!B5702</f>
        <v>0</v>
      </c>
      <c r="C492" s="276">
        <f>'Profits 2016'!H5702</f>
        <v>0</v>
      </c>
      <c r="D492" s="280">
        <f>'Profits 2016'!K5702</f>
        <v>0</v>
      </c>
      <c r="E492" s="276">
        <f>'Profits 2016'!L5702</f>
        <v>3840</v>
      </c>
      <c r="F492" s="275" t="str">
        <f>'Profits 2016'!P5702</f>
        <v>Nassau</v>
      </c>
      <c r="G492" s="292">
        <f>'Profits 2016'!N5702-'Profits 2016'!M5702</f>
        <v>441.6</v>
      </c>
      <c r="H492" s="319"/>
      <c r="I492" s="320"/>
      <c r="J492" s="321"/>
      <c r="K492" s="321"/>
      <c r="L492" s="321"/>
      <c r="M492" s="319"/>
      <c r="N492" s="322"/>
      <c r="O492" s="236">
        <f>'Profits 2016'!T5702</f>
        <v>0</v>
      </c>
      <c r="P492" s="284">
        <f>'Profits 2016'!U5702</f>
        <v>0</v>
      </c>
      <c r="Q492" s="284" t="s">
        <v>15742</v>
      </c>
      <c r="R492" s="276">
        <v>0</v>
      </c>
      <c r="S492" s="275">
        <v>636764416</v>
      </c>
      <c r="T492" s="279">
        <v>42640</v>
      </c>
      <c r="U492" s="279">
        <v>42646</v>
      </c>
      <c r="V492" s="279">
        <v>42650</v>
      </c>
      <c r="W492" s="293">
        <v>0</v>
      </c>
      <c r="X492" s="236">
        <v>9120</v>
      </c>
      <c r="AF492" s="276">
        <f t="shared" si="39"/>
        <v>441.6</v>
      </c>
      <c r="AG492" s="276">
        <f t="shared" si="34"/>
        <v>0</v>
      </c>
      <c r="AH492" s="276">
        <f t="shared" si="35"/>
        <v>0</v>
      </c>
      <c r="AI492" s="283">
        <f t="shared" si="36"/>
        <v>0</v>
      </c>
    </row>
    <row r="493" spans="1:35" ht="30" x14ac:dyDescent="0.25">
      <c r="A493" s="275">
        <f>'Profits 2016'!A5703</f>
        <v>3004490</v>
      </c>
      <c r="B493" s="279">
        <f>'Profits 2016'!B5703</f>
        <v>42634</v>
      </c>
      <c r="C493" s="276">
        <f>'Profits 2016'!H5703</f>
        <v>215</v>
      </c>
      <c r="D493" s="280">
        <f>'Profits 2016'!K5703</f>
        <v>191.26500000000001</v>
      </c>
      <c r="E493" s="276">
        <f>'Profits 2016'!L5703</f>
        <v>690</v>
      </c>
      <c r="F493" s="275" t="str">
        <f>'Profits 2016'!P5703</f>
        <v>Nassau</v>
      </c>
      <c r="G493" s="292">
        <f>'Profits 2016'!N5703-'Profits 2016'!M5703</f>
        <v>103.5</v>
      </c>
      <c r="H493" s="319"/>
      <c r="I493" s="320"/>
      <c r="J493" s="321"/>
      <c r="K493" s="321"/>
      <c r="L493" s="321"/>
      <c r="M493" s="319"/>
      <c r="N493" s="322"/>
      <c r="O493" s="236" t="str">
        <f>'Profits 2016'!T5703</f>
        <v>FEDEX GROUND</v>
      </c>
      <c r="P493" s="284" t="str">
        <f>'Profits 2016'!U5703</f>
        <v>665645047092</v>
      </c>
      <c r="Q493" s="284" t="s">
        <v>314</v>
      </c>
      <c r="R493" s="276">
        <v>27.9</v>
      </c>
      <c r="S493" s="275" t="s">
        <v>15738</v>
      </c>
      <c r="T493" s="279">
        <v>42653</v>
      </c>
      <c r="U493" s="279">
        <v>42656</v>
      </c>
      <c r="V493" s="340">
        <v>42664</v>
      </c>
      <c r="W493" s="350">
        <f t="shared" ref="W493:W494" si="41">R493</f>
        <v>27.9</v>
      </c>
      <c r="X493" s="347">
        <v>9215</v>
      </c>
      <c r="AF493" s="276">
        <f t="shared" ref="AF493:AF532" si="42">G493+H494+R493+Y493</f>
        <v>131.4</v>
      </c>
      <c r="AG493" s="276">
        <f t="shared" si="34"/>
        <v>27.9</v>
      </c>
      <c r="AH493" s="276">
        <f t="shared" si="35"/>
        <v>163.36500000000001</v>
      </c>
      <c r="AI493" s="283">
        <f t="shared" si="36"/>
        <v>1.2432648401826485</v>
      </c>
    </row>
    <row r="494" spans="1:35" ht="30" x14ac:dyDescent="0.25">
      <c r="A494" s="275">
        <f>'Profits 2016'!A5704</f>
        <v>3004491</v>
      </c>
      <c r="B494" s="279">
        <f>'Profits 2016'!B5704</f>
        <v>42634</v>
      </c>
      <c r="C494" s="276">
        <f>'Profits 2016'!H5704</f>
        <v>193.04</v>
      </c>
      <c r="D494" s="280">
        <f>'Profits 2016'!K5704</f>
        <v>164.084</v>
      </c>
      <c r="E494" s="276">
        <f>'Profits 2016'!L5704</f>
        <v>950</v>
      </c>
      <c r="F494" s="275" t="str">
        <f>'Profits 2016'!P5704</f>
        <v>Nassau</v>
      </c>
      <c r="G494" s="292">
        <f>'Profits 2016'!N5704-'Profits 2016'!M5704</f>
        <v>95</v>
      </c>
      <c r="H494" s="319"/>
      <c r="I494" s="320"/>
      <c r="J494" s="321"/>
      <c r="K494" s="321"/>
      <c r="L494" s="321"/>
      <c r="M494" s="319"/>
      <c r="N494" s="322"/>
      <c r="O494" s="236" t="str">
        <f>'Profits 2016'!T5704</f>
        <v>FEDEX GROUND</v>
      </c>
      <c r="P494" s="284" t="str">
        <f>'Profits 2016'!U5704</f>
        <v>680483360222</v>
      </c>
      <c r="Q494" s="284" t="s">
        <v>314</v>
      </c>
      <c r="R494" s="276">
        <v>42.18</v>
      </c>
      <c r="S494" s="275" t="s">
        <v>15738</v>
      </c>
      <c r="T494" s="279">
        <v>42653</v>
      </c>
      <c r="U494" s="279">
        <v>42656</v>
      </c>
      <c r="V494" s="340">
        <v>42664</v>
      </c>
      <c r="W494" s="350">
        <f t="shared" si="41"/>
        <v>42.18</v>
      </c>
      <c r="X494" s="347">
        <v>9215</v>
      </c>
      <c r="AF494" s="276">
        <f t="shared" si="42"/>
        <v>137.18</v>
      </c>
      <c r="AG494" s="276">
        <f t="shared" si="34"/>
        <v>42.18</v>
      </c>
      <c r="AH494" s="276">
        <f t="shared" si="35"/>
        <v>121.904</v>
      </c>
      <c r="AI494" s="283">
        <f t="shared" si="36"/>
        <v>0.88864265927977837</v>
      </c>
    </row>
    <row r="495" spans="1:35" ht="30" x14ac:dyDescent="0.25">
      <c r="A495" s="275">
        <f>'Profits 2016'!A5705</f>
        <v>3004492</v>
      </c>
      <c r="B495" s="279">
        <f>'Profits 2016'!B5705</f>
        <v>42634</v>
      </c>
      <c r="C495" s="276">
        <f>'Profits 2016'!H5705</f>
        <v>129.15</v>
      </c>
      <c r="D495" s="280">
        <f>'Profits 2016'!K5705</f>
        <v>109.7775</v>
      </c>
      <c r="E495" s="276">
        <f>'Profits 2016'!L5705</f>
        <v>200</v>
      </c>
      <c r="F495" s="275" t="str">
        <f>'Profits 2016'!P5705</f>
        <v>Nassau</v>
      </c>
      <c r="G495" s="292">
        <f>'Profits 2016'!N5705-'Profits 2016'!M5705</f>
        <v>50.000000000000007</v>
      </c>
      <c r="H495" s="319"/>
      <c r="I495" s="320"/>
      <c r="J495" s="321"/>
      <c r="K495" s="321"/>
      <c r="L495" s="321"/>
      <c r="M495" s="319"/>
      <c r="N495" s="322"/>
      <c r="O495" s="236" t="str">
        <f>'Profits 2016'!T5705</f>
        <v>FEDEX GROUND</v>
      </c>
      <c r="P495" s="284" t="str">
        <f>'Profits 2016'!U5705</f>
        <v xml:space="preserve">  680483360196 </v>
      </c>
      <c r="Q495" s="284" t="s">
        <v>314</v>
      </c>
      <c r="R495" s="276">
        <v>23.65</v>
      </c>
      <c r="S495" s="275" t="s">
        <v>15744</v>
      </c>
      <c r="T495" s="279">
        <v>42646</v>
      </c>
      <c r="U495" s="279">
        <v>42653</v>
      </c>
      <c r="V495" s="279">
        <v>42657</v>
      </c>
      <c r="W495" s="293">
        <v>0</v>
      </c>
      <c r="X495" s="236">
        <v>9174</v>
      </c>
      <c r="AF495" s="276">
        <f>G495+H496+R495+Y495</f>
        <v>73.650000000000006</v>
      </c>
      <c r="AG495" s="276">
        <f t="shared" si="34"/>
        <v>23.65</v>
      </c>
      <c r="AH495" s="276">
        <f t="shared" si="35"/>
        <v>86.127499999999998</v>
      </c>
      <c r="AI495" s="283">
        <f t="shared" si="36"/>
        <v>1.169416157501697</v>
      </c>
    </row>
    <row r="496" spans="1:35" ht="30" x14ac:dyDescent="0.25">
      <c r="A496" s="275">
        <f>'Profits 2016'!A5706</f>
        <v>3004493</v>
      </c>
      <c r="B496" s="279">
        <f>'Profits 2016'!B5706</f>
        <v>42634</v>
      </c>
      <c r="C496" s="276">
        <f>'Profits 2016'!H5706</f>
        <v>129.47</v>
      </c>
      <c r="D496" s="280">
        <f>'Profits 2016'!K5706</f>
        <v>115.05777</v>
      </c>
      <c r="E496" s="276">
        <f>'Profits 2016'!L5706</f>
        <v>235</v>
      </c>
      <c r="F496" s="275" t="str">
        <f>'Profits 2016'!P5706</f>
        <v>Nassau</v>
      </c>
      <c r="G496" s="292">
        <f>'Profits 2016'!N5706-'Profits 2016'!M5706</f>
        <v>35.25</v>
      </c>
      <c r="H496" s="319"/>
      <c r="I496" s="320"/>
      <c r="J496" s="321"/>
      <c r="K496" s="321"/>
      <c r="L496" s="321"/>
      <c r="M496" s="319"/>
      <c r="N496" s="322"/>
      <c r="O496" s="236" t="str">
        <f>'Profits 2016'!T5706</f>
        <v>FEDEX GROUND</v>
      </c>
      <c r="P496" s="284" t="str">
        <f>'Profits 2016'!U5706</f>
        <v>665645047107</v>
      </c>
      <c r="Q496" s="284" t="s">
        <v>314</v>
      </c>
      <c r="R496" s="276">
        <v>23.8</v>
      </c>
      <c r="S496" s="275" t="s">
        <v>15744</v>
      </c>
      <c r="T496" s="279">
        <v>42646</v>
      </c>
      <c r="U496" s="279">
        <v>42653</v>
      </c>
      <c r="V496" s="279">
        <v>42657</v>
      </c>
      <c r="W496" s="293">
        <v>0</v>
      </c>
      <c r="X496" s="236">
        <v>9174</v>
      </c>
      <c r="AF496" s="276">
        <f>G496+H497+R496+Y496</f>
        <v>59.05</v>
      </c>
      <c r="AG496" s="276">
        <f t="shared" si="34"/>
        <v>23.8</v>
      </c>
      <c r="AH496" s="276">
        <f t="shared" si="35"/>
        <v>91.257770000000008</v>
      </c>
      <c r="AI496" s="283">
        <f t="shared" si="36"/>
        <v>1.5454321761219307</v>
      </c>
    </row>
    <row r="497" spans="1:35" ht="45" x14ac:dyDescent="0.25">
      <c r="A497" s="275">
        <f>'Profits 2016'!A5707</f>
        <v>3004494</v>
      </c>
      <c r="B497" s="279">
        <f>'Profits 2016'!B5707</f>
        <v>42634</v>
      </c>
      <c r="C497" s="276">
        <f>'Profits 2016'!H5707</f>
        <v>8639.5</v>
      </c>
      <c r="D497" s="280">
        <f>'Profits 2016'!K5707</f>
        <v>8639.5</v>
      </c>
      <c r="E497" s="276">
        <f>'Profits 2016'!L5707</f>
        <v>0</v>
      </c>
      <c r="F497" s="275" t="str">
        <f>'Profits 2016'!P5707</f>
        <v>Atlanta</v>
      </c>
      <c r="G497" s="292">
        <f>'Profits 2016'!N5707-'Profits 2016'!M5707</f>
        <v>0</v>
      </c>
      <c r="O497" s="236" t="str">
        <f>'Profits 2016'!T5707</f>
        <v>ROAD RUNNER/ECHO</v>
      </c>
      <c r="P497" s="284" t="str">
        <f>'Profits 2016'!U5707</f>
        <v xml:space="preserve">	363669367</v>
      </c>
      <c r="Q497" s="284" t="s">
        <v>15767</v>
      </c>
      <c r="R497" s="276">
        <v>237.32</v>
      </c>
      <c r="S497" s="275" t="s">
        <v>15791</v>
      </c>
      <c r="T497" s="279">
        <v>42653</v>
      </c>
      <c r="U497" s="279">
        <v>42657</v>
      </c>
      <c r="V497" s="279">
        <v>42678</v>
      </c>
      <c r="W497" s="293">
        <v>237.32</v>
      </c>
      <c r="X497" s="236">
        <v>9299</v>
      </c>
      <c r="AF497" s="276">
        <f t="shared" si="42"/>
        <v>237.32</v>
      </c>
      <c r="AG497" s="276">
        <f t="shared" si="34"/>
        <v>237.32</v>
      </c>
      <c r="AH497" s="276">
        <f t="shared" si="35"/>
        <v>8402.18</v>
      </c>
      <c r="AI497" s="283">
        <f t="shared" si="36"/>
        <v>35.404432833305243</v>
      </c>
    </row>
    <row r="498" spans="1:35" x14ac:dyDescent="0.25">
      <c r="A498" s="275">
        <f>'Profits 2016'!A5708</f>
        <v>0</v>
      </c>
      <c r="B498" s="279">
        <f>'Profits 2016'!B5708</f>
        <v>0</v>
      </c>
      <c r="C498" s="276">
        <f>'Profits 2016'!H5708</f>
        <v>0</v>
      </c>
      <c r="D498" s="280">
        <f>'Profits 2016'!K5708</f>
        <v>0</v>
      </c>
      <c r="E498" s="276">
        <f>'Profits 2016'!L5708</f>
        <v>0</v>
      </c>
      <c r="F498" s="275" t="str">
        <f>'Profits 2016'!P5708</f>
        <v>Atlanta</v>
      </c>
      <c r="G498" s="292">
        <f>'Profits 2016'!N5708-'Profits 2016'!M5708</f>
        <v>0</v>
      </c>
      <c r="O498" s="236">
        <f>'Profits 2016'!T5708</f>
        <v>0</v>
      </c>
      <c r="P498" s="284">
        <f>'Profits 2016'!U5708</f>
        <v>0</v>
      </c>
      <c r="Q498" s="284" t="s">
        <v>15767</v>
      </c>
      <c r="R498" s="276">
        <v>0</v>
      </c>
      <c r="S498" s="275" t="s">
        <v>15791</v>
      </c>
      <c r="T498" s="279">
        <v>42653</v>
      </c>
      <c r="U498" s="279">
        <v>42657</v>
      </c>
      <c r="V498" s="279">
        <v>42678</v>
      </c>
      <c r="W498" s="293">
        <v>0</v>
      </c>
      <c r="X498" s="236">
        <v>9299</v>
      </c>
      <c r="AF498" s="276">
        <f t="shared" si="42"/>
        <v>0</v>
      </c>
      <c r="AG498" s="276">
        <f t="shared" si="34"/>
        <v>0</v>
      </c>
      <c r="AH498" s="276">
        <f t="shared" si="35"/>
        <v>0</v>
      </c>
      <c r="AI498" s="283" t="e">
        <f t="shared" si="36"/>
        <v>#DIV/0!</v>
      </c>
    </row>
    <row r="499" spans="1:35" x14ac:dyDescent="0.25">
      <c r="A499" s="275">
        <f>'Profits 2016'!A5709</f>
        <v>0</v>
      </c>
      <c r="B499" s="279">
        <f>'Profits 2016'!B5709</f>
        <v>0</v>
      </c>
      <c r="C499" s="276">
        <f>'Profits 2016'!H5709</f>
        <v>0</v>
      </c>
      <c r="D499" s="280">
        <f>'Profits 2016'!K5709</f>
        <v>0</v>
      </c>
      <c r="E499" s="276">
        <f>'Profits 2016'!L5709</f>
        <v>0</v>
      </c>
      <c r="F499" s="275" t="str">
        <f>'Profits 2016'!P5709</f>
        <v>Atlanta</v>
      </c>
      <c r="G499" s="292">
        <f>'Profits 2016'!N5709-'Profits 2016'!M5709</f>
        <v>0</v>
      </c>
      <c r="O499" s="236">
        <f>'Profits 2016'!T5709</f>
        <v>0</v>
      </c>
      <c r="P499" s="284">
        <f>'Profits 2016'!U5709</f>
        <v>0</v>
      </c>
      <c r="Q499" s="284" t="s">
        <v>15767</v>
      </c>
      <c r="R499" s="276">
        <v>0</v>
      </c>
      <c r="S499" s="275" t="s">
        <v>15791</v>
      </c>
      <c r="T499" s="279">
        <v>42653</v>
      </c>
      <c r="U499" s="279">
        <v>42657</v>
      </c>
      <c r="V499" s="279">
        <v>42678</v>
      </c>
      <c r="W499" s="293">
        <v>0</v>
      </c>
      <c r="X499" s="236">
        <v>9299</v>
      </c>
      <c r="AF499" s="276">
        <f>G499+H500+R499+Y499</f>
        <v>0</v>
      </c>
      <c r="AG499" s="276">
        <f t="shared" si="34"/>
        <v>0</v>
      </c>
      <c r="AH499" s="276">
        <f t="shared" si="35"/>
        <v>0</v>
      </c>
      <c r="AI499" s="283" t="e">
        <f t="shared" si="36"/>
        <v>#DIV/0!</v>
      </c>
    </row>
    <row r="500" spans="1:35" x14ac:dyDescent="0.25">
      <c r="A500" s="275">
        <f>'Profits 2016'!A5710</f>
        <v>0</v>
      </c>
      <c r="B500" s="279">
        <f>'Profits 2016'!B5710</f>
        <v>0</v>
      </c>
      <c r="C500" s="276">
        <f>'Profits 2016'!H5710</f>
        <v>0</v>
      </c>
      <c r="D500" s="280">
        <f>'Profits 2016'!K5710</f>
        <v>0</v>
      </c>
      <c r="E500" s="276">
        <f>'Profits 2016'!L5710</f>
        <v>0</v>
      </c>
      <c r="F500" s="275" t="str">
        <f>'Profits 2016'!P5710</f>
        <v>Atlanta</v>
      </c>
      <c r="G500" s="292">
        <f>'Profits 2016'!N5710-'Profits 2016'!M5710</f>
        <v>0</v>
      </c>
      <c r="O500" s="236">
        <f>'Profits 2016'!T5710</f>
        <v>0</v>
      </c>
      <c r="P500" s="284">
        <f>'Profits 2016'!U5710</f>
        <v>0</v>
      </c>
      <c r="Q500" s="284" t="s">
        <v>15767</v>
      </c>
      <c r="R500" s="276">
        <v>0</v>
      </c>
      <c r="S500" s="275" t="s">
        <v>15791</v>
      </c>
      <c r="T500" s="279">
        <v>42653</v>
      </c>
      <c r="U500" s="279">
        <v>42657</v>
      </c>
      <c r="V500" s="279">
        <v>42678</v>
      </c>
      <c r="W500" s="293">
        <v>0</v>
      </c>
      <c r="X500" s="236">
        <v>9299</v>
      </c>
      <c r="AF500" s="276">
        <f t="shared" si="42"/>
        <v>0</v>
      </c>
      <c r="AG500" s="276">
        <f t="shared" si="34"/>
        <v>0</v>
      </c>
      <c r="AH500" s="276">
        <f t="shared" si="35"/>
        <v>0</v>
      </c>
      <c r="AI500" s="283" t="e">
        <f t="shared" si="36"/>
        <v>#DIV/0!</v>
      </c>
    </row>
    <row r="501" spans="1:35" x14ac:dyDescent="0.25">
      <c r="A501" s="275">
        <f>'Profits 2016'!A5714</f>
        <v>3004495</v>
      </c>
      <c r="B501" s="279">
        <f>'Profits 2016'!B5714</f>
        <v>42634</v>
      </c>
      <c r="C501" s="276">
        <f>'Profits 2016'!H5714</f>
        <v>335</v>
      </c>
      <c r="D501" s="280">
        <f>'Profits 2016'!K5714</f>
        <v>327.33</v>
      </c>
      <c r="E501" s="276">
        <f>'Profits 2016'!L5714</f>
        <v>750</v>
      </c>
      <c r="F501" s="275" t="str">
        <f>'Profits 2016'!P5714</f>
        <v>Houston</v>
      </c>
      <c r="G501" s="292">
        <f>'Profits 2016'!N5714-'Profits 2016'!M5714</f>
        <v>150</v>
      </c>
      <c r="H501" s="292">
        <v>0</v>
      </c>
      <c r="I501" s="275">
        <v>30902061</v>
      </c>
      <c r="J501" s="277">
        <v>42634</v>
      </c>
      <c r="K501" s="277">
        <v>42639</v>
      </c>
      <c r="L501" s="277">
        <v>42664</v>
      </c>
      <c r="M501" s="292">
        <v>150</v>
      </c>
      <c r="N501" s="281">
        <v>9234</v>
      </c>
      <c r="O501" s="236" t="str">
        <f>'Profits 2016'!T5714</f>
        <v>UPS</v>
      </c>
      <c r="P501" s="284" t="str">
        <f>'Profits 2016'!U5714</f>
        <v>1Z6096310142966832</v>
      </c>
      <c r="AF501" s="276">
        <f t="shared" si="42"/>
        <v>150</v>
      </c>
      <c r="AG501" s="276">
        <f t="shared" si="34"/>
        <v>150</v>
      </c>
      <c r="AH501" s="276">
        <f t="shared" si="35"/>
        <v>177.32999999999998</v>
      </c>
      <c r="AI501" s="283">
        <f t="shared" si="36"/>
        <v>1.1821999999999999</v>
      </c>
    </row>
    <row r="502" spans="1:35" ht="45" x14ac:dyDescent="0.25">
      <c r="A502" s="275">
        <f>'Profits 2016'!A5715</f>
        <v>3004496</v>
      </c>
      <c r="B502" s="279">
        <f>'Profits 2016'!B5715</f>
        <v>42634</v>
      </c>
      <c r="C502" s="276">
        <f>'Profits 2016'!H5715</f>
        <v>1426.54</v>
      </c>
      <c r="D502" s="280">
        <f>'Profits 2016'!K5715</f>
        <v>1394.8561199999999</v>
      </c>
      <c r="E502" s="276">
        <f>'Profits 2016'!L5715</f>
        <v>830</v>
      </c>
      <c r="F502" s="275" t="str">
        <f>'Profits 2016'!P5715</f>
        <v>Thea</v>
      </c>
      <c r="G502" s="292">
        <f>'Profits 2016'!N5715-'Profits 2016'!M5715</f>
        <v>547.80000000000007</v>
      </c>
      <c r="H502" s="319"/>
      <c r="I502" s="320"/>
      <c r="J502" s="321"/>
      <c r="K502" s="321"/>
      <c r="L502" s="321"/>
      <c r="M502" s="319"/>
      <c r="N502" s="322"/>
      <c r="O502" s="236" t="str">
        <f>'Profits 2016'!T5715</f>
        <v>DAYLIGHT TRANS/ECHO </v>
      </c>
      <c r="P502" s="284" t="str">
        <f>'Profits 2016'!U5715</f>
        <v>26439315</v>
      </c>
      <c r="Q502" s="284" t="s">
        <v>15767</v>
      </c>
      <c r="R502" s="276">
        <v>219.57</v>
      </c>
      <c r="S502" s="275" t="s">
        <v>15792</v>
      </c>
      <c r="T502" s="279">
        <v>42648</v>
      </c>
      <c r="U502" s="279">
        <v>42654</v>
      </c>
      <c r="V502" s="279">
        <v>42678</v>
      </c>
      <c r="W502" s="293">
        <v>219.57</v>
      </c>
      <c r="X502" s="236">
        <v>9296</v>
      </c>
      <c r="Y502" s="276">
        <v>30.94</v>
      </c>
      <c r="Z502" s="236" t="s">
        <v>15793</v>
      </c>
      <c r="AA502" s="279">
        <v>42674</v>
      </c>
      <c r="AB502" s="279">
        <v>42681</v>
      </c>
      <c r="AF502" s="276">
        <f>G502+H503+R502+Y502</f>
        <v>798.31000000000017</v>
      </c>
      <c r="AG502" s="276">
        <f t="shared" si="34"/>
        <v>250.51</v>
      </c>
      <c r="AH502" s="276">
        <f t="shared" si="35"/>
        <v>1144.3461199999999</v>
      </c>
      <c r="AI502" s="283">
        <f t="shared" si="36"/>
        <v>1.4334608360160837</v>
      </c>
    </row>
    <row r="503" spans="1:35" ht="30" x14ac:dyDescent="0.25">
      <c r="A503" s="275">
        <f>'Profits 2016'!A5716</f>
        <v>3004497</v>
      </c>
      <c r="B503" s="279">
        <f>'Profits 2016'!B5716</f>
        <v>42634</v>
      </c>
      <c r="C503" s="276">
        <f>'Profits 2016'!H5716</f>
        <v>1329</v>
      </c>
      <c r="D503" s="280">
        <f>'Profits 2016'!K5716</f>
        <v>1299.462</v>
      </c>
      <c r="E503" s="276">
        <f>'Profits 2016'!L5716</f>
        <v>1670</v>
      </c>
      <c r="F503" s="275" t="str">
        <f>'Profits 2016'!P5716</f>
        <v>Priority</v>
      </c>
      <c r="G503" s="292">
        <f>'Profits 2016'!N5716-'Profits 2016'!M5716</f>
        <v>1127.25</v>
      </c>
      <c r="H503" s="292">
        <v>0</v>
      </c>
      <c r="I503" s="275">
        <v>1058307</v>
      </c>
      <c r="J503" s="277">
        <v>42635</v>
      </c>
      <c r="K503" s="277">
        <v>42642</v>
      </c>
      <c r="L503" s="277">
        <v>42664</v>
      </c>
      <c r="M503" s="292">
        <v>1127.25</v>
      </c>
      <c r="N503" s="281">
        <v>9235</v>
      </c>
      <c r="O503" s="236" t="str">
        <f>'Profits 2016'!T5716</f>
        <v>Customer Pick Up</v>
      </c>
      <c r="P503" s="284" t="str">
        <f>'Profits 2016'!U5716</f>
        <v>Customer Pick Up</v>
      </c>
      <c r="AF503" s="276">
        <f t="shared" si="42"/>
        <v>1127.25</v>
      </c>
      <c r="AG503" s="276">
        <f t="shared" si="34"/>
        <v>1127.25</v>
      </c>
      <c r="AH503" s="276">
        <f t="shared" si="35"/>
        <v>172.21199999999999</v>
      </c>
      <c r="AI503" s="283">
        <f t="shared" si="36"/>
        <v>0.15277178975382566</v>
      </c>
    </row>
    <row r="504" spans="1:35" ht="30" x14ac:dyDescent="0.25">
      <c r="A504" s="275">
        <f>'Profits 2016'!A5717</f>
        <v>3004498</v>
      </c>
      <c r="B504" s="279">
        <f>'Profits 2016'!B5717</f>
        <v>42635</v>
      </c>
      <c r="C504" s="276">
        <f>'Profits 2016'!H5717</f>
        <v>550</v>
      </c>
      <c r="D504" s="280">
        <f>'Profits 2016'!K5717</f>
        <v>537.6</v>
      </c>
      <c r="E504" s="276">
        <f>'Profits 2016'!L5717</f>
        <v>1322</v>
      </c>
      <c r="F504" s="275" t="str">
        <f>'Profits 2016'!P5717</f>
        <v>Nassau</v>
      </c>
      <c r="G504" s="292">
        <f>'Profits 2016'!N5717-'Profits 2016'!M5717</f>
        <v>330.5</v>
      </c>
      <c r="H504" s="319"/>
      <c r="I504" s="320"/>
      <c r="J504" s="321"/>
      <c r="K504" s="321"/>
      <c r="L504" s="321"/>
      <c r="M504" s="319"/>
      <c r="N504" s="322"/>
      <c r="O504" s="236" t="str">
        <f>'Profits 2016'!T5717</f>
        <v>CUSTOMER PICK UP</v>
      </c>
      <c r="P504" s="284" t="str">
        <f>'Profits 2016'!U5717</f>
        <v>CUSTOMER PICK UP</v>
      </c>
      <c r="AF504" s="276">
        <f t="shared" si="42"/>
        <v>330.5</v>
      </c>
      <c r="AG504" s="276">
        <f t="shared" si="34"/>
        <v>0</v>
      </c>
      <c r="AH504" s="276">
        <f t="shared" si="35"/>
        <v>537.6</v>
      </c>
      <c r="AI504" s="283">
        <f t="shared" si="36"/>
        <v>1.6266263237518912</v>
      </c>
    </row>
    <row r="505" spans="1:35" ht="30" x14ac:dyDescent="0.25">
      <c r="A505" s="275">
        <f>'Profits 2016'!A5718</f>
        <v>3004499</v>
      </c>
      <c r="B505" s="279">
        <f>'Profits 2016'!B5718</f>
        <v>42635</v>
      </c>
      <c r="C505" s="276">
        <f>'Profits 2016'!H5718</f>
        <v>776</v>
      </c>
      <c r="D505" s="280">
        <f>'Profits 2016'!K5718</f>
        <v>758.62800000000004</v>
      </c>
      <c r="E505" s="276">
        <f>'Profits 2016'!L5718</f>
        <v>388</v>
      </c>
      <c r="F505" s="275" t="str">
        <f>'Profits 2016'!P5718</f>
        <v>Okonite</v>
      </c>
      <c r="G505" s="292">
        <f>'Profits 2016'!N5718-'Profits 2016'!M5718</f>
        <v>252.20000000000002</v>
      </c>
      <c r="H505" s="292">
        <v>0</v>
      </c>
      <c r="I505" s="275">
        <v>17316</v>
      </c>
      <c r="J505" s="277">
        <v>42648</v>
      </c>
      <c r="K505" s="277">
        <v>42650</v>
      </c>
      <c r="L505" s="277">
        <v>42671</v>
      </c>
      <c r="M505" s="292">
        <v>252.2</v>
      </c>
      <c r="N505" s="281">
        <v>9268</v>
      </c>
      <c r="O505" s="236" t="str">
        <f>'Profits 2016'!T5718</f>
        <v>FEDEX GROUND</v>
      </c>
      <c r="P505" s="284">
        <f>'Profits 2016'!U5718</f>
        <v>0</v>
      </c>
      <c r="AF505" s="276">
        <f t="shared" si="42"/>
        <v>252.20000000000002</v>
      </c>
      <c r="AG505" s="276">
        <f t="shared" si="34"/>
        <v>252.2</v>
      </c>
      <c r="AH505" s="276">
        <f t="shared" si="35"/>
        <v>506.42800000000005</v>
      </c>
      <c r="AI505" s="283">
        <f t="shared" si="36"/>
        <v>2.0080412371134022</v>
      </c>
    </row>
    <row r="506" spans="1:35" ht="30" x14ac:dyDescent="0.25">
      <c r="A506" s="275">
        <f>'Profits 2016'!A5719</f>
        <v>3004500</v>
      </c>
      <c r="B506" s="279">
        <f>'Profits 2016'!B5719</f>
        <v>42635</v>
      </c>
      <c r="C506" s="276">
        <f>'Profits 2016'!H5719</f>
        <v>1000</v>
      </c>
      <c r="D506" s="280">
        <f>'Profits 2016'!K5719</f>
        <v>980.7</v>
      </c>
      <c r="E506" s="276">
        <f>'Profits 2016'!L5719</f>
        <v>816.07</v>
      </c>
      <c r="F506" s="275" t="str">
        <f>'Profits 2016'!P5719</f>
        <v>General</v>
      </c>
      <c r="G506" s="292">
        <f>'Profits 2016'!N5719-'Profits 2016'!M5719</f>
        <v>204.01750000000001</v>
      </c>
      <c r="H506" s="292">
        <v>0</v>
      </c>
      <c r="I506" s="275">
        <v>3748774</v>
      </c>
      <c r="J506" s="277">
        <v>42636</v>
      </c>
      <c r="K506" s="277">
        <v>42643</v>
      </c>
      <c r="L506" s="277">
        <v>42650</v>
      </c>
      <c r="M506" s="292">
        <v>247.94</v>
      </c>
      <c r="N506" s="281">
        <v>9094</v>
      </c>
      <c r="O506" s="236" t="str">
        <f>'Profits 2016'!T5719</f>
        <v>Customer Pick Up</v>
      </c>
      <c r="P506" s="284" t="str">
        <f>'Profits 2016'!U5719</f>
        <v>Customer Pick Up</v>
      </c>
      <c r="Q506" s="284" t="s">
        <v>15741</v>
      </c>
      <c r="R506" s="276">
        <v>48</v>
      </c>
      <c r="S506" s="275">
        <v>3748774</v>
      </c>
      <c r="T506" s="277">
        <v>42636</v>
      </c>
      <c r="U506" s="277">
        <v>42643</v>
      </c>
      <c r="V506" s="279">
        <v>42650</v>
      </c>
      <c r="W506" s="293">
        <v>48</v>
      </c>
      <c r="X506" s="236">
        <v>9094</v>
      </c>
      <c r="AF506" s="276">
        <f t="shared" si="42"/>
        <v>250.20750000000001</v>
      </c>
      <c r="AG506" s="276">
        <f t="shared" si="34"/>
        <v>295.94</v>
      </c>
      <c r="AH506" s="276">
        <f t="shared" si="35"/>
        <v>684.76</v>
      </c>
      <c r="AI506" s="283">
        <f t="shared" si="36"/>
        <v>2.7367684821598073</v>
      </c>
    </row>
    <row r="507" spans="1:35" x14ac:dyDescent="0.25">
      <c r="A507" s="275">
        <f>'Profits 2016'!A5720</f>
        <v>0</v>
      </c>
      <c r="B507" s="279">
        <f>'Profits 2016'!B5720</f>
        <v>0</v>
      </c>
      <c r="C507" s="276">
        <f>'Profits 2016'!H5720</f>
        <v>0</v>
      </c>
      <c r="D507" s="280">
        <f>'Profits 2016'!K5720</f>
        <v>0</v>
      </c>
      <c r="E507" s="276">
        <f>'Profits 2016'!L5720</f>
        <v>490</v>
      </c>
      <c r="F507" s="275" t="str">
        <f>'Profits 2016'!P5720</f>
        <v>General</v>
      </c>
      <c r="G507" s="292">
        <f>'Profits 2016'!N5720-'Profits 2016'!M5720</f>
        <v>245</v>
      </c>
      <c r="H507" s="292">
        <v>-1.81</v>
      </c>
      <c r="I507" s="275">
        <v>3771557</v>
      </c>
      <c r="J507" s="277">
        <v>42664</v>
      </c>
      <c r="K507" s="277">
        <v>42670</v>
      </c>
      <c r="L507" s="277">
        <v>42678</v>
      </c>
      <c r="M507" s="292">
        <v>238.33</v>
      </c>
      <c r="N507" s="281">
        <v>9316</v>
      </c>
      <c r="O507" s="236">
        <f>'Profits 2016'!T5720</f>
        <v>0</v>
      </c>
      <c r="P507" s="284">
        <f>'Profits 2016'!U5720</f>
        <v>0</v>
      </c>
      <c r="AF507" s="276">
        <f t="shared" si="42"/>
        <v>245</v>
      </c>
      <c r="AG507" s="276">
        <f t="shared" si="34"/>
        <v>238.33</v>
      </c>
      <c r="AH507" s="276">
        <f t="shared" si="35"/>
        <v>-238.33</v>
      </c>
      <c r="AI507" s="283">
        <f t="shared" si="36"/>
        <v>-0.97277551020408171</v>
      </c>
    </row>
    <row r="508" spans="1:35" ht="30" x14ac:dyDescent="0.25">
      <c r="A508" s="275">
        <f>'Profits 2016'!A5721</f>
        <v>3004501</v>
      </c>
      <c r="B508" s="279">
        <f>'Profits 2016'!B5721</f>
        <v>42635</v>
      </c>
      <c r="C508" s="276">
        <f>'Profits 2016'!H5721</f>
        <v>4100</v>
      </c>
      <c r="D508" s="280">
        <f>'Profits 2016'!K5721</f>
        <v>4100</v>
      </c>
      <c r="E508" s="276">
        <f>'Profits 2016'!L5721</f>
        <v>3600</v>
      </c>
      <c r="F508" s="275" t="str">
        <f>'Profits 2016'!P5721</f>
        <v>Essex</v>
      </c>
      <c r="G508" s="292">
        <f>'Profits 2016'!N5721-'Profits 2016'!M5721</f>
        <v>1800</v>
      </c>
      <c r="O508" s="236" t="str">
        <f>'Profits 2016'!T5721</f>
        <v>R&amp;L/ECHO</v>
      </c>
      <c r="P508" s="284" t="str">
        <f>'Profits 2016'!U5721</f>
        <v xml:space="preserve">596989989
</v>
      </c>
      <c r="Q508" s="284" t="s">
        <v>15767</v>
      </c>
      <c r="R508" s="276">
        <v>307.77</v>
      </c>
      <c r="S508" s="275" t="s">
        <v>15794</v>
      </c>
      <c r="T508" s="279">
        <v>42664</v>
      </c>
      <c r="U508" s="279">
        <v>42670</v>
      </c>
      <c r="V508" s="279">
        <v>42692</v>
      </c>
      <c r="W508" s="293">
        <v>307.77</v>
      </c>
      <c r="X508" s="236">
        <v>9441</v>
      </c>
      <c r="AF508" s="276">
        <f t="shared" si="42"/>
        <v>2107.77</v>
      </c>
      <c r="AG508" s="276">
        <f t="shared" si="34"/>
        <v>307.77</v>
      </c>
      <c r="AH508" s="276">
        <f t="shared" si="35"/>
        <v>3792.23</v>
      </c>
      <c r="AI508" s="283">
        <f t="shared" si="36"/>
        <v>1.7991668920233232</v>
      </c>
    </row>
    <row r="509" spans="1:35" ht="30" x14ac:dyDescent="0.25">
      <c r="A509" s="275">
        <f>'Profits 2016'!A5722</f>
        <v>0</v>
      </c>
      <c r="B509" s="279">
        <f>'Profits 2016'!B5722</f>
        <v>0</v>
      </c>
      <c r="C509" s="276">
        <f>'Profits 2016'!H5722</f>
        <v>0</v>
      </c>
      <c r="D509" s="280">
        <f>'Profits 2016'!K5722</f>
        <v>0</v>
      </c>
      <c r="E509" s="276">
        <f>'Profits 2016'!L5722</f>
        <v>2030</v>
      </c>
      <c r="F509" s="275" t="str">
        <f>'Profits 2016'!P5722</f>
        <v>Nassau</v>
      </c>
      <c r="G509" s="292">
        <f>'Profits 2016'!N5722-'Profits 2016'!M5722</f>
        <v>1015</v>
      </c>
      <c r="H509" s="319"/>
      <c r="I509" s="320"/>
      <c r="J509" s="321"/>
      <c r="K509" s="321"/>
      <c r="L509" s="321"/>
      <c r="M509" s="319"/>
      <c r="N509" s="322"/>
      <c r="O509" s="236" t="str">
        <f>'Profits 2016'!T5722</f>
        <v>NEMF/ECHO</v>
      </c>
      <c r="P509" s="284" t="str">
        <f>'Profits 2016'!U5722</f>
        <v>24114028</v>
      </c>
      <c r="Q509" s="284" t="s">
        <v>15767</v>
      </c>
      <c r="R509" s="276">
        <v>128.97999999999999</v>
      </c>
      <c r="S509" s="275" t="s">
        <v>15795</v>
      </c>
      <c r="T509" s="279">
        <v>42674</v>
      </c>
      <c r="U509" s="279">
        <v>42692</v>
      </c>
      <c r="V509" s="279">
        <v>42697</v>
      </c>
      <c r="W509" s="293">
        <v>128.97999999999999</v>
      </c>
      <c r="X509" s="236">
        <v>9485</v>
      </c>
      <c r="AF509" s="276">
        <f t="shared" si="42"/>
        <v>1143.98</v>
      </c>
      <c r="AG509" s="276">
        <f t="shared" si="34"/>
        <v>128.97999999999999</v>
      </c>
      <c r="AH509" s="276">
        <f t="shared" si="35"/>
        <v>-128.97999999999999</v>
      </c>
      <c r="AI509" s="283">
        <f t="shared" si="36"/>
        <v>-0.11274672634136959</v>
      </c>
    </row>
    <row r="510" spans="1:35" ht="30" x14ac:dyDescent="0.25">
      <c r="A510" s="275">
        <f>'Profits 2016'!A5723</f>
        <v>3004502</v>
      </c>
      <c r="B510" s="279">
        <f>'Profits 2016'!B5723</f>
        <v>42635</v>
      </c>
      <c r="C510" s="276">
        <f>'Profits 2016'!H5723</f>
        <v>1550</v>
      </c>
      <c r="D510" s="280">
        <f>'Profits 2016'!K5723</f>
        <v>1515.6</v>
      </c>
      <c r="E510" s="276">
        <f>'Profits 2016'!L5723</f>
        <v>830</v>
      </c>
      <c r="F510" s="275" t="str">
        <f>'Profits 2016'!P5723</f>
        <v>Thea</v>
      </c>
      <c r="G510" s="292">
        <f>'Profits 2016'!N5723-'Profits 2016'!M5723</f>
        <v>830</v>
      </c>
      <c r="H510" s="319"/>
      <c r="I510" s="320"/>
      <c r="J510" s="321"/>
      <c r="K510" s="321"/>
      <c r="L510" s="321"/>
      <c r="M510" s="319"/>
      <c r="N510" s="322"/>
      <c r="O510" s="236" t="str">
        <f>'Profits 2016'!T5723</f>
        <v>NEW PENN/DLS</v>
      </c>
      <c r="P510" s="284" t="str">
        <f>'Profits 2016'!U5723</f>
        <v>88823142-0</v>
      </c>
      <c r="Q510" s="284" t="s">
        <v>15742</v>
      </c>
      <c r="R510" s="276">
        <v>111.24</v>
      </c>
      <c r="S510" s="275">
        <v>636778449</v>
      </c>
      <c r="T510" s="279">
        <v>42642</v>
      </c>
      <c r="U510" s="279">
        <v>42646</v>
      </c>
      <c r="V510" s="279">
        <v>42650</v>
      </c>
      <c r="W510" s="293">
        <v>111.24</v>
      </c>
      <c r="X510" s="236">
        <v>9122</v>
      </c>
      <c r="AF510" s="276">
        <f t="shared" si="42"/>
        <v>941.24</v>
      </c>
      <c r="AG510" s="276">
        <f t="shared" si="34"/>
        <v>111.24</v>
      </c>
      <c r="AH510" s="276">
        <f t="shared" si="35"/>
        <v>1404.36</v>
      </c>
      <c r="AI510" s="283">
        <f t="shared" si="36"/>
        <v>1.4920317878543197</v>
      </c>
    </row>
    <row r="511" spans="1:35" ht="30" x14ac:dyDescent="0.25">
      <c r="A511" s="275">
        <f>'Profits 2016'!A5724</f>
        <v>3004503</v>
      </c>
      <c r="B511" s="279">
        <f>'Profits 2016'!B5724</f>
        <v>42635</v>
      </c>
      <c r="C511" s="276">
        <f>'Profits 2016'!H5724</f>
        <v>319.27999999999997</v>
      </c>
      <c r="D511" s="280">
        <f>'Profits 2016'!K5724</f>
        <v>284.17847999999998</v>
      </c>
      <c r="E511" s="276">
        <f>'Profits 2016'!L5724</f>
        <v>990</v>
      </c>
      <c r="F511" s="275" t="str">
        <f>'Profits 2016'!P5724</f>
        <v>Nassau</v>
      </c>
      <c r="G511" s="292">
        <f>'Profits 2016'!N5724-'Profits 2016'!M5724</f>
        <v>148.5</v>
      </c>
      <c r="H511" s="319"/>
      <c r="I511" s="320"/>
      <c r="J511" s="321"/>
      <c r="K511" s="321"/>
      <c r="L511" s="321"/>
      <c r="M511" s="319"/>
      <c r="N511" s="322"/>
      <c r="O511" s="236" t="str">
        <f>'Profits 2016'!T5724</f>
        <v>FEDEX GROUND</v>
      </c>
      <c r="P511" s="284" t="str">
        <f>'Profits 2016'!U5724</f>
        <v>665645047129</v>
      </c>
      <c r="Q511" s="284" t="s">
        <v>314</v>
      </c>
      <c r="R511" s="276">
        <v>35.909999999999997</v>
      </c>
      <c r="S511" s="275" t="s">
        <v>15744</v>
      </c>
      <c r="T511" s="279">
        <v>42646</v>
      </c>
      <c r="U511" s="279">
        <v>42653</v>
      </c>
      <c r="V511" s="279">
        <v>42657</v>
      </c>
      <c r="W511" s="293">
        <v>0</v>
      </c>
      <c r="X511" s="236">
        <v>9174</v>
      </c>
      <c r="AF511" s="276">
        <f t="shared" si="42"/>
        <v>184.41</v>
      </c>
      <c r="AG511" s="276">
        <f t="shared" si="34"/>
        <v>35.909999999999997</v>
      </c>
      <c r="AH511" s="276">
        <f t="shared" si="35"/>
        <v>248.26847999999998</v>
      </c>
      <c r="AI511" s="283">
        <f t="shared" si="36"/>
        <v>1.3462853424434682</v>
      </c>
    </row>
    <row r="512" spans="1:35" ht="45" x14ac:dyDescent="0.25">
      <c r="A512" s="275">
        <f>'Profits 2016'!A5725</f>
        <v>3004504</v>
      </c>
      <c r="B512" s="279">
        <f>'Profits 2016'!B5725</f>
        <v>42635</v>
      </c>
      <c r="C512" s="276">
        <f>'Profits 2016'!H5725</f>
        <v>855</v>
      </c>
      <c r="D512" s="280">
        <f>'Profits 2016'!K5725</f>
        <v>761.505</v>
      </c>
      <c r="E512" s="276">
        <f>'Profits 2016'!L5725</f>
        <v>1640</v>
      </c>
      <c r="F512" s="275" t="str">
        <f>'Profits 2016'!P5725</f>
        <v>Service</v>
      </c>
      <c r="G512" s="292">
        <f>'Profits 2016'!N5725-'Profits 2016'!M5725</f>
        <v>492</v>
      </c>
      <c r="H512" s="292">
        <v>0</v>
      </c>
      <c r="I512" s="275">
        <v>50262362</v>
      </c>
      <c r="J512" s="277">
        <v>42635</v>
      </c>
      <c r="K512" s="277">
        <v>42639</v>
      </c>
      <c r="L512" s="277">
        <v>42664</v>
      </c>
      <c r="M512" s="292">
        <v>492</v>
      </c>
      <c r="N512" s="281">
        <v>9231</v>
      </c>
      <c r="O512" s="236" t="str">
        <f>'Profits 2016'!T5725</f>
        <v>OLD DOMINION</v>
      </c>
      <c r="P512" s="284" t="str">
        <f>'Profits 2016'!U5725</f>
        <v>083083356281</v>
      </c>
      <c r="AF512" s="276">
        <f t="shared" si="42"/>
        <v>492</v>
      </c>
      <c r="AG512" s="276">
        <f t="shared" si="34"/>
        <v>492</v>
      </c>
      <c r="AH512" s="276">
        <f t="shared" si="35"/>
        <v>269.505</v>
      </c>
      <c r="AI512" s="283">
        <f t="shared" si="36"/>
        <v>0.5477743902439024</v>
      </c>
    </row>
    <row r="513" spans="1:35" ht="30" x14ac:dyDescent="0.25">
      <c r="A513" s="275">
        <f>'Profits 2016'!A5726</f>
        <v>3004505</v>
      </c>
      <c r="B513" s="279">
        <f>'Profits 2016'!B5726</f>
        <v>42635</v>
      </c>
      <c r="C513" s="276">
        <f>'Profits 2016'!H5726</f>
        <v>155.5</v>
      </c>
      <c r="D513" s="280">
        <f>'Profits 2016'!K5726</f>
        <v>138.25049999999999</v>
      </c>
      <c r="E513" s="276">
        <f>'Profits 2016'!L5726</f>
        <v>1450</v>
      </c>
      <c r="F513" s="275" t="str">
        <f>'Profits 2016'!P5726</f>
        <v>Direct</v>
      </c>
      <c r="G513" s="292">
        <f>'Profits 2016'!N5726-'Profits 2016'!M5726</f>
        <v>72.5</v>
      </c>
      <c r="H513" s="292">
        <v>0</v>
      </c>
      <c r="I513" s="275">
        <v>73417</v>
      </c>
      <c r="J513" s="277">
        <v>42641</v>
      </c>
      <c r="K513" s="277">
        <v>42647</v>
      </c>
      <c r="L513" s="277">
        <v>42650</v>
      </c>
      <c r="M513" s="292">
        <v>71.05</v>
      </c>
      <c r="N513" s="281">
        <v>9067</v>
      </c>
      <c r="O513" s="236" t="str">
        <f>'Profits 2016'!T5726</f>
        <v>FEDEX GROUND</v>
      </c>
      <c r="P513" s="284" t="str">
        <f>'Profits 2016'!U5726</f>
        <v>642286529040</v>
      </c>
      <c r="Q513" s="284" t="s">
        <v>314</v>
      </c>
      <c r="R513" s="276">
        <v>15.72</v>
      </c>
      <c r="S513" s="275" t="s">
        <v>15738</v>
      </c>
      <c r="T513" s="279">
        <v>42653</v>
      </c>
      <c r="U513" s="279">
        <v>42656</v>
      </c>
      <c r="V513" s="340">
        <v>42664</v>
      </c>
      <c r="W513" s="350">
        <f>R513</f>
        <v>15.72</v>
      </c>
      <c r="X513" s="347">
        <v>9215</v>
      </c>
      <c r="AF513" s="276">
        <f t="shared" si="42"/>
        <v>88.22</v>
      </c>
      <c r="AG513" s="276">
        <f t="shared" si="34"/>
        <v>86.77</v>
      </c>
      <c r="AH513" s="276">
        <f t="shared" si="35"/>
        <v>51.480499999999992</v>
      </c>
      <c r="AI513" s="283">
        <f t="shared" si="36"/>
        <v>0.58354681478122872</v>
      </c>
    </row>
    <row r="514" spans="1:35" ht="45" x14ac:dyDescent="0.25">
      <c r="A514" s="275">
        <f>'Profits 2016'!A5727</f>
        <v>3004506</v>
      </c>
      <c r="B514" s="279">
        <f>'Profits 2016'!B5727</f>
        <v>42635</v>
      </c>
      <c r="C514" s="276">
        <f>'Profits 2016'!H5727</f>
        <v>597.51</v>
      </c>
      <c r="D514" s="280">
        <f>'Profits 2016'!K5727</f>
        <v>532.08141000000001</v>
      </c>
      <c r="E514" s="276">
        <f>'Profits 2016'!L5727</f>
        <v>1015</v>
      </c>
      <c r="F514" s="275" t="str">
        <f>'Profits 2016'!P5727</f>
        <v>Nassau</v>
      </c>
      <c r="G514" s="292">
        <f>'Profits 2016'!N5727-'Profits 2016'!M5727</f>
        <v>253.75</v>
      </c>
      <c r="H514" s="319"/>
      <c r="I514" s="320"/>
      <c r="J514" s="321"/>
      <c r="K514" s="321"/>
      <c r="L514" s="321"/>
      <c r="M514" s="319"/>
      <c r="N514" s="322"/>
      <c r="O514" s="236" t="str">
        <f>'Profits 2016'!T5727</f>
        <v>ROAD RUNNER/ECHO</v>
      </c>
      <c r="P514" s="284" t="str">
        <f>'Profits 2016'!U5727</f>
        <v>409455052</v>
      </c>
      <c r="Q514" s="284" t="s">
        <v>15767</v>
      </c>
      <c r="R514" s="276">
        <v>187.93</v>
      </c>
      <c r="S514" s="275" t="s">
        <v>15796</v>
      </c>
      <c r="T514" s="279">
        <v>42648</v>
      </c>
      <c r="U514" s="279">
        <v>42654</v>
      </c>
      <c r="V514" s="279">
        <v>42678</v>
      </c>
      <c r="W514" s="293">
        <v>187.93</v>
      </c>
      <c r="X514" s="236">
        <v>9297</v>
      </c>
      <c r="Y514" s="276">
        <v>45</v>
      </c>
      <c r="Z514" s="236" t="s">
        <v>15797</v>
      </c>
      <c r="AA514" s="279">
        <v>42671</v>
      </c>
      <c r="AB514" s="279">
        <v>42692</v>
      </c>
      <c r="AC514" s="279">
        <v>42697</v>
      </c>
      <c r="AD514" s="293">
        <v>45</v>
      </c>
      <c r="AE514" s="282">
        <v>9485</v>
      </c>
      <c r="AF514" s="276">
        <f t="shared" si="42"/>
        <v>486.68</v>
      </c>
      <c r="AG514" s="276">
        <f t="shared" si="34"/>
        <v>232.93</v>
      </c>
      <c r="AH514" s="276">
        <f t="shared" si="35"/>
        <v>299.15141</v>
      </c>
      <c r="AI514" s="283">
        <f t="shared" si="36"/>
        <v>0.61467783759349059</v>
      </c>
    </row>
    <row r="515" spans="1:35" ht="30" x14ac:dyDescent="0.25">
      <c r="A515" s="275">
        <f>'Profits 2016'!A5728</f>
        <v>3004507</v>
      </c>
      <c r="B515" s="279">
        <f>'Profits 2016'!B5728</f>
        <v>42635</v>
      </c>
      <c r="C515" s="276">
        <f>'Profits 2016'!H5728</f>
        <v>861.15</v>
      </c>
      <c r="D515" s="280">
        <f>'Profits 2016'!K5728</f>
        <v>766.98464999999999</v>
      </c>
      <c r="E515" s="276">
        <f>'Profits 2016'!L5728</f>
        <v>380</v>
      </c>
      <c r="F515" s="275" t="str">
        <f>'Profits 2016'!P5728</f>
        <v>Southwire</v>
      </c>
      <c r="G515" s="292">
        <f>'Profits 2016'!N5728-'Profits 2016'!M5728</f>
        <v>570</v>
      </c>
      <c r="H515" s="292">
        <v>0</v>
      </c>
      <c r="I515" s="275">
        <v>90955343</v>
      </c>
      <c r="J515" s="277">
        <v>42639</v>
      </c>
      <c r="K515" s="277">
        <v>42643</v>
      </c>
      <c r="L515" s="277">
        <v>42650</v>
      </c>
      <c r="M515" s="292">
        <v>558.6</v>
      </c>
      <c r="N515" s="281">
        <v>9133</v>
      </c>
      <c r="O515" s="236" t="str">
        <f>'Profits 2016'!T5728</f>
        <v>ROADRUNNER</v>
      </c>
      <c r="P515" s="284" t="str">
        <f>'Profits 2016'!U5728</f>
        <v xml:space="preserve">271482739B </v>
      </c>
      <c r="AF515" s="276">
        <f t="shared" si="42"/>
        <v>570</v>
      </c>
      <c r="AG515" s="276">
        <f t="shared" ref="AG515:AG578" si="43">M515+R515+Y515</f>
        <v>558.6</v>
      </c>
      <c r="AH515" s="276">
        <f t="shared" ref="AH515:AH578" si="44">D515-AG515</f>
        <v>208.38464999999997</v>
      </c>
      <c r="AI515" s="283">
        <f t="shared" ref="AI515:AI578" si="45">AH515/AF515</f>
        <v>0.36558710526315785</v>
      </c>
    </row>
    <row r="516" spans="1:35" ht="30" x14ac:dyDescent="0.25">
      <c r="A516" s="275">
        <f>'Profits 2016'!A5729</f>
        <v>3004508</v>
      </c>
      <c r="B516" s="279">
        <f>'Profits 2016'!B5729</f>
        <v>42635</v>
      </c>
      <c r="C516" s="276">
        <f>'Profits 2016'!H5729</f>
        <v>138.16999999999999</v>
      </c>
      <c r="D516" s="280">
        <f>'Profits 2016'!K5729</f>
        <v>117.44449999999999</v>
      </c>
      <c r="E516" s="276">
        <f>'Profits 2016'!L5729</f>
        <v>577</v>
      </c>
      <c r="F516" s="275" t="str">
        <f>'Profits 2016'!P5729</f>
        <v>Nassau</v>
      </c>
      <c r="G516" s="292">
        <f>'Profits 2016'!N5729-'Profits 2016'!M5729</f>
        <v>57.699999999999996</v>
      </c>
      <c r="H516" s="319"/>
      <c r="I516" s="320"/>
      <c r="J516" s="321"/>
      <c r="K516" s="321"/>
      <c r="L516" s="321"/>
      <c r="M516" s="319"/>
      <c r="N516" s="322"/>
      <c r="O516" s="236" t="str">
        <f>'Profits 2016'!T5729</f>
        <v>FEDEX GROUND</v>
      </c>
      <c r="P516" s="284" t="str">
        <f>'Profits 2016'!U5729</f>
        <v>665645047118</v>
      </c>
      <c r="Q516" s="284" t="s">
        <v>314</v>
      </c>
      <c r="R516" s="276">
        <v>36.49</v>
      </c>
      <c r="S516" s="275" t="s">
        <v>15738</v>
      </c>
      <c r="T516" s="279">
        <v>42653</v>
      </c>
      <c r="U516" s="279">
        <v>42656</v>
      </c>
      <c r="V516" s="340">
        <v>42664</v>
      </c>
      <c r="W516" s="350">
        <f t="shared" ref="W516:W519" si="46">R516</f>
        <v>36.49</v>
      </c>
      <c r="X516" s="347">
        <v>9215</v>
      </c>
      <c r="AF516" s="276">
        <f t="shared" si="42"/>
        <v>94.19</v>
      </c>
      <c r="AG516" s="276">
        <f t="shared" si="43"/>
        <v>36.49</v>
      </c>
      <c r="AH516" s="276">
        <f t="shared" si="44"/>
        <v>80.954499999999996</v>
      </c>
      <c r="AI516" s="283">
        <f t="shared" si="45"/>
        <v>0.85948083660685848</v>
      </c>
    </row>
    <row r="517" spans="1:35" ht="30" x14ac:dyDescent="0.25">
      <c r="A517" s="275">
        <f>'Profits 2016'!A5730</f>
        <v>3004509</v>
      </c>
      <c r="B517" s="279">
        <f>'Profits 2016'!B5730</f>
        <v>42635</v>
      </c>
      <c r="C517" s="276">
        <f>'Profits 2016'!H5730</f>
        <v>327.17</v>
      </c>
      <c r="D517" s="280">
        <f>'Profits 2016'!K5730</f>
        <v>278.09450000000004</v>
      </c>
      <c r="E517" s="276">
        <f>'Profits 2016'!L5730</f>
        <v>750</v>
      </c>
      <c r="F517" s="275" t="str">
        <f>'Profits 2016'!P5730</f>
        <v>Wirexpess</v>
      </c>
      <c r="G517" s="292">
        <f>'Profits 2016'!N5730-'Profits 2016'!M5730</f>
        <v>187.5</v>
      </c>
      <c r="H517" s="292">
        <v>0</v>
      </c>
      <c r="I517" s="275" t="s">
        <v>15798</v>
      </c>
      <c r="J517" s="277">
        <v>42635</v>
      </c>
      <c r="K517" s="277">
        <v>42641</v>
      </c>
      <c r="L517" s="277">
        <v>42664</v>
      </c>
      <c r="M517" s="292">
        <v>187.5</v>
      </c>
      <c r="N517" s="281">
        <v>9232</v>
      </c>
      <c r="O517" s="236" t="str">
        <f>'Profits 2016'!T5730</f>
        <v>FEDEX GROUND</v>
      </c>
      <c r="P517" s="284" t="str">
        <f>'Profits 2016'!U5730</f>
        <v xml:space="preserve">440801774514687 </v>
      </c>
      <c r="Q517" s="284" t="s">
        <v>314</v>
      </c>
      <c r="R517" s="276">
        <v>13.55</v>
      </c>
      <c r="S517" s="275" t="s">
        <v>15738</v>
      </c>
      <c r="T517" s="279">
        <v>42653</v>
      </c>
      <c r="U517" s="279">
        <v>42656</v>
      </c>
      <c r="V517" s="340">
        <v>42664</v>
      </c>
      <c r="W517" s="350">
        <f t="shared" si="46"/>
        <v>13.55</v>
      </c>
      <c r="X517" s="347">
        <v>9215</v>
      </c>
      <c r="AF517" s="276">
        <f t="shared" si="42"/>
        <v>201.05</v>
      </c>
      <c r="AG517" s="276">
        <f t="shared" si="43"/>
        <v>201.05</v>
      </c>
      <c r="AH517" s="276">
        <f t="shared" si="44"/>
        <v>77.044500000000028</v>
      </c>
      <c r="AI517" s="283">
        <f t="shared" si="45"/>
        <v>0.38321064411837863</v>
      </c>
    </row>
    <row r="518" spans="1:35" ht="30" x14ac:dyDescent="0.25">
      <c r="A518" s="275">
        <f>'Profits 2016'!A5731</f>
        <v>3004510</v>
      </c>
      <c r="B518" s="279">
        <f>'Profits 2016'!B5731</f>
        <v>42635</v>
      </c>
      <c r="C518" s="276">
        <f>'Profits 2016'!H5731</f>
        <v>180</v>
      </c>
      <c r="D518" s="280">
        <f>'Profits 2016'!K5731</f>
        <v>153</v>
      </c>
      <c r="E518" s="276">
        <f>'Profits 2016'!L5731</f>
        <v>672</v>
      </c>
      <c r="F518" s="275" t="str">
        <f>'Profits 2016'!P5731</f>
        <v>Houston</v>
      </c>
      <c r="G518" s="292">
        <f>'Profits 2016'!N5731-'Profits 2016'!M5731</f>
        <v>100.8</v>
      </c>
      <c r="H518" s="292">
        <v>0</v>
      </c>
      <c r="I518" s="275">
        <v>30904070</v>
      </c>
      <c r="J518" s="277">
        <v>42640</v>
      </c>
      <c r="K518" s="277">
        <v>42647</v>
      </c>
      <c r="L518" s="277">
        <v>42664</v>
      </c>
      <c r="M518" s="292">
        <v>100.8</v>
      </c>
      <c r="N518" s="281">
        <v>9218</v>
      </c>
      <c r="O518" s="236" t="str">
        <f>'Profits 2016'!T5731</f>
        <v>FEDEX GROUND</v>
      </c>
      <c r="P518" s="284" t="str">
        <f>'Profits 2016'!U5731</f>
        <v xml:space="preserve">543369481403
</v>
      </c>
      <c r="Q518" s="284" t="s">
        <v>314</v>
      </c>
      <c r="R518" s="276">
        <v>34.83</v>
      </c>
      <c r="S518" s="275" t="s">
        <v>15738</v>
      </c>
      <c r="T518" s="279">
        <v>42653</v>
      </c>
      <c r="U518" s="279">
        <v>42656</v>
      </c>
      <c r="V518" s="340">
        <v>42664</v>
      </c>
      <c r="W518" s="350">
        <f t="shared" si="46"/>
        <v>34.83</v>
      </c>
      <c r="X518" s="347">
        <v>9215</v>
      </c>
      <c r="AF518" s="276">
        <f t="shared" si="42"/>
        <v>135.63</v>
      </c>
      <c r="AG518" s="276">
        <f t="shared" si="43"/>
        <v>135.63</v>
      </c>
      <c r="AH518" s="276">
        <f t="shared" si="44"/>
        <v>17.370000000000005</v>
      </c>
      <c r="AI518" s="283">
        <f t="shared" si="45"/>
        <v>0.12806901128069015</v>
      </c>
    </row>
    <row r="519" spans="1:35" ht="30" x14ac:dyDescent="0.25">
      <c r="A519" s="275">
        <f>'Profits 2016'!A5732</f>
        <v>3004511</v>
      </c>
      <c r="B519" s="279">
        <f>'Profits 2016'!B5732</f>
        <v>42635</v>
      </c>
      <c r="C519" s="276">
        <f>'Profits 2016'!H5732</f>
        <v>180</v>
      </c>
      <c r="D519" s="280">
        <f>'Profits 2016'!K5732</f>
        <v>153</v>
      </c>
      <c r="E519" s="276">
        <f>'Profits 2016'!L5732</f>
        <v>672</v>
      </c>
      <c r="F519" s="275" t="str">
        <f>'Profits 2016'!P5732</f>
        <v>Houston</v>
      </c>
      <c r="G519" s="292">
        <f>'Profits 2016'!N5732-'Profits 2016'!M5732</f>
        <v>100.79999999999998</v>
      </c>
      <c r="H519" s="292">
        <v>0</v>
      </c>
      <c r="I519" s="275">
        <v>30903624</v>
      </c>
      <c r="J519" s="277">
        <v>42639</v>
      </c>
      <c r="K519" s="277">
        <v>42647</v>
      </c>
      <c r="L519" s="277">
        <v>42664</v>
      </c>
      <c r="M519" s="292">
        <v>100.8</v>
      </c>
      <c r="N519" s="281">
        <v>9217</v>
      </c>
      <c r="O519" s="236" t="str">
        <f>'Profits 2016'!T5732</f>
        <v>FEDEX GROUND</v>
      </c>
      <c r="P519" s="284" t="str">
        <f>'Profits 2016'!U5732</f>
        <v>701849703452</v>
      </c>
      <c r="Q519" s="284" t="s">
        <v>314</v>
      </c>
      <c r="R519" s="276">
        <v>20.18</v>
      </c>
      <c r="S519" s="275" t="s">
        <v>15738</v>
      </c>
      <c r="T519" s="279">
        <v>42653</v>
      </c>
      <c r="U519" s="279">
        <v>42656</v>
      </c>
      <c r="V519" s="340">
        <v>42664</v>
      </c>
      <c r="W519" s="350">
        <f t="shared" si="46"/>
        <v>20.18</v>
      </c>
      <c r="X519" s="347">
        <v>9215</v>
      </c>
      <c r="AF519" s="276">
        <f t="shared" si="42"/>
        <v>120.97999999999999</v>
      </c>
      <c r="AG519" s="276">
        <f t="shared" si="43"/>
        <v>120.97999999999999</v>
      </c>
      <c r="AH519" s="276">
        <f t="shared" si="44"/>
        <v>32.02000000000001</v>
      </c>
      <c r="AI519" s="283">
        <f t="shared" si="45"/>
        <v>0.26467184658621268</v>
      </c>
    </row>
    <row r="520" spans="1:35" ht="30" x14ac:dyDescent="0.25">
      <c r="A520" s="275">
        <f>'Profits 2016'!A5733</f>
        <v>3004512</v>
      </c>
      <c r="B520" s="279">
        <f>'Profits 2016'!B5733</f>
        <v>42635</v>
      </c>
      <c r="C520" s="276">
        <f>'Profits 2016'!H5733</f>
        <v>5000.93</v>
      </c>
      <c r="D520" s="280">
        <f>'Profits 2016'!K5733</f>
        <v>5000.93</v>
      </c>
      <c r="E520" s="276">
        <f>'Profits 2016'!L5733</f>
        <v>540</v>
      </c>
      <c r="F520" s="275" t="str">
        <f>'Profits 2016'!P5733</f>
        <v>Priority</v>
      </c>
      <c r="G520" s="292">
        <f>'Profits 2016'!N5733-'Profits 2016'!M5733</f>
        <v>2160</v>
      </c>
      <c r="H520" s="292">
        <v>0</v>
      </c>
      <c r="I520" s="275">
        <v>1058847</v>
      </c>
      <c r="J520" s="277">
        <v>42636</v>
      </c>
      <c r="K520" s="277">
        <v>42643</v>
      </c>
      <c r="L520" s="277">
        <v>42664</v>
      </c>
      <c r="M520" s="292">
        <v>2160</v>
      </c>
      <c r="N520" s="281">
        <v>9224</v>
      </c>
      <c r="O520" s="236" t="str">
        <f>'Profits 2016'!T5733</f>
        <v>AAA COOPER</v>
      </c>
      <c r="P520" s="284" t="str">
        <f>'Profits 2016'!U5733</f>
        <v xml:space="preserve">	866834906</v>
      </c>
      <c r="Q520" s="284" t="s">
        <v>15740</v>
      </c>
      <c r="R520" s="276">
        <v>105</v>
      </c>
      <c r="S520" s="275">
        <v>1058847</v>
      </c>
      <c r="T520" s="277">
        <v>42636</v>
      </c>
      <c r="U520" s="277">
        <v>42643</v>
      </c>
      <c r="V520" s="279">
        <v>42664</v>
      </c>
      <c r="W520" s="293">
        <v>105</v>
      </c>
      <c r="X520" s="236">
        <v>9224</v>
      </c>
      <c r="AF520" s="276">
        <f t="shared" si="42"/>
        <v>2269.7600000000002</v>
      </c>
      <c r="AG520" s="276">
        <f t="shared" si="43"/>
        <v>2265</v>
      </c>
      <c r="AH520" s="276">
        <f t="shared" si="44"/>
        <v>2735.9300000000003</v>
      </c>
      <c r="AI520" s="283">
        <f t="shared" si="45"/>
        <v>1.2053829479768787</v>
      </c>
    </row>
    <row r="521" spans="1:35" x14ac:dyDescent="0.25">
      <c r="A521" s="275">
        <f>'Profits 2016'!A5734</f>
        <v>0</v>
      </c>
      <c r="B521" s="279">
        <f>'Profits 2016'!B5734</f>
        <v>0</v>
      </c>
      <c r="C521" s="276">
        <f>'Profits 2016'!H5734</f>
        <v>0</v>
      </c>
      <c r="D521" s="280">
        <f>'Profits 2016'!K5734</f>
        <v>0</v>
      </c>
      <c r="E521" s="276">
        <f>'Profits 2016'!L5734</f>
        <v>2150</v>
      </c>
      <c r="F521" s="275" t="str">
        <f>'Profits 2016'!P5734</f>
        <v>General</v>
      </c>
      <c r="G521" s="292">
        <f>'Profits 2016'!N5734-'Profits 2016'!M5734</f>
        <v>537.5</v>
      </c>
      <c r="H521" s="292">
        <v>4.76</v>
      </c>
      <c r="I521" s="275">
        <v>3749871</v>
      </c>
      <c r="J521" s="277">
        <v>42639</v>
      </c>
      <c r="K521" s="277">
        <v>42643</v>
      </c>
      <c r="L521" s="277">
        <v>42678</v>
      </c>
      <c r="M521" s="292">
        <f>542.26*0.98</f>
        <v>531.41480000000001</v>
      </c>
      <c r="N521" s="281">
        <v>9304</v>
      </c>
      <c r="O521" s="236" t="str">
        <f>'Profits 2016'!T5734</f>
        <v>CONWAY</v>
      </c>
      <c r="P521" s="284" t="str">
        <f>'Profits 2016'!U5734</f>
        <v>604210110</v>
      </c>
      <c r="Q521" s="284" t="s">
        <v>15741</v>
      </c>
      <c r="R521" s="276">
        <v>136.05000000000001</v>
      </c>
      <c r="S521" s="275">
        <v>3749871</v>
      </c>
      <c r="T521" s="279">
        <v>42639</v>
      </c>
      <c r="U521" s="279">
        <v>42643</v>
      </c>
      <c r="V521" s="279">
        <v>42678</v>
      </c>
      <c r="W521" s="293">
        <v>136.05000000000001</v>
      </c>
      <c r="X521" s="236">
        <v>9304</v>
      </c>
      <c r="AF521" s="276">
        <f t="shared" si="42"/>
        <v>673.55</v>
      </c>
      <c r="AG521" s="276">
        <f t="shared" si="43"/>
        <v>667.46479999999997</v>
      </c>
      <c r="AH521" s="276">
        <f t="shared" si="44"/>
        <v>-667.46479999999997</v>
      </c>
      <c r="AI521" s="283">
        <f t="shared" si="45"/>
        <v>-0.99096548140449858</v>
      </c>
    </row>
    <row r="522" spans="1:35" ht="30" x14ac:dyDescent="0.25">
      <c r="A522" s="275">
        <f>'Profits 2016'!A5735</f>
        <v>0</v>
      </c>
      <c r="B522" s="279">
        <f>'Profits 2016'!B5735</f>
        <v>0</v>
      </c>
      <c r="C522" s="276">
        <f>'Profits 2016'!H5735</f>
        <v>0</v>
      </c>
      <c r="D522" s="280">
        <f>'Profits 2016'!K5735</f>
        <v>0</v>
      </c>
      <c r="E522" s="276">
        <f>'Profits 2016'!L5735</f>
        <v>78</v>
      </c>
      <c r="F522" s="275" t="str">
        <f>'Profits 2016'!P5735</f>
        <v>A-Z</v>
      </c>
      <c r="G522" s="292">
        <f>'Profits 2016'!N5735-'Profits 2016'!M5735</f>
        <v>39</v>
      </c>
      <c r="H522" s="292">
        <v>0</v>
      </c>
      <c r="I522" s="275">
        <v>402227</v>
      </c>
      <c r="J522" s="277">
        <v>42636</v>
      </c>
      <c r="K522" s="277">
        <v>42642</v>
      </c>
      <c r="L522" s="277">
        <v>42678</v>
      </c>
      <c r="M522" s="292">
        <v>39</v>
      </c>
      <c r="N522" s="281">
        <v>9283</v>
      </c>
      <c r="O522" s="236" t="str">
        <f>'Profits 2016'!T5735</f>
        <v>FEDEX GROUND</v>
      </c>
      <c r="P522" s="284" t="str">
        <f>'Profits 2016'!U5735</f>
        <v>707060222352</v>
      </c>
      <c r="Q522" s="284" t="s">
        <v>314</v>
      </c>
      <c r="R522" s="276">
        <v>8.67</v>
      </c>
      <c r="S522" s="275" t="s">
        <v>15738</v>
      </c>
      <c r="T522" s="279">
        <v>42653</v>
      </c>
      <c r="U522" s="279">
        <v>42656</v>
      </c>
      <c r="V522" s="340">
        <v>42664</v>
      </c>
      <c r="W522" s="350">
        <f>R522</f>
        <v>8.67</v>
      </c>
      <c r="X522" s="347">
        <v>9215</v>
      </c>
      <c r="AF522" s="276">
        <f t="shared" si="42"/>
        <v>47.67</v>
      </c>
      <c r="AG522" s="276">
        <f t="shared" si="43"/>
        <v>47.67</v>
      </c>
      <c r="AH522" s="276">
        <f t="shared" si="44"/>
        <v>-47.67</v>
      </c>
      <c r="AI522" s="283">
        <f t="shared" si="45"/>
        <v>-1</v>
      </c>
    </row>
    <row r="523" spans="1:35" ht="28.5" customHeight="1" x14ac:dyDescent="0.25">
      <c r="A523" s="275">
        <f>'Profits 2016'!A5736</f>
        <v>0</v>
      </c>
      <c r="B523" s="279">
        <f>'Profits 2016'!B5736</f>
        <v>0</v>
      </c>
      <c r="C523" s="276">
        <f>'Profits 2016'!H5736</f>
        <v>0</v>
      </c>
      <c r="D523" s="280">
        <f>'Profits 2016'!K5736</f>
        <v>0</v>
      </c>
      <c r="E523" s="276">
        <f>'Profits 2016'!L5736</f>
        <v>52</v>
      </c>
      <c r="F523" s="275" t="str">
        <f>'Profits 2016'!P5736</f>
        <v>A-Z</v>
      </c>
      <c r="G523" s="292">
        <f>'Profits 2016'!N5736-'Profits 2016'!M5736</f>
        <v>52</v>
      </c>
      <c r="H523" s="292">
        <v>0</v>
      </c>
      <c r="I523" s="275">
        <v>402227</v>
      </c>
      <c r="J523" s="277">
        <v>42636</v>
      </c>
      <c r="K523" s="277">
        <v>42642</v>
      </c>
      <c r="L523" s="277">
        <v>42678</v>
      </c>
      <c r="M523" s="292">
        <v>52</v>
      </c>
      <c r="N523" s="281">
        <v>9283</v>
      </c>
      <c r="O523" s="236">
        <f>'Profits 2016'!T5736</f>
        <v>0</v>
      </c>
      <c r="P523" s="284" t="str">
        <f>'Profits 2016'!U5736</f>
        <v>707060222363, 707060222374</v>
      </c>
      <c r="Q523" s="284" t="s">
        <v>314</v>
      </c>
      <c r="R523" s="276">
        <f>8.67+8.85</f>
        <v>17.52</v>
      </c>
      <c r="S523" s="275" t="s">
        <v>15779</v>
      </c>
      <c r="T523" s="279" t="s">
        <v>15780</v>
      </c>
      <c r="U523" s="279" t="s">
        <v>15781</v>
      </c>
      <c r="V523" s="340">
        <v>42664</v>
      </c>
      <c r="W523" s="350">
        <f>R523</f>
        <v>17.52</v>
      </c>
      <c r="X523" s="347">
        <v>9215</v>
      </c>
      <c r="AF523" s="276">
        <f t="shared" si="42"/>
        <v>69.52</v>
      </c>
      <c r="AG523" s="276">
        <f t="shared" si="43"/>
        <v>69.52</v>
      </c>
      <c r="AH523" s="276">
        <f t="shared" si="44"/>
        <v>-69.52</v>
      </c>
      <c r="AI523" s="283">
        <f t="shared" si="45"/>
        <v>-1</v>
      </c>
    </row>
    <row r="524" spans="1:35" ht="30" x14ac:dyDescent="0.25">
      <c r="A524" s="275">
        <f>'Profits 2016'!A5737</f>
        <v>0</v>
      </c>
      <c r="B524" s="279">
        <f>'Profits 2016'!B5737</f>
        <v>0</v>
      </c>
      <c r="C524" s="276">
        <f>'Profits 2016'!H5737</f>
        <v>0</v>
      </c>
      <c r="D524" s="280">
        <f>'Profits 2016'!K5737</f>
        <v>0</v>
      </c>
      <c r="E524" s="276">
        <f>'Profits 2016'!L5737</f>
        <v>40</v>
      </c>
      <c r="F524" s="275" t="str">
        <f>'Profits 2016'!P5737</f>
        <v>Houston</v>
      </c>
      <c r="G524" s="292">
        <f>'Profits 2016'!N5737-'Profits 2016'!M5737</f>
        <v>20</v>
      </c>
      <c r="H524" s="292">
        <v>0</v>
      </c>
      <c r="I524" s="275">
        <v>30902642</v>
      </c>
      <c r="J524" s="277">
        <v>42635</v>
      </c>
      <c r="K524" s="277">
        <v>42639</v>
      </c>
      <c r="L524" s="277">
        <v>42664</v>
      </c>
      <c r="M524" s="292">
        <v>20</v>
      </c>
      <c r="N524" s="281">
        <v>9217</v>
      </c>
      <c r="O524" s="236" t="str">
        <f>'Profits 2016'!T5737</f>
        <v>FEDEX GROUND</v>
      </c>
      <c r="P524" s="284" t="str">
        <f>'Profits 2016'!U5737</f>
        <v>669974334080</v>
      </c>
      <c r="Q524" s="284" t="s">
        <v>314</v>
      </c>
      <c r="R524" s="276">
        <v>12.22</v>
      </c>
      <c r="S524" s="275" t="s">
        <v>15744</v>
      </c>
      <c r="T524" s="279">
        <v>42646</v>
      </c>
      <c r="U524" s="279">
        <v>42653</v>
      </c>
      <c r="V524" s="279">
        <v>42657</v>
      </c>
      <c r="W524" s="293">
        <v>0</v>
      </c>
      <c r="X524" s="236">
        <v>9174</v>
      </c>
      <c r="AF524" s="276">
        <f t="shared" si="42"/>
        <v>32.22</v>
      </c>
      <c r="AG524" s="276">
        <f t="shared" si="43"/>
        <v>32.22</v>
      </c>
      <c r="AH524" s="276">
        <f t="shared" si="44"/>
        <v>-32.22</v>
      </c>
      <c r="AI524" s="283">
        <f t="shared" si="45"/>
        <v>-1</v>
      </c>
    </row>
    <row r="525" spans="1:35" ht="30" x14ac:dyDescent="0.25">
      <c r="A525" s="275">
        <f>'Profits 2016'!A5738</f>
        <v>3004513</v>
      </c>
      <c r="B525" s="279">
        <f>'Profits 2016'!B5738</f>
        <v>42635</v>
      </c>
      <c r="C525" s="276">
        <f>'Profits 2016'!H5738</f>
        <v>430</v>
      </c>
      <c r="D525" s="280">
        <f>'Profits 2016'!K5738</f>
        <v>430</v>
      </c>
      <c r="E525" s="276">
        <f>'Profits 2016'!L5738</f>
        <v>310</v>
      </c>
      <c r="F525" s="275" t="str">
        <f>'Profits 2016'!P5738</f>
        <v>Priority</v>
      </c>
      <c r="G525" s="292">
        <f>'Profits 2016'!N5738-'Profits 2016'!M5738</f>
        <v>310</v>
      </c>
      <c r="H525" s="292">
        <v>0</v>
      </c>
      <c r="I525" s="275">
        <v>1058848</v>
      </c>
      <c r="J525" s="277">
        <v>42636</v>
      </c>
      <c r="K525" s="277">
        <v>42643</v>
      </c>
      <c r="L525" s="277">
        <v>42664</v>
      </c>
      <c r="M525" s="292">
        <v>310</v>
      </c>
      <c r="N525" s="281">
        <v>9224</v>
      </c>
      <c r="O525" s="236" t="str">
        <f>'Profits 2016'!T5738</f>
        <v>FEDEX GROUND</v>
      </c>
      <c r="P525" s="284" t="str">
        <f>'Profits 2016'!U5738</f>
        <v>569657073096</v>
      </c>
      <c r="Q525" s="284" t="s">
        <v>15740</v>
      </c>
      <c r="R525" s="276">
        <v>49.74</v>
      </c>
      <c r="S525" s="275">
        <v>1058848</v>
      </c>
      <c r="T525" s="277">
        <v>42636</v>
      </c>
      <c r="U525" s="277">
        <v>42643</v>
      </c>
      <c r="V525" s="279">
        <v>42664</v>
      </c>
      <c r="W525" s="293">
        <v>49.74</v>
      </c>
      <c r="X525" s="236">
        <v>9224</v>
      </c>
      <c r="AF525" s="276">
        <f t="shared" si="42"/>
        <v>359.74</v>
      </c>
      <c r="AG525" s="276">
        <f t="shared" si="43"/>
        <v>359.74</v>
      </c>
      <c r="AH525" s="276">
        <f t="shared" si="44"/>
        <v>70.259999999999991</v>
      </c>
      <c r="AI525" s="283">
        <f t="shared" si="45"/>
        <v>0.19530772224384274</v>
      </c>
    </row>
    <row r="526" spans="1:35" ht="30" x14ac:dyDescent="0.25">
      <c r="A526" s="275">
        <f>'Profits 2016'!A5739</f>
        <v>3004514</v>
      </c>
      <c r="B526" s="279">
        <f>'Profits 2016'!B5739</f>
        <v>42635</v>
      </c>
      <c r="C526" s="276">
        <f>'Profits 2016'!H5739</f>
        <v>129.47</v>
      </c>
      <c r="D526" s="280">
        <f>'Profits 2016'!K5739</f>
        <v>115.05777</v>
      </c>
      <c r="E526" s="276">
        <f>'Profits 2016'!L5739</f>
        <v>235</v>
      </c>
      <c r="F526" s="275" t="str">
        <f>'Profits 2016'!P5739</f>
        <v>Nassau</v>
      </c>
      <c r="G526" s="292">
        <f>'Profits 2016'!N5739-'Profits 2016'!M5739</f>
        <v>35.25</v>
      </c>
      <c r="H526" s="319"/>
      <c r="I526" s="320"/>
      <c r="J526" s="321"/>
      <c r="K526" s="321"/>
      <c r="L526" s="321"/>
      <c r="M526" s="319"/>
      <c r="N526" s="322"/>
      <c r="O526" s="236" t="str">
        <f>'Profits 2016'!T5739</f>
        <v>FEDEX GROUND</v>
      </c>
      <c r="P526" s="284" t="str">
        <f>'Profits 2016'!U5739</f>
        <v>702723288602</v>
      </c>
      <c r="Q526" s="284" t="s">
        <v>314</v>
      </c>
      <c r="R526" s="276">
        <v>13.57</v>
      </c>
      <c r="S526" s="275" t="s">
        <v>15738</v>
      </c>
      <c r="T526" s="279">
        <v>42653</v>
      </c>
      <c r="U526" s="279">
        <v>42656</v>
      </c>
      <c r="V526" s="340">
        <v>42664</v>
      </c>
      <c r="W526" s="350">
        <f>R526</f>
        <v>13.57</v>
      </c>
      <c r="X526" s="347">
        <v>9215</v>
      </c>
      <c r="AF526" s="276">
        <f t="shared" si="42"/>
        <v>53.9</v>
      </c>
      <c r="AG526" s="276">
        <f t="shared" si="43"/>
        <v>13.57</v>
      </c>
      <c r="AH526" s="276">
        <f t="shared" si="44"/>
        <v>101.48777000000001</v>
      </c>
      <c r="AI526" s="283">
        <f t="shared" si="45"/>
        <v>1.8828899814471245</v>
      </c>
    </row>
    <row r="527" spans="1:35" ht="30" x14ac:dyDescent="0.25">
      <c r="A527" s="275">
        <f>'Profits 2016'!A5740</f>
        <v>3004515</v>
      </c>
      <c r="B527" s="279">
        <f>'Profits 2016'!B5740</f>
        <v>42635</v>
      </c>
      <c r="C527" s="276">
        <f>'Profits 2016'!H5740</f>
        <v>225</v>
      </c>
      <c r="D527" s="280">
        <f>'Profits 2016'!K5740</f>
        <v>219.75</v>
      </c>
      <c r="E527" s="276">
        <f>'Profits 2016'!L5740</f>
        <v>1490</v>
      </c>
      <c r="F527" s="275" t="str">
        <f>'Profits 2016'!P5740</f>
        <v>AWC</v>
      </c>
      <c r="G527" s="292">
        <f>'Profits 2016'!N5740-'Profits 2016'!M5740</f>
        <v>74.5</v>
      </c>
      <c r="H527" s="292">
        <v>5.08</v>
      </c>
      <c r="I527" s="275">
        <v>344220</v>
      </c>
      <c r="J527" s="277">
        <v>42636</v>
      </c>
      <c r="K527" s="277">
        <v>42641</v>
      </c>
      <c r="L527" s="277" t="s">
        <v>15799</v>
      </c>
      <c r="M527" s="292">
        <f>72.5+5.08</f>
        <v>77.58</v>
      </c>
      <c r="N527" s="281" t="s">
        <v>15800</v>
      </c>
      <c r="O527" s="236" t="str">
        <f>'Profits 2016'!T5740</f>
        <v>FEDEX 2 DAY</v>
      </c>
      <c r="P527" s="284" t="str">
        <f>'Profits 2016'!U5740</f>
        <v>645512973293</v>
      </c>
      <c r="AF527" s="276">
        <f t="shared" si="42"/>
        <v>74.5</v>
      </c>
      <c r="AG527" s="276">
        <f t="shared" si="43"/>
        <v>77.58</v>
      </c>
      <c r="AH527" s="276">
        <f t="shared" si="44"/>
        <v>142.17000000000002</v>
      </c>
      <c r="AI527" s="283">
        <f t="shared" si="45"/>
        <v>1.9083221476510068</v>
      </c>
    </row>
    <row r="528" spans="1:35" ht="30" x14ac:dyDescent="0.25">
      <c r="A528" s="275">
        <f>'Profits 2016'!A5741</f>
        <v>3004516</v>
      </c>
      <c r="B528" s="279">
        <f>'Profits 2016'!B5741</f>
        <v>42636</v>
      </c>
      <c r="C528" s="276">
        <f>'Profits 2016'!H5741</f>
        <v>227.48</v>
      </c>
      <c r="D528" s="280">
        <f>'Profits 2016'!K5741</f>
        <v>202.38468</v>
      </c>
      <c r="E528" s="276">
        <f>'Profits 2016'!L5741</f>
        <v>990</v>
      </c>
      <c r="F528" s="275" t="str">
        <f>'Profits 2016'!P5741</f>
        <v>Nassau</v>
      </c>
      <c r="G528" s="292">
        <f>'Profits 2016'!N5741-'Profits 2016'!M5741</f>
        <v>99</v>
      </c>
      <c r="H528" s="319"/>
      <c r="I528" s="320"/>
      <c r="J528" s="321"/>
      <c r="K528" s="321"/>
      <c r="L528" s="321"/>
      <c r="M528" s="319"/>
      <c r="N528" s="322"/>
      <c r="O528" s="236" t="str">
        <f>'Profits 2016'!T5741</f>
        <v>FEDEX GROUND</v>
      </c>
      <c r="P528" s="284" t="str">
        <f>'Profits 2016'!U5741</f>
        <v>702723288576</v>
      </c>
      <c r="Q528" s="284" t="s">
        <v>314</v>
      </c>
      <c r="R528" s="276">
        <v>30.31</v>
      </c>
      <c r="S528" s="275" t="s">
        <v>15738</v>
      </c>
      <c r="T528" s="279">
        <v>42653</v>
      </c>
      <c r="U528" s="279">
        <v>42656</v>
      </c>
      <c r="V528" s="340">
        <v>42664</v>
      </c>
      <c r="W528" s="350">
        <f>R528</f>
        <v>30.31</v>
      </c>
      <c r="X528" s="347">
        <v>9215</v>
      </c>
      <c r="AF528" s="276">
        <f t="shared" si="42"/>
        <v>129.31</v>
      </c>
      <c r="AG528" s="276">
        <f t="shared" si="43"/>
        <v>30.31</v>
      </c>
      <c r="AH528" s="276">
        <f t="shared" si="44"/>
        <v>172.07468</v>
      </c>
      <c r="AI528" s="283">
        <f t="shared" si="45"/>
        <v>1.3307144072384194</v>
      </c>
    </row>
    <row r="529" spans="1:35" ht="30" x14ac:dyDescent="0.25">
      <c r="A529" s="275">
        <f>'Profits 2016'!A5742</f>
        <v>3004517</v>
      </c>
      <c r="B529" s="279">
        <f>'Profits 2016'!B5742</f>
        <v>42636</v>
      </c>
      <c r="C529" s="276">
        <f>'Profits 2016'!H5742</f>
        <v>254.86</v>
      </c>
      <c r="D529" s="280">
        <f>'Profits 2016'!K5742</f>
        <v>248.95308</v>
      </c>
      <c r="E529" s="276">
        <f>'Profits 2016'!L5742</f>
        <v>269</v>
      </c>
      <c r="F529" s="275" t="str">
        <f>'Profits 2016'!P5742</f>
        <v>Priority</v>
      </c>
      <c r="G529" s="292">
        <f>'Profits 2016'!N5742-'Profits 2016'!M5742</f>
        <v>134.5</v>
      </c>
      <c r="H529" s="292">
        <v>0</v>
      </c>
      <c r="I529" s="275">
        <v>1059006</v>
      </c>
      <c r="J529" s="277">
        <v>42636</v>
      </c>
      <c r="K529" s="277">
        <v>42643</v>
      </c>
      <c r="L529" s="277">
        <v>42664</v>
      </c>
      <c r="M529" s="292">
        <v>134.5</v>
      </c>
      <c r="N529" s="281">
        <v>9225</v>
      </c>
      <c r="O529" s="236" t="str">
        <f>'Profits 2016'!T5742</f>
        <v>FEDEX GROUND</v>
      </c>
      <c r="P529" s="284" t="str">
        <f>'Profits 2016'!U5742</f>
        <v>616712876737</v>
      </c>
      <c r="Q529" s="284" t="s">
        <v>15740</v>
      </c>
      <c r="R529" s="276">
        <v>17.95</v>
      </c>
      <c r="S529" s="275">
        <v>1059006</v>
      </c>
      <c r="T529" s="277">
        <v>42636</v>
      </c>
      <c r="U529" s="277">
        <v>42643</v>
      </c>
      <c r="V529" s="279">
        <v>42664</v>
      </c>
      <c r="W529" s="293">
        <v>17.95</v>
      </c>
      <c r="X529" s="236">
        <v>9225</v>
      </c>
      <c r="AF529" s="276">
        <f t="shared" si="42"/>
        <v>152.44999999999999</v>
      </c>
      <c r="AG529" s="276">
        <f t="shared" si="43"/>
        <v>152.44999999999999</v>
      </c>
      <c r="AH529" s="276">
        <f t="shared" si="44"/>
        <v>96.503080000000011</v>
      </c>
      <c r="AI529" s="283">
        <f t="shared" si="45"/>
        <v>0.63301462774680239</v>
      </c>
    </row>
    <row r="530" spans="1:35" ht="45" x14ac:dyDescent="0.25">
      <c r="A530" s="275">
        <f>'Profits 2016'!A5743</f>
        <v>3004518</v>
      </c>
      <c r="B530" s="279">
        <f>'Profits 2016'!B5743</f>
        <v>42636</v>
      </c>
      <c r="C530" s="276">
        <f>'Profits 2016'!H5743</f>
        <v>585</v>
      </c>
      <c r="D530" s="280">
        <f>'Profits 2016'!K5743</f>
        <v>520.93500000000006</v>
      </c>
      <c r="E530" s="276">
        <f>'Profits 2016'!L5743</f>
        <v>330</v>
      </c>
      <c r="F530" s="275" t="str">
        <f>'Profits 2016'!P5743</f>
        <v>Southwire</v>
      </c>
      <c r="G530" s="292">
        <f>'Profits 2016'!N5743-'Profits 2016'!M5743</f>
        <v>330</v>
      </c>
      <c r="H530" s="292">
        <v>0</v>
      </c>
      <c r="I530" s="275">
        <v>9066005</v>
      </c>
      <c r="J530" s="277">
        <v>42643</v>
      </c>
      <c r="K530" s="277">
        <v>42649</v>
      </c>
      <c r="L530" s="277">
        <v>42650</v>
      </c>
      <c r="M530" s="292">
        <v>323.39999999999998</v>
      </c>
      <c r="N530" s="281">
        <v>9145</v>
      </c>
      <c r="O530" s="236" t="str">
        <f>'Profits 2016'!T5743</f>
        <v>USF REDDAWAY</v>
      </c>
      <c r="P530" s="284" t="str">
        <f>'Profits 2016'!U5743</f>
        <v>32340923116</v>
      </c>
      <c r="AF530" s="276">
        <f t="shared" si="42"/>
        <v>330</v>
      </c>
      <c r="AG530" s="276">
        <f t="shared" si="43"/>
        <v>323.39999999999998</v>
      </c>
      <c r="AH530" s="276">
        <f t="shared" si="44"/>
        <v>197.53500000000008</v>
      </c>
      <c r="AI530" s="283">
        <f t="shared" si="45"/>
        <v>0.59859090909090928</v>
      </c>
    </row>
    <row r="531" spans="1:35" ht="30" x14ac:dyDescent="0.25">
      <c r="A531" s="275">
        <f>'Profits 2016'!A5744</f>
        <v>3004519</v>
      </c>
      <c r="B531" s="279">
        <f>'Profits 2016'!B5744</f>
        <v>42636</v>
      </c>
      <c r="C531" s="276">
        <f>'Profits 2016'!H5744</f>
        <v>142.75</v>
      </c>
      <c r="D531" s="280">
        <f>'Profits 2016'!K5744</f>
        <v>126.89025000000001</v>
      </c>
      <c r="E531" s="276">
        <f>'Profits 2016'!L5744</f>
        <v>1322</v>
      </c>
      <c r="F531" s="275" t="str">
        <f>'Profits 2016'!P5744</f>
        <v>Nassau</v>
      </c>
      <c r="G531" s="292">
        <f>'Profits 2016'!N5744-'Profits 2016'!M5744</f>
        <v>66.099999999999994</v>
      </c>
      <c r="H531" s="319"/>
      <c r="I531" s="320"/>
      <c r="J531" s="321"/>
      <c r="K531" s="321"/>
      <c r="L531" s="321"/>
      <c r="M531" s="319"/>
      <c r="N531" s="322"/>
      <c r="O531" s="236" t="str">
        <f>'Profits 2016'!T5744</f>
        <v>FEDEX GROUND</v>
      </c>
      <c r="P531" s="284" t="str">
        <f>'Profits 2016'!U5744</f>
        <v>702723288587</v>
      </c>
      <c r="Q531" s="284" t="s">
        <v>314</v>
      </c>
      <c r="R531" s="276">
        <v>32.74</v>
      </c>
      <c r="S531" s="275" t="s">
        <v>15738</v>
      </c>
      <c r="T531" s="279">
        <v>42653</v>
      </c>
      <c r="U531" s="279">
        <v>42656</v>
      </c>
      <c r="V531" s="340">
        <v>42664</v>
      </c>
      <c r="W531" s="350">
        <f>R531</f>
        <v>32.74</v>
      </c>
      <c r="X531" s="347">
        <v>9215</v>
      </c>
      <c r="AF531" s="276">
        <f t="shared" si="42"/>
        <v>98.84</v>
      </c>
      <c r="AG531" s="276">
        <f t="shared" si="43"/>
        <v>32.74</v>
      </c>
      <c r="AH531" s="276">
        <f t="shared" si="44"/>
        <v>94.15025</v>
      </c>
      <c r="AI531" s="283">
        <f t="shared" si="45"/>
        <v>0.95255210441116955</v>
      </c>
    </row>
    <row r="532" spans="1:35" ht="30" x14ac:dyDescent="0.25">
      <c r="A532" s="275">
        <f>'Profits 2016'!A5745</f>
        <v>3004520</v>
      </c>
      <c r="B532" s="279">
        <f>'Profits 2016'!B5745</f>
        <v>42636</v>
      </c>
      <c r="C532" s="276">
        <f>'Profits 2016'!H5745</f>
        <v>220</v>
      </c>
      <c r="D532" s="280">
        <f>'Profits 2016'!K5745</f>
        <v>214.86</v>
      </c>
      <c r="E532" s="276">
        <f>'Profits 2016'!L5745</f>
        <v>2350</v>
      </c>
      <c r="F532" s="275" t="str">
        <f>'Profits 2016'!P5745</f>
        <v>Priority</v>
      </c>
      <c r="G532" s="292">
        <f>'Profits 2016'!N5745-'Profits 2016'!M5745</f>
        <v>98.7</v>
      </c>
      <c r="H532" s="292">
        <v>0</v>
      </c>
      <c r="I532" s="275">
        <v>1059014</v>
      </c>
      <c r="J532" s="277">
        <v>42636</v>
      </c>
      <c r="K532" s="277">
        <v>42643</v>
      </c>
      <c r="L532" s="277">
        <v>42664</v>
      </c>
      <c r="M532" s="292">
        <v>98.7</v>
      </c>
      <c r="N532" s="281">
        <v>9225</v>
      </c>
      <c r="O532" s="236" t="str">
        <f>'Profits 2016'!T5745</f>
        <v>FEDEX GROUND</v>
      </c>
      <c r="P532" s="284" t="str">
        <f>'Profits 2016'!U5745</f>
        <v xml:space="preserve">	700044012219</v>
      </c>
      <c r="Q532" s="284" t="s">
        <v>15740</v>
      </c>
      <c r="R532" s="276">
        <v>23.09</v>
      </c>
      <c r="S532" s="275">
        <v>1059014</v>
      </c>
      <c r="T532" s="277">
        <v>42636</v>
      </c>
      <c r="U532" s="277">
        <v>42643</v>
      </c>
      <c r="V532" s="279">
        <v>42664</v>
      </c>
      <c r="W532" s="293">
        <v>23.09</v>
      </c>
      <c r="X532" s="236">
        <v>9225</v>
      </c>
      <c r="AF532" s="276">
        <f t="shared" si="42"/>
        <v>121.79</v>
      </c>
      <c r="AG532" s="276">
        <f t="shared" si="43"/>
        <v>121.79</v>
      </c>
      <c r="AH532" s="276">
        <f t="shared" si="44"/>
        <v>93.070000000000007</v>
      </c>
      <c r="AI532" s="283">
        <f t="shared" si="45"/>
        <v>0.76418425158058956</v>
      </c>
    </row>
    <row r="533" spans="1:35" ht="30" x14ac:dyDescent="0.25">
      <c r="A533" s="275">
        <f>'Profits 2016'!A5746</f>
        <v>3004521</v>
      </c>
      <c r="B533" s="279">
        <f>'Profits 2016'!B5746</f>
        <v>42636</v>
      </c>
      <c r="C533" s="276">
        <f>'Profits 2016'!H5746</f>
        <v>166.6</v>
      </c>
      <c r="D533" s="280">
        <f>'Profits 2016'!K5746</f>
        <v>141.60999999999999</v>
      </c>
      <c r="E533" s="276">
        <f>'Profits 2016'!L5746</f>
        <v>571.41999999999996</v>
      </c>
      <c r="F533" s="275" t="str">
        <f>'Profits 2016'!P5746</f>
        <v>Nassau</v>
      </c>
      <c r="G533" s="292">
        <f>'Profits 2016'!N5746-'Profits 2016'!M5746</f>
        <v>85.712999999999994</v>
      </c>
      <c r="H533" s="319"/>
      <c r="I533" s="320"/>
      <c r="J533" s="321"/>
      <c r="K533" s="321"/>
      <c r="L533" s="321"/>
      <c r="M533" s="319"/>
      <c r="N533" s="322"/>
      <c r="O533" s="236" t="str">
        <f>'Profits 2016'!T5746</f>
        <v>FEDEX GROUND</v>
      </c>
      <c r="P533" s="284" t="str">
        <f>'Profits 2016'!U5746</f>
        <v>702723288922</v>
      </c>
      <c r="Q533" s="284" t="s">
        <v>314</v>
      </c>
      <c r="R533" s="276">
        <v>23.92</v>
      </c>
      <c r="S533" s="275" t="s">
        <v>15738</v>
      </c>
      <c r="T533" s="279">
        <v>42653</v>
      </c>
      <c r="U533" s="279">
        <v>42656</v>
      </c>
      <c r="V533" s="340">
        <v>42664</v>
      </c>
      <c r="W533" s="350">
        <f t="shared" ref="W533:W535" si="47">R533</f>
        <v>23.92</v>
      </c>
      <c r="X533" s="347">
        <v>9215</v>
      </c>
      <c r="AF533" s="276">
        <f t="shared" ref="AF533:AF592" si="48">G533+H534+R533+Y533</f>
        <v>109.633</v>
      </c>
      <c r="AG533" s="276">
        <f t="shared" si="43"/>
        <v>23.92</v>
      </c>
      <c r="AH533" s="276">
        <f t="shared" si="44"/>
        <v>117.68999999999998</v>
      </c>
      <c r="AI533" s="283">
        <f t="shared" si="45"/>
        <v>1.0734906460645972</v>
      </c>
    </row>
    <row r="534" spans="1:35" ht="30" x14ac:dyDescent="0.25">
      <c r="A534" s="275">
        <f>'Profits 2016'!A5747</f>
        <v>3004522</v>
      </c>
      <c r="B534" s="279">
        <f>'Profits 2016'!B5747</f>
        <v>42636</v>
      </c>
      <c r="C534" s="276">
        <f>'Profits 2016'!H5747</f>
        <v>126.71</v>
      </c>
      <c r="D534" s="280">
        <f>'Profits 2016'!K5747</f>
        <v>107.70349999999999</v>
      </c>
      <c r="E534" s="276">
        <f>'Profits 2016'!L5747</f>
        <v>698</v>
      </c>
      <c r="F534" s="275" t="str">
        <f>'Profits 2016'!P5747</f>
        <v>Nassau</v>
      </c>
      <c r="G534" s="292">
        <f>'Profits 2016'!N5747-'Profits 2016'!M5747</f>
        <v>52.349999999999994</v>
      </c>
      <c r="H534" s="319"/>
      <c r="I534" s="320"/>
      <c r="J534" s="321"/>
      <c r="K534" s="321"/>
      <c r="L534" s="321"/>
      <c r="M534" s="319"/>
      <c r="N534" s="322"/>
      <c r="O534" s="236" t="str">
        <f>'Profits 2016'!T5747</f>
        <v>FEDEX GROUND</v>
      </c>
      <c r="P534" s="284" t="str">
        <f>'Profits 2016'!U5747</f>
        <v>702723288598</v>
      </c>
      <c r="Q534" s="284" t="s">
        <v>314</v>
      </c>
      <c r="R534" s="276">
        <v>19.98</v>
      </c>
      <c r="S534" s="275" t="s">
        <v>15738</v>
      </c>
      <c r="T534" s="279">
        <v>42653</v>
      </c>
      <c r="U534" s="279">
        <v>42656</v>
      </c>
      <c r="V534" s="340">
        <v>42664</v>
      </c>
      <c r="W534" s="350">
        <f t="shared" si="47"/>
        <v>19.98</v>
      </c>
      <c r="X534" s="347">
        <v>9215</v>
      </c>
      <c r="AF534" s="276">
        <f t="shared" si="48"/>
        <v>72.33</v>
      </c>
      <c r="AG534" s="276">
        <f t="shared" si="43"/>
        <v>19.98</v>
      </c>
      <c r="AH534" s="276">
        <f t="shared" si="44"/>
        <v>87.723499999999987</v>
      </c>
      <c r="AI534" s="283">
        <f t="shared" si="45"/>
        <v>1.2128231715747269</v>
      </c>
    </row>
    <row r="535" spans="1:35" ht="30" x14ac:dyDescent="0.25">
      <c r="A535" s="275">
        <f>'Profits 2016'!A5748</f>
        <v>3004523</v>
      </c>
      <c r="B535" s="279">
        <f>'Profits 2016'!B5748</f>
        <v>42636</v>
      </c>
      <c r="C535" s="276">
        <f>'Profits 2016'!H5748</f>
        <v>100</v>
      </c>
      <c r="D535" s="280">
        <f>'Profits 2016'!K5748</f>
        <v>85</v>
      </c>
      <c r="E535" s="276">
        <f>'Profits 2016'!L5748</f>
        <v>310</v>
      </c>
      <c r="F535" s="275" t="str">
        <f>'Profits 2016'!P5748</f>
        <v>A-Z</v>
      </c>
      <c r="G535" s="292">
        <f>'Profits 2016'!N5748-'Profits 2016'!M5748</f>
        <v>61.999999999999993</v>
      </c>
      <c r="H535" s="292">
        <v>0</v>
      </c>
      <c r="I535" s="275">
        <v>402502</v>
      </c>
      <c r="J535" s="277">
        <v>42639</v>
      </c>
      <c r="K535" s="277">
        <v>42643</v>
      </c>
      <c r="L535" s="277">
        <v>42678</v>
      </c>
      <c r="M535" s="292">
        <v>62</v>
      </c>
      <c r="N535" s="281">
        <v>9283</v>
      </c>
      <c r="O535" s="236" t="str">
        <f>'Profits 2016'!T5748</f>
        <v>FEDEX GROUND</v>
      </c>
      <c r="P535" s="284" t="str">
        <f>'Profits 2016'!U5748</f>
        <v>707060222558</v>
      </c>
      <c r="Q535" s="284" t="s">
        <v>314</v>
      </c>
      <c r="R535" s="276">
        <v>15.99</v>
      </c>
      <c r="S535" s="275" t="s">
        <v>15738</v>
      </c>
      <c r="T535" s="279">
        <v>42653</v>
      </c>
      <c r="U535" s="279">
        <v>42656</v>
      </c>
      <c r="V535" s="340">
        <v>42664</v>
      </c>
      <c r="W535" s="350">
        <f t="shared" si="47"/>
        <v>15.99</v>
      </c>
      <c r="X535" s="347">
        <v>9215</v>
      </c>
      <c r="AF535" s="276">
        <f t="shared" si="48"/>
        <v>77.989999999999995</v>
      </c>
      <c r="AG535" s="276">
        <f t="shared" si="43"/>
        <v>77.989999999999995</v>
      </c>
      <c r="AH535" s="276">
        <f t="shared" si="44"/>
        <v>7.0100000000000051</v>
      </c>
      <c r="AI535" s="283">
        <f t="shared" si="45"/>
        <v>8.9883318374150603E-2</v>
      </c>
    </row>
    <row r="536" spans="1:35" x14ac:dyDescent="0.25">
      <c r="A536" s="275">
        <f>'Profits 2016'!A5749</f>
        <v>3004524</v>
      </c>
      <c r="B536" s="279">
        <f>'Profits 2016'!B5749</f>
        <v>42636</v>
      </c>
      <c r="C536" s="276">
        <f>'Profits 2016'!H5749</f>
        <v>960</v>
      </c>
      <c r="D536" s="280">
        <f>'Profits 2016'!K5749</f>
        <v>938.58</v>
      </c>
      <c r="E536" s="276">
        <f>'Profits 2016'!L5749</f>
        <v>290</v>
      </c>
      <c r="F536" s="275" t="str">
        <f>'Profits 2016'!P5749</f>
        <v>Priority</v>
      </c>
      <c r="G536" s="292">
        <f>'Profits 2016'!N5749-'Profits 2016'!M5749</f>
        <v>580</v>
      </c>
      <c r="H536" s="292">
        <v>0</v>
      </c>
      <c r="I536" s="275">
        <v>1059346</v>
      </c>
      <c r="J536" s="277">
        <v>42639</v>
      </c>
      <c r="K536" s="277">
        <v>42647</v>
      </c>
      <c r="L536" s="277">
        <v>42664</v>
      </c>
      <c r="M536" s="292">
        <v>580</v>
      </c>
      <c r="N536" s="281">
        <v>9226</v>
      </c>
      <c r="O536" s="236" t="str">
        <f>'Profits 2016'!T5749</f>
        <v>SEFL</v>
      </c>
      <c r="P536" s="284" t="str">
        <f>'Profits 2016'!U5749</f>
        <v xml:space="preserve">	342387774</v>
      </c>
      <c r="Q536" s="284" t="s">
        <v>15740</v>
      </c>
      <c r="R536" s="276">
        <v>105</v>
      </c>
      <c r="S536" s="275">
        <v>1059346</v>
      </c>
      <c r="T536" s="279">
        <v>42639</v>
      </c>
      <c r="U536" s="279">
        <v>42647</v>
      </c>
      <c r="V536" s="279">
        <v>42664</v>
      </c>
      <c r="W536" s="293">
        <v>105</v>
      </c>
      <c r="X536" s="236">
        <v>9226</v>
      </c>
      <c r="AF536" s="276">
        <f t="shared" si="48"/>
        <v>685</v>
      </c>
      <c r="AG536" s="276">
        <f t="shared" si="43"/>
        <v>685</v>
      </c>
      <c r="AH536" s="276">
        <f t="shared" si="44"/>
        <v>253.58000000000004</v>
      </c>
      <c r="AI536" s="283">
        <f t="shared" si="45"/>
        <v>0.37018978102189787</v>
      </c>
    </row>
    <row r="537" spans="1:35" ht="30" x14ac:dyDescent="0.25">
      <c r="A537" s="275">
        <f>'Profits 2016'!A5750</f>
        <v>3004525</v>
      </c>
      <c r="B537" s="279">
        <f>'Profits 2016'!B5750</f>
        <v>42636</v>
      </c>
      <c r="C537" s="276">
        <f>'Profits 2016'!H5750</f>
        <v>6250</v>
      </c>
      <c r="D537" s="280">
        <f>'Profits 2016'!K5750</f>
        <v>6046.5749999999998</v>
      </c>
      <c r="E537" s="276">
        <f>'Profits 2016'!L5750</f>
        <v>1322</v>
      </c>
      <c r="F537" s="275" t="str">
        <f>'Profits 2016'!P5750</f>
        <v>Nassau</v>
      </c>
      <c r="G537" s="292">
        <f>'Profits 2016'!N5750-'Profits 2016'!M5750</f>
        <v>3470.25</v>
      </c>
      <c r="H537" s="319"/>
      <c r="I537" s="320"/>
      <c r="J537" s="321"/>
      <c r="K537" s="321"/>
      <c r="L537" s="321"/>
      <c r="M537" s="319"/>
      <c r="N537" s="322"/>
      <c r="O537" s="236" t="str">
        <f>'Profits 2016'!T5750</f>
        <v>PITT OHIO/DLS</v>
      </c>
      <c r="P537" s="284" t="str">
        <f>'Profits 2016'!U5750</f>
        <v>5014119253</v>
      </c>
      <c r="Q537" s="284" t="s">
        <v>15742</v>
      </c>
      <c r="R537" s="276">
        <v>197.5</v>
      </c>
      <c r="S537" s="275">
        <v>636781445</v>
      </c>
      <c r="T537" s="279">
        <v>42643</v>
      </c>
      <c r="U537" s="279">
        <v>42650</v>
      </c>
      <c r="V537" s="279">
        <v>42657</v>
      </c>
      <c r="W537" s="293">
        <v>197.5</v>
      </c>
      <c r="X537" s="236">
        <v>9192</v>
      </c>
      <c r="AF537" s="276">
        <f>G537+H539+R537+Y537</f>
        <v>3677.75</v>
      </c>
      <c r="AG537" s="276">
        <f t="shared" si="43"/>
        <v>197.5</v>
      </c>
      <c r="AH537" s="276">
        <f t="shared" si="44"/>
        <v>5849.0749999999998</v>
      </c>
      <c r="AI537" s="283">
        <f t="shared" si="45"/>
        <v>1.590394942559989</v>
      </c>
    </row>
    <row r="538" spans="1:35" ht="30" x14ac:dyDescent="0.25">
      <c r="A538" s="275">
        <f>'Profits 2016'!A5751</f>
        <v>0</v>
      </c>
      <c r="B538" s="279">
        <f>'Profits 2016'!B5751</f>
        <v>0</v>
      </c>
      <c r="C538" s="276">
        <f>'Profits 2016'!H5751</f>
        <v>0</v>
      </c>
      <c r="D538" s="280">
        <f>'Profits 2016'!K5751</f>
        <v>0</v>
      </c>
      <c r="E538" s="276">
        <f>'Profits 2016'!L5751</f>
        <v>1322</v>
      </c>
      <c r="F538" s="275" t="str">
        <f>'Profits 2016'!P5751</f>
        <v>Thea</v>
      </c>
      <c r="G538" s="292">
        <f>'Profits 2016'!N5751-'Profits 2016'!M5751</f>
        <v>495.75</v>
      </c>
      <c r="H538" s="319"/>
      <c r="I538" s="320"/>
      <c r="J538" s="321"/>
      <c r="K538" s="321"/>
      <c r="L538" s="321"/>
      <c r="M538" s="319"/>
      <c r="N538" s="322"/>
      <c r="O538" s="236" t="str">
        <f>'Profits 2016'!T5751</f>
        <v>PITT OHIO/DLS</v>
      </c>
      <c r="P538" s="284" t="str">
        <f>'Profits 2016'!U5751</f>
        <v>5011219230</v>
      </c>
      <c r="Q538" s="284" t="s">
        <v>15742</v>
      </c>
      <c r="R538" s="276">
        <v>90.01</v>
      </c>
      <c r="S538" s="275">
        <v>636781446</v>
      </c>
      <c r="T538" s="279">
        <v>42643</v>
      </c>
      <c r="U538" s="279">
        <v>42650</v>
      </c>
      <c r="V538" s="279">
        <v>42657</v>
      </c>
      <c r="W538" s="293">
        <v>90.01</v>
      </c>
      <c r="X538" s="236">
        <v>9192</v>
      </c>
      <c r="AF538" s="276">
        <f>G538+H540+R538+Y538</f>
        <v>585.76</v>
      </c>
      <c r="AG538" s="276">
        <f t="shared" si="43"/>
        <v>90.01</v>
      </c>
      <c r="AH538" s="276">
        <f t="shared" si="44"/>
        <v>-90.01</v>
      </c>
      <c r="AI538" s="283">
        <f t="shared" si="45"/>
        <v>-0.15366361649822455</v>
      </c>
    </row>
    <row r="539" spans="1:35" ht="30" x14ac:dyDescent="0.25">
      <c r="A539" s="275">
        <f>'Profits 2016'!A5752</f>
        <v>3004526</v>
      </c>
      <c r="B539" s="279">
        <f>'Profits 2016'!B5752</f>
        <v>42636</v>
      </c>
      <c r="C539" s="276">
        <f>'Profits 2016'!H5752</f>
        <v>320</v>
      </c>
      <c r="D539" s="280">
        <f>'Profits 2016'!K5752</f>
        <v>284.82</v>
      </c>
      <c r="E539" s="276">
        <f>'Profits 2016'!L5752</f>
        <v>3150</v>
      </c>
      <c r="F539" s="275" t="str">
        <f>'Profits 2016'!P5752</f>
        <v>Priority</v>
      </c>
      <c r="G539" s="292">
        <f>'Profits 2016'!N5752-'Profits 2016'!M5752</f>
        <v>157.5</v>
      </c>
      <c r="H539" s="292">
        <v>10</v>
      </c>
      <c r="I539" s="275">
        <v>1059127</v>
      </c>
      <c r="J539" s="277">
        <v>42639</v>
      </c>
      <c r="K539" s="277">
        <v>42647</v>
      </c>
      <c r="L539" s="277">
        <v>42664</v>
      </c>
      <c r="M539" s="292">
        <v>167.5</v>
      </c>
      <c r="N539" s="281">
        <v>9226</v>
      </c>
      <c r="O539" s="236" t="str">
        <f>'Profits 2016'!T5752</f>
        <v>FEDEX GROUND</v>
      </c>
      <c r="P539" s="284" t="str">
        <f>'Profits 2016'!U5752</f>
        <v xml:space="preserve">	609851524523</v>
      </c>
      <c r="Q539" s="284" t="s">
        <v>15740</v>
      </c>
      <c r="R539" s="276">
        <v>23.18</v>
      </c>
      <c r="S539" s="275">
        <v>1059127</v>
      </c>
      <c r="T539" s="279">
        <v>42639</v>
      </c>
      <c r="U539" s="279">
        <v>42647</v>
      </c>
      <c r="V539" s="279">
        <v>42664</v>
      </c>
      <c r="W539" s="293">
        <v>23.18</v>
      </c>
      <c r="X539" s="236">
        <v>9227</v>
      </c>
      <c r="AF539" s="276">
        <f t="shared" si="48"/>
        <v>180.68</v>
      </c>
      <c r="AG539" s="276">
        <f t="shared" si="43"/>
        <v>190.68</v>
      </c>
      <c r="AH539" s="276">
        <f t="shared" si="44"/>
        <v>94.139999999999986</v>
      </c>
      <c r="AI539" s="283">
        <f t="shared" si="45"/>
        <v>0.52103165818020802</v>
      </c>
    </row>
    <row r="540" spans="1:35" x14ac:dyDescent="0.25">
      <c r="A540" s="275">
        <f>'Profits 2016'!A5753</f>
        <v>3004527</v>
      </c>
      <c r="B540" s="279">
        <f>'Profits 2016'!B5753</f>
        <v>42636</v>
      </c>
      <c r="C540" s="276">
        <f>'Profits 2016'!H5753</f>
        <v>33913.74</v>
      </c>
      <c r="D540" s="280">
        <f>'Profits 2016'!K5753</f>
        <v>33913.74</v>
      </c>
      <c r="E540" s="276">
        <f>'Profits 2016'!L5753</f>
        <v>312</v>
      </c>
      <c r="F540" s="275" t="str">
        <f>'Profits 2016'!P5753</f>
        <v>Nexans</v>
      </c>
      <c r="G540" s="292">
        <f>'Profits 2016'!N5753-'Profits 2016'!M5753</f>
        <v>280.8</v>
      </c>
      <c r="H540" s="292">
        <v>0</v>
      </c>
      <c r="I540" s="275">
        <v>47359402</v>
      </c>
      <c r="J540" s="277">
        <v>42641</v>
      </c>
      <c r="K540" s="277">
        <v>42648</v>
      </c>
      <c r="L540" s="277">
        <v>42677</v>
      </c>
      <c r="M540" s="292">
        <v>29796.47</v>
      </c>
      <c r="N540" s="281">
        <v>9327</v>
      </c>
      <c r="O540" s="236">
        <f>'Profits 2016'!T5753</f>
        <v>0</v>
      </c>
      <c r="P540" s="284">
        <f>'Profits 2016'!U5753</f>
        <v>0</v>
      </c>
      <c r="AF540" s="276">
        <f t="shared" si="48"/>
        <v>280.8</v>
      </c>
      <c r="AG540" s="276">
        <f t="shared" si="43"/>
        <v>29796.47</v>
      </c>
      <c r="AH540" s="276">
        <f t="shared" si="44"/>
        <v>4117.2699999999968</v>
      </c>
      <c r="AI540" s="283">
        <f t="shared" si="45"/>
        <v>14.662642450142439</v>
      </c>
    </row>
    <row r="541" spans="1:35" x14ac:dyDescent="0.25">
      <c r="A541" s="275">
        <f>'Profits 2016'!A5754</f>
        <v>0</v>
      </c>
      <c r="B541" s="279">
        <f>'Profits 2016'!B5754</f>
        <v>0</v>
      </c>
      <c r="C541" s="276">
        <f>'Profits 2016'!H5754</f>
        <v>0</v>
      </c>
      <c r="D541" s="280">
        <f>'Profits 2016'!K5754</f>
        <v>0</v>
      </c>
      <c r="E541" s="276">
        <f>'Profits 2016'!L5754</f>
        <v>373</v>
      </c>
      <c r="F541" s="275" t="str">
        <f>'Profits 2016'!P5754</f>
        <v>Nexans</v>
      </c>
      <c r="G541" s="292">
        <f>'Profits 2016'!N5754-'Profits 2016'!M5754</f>
        <v>73.853999999999999</v>
      </c>
      <c r="H541" s="292">
        <v>0</v>
      </c>
      <c r="I541" s="275">
        <v>47359402</v>
      </c>
      <c r="J541" s="277">
        <v>42641</v>
      </c>
      <c r="K541" s="277">
        <v>42648</v>
      </c>
      <c r="L541" s="277">
        <v>42677</v>
      </c>
      <c r="M541" s="292">
        <v>0</v>
      </c>
      <c r="N541" s="281">
        <v>9327</v>
      </c>
      <c r="O541" s="236">
        <f>'Profits 2016'!T5754</f>
        <v>0</v>
      </c>
      <c r="P541" s="284">
        <f>'Profits 2016'!U5754</f>
        <v>0</v>
      </c>
      <c r="AF541" s="276">
        <f t="shared" si="48"/>
        <v>73.853999999999999</v>
      </c>
      <c r="AG541" s="276">
        <f t="shared" si="43"/>
        <v>0</v>
      </c>
      <c r="AH541" s="276">
        <f t="shared" si="44"/>
        <v>0</v>
      </c>
      <c r="AI541" s="283">
        <f t="shared" si="45"/>
        <v>0</v>
      </c>
    </row>
    <row r="542" spans="1:35" x14ac:dyDescent="0.25">
      <c r="A542" s="275">
        <f>'Profits 2016'!A5755</f>
        <v>0</v>
      </c>
      <c r="B542" s="279">
        <f>'Profits 2016'!B5755</f>
        <v>0</v>
      </c>
      <c r="C542" s="276">
        <f>'Profits 2016'!H5755</f>
        <v>0</v>
      </c>
      <c r="D542" s="280">
        <f>'Profits 2016'!K5755</f>
        <v>0</v>
      </c>
      <c r="E542" s="276">
        <f>'Profits 2016'!L5755</f>
        <v>984</v>
      </c>
      <c r="F542" s="275" t="str">
        <f>'Profits 2016'!P5755</f>
        <v>Nexans</v>
      </c>
      <c r="G542" s="292">
        <f>'Profits 2016'!N5755-'Profits 2016'!M5755</f>
        <v>231.24</v>
      </c>
      <c r="H542" s="292">
        <v>0</v>
      </c>
      <c r="I542" s="275">
        <v>47359402</v>
      </c>
      <c r="J542" s="277">
        <v>42641</v>
      </c>
      <c r="K542" s="277">
        <v>42648</v>
      </c>
      <c r="L542" s="277">
        <v>42677</v>
      </c>
      <c r="M542" s="292">
        <v>0</v>
      </c>
      <c r="N542" s="281">
        <v>9327</v>
      </c>
      <c r="O542" s="236">
        <f>'Profits 2016'!T5755</f>
        <v>0</v>
      </c>
      <c r="P542" s="284">
        <f>'Profits 2016'!U5755</f>
        <v>0</v>
      </c>
      <c r="AF542" s="276">
        <f t="shared" si="48"/>
        <v>231.24</v>
      </c>
      <c r="AG542" s="276">
        <f t="shared" si="43"/>
        <v>0</v>
      </c>
      <c r="AH542" s="276">
        <f t="shared" si="44"/>
        <v>0</v>
      </c>
      <c r="AI542" s="283">
        <f t="shared" si="45"/>
        <v>0</v>
      </c>
    </row>
    <row r="543" spans="1:35" x14ac:dyDescent="0.25">
      <c r="A543" s="275">
        <f>'Profits 2016'!A5756</f>
        <v>0</v>
      </c>
      <c r="B543" s="279">
        <f>'Profits 2016'!B5756</f>
        <v>0</v>
      </c>
      <c r="C543" s="276">
        <f>'Profits 2016'!H5756</f>
        <v>0</v>
      </c>
      <c r="D543" s="280">
        <f>'Profits 2016'!K5756</f>
        <v>0</v>
      </c>
      <c r="E543" s="276">
        <f>'Profits 2016'!L5756</f>
        <v>984</v>
      </c>
      <c r="F543" s="275" t="str">
        <f>'Profits 2016'!P5756</f>
        <v>Nexans</v>
      </c>
      <c r="G543" s="292">
        <f>'Profits 2016'!N5756-'Profits 2016'!M5756</f>
        <v>285.35999999999996</v>
      </c>
      <c r="H543" s="292">
        <v>0</v>
      </c>
      <c r="I543" s="275">
        <v>47359402</v>
      </c>
      <c r="J543" s="277">
        <v>42641</v>
      </c>
      <c r="K543" s="277">
        <v>42648</v>
      </c>
      <c r="L543" s="277">
        <v>42677</v>
      </c>
      <c r="M543" s="292">
        <v>0</v>
      </c>
      <c r="N543" s="281">
        <v>9327</v>
      </c>
      <c r="O543" s="236">
        <f>'Profits 2016'!T5756</f>
        <v>0</v>
      </c>
      <c r="P543" s="284">
        <f>'Profits 2016'!U5756</f>
        <v>0</v>
      </c>
      <c r="AF543" s="276">
        <f t="shared" si="48"/>
        <v>285.35999999999996</v>
      </c>
      <c r="AG543" s="276">
        <f t="shared" si="43"/>
        <v>0</v>
      </c>
      <c r="AH543" s="276">
        <f t="shared" si="44"/>
        <v>0</v>
      </c>
      <c r="AI543" s="283">
        <f t="shared" si="45"/>
        <v>0</v>
      </c>
    </row>
    <row r="544" spans="1:35" x14ac:dyDescent="0.25">
      <c r="A544" s="275">
        <f>'Profits 2016'!A5757</f>
        <v>0</v>
      </c>
      <c r="B544" s="279">
        <f>'Profits 2016'!B5757</f>
        <v>0</v>
      </c>
      <c r="C544" s="276">
        <f>'Profits 2016'!H5757</f>
        <v>0</v>
      </c>
      <c r="D544" s="280">
        <f>'Profits 2016'!K5757</f>
        <v>0</v>
      </c>
      <c r="E544" s="276">
        <f>'Profits 2016'!L5757</f>
        <v>1145</v>
      </c>
      <c r="F544" s="275" t="str">
        <f>'Profits 2016'!P5757</f>
        <v>Nexans</v>
      </c>
      <c r="G544" s="292">
        <f>'Profits 2016'!N5757-'Profits 2016'!M5757</f>
        <v>509.52500000000003</v>
      </c>
      <c r="H544" s="292">
        <v>0</v>
      </c>
      <c r="I544" s="275">
        <v>47359402</v>
      </c>
      <c r="J544" s="277">
        <v>42641</v>
      </c>
      <c r="K544" s="277">
        <v>42648</v>
      </c>
      <c r="L544" s="277">
        <v>42677</v>
      </c>
      <c r="M544" s="292">
        <v>0</v>
      </c>
      <c r="N544" s="281">
        <v>9327</v>
      </c>
      <c r="O544" s="236">
        <f>'Profits 2016'!T5757</f>
        <v>0</v>
      </c>
      <c r="P544" s="284">
        <f>'Profits 2016'!U5757</f>
        <v>0</v>
      </c>
      <c r="AF544" s="276">
        <f t="shared" si="48"/>
        <v>509.52500000000003</v>
      </c>
      <c r="AG544" s="276">
        <f t="shared" si="43"/>
        <v>0</v>
      </c>
      <c r="AH544" s="276">
        <f t="shared" si="44"/>
        <v>0</v>
      </c>
      <c r="AI544" s="283">
        <f t="shared" si="45"/>
        <v>0</v>
      </c>
    </row>
    <row r="545" spans="1:35" x14ac:dyDescent="0.25">
      <c r="A545" s="275">
        <f>'Profits 2016'!A5758</f>
        <v>0</v>
      </c>
      <c r="B545" s="279">
        <f>'Profits 2016'!B5758</f>
        <v>0</v>
      </c>
      <c r="C545" s="276">
        <f>'Profits 2016'!H5758</f>
        <v>0</v>
      </c>
      <c r="D545" s="280">
        <f>'Profits 2016'!K5758</f>
        <v>0</v>
      </c>
      <c r="E545" s="276">
        <f>'Profits 2016'!L5758</f>
        <v>2224</v>
      </c>
      <c r="F545" s="275" t="str">
        <f>'Profits 2016'!P5758</f>
        <v>Nexans</v>
      </c>
      <c r="G545" s="292">
        <f>'Profits 2016'!N5758-'Profits 2016'!M5758</f>
        <v>807.31200000000001</v>
      </c>
      <c r="H545" s="292">
        <v>0</v>
      </c>
      <c r="I545" s="275">
        <v>47359402</v>
      </c>
      <c r="J545" s="277">
        <v>42641</v>
      </c>
      <c r="K545" s="277">
        <v>42648</v>
      </c>
      <c r="L545" s="277">
        <v>42677</v>
      </c>
      <c r="M545" s="292">
        <v>0</v>
      </c>
      <c r="N545" s="281">
        <v>9327</v>
      </c>
      <c r="O545" s="236">
        <f>'Profits 2016'!T5758</f>
        <v>0</v>
      </c>
      <c r="P545" s="284">
        <f>'Profits 2016'!U5758</f>
        <v>0</v>
      </c>
      <c r="AF545" s="276">
        <f t="shared" si="48"/>
        <v>807.31200000000001</v>
      </c>
      <c r="AG545" s="276">
        <f t="shared" si="43"/>
        <v>0</v>
      </c>
      <c r="AH545" s="276">
        <f t="shared" si="44"/>
        <v>0</v>
      </c>
      <c r="AI545" s="283">
        <f t="shared" si="45"/>
        <v>0</v>
      </c>
    </row>
    <row r="546" spans="1:35" x14ac:dyDescent="0.25">
      <c r="A546" s="275">
        <f>'Profits 2016'!A5759</f>
        <v>0</v>
      </c>
      <c r="B546" s="279">
        <f>'Profits 2016'!B5759</f>
        <v>0</v>
      </c>
      <c r="C546" s="276">
        <f>'Profits 2016'!H5759</f>
        <v>0</v>
      </c>
      <c r="D546" s="280">
        <f>'Profits 2016'!K5759</f>
        <v>0</v>
      </c>
      <c r="E546" s="276">
        <f>'Profits 2016'!L5759</f>
        <v>2224</v>
      </c>
      <c r="F546" s="275" t="str">
        <f>'Profits 2016'!P5759</f>
        <v>Nexans</v>
      </c>
      <c r="G546" s="292">
        <f>'Profits 2016'!N5759-'Profits 2016'!M5759</f>
        <v>1078.6399999999999</v>
      </c>
      <c r="H546" s="292">
        <v>0</v>
      </c>
      <c r="I546" s="275">
        <v>47359402</v>
      </c>
      <c r="J546" s="277">
        <v>42641</v>
      </c>
      <c r="K546" s="277">
        <v>42648</v>
      </c>
      <c r="L546" s="277">
        <v>42677</v>
      </c>
      <c r="M546" s="292">
        <v>0</v>
      </c>
      <c r="N546" s="281">
        <v>9327</v>
      </c>
      <c r="O546" s="236">
        <f>'Profits 2016'!T5759</f>
        <v>0</v>
      </c>
      <c r="P546" s="284">
        <f>'Profits 2016'!U5759</f>
        <v>0</v>
      </c>
      <c r="AF546" s="276">
        <f t="shared" si="48"/>
        <v>1078.6399999999999</v>
      </c>
      <c r="AG546" s="276">
        <f t="shared" si="43"/>
        <v>0</v>
      </c>
      <c r="AH546" s="276">
        <f t="shared" si="44"/>
        <v>0</v>
      </c>
      <c r="AI546" s="283">
        <f t="shared" si="45"/>
        <v>0</v>
      </c>
    </row>
    <row r="547" spans="1:35" x14ac:dyDescent="0.25">
      <c r="A547" s="275">
        <f>'Profits 2016'!A5760</f>
        <v>0</v>
      </c>
      <c r="B547" s="279">
        <f>'Profits 2016'!B5760</f>
        <v>0</v>
      </c>
      <c r="C547" s="276">
        <f>'Profits 2016'!H5760</f>
        <v>0</v>
      </c>
      <c r="D547" s="280">
        <f>'Profits 2016'!K5760</f>
        <v>0</v>
      </c>
      <c r="E547" s="276">
        <f>'Profits 2016'!L5760</f>
        <v>2224</v>
      </c>
      <c r="F547" s="275" t="str">
        <f>'Profits 2016'!P5760</f>
        <v>Nexans</v>
      </c>
      <c r="G547" s="292">
        <f>'Profits 2016'!N5760-'Profits 2016'!M5760</f>
        <v>978.56000000000006</v>
      </c>
      <c r="H547" s="292">
        <v>0</v>
      </c>
      <c r="I547" s="275">
        <v>47359402</v>
      </c>
      <c r="J547" s="277">
        <v>42641</v>
      </c>
      <c r="K547" s="277">
        <v>42648</v>
      </c>
      <c r="L547" s="277">
        <v>42677</v>
      </c>
      <c r="M547" s="292">
        <v>0</v>
      </c>
      <c r="N547" s="281">
        <v>9327</v>
      </c>
      <c r="O547" s="236">
        <f>'Profits 2016'!T5760</f>
        <v>0</v>
      </c>
      <c r="P547" s="284">
        <f>'Profits 2016'!U5760</f>
        <v>0</v>
      </c>
      <c r="AF547" s="276">
        <f t="shared" si="48"/>
        <v>978.56000000000006</v>
      </c>
      <c r="AG547" s="276">
        <f t="shared" si="43"/>
        <v>0</v>
      </c>
      <c r="AH547" s="276">
        <f t="shared" si="44"/>
        <v>0</v>
      </c>
      <c r="AI547" s="283">
        <f t="shared" si="45"/>
        <v>0</v>
      </c>
    </row>
    <row r="548" spans="1:35" x14ac:dyDescent="0.25">
      <c r="A548" s="275">
        <f>'Profits 2016'!A5761</f>
        <v>0</v>
      </c>
      <c r="B548" s="279">
        <f>'Profits 2016'!B5761</f>
        <v>0</v>
      </c>
      <c r="C548" s="276">
        <f>'Profits 2016'!H5761</f>
        <v>0</v>
      </c>
      <c r="D548" s="280">
        <f>'Profits 2016'!K5761</f>
        <v>0</v>
      </c>
      <c r="E548" s="276">
        <f>'Profits 2016'!L5761</f>
        <v>2540</v>
      </c>
      <c r="F548" s="275" t="str">
        <f>'Profits 2016'!P5761</f>
        <v>Nexans</v>
      </c>
      <c r="G548" s="292">
        <f>'Profits 2016'!N5761-'Profits 2016'!M5761</f>
        <v>863.6</v>
      </c>
      <c r="H548" s="292">
        <v>0</v>
      </c>
      <c r="I548" s="275">
        <v>47359402</v>
      </c>
      <c r="J548" s="277">
        <v>42641</v>
      </c>
      <c r="K548" s="277">
        <v>42648</v>
      </c>
      <c r="L548" s="277">
        <v>42677</v>
      </c>
      <c r="M548" s="292">
        <v>0</v>
      </c>
      <c r="N548" s="281">
        <v>9327</v>
      </c>
      <c r="O548" s="236">
        <f>'Profits 2016'!T5761</f>
        <v>0</v>
      </c>
      <c r="P548" s="284">
        <f>'Profits 2016'!U5761</f>
        <v>0</v>
      </c>
      <c r="AF548" s="276">
        <f t="shared" si="48"/>
        <v>863.6</v>
      </c>
      <c r="AG548" s="276">
        <f t="shared" si="43"/>
        <v>0</v>
      </c>
      <c r="AH548" s="276">
        <f t="shared" si="44"/>
        <v>0</v>
      </c>
      <c r="AI548" s="283">
        <f t="shared" si="45"/>
        <v>0</v>
      </c>
    </row>
    <row r="549" spans="1:35" x14ac:dyDescent="0.25">
      <c r="A549" s="275">
        <f>'Profits 2016'!A5762</f>
        <v>0</v>
      </c>
      <c r="B549" s="279">
        <f>'Profits 2016'!B5762</f>
        <v>0</v>
      </c>
      <c r="C549" s="276">
        <f>'Profits 2016'!H5762</f>
        <v>0</v>
      </c>
      <c r="D549" s="280">
        <f>'Profits 2016'!K5762</f>
        <v>0</v>
      </c>
      <c r="E549" s="276">
        <f>'Profits 2016'!L5762</f>
        <v>2540</v>
      </c>
      <c r="F549" s="275" t="str">
        <f>'Profits 2016'!P5762</f>
        <v>Nexans</v>
      </c>
      <c r="G549" s="292">
        <f>'Profits 2016'!N5762-'Profits 2016'!M5762</f>
        <v>896.62</v>
      </c>
      <c r="H549" s="292">
        <v>0</v>
      </c>
      <c r="I549" s="275">
        <v>47359402</v>
      </c>
      <c r="J549" s="277">
        <v>42641</v>
      </c>
      <c r="K549" s="277">
        <v>42648</v>
      </c>
      <c r="L549" s="277">
        <v>42677</v>
      </c>
      <c r="M549" s="292">
        <v>0</v>
      </c>
      <c r="N549" s="281">
        <v>9327</v>
      </c>
      <c r="O549" s="236">
        <f>'Profits 2016'!T5762</f>
        <v>0</v>
      </c>
      <c r="P549" s="284">
        <f>'Profits 2016'!U5762</f>
        <v>0</v>
      </c>
      <c r="AF549" s="276">
        <f t="shared" si="48"/>
        <v>896.62</v>
      </c>
      <c r="AG549" s="276">
        <f t="shared" si="43"/>
        <v>0</v>
      </c>
      <c r="AH549" s="276">
        <f t="shared" si="44"/>
        <v>0</v>
      </c>
      <c r="AI549" s="283">
        <f t="shared" si="45"/>
        <v>0</v>
      </c>
    </row>
    <row r="550" spans="1:35" x14ac:dyDescent="0.25">
      <c r="A550" s="275">
        <f>'Profits 2016'!A5763</f>
        <v>0</v>
      </c>
      <c r="B550" s="279">
        <f>'Profits 2016'!B5763</f>
        <v>0</v>
      </c>
      <c r="C550" s="276">
        <f>'Profits 2016'!H5763</f>
        <v>0</v>
      </c>
      <c r="D550" s="280">
        <f>'Profits 2016'!K5763</f>
        <v>0</v>
      </c>
      <c r="E550" s="276">
        <f>'Profits 2016'!L5763</f>
        <v>2820</v>
      </c>
      <c r="F550" s="275" t="str">
        <f>'Profits 2016'!P5763</f>
        <v>Nexans</v>
      </c>
      <c r="G550" s="292">
        <f>'Profits 2016'!N5763-'Profits 2016'!M5763</f>
        <v>1584.8400000000001</v>
      </c>
      <c r="H550" s="292">
        <v>0</v>
      </c>
      <c r="I550" s="275">
        <v>47359402</v>
      </c>
      <c r="J550" s="277">
        <v>42641</v>
      </c>
      <c r="K550" s="277">
        <v>42648</v>
      </c>
      <c r="L550" s="277">
        <v>42677</v>
      </c>
      <c r="M550" s="292">
        <v>0</v>
      </c>
      <c r="N550" s="281">
        <v>9327</v>
      </c>
      <c r="O550" s="236">
        <f>'Profits 2016'!T5763</f>
        <v>0</v>
      </c>
      <c r="P550" s="284">
        <f>'Profits 2016'!U5763</f>
        <v>0</v>
      </c>
      <c r="AF550" s="276">
        <f t="shared" si="48"/>
        <v>1584.8400000000001</v>
      </c>
      <c r="AG550" s="276">
        <f t="shared" si="43"/>
        <v>0</v>
      </c>
      <c r="AH550" s="276">
        <f t="shared" si="44"/>
        <v>0</v>
      </c>
      <c r="AI550" s="283">
        <f t="shared" si="45"/>
        <v>0</v>
      </c>
    </row>
    <row r="551" spans="1:35" x14ac:dyDescent="0.25">
      <c r="A551" s="275">
        <f>'Profits 2016'!A5764</f>
        <v>0</v>
      </c>
      <c r="B551" s="279">
        <f>'Profits 2016'!B5764</f>
        <v>0</v>
      </c>
      <c r="C551" s="276">
        <f>'Profits 2016'!H5764</f>
        <v>0</v>
      </c>
      <c r="D551" s="280">
        <f>'Profits 2016'!K5764</f>
        <v>0</v>
      </c>
      <c r="E551" s="276">
        <f>'Profits 2016'!L5764</f>
        <v>2820</v>
      </c>
      <c r="F551" s="275" t="str">
        <f>'Profits 2016'!P5764</f>
        <v>Nexans</v>
      </c>
      <c r="G551" s="292">
        <f>'Profits 2016'!N5764-'Profits 2016'!M5764</f>
        <v>1128</v>
      </c>
      <c r="H551" s="292">
        <v>0</v>
      </c>
      <c r="I551" s="275">
        <v>47359402</v>
      </c>
      <c r="J551" s="277">
        <v>42641</v>
      </c>
      <c r="K551" s="277">
        <v>42648</v>
      </c>
      <c r="L551" s="277">
        <v>42677</v>
      </c>
      <c r="M551" s="292">
        <v>0</v>
      </c>
      <c r="N551" s="281">
        <v>9327</v>
      </c>
      <c r="O551" s="236">
        <f>'Profits 2016'!T5764</f>
        <v>0</v>
      </c>
      <c r="P551" s="284">
        <f>'Profits 2016'!U5764</f>
        <v>0</v>
      </c>
      <c r="AF551" s="276">
        <f t="shared" si="48"/>
        <v>1128</v>
      </c>
      <c r="AG551" s="276">
        <f t="shared" si="43"/>
        <v>0</v>
      </c>
      <c r="AH551" s="276">
        <f t="shared" si="44"/>
        <v>0</v>
      </c>
      <c r="AI551" s="283">
        <f t="shared" si="45"/>
        <v>0</v>
      </c>
    </row>
    <row r="552" spans="1:35" x14ac:dyDescent="0.25">
      <c r="A552" s="275">
        <f>'Profits 2016'!A5765</f>
        <v>0</v>
      </c>
      <c r="B552" s="279">
        <f>'Profits 2016'!B5765</f>
        <v>0</v>
      </c>
      <c r="C552" s="276">
        <f>'Profits 2016'!H5765</f>
        <v>0</v>
      </c>
      <c r="D552" s="280">
        <f>'Profits 2016'!K5765</f>
        <v>0</v>
      </c>
      <c r="E552" s="276">
        <f>'Profits 2016'!L5765</f>
        <v>3626</v>
      </c>
      <c r="F552" s="275" t="str">
        <f>'Profits 2016'!P5765</f>
        <v>Nexans</v>
      </c>
      <c r="G552" s="292">
        <f>'Profits 2016'!N5765-'Profits 2016'!M5765</f>
        <v>9975.1260000000002</v>
      </c>
      <c r="H552" s="292">
        <v>0</v>
      </c>
      <c r="I552" s="275">
        <v>47359402</v>
      </c>
      <c r="J552" s="277">
        <v>42641</v>
      </c>
      <c r="K552" s="277">
        <v>42648</v>
      </c>
      <c r="L552" s="277">
        <v>42677</v>
      </c>
      <c r="M552" s="292">
        <v>0</v>
      </c>
      <c r="N552" s="281">
        <v>9327</v>
      </c>
      <c r="O552" s="236">
        <f>'Profits 2016'!T5765</f>
        <v>0</v>
      </c>
      <c r="P552" s="284">
        <f>'Profits 2016'!U5765</f>
        <v>0</v>
      </c>
      <c r="AF552" s="276">
        <f t="shared" si="48"/>
        <v>9975.1260000000002</v>
      </c>
      <c r="AG552" s="276">
        <f t="shared" si="43"/>
        <v>0</v>
      </c>
      <c r="AH552" s="276">
        <f t="shared" si="44"/>
        <v>0</v>
      </c>
      <c r="AI552" s="283">
        <f t="shared" si="45"/>
        <v>0</v>
      </c>
    </row>
    <row r="553" spans="1:35" x14ac:dyDescent="0.25">
      <c r="A553" s="275">
        <f>'Profits 2016'!A5766</f>
        <v>0</v>
      </c>
      <c r="B553" s="279">
        <f>'Profits 2016'!B5766</f>
        <v>0</v>
      </c>
      <c r="C553" s="276">
        <f>'Profits 2016'!H5766</f>
        <v>0</v>
      </c>
      <c r="D553" s="280">
        <f>'Profits 2016'!K5766</f>
        <v>0</v>
      </c>
      <c r="E553" s="276">
        <f>'Profits 2016'!L5766</f>
        <v>3626</v>
      </c>
      <c r="F553" s="275" t="str">
        <f>'Profits 2016'!P5766</f>
        <v>Nexans</v>
      </c>
      <c r="G553" s="292">
        <f>'Profits 2016'!N5766-'Profits 2016'!M5766</f>
        <v>852.11</v>
      </c>
      <c r="H553" s="292">
        <v>0</v>
      </c>
      <c r="I553" s="275">
        <v>47359402</v>
      </c>
      <c r="J553" s="277">
        <v>42641</v>
      </c>
      <c r="K553" s="277">
        <v>42648</v>
      </c>
      <c r="L553" s="277">
        <v>42677</v>
      </c>
      <c r="M553" s="292">
        <v>0</v>
      </c>
      <c r="N553" s="281">
        <v>9327</v>
      </c>
      <c r="O553" s="236">
        <f>'Profits 2016'!T5766</f>
        <v>0</v>
      </c>
      <c r="P553" s="284">
        <f>'Profits 2016'!U5766</f>
        <v>0</v>
      </c>
      <c r="AF553" s="276">
        <f t="shared" si="48"/>
        <v>852.11</v>
      </c>
      <c r="AG553" s="276">
        <f t="shared" si="43"/>
        <v>0</v>
      </c>
      <c r="AH553" s="276">
        <f t="shared" si="44"/>
        <v>0</v>
      </c>
      <c r="AI553" s="283">
        <f t="shared" si="45"/>
        <v>0</v>
      </c>
    </row>
    <row r="554" spans="1:35" x14ac:dyDescent="0.25">
      <c r="A554" s="275">
        <f>'Profits 2016'!A5767</f>
        <v>0</v>
      </c>
      <c r="B554" s="279">
        <f>'Profits 2016'!B5767</f>
        <v>0</v>
      </c>
      <c r="C554" s="276">
        <f>'Profits 2016'!H5767</f>
        <v>0</v>
      </c>
      <c r="D554" s="280">
        <f>'Profits 2016'!K5767</f>
        <v>0</v>
      </c>
      <c r="E554" s="276">
        <f>'Profits 2016'!L5767</f>
        <v>3626</v>
      </c>
      <c r="F554" s="275" t="str">
        <f>'Profits 2016'!P5767</f>
        <v>Nexans</v>
      </c>
      <c r="G554" s="292">
        <f>'Profits 2016'!N5767-'Profits 2016'!M5767</f>
        <v>1363.376</v>
      </c>
      <c r="H554" s="292">
        <v>0</v>
      </c>
      <c r="I554" s="275">
        <v>47359402</v>
      </c>
      <c r="J554" s="277">
        <v>42641</v>
      </c>
      <c r="K554" s="277">
        <v>42648</v>
      </c>
      <c r="L554" s="277">
        <v>42677</v>
      </c>
      <c r="M554" s="292">
        <v>0</v>
      </c>
      <c r="N554" s="281">
        <v>9327</v>
      </c>
      <c r="O554" s="236">
        <f>'Profits 2016'!T5767</f>
        <v>0</v>
      </c>
      <c r="P554" s="284">
        <f>'Profits 2016'!U5767</f>
        <v>0</v>
      </c>
      <c r="AF554" s="276">
        <f t="shared" si="48"/>
        <v>1363.376</v>
      </c>
      <c r="AG554" s="276">
        <f t="shared" si="43"/>
        <v>0</v>
      </c>
      <c r="AH554" s="276">
        <f t="shared" si="44"/>
        <v>0</v>
      </c>
      <c r="AI554" s="283">
        <f t="shared" si="45"/>
        <v>0</v>
      </c>
    </row>
    <row r="555" spans="1:35" x14ac:dyDescent="0.25">
      <c r="A555" s="275">
        <f>'Profits 2016'!A5768</f>
        <v>0</v>
      </c>
      <c r="B555" s="279">
        <f>'Profits 2016'!B5768</f>
        <v>0</v>
      </c>
      <c r="C555" s="276">
        <f>'Profits 2016'!H5768</f>
        <v>0</v>
      </c>
      <c r="D555" s="280">
        <f>'Profits 2016'!K5768</f>
        <v>0</v>
      </c>
      <c r="E555" s="276">
        <f>'Profits 2016'!L5768</f>
        <v>3626</v>
      </c>
      <c r="F555" s="275" t="str">
        <f>'Profits 2016'!P5768</f>
        <v>Nexans</v>
      </c>
      <c r="G555" s="292">
        <f>'Profits 2016'!N5768-'Profits 2016'!M5768</f>
        <v>1272.7260000000001</v>
      </c>
      <c r="H555" s="292">
        <v>0</v>
      </c>
      <c r="I555" s="275">
        <v>47359402</v>
      </c>
      <c r="J555" s="277">
        <v>42641</v>
      </c>
      <c r="K555" s="277">
        <v>42648</v>
      </c>
      <c r="L555" s="277">
        <v>42677</v>
      </c>
      <c r="M555" s="292">
        <v>0</v>
      </c>
      <c r="N555" s="281">
        <v>9327</v>
      </c>
      <c r="O555" s="236">
        <f>'Profits 2016'!T5768</f>
        <v>0</v>
      </c>
      <c r="P555" s="284">
        <f>'Profits 2016'!U5768</f>
        <v>0</v>
      </c>
      <c r="AF555" s="276">
        <f t="shared" si="48"/>
        <v>1272.7260000000001</v>
      </c>
      <c r="AG555" s="276">
        <f t="shared" si="43"/>
        <v>0</v>
      </c>
      <c r="AH555" s="276">
        <f t="shared" si="44"/>
        <v>0</v>
      </c>
      <c r="AI555" s="283">
        <f t="shared" si="45"/>
        <v>0</v>
      </c>
    </row>
    <row r="556" spans="1:35" x14ac:dyDescent="0.25">
      <c r="A556" s="275">
        <f>'Profits 2016'!A5769</f>
        <v>0</v>
      </c>
      <c r="B556" s="279">
        <f>'Profits 2016'!B5769</f>
        <v>0</v>
      </c>
      <c r="C556" s="276">
        <f>'Profits 2016'!H5769</f>
        <v>0</v>
      </c>
      <c r="D556" s="280">
        <f>'Profits 2016'!K5769</f>
        <v>0</v>
      </c>
      <c r="E556" s="276">
        <f>'Profits 2016'!L5769</f>
        <v>4452</v>
      </c>
      <c r="F556" s="275" t="str">
        <f>'Profits 2016'!P5769</f>
        <v>Nexans</v>
      </c>
      <c r="G556" s="292">
        <f>'Profits 2016'!N5769-'Profits 2016'!M5769</f>
        <v>1291.08</v>
      </c>
      <c r="H556" s="292">
        <v>0</v>
      </c>
      <c r="I556" s="275">
        <v>47359402</v>
      </c>
      <c r="J556" s="277">
        <v>42641</v>
      </c>
      <c r="K556" s="277">
        <v>42648</v>
      </c>
      <c r="L556" s="277">
        <v>42677</v>
      </c>
      <c r="M556" s="292">
        <v>0</v>
      </c>
      <c r="N556" s="281">
        <v>9327</v>
      </c>
      <c r="O556" s="236">
        <f>'Profits 2016'!T5769</f>
        <v>0</v>
      </c>
      <c r="P556" s="284">
        <f>'Profits 2016'!U5769</f>
        <v>0</v>
      </c>
      <c r="AF556" s="276">
        <f t="shared" si="48"/>
        <v>1291.08</v>
      </c>
      <c r="AG556" s="276">
        <f t="shared" si="43"/>
        <v>0</v>
      </c>
      <c r="AH556" s="276">
        <f t="shared" si="44"/>
        <v>0</v>
      </c>
      <c r="AI556" s="283">
        <f t="shared" si="45"/>
        <v>0</v>
      </c>
    </row>
    <row r="557" spans="1:35" x14ac:dyDescent="0.25">
      <c r="A557" s="275">
        <f>'Profits 2016'!A5770</f>
        <v>0</v>
      </c>
      <c r="B557" s="279">
        <f>'Profits 2016'!B5770</f>
        <v>0</v>
      </c>
      <c r="C557" s="276">
        <f>'Profits 2016'!H5770</f>
        <v>0</v>
      </c>
      <c r="D557" s="280">
        <f>'Profits 2016'!K5770</f>
        <v>0</v>
      </c>
      <c r="E557" s="276">
        <f>'Profits 2016'!L5770</f>
        <v>4452</v>
      </c>
      <c r="F557" s="275" t="str">
        <f>'Profits 2016'!P5770</f>
        <v>Nexans</v>
      </c>
      <c r="G557" s="292">
        <f>'Profits 2016'!N5770-'Profits 2016'!M5770</f>
        <v>3334.5479999999998</v>
      </c>
      <c r="H557" s="292">
        <v>0</v>
      </c>
      <c r="I557" s="275">
        <v>47359402</v>
      </c>
      <c r="J557" s="277">
        <v>42641</v>
      </c>
      <c r="K557" s="277">
        <v>42648</v>
      </c>
      <c r="L557" s="277">
        <v>42677</v>
      </c>
      <c r="M557" s="292">
        <v>0</v>
      </c>
      <c r="N557" s="281">
        <v>9327</v>
      </c>
      <c r="O557" s="236">
        <f>'Profits 2016'!T5770</f>
        <v>0</v>
      </c>
      <c r="P557" s="284">
        <f>'Profits 2016'!U5770</f>
        <v>0</v>
      </c>
      <c r="AF557" s="276">
        <f t="shared" si="48"/>
        <v>3334.5479999999998</v>
      </c>
      <c r="AG557" s="276">
        <f t="shared" si="43"/>
        <v>0</v>
      </c>
      <c r="AH557" s="276">
        <f t="shared" si="44"/>
        <v>0</v>
      </c>
      <c r="AI557" s="283">
        <f t="shared" si="45"/>
        <v>0</v>
      </c>
    </row>
    <row r="558" spans="1:35" x14ac:dyDescent="0.25">
      <c r="A558" s="275">
        <f>'Profits 2016'!A5771</f>
        <v>0</v>
      </c>
      <c r="B558" s="279">
        <f>'Profits 2016'!B5771</f>
        <v>0</v>
      </c>
      <c r="C558" s="276">
        <f>'Profits 2016'!H5771</f>
        <v>0</v>
      </c>
      <c r="D558" s="280">
        <f>'Profits 2016'!K5771</f>
        <v>0</v>
      </c>
      <c r="E558" s="276">
        <f>'Profits 2016'!L5771</f>
        <v>4452</v>
      </c>
      <c r="F558" s="275" t="str">
        <f>'Profits 2016'!P5771</f>
        <v>Nexans</v>
      </c>
      <c r="G558" s="292">
        <f>'Profits 2016'!N5771-'Profits 2016'!M5771</f>
        <v>1972.2360000000001</v>
      </c>
      <c r="H558" s="292">
        <v>0</v>
      </c>
      <c r="I558" s="275">
        <v>47359402</v>
      </c>
      <c r="J558" s="277">
        <v>42641</v>
      </c>
      <c r="K558" s="277">
        <v>42648</v>
      </c>
      <c r="L558" s="277">
        <v>42677</v>
      </c>
      <c r="M558" s="292">
        <v>0</v>
      </c>
      <c r="N558" s="281">
        <v>9327</v>
      </c>
      <c r="O558" s="236">
        <f>'Profits 2016'!T5771</f>
        <v>0</v>
      </c>
      <c r="P558" s="284">
        <f>'Profits 2016'!U5771</f>
        <v>0</v>
      </c>
      <c r="AF558" s="276">
        <f t="shared" si="48"/>
        <v>1972.2360000000001</v>
      </c>
      <c r="AG558" s="276">
        <f t="shared" si="43"/>
        <v>0</v>
      </c>
      <c r="AH558" s="276">
        <f t="shared" si="44"/>
        <v>0</v>
      </c>
      <c r="AI558" s="283">
        <f t="shared" si="45"/>
        <v>0</v>
      </c>
    </row>
    <row r="559" spans="1:35" x14ac:dyDescent="0.25">
      <c r="A559" s="275">
        <f>'Profits 2016'!A5772</f>
        <v>0</v>
      </c>
      <c r="B559" s="279">
        <f>'Profits 2016'!B5772</f>
        <v>0</v>
      </c>
      <c r="C559" s="276">
        <f>'Profits 2016'!H5772</f>
        <v>0</v>
      </c>
      <c r="D559" s="280">
        <f>'Profits 2016'!K5772</f>
        <v>0</v>
      </c>
      <c r="E559" s="276">
        <f>'Profits 2016'!L5772</f>
        <v>4452</v>
      </c>
      <c r="F559" s="275" t="str">
        <f>'Profits 2016'!P5772</f>
        <v>Nexans</v>
      </c>
      <c r="G559" s="292">
        <f>'Profits 2016'!N5772-'Profits 2016'!M5772</f>
        <v>1624.98</v>
      </c>
      <c r="H559" s="292">
        <v>0</v>
      </c>
      <c r="I559" s="275">
        <v>47359402</v>
      </c>
      <c r="J559" s="277">
        <v>42641</v>
      </c>
      <c r="K559" s="277">
        <v>42648</v>
      </c>
      <c r="L559" s="277">
        <v>42677</v>
      </c>
      <c r="M559" s="292">
        <v>0</v>
      </c>
      <c r="N559" s="281">
        <v>9327</v>
      </c>
      <c r="O559" s="236">
        <f>'Profits 2016'!T5772</f>
        <v>0</v>
      </c>
      <c r="P559" s="284">
        <f>'Profits 2016'!U5772</f>
        <v>0</v>
      </c>
      <c r="AF559" s="276">
        <f t="shared" si="48"/>
        <v>1624.98</v>
      </c>
      <c r="AG559" s="276">
        <f t="shared" si="43"/>
        <v>0</v>
      </c>
      <c r="AH559" s="276">
        <f t="shared" si="44"/>
        <v>0</v>
      </c>
      <c r="AI559" s="283">
        <f t="shared" si="45"/>
        <v>0</v>
      </c>
    </row>
    <row r="560" spans="1:35" x14ac:dyDescent="0.25">
      <c r="A560" s="275">
        <f>'Profits 2016'!A5773</f>
        <v>3004528</v>
      </c>
      <c r="B560" s="279">
        <f>'Profits 2016'!B5773</f>
        <v>42639</v>
      </c>
      <c r="C560" s="276">
        <f>'Profits 2016'!H5773</f>
        <v>1265</v>
      </c>
      <c r="D560" s="280">
        <f>'Profits 2016'!K5773</f>
        <v>1236.8699999999999</v>
      </c>
      <c r="E560" s="276">
        <f>'Profits 2016'!L5773</f>
        <v>5200</v>
      </c>
      <c r="F560" s="275" t="str">
        <f>'Profits 2016'!P5773</f>
        <v>Priority</v>
      </c>
      <c r="G560" s="292">
        <f>'Profits 2016'!N5773-'Profits 2016'!M5773</f>
        <v>780</v>
      </c>
      <c r="H560" s="292">
        <v>0</v>
      </c>
      <c r="I560" s="275">
        <v>1059979</v>
      </c>
      <c r="J560" s="277">
        <v>42640</v>
      </c>
      <c r="K560" s="277" t="s">
        <v>15801</v>
      </c>
      <c r="L560" s="277">
        <v>42664</v>
      </c>
      <c r="M560" s="292">
        <v>780</v>
      </c>
      <c r="N560" s="281">
        <v>9227</v>
      </c>
      <c r="O560" s="236" t="e">
        <f>'Profits 2016'!#REF!</f>
        <v>#REF!</v>
      </c>
      <c r="P560" s="284" t="e">
        <f>'Profits 2016'!#REF!</f>
        <v>#REF!</v>
      </c>
      <c r="Q560" s="284" t="s">
        <v>15740</v>
      </c>
      <c r="R560" s="276">
        <v>215.23</v>
      </c>
      <c r="S560" s="275">
        <v>1059979</v>
      </c>
      <c r="T560" s="277">
        <v>42640</v>
      </c>
      <c r="U560" s="277" t="s">
        <v>15801</v>
      </c>
      <c r="V560" s="279">
        <v>42664</v>
      </c>
      <c r="W560" s="293">
        <v>215.23</v>
      </c>
      <c r="X560" s="236">
        <v>9227</v>
      </c>
      <c r="AF560" s="276">
        <f t="shared" si="48"/>
        <v>995.23</v>
      </c>
      <c r="AG560" s="276">
        <f t="shared" si="43"/>
        <v>995.23</v>
      </c>
      <c r="AH560" s="276">
        <f t="shared" si="44"/>
        <v>241.63999999999987</v>
      </c>
      <c r="AI560" s="283">
        <f t="shared" si="45"/>
        <v>0.24279814716196244</v>
      </c>
    </row>
    <row r="561" spans="1:35" ht="30" x14ac:dyDescent="0.25">
      <c r="A561" s="275">
        <f>'Profits 2016'!A5774</f>
        <v>0</v>
      </c>
      <c r="B561" s="279">
        <f>'Profits 2016'!B5774</f>
        <v>0</v>
      </c>
      <c r="C561" s="276">
        <f>'Profits 2016'!H5774</f>
        <v>0</v>
      </c>
      <c r="D561" s="280">
        <f>'Profits 2016'!K5774</f>
        <v>0</v>
      </c>
      <c r="E561" s="276">
        <f>'Profits 2016'!L5774</f>
        <v>530</v>
      </c>
      <c r="F561" s="275" t="str">
        <f>'Profits 2016'!P5774</f>
        <v>Priority</v>
      </c>
      <c r="G561" s="292">
        <f>'Profits 2016'!N5774-'Profits 2016'!M5774</f>
        <v>53</v>
      </c>
      <c r="H561" s="292">
        <v>0</v>
      </c>
      <c r="I561" s="275">
        <v>1059704</v>
      </c>
      <c r="J561" s="277">
        <v>42640</v>
      </c>
      <c r="K561" s="277" t="s">
        <v>15801</v>
      </c>
      <c r="L561" s="277">
        <v>42664</v>
      </c>
      <c r="M561" s="292">
        <v>53</v>
      </c>
      <c r="N561" s="281">
        <v>9227</v>
      </c>
      <c r="O561" s="236" t="str">
        <f>'Profits 2016'!T5773</f>
        <v>UPS GROUND</v>
      </c>
      <c r="P561" s="284" t="str">
        <f>'Profits 2016'!U5773</f>
        <v>1Z7238E00358952757</v>
      </c>
      <c r="Q561" s="284" t="s">
        <v>15740</v>
      </c>
      <c r="R561" s="276">
        <v>24.48</v>
      </c>
      <c r="S561" s="275">
        <v>1059704</v>
      </c>
      <c r="T561" s="277">
        <v>42640</v>
      </c>
      <c r="U561" s="277" t="s">
        <v>15801</v>
      </c>
      <c r="V561" s="279">
        <v>42664</v>
      </c>
      <c r="W561" s="293">
        <v>24.48</v>
      </c>
      <c r="X561" s="236">
        <v>9227</v>
      </c>
      <c r="AF561" s="276">
        <f t="shared" si="48"/>
        <v>77.48</v>
      </c>
      <c r="AG561" s="276">
        <f t="shared" si="43"/>
        <v>77.48</v>
      </c>
      <c r="AH561" s="276">
        <f t="shared" si="44"/>
        <v>-77.48</v>
      </c>
      <c r="AI561" s="283">
        <f t="shared" si="45"/>
        <v>-1</v>
      </c>
    </row>
    <row r="562" spans="1:35" ht="30" x14ac:dyDescent="0.25">
      <c r="A562" s="275">
        <f>'Profits 2016'!A5775</f>
        <v>3004529</v>
      </c>
      <c r="B562" s="279">
        <f>'Profits 2016'!B5775</f>
        <v>42639</v>
      </c>
      <c r="C562" s="276">
        <f>'Profits 2016'!H5775</f>
        <v>225</v>
      </c>
      <c r="D562" s="280">
        <f>'Profits 2016'!K5775</f>
        <v>200.17500000000001</v>
      </c>
      <c r="E562" s="276">
        <f>'Profits 2016'!L5775</f>
        <v>409</v>
      </c>
      <c r="F562" s="275" t="str">
        <f>'Profits 2016'!P5775</f>
        <v>Nassau</v>
      </c>
      <c r="G562" s="292">
        <f>'Profits 2016'!N5775-'Profits 2016'!M5775</f>
        <v>102.25000000000001</v>
      </c>
      <c r="H562" s="319"/>
      <c r="I562" s="320"/>
      <c r="J562" s="321"/>
      <c r="K562" s="321"/>
      <c r="L562" s="321"/>
      <c r="M562" s="319"/>
      <c r="N562" s="322"/>
      <c r="O562" s="236" t="str">
        <f>'Profits 2016'!T5775</f>
        <v>FEDEX GROUND</v>
      </c>
      <c r="P562" s="284" t="str">
        <f>'Profits 2016'!U5775</f>
        <v>702723288668</v>
      </c>
      <c r="Q562" s="284" t="s">
        <v>314</v>
      </c>
      <c r="R562" s="276">
        <v>44.11</v>
      </c>
      <c r="S562" s="275" t="s">
        <v>15802</v>
      </c>
      <c r="T562" s="279">
        <v>42660</v>
      </c>
      <c r="U562" s="279">
        <v>42663</v>
      </c>
      <c r="V562" s="279">
        <v>42671</v>
      </c>
      <c r="W562" s="293">
        <v>44.11</v>
      </c>
      <c r="X562" s="236">
        <v>9250</v>
      </c>
      <c r="AF562" s="276">
        <f t="shared" si="48"/>
        <v>146.36000000000001</v>
      </c>
      <c r="AG562" s="276">
        <f t="shared" si="43"/>
        <v>44.11</v>
      </c>
      <c r="AH562" s="276">
        <f t="shared" si="44"/>
        <v>156.065</v>
      </c>
      <c r="AI562" s="283">
        <f t="shared" si="45"/>
        <v>1.0663091008472259</v>
      </c>
    </row>
    <row r="563" spans="1:35" ht="30" x14ac:dyDescent="0.25">
      <c r="A563" s="275">
        <f>'Profits 2016'!A5776</f>
        <v>3004530</v>
      </c>
      <c r="B563" s="279">
        <f>'Profits 2016'!B5776</f>
        <v>42639</v>
      </c>
      <c r="C563" s="276">
        <f>'Profits 2016'!H5776</f>
        <v>154.83000000000001</v>
      </c>
      <c r="D563" s="280">
        <f>'Profits 2016'!K5776</f>
        <v>131.60550000000001</v>
      </c>
      <c r="E563" s="276">
        <f>'Profits 2016'!L5776</f>
        <v>504</v>
      </c>
      <c r="F563" s="275" t="str">
        <f>'Profits 2016'!P5776</f>
        <v>Nassau</v>
      </c>
      <c r="G563" s="292">
        <f>'Profits 2016'!N5776-'Profits 2016'!M5776</f>
        <v>75.599999999999994</v>
      </c>
      <c r="H563" s="319"/>
      <c r="I563" s="320"/>
      <c r="J563" s="321"/>
      <c r="K563" s="321"/>
      <c r="L563" s="321"/>
      <c r="M563" s="319"/>
      <c r="N563" s="322"/>
      <c r="O563" s="236" t="str">
        <f>'Profits 2016'!T5776</f>
        <v>FEDEX GROUND</v>
      </c>
      <c r="P563" s="284" t="str">
        <f>'Profits 2016'!U5776</f>
        <v xml:space="preserve">702723288646 </v>
      </c>
      <c r="Q563" s="284" t="s">
        <v>314</v>
      </c>
      <c r="R563" s="276">
        <v>29.32</v>
      </c>
      <c r="S563" s="275" t="s">
        <v>15802</v>
      </c>
      <c r="T563" s="279">
        <v>42660</v>
      </c>
      <c r="U563" s="279">
        <v>42663</v>
      </c>
      <c r="V563" s="279">
        <v>42671</v>
      </c>
      <c r="W563" s="293">
        <v>29.32</v>
      </c>
      <c r="X563" s="236">
        <v>9250</v>
      </c>
      <c r="AF563" s="276">
        <f t="shared" si="48"/>
        <v>104.91999999999999</v>
      </c>
      <c r="AG563" s="276">
        <f t="shared" si="43"/>
        <v>29.32</v>
      </c>
      <c r="AH563" s="276">
        <f t="shared" si="44"/>
        <v>102.28550000000001</v>
      </c>
      <c r="AI563" s="283">
        <f t="shared" si="45"/>
        <v>0.97489039268013744</v>
      </c>
    </row>
    <row r="564" spans="1:35" ht="30" x14ac:dyDescent="0.25">
      <c r="A564" s="275">
        <f>'Profits 2016'!A5777</f>
        <v>3004531</v>
      </c>
      <c r="B564" s="279">
        <f>'Profits 2016'!B5777</f>
        <v>42639</v>
      </c>
      <c r="C564" s="276">
        <f>'Profits 2016'!H5777</f>
        <v>216.88</v>
      </c>
      <c r="D564" s="280">
        <f>'Profits 2016'!K5777</f>
        <v>192.94007999999999</v>
      </c>
      <c r="E564" s="276">
        <f>'Profits 2016'!L5777</f>
        <v>672</v>
      </c>
      <c r="F564" s="275" t="str">
        <f>'Profits 2016'!P5777</f>
        <v>Houston</v>
      </c>
      <c r="G564" s="292">
        <f>'Profits 2016'!N5777-'Profits 2016'!M5777</f>
        <v>117.6</v>
      </c>
      <c r="H564" s="292">
        <v>0</v>
      </c>
      <c r="I564" s="275">
        <v>30905254</v>
      </c>
      <c r="J564" s="277">
        <v>42641</v>
      </c>
      <c r="K564" s="277">
        <v>42647</v>
      </c>
      <c r="L564" s="277">
        <v>42671</v>
      </c>
      <c r="M564" s="292">
        <v>117.6</v>
      </c>
      <c r="N564" s="281">
        <v>9251</v>
      </c>
      <c r="O564" s="236" t="str">
        <f>'Profits 2016'!T5777</f>
        <v>FEDEX GROUND</v>
      </c>
      <c r="P564" s="284" t="str">
        <f>'Profits 2016'!U5777</f>
        <v>777333978138</v>
      </c>
      <c r="Q564" s="284" t="s">
        <v>314</v>
      </c>
      <c r="R564" s="276">
        <v>41.97</v>
      </c>
      <c r="S564" s="275" t="s">
        <v>15802</v>
      </c>
      <c r="T564" s="279">
        <v>42660</v>
      </c>
      <c r="U564" s="279">
        <v>42663</v>
      </c>
      <c r="V564" s="279">
        <v>42671</v>
      </c>
      <c r="W564" s="293">
        <v>41.97</v>
      </c>
      <c r="X564" s="236">
        <v>9250</v>
      </c>
      <c r="AF564" s="276">
        <f t="shared" si="48"/>
        <v>159.57</v>
      </c>
      <c r="AG564" s="276">
        <f t="shared" si="43"/>
        <v>159.57</v>
      </c>
      <c r="AH564" s="276">
        <f t="shared" si="44"/>
        <v>33.370080000000002</v>
      </c>
      <c r="AI564" s="283">
        <f t="shared" si="45"/>
        <v>0.20912502350065804</v>
      </c>
    </row>
    <row r="565" spans="1:35" ht="30" x14ac:dyDescent="0.25">
      <c r="A565" s="275">
        <f>'Profits 2016'!A5778</f>
        <v>3004532</v>
      </c>
      <c r="B565" s="279">
        <f>'Profits 2016'!B5778</f>
        <v>42639</v>
      </c>
      <c r="C565" s="276">
        <f>'Profits 2016'!H5778</f>
        <v>270</v>
      </c>
      <c r="D565" s="280">
        <f>'Profits 2016'!K5778</f>
        <v>240.26999999999998</v>
      </c>
      <c r="E565" s="276">
        <f>'Profits 2016'!L5778</f>
        <v>570</v>
      </c>
      <c r="F565" s="275" t="str">
        <f>'Profits 2016'!P5778</f>
        <v>Nassau</v>
      </c>
      <c r="G565" s="292">
        <f>'Profits 2016'!N5778-'Profits 2016'!M5778</f>
        <v>142.5</v>
      </c>
      <c r="H565" s="319"/>
      <c r="I565" s="320"/>
      <c r="J565" s="321"/>
      <c r="K565" s="321"/>
      <c r="L565" s="321"/>
      <c r="M565" s="319"/>
      <c r="N565" s="322"/>
      <c r="O565" s="236" t="str">
        <f>'Profits 2016'!T5778</f>
        <v>FEDEX GROUND</v>
      </c>
      <c r="P565" s="284" t="str">
        <f>'Profits 2016'!U5778</f>
        <v>702723288657</v>
      </c>
      <c r="Q565" s="284" t="s">
        <v>314</v>
      </c>
      <c r="R565" s="276">
        <v>44.66</v>
      </c>
      <c r="S565" s="275" t="s">
        <v>15738</v>
      </c>
      <c r="T565" s="279">
        <v>42653</v>
      </c>
      <c r="U565" s="279">
        <v>42656</v>
      </c>
      <c r="V565" s="340">
        <v>42664</v>
      </c>
      <c r="W565" s="350">
        <f t="shared" ref="W565:W566" si="49">R565</f>
        <v>44.66</v>
      </c>
      <c r="X565" s="347">
        <v>9215</v>
      </c>
      <c r="AF565" s="276">
        <f t="shared" si="48"/>
        <v>187.16</v>
      </c>
      <c r="AG565" s="276">
        <f t="shared" si="43"/>
        <v>44.66</v>
      </c>
      <c r="AH565" s="276">
        <f t="shared" si="44"/>
        <v>195.60999999999999</v>
      </c>
      <c r="AI565" s="283">
        <f t="shared" si="45"/>
        <v>1.0451485360119683</v>
      </c>
    </row>
    <row r="566" spans="1:35" ht="30" x14ac:dyDescent="0.25">
      <c r="A566" s="275">
        <f>'Profits 2016'!A5779</f>
        <v>3004533</v>
      </c>
      <c r="B566" s="279">
        <f>'Profits 2016'!B5779</f>
        <v>42639</v>
      </c>
      <c r="C566" s="276">
        <f>'Profits 2016'!H5779</f>
        <v>112.63</v>
      </c>
      <c r="D566" s="280">
        <f>'Profits 2016'!K5779</f>
        <v>100.05332999999999</v>
      </c>
      <c r="E566" s="276">
        <f>'Profits 2016'!L5779</f>
        <v>510</v>
      </c>
      <c r="F566" s="275" t="str">
        <f>'Profits 2016'!P5779</f>
        <v>Nassau</v>
      </c>
      <c r="G566" s="292">
        <f>'Profits 2016'!N5779-'Profits 2016'!M5779</f>
        <v>51</v>
      </c>
      <c r="H566" s="319"/>
      <c r="I566" s="320"/>
      <c r="J566" s="321"/>
      <c r="K566" s="321"/>
      <c r="L566" s="321"/>
      <c r="M566" s="319"/>
      <c r="N566" s="322"/>
      <c r="O566" s="236" t="str">
        <f>'Profits 2016'!T5779</f>
        <v>FEDEX GROUND</v>
      </c>
      <c r="P566" s="284" t="str">
        <f>'Profits 2016'!U5779</f>
        <v>702723288635</v>
      </c>
      <c r="Q566" s="284" t="s">
        <v>314</v>
      </c>
      <c r="R566" s="276">
        <v>28.16</v>
      </c>
      <c r="S566" s="275" t="s">
        <v>15738</v>
      </c>
      <c r="T566" s="279">
        <v>42653</v>
      </c>
      <c r="U566" s="279">
        <v>42656</v>
      </c>
      <c r="V566" s="340">
        <v>42664</v>
      </c>
      <c r="W566" s="350">
        <f t="shared" si="49"/>
        <v>28.16</v>
      </c>
      <c r="X566" s="347">
        <v>9215</v>
      </c>
      <c r="AF566" s="276">
        <f t="shared" si="48"/>
        <v>109.16</v>
      </c>
      <c r="AG566" s="276">
        <f t="shared" si="43"/>
        <v>28.16</v>
      </c>
      <c r="AH566" s="276">
        <f t="shared" si="44"/>
        <v>71.893329999999992</v>
      </c>
      <c r="AI566" s="283">
        <f t="shared" si="45"/>
        <v>0.65860507511909117</v>
      </c>
    </row>
    <row r="567" spans="1:35" x14ac:dyDescent="0.25">
      <c r="A567" s="275">
        <f>'Profits 2016'!A5780</f>
        <v>3004534</v>
      </c>
      <c r="B567" s="279">
        <f>'Profits 2016'!B5780</f>
        <v>42639</v>
      </c>
      <c r="C567" s="276">
        <f>'Profits 2016'!H5780</f>
        <v>13300</v>
      </c>
      <c r="D567" s="280">
        <f>'Profits 2016'!K5780</f>
        <v>12867.45</v>
      </c>
      <c r="E567" s="276">
        <f>'Profits 2016'!L5780</f>
        <v>21170</v>
      </c>
      <c r="F567" s="275" t="str">
        <f>'Profits 2016'!P5780</f>
        <v>Southwire</v>
      </c>
      <c r="G567" s="292">
        <f>'Profits 2016'!N5780-'Profits 2016'!M5780</f>
        <v>10585</v>
      </c>
      <c r="H567" s="292">
        <v>30</v>
      </c>
      <c r="I567" s="275">
        <v>90960576</v>
      </c>
      <c r="J567" s="277">
        <v>42641</v>
      </c>
      <c r="K567" s="277">
        <v>42646</v>
      </c>
      <c r="L567" s="277">
        <v>42650</v>
      </c>
      <c r="M567" s="292">
        <v>10402.700000000001</v>
      </c>
      <c r="N567" s="281">
        <v>9134</v>
      </c>
      <c r="O567" s="236" t="str">
        <f>'Profits 2016'!T5780</f>
        <v>FEDEX</v>
      </c>
      <c r="P567" s="284" t="str">
        <f>'Profits 2016'!U5780</f>
        <v>3767607351</v>
      </c>
      <c r="AF567" s="276">
        <f t="shared" si="48"/>
        <v>10585</v>
      </c>
      <c r="AG567" s="276">
        <f t="shared" si="43"/>
        <v>10402.700000000001</v>
      </c>
      <c r="AH567" s="276">
        <f t="shared" si="44"/>
        <v>2464.75</v>
      </c>
      <c r="AI567" s="283">
        <f t="shared" si="45"/>
        <v>0.23285309400094473</v>
      </c>
    </row>
    <row r="568" spans="1:35" ht="30" x14ac:dyDescent="0.25">
      <c r="A568" s="275">
        <f>'Profits 2016'!A5781</f>
        <v>3004535</v>
      </c>
      <c r="B568" s="279">
        <f>'Profits 2016'!B5781</f>
        <v>42639</v>
      </c>
      <c r="C568" s="276">
        <f>'Profits 2016'!H5781</f>
        <v>168.27</v>
      </c>
      <c r="D568" s="280">
        <f>'Profits 2016'!K5781</f>
        <v>149.62857</v>
      </c>
      <c r="E568" s="276">
        <f>'Profits 2016'!L5781</f>
        <v>300</v>
      </c>
      <c r="F568" s="275" t="str">
        <f>'Profits 2016'!P5781</f>
        <v>Nassau</v>
      </c>
      <c r="G568" s="292">
        <f>'Profits 2016'!N5781-'Profits 2016'!M5781</f>
        <v>75</v>
      </c>
      <c r="H568" s="319"/>
      <c r="I568" s="320"/>
      <c r="J568" s="321"/>
      <c r="K568" s="321"/>
      <c r="L568" s="321"/>
      <c r="M568" s="319"/>
      <c r="N568" s="322"/>
      <c r="O568" s="236" t="str">
        <f>'Profits 2016'!T5781</f>
        <v>FEDEX GROUND</v>
      </c>
      <c r="P568" s="284" t="str">
        <f>'Profits 2016'!U5781</f>
        <v>702723288679</v>
      </c>
      <c r="Q568" s="284" t="s">
        <v>314</v>
      </c>
      <c r="R568" s="276">
        <v>23.64</v>
      </c>
      <c r="S568" s="275" t="s">
        <v>15738</v>
      </c>
      <c r="T568" s="279">
        <v>42653</v>
      </c>
      <c r="U568" s="279">
        <v>42656</v>
      </c>
      <c r="V568" s="340">
        <v>42664</v>
      </c>
      <c r="W568" s="350">
        <f t="shared" ref="W568:W572" si="50">R568</f>
        <v>23.64</v>
      </c>
      <c r="X568" s="347">
        <v>9215</v>
      </c>
      <c r="AF568" s="276">
        <f t="shared" si="48"/>
        <v>98.64</v>
      </c>
      <c r="AG568" s="276">
        <f t="shared" si="43"/>
        <v>23.64</v>
      </c>
      <c r="AH568" s="276">
        <f t="shared" si="44"/>
        <v>125.98857</v>
      </c>
      <c r="AI568" s="283">
        <f t="shared" si="45"/>
        <v>1.2772563868613138</v>
      </c>
    </row>
    <row r="569" spans="1:35" ht="30" x14ac:dyDescent="0.25">
      <c r="A569" s="275">
        <f>'Profits 2016'!A5782</f>
        <v>3004536</v>
      </c>
      <c r="B569" s="279">
        <f>'Profits 2016'!B5782</f>
        <v>42639</v>
      </c>
      <c r="C569" s="276">
        <f>'Profits 2016'!H5782</f>
        <v>361.39</v>
      </c>
      <c r="D569" s="280">
        <f>'Profits 2016'!K5782</f>
        <v>321.69848999999999</v>
      </c>
      <c r="E569" s="276">
        <f>'Profits 2016'!L5782</f>
        <v>0</v>
      </c>
      <c r="F569" s="275" t="str">
        <f>'Profits 2016'!P5782</f>
        <v>Nassau</v>
      </c>
      <c r="G569" s="292">
        <f>'Profits 2016'!N5782-'Profits 2016'!M5782</f>
        <v>0</v>
      </c>
      <c r="H569" s="319"/>
      <c r="I569" s="320"/>
      <c r="J569" s="321"/>
      <c r="K569" s="321"/>
      <c r="L569" s="321"/>
      <c r="M569" s="319"/>
      <c r="N569" s="322"/>
      <c r="O569" s="236" t="str">
        <f>'Profits 2016'!T5782</f>
        <v>FEDEX GROUND</v>
      </c>
      <c r="P569" s="284" t="str">
        <f>'Profits 2016'!U5782</f>
        <v>702723288690</v>
      </c>
      <c r="Q569" s="284" t="s">
        <v>314</v>
      </c>
      <c r="R569" s="276">
        <v>39</v>
      </c>
      <c r="S569" s="275" t="s">
        <v>15738</v>
      </c>
      <c r="T569" s="279">
        <v>42653</v>
      </c>
      <c r="U569" s="279">
        <v>42656</v>
      </c>
      <c r="V569" s="340">
        <v>42664</v>
      </c>
      <c r="W569" s="350">
        <f t="shared" si="50"/>
        <v>39</v>
      </c>
      <c r="X569" s="347">
        <v>9215</v>
      </c>
      <c r="AF569" s="276">
        <f t="shared" si="48"/>
        <v>39</v>
      </c>
      <c r="AG569" s="276">
        <f t="shared" si="43"/>
        <v>39</v>
      </c>
      <c r="AH569" s="276">
        <f t="shared" si="44"/>
        <v>282.69848999999999</v>
      </c>
      <c r="AI569" s="283">
        <f t="shared" si="45"/>
        <v>7.2486792307692305</v>
      </c>
    </row>
    <row r="570" spans="1:35" ht="30" x14ac:dyDescent="0.25">
      <c r="A570" s="275">
        <f>'Profits 2016'!A5783</f>
        <v>3004537</v>
      </c>
      <c r="B570" s="279">
        <f>'Profits 2016'!B5783</f>
        <v>42639</v>
      </c>
      <c r="C570" s="276">
        <f>'Profits 2016'!H5783</f>
        <v>156.51</v>
      </c>
      <c r="D570" s="280">
        <f>'Profits 2016'!K5783</f>
        <v>139.15040999999999</v>
      </c>
      <c r="E570" s="276">
        <f>'Profits 2016'!L5783</f>
        <v>324</v>
      </c>
      <c r="F570" s="275" t="str">
        <f>'Profits 2016'!P5783</f>
        <v>Houston</v>
      </c>
      <c r="G570" s="292">
        <f>'Profits 2016'!N5783-'Profits 2016'!M5783</f>
        <v>81</v>
      </c>
      <c r="H570" s="292">
        <v>0</v>
      </c>
      <c r="I570" s="275">
        <v>30904416</v>
      </c>
      <c r="J570" s="277">
        <v>42640</v>
      </c>
      <c r="K570" s="277">
        <v>42647</v>
      </c>
      <c r="L570" s="277">
        <v>42664</v>
      </c>
      <c r="M570" s="292">
        <v>81</v>
      </c>
      <c r="N570" s="281">
        <v>9219</v>
      </c>
      <c r="O570" s="236" t="str">
        <f>'Profits 2016'!T5783</f>
        <v>FEDEX GROUND</v>
      </c>
      <c r="P570" s="284" t="str">
        <f>'Profits 2016'!U5783</f>
        <v>707510672872</v>
      </c>
      <c r="Q570" s="284" t="s">
        <v>314</v>
      </c>
      <c r="R570" s="276">
        <v>22.11</v>
      </c>
      <c r="S570" s="275" t="s">
        <v>15738</v>
      </c>
      <c r="T570" s="279">
        <v>42653</v>
      </c>
      <c r="U570" s="279">
        <v>42656</v>
      </c>
      <c r="V570" s="340">
        <v>42664</v>
      </c>
      <c r="W570" s="350">
        <f t="shared" si="50"/>
        <v>22.11</v>
      </c>
      <c r="X570" s="347">
        <v>9215</v>
      </c>
      <c r="AF570" s="276">
        <f t="shared" si="48"/>
        <v>103.11</v>
      </c>
      <c r="AG570" s="276">
        <f t="shared" si="43"/>
        <v>103.11</v>
      </c>
      <c r="AH570" s="276">
        <f t="shared" si="44"/>
        <v>36.040409999999994</v>
      </c>
      <c r="AI570" s="283">
        <f t="shared" si="45"/>
        <v>0.34953360488798363</v>
      </c>
    </row>
    <row r="571" spans="1:35" ht="30" x14ac:dyDescent="0.25">
      <c r="A571" s="275">
        <f>'Profits 2016'!A5784</f>
        <v>3004538</v>
      </c>
      <c r="B571" s="279">
        <f>'Profits 2016'!B5784</f>
        <v>42639</v>
      </c>
      <c r="C571" s="276">
        <f>'Profits 2016'!H5784</f>
        <v>345.6</v>
      </c>
      <c r="D571" s="280">
        <f>'Profits 2016'!K5784</f>
        <v>307.62960000000004</v>
      </c>
      <c r="E571" s="276">
        <f>'Profits 2016'!L5784</f>
        <v>750</v>
      </c>
      <c r="F571" s="275" t="str">
        <f>'Profits 2016'!P5784</f>
        <v>Nassau</v>
      </c>
      <c r="G571" s="292">
        <f>'Profits 2016'!N5784-'Profits 2016'!M5784</f>
        <v>187.5</v>
      </c>
      <c r="H571" s="319"/>
      <c r="I571" s="320"/>
      <c r="J571" s="321"/>
      <c r="K571" s="321"/>
      <c r="L571" s="321"/>
      <c r="M571" s="319"/>
      <c r="N571" s="322"/>
      <c r="O571" s="236" t="str">
        <f>'Profits 2016'!T5784</f>
        <v>FEDEX GROUND</v>
      </c>
      <c r="P571" s="284" t="str">
        <f>'Profits 2016'!U5784</f>
        <v>702723288680</v>
      </c>
      <c r="Q571" s="284" t="s">
        <v>314</v>
      </c>
      <c r="R571" s="276">
        <v>35.119999999999997</v>
      </c>
      <c r="S571" s="275" t="s">
        <v>15738</v>
      </c>
      <c r="T571" s="279">
        <v>42653</v>
      </c>
      <c r="U571" s="279">
        <v>42656</v>
      </c>
      <c r="V571" s="340">
        <v>42664</v>
      </c>
      <c r="W571" s="350">
        <f t="shared" si="50"/>
        <v>35.119999999999997</v>
      </c>
      <c r="X571" s="347">
        <v>9215</v>
      </c>
      <c r="AF571" s="276">
        <f t="shared" si="48"/>
        <v>222.62</v>
      </c>
      <c r="AG571" s="276">
        <f t="shared" si="43"/>
        <v>35.119999999999997</v>
      </c>
      <c r="AH571" s="276">
        <f t="shared" si="44"/>
        <v>272.50960000000003</v>
      </c>
      <c r="AI571" s="283">
        <f t="shared" si="45"/>
        <v>1.224102057317402</v>
      </c>
    </row>
    <row r="572" spans="1:35" ht="30" x14ac:dyDescent="0.25">
      <c r="A572" s="275">
        <f>'Profits 2016'!A5785</f>
        <v>3004539</v>
      </c>
      <c r="B572" s="279">
        <f>'Profits 2016'!B5785</f>
        <v>42639</v>
      </c>
      <c r="C572" s="276">
        <f>'Profits 2016'!H5785</f>
        <v>123.94</v>
      </c>
      <c r="D572" s="280">
        <f>'Profits 2016'!K5785</f>
        <v>110.13054</v>
      </c>
      <c r="E572" s="276">
        <f>'Profits 2016'!L5785</f>
        <v>672</v>
      </c>
      <c r="F572" s="275" t="str">
        <f>'Profits 2016'!P5785</f>
        <v>Houston</v>
      </c>
      <c r="G572" s="292">
        <f>'Profits 2016'!N5785-'Profits 2016'!M5785</f>
        <v>67.2</v>
      </c>
      <c r="H572" s="292">
        <v>0</v>
      </c>
      <c r="I572" s="275">
        <v>30904420</v>
      </c>
      <c r="J572" s="277">
        <v>42640</v>
      </c>
      <c r="K572" s="277">
        <v>42647</v>
      </c>
      <c r="L572" s="277">
        <v>42664</v>
      </c>
      <c r="M572" s="292">
        <v>67.2</v>
      </c>
      <c r="N572" s="281">
        <v>9219</v>
      </c>
      <c r="O572" s="236" t="str">
        <f>'Profits 2016'!T5785</f>
        <v>FEDEX GROUND</v>
      </c>
      <c r="P572" s="284" t="str">
        <f>'Profits 2016'!U5785</f>
        <v>736341816385</v>
      </c>
      <c r="Q572" s="284" t="s">
        <v>314</v>
      </c>
      <c r="R572" s="276">
        <v>27.06</v>
      </c>
      <c r="S572" s="275" t="s">
        <v>15738</v>
      </c>
      <c r="T572" s="279">
        <v>42653</v>
      </c>
      <c r="U572" s="279">
        <v>42656</v>
      </c>
      <c r="V572" s="340">
        <v>42664</v>
      </c>
      <c r="W572" s="350">
        <f t="shared" si="50"/>
        <v>27.06</v>
      </c>
      <c r="X572" s="347">
        <v>9215</v>
      </c>
      <c r="AF572" s="276">
        <f t="shared" si="48"/>
        <v>94.26</v>
      </c>
      <c r="AG572" s="276">
        <f t="shared" si="43"/>
        <v>94.26</v>
      </c>
      <c r="AH572" s="276">
        <f t="shared" si="44"/>
        <v>15.870539999999991</v>
      </c>
      <c r="AI572" s="283">
        <f t="shared" si="45"/>
        <v>0.1683698281349458</v>
      </c>
    </row>
    <row r="573" spans="1:35" ht="30" x14ac:dyDescent="0.25">
      <c r="A573" s="275">
        <f>'Profits 2016'!A5786</f>
        <v>3004540</v>
      </c>
      <c r="B573" s="279">
        <f>'Profits 2016'!B5786</f>
        <v>42639</v>
      </c>
      <c r="C573" s="276">
        <f>'Profits 2016'!H5786</f>
        <v>185.9</v>
      </c>
      <c r="D573" s="280">
        <f>'Profits 2016'!K5786</f>
        <v>165.33690000000001</v>
      </c>
      <c r="E573" s="276">
        <f>'Profits 2016'!L5786</f>
        <v>672</v>
      </c>
      <c r="F573" s="275" t="str">
        <f>'Profits 2016'!P5786</f>
        <v>Houston</v>
      </c>
      <c r="G573" s="292">
        <f>'Profits 2016'!N5786-'Profits 2016'!M5786</f>
        <v>100.80000000000001</v>
      </c>
      <c r="H573" s="292">
        <v>0</v>
      </c>
      <c r="I573" s="275">
        <v>30905252</v>
      </c>
      <c r="J573" s="277">
        <v>42641</v>
      </c>
      <c r="K573" s="277">
        <v>42647</v>
      </c>
      <c r="L573" s="277">
        <v>42671</v>
      </c>
      <c r="M573" s="292">
        <v>100.8</v>
      </c>
      <c r="N573" s="281">
        <v>9252</v>
      </c>
      <c r="O573" s="236" t="str">
        <f>'Profits 2016'!T5786</f>
        <v>FEDEX GROUND</v>
      </c>
      <c r="P573" s="284" t="str">
        <f>'Profits 2016'!U5786</f>
        <v>777336822473</v>
      </c>
      <c r="Q573" s="284" t="s">
        <v>314</v>
      </c>
      <c r="R573" s="276">
        <v>24.57</v>
      </c>
      <c r="S573" s="275" t="s">
        <v>15802</v>
      </c>
      <c r="T573" s="279">
        <v>42660</v>
      </c>
      <c r="U573" s="279">
        <v>42663</v>
      </c>
      <c r="V573" s="279">
        <v>42671</v>
      </c>
      <c r="W573" s="293">
        <v>24.57</v>
      </c>
      <c r="X573" s="236">
        <v>9250</v>
      </c>
      <c r="AF573" s="276">
        <f t="shared" si="48"/>
        <v>125.37</v>
      </c>
      <c r="AG573" s="276">
        <f t="shared" si="43"/>
        <v>125.37</v>
      </c>
      <c r="AH573" s="276">
        <f t="shared" si="44"/>
        <v>39.96690000000001</v>
      </c>
      <c r="AI573" s="283">
        <f t="shared" si="45"/>
        <v>0.3187915769322805</v>
      </c>
    </row>
    <row r="574" spans="1:35" ht="30" x14ac:dyDescent="0.25">
      <c r="A574" s="275">
        <f>'Profits 2016'!A5787</f>
        <v>3004541</v>
      </c>
      <c r="B574" s="279">
        <f>'Profits 2016'!B5787</f>
        <v>42639</v>
      </c>
      <c r="C574" s="276">
        <f>'Profits 2016'!H5787</f>
        <v>3000</v>
      </c>
      <c r="D574" s="280">
        <f>'Profits 2016'!K5787</f>
        <v>2933.7</v>
      </c>
      <c r="E574" s="276">
        <f>'Profits 2016'!L5787</f>
        <v>1322</v>
      </c>
      <c r="F574" s="275" t="str">
        <f>'Profits 2016'!P5787</f>
        <v>Southwire</v>
      </c>
      <c r="G574" s="292">
        <f>'Profits 2016'!N5787-'Profits 2016'!M5787</f>
        <v>1983</v>
      </c>
      <c r="H574" s="292">
        <v>0</v>
      </c>
      <c r="I574" s="275">
        <v>90955344</v>
      </c>
      <c r="J574" s="277">
        <v>42639</v>
      </c>
      <c r="K574" s="277">
        <v>42643</v>
      </c>
      <c r="L574" s="277">
        <v>42650</v>
      </c>
      <c r="M574" s="292">
        <v>1943.34</v>
      </c>
      <c r="N574" s="281">
        <v>9132</v>
      </c>
      <c r="O574" s="236" t="str">
        <f>'Profits 2016'!T5787</f>
        <v>FEDEX FREIGHT</v>
      </c>
      <c r="P574" s="284" t="str">
        <f>'Profits 2016'!U5787</f>
        <v>4226668434</v>
      </c>
      <c r="AF574" s="276">
        <f t="shared" si="48"/>
        <v>1983</v>
      </c>
      <c r="AG574" s="276">
        <f t="shared" si="43"/>
        <v>1943.34</v>
      </c>
      <c r="AH574" s="276">
        <f t="shared" si="44"/>
        <v>990.3599999999999</v>
      </c>
      <c r="AI574" s="283">
        <f t="shared" si="45"/>
        <v>0.49942511346444773</v>
      </c>
    </row>
    <row r="575" spans="1:35" ht="30" x14ac:dyDescent="0.25">
      <c r="A575" s="275">
        <f>'Profits 2016'!A5788</f>
        <v>3004542</v>
      </c>
      <c r="B575" s="279">
        <f>'Profits 2016'!B5788</f>
        <v>42639</v>
      </c>
      <c r="C575" s="276">
        <f>'Profits 2016'!H5788</f>
        <v>95</v>
      </c>
      <c r="D575" s="280">
        <f>'Profits 2016'!K5788</f>
        <v>84.344999999999999</v>
      </c>
      <c r="E575" s="276">
        <f>'Profits 2016'!L5788</f>
        <v>110</v>
      </c>
      <c r="F575" s="275" t="str">
        <f>'Profits 2016'!P5788</f>
        <v>Priority</v>
      </c>
      <c r="G575" s="292">
        <f>'Profits 2016'!N5788-'Profits 2016'!M5788</f>
        <v>55</v>
      </c>
      <c r="H575" s="292">
        <v>0</v>
      </c>
      <c r="I575" s="275">
        <v>1059949</v>
      </c>
      <c r="J575" s="277">
        <v>42640</v>
      </c>
      <c r="K575" s="277">
        <v>42647</v>
      </c>
      <c r="L575" s="277">
        <v>42664</v>
      </c>
      <c r="M575" s="292">
        <v>55</v>
      </c>
      <c r="N575" s="281">
        <v>9227</v>
      </c>
      <c r="O575" s="236" t="str">
        <f>'Profits 2016'!T5788</f>
        <v>FEDEX GROUND</v>
      </c>
      <c r="P575" s="284" t="str">
        <f>'Profits 2016'!U5788</f>
        <v xml:space="preserve">	614697967474</v>
      </c>
      <c r="Q575" s="284" t="s">
        <v>15740</v>
      </c>
      <c r="R575" s="276">
        <v>22.25</v>
      </c>
      <c r="S575" s="275">
        <v>1059949</v>
      </c>
      <c r="T575" s="279">
        <v>42640</v>
      </c>
      <c r="U575" s="279">
        <v>42647</v>
      </c>
      <c r="V575" s="279">
        <v>42664</v>
      </c>
      <c r="W575" s="293">
        <v>22.25</v>
      </c>
      <c r="X575" s="236">
        <v>9227</v>
      </c>
      <c r="AF575" s="276">
        <f t="shared" si="48"/>
        <v>77.25</v>
      </c>
      <c r="AG575" s="276">
        <f t="shared" si="43"/>
        <v>77.25</v>
      </c>
      <c r="AH575" s="276">
        <f t="shared" si="44"/>
        <v>7.0949999999999989</v>
      </c>
      <c r="AI575" s="283">
        <f t="shared" si="45"/>
        <v>9.184466019417474E-2</v>
      </c>
    </row>
    <row r="576" spans="1:35" ht="30" x14ac:dyDescent="0.25">
      <c r="A576" s="275">
        <f>'Profits 2016'!A5789</f>
        <v>3004543</v>
      </c>
      <c r="B576" s="279">
        <f>'Profits 2016'!B5789</f>
        <v>42639</v>
      </c>
      <c r="C576" s="276">
        <f>'Profits 2016'!H5789</f>
        <v>459.36</v>
      </c>
      <c r="D576" s="280">
        <f>'Profits 2016'!K5789</f>
        <v>408.98975999999999</v>
      </c>
      <c r="E576" s="276">
        <f>'Profits 2016'!L5789</f>
        <v>1450</v>
      </c>
      <c r="F576" s="275" t="str">
        <f>'Profits 2016'!P5789</f>
        <v>Direct</v>
      </c>
      <c r="G576" s="292">
        <f>'Profits 2016'!N5789-'Profits 2016'!M5789</f>
        <v>145</v>
      </c>
      <c r="H576" s="292">
        <v>0</v>
      </c>
      <c r="I576" s="275">
        <v>73355</v>
      </c>
      <c r="J576" s="277">
        <v>42640</v>
      </c>
      <c r="K576" s="277">
        <v>42643</v>
      </c>
      <c r="L576" s="277">
        <v>42650</v>
      </c>
      <c r="M576" s="292">
        <v>286.16000000000003</v>
      </c>
      <c r="N576" s="281">
        <v>9066</v>
      </c>
      <c r="O576" s="236" t="str">
        <f>'Profits 2016'!T5789</f>
        <v>FEDEX GROUND</v>
      </c>
      <c r="P576" s="284" t="str">
        <f>'Profits 2016'!U5789</f>
        <v>642286529029</v>
      </c>
      <c r="Q576" s="284" t="s">
        <v>314</v>
      </c>
      <c r="R576" s="276">
        <v>23.01</v>
      </c>
      <c r="S576" s="275" t="s">
        <v>15738</v>
      </c>
      <c r="T576" s="279">
        <v>42653</v>
      </c>
      <c r="U576" s="279">
        <v>42656</v>
      </c>
      <c r="V576" s="340">
        <v>42664</v>
      </c>
      <c r="W576" s="350">
        <f t="shared" ref="W576:W580" si="51">R576</f>
        <v>23.01</v>
      </c>
      <c r="X576" s="347">
        <v>9215</v>
      </c>
      <c r="AF576" s="276">
        <f t="shared" si="48"/>
        <v>168.01</v>
      </c>
      <c r="AG576" s="276">
        <f t="shared" si="43"/>
        <v>309.17</v>
      </c>
      <c r="AH576" s="276">
        <f t="shared" si="44"/>
        <v>99.819759999999974</v>
      </c>
      <c r="AI576" s="283">
        <f t="shared" si="45"/>
        <v>0.59412987322183186</v>
      </c>
    </row>
    <row r="577" spans="1:35" x14ac:dyDescent="0.25">
      <c r="A577" s="275">
        <f>'Profits 2016'!A5790</f>
        <v>0</v>
      </c>
      <c r="B577" s="279">
        <f>'Profits 2016'!B5790</f>
        <v>0</v>
      </c>
      <c r="C577" s="276">
        <f>'Profits 2016'!H5790</f>
        <v>0</v>
      </c>
      <c r="D577" s="280">
        <f>'Profits 2016'!K5790</f>
        <v>0</v>
      </c>
      <c r="E577" s="276">
        <f>'Profits 2016'!L5790</f>
        <v>1470</v>
      </c>
      <c r="F577" s="275" t="str">
        <f>'Profits 2016'!P5790</f>
        <v>Direct</v>
      </c>
      <c r="G577" s="292">
        <f>'Profits 2016'!N5790-'Profits 2016'!M5790</f>
        <v>147</v>
      </c>
      <c r="H577" s="292">
        <v>0</v>
      </c>
      <c r="I577" s="275">
        <v>73355</v>
      </c>
      <c r="J577" s="277">
        <v>42640</v>
      </c>
      <c r="K577" s="277">
        <v>42643</v>
      </c>
      <c r="L577" s="277">
        <v>42650</v>
      </c>
      <c r="M577" s="292">
        <v>0</v>
      </c>
      <c r="N577" s="281">
        <v>9066</v>
      </c>
      <c r="O577" s="236">
        <f>'Profits 2016'!T5790</f>
        <v>0</v>
      </c>
      <c r="P577" s="284">
        <f>'Profits 2016'!U5790</f>
        <v>642286529030</v>
      </c>
      <c r="Q577" s="284" t="s">
        <v>314</v>
      </c>
      <c r="R577" s="276">
        <v>18.07</v>
      </c>
      <c r="S577" s="275" t="s">
        <v>15738</v>
      </c>
      <c r="T577" s="279">
        <v>42653</v>
      </c>
      <c r="U577" s="279">
        <v>42656</v>
      </c>
      <c r="V577" s="340">
        <v>42664</v>
      </c>
      <c r="W577" s="350">
        <f t="shared" si="51"/>
        <v>18.07</v>
      </c>
      <c r="X577" s="347">
        <v>9215</v>
      </c>
      <c r="AF577" s="276">
        <f t="shared" si="48"/>
        <v>165.07</v>
      </c>
      <c r="AG577" s="276">
        <f t="shared" si="43"/>
        <v>18.07</v>
      </c>
      <c r="AH577" s="276">
        <f t="shared" si="44"/>
        <v>-18.07</v>
      </c>
      <c r="AI577" s="283">
        <f t="shared" si="45"/>
        <v>-0.10946871024413886</v>
      </c>
    </row>
    <row r="578" spans="1:35" ht="30" x14ac:dyDescent="0.25">
      <c r="A578" s="275">
        <f>'Profits 2016'!A5791</f>
        <v>3004544</v>
      </c>
      <c r="B578" s="279">
        <f>'Profits 2016'!B5791</f>
        <v>42639</v>
      </c>
      <c r="C578" s="276">
        <f>'Profits 2016'!H5791</f>
        <v>142.58000000000001</v>
      </c>
      <c r="D578" s="280">
        <f>'Profits 2016'!K5791</f>
        <v>126.73878000000001</v>
      </c>
      <c r="E578" s="276">
        <f>'Profits 2016'!L5791</f>
        <v>280</v>
      </c>
      <c r="F578" s="275" t="str">
        <f>'Profits 2016'!P5791</f>
        <v>A-Z</v>
      </c>
      <c r="G578" s="292">
        <f>'Profits 2016'!N5791-'Profits 2016'!M5791</f>
        <v>70</v>
      </c>
      <c r="H578" s="292">
        <v>0</v>
      </c>
      <c r="I578" s="275">
        <v>402567</v>
      </c>
      <c r="J578" s="277">
        <v>42640</v>
      </c>
      <c r="K578" s="277">
        <v>42646</v>
      </c>
      <c r="O578" s="236" t="str">
        <f>'Profits 2016'!T5791</f>
        <v>FEDEX GROUND</v>
      </c>
      <c r="P578" s="284" t="str">
        <f>'Profits 2016'!U5791</f>
        <v>676563245191</v>
      </c>
      <c r="Q578" s="284" t="s">
        <v>314</v>
      </c>
      <c r="R578" s="276">
        <v>28.16</v>
      </c>
      <c r="S578" s="275" t="s">
        <v>15738</v>
      </c>
      <c r="T578" s="279">
        <v>42653</v>
      </c>
      <c r="U578" s="279">
        <v>42656</v>
      </c>
      <c r="V578" s="340">
        <v>42664</v>
      </c>
      <c r="W578" s="350">
        <f t="shared" si="51"/>
        <v>28.16</v>
      </c>
      <c r="X578" s="347">
        <v>9215</v>
      </c>
      <c r="AF578" s="276">
        <f t="shared" si="48"/>
        <v>98.16</v>
      </c>
      <c r="AG578" s="276">
        <f t="shared" si="43"/>
        <v>28.16</v>
      </c>
      <c r="AH578" s="276">
        <f t="shared" si="44"/>
        <v>98.578780000000009</v>
      </c>
      <c r="AI578" s="283">
        <f t="shared" si="45"/>
        <v>1.0042662999185006</v>
      </c>
    </row>
    <row r="579" spans="1:35" ht="30" x14ac:dyDescent="0.25">
      <c r="A579" s="275">
        <f>'Profits 2016'!A5792</f>
        <v>3004545</v>
      </c>
      <c r="B579" s="279">
        <f>'Profits 2016'!B5792</f>
        <v>42639</v>
      </c>
      <c r="C579" s="276">
        <f>'Profits 2016'!H5792</f>
        <v>152.38</v>
      </c>
      <c r="D579" s="280">
        <f>'Profits 2016'!K5792</f>
        <v>135.47057999999998</v>
      </c>
      <c r="E579" s="276">
        <f>'Profits 2016'!L5792</f>
        <v>672</v>
      </c>
      <c r="F579" s="275" t="str">
        <f>'Profits 2016'!P5792</f>
        <v>Houston</v>
      </c>
      <c r="G579" s="292">
        <f>'Profits 2016'!N5792-'Profits 2016'!M5792</f>
        <v>84</v>
      </c>
      <c r="H579" s="292">
        <v>0</v>
      </c>
      <c r="I579" s="275">
        <v>30904435</v>
      </c>
      <c r="J579" s="277">
        <v>42640</v>
      </c>
      <c r="K579" s="277">
        <v>38994</v>
      </c>
      <c r="L579" s="277">
        <v>42664</v>
      </c>
      <c r="M579" s="292">
        <v>84</v>
      </c>
      <c r="N579" s="281">
        <v>9219</v>
      </c>
      <c r="O579" s="236" t="str">
        <f>'Profits 2016'!T5792</f>
        <v>FEDEX PRIORITY</v>
      </c>
      <c r="P579" s="284" t="str">
        <f>'Profits 2016'!U5792</f>
        <v>3766720930</v>
      </c>
      <c r="Q579" s="284" t="s">
        <v>314</v>
      </c>
      <c r="R579" s="276">
        <v>23.28</v>
      </c>
      <c r="S579" s="275" t="s">
        <v>15738</v>
      </c>
      <c r="T579" s="279">
        <v>42653</v>
      </c>
      <c r="U579" s="279">
        <v>42656</v>
      </c>
      <c r="V579" s="340">
        <v>42664</v>
      </c>
      <c r="W579" s="350">
        <f t="shared" si="51"/>
        <v>23.28</v>
      </c>
      <c r="X579" s="347">
        <v>9215</v>
      </c>
      <c r="AF579" s="276">
        <f t="shared" si="48"/>
        <v>-140.06</v>
      </c>
      <c r="AG579" s="276">
        <f t="shared" ref="AG579:AG642" si="52">M579+R579+Y579</f>
        <v>107.28</v>
      </c>
      <c r="AH579" s="276">
        <f t="shared" ref="AH579:AH642" si="53">D579-AG579</f>
        <v>28.190579999999983</v>
      </c>
      <c r="AI579" s="283">
        <f t="shared" ref="AI579:AI642" si="54">AH579/AF579</f>
        <v>-0.20127502498929017</v>
      </c>
    </row>
    <row r="580" spans="1:35" ht="30" x14ac:dyDescent="0.25">
      <c r="A580" s="275">
        <f>'Profits 2016'!A5793</f>
        <v>3004546</v>
      </c>
      <c r="B580" s="279">
        <f>'Profits 2016'!B5793</f>
        <v>42639</v>
      </c>
      <c r="C580" s="276">
        <f>'Profits 2016'!H5793</f>
        <v>454.77</v>
      </c>
      <c r="D580" s="280">
        <f>'Profits 2016'!K5793</f>
        <v>404.90006999999997</v>
      </c>
      <c r="E580" s="276">
        <f>'Profits 2016'!L5793</f>
        <v>375</v>
      </c>
      <c r="F580" s="275" t="str">
        <f>'Profits 2016'!P5793</f>
        <v>Nassau</v>
      </c>
      <c r="G580" s="292">
        <f>'Profits 2016'!N5793-'Profits 2016'!M5793</f>
        <v>178.125</v>
      </c>
      <c r="H580" s="319">
        <v>-247.34</v>
      </c>
      <c r="I580" s="320" t="s">
        <v>15803</v>
      </c>
      <c r="J580" s="321">
        <v>42690</v>
      </c>
      <c r="K580" s="321">
        <v>42691</v>
      </c>
      <c r="L580" s="321"/>
      <c r="M580" s="319"/>
      <c r="N580" s="322"/>
      <c r="O580" s="236" t="str">
        <f>'Profits 2016'!T5793</f>
        <v>FEDEX GROUND</v>
      </c>
      <c r="P580" s="284" t="str">
        <f>'Profits 2016'!U5793</f>
        <v>702723288738</v>
      </c>
      <c r="Q580" s="284" t="s">
        <v>314</v>
      </c>
      <c r="R580" s="276">
        <v>60.45</v>
      </c>
      <c r="S580" s="275" t="s">
        <v>15738</v>
      </c>
      <c r="T580" s="279">
        <v>42653</v>
      </c>
      <c r="U580" s="279">
        <v>42656</v>
      </c>
      <c r="V580" s="340">
        <v>42664</v>
      </c>
      <c r="W580" s="350">
        <f t="shared" si="51"/>
        <v>60.45</v>
      </c>
      <c r="X580" s="347">
        <v>9215</v>
      </c>
      <c r="Y580" s="276">
        <v>177.12</v>
      </c>
      <c r="Z580" s="236" t="s">
        <v>15793</v>
      </c>
      <c r="AA580" s="279">
        <v>42674</v>
      </c>
      <c r="AB580" s="279">
        <v>42681</v>
      </c>
      <c r="AF580" s="276">
        <f t="shared" si="48"/>
        <v>415.69499999999999</v>
      </c>
      <c r="AG580" s="276">
        <f t="shared" si="52"/>
        <v>237.57</v>
      </c>
      <c r="AH580" s="276">
        <f t="shared" si="53"/>
        <v>167.33006999999998</v>
      </c>
      <c r="AI580" s="283">
        <f t="shared" si="54"/>
        <v>0.40253086998881388</v>
      </c>
    </row>
    <row r="581" spans="1:35" ht="30" x14ac:dyDescent="0.25">
      <c r="A581" s="275">
        <f>'Profits 2016'!A5794</f>
        <v>3004547</v>
      </c>
      <c r="B581" s="279">
        <f>'Profits 2016'!B5794</f>
        <v>42639</v>
      </c>
      <c r="C581" s="276">
        <f>'Profits 2016'!H5794</f>
        <v>428.67</v>
      </c>
      <c r="D581" s="280">
        <f>'Profits 2016'!K5794</f>
        <v>381.64497</v>
      </c>
      <c r="E581" s="276">
        <f>'Profits 2016'!L5794</f>
        <v>950</v>
      </c>
      <c r="F581" s="275" t="str">
        <f>'Profits 2016'!P5794</f>
        <v>Southwire</v>
      </c>
      <c r="G581" s="292">
        <f>'Profits 2016'!N5794-'Profits 2016'!M5794</f>
        <v>237.5</v>
      </c>
      <c r="H581" s="292">
        <v>0</v>
      </c>
      <c r="I581" s="275">
        <v>90968770</v>
      </c>
      <c r="J581" s="277">
        <v>42646</v>
      </c>
      <c r="K581" s="277">
        <v>42650</v>
      </c>
      <c r="L581" s="277">
        <v>42678</v>
      </c>
      <c r="M581" s="292">
        <v>232.75</v>
      </c>
      <c r="N581" s="281">
        <v>947</v>
      </c>
      <c r="O581" s="236" t="str">
        <f>'Profits 2016'!T5794</f>
        <v>UPS GROUND</v>
      </c>
      <c r="P581" s="284" t="str">
        <f>'Profits 2016'!U5794</f>
        <v xml:space="preserve">1Z9VA6380322210846  </v>
      </c>
      <c r="AF581" s="276">
        <f t="shared" si="48"/>
        <v>237.5</v>
      </c>
      <c r="AG581" s="276">
        <f t="shared" si="52"/>
        <v>232.75</v>
      </c>
      <c r="AH581" s="276">
        <f t="shared" si="53"/>
        <v>148.89497</v>
      </c>
      <c r="AI581" s="283">
        <f t="shared" si="54"/>
        <v>0.62692618947368417</v>
      </c>
    </row>
    <row r="582" spans="1:35" ht="30" x14ac:dyDescent="0.25">
      <c r="A582" s="275">
        <f>'Profits 2016'!A5795</f>
        <v>3004548</v>
      </c>
      <c r="B582" s="279">
        <f>'Profits 2016'!B5795</f>
        <v>42639</v>
      </c>
      <c r="C582" s="276">
        <f>'Profits 2016'!H5795</f>
        <v>250</v>
      </c>
      <c r="D582" s="280">
        <f>'Profits 2016'!K5795</f>
        <v>222.45</v>
      </c>
      <c r="E582" s="276">
        <f>'Profits 2016'!L5795</f>
        <v>100</v>
      </c>
      <c r="F582" s="275" t="str">
        <f>'Profits 2016'!P5795</f>
        <v>AWC</v>
      </c>
      <c r="G582" s="292">
        <f>'Profits 2016'!N5795-'Profits 2016'!M5795</f>
        <v>100</v>
      </c>
      <c r="H582" s="292">
        <v>0</v>
      </c>
      <c r="I582" s="275">
        <v>345539</v>
      </c>
      <c r="J582" s="277">
        <v>42641</v>
      </c>
      <c r="K582" s="277">
        <v>42647</v>
      </c>
      <c r="L582" s="277">
        <v>42671</v>
      </c>
      <c r="M582" s="292">
        <v>100</v>
      </c>
      <c r="N582" s="281">
        <v>9243</v>
      </c>
      <c r="O582" s="236" t="str">
        <f>'Profits 2016'!T5795</f>
        <v>FEDEX GROUND</v>
      </c>
      <c r="P582" s="284" t="str">
        <f>'Profits 2016'!U5795</f>
        <v>706034047416</v>
      </c>
      <c r="Q582" s="284" t="s">
        <v>314</v>
      </c>
      <c r="R582" s="276">
        <v>11.02</v>
      </c>
      <c r="S582" s="275" t="s">
        <v>15738</v>
      </c>
      <c r="T582" s="279">
        <v>42653</v>
      </c>
      <c r="U582" s="279">
        <v>42656</v>
      </c>
      <c r="V582" s="340">
        <v>42664</v>
      </c>
      <c r="W582" s="350">
        <f t="shared" ref="W582:W583" si="55">R582</f>
        <v>11.02</v>
      </c>
      <c r="X582" s="347">
        <v>9215</v>
      </c>
      <c r="AF582" s="276">
        <f t="shared" si="48"/>
        <v>111.02</v>
      </c>
      <c r="AG582" s="276">
        <f t="shared" si="52"/>
        <v>111.02</v>
      </c>
      <c r="AH582" s="276">
        <f t="shared" si="53"/>
        <v>111.42999999999999</v>
      </c>
      <c r="AI582" s="283">
        <f t="shared" si="54"/>
        <v>1.0036930282831922</v>
      </c>
    </row>
    <row r="583" spans="1:35" ht="30" x14ac:dyDescent="0.25">
      <c r="A583" s="275">
        <f>'Profits 2016'!A5796</f>
        <v>3004549</v>
      </c>
      <c r="B583" s="279">
        <f>'Profits 2016'!B5796</f>
        <v>42639</v>
      </c>
      <c r="C583" s="276">
        <f>'Profits 2016'!H5796</f>
        <v>350</v>
      </c>
      <c r="D583" s="280">
        <f>'Profits 2016'!K5796</f>
        <v>311.55</v>
      </c>
      <c r="E583" s="276">
        <f>'Profits 2016'!L5796</f>
        <v>1322</v>
      </c>
      <c r="F583" s="275" t="str">
        <f>'Profits 2016'!P5796</f>
        <v>Thea</v>
      </c>
      <c r="G583" s="292">
        <f>'Profits 2016'!N5796-'Profits 2016'!M5796</f>
        <v>165.25</v>
      </c>
      <c r="H583" s="319"/>
      <c r="I583" s="320"/>
      <c r="J583" s="321"/>
      <c r="K583" s="321"/>
      <c r="L583" s="321"/>
      <c r="M583" s="319"/>
      <c r="N583" s="322"/>
      <c r="O583" s="236" t="str">
        <f>'Profits 2016'!T5796</f>
        <v>FEDEX GROUND</v>
      </c>
      <c r="P583" s="284" t="str">
        <f>'Profits 2016'!U5796</f>
        <v>675157530194</v>
      </c>
      <c r="Q583" s="284" t="s">
        <v>314</v>
      </c>
      <c r="R583" s="276">
        <v>42.16</v>
      </c>
      <c r="S583" s="275" t="s">
        <v>15738</v>
      </c>
      <c r="T583" s="279">
        <v>42653</v>
      </c>
      <c r="U583" s="279">
        <v>42656</v>
      </c>
      <c r="V583" s="340">
        <v>42664</v>
      </c>
      <c r="W583" s="350">
        <f t="shared" si="55"/>
        <v>42.16</v>
      </c>
      <c r="X583" s="347">
        <v>9215</v>
      </c>
      <c r="AF583" s="276">
        <f t="shared" si="48"/>
        <v>207.41</v>
      </c>
      <c r="AG583" s="276">
        <f t="shared" si="52"/>
        <v>42.16</v>
      </c>
      <c r="AH583" s="276">
        <f t="shared" si="53"/>
        <v>269.39</v>
      </c>
      <c r="AI583" s="283">
        <f t="shared" si="54"/>
        <v>1.2988284075020491</v>
      </c>
    </row>
    <row r="584" spans="1:35" ht="30" x14ac:dyDescent="0.25">
      <c r="A584" s="275">
        <f>'Profits 2016'!A5797</f>
        <v>3004550</v>
      </c>
      <c r="B584" s="279">
        <f>'Profits 2016'!B5797</f>
        <v>42639</v>
      </c>
      <c r="C584" s="276">
        <f>'Profits 2016'!H5797</f>
        <v>298.44</v>
      </c>
      <c r="D584" s="280">
        <f>'Profits 2016'!K5797</f>
        <v>265.61004000000003</v>
      </c>
      <c r="E584" s="276">
        <f>'Profits 2016'!L5797</f>
        <v>480</v>
      </c>
      <c r="F584" s="275" t="str">
        <f>'Profits 2016'!P5797</f>
        <v>Nassau</v>
      </c>
      <c r="G584" s="292">
        <f>'Profits 2016'!N5797-'Profits 2016'!M5797</f>
        <v>96</v>
      </c>
      <c r="H584" s="319"/>
      <c r="I584" s="320"/>
      <c r="J584" s="321"/>
      <c r="K584" s="321"/>
      <c r="L584" s="321"/>
      <c r="M584" s="319"/>
      <c r="N584" s="322"/>
      <c r="O584" s="236" t="str">
        <f>'Profits 2016'!T5797</f>
        <v>FEDEX GROUND</v>
      </c>
      <c r="P584" s="284" t="str">
        <f>'Profits 2016'!U5797</f>
        <v>702723288841</v>
      </c>
      <c r="Q584" s="284" t="s">
        <v>314</v>
      </c>
      <c r="R584" s="276">
        <v>36.57</v>
      </c>
      <c r="S584" s="275" t="s">
        <v>15802</v>
      </c>
      <c r="T584" s="279">
        <v>42660</v>
      </c>
      <c r="U584" s="279">
        <v>42663</v>
      </c>
      <c r="V584" s="279">
        <v>42671</v>
      </c>
      <c r="W584" s="293">
        <v>36.57</v>
      </c>
      <c r="X584" s="236">
        <v>9250</v>
      </c>
      <c r="AF584" s="276">
        <f t="shared" si="48"/>
        <v>132.57</v>
      </c>
      <c r="AG584" s="276">
        <f t="shared" si="52"/>
        <v>36.57</v>
      </c>
      <c r="AH584" s="276">
        <f t="shared" si="53"/>
        <v>229.04004000000003</v>
      </c>
      <c r="AI584" s="283">
        <f t="shared" si="54"/>
        <v>1.7276913328807426</v>
      </c>
    </row>
    <row r="585" spans="1:35" ht="45" x14ac:dyDescent="0.25">
      <c r="A585" s="275">
        <f>'Profits 2016'!A5798</f>
        <v>3004551</v>
      </c>
      <c r="B585" s="279">
        <f>'Profits 2016'!B5798</f>
        <v>42639</v>
      </c>
      <c r="C585" s="276">
        <f>'Profits 2016'!H5798</f>
        <v>6540</v>
      </c>
      <c r="D585" s="280">
        <f>'Profits 2016'!K5798</f>
        <v>6540</v>
      </c>
      <c r="E585" s="276">
        <f>'Profits 2016'!L5798</f>
        <v>787</v>
      </c>
      <c r="F585" s="275" t="str">
        <f>'Profits 2016'!P5798</f>
        <v>Essex</v>
      </c>
      <c r="G585" s="292">
        <f>'Profits 2016'!N5798-'Profits 2016'!M5798</f>
        <v>1652.7</v>
      </c>
      <c r="H585" s="292">
        <v>0</v>
      </c>
      <c r="I585" s="275">
        <v>598562</v>
      </c>
      <c r="J585" s="277">
        <v>42642</v>
      </c>
      <c r="K585" s="277">
        <v>42650</v>
      </c>
      <c r="L585" s="277">
        <v>42671</v>
      </c>
      <c r="M585" s="292">
        <v>1652.7</v>
      </c>
      <c r="N585" s="281">
        <v>9266</v>
      </c>
      <c r="O585" s="236" t="str">
        <f>'Profits 2016'!T5798</f>
        <v>WILSON TRUCKING/DLS</v>
      </c>
      <c r="P585" s="284">
        <f>'Profits 2016'!U5798</f>
        <v>71242186</v>
      </c>
      <c r="Q585" s="284" t="s">
        <v>15804</v>
      </c>
      <c r="R585" s="276">
        <v>214.29</v>
      </c>
      <c r="S585" s="275">
        <v>636808435</v>
      </c>
      <c r="T585" s="279">
        <v>42650</v>
      </c>
      <c r="U585" s="279">
        <v>42654</v>
      </c>
      <c r="V585" s="279">
        <v>42664</v>
      </c>
      <c r="W585" s="293">
        <v>214.29</v>
      </c>
      <c r="X585" s="236">
        <v>9228</v>
      </c>
      <c r="AF585" s="276">
        <f t="shared" si="48"/>
        <v>1866.99</v>
      </c>
      <c r="AG585" s="276">
        <f t="shared" si="52"/>
        <v>1866.99</v>
      </c>
      <c r="AH585" s="276">
        <f t="shared" si="53"/>
        <v>4673.01</v>
      </c>
      <c r="AI585" s="283">
        <f t="shared" si="54"/>
        <v>2.50296466504909</v>
      </c>
    </row>
    <row r="586" spans="1:35" x14ac:dyDescent="0.25">
      <c r="A586" s="275">
        <f>'Profits 2016'!A5799</f>
        <v>0</v>
      </c>
      <c r="B586" s="279">
        <f>'Profits 2016'!B5799</f>
        <v>0</v>
      </c>
      <c r="C586" s="276">
        <f>'Profits 2016'!H5799</f>
        <v>0</v>
      </c>
      <c r="D586" s="280">
        <f>'Profits 2016'!K5799</f>
        <v>0</v>
      </c>
      <c r="E586" s="276">
        <f>'Profits 2016'!L5799</f>
        <v>300</v>
      </c>
      <c r="F586" s="275" t="str">
        <f>'Profits 2016'!P5799</f>
        <v>Essex</v>
      </c>
      <c r="G586" s="292">
        <f>'Profits 2016'!N5799-'Profits 2016'!M5799</f>
        <v>2160</v>
      </c>
      <c r="H586" s="292">
        <v>0</v>
      </c>
      <c r="I586" s="275">
        <v>598562</v>
      </c>
      <c r="J586" s="277">
        <v>42642</v>
      </c>
      <c r="K586" s="277">
        <v>42650</v>
      </c>
      <c r="L586" s="277">
        <v>42671</v>
      </c>
      <c r="M586" s="292">
        <v>2160</v>
      </c>
      <c r="N586" s="281">
        <v>9266</v>
      </c>
      <c r="O586" s="236">
        <f>'Profits 2016'!T5799</f>
        <v>0</v>
      </c>
      <c r="P586" s="284">
        <f>'Profits 2016'!U5799</f>
        <v>0</v>
      </c>
      <c r="Q586" s="284" t="s">
        <v>15804</v>
      </c>
      <c r="R586" s="276">
        <v>0</v>
      </c>
      <c r="S586" s="275">
        <v>636808435</v>
      </c>
      <c r="T586" s="279">
        <v>42650</v>
      </c>
      <c r="U586" s="279">
        <v>42654</v>
      </c>
      <c r="V586" s="279">
        <v>42664</v>
      </c>
      <c r="W586" s="293">
        <v>0</v>
      </c>
      <c r="X586" s="236">
        <v>9228</v>
      </c>
      <c r="AF586" s="276">
        <f t="shared" si="48"/>
        <v>2160</v>
      </c>
      <c r="AG586" s="276">
        <f t="shared" si="52"/>
        <v>2160</v>
      </c>
      <c r="AH586" s="276">
        <f t="shared" si="53"/>
        <v>-2160</v>
      </c>
      <c r="AI586" s="283">
        <f t="shared" si="54"/>
        <v>-1</v>
      </c>
    </row>
    <row r="587" spans="1:35" ht="30" x14ac:dyDescent="0.25">
      <c r="A587" s="275">
        <f>'Profits 2016'!A5800</f>
        <v>3004552</v>
      </c>
      <c r="B587" s="279">
        <f>'Profits 2016'!B5800</f>
        <v>42639</v>
      </c>
      <c r="C587" s="276">
        <f>'Profits 2016'!H5800</f>
        <v>789.52</v>
      </c>
      <c r="D587" s="280">
        <f>'Profits 2016'!K5800</f>
        <v>771.85055999999997</v>
      </c>
      <c r="E587" s="276">
        <f>'Profits 2016'!L5800</f>
        <v>1820</v>
      </c>
      <c r="F587" s="275" t="str">
        <f>'Profits 2016'!P5800</f>
        <v>Service</v>
      </c>
      <c r="G587" s="292">
        <f>'Profits 2016'!N5800-'Profits 2016'!M5800</f>
        <v>546</v>
      </c>
      <c r="H587" s="292">
        <v>0</v>
      </c>
      <c r="I587" s="275">
        <v>50262862</v>
      </c>
      <c r="J587" s="277">
        <v>42641</v>
      </c>
      <c r="K587" s="277">
        <v>42647</v>
      </c>
      <c r="L587" s="277">
        <v>42671</v>
      </c>
      <c r="M587" s="292">
        <v>546</v>
      </c>
      <c r="N587" s="281">
        <v>9265</v>
      </c>
      <c r="O587" s="236" t="str">
        <f>'Profits 2016'!T5800</f>
        <v>XPO LOGISTICS</v>
      </c>
      <c r="P587" s="284" t="str">
        <f>'Profits 2016'!U5800</f>
        <v>396432853</v>
      </c>
      <c r="AF587" s="276">
        <f t="shared" si="48"/>
        <v>546</v>
      </c>
      <c r="AG587" s="276">
        <f t="shared" si="52"/>
        <v>546</v>
      </c>
      <c r="AH587" s="276">
        <f t="shared" si="53"/>
        <v>225.85055999999997</v>
      </c>
      <c r="AI587" s="283">
        <f t="shared" si="54"/>
        <v>0.41364571428571423</v>
      </c>
    </row>
    <row r="588" spans="1:35" ht="30" x14ac:dyDescent="0.25">
      <c r="A588" s="275">
        <f>'Profits 2016'!A5801</f>
        <v>3004553</v>
      </c>
      <c r="B588" s="279">
        <f>'Profits 2016'!B5801</f>
        <v>42639</v>
      </c>
      <c r="C588" s="276">
        <f>'Profits 2016'!H5801</f>
        <v>250</v>
      </c>
      <c r="D588" s="280">
        <f>'Profits 2016'!K5801</f>
        <v>212.5</v>
      </c>
      <c r="E588" s="276">
        <f>'Profits 2016'!L5801</f>
        <v>1322</v>
      </c>
      <c r="F588" s="275" t="str">
        <f>'Profits 2016'!P5801</f>
        <v>Thea</v>
      </c>
      <c r="G588" s="292">
        <f>'Profits 2016'!N5801-'Profits 2016'!M5801</f>
        <v>132.20000000000005</v>
      </c>
      <c r="H588" s="319"/>
      <c r="I588" s="320"/>
      <c r="J588" s="321"/>
      <c r="K588" s="321"/>
      <c r="L588" s="321"/>
      <c r="M588" s="319"/>
      <c r="N588" s="322"/>
      <c r="O588" s="236" t="str">
        <f>'Profits 2016'!T5801</f>
        <v>FEDEX GROUND</v>
      </c>
      <c r="P588" s="284" t="str">
        <f>'Profits 2016'!U5801</f>
        <v>675157530183</v>
      </c>
      <c r="Q588" s="284" t="s">
        <v>260</v>
      </c>
      <c r="R588" s="276">
        <v>45.39</v>
      </c>
      <c r="S588" s="275" t="s">
        <v>15802</v>
      </c>
      <c r="T588" s="279">
        <v>42660</v>
      </c>
      <c r="U588" s="279">
        <v>42663</v>
      </c>
      <c r="V588" s="279">
        <v>42671</v>
      </c>
      <c r="W588" s="293">
        <v>45.39</v>
      </c>
      <c r="X588" s="236">
        <v>9250</v>
      </c>
      <c r="AF588" s="276">
        <f t="shared" si="48"/>
        <v>177.59000000000003</v>
      </c>
      <c r="AG588" s="276">
        <f t="shared" si="52"/>
        <v>45.39</v>
      </c>
      <c r="AH588" s="276">
        <f t="shared" si="53"/>
        <v>167.11</v>
      </c>
      <c r="AI588" s="283">
        <f t="shared" si="54"/>
        <v>0.94098766822456215</v>
      </c>
    </row>
    <row r="589" spans="1:35" ht="30" x14ac:dyDescent="0.25">
      <c r="A589" s="275">
        <f>'Profits 2016'!A5802</f>
        <v>3004554</v>
      </c>
      <c r="B589" s="279">
        <f>'Profits 2016'!B5802</f>
        <v>42639</v>
      </c>
      <c r="C589" s="276">
        <f>'Profits 2016'!H5802</f>
        <v>143.84</v>
      </c>
      <c r="D589" s="280">
        <f>'Profits 2016'!K5802</f>
        <v>122.26400000000001</v>
      </c>
      <c r="E589" s="276">
        <f>'Profits 2016'!L5802</f>
        <v>990</v>
      </c>
      <c r="F589" s="275" t="str">
        <f>'Profits 2016'!P5802</f>
        <v>Nassau</v>
      </c>
      <c r="G589" s="292">
        <f>'Profits 2016'!N5802-'Profits 2016'!M5802</f>
        <v>49.499999999999993</v>
      </c>
      <c r="H589" s="319"/>
      <c r="I589" s="320"/>
      <c r="J589" s="321"/>
      <c r="K589" s="321"/>
      <c r="L589" s="321"/>
      <c r="M589" s="319"/>
      <c r="N589" s="322"/>
      <c r="O589" s="236" t="str">
        <f>'Profits 2016'!T5802</f>
        <v>FEDEX GROUND</v>
      </c>
      <c r="P589" s="284" t="str">
        <f>'Profits 2016'!U5802</f>
        <v>665645047140</v>
      </c>
      <c r="Q589" s="284" t="s">
        <v>314</v>
      </c>
      <c r="R589" s="276">
        <v>30.07</v>
      </c>
      <c r="S589" s="275" t="s">
        <v>15738</v>
      </c>
      <c r="T589" s="279">
        <v>42653</v>
      </c>
      <c r="U589" s="279">
        <v>42656</v>
      </c>
      <c r="V589" s="340">
        <v>42664</v>
      </c>
      <c r="W589" s="350">
        <f>R589</f>
        <v>30.07</v>
      </c>
      <c r="X589" s="347">
        <v>9215</v>
      </c>
      <c r="AF589" s="276">
        <f t="shared" si="48"/>
        <v>79.569999999999993</v>
      </c>
      <c r="AG589" s="276">
        <f t="shared" si="52"/>
        <v>30.07</v>
      </c>
      <c r="AH589" s="276">
        <f t="shared" si="53"/>
        <v>92.194000000000017</v>
      </c>
      <c r="AI589" s="283">
        <f t="shared" si="54"/>
        <v>1.1586527585773536</v>
      </c>
    </row>
    <row r="590" spans="1:35" ht="30" x14ac:dyDescent="0.25">
      <c r="A590" s="275">
        <f>'Profits 2016'!A5803</f>
        <v>3004555</v>
      </c>
      <c r="B590" s="279">
        <f>'Profits 2016'!B5803</f>
        <v>42639</v>
      </c>
      <c r="C590" s="276">
        <f>'Profits 2016'!H5803</f>
        <v>492.8</v>
      </c>
      <c r="D590" s="280">
        <f>'Profits 2016'!K5803</f>
        <v>418.88</v>
      </c>
      <c r="E590" s="276">
        <f>'Profits 2016'!L5803</f>
        <v>1150</v>
      </c>
      <c r="F590" s="275" t="str">
        <f>'Profits 2016'!P5803</f>
        <v>Direct</v>
      </c>
      <c r="G590" s="292">
        <f>'Profits 2016'!N5803-'Profits 2016'!M5803</f>
        <v>115</v>
      </c>
      <c r="H590" s="292">
        <v>0</v>
      </c>
      <c r="I590" s="275">
        <v>73415</v>
      </c>
      <c r="J590" s="277">
        <v>42641</v>
      </c>
      <c r="K590" s="277">
        <v>42647</v>
      </c>
      <c r="L590" s="277">
        <v>42650</v>
      </c>
      <c r="M590" s="292">
        <v>286.16000000000003</v>
      </c>
      <c r="N590" s="281">
        <v>9067</v>
      </c>
      <c r="O590" s="236" t="str">
        <f>'Profits 2016'!T5803</f>
        <v>FEDEX GROUND</v>
      </c>
      <c r="P590" s="284" t="str">
        <f>'Profits 2016'!U5803</f>
        <v>630512244961</v>
      </c>
      <c r="Q590" s="284" t="s">
        <v>314</v>
      </c>
      <c r="R590" s="276">
        <v>49.5</v>
      </c>
      <c r="S590" s="275" t="s">
        <v>15738</v>
      </c>
      <c r="T590" s="279">
        <v>42653</v>
      </c>
      <c r="U590" s="279">
        <v>42656</v>
      </c>
      <c r="V590" s="340">
        <v>42664</v>
      </c>
      <c r="W590" s="350">
        <f>R590</f>
        <v>49.5</v>
      </c>
      <c r="X590" s="347">
        <v>9215</v>
      </c>
      <c r="AF590" s="276">
        <f t="shared" si="48"/>
        <v>164.5</v>
      </c>
      <c r="AG590" s="276">
        <f t="shared" si="52"/>
        <v>335.66</v>
      </c>
      <c r="AH590" s="276">
        <f t="shared" si="53"/>
        <v>83.21999999999997</v>
      </c>
      <c r="AI590" s="283">
        <f t="shared" si="54"/>
        <v>0.50589665653495419</v>
      </c>
    </row>
    <row r="591" spans="1:35" x14ac:dyDescent="0.25">
      <c r="A591" s="275">
        <f>'Profits 2016'!A5804</f>
        <v>0</v>
      </c>
      <c r="B591" s="279">
        <f>'Profits 2016'!B5804</f>
        <v>0</v>
      </c>
      <c r="C591" s="276">
        <f>'Profits 2016'!H5804</f>
        <v>0</v>
      </c>
      <c r="D591" s="280">
        <f>'Profits 2016'!K5804</f>
        <v>0</v>
      </c>
      <c r="E591" s="276">
        <f>'Profits 2016'!L5804</f>
        <v>1180</v>
      </c>
      <c r="F591" s="275" t="str">
        <f>'Profits 2016'!P5804</f>
        <v>Direct</v>
      </c>
      <c r="G591" s="292">
        <f>'Profits 2016'!N5804-'Profits 2016'!M5804</f>
        <v>177</v>
      </c>
      <c r="H591" s="292">
        <v>0</v>
      </c>
      <c r="I591" s="275">
        <v>73415</v>
      </c>
      <c r="J591" s="277">
        <v>42641</v>
      </c>
      <c r="K591" s="277">
        <v>42647</v>
      </c>
      <c r="L591" s="277">
        <v>42650</v>
      </c>
      <c r="M591" s="292">
        <v>0</v>
      </c>
      <c r="N591" s="281">
        <v>9067</v>
      </c>
      <c r="O591" s="236">
        <f>'Profits 2016'!T5804</f>
        <v>0</v>
      </c>
      <c r="P591" s="284">
        <f>'Profits 2016'!U5804</f>
        <v>0</v>
      </c>
      <c r="AF591" s="276">
        <f t="shared" si="48"/>
        <v>177</v>
      </c>
      <c r="AG591" s="276">
        <f t="shared" si="52"/>
        <v>0</v>
      </c>
      <c r="AH591" s="276">
        <f t="shared" si="53"/>
        <v>0</v>
      </c>
      <c r="AI591" s="283">
        <f t="shared" si="54"/>
        <v>0</v>
      </c>
    </row>
    <row r="592" spans="1:35" ht="30" x14ac:dyDescent="0.25">
      <c r="A592" s="275">
        <f>'Profits 2016'!A5805</f>
        <v>3004556</v>
      </c>
      <c r="B592" s="279">
        <f>'Profits 2016'!B5805</f>
        <v>42639</v>
      </c>
      <c r="C592" s="276">
        <f>'Profits 2016'!H5805</f>
        <v>194.04</v>
      </c>
      <c r="D592" s="280">
        <f>'Profits 2016'!K5805</f>
        <v>164.934</v>
      </c>
      <c r="E592" s="276">
        <f>'Profits 2016'!L5805</f>
        <v>680</v>
      </c>
      <c r="F592" s="275" t="str">
        <f>'Profits 2016'!P5805</f>
        <v>Nassau</v>
      </c>
      <c r="G592" s="292">
        <f>'Profits 2016'!N5805-'Profits 2016'!M5805</f>
        <v>68</v>
      </c>
      <c r="H592" s="319"/>
      <c r="I592" s="320"/>
      <c r="J592" s="321"/>
      <c r="K592" s="321"/>
      <c r="L592" s="321"/>
      <c r="M592" s="319"/>
      <c r="N592" s="322"/>
      <c r="O592" s="236" t="str">
        <f>'Profits 2016'!T5805</f>
        <v>FEDEX GROUND</v>
      </c>
      <c r="P592" s="284" t="str">
        <f>'Profits 2016'!U5805</f>
        <v>680483360255</v>
      </c>
      <c r="Q592" s="284" t="s">
        <v>314</v>
      </c>
      <c r="R592" s="276">
        <v>35.14</v>
      </c>
      <c r="S592" s="275" t="s">
        <v>15802</v>
      </c>
      <c r="T592" s="279">
        <v>42660</v>
      </c>
      <c r="U592" s="279">
        <v>42663</v>
      </c>
      <c r="V592" s="279">
        <v>42671</v>
      </c>
      <c r="W592" s="293">
        <f>R592</f>
        <v>35.14</v>
      </c>
      <c r="X592" s="236">
        <v>9250</v>
      </c>
      <c r="AF592" s="276">
        <f t="shared" si="48"/>
        <v>103.14</v>
      </c>
      <c r="AG592" s="276">
        <f t="shared" si="52"/>
        <v>35.14</v>
      </c>
      <c r="AH592" s="276">
        <f t="shared" si="53"/>
        <v>129.79399999999998</v>
      </c>
      <c r="AI592" s="283">
        <f t="shared" si="54"/>
        <v>1.2584254411479541</v>
      </c>
    </row>
    <row r="593" spans="1:35" ht="30" x14ac:dyDescent="0.25">
      <c r="A593" s="275">
        <f>'Profits 2016'!A5806</f>
        <v>3004557</v>
      </c>
      <c r="B593" s="279">
        <f>'Profits 2016'!B5806</f>
        <v>42639</v>
      </c>
      <c r="C593" s="276">
        <f>'Profits 2016'!H5806</f>
        <v>226.71</v>
      </c>
      <c r="D593" s="280">
        <f>'Profits 2016'!K5806</f>
        <v>192.70350000000002</v>
      </c>
      <c r="E593" s="276">
        <f>'Profits 2016'!L5806</f>
        <v>672</v>
      </c>
      <c r="F593" s="275" t="str">
        <f>'Profits 2016'!P5806</f>
        <v>Houston</v>
      </c>
      <c r="G593" s="292">
        <f>'Profits 2016'!N5806-'Profits 2016'!M5806</f>
        <v>134.4</v>
      </c>
      <c r="H593" s="292">
        <v>0</v>
      </c>
      <c r="I593" s="275">
        <v>30904430</v>
      </c>
      <c r="J593" s="277">
        <v>42640</v>
      </c>
      <c r="K593" s="277">
        <v>42647</v>
      </c>
      <c r="L593" s="277">
        <v>42664</v>
      </c>
      <c r="M593" s="292">
        <v>134.4</v>
      </c>
      <c r="N593" s="281">
        <v>9218</v>
      </c>
      <c r="O593" s="236" t="str">
        <f>'Profits 2016'!T5806</f>
        <v>FEDEX PRIORITY</v>
      </c>
      <c r="P593" s="284" t="str">
        <f>'Profits 2016'!U5806</f>
        <v>3766720915</v>
      </c>
      <c r="Q593" s="284" t="s">
        <v>260</v>
      </c>
      <c r="R593" s="276">
        <v>145.99</v>
      </c>
      <c r="S593" s="275">
        <v>3766720915</v>
      </c>
      <c r="T593" s="279">
        <v>42642</v>
      </c>
      <c r="U593" s="279">
        <v>42647</v>
      </c>
      <c r="V593" s="279">
        <v>42657</v>
      </c>
      <c r="W593" s="293">
        <v>145.99</v>
      </c>
      <c r="X593" s="236">
        <v>9173</v>
      </c>
      <c r="AF593" s="276">
        <f t="shared" ref="AF593:AF658" si="56">G593+H594+R593+Y593</f>
        <v>280.39</v>
      </c>
      <c r="AG593" s="276">
        <f t="shared" si="52"/>
        <v>280.39</v>
      </c>
      <c r="AH593" s="276">
        <f t="shared" si="53"/>
        <v>-87.686499999999967</v>
      </c>
      <c r="AI593" s="283">
        <f t="shared" si="54"/>
        <v>-0.31273048254217328</v>
      </c>
    </row>
    <row r="594" spans="1:35" ht="30" x14ac:dyDescent="0.25">
      <c r="A594" s="275">
        <f>'Profits 2016'!A5807</f>
        <v>3004558</v>
      </c>
      <c r="B594" s="279">
        <f>'Profits 2016'!B5807</f>
        <v>42639</v>
      </c>
      <c r="C594" s="276">
        <f>'Profits 2016'!H5807</f>
        <v>323.43</v>
      </c>
      <c r="D594" s="280">
        <f>'Profits 2016'!K5807</f>
        <v>274.91550000000001</v>
      </c>
      <c r="E594" s="276">
        <f>'Profits 2016'!L5807</f>
        <v>672</v>
      </c>
      <c r="F594" s="275" t="str">
        <f>'Profits 2016'!P5807</f>
        <v>Houston</v>
      </c>
      <c r="G594" s="292">
        <f>'Profits 2016'!N5807-'Profits 2016'!M5807</f>
        <v>184.8</v>
      </c>
      <c r="H594" s="292">
        <v>0</v>
      </c>
      <c r="I594" s="275">
        <v>30904745</v>
      </c>
      <c r="J594" s="277">
        <v>42641</v>
      </c>
      <c r="K594" s="277">
        <v>42647</v>
      </c>
      <c r="L594" s="277">
        <v>42671</v>
      </c>
      <c r="M594" s="292">
        <v>184.8</v>
      </c>
      <c r="N594" s="281">
        <v>9257</v>
      </c>
      <c r="O594" s="236" t="str">
        <f>'Profits 2016'!T5807</f>
        <v>FEDEX GROUND</v>
      </c>
      <c r="P594" s="284" t="str">
        <f>'Profits 2016'!U5807</f>
        <v>543369481414</v>
      </c>
      <c r="Q594" s="284" t="s">
        <v>314</v>
      </c>
      <c r="R594" s="276">
        <v>48.8</v>
      </c>
      <c r="S594" s="275" t="s">
        <v>15738</v>
      </c>
      <c r="T594" s="279">
        <v>42653</v>
      </c>
      <c r="U594" s="279">
        <v>42656</v>
      </c>
      <c r="V594" s="340">
        <v>42664</v>
      </c>
      <c r="W594" s="350">
        <f t="shared" ref="W594:W595" si="57">R594</f>
        <v>48.8</v>
      </c>
      <c r="X594" s="347">
        <v>9215</v>
      </c>
      <c r="AF594" s="276">
        <f t="shared" si="56"/>
        <v>233.60000000000002</v>
      </c>
      <c r="AG594" s="276">
        <f t="shared" si="52"/>
        <v>233.60000000000002</v>
      </c>
      <c r="AH594" s="276">
        <f t="shared" si="53"/>
        <v>41.315499999999986</v>
      </c>
      <c r="AI594" s="283">
        <f t="shared" si="54"/>
        <v>0.17686429794520539</v>
      </c>
    </row>
    <row r="595" spans="1:35" ht="30" x14ac:dyDescent="0.25">
      <c r="A595" s="275">
        <f>'Profits 2016'!A5808</f>
        <v>3004559</v>
      </c>
      <c r="B595" s="279">
        <f>'Profits 2016'!B5808</f>
        <v>42639</v>
      </c>
      <c r="C595" s="276">
        <f>'Profits 2016'!H5808</f>
        <v>187.4</v>
      </c>
      <c r="D595" s="280">
        <f>'Profits 2016'!K5808</f>
        <v>159.29000000000002</v>
      </c>
      <c r="E595" s="276">
        <f>'Profits 2016'!L5808</f>
        <v>280</v>
      </c>
      <c r="F595" s="275" t="str">
        <f>'Profits 2016'!P5808</f>
        <v>A-Z</v>
      </c>
      <c r="G595" s="292">
        <f>'Profits 2016'!N5808-'Profits 2016'!M5808</f>
        <v>140</v>
      </c>
      <c r="H595" s="292">
        <v>0</v>
      </c>
      <c r="I595" s="275">
        <v>402863</v>
      </c>
      <c r="J595" s="277">
        <v>42641</v>
      </c>
      <c r="K595" s="277">
        <v>42646</v>
      </c>
      <c r="O595" s="236" t="str">
        <f>'Profits 2016'!T5808</f>
        <v>FEDEX GROUND</v>
      </c>
      <c r="P595" s="284" t="str">
        <f>'Profits 2016'!U5808</f>
        <v>707060223201</v>
      </c>
      <c r="Q595" s="284" t="s">
        <v>314</v>
      </c>
      <c r="R595" s="276">
        <v>10.06</v>
      </c>
      <c r="S595" s="275" t="s">
        <v>15738</v>
      </c>
      <c r="T595" s="279">
        <v>42653</v>
      </c>
      <c r="U595" s="279">
        <v>42656</v>
      </c>
      <c r="V595" s="340">
        <v>42664</v>
      </c>
      <c r="W595" s="350">
        <f t="shared" si="57"/>
        <v>10.06</v>
      </c>
      <c r="X595" s="347">
        <v>9215</v>
      </c>
      <c r="AF595" s="276">
        <f t="shared" si="56"/>
        <v>150.06</v>
      </c>
      <c r="AG595" s="276">
        <f t="shared" si="52"/>
        <v>10.06</v>
      </c>
      <c r="AH595" s="276">
        <f t="shared" si="53"/>
        <v>149.23000000000002</v>
      </c>
      <c r="AI595" s="283">
        <f t="shared" si="54"/>
        <v>0.9944688791150208</v>
      </c>
    </row>
    <row r="596" spans="1:35" ht="30" x14ac:dyDescent="0.25">
      <c r="A596" s="275">
        <f>'Profits 2016'!A5809</f>
        <v>3004560</v>
      </c>
      <c r="B596" s="279">
        <f>'Profits 2016'!B5809</f>
        <v>42639</v>
      </c>
      <c r="C596" s="276">
        <f>'Profits 2016'!H5809</f>
        <v>180.18</v>
      </c>
      <c r="D596" s="280">
        <f>'Profits 2016'!K5809</f>
        <v>153.15300000000002</v>
      </c>
      <c r="E596" s="276">
        <f>'Profits 2016'!L5809</f>
        <v>1150</v>
      </c>
      <c r="F596" s="275" t="str">
        <f>'Profits 2016'!P5809</f>
        <v>Direct</v>
      </c>
      <c r="G596" s="292">
        <f>'Profits 2016'!N5809-'Profits 2016'!M5809</f>
        <v>115</v>
      </c>
      <c r="H596" s="292">
        <v>0</v>
      </c>
      <c r="I596" s="275">
        <v>73427</v>
      </c>
      <c r="J596" s="277">
        <v>42641</v>
      </c>
      <c r="K596" s="277">
        <v>42647</v>
      </c>
      <c r="L596" s="277">
        <v>42650</v>
      </c>
      <c r="M596" s="292">
        <v>112.7</v>
      </c>
      <c r="N596" s="281">
        <v>9067</v>
      </c>
      <c r="O596" s="236" t="str">
        <f>'Profits 2016'!T5809</f>
        <v>FEDEX GROUND</v>
      </c>
      <c r="P596" s="284" t="str">
        <f>'Profits 2016'!U5809</f>
        <v>639794969577</v>
      </c>
      <c r="AF596" s="276">
        <f t="shared" si="56"/>
        <v>115</v>
      </c>
      <c r="AG596" s="276">
        <f t="shared" si="52"/>
        <v>112.7</v>
      </c>
      <c r="AH596" s="276">
        <f t="shared" si="53"/>
        <v>40.453000000000017</v>
      </c>
      <c r="AI596" s="283">
        <f t="shared" si="54"/>
        <v>0.35176521739130451</v>
      </c>
    </row>
    <row r="597" spans="1:35" ht="30" x14ac:dyDescent="0.25">
      <c r="A597" s="275">
        <f>'Profits 2016'!A5810</f>
        <v>3004561</v>
      </c>
      <c r="B597" s="279">
        <f>'Profits 2016'!B5810</f>
        <v>42639</v>
      </c>
      <c r="C597" s="276">
        <f>'Profits 2016'!H5810</f>
        <v>248.31</v>
      </c>
      <c r="D597" s="280">
        <f>'Profits 2016'!K5810</f>
        <v>211.0635</v>
      </c>
      <c r="E597" s="276">
        <f>'Profits 2016'!L5810</f>
        <v>990</v>
      </c>
      <c r="F597" s="275" t="str">
        <f>'Profits 2016'!P5810</f>
        <v>Nassau</v>
      </c>
      <c r="G597" s="292">
        <f>'Profits 2016'!N5810-'Profits 2016'!M5810</f>
        <v>99</v>
      </c>
      <c r="H597" s="319"/>
      <c r="I597" s="320"/>
      <c r="J597" s="321"/>
      <c r="K597" s="321"/>
      <c r="L597" s="321"/>
      <c r="M597" s="319"/>
      <c r="N597" s="322"/>
      <c r="O597" s="236" t="str">
        <f>'Profits 2016'!T5810</f>
        <v>FEDEX GROUND</v>
      </c>
      <c r="P597" s="284" t="str">
        <f>'Profits 2016'!U5810</f>
        <v>665645047151</v>
      </c>
      <c r="Q597" s="284" t="s">
        <v>314</v>
      </c>
      <c r="R597" s="276">
        <v>41.78</v>
      </c>
      <c r="S597" s="275" t="s">
        <v>15802</v>
      </c>
      <c r="T597" s="279">
        <v>42660</v>
      </c>
      <c r="U597" s="279">
        <v>42663</v>
      </c>
      <c r="V597" s="279">
        <v>42671</v>
      </c>
      <c r="W597" s="293">
        <f t="shared" ref="W597:W598" si="58">R597</f>
        <v>41.78</v>
      </c>
      <c r="X597" s="236">
        <v>9250</v>
      </c>
      <c r="AF597" s="276">
        <f t="shared" si="56"/>
        <v>140.78</v>
      </c>
      <c r="AG597" s="276">
        <f t="shared" si="52"/>
        <v>41.78</v>
      </c>
      <c r="AH597" s="276">
        <f t="shared" si="53"/>
        <v>169.2835</v>
      </c>
      <c r="AI597" s="283">
        <f t="shared" si="54"/>
        <v>1.2024683903963631</v>
      </c>
    </row>
    <row r="598" spans="1:35" ht="30" x14ac:dyDescent="0.25">
      <c r="A598" s="275">
        <f>'Profits 2016'!A5811</f>
        <v>3004562</v>
      </c>
      <c r="B598" s="279">
        <f>'Profits 2016'!B5811</f>
        <v>42639</v>
      </c>
      <c r="C598" s="276">
        <f>'Profits 2016'!H5811</f>
        <v>192.58</v>
      </c>
      <c r="D598" s="280">
        <f>'Profits 2016'!K5811</f>
        <v>163.69300000000001</v>
      </c>
      <c r="E598" s="276">
        <f>'Profits 2016'!L5811</f>
        <v>990</v>
      </c>
      <c r="F598" s="275" t="str">
        <f>'Profits 2016'!P5811</f>
        <v>Nassau</v>
      </c>
      <c r="G598" s="292">
        <f>'Profits 2016'!N5811-'Profits 2016'!M5811</f>
        <v>74.25</v>
      </c>
      <c r="H598" s="319"/>
      <c r="I598" s="320"/>
      <c r="J598" s="321"/>
      <c r="K598" s="321"/>
      <c r="L598" s="321"/>
      <c r="M598" s="319"/>
      <c r="N598" s="322"/>
      <c r="O598" s="236" t="str">
        <f>'Profits 2016'!T5811</f>
        <v>FEDEX GROUND</v>
      </c>
      <c r="P598" s="284" t="str">
        <f>'Profits 2016'!U5811</f>
        <v>665645047130</v>
      </c>
      <c r="Q598" s="284" t="s">
        <v>314</v>
      </c>
      <c r="R598" s="276">
        <v>29.59</v>
      </c>
      <c r="S598" s="275" t="s">
        <v>15802</v>
      </c>
      <c r="T598" s="279">
        <v>42660</v>
      </c>
      <c r="U598" s="279">
        <v>42663</v>
      </c>
      <c r="V598" s="279">
        <v>42671</v>
      </c>
      <c r="W598" s="293">
        <f t="shared" si="58"/>
        <v>29.59</v>
      </c>
      <c r="X598" s="236">
        <v>9250</v>
      </c>
      <c r="AF598" s="276">
        <f t="shared" si="56"/>
        <v>103.84</v>
      </c>
      <c r="AG598" s="276">
        <f t="shared" si="52"/>
        <v>29.59</v>
      </c>
      <c r="AH598" s="276">
        <f t="shared" si="53"/>
        <v>134.10300000000001</v>
      </c>
      <c r="AI598" s="283">
        <f t="shared" si="54"/>
        <v>1.2914387519260402</v>
      </c>
    </row>
    <row r="599" spans="1:35" ht="30" x14ac:dyDescent="0.25">
      <c r="A599" s="275">
        <f>'Profits 2016'!A5812</f>
        <v>3004563</v>
      </c>
      <c r="B599" s="279">
        <f>'Profits 2016'!B5812</f>
        <v>42639</v>
      </c>
      <c r="C599" s="276">
        <f>'Profits 2016'!H5812</f>
        <v>176.4</v>
      </c>
      <c r="D599" s="280">
        <f>'Profits 2016'!K5812</f>
        <v>149.94</v>
      </c>
      <c r="E599" s="276">
        <f>'Profits 2016'!L5812</f>
        <v>672</v>
      </c>
      <c r="F599" s="275" t="str">
        <f>'Profits 2016'!P5812</f>
        <v>Houston</v>
      </c>
      <c r="G599" s="292">
        <f>'Profits 2016'!N5812-'Profits 2016'!M5812</f>
        <v>100.8</v>
      </c>
      <c r="H599" s="292">
        <v>0</v>
      </c>
      <c r="I599" s="275">
        <v>30904154</v>
      </c>
      <c r="J599" s="277">
        <v>42640</v>
      </c>
      <c r="K599" s="277">
        <v>42647</v>
      </c>
      <c r="L599" s="277">
        <v>42664</v>
      </c>
      <c r="M599" s="292">
        <v>100.8</v>
      </c>
      <c r="N599" s="281">
        <v>9218</v>
      </c>
      <c r="O599" s="236" t="str">
        <f>'Profits 2016'!T5812</f>
        <v>FEDEX GROUND</v>
      </c>
      <c r="P599" s="284" t="str">
        <f>'Profits 2016'!U5812</f>
        <v>679301396948</v>
      </c>
      <c r="Q599" s="284" t="s">
        <v>314</v>
      </c>
      <c r="R599" s="276">
        <v>27.06</v>
      </c>
      <c r="S599" s="275" t="s">
        <v>15738</v>
      </c>
      <c r="T599" s="279">
        <v>42653</v>
      </c>
      <c r="U599" s="279">
        <v>42656</v>
      </c>
      <c r="V599" s="340">
        <v>42664</v>
      </c>
      <c r="W599" s="350">
        <f>R599</f>
        <v>27.06</v>
      </c>
      <c r="X599" s="347">
        <v>9215</v>
      </c>
      <c r="AF599" s="276">
        <f t="shared" si="56"/>
        <v>127.86</v>
      </c>
      <c r="AG599" s="276">
        <f t="shared" si="52"/>
        <v>127.86</v>
      </c>
      <c r="AH599" s="276">
        <f t="shared" si="53"/>
        <v>22.08</v>
      </c>
      <c r="AI599" s="283">
        <f t="shared" si="54"/>
        <v>0.17268887846081651</v>
      </c>
    </row>
    <row r="600" spans="1:35" ht="30" x14ac:dyDescent="0.25">
      <c r="A600" s="275">
        <f>'Profits 2016'!A5813</f>
        <v>3004564</v>
      </c>
      <c r="B600" s="279">
        <f>'Profits 2016'!B5813</f>
        <v>42639</v>
      </c>
      <c r="C600" s="276">
        <f>'Profits 2016'!H5813</f>
        <v>180.18</v>
      </c>
      <c r="D600" s="280">
        <f>'Profits 2016'!K5813</f>
        <v>153.15300000000002</v>
      </c>
      <c r="E600" s="276">
        <f>'Profits 2016'!L5813</f>
        <v>1180</v>
      </c>
      <c r="F600" s="275" t="str">
        <f>'Profits 2016'!P5813</f>
        <v>Direct</v>
      </c>
      <c r="G600" s="292">
        <f>'Profits 2016'!N5813-'Profits 2016'!M5813</f>
        <v>117.99999999999999</v>
      </c>
      <c r="H600" s="292">
        <v>0</v>
      </c>
      <c r="I600" s="275">
        <v>73486</v>
      </c>
      <c r="J600" s="277">
        <v>42642</v>
      </c>
      <c r="K600" s="277">
        <v>42646</v>
      </c>
      <c r="L600" s="277">
        <v>42650</v>
      </c>
      <c r="M600" s="292">
        <v>115.64</v>
      </c>
      <c r="N600" s="281">
        <v>9066</v>
      </c>
      <c r="O600" s="236" t="str">
        <f>'Profits 2016'!T5813</f>
        <v>FEDEX GROUND</v>
      </c>
      <c r="P600" s="284" t="str">
        <f>'Profits 2016'!U5813</f>
        <v>642286529062</v>
      </c>
      <c r="Q600" s="284" t="s">
        <v>314</v>
      </c>
      <c r="R600" s="276">
        <v>23.76</v>
      </c>
      <c r="S600" s="275" t="s">
        <v>15802</v>
      </c>
      <c r="T600" s="279">
        <v>42660</v>
      </c>
      <c r="U600" s="279">
        <v>42663</v>
      </c>
      <c r="V600" s="279">
        <v>42671</v>
      </c>
      <c r="W600" s="293">
        <f>R600</f>
        <v>23.76</v>
      </c>
      <c r="X600" s="236">
        <v>9250</v>
      </c>
      <c r="AF600" s="276">
        <f t="shared" si="56"/>
        <v>141.76</v>
      </c>
      <c r="AG600" s="276">
        <f t="shared" si="52"/>
        <v>139.4</v>
      </c>
      <c r="AH600" s="276">
        <f t="shared" si="53"/>
        <v>13.753000000000014</v>
      </c>
      <c r="AI600" s="283">
        <f t="shared" si="54"/>
        <v>9.7016083521444807E-2</v>
      </c>
    </row>
    <row r="601" spans="1:35" ht="30" x14ac:dyDescent="0.25">
      <c r="A601" s="275">
        <f>'Profits 2016'!A5814</f>
        <v>3004565</v>
      </c>
      <c r="B601" s="279">
        <f>'Profits 2016'!B5814</f>
        <v>42639</v>
      </c>
      <c r="C601" s="276">
        <f>'Profits 2016'!H5814</f>
        <v>295.2</v>
      </c>
      <c r="D601" s="280">
        <f>'Profits 2016'!K5814</f>
        <v>285.30599999999998</v>
      </c>
      <c r="E601" s="276">
        <f>'Profits 2016'!L5814</f>
        <v>1200</v>
      </c>
      <c r="F601" s="275" t="str">
        <f>'Profits 2016'!P5814</f>
        <v>Priority</v>
      </c>
      <c r="G601" s="292">
        <f>'Profits 2016'!N5814-'Profits 2016'!M5814</f>
        <v>147.6</v>
      </c>
      <c r="H601" s="292">
        <v>0</v>
      </c>
      <c r="I601" s="275">
        <v>1060123</v>
      </c>
      <c r="J601" s="277">
        <v>42641</v>
      </c>
      <c r="K601" s="277">
        <v>42647</v>
      </c>
      <c r="L601" s="277">
        <v>42671</v>
      </c>
      <c r="M601" s="292">
        <v>147.6</v>
      </c>
      <c r="N601" s="281">
        <v>9256</v>
      </c>
      <c r="O601" s="236" t="str">
        <f>'Profits 2016'!T5814</f>
        <v>FEDEX GROUND</v>
      </c>
      <c r="P601" s="284" t="str">
        <f>'Profits 2016'!U5814</f>
        <v>609851524751</v>
      </c>
      <c r="Q601" s="284" t="s">
        <v>314</v>
      </c>
      <c r="R601" s="276">
        <v>59.86</v>
      </c>
      <c r="S601" s="275" t="s">
        <v>15805</v>
      </c>
      <c r="T601" s="279">
        <v>42667</v>
      </c>
      <c r="U601" s="279">
        <v>42670</v>
      </c>
      <c r="V601" s="279">
        <v>42678</v>
      </c>
      <c r="W601" s="293">
        <v>0</v>
      </c>
      <c r="X601" s="236">
        <v>9301</v>
      </c>
      <c r="AF601" s="276">
        <f t="shared" si="56"/>
        <v>207.45999999999998</v>
      </c>
      <c r="AG601" s="276">
        <f t="shared" si="52"/>
        <v>207.45999999999998</v>
      </c>
      <c r="AH601" s="276">
        <f t="shared" si="53"/>
        <v>77.846000000000004</v>
      </c>
      <c r="AI601" s="283">
        <f t="shared" si="54"/>
        <v>0.37523378000578428</v>
      </c>
    </row>
    <row r="602" spans="1:35" ht="30" x14ac:dyDescent="0.25">
      <c r="A602" s="275">
        <f>'Profits 2016'!A5815</f>
        <v>3004566</v>
      </c>
      <c r="B602" s="279">
        <f>'Profits 2016'!B5815</f>
        <v>42639</v>
      </c>
      <c r="C602" s="276">
        <f>'Profits 2016'!H5815</f>
        <v>3281</v>
      </c>
      <c r="D602" s="280">
        <f>'Profits 2016'!K5815</f>
        <v>3208.518</v>
      </c>
      <c r="E602" s="276">
        <f>'Profits 2016'!L5815</f>
        <v>231</v>
      </c>
      <c r="F602" s="275" t="str">
        <f>'Profits 2016'!P5815</f>
        <v>Priority</v>
      </c>
      <c r="G602" s="292">
        <f>'Profits 2016'!N5815-'Profits 2016'!M5815</f>
        <v>1848</v>
      </c>
      <c r="H602" s="292">
        <v>0</v>
      </c>
      <c r="I602" s="275">
        <v>1059832</v>
      </c>
      <c r="J602" s="277">
        <v>42640</v>
      </c>
      <c r="K602" s="277">
        <v>42647</v>
      </c>
      <c r="L602" s="277">
        <v>42664</v>
      </c>
      <c r="M602" s="292">
        <v>1848</v>
      </c>
      <c r="N602" s="281">
        <v>9226</v>
      </c>
      <c r="O602" s="236" t="str">
        <f>'Profits 2016'!T5815</f>
        <v>FEDEX PRIORITY</v>
      </c>
      <c r="P602" s="284" t="str">
        <f>'Profits 2016'!U5815</f>
        <v>3963544351</v>
      </c>
      <c r="Q602" s="284" t="s">
        <v>15740</v>
      </c>
      <c r="R602" s="276">
        <v>215.23</v>
      </c>
      <c r="S602" s="275">
        <v>1059832</v>
      </c>
      <c r="T602" s="279">
        <v>42640</v>
      </c>
      <c r="U602" s="279">
        <v>42647</v>
      </c>
      <c r="V602" s="279">
        <v>42664</v>
      </c>
      <c r="W602" s="293">
        <v>215.23</v>
      </c>
      <c r="X602" s="236">
        <v>9226</v>
      </c>
      <c r="AF602" s="276">
        <f t="shared" si="56"/>
        <v>2063.23</v>
      </c>
      <c r="AG602" s="276">
        <f t="shared" si="52"/>
        <v>2063.23</v>
      </c>
      <c r="AH602" s="276">
        <f t="shared" si="53"/>
        <v>1145.288</v>
      </c>
      <c r="AI602" s="283">
        <f t="shared" si="54"/>
        <v>0.5550946816399529</v>
      </c>
    </row>
    <row r="603" spans="1:35" ht="30" x14ac:dyDescent="0.25">
      <c r="A603" s="275">
        <f>'Profits 2016'!A5816</f>
        <v>3004567</v>
      </c>
      <c r="B603" s="279">
        <f>'Profits 2016'!B5816</f>
        <v>42639</v>
      </c>
      <c r="C603" s="276">
        <f>'Profits 2016'!H5816</f>
        <v>127.4</v>
      </c>
      <c r="D603" s="280">
        <f>'Profits 2016'!K5816</f>
        <v>108.29</v>
      </c>
      <c r="E603" s="276">
        <f>'Profits 2016'!L5816</f>
        <v>1150</v>
      </c>
      <c r="F603" s="275" t="str">
        <f>'Profits 2016'!P5816</f>
        <v>Direct</v>
      </c>
      <c r="G603" s="292">
        <f>'Profits 2016'!N5816-'Profits 2016'!M5816</f>
        <v>74.75</v>
      </c>
      <c r="H603" s="292">
        <v>0</v>
      </c>
      <c r="I603" s="275">
        <v>73487</v>
      </c>
      <c r="J603" s="277">
        <v>42642</v>
      </c>
      <c r="K603" s="277">
        <v>42646</v>
      </c>
      <c r="L603" s="277">
        <v>42650</v>
      </c>
      <c r="M603" s="292">
        <v>73.25</v>
      </c>
      <c r="N603" s="281">
        <v>9066</v>
      </c>
      <c r="O603" s="236" t="str">
        <f>'Profits 2016'!T5816</f>
        <v>FEDEX GROUND</v>
      </c>
      <c r="P603" s="284" t="str">
        <f>'Profits 2016'!U5816</f>
        <v>630512244983</v>
      </c>
      <c r="Q603" s="284" t="s">
        <v>314</v>
      </c>
      <c r="R603" s="276">
        <v>31.59</v>
      </c>
      <c r="S603" s="275" t="s">
        <v>15802</v>
      </c>
      <c r="T603" s="279">
        <v>42660</v>
      </c>
      <c r="U603" s="279">
        <v>42663</v>
      </c>
      <c r="V603" s="279">
        <v>42671</v>
      </c>
      <c r="W603" s="293">
        <f>R603</f>
        <v>31.59</v>
      </c>
      <c r="X603" s="236">
        <v>9250</v>
      </c>
      <c r="AF603" s="276">
        <f t="shared" si="56"/>
        <v>106.34</v>
      </c>
      <c r="AG603" s="276">
        <f t="shared" si="52"/>
        <v>104.84</v>
      </c>
      <c r="AH603" s="276">
        <f t="shared" si="53"/>
        <v>3.4500000000000028</v>
      </c>
      <c r="AI603" s="283">
        <f t="shared" si="54"/>
        <v>3.2443107015234181E-2</v>
      </c>
    </row>
    <row r="604" spans="1:35" ht="30" x14ac:dyDescent="0.25">
      <c r="A604" s="275">
        <f>'Profits 2016'!A5817</f>
        <v>3004568</v>
      </c>
      <c r="B604" s="279">
        <f>'Profits 2016'!B5817</f>
        <v>42639</v>
      </c>
      <c r="C604" s="276">
        <f>'Profits 2016'!H5817</f>
        <v>249.94</v>
      </c>
      <c r="D604" s="280">
        <f>'Profits 2016'!K5817</f>
        <v>212.44900000000001</v>
      </c>
      <c r="E604" s="276">
        <f>'Profits 2016'!L5817</f>
        <v>672</v>
      </c>
      <c r="F604" s="275" t="str">
        <f>'Profits 2016'!P5817</f>
        <v>Houston</v>
      </c>
      <c r="G604" s="292">
        <f>'Profits 2016'!N5817-'Profits 2016'!M5817</f>
        <v>168</v>
      </c>
      <c r="H604" s="292">
        <v>0</v>
      </c>
      <c r="I604" s="275">
        <v>30904414</v>
      </c>
      <c r="J604" s="277">
        <v>42640</v>
      </c>
      <c r="K604" s="277">
        <v>42647</v>
      </c>
      <c r="L604" s="277">
        <v>42664</v>
      </c>
      <c r="M604" s="292">
        <v>168</v>
      </c>
      <c r="N604" s="281">
        <v>9217</v>
      </c>
      <c r="O604" s="236" t="str">
        <f>'Profits 2016'!T5817</f>
        <v>FEDEX GROUND</v>
      </c>
      <c r="P604" s="284" t="str">
        <f>'Profits 2016'!U5817</f>
        <v>707510672861</v>
      </c>
      <c r="Q604" s="284" t="s">
        <v>314</v>
      </c>
      <c r="R604" s="276">
        <v>49.27</v>
      </c>
      <c r="S604" s="275" t="s">
        <v>15738</v>
      </c>
      <c r="T604" s="279">
        <v>42653</v>
      </c>
      <c r="U604" s="279">
        <v>42656</v>
      </c>
      <c r="V604" s="340">
        <v>42664</v>
      </c>
      <c r="W604" s="350">
        <f>R604</f>
        <v>49.27</v>
      </c>
      <c r="X604" s="347">
        <v>9215</v>
      </c>
      <c r="AF604" s="276">
        <f t="shared" si="56"/>
        <v>217.27</v>
      </c>
      <c r="AG604" s="276">
        <f t="shared" si="52"/>
        <v>217.27</v>
      </c>
      <c r="AH604" s="276">
        <f t="shared" si="53"/>
        <v>-4.820999999999998</v>
      </c>
      <c r="AI604" s="283">
        <f t="shared" si="54"/>
        <v>-2.2188981451650009E-2</v>
      </c>
    </row>
    <row r="605" spans="1:35" ht="30" x14ac:dyDescent="0.25">
      <c r="A605" s="275">
        <f>'Profits 2016'!A5818</f>
        <v>3004569</v>
      </c>
      <c r="B605" s="279">
        <f>'Profits 2016'!B5818</f>
        <v>42639</v>
      </c>
      <c r="C605" s="276">
        <f>'Profits 2016'!H5818</f>
        <v>140</v>
      </c>
      <c r="D605" s="280">
        <f>'Profits 2016'!K5818</f>
        <v>137.04</v>
      </c>
      <c r="E605" s="276">
        <f>'Profits 2016'!L5818</f>
        <v>1680</v>
      </c>
      <c r="F605" s="275" t="str">
        <f>'Profits 2016'!P5818</f>
        <v>Priority</v>
      </c>
      <c r="G605" s="292">
        <f>'Profits 2016'!N5818-'Profits 2016'!M5818</f>
        <v>84</v>
      </c>
      <c r="H605" s="292">
        <v>0</v>
      </c>
      <c r="I605" s="275">
        <v>1060191</v>
      </c>
      <c r="J605" s="277">
        <v>42641</v>
      </c>
      <c r="K605" s="277">
        <v>42647</v>
      </c>
      <c r="L605" s="277">
        <v>42671</v>
      </c>
      <c r="M605" s="292">
        <v>84</v>
      </c>
      <c r="N605" s="281">
        <v>9256</v>
      </c>
      <c r="O605" s="236" t="str">
        <f>'Profits 2016'!T5818</f>
        <v>FEDEX GROUND</v>
      </c>
      <c r="P605" s="284" t="str">
        <f>'Profits 2016'!U5818</f>
        <v>609851524980</v>
      </c>
      <c r="Q605" s="284" t="s">
        <v>15740</v>
      </c>
      <c r="R605" s="276">
        <v>32.380000000000003</v>
      </c>
      <c r="S605" s="275">
        <v>1060191</v>
      </c>
      <c r="T605" s="279">
        <v>42641</v>
      </c>
      <c r="U605" s="279">
        <v>42647</v>
      </c>
      <c r="V605" s="279">
        <v>42671</v>
      </c>
      <c r="W605" s="293">
        <v>32.380000000000003</v>
      </c>
      <c r="X605" s="236">
        <v>9256</v>
      </c>
      <c r="AF605" s="276">
        <f t="shared" si="56"/>
        <v>116.38</v>
      </c>
      <c r="AG605" s="276">
        <f t="shared" si="52"/>
        <v>116.38</v>
      </c>
      <c r="AH605" s="276">
        <f t="shared" si="53"/>
        <v>20.659999999999997</v>
      </c>
      <c r="AI605" s="283">
        <f t="shared" si="54"/>
        <v>0.17752191098126824</v>
      </c>
    </row>
    <row r="606" spans="1:35" x14ac:dyDescent="0.25">
      <c r="A606" s="275">
        <f>'Profits 2016'!A5819</f>
        <v>3004570</v>
      </c>
      <c r="B606" s="279">
        <f>'Profits 2016'!B5819</f>
        <v>42639</v>
      </c>
      <c r="C606" s="276">
        <f>'Profits 2016'!H5819</f>
        <v>4280</v>
      </c>
      <c r="D606" s="280">
        <f>'Profits 2016'!K5819</f>
        <v>4280</v>
      </c>
      <c r="E606" s="276">
        <f>'Profits 2016'!L5819</f>
        <v>1693</v>
      </c>
      <c r="F606" s="275" t="str">
        <f>'Profits 2016'!P5819</f>
        <v>Nassau</v>
      </c>
      <c r="G606" s="292">
        <f>'Profits 2016'!N5819-'Profits 2016'!M5819</f>
        <v>3386</v>
      </c>
      <c r="H606" s="319"/>
      <c r="I606" s="320"/>
      <c r="J606" s="321"/>
      <c r="K606" s="321"/>
      <c r="L606" s="321"/>
      <c r="M606" s="319"/>
      <c r="N606" s="322"/>
      <c r="O606" s="236" t="str">
        <f>'Profits 2016'!T5819</f>
        <v>ESTES/DLS</v>
      </c>
      <c r="P606" s="284" t="str">
        <f>'Profits 2016'!U5819</f>
        <v>0272133314</v>
      </c>
      <c r="Q606" s="284" t="s">
        <v>15804</v>
      </c>
      <c r="R606" s="276">
        <v>350.71</v>
      </c>
      <c r="S606" s="275">
        <v>636804337</v>
      </c>
      <c r="T606" s="279">
        <v>42649</v>
      </c>
      <c r="U606" s="279">
        <v>42654</v>
      </c>
      <c r="V606" s="279">
        <v>42664</v>
      </c>
      <c r="W606" s="293">
        <v>350.71</v>
      </c>
      <c r="X606" s="236">
        <v>9228</v>
      </c>
      <c r="AF606" s="276">
        <f t="shared" si="56"/>
        <v>3736.71</v>
      </c>
      <c r="AG606" s="276">
        <f t="shared" si="52"/>
        <v>350.71</v>
      </c>
      <c r="AH606" s="276">
        <f t="shared" si="53"/>
        <v>3929.29</v>
      </c>
      <c r="AI606" s="283">
        <f t="shared" si="54"/>
        <v>1.0515373149107101</v>
      </c>
    </row>
    <row r="607" spans="1:35" ht="30" x14ac:dyDescent="0.25">
      <c r="A607" s="275">
        <f>'Profits 2016'!A5820</f>
        <v>3004571</v>
      </c>
      <c r="B607" s="279">
        <f>'Profits 2016'!B5820</f>
        <v>42639</v>
      </c>
      <c r="C607" s="276">
        <f>'Profits 2016'!H5820</f>
        <v>1890</v>
      </c>
      <c r="D607" s="280">
        <f>'Profits 2016'!K5820</f>
        <v>1853.79</v>
      </c>
      <c r="E607" s="276">
        <f>'Profits 2016'!L5820</f>
        <v>780</v>
      </c>
      <c r="F607" s="275" t="str">
        <f>'Profits 2016'!P5820</f>
        <v>TF</v>
      </c>
      <c r="G607" s="292">
        <f>'Profits 2016'!N5820-'Profits 2016'!M5820</f>
        <v>390</v>
      </c>
      <c r="H607" s="292">
        <v>0</v>
      </c>
      <c r="I607" s="275">
        <v>166583</v>
      </c>
      <c r="J607" s="277">
        <v>42642</v>
      </c>
      <c r="K607" s="277">
        <v>42642</v>
      </c>
      <c r="L607" s="277">
        <v>42671</v>
      </c>
      <c r="M607" s="292">
        <v>390</v>
      </c>
      <c r="N607" s="281">
        <v>9267</v>
      </c>
      <c r="O607" s="236" t="str">
        <f>'Profits 2016'!T5820</f>
        <v>FEDEX FREIGHT</v>
      </c>
      <c r="P607" s="284" t="str">
        <f>'Profits 2016'!U5820</f>
        <v>395524445-1</v>
      </c>
      <c r="AF607" s="276">
        <f t="shared" si="56"/>
        <v>390</v>
      </c>
      <c r="AG607" s="276">
        <f t="shared" si="52"/>
        <v>390</v>
      </c>
      <c r="AH607" s="276">
        <f t="shared" si="53"/>
        <v>1463.79</v>
      </c>
      <c r="AI607" s="283">
        <f t="shared" si="54"/>
        <v>3.753307692307692</v>
      </c>
    </row>
    <row r="608" spans="1:35" x14ac:dyDescent="0.25">
      <c r="A608" s="275">
        <f>'Profits 2016'!A5821</f>
        <v>0</v>
      </c>
      <c r="B608" s="279">
        <f>'Profits 2016'!B5821</f>
        <v>0</v>
      </c>
      <c r="C608" s="276">
        <f>'Profits 2016'!H5821</f>
        <v>0</v>
      </c>
      <c r="D608" s="280">
        <f>'Profits 2016'!K5821</f>
        <v>0</v>
      </c>
      <c r="E608" s="276">
        <f>'Profits 2016'!L5821</f>
        <v>1380</v>
      </c>
      <c r="F608" s="275" t="str">
        <f>'Profits 2016'!P5821</f>
        <v>TF</v>
      </c>
      <c r="G608" s="292">
        <f>'Profits 2016'!N5821-'Profits 2016'!M5821</f>
        <v>690</v>
      </c>
      <c r="H608" s="292">
        <v>0</v>
      </c>
      <c r="I608" s="275">
        <v>166583</v>
      </c>
      <c r="J608" s="277">
        <v>42642</v>
      </c>
      <c r="K608" s="277">
        <v>42642</v>
      </c>
      <c r="L608" s="277">
        <v>42671</v>
      </c>
      <c r="M608" s="292">
        <v>690</v>
      </c>
      <c r="N608" s="281">
        <v>9267</v>
      </c>
      <c r="O608" s="236">
        <f>'Profits 2016'!T5821</f>
        <v>0</v>
      </c>
      <c r="P608" s="284">
        <f>'Profits 2016'!U5821</f>
        <v>0</v>
      </c>
      <c r="AF608" s="276">
        <f t="shared" si="56"/>
        <v>690</v>
      </c>
      <c r="AG608" s="276">
        <f t="shared" si="52"/>
        <v>690</v>
      </c>
      <c r="AH608" s="276">
        <f t="shared" si="53"/>
        <v>-690</v>
      </c>
      <c r="AI608" s="283">
        <f t="shared" si="54"/>
        <v>-1</v>
      </c>
    </row>
    <row r="609" spans="1:35" ht="30" x14ac:dyDescent="0.25">
      <c r="A609" s="275">
        <f>'Profits 2016'!A5822</f>
        <v>3004572</v>
      </c>
      <c r="B609" s="279">
        <f>'Profits 2016'!B5822</f>
        <v>42639</v>
      </c>
      <c r="C609" s="276">
        <f>'Profits 2016'!H5822</f>
        <v>97.2</v>
      </c>
      <c r="D609" s="280">
        <f>'Profits 2016'!K5822</f>
        <v>97.2</v>
      </c>
      <c r="E609" s="276">
        <f>'Profits 2016'!L5822</f>
        <v>577</v>
      </c>
      <c r="F609" s="275" t="str">
        <f>'Profits 2016'!P5822</f>
        <v>Nassau</v>
      </c>
      <c r="G609" s="292">
        <f>'Profits 2016'!N5822-'Profits 2016'!M5822</f>
        <v>77.89500000000001</v>
      </c>
      <c r="H609" s="319"/>
      <c r="I609" s="320"/>
      <c r="J609" s="321"/>
      <c r="K609" s="321"/>
      <c r="L609" s="321"/>
      <c r="M609" s="319"/>
      <c r="N609" s="322"/>
      <c r="O609" s="236" t="str">
        <f>'Profits 2016'!T5822</f>
        <v>CUSTOMER PICK UP</v>
      </c>
      <c r="P609" s="284" t="str">
        <f>'Profits 2016'!U5822</f>
        <v>CUSTOMER PICK UP</v>
      </c>
      <c r="AF609" s="276">
        <f t="shared" si="56"/>
        <v>77.89500000000001</v>
      </c>
      <c r="AG609" s="276">
        <f t="shared" si="52"/>
        <v>0</v>
      </c>
      <c r="AH609" s="276">
        <f t="shared" si="53"/>
        <v>97.2</v>
      </c>
      <c r="AI609" s="283">
        <f t="shared" si="54"/>
        <v>1.2478336221837087</v>
      </c>
    </row>
    <row r="610" spans="1:35" ht="30" x14ac:dyDescent="0.25">
      <c r="A610" s="275">
        <f>'Profits 2016'!A5823</f>
        <v>3004573</v>
      </c>
      <c r="B610" s="279">
        <f>'Profits 2016'!B5823</f>
        <v>42639</v>
      </c>
      <c r="C610" s="276">
        <f>'Profits 2016'!H5823</f>
        <v>76.5</v>
      </c>
      <c r="D610" s="280">
        <f>'Profits 2016'!K5823</f>
        <v>74.516999999999996</v>
      </c>
      <c r="E610" s="276">
        <f>'Profits 2016'!L5823</f>
        <v>800</v>
      </c>
      <c r="F610" s="275" t="str">
        <f>'Profits 2016'!P5823</f>
        <v>Priority</v>
      </c>
      <c r="G610" s="292">
        <f>'Profits 2016'!N5823-'Profits 2016'!M5823</f>
        <v>60</v>
      </c>
      <c r="H610" s="292">
        <v>0</v>
      </c>
      <c r="I610" s="275">
        <v>1060254</v>
      </c>
      <c r="J610" s="277">
        <v>42641</v>
      </c>
      <c r="K610" s="277">
        <v>42647</v>
      </c>
      <c r="L610" s="277">
        <v>42671</v>
      </c>
      <c r="M610" s="292">
        <v>60</v>
      </c>
      <c r="N610" s="281">
        <v>9257</v>
      </c>
      <c r="O610" s="236" t="str">
        <f>'Profits 2016'!T5823</f>
        <v>FEDEX GROUND</v>
      </c>
      <c r="P610" s="284" t="str">
        <f>'Profits 2016'!U5823</f>
        <v xml:space="preserve">	644267287980</v>
      </c>
      <c r="Q610" s="284" t="s">
        <v>15740</v>
      </c>
      <c r="R610" s="276">
        <v>15.61</v>
      </c>
      <c r="S610" s="275">
        <v>1060254</v>
      </c>
      <c r="T610" s="279">
        <v>42641</v>
      </c>
      <c r="U610" s="279">
        <v>42647</v>
      </c>
      <c r="V610" s="279">
        <v>42671</v>
      </c>
      <c r="W610" s="293">
        <v>15.61</v>
      </c>
      <c r="X610" s="236">
        <v>9257</v>
      </c>
      <c r="AF610" s="276">
        <f t="shared" si="56"/>
        <v>75.61</v>
      </c>
      <c r="AG610" s="276">
        <f t="shared" si="52"/>
        <v>75.61</v>
      </c>
      <c r="AH610" s="276">
        <f t="shared" si="53"/>
        <v>-1.0930000000000035</v>
      </c>
      <c r="AI610" s="283">
        <f t="shared" si="54"/>
        <v>-1.4455759820129659E-2</v>
      </c>
    </row>
    <row r="611" spans="1:35" ht="30" x14ac:dyDescent="0.25">
      <c r="A611" s="275">
        <f>'Profits 2016'!A5824</f>
        <v>3004574</v>
      </c>
      <c r="B611" s="279">
        <f>'Profits 2016'!B5824</f>
        <v>42639</v>
      </c>
      <c r="C611" s="276">
        <f>'Profits 2016'!H5824</f>
        <v>185.9</v>
      </c>
      <c r="D611" s="280">
        <f>'Profits 2016'!K5824</f>
        <v>165.33690000000001</v>
      </c>
      <c r="E611" s="276">
        <f>'Profits 2016'!L5824</f>
        <v>672</v>
      </c>
      <c r="F611" s="275" t="str">
        <f>'Profits 2016'!P5824</f>
        <v>Houston</v>
      </c>
      <c r="G611" s="292">
        <f>'Profits 2016'!N5824-'Profits 2016'!M5824</f>
        <v>100.8</v>
      </c>
      <c r="H611" s="292">
        <v>0</v>
      </c>
      <c r="I611" s="275">
        <v>30905439</v>
      </c>
      <c r="J611" s="277">
        <v>42642</v>
      </c>
      <c r="K611" s="277">
        <v>42647</v>
      </c>
      <c r="L611" s="277">
        <v>42671</v>
      </c>
      <c r="M611" s="292">
        <v>100.8</v>
      </c>
      <c r="N611" s="281">
        <v>9252</v>
      </c>
      <c r="O611" s="236" t="str">
        <f>'Profits 2016'!T5824</f>
        <v>FEDEX GROUND</v>
      </c>
      <c r="P611" s="284" t="str">
        <f>'Profits 2016'!U5824</f>
        <v>543369481469</v>
      </c>
      <c r="Q611" s="284" t="s">
        <v>314</v>
      </c>
      <c r="R611" s="276">
        <v>19.62</v>
      </c>
      <c r="S611" s="275" t="s">
        <v>15738</v>
      </c>
      <c r="T611" s="279">
        <v>42653</v>
      </c>
      <c r="U611" s="279">
        <v>42656</v>
      </c>
      <c r="V611" s="340">
        <v>42664</v>
      </c>
      <c r="W611" s="350">
        <f t="shared" ref="W611:W612" si="59">R611</f>
        <v>19.62</v>
      </c>
      <c r="X611" s="347">
        <v>9215</v>
      </c>
      <c r="AF611" s="276">
        <f t="shared" si="56"/>
        <v>120.42</v>
      </c>
      <c r="AG611" s="276">
        <f t="shared" si="52"/>
        <v>120.42</v>
      </c>
      <c r="AH611" s="276">
        <f t="shared" si="53"/>
        <v>44.916900000000012</v>
      </c>
      <c r="AI611" s="283">
        <f t="shared" si="54"/>
        <v>0.37300199302441467</v>
      </c>
    </row>
    <row r="612" spans="1:35" ht="30" x14ac:dyDescent="0.25">
      <c r="A612" s="275">
        <f>'Profits 2016'!A5825</f>
        <v>3004575</v>
      </c>
      <c r="B612" s="279">
        <f>'Profits 2016'!B5825</f>
        <v>42639</v>
      </c>
      <c r="C612" s="276">
        <f>'Profits 2016'!H5825</f>
        <v>410.13</v>
      </c>
      <c r="D612" s="280">
        <f>'Profits 2016'!K5825</f>
        <v>348.6105</v>
      </c>
      <c r="E612" s="276">
        <f>'Profits 2016'!L5825</f>
        <v>330</v>
      </c>
      <c r="F612" s="275" t="str">
        <f>'Profits 2016'!P5825</f>
        <v>Wirexpress</v>
      </c>
      <c r="G612" s="292">
        <f>'Profits 2016'!N5825-'Profits 2016'!M5825</f>
        <v>82.5</v>
      </c>
      <c r="H612" s="292">
        <v>0</v>
      </c>
      <c r="I612" s="275" t="s">
        <v>15806</v>
      </c>
      <c r="J612" s="277">
        <v>42640</v>
      </c>
      <c r="K612" s="277">
        <v>42647</v>
      </c>
      <c r="L612" s="277">
        <v>42664</v>
      </c>
      <c r="M612" s="292">
        <v>82.5</v>
      </c>
      <c r="N612" s="281">
        <v>9233</v>
      </c>
      <c r="O612" s="236" t="str">
        <f>'Profits 2016'!T5825</f>
        <v>FEDEX GROUND</v>
      </c>
      <c r="P612" s="284" t="str">
        <f>'Profits 2016'!U5825</f>
        <v xml:space="preserve">092825685671694 </v>
      </c>
      <c r="Q612" s="284" t="s">
        <v>314</v>
      </c>
      <c r="R612" s="276">
        <v>12.26</v>
      </c>
      <c r="S612" s="275" t="s">
        <v>15738</v>
      </c>
      <c r="T612" s="279">
        <v>42653</v>
      </c>
      <c r="U612" s="279">
        <v>42656</v>
      </c>
      <c r="V612" s="340">
        <v>42664</v>
      </c>
      <c r="W612" s="350">
        <f t="shared" si="59"/>
        <v>12.26</v>
      </c>
      <c r="X612" s="347">
        <v>9215</v>
      </c>
      <c r="AF612" s="276">
        <f t="shared" si="56"/>
        <v>94.76</v>
      </c>
      <c r="AG612" s="276">
        <f t="shared" si="52"/>
        <v>94.76</v>
      </c>
      <c r="AH612" s="276">
        <f t="shared" si="53"/>
        <v>253.85050000000001</v>
      </c>
      <c r="AI612" s="283">
        <f t="shared" si="54"/>
        <v>2.6788782186576614</v>
      </c>
    </row>
    <row r="613" spans="1:35" x14ac:dyDescent="0.25">
      <c r="A613" s="275">
        <f>'Profits 2016'!A5826</f>
        <v>0</v>
      </c>
      <c r="B613" s="279">
        <f>'Profits 2016'!B5826</f>
        <v>0</v>
      </c>
      <c r="C613" s="276">
        <f>'Profits 2016'!H5826</f>
        <v>0</v>
      </c>
      <c r="D613" s="280">
        <f>'Profits 2016'!K5826</f>
        <v>0</v>
      </c>
      <c r="E613" s="276">
        <f>'Profits 2016'!L5826</f>
        <v>220</v>
      </c>
      <c r="F613" s="275" t="str">
        <f>'Profits 2016'!P5826</f>
        <v>Wirexpress</v>
      </c>
      <c r="G613" s="292">
        <f>'Profits 2016'!N5826-'Profits 2016'!M5826</f>
        <v>119.24000000000001</v>
      </c>
      <c r="H613" s="292">
        <v>0</v>
      </c>
      <c r="I613" s="275" t="s">
        <v>15806</v>
      </c>
      <c r="J613" s="277">
        <v>42640</v>
      </c>
      <c r="K613" s="277">
        <v>42647</v>
      </c>
      <c r="L613" s="277">
        <v>42664</v>
      </c>
      <c r="M613" s="292">
        <v>119.24</v>
      </c>
      <c r="N613" s="281">
        <v>9233</v>
      </c>
      <c r="O613" s="236">
        <f>'Profits 2016'!T5826</f>
        <v>0</v>
      </c>
      <c r="P613" s="284">
        <f>'Profits 2016'!U5826</f>
        <v>0</v>
      </c>
      <c r="AF613" s="276">
        <f t="shared" si="56"/>
        <v>119.24000000000001</v>
      </c>
      <c r="AG613" s="276">
        <f t="shared" si="52"/>
        <v>119.24</v>
      </c>
      <c r="AH613" s="276">
        <f t="shared" si="53"/>
        <v>-119.24</v>
      </c>
      <c r="AI613" s="283">
        <f t="shared" si="54"/>
        <v>-0.99999999999999989</v>
      </c>
    </row>
    <row r="614" spans="1:35" ht="30" x14ac:dyDescent="0.25">
      <c r="A614" s="275">
        <f>'Profits 2016'!A5827</f>
        <v>3004576</v>
      </c>
      <c r="B614" s="279">
        <f>'Profits 2016'!B5827</f>
        <v>42639</v>
      </c>
      <c r="C614" s="276">
        <f>'Profits 2016'!H5827</f>
        <v>129.65</v>
      </c>
      <c r="D614" s="280">
        <f>'Profits 2016'!K5827</f>
        <v>110.2025</v>
      </c>
      <c r="E614" s="276">
        <f>'Profits 2016'!L5827</f>
        <v>1200</v>
      </c>
      <c r="F614" s="275" t="str">
        <f>'Profits 2016'!P5827</f>
        <v>Wirexpress</v>
      </c>
      <c r="G614" s="292">
        <f>'Profits 2016'!N5827-'Profits 2016'!M5827</f>
        <v>59.999999999999993</v>
      </c>
      <c r="H614" s="292">
        <v>0</v>
      </c>
      <c r="I614" s="275" t="s">
        <v>15807</v>
      </c>
      <c r="J614" s="277">
        <v>42640</v>
      </c>
      <c r="K614" s="277">
        <v>42647</v>
      </c>
      <c r="L614" s="277">
        <v>42664</v>
      </c>
      <c r="M614" s="292">
        <v>60</v>
      </c>
      <c r="N614" s="281">
        <v>9233</v>
      </c>
      <c r="O614" s="236" t="str">
        <f>'Profits 2016'!T5827</f>
        <v>FEDEX GROUND</v>
      </c>
      <c r="P614" s="284" t="str">
        <f>'Profits 2016'!U5827</f>
        <v>022356386200919</v>
      </c>
      <c r="Q614" s="284" t="s">
        <v>314</v>
      </c>
      <c r="R614" s="276">
        <v>15.13</v>
      </c>
      <c r="S614" s="275" t="s">
        <v>15738</v>
      </c>
      <c r="T614" s="279">
        <v>42653</v>
      </c>
      <c r="U614" s="279">
        <v>42656</v>
      </c>
      <c r="V614" s="340">
        <v>42664</v>
      </c>
      <c r="W614" s="350">
        <f>R614</f>
        <v>15.13</v>
      </c>
      <c r="X614" s="347">
        <v>9215</v>
      </c>
      <c r="AF614" s="276">
        <f t="shared" si="56"/>
        <v>75.13</v>
      </c>
      <c r="AG614" s="276">
        <f t="shared" si="52"/>
        <v>75.13</v>
      </c>
      <c r="AH614" s="276">
        <f t="shared" si="53"/>
        <v>35.072500000000005</v>
      </c>
      <c r="AI614" s="283">
        <f t="shared" si="54"/>
        <v>0.46682417143617738</v>
      </c>
    </row>
    <row r="615" spans="1:35" x14ac:dyDescent="0.25">
      <c r="A615" s="275">
        <f>'Profits 2016'!A5828</f>
        <v>3004577</v>
      </c>
      <c r="B615" s="279">
        <f>'Profits 2016'!B5828</f>
        <v>42640</v>
      </c>
      <c r="C615" s="276">
        <f>'Profits 2016'!H5828</f>
        <v>1760</v>
      </c>
      <c r="D615" s="280">
        <f>'Profits 2016'!K5828</f>
        <v>1720.98</v>
      </c>
      <c r="E615" s="276">
        <f>'Profits 2016'!L5828</f>
        <v>620</v>
      </c>
      <c r="F615" s="275" t="str">
        <f>'Profits 2016'!P5828</f>
        <v>Nexans</v>
      </c>
      <c r="G615" s="292">
        <f>'Profits 2016'!N5828-'Profits 2016'!M5828</f>
        <v>1240</v>
      </c>
      <c r="H615" s="292">
        <v>0</v>
      </c>
      <c r="I615" s="275">
        <v>47373802</v>
      </c>
      <c r="J615" s="277">
        <v>42642</v>
      </c>
      <c r="K615" s="277">
        <v>42648</v>
      </c>
      <c r="L615" s="277">
        <v>42678</v>
      </c>
      <c r="M615" s="292">
        <v>1215.2</v>
      </c>
      <c r="N615" s="281">
        <v>9328</v>
      </c>
      <c r="O615" s="236" t="str">
        <f>'Profits 2016'!T5828</f>
        <v>XPO/DLS</v>
      </c>
      <c r="P615" s="284" t="str">
        <f>'Profits 2016'!U5828</f>
        <v>594865180</v>
      </c>
      <c r="Q615" s="284" t="s">
        <v>15804</v>
      </c>
      <c r="R615" s="276">
        <v>170.21</v>
      </c>
      <c r="S615" s="275">
        <v>636815149</v>
      </c>
      <c r="T615" s="279">
        <v>42653</v>
      </c>
      <c r="U615" s="279">
        <v>42660</v>
      </c>
      <c r="V615" s="279">
        <v>42664</v>
      </c>
      <c r="W615" s="293">
        <v>170.21</v>
      </c>
      <c r="X615" s="236">
        <v>9229</v>
      </c>
      <c r="AF615" s="276">
        <f t="shared" si="56"/>
        <v>1410.21</v>
      </c>
      <c r="AG615" s="276">
        <f t="shared" si="52"/>
        <v>1385.41</v>
      </c>
      <c r="AH615" s="276">
        <f t="shared" si="53"/>
        <v>335.56999999999994</v>
      </c>
      <c r="AI615" s="283">
        <f t="shared" si="54"/>
        <v>0.2379574673275611</v>
      </c>
    </row>
    <row r="616" spans="1:35" ht="30" x14ac:dyDescent="0.25">
      <c r="A616" s="275">
        <f>'Profits 2016'!A5829</f>
        <v>3004578</v>
      </c>
      <c r="B616" s="279">
        <f>'Profits 2016'!B5829</f>
        <v>42640</v>
      </c>
      <c r="C616" s="276">
        <f>'Profits 2016'!H5829</f>
        <v>276.79000000000002</v>
      </c>
      <c r="D616" s="280">
        <f>'Profits 2016'!K5829</f>
        <v>246.31989000000002</v>
      </c>
      <c r="E616" s="276">
        <f>'Profits 2016'!L5829</f>
        <v>445</v>
      </c>
      <c r="F616" s="275" t="str">
        <f>'Profits 2016'!P5829</f>
        <v>Nassau</v>
      </c>
      <c r="G616" s="292">
        <f>'Profits 2016'!N5829-'Profits 2016'!M5829</f>
        <v>133.5</v>
      </c>
      <c r="H616" s="319"/>
      <c r="I616" s="320"/>
      <c r="J616" s="321"/>
      <c r="K616" s="321"/>
      <c r="L616" s="321"/>
      <c r="M616" s="319"/>
      <c r="N616" s="322"/>
      <c r="O616" s="236" t="str">
        <f>'Profits 2016'!T5829</f>
        <v>FEDEX GROUND</v>
      </c>
      <c r="P616" s="284" t="str">
        <f>'Profits 2016'!U5829</f>
        <v>702723288771</v>
      </c>
      <c r="Q616" s="284" t="s">
        <v>314</v>
      </c>
      <c r="R616" s="276">
        <v>45.14</v>
      </c>
      <c r="S616" s="275" t="s">
        <v>15802</v>
      </c>
      <c r="T616" s="279">
        <v>42660</v>
      </c>
      <c r="U616" s="279">
        <v>42663</v>
      </c>
      <c r="V616" s="279">
        <v>42671</v>
      </c>
      <c r="W616" s="293">
        <f>R616</f>
        <v>45.14</v>
      </c>
      <c r="X616" s="236">
        <v>9250</v>
      </c>
      <c r="AF616" s="276">
        <f t="shared" si="56"/>
        <v>178.64</v>
      </c>
      <c r="AG616" s="276">
        <f t="shared" si="52"/>
        <v>45.14</v>
      </c>
      <c r="AH616" s="276">
        <f t="shared" si="53"/>
        <v>201.17989</v>
      </c>
      <c r="AI616" s="283">
        <f t="shared" si="54"/>
        <v>1.1261749328257951</v>
      </c>
    </row>
    <row r="617" spans="1:35" ht="30" x14ac:dyDescent="0.25">
      <c r="A617" s="275">
        <f>'Profits 2016'!A5830</f>
        <v>3004579</v>
      </c>
      <c r="B617" s="279">
        <f>'Profits 2016'!B5830</f>
        <v>42640</v>
      </c>
      <c r="C617" s="276">
        <f>'Profits 2016'!H5830</f>
        <v>195.25</v>
      </c>
      <c r="D617" s="280">
        <f>'Profits 2016'!K5830</f>
        <v>173.66775000000001</v>
      </c>
      <c r="E617" s="276">
        <f>'Profits 2016'!L5830</f>
        <v>950</v>
      </c>
      <c r="F617" s="275" t="str">
        <f>'Profits 2016'!P5830</f>
        <v>Nassau</v>
      </c>
      <c r="G617" s="292">
        <f>'Profits 2016'!N5830-'Profits 2016'!M5830</f>
        <v>95</v>
      </c>
      <c r="H617" s="319"/>
      <c r="I617" s="320"/>
      <c r="J617" s="321"/>
      <c r="K617" s="321"/>
      <c r="L617" s="321"/>
      <c r="M617" s="319"/>
      <c r="N617" s="322"/>
      <c r="O617" s="236" t="str">
        <f>'Profits 2016'!T5830</f>
        <v>FEDEX GROUND</v>
      </c>
      <c r="P617" s="284" t="str">
        <f>'Profits 2016'!U5830</f>
        <v>702723288716</v>
      </c>
      <c r="Q617" s="284" t="s">
        <v>314</v>
      </c>
      <c r="R617" s="276">
        <v>26.19</v>
      </c>
      <c r="S617" s="275" t="s">
        <v>15738</v>
      </c>
      <c r="T617" s="279">
        <v>42653</v>
      </c>
      <c r="U617" s="279">
        <v>42656</v>
      </c>
      <c r="V617" s="340">
        <v>42664</v>
      </c>
      <c r="W617" s="350">
        <f>R617</f>
        <v>26.19</v>
      </c>
      <c r="X617" s="347">
        <v>9215</v>
      </c>
      <c r="AF617" s="276">
        <f t="shared" si="56"/>
        <v>121.19</v>
      </c>
      <c r="AG617" s="276">
        <f t="shared" si="52"/>
        <v>26.19</v>
      </c>
      <c r="AH617" s="276">
        <f t="shared" si="53"/>
        <v>147.47775000000001</v>
      </c>
      <c r="AI617" s="283">
        <f t="shared" si="54"/>
        <v>1.2169135242181699</v>
      </c>
    </row>
    <row r="618" spans="1:35" ht="30" x14ac:dyDescent="0.25">
      <c r="A618" s="275">
        <f>'Profits 2016'!A5831</f>
        <v>3004580</v>
      </c>
      <c r="B618" s="279">
        <f>'Profits 2016'!B5831</f>
        <v>42640</v>
      </c>
      <c r="C618" s="276">
        <f>'Profits 2016'!H5831</f>
        <v>341.55</v>
      </c>
      <c r="D618" s="280">
        <f>'Profits 2016'!K5831</f>
        <v>304.02105</v>
      </c>
      <c r="E618" s="276">
        <f>'Profits 2016'!L5831</f>
        <v>1322</v>
      </c>
      <c r="F618" s="275" t="str">
        <f>'Profits 2016'!P5831</f>
        <v>Nassau</v>
      </c>
      <c r="G618" s="292">
        <f>'Profits 2016'!N5831-'Profits 2016'!M5831</f>
        <v>198.29999999999998</v>
      </c>
      <c r="H618" s="319"/>
      <c r="I618" s="320"/>
      <c r="J618" s="321"/>
      <c r="K618" s="321"/>
      <c r="L618" s="321"/>
      <c r="M618" s="319"/>
      <c r="N618" s="322"/>
      <c r="O618" s="236" t="str">
        <f>'Profits 2016'!T5831</f>
        <v>FEDEX GROUND</v>
      </c>
      <c r="P618" s="284" t="str">
        <f>'Profits 2016'!U5831</f>
        <v>665645047200</v>
      </c>
      <c r="Q618" s="284" t="s">
        <v>314</v>
      </c>
      <c r="R618" s="276">
        <v>49.35</v>
      </c>
      <c r="S618" s="275" t="s">
        <v>15802</v>
      </c>
      <c r="T618" s="279">
        <v>42660</v>
      </c>
      <c r="U618" s="279">
        <v>42663</v>
      </c>
      <c r="V618" s="279">
        <v>42671</v>
      </c>
      <c r="W618" s="293">
        <f>R618</f>
        <v>49.35</v>
      </c>
      <c r="X618" s="236">
        <v>9250</v>
      </c>
      <c r="AF618" s="276">
        <f t="shared" si="56"/>
        <v>247.64999999999998</v>
      </c>
      <c r="AG618" s="276">
        <f t="shared" si="52"/>
        <v>49.35</v>
      </c>
      <c r="AH618" s="276">
        <f t="shared" si="53"/>
        <v>254.67105000000001</v>
      </c>
      <c r="AI618" s="283">
        <f t="shared" si="54"/>
        <v>1.0283506965475471</v>
      </c>
    </row>
    <row r="619" spans="1:35" ht="30" x14ac:dyDescent="0.25">
      <c r="A619" s="275">
        <f>'Profits 2016'!A5832</f>
        <v>3004581</v>
      </c>
      <c r="B619" s="279">
        <f>'Profits 2016'!B5832</f>
        <v>42640</v>
      </c>
      <c r="C619" s="276">
        <f>'Profits 2016'!H5832</f>
        <v>285.27</v>
      </c>
      <c r="D619" s="280">
        <f>'Profits 2016'!K5832</f>
        <v>253.87556999999995</v>
      </c>
      <c r="E619" s="276">
        <f>'Profits 2016'!L5832</f>
        <v>375</v>
      </c>
      <c r="F619" s="275" t="str">
        <f>'Profits 2016'!P5832</f>
        <v>Nassau</v>
      </c>
      <c r="G619" s="292">
        <f>'Profits 2016'!N5832-'Profits 2016'!M5832</f>
        <v>112.5</v>
      </c>
      <c r="H619" s="319"/>
      <c r="I619" s="320"/>
      <c r="J619" s="321"/>
      <c r="K619" s="321"/>
      <c r="L619" s="321"/>
      <c r="M619" s="319"/>
      <c r="N619" s="322"/>
      <c r="O619" s="236" t="str">
        <f>'Profits 2016'!T5832</f>
        <v>FEDEX GROUND</v>
      </c>
      <c r="P619" s="284" t="str">
        <f>'Profits 2016'!U5832</f>
        <v>702723288749</v>
      </c>
      <c r="Q619" s="284" t="s">
        <v>314</v>
      </c>
      <c r="R619" s="276">
        <v>46.06</v>
      </c>
      <c r="S619" s="275" t="s">
        <v>15738</v>
      </c>
      <c r="T619" s="279">
        <v>42653</v>
      </c>
      <c r="U619" s="279">
        <v>42656</v>
      </c>
      <c r="V619" s="340">
        <v>42664</v>
      </c>
      <c r="W619" s="350">
        <f>R619</f>
        <v>46.06</v>
      </c>
      <c r="X619" s="347">
        <v>9215</v>
      </c>
      <c r="AF619" s="276">
        <f t="shared" si="56"/>
        <v>158.56</v>
      </c>
      <c r="AG619" s="276">
        <f t="shared" si="52"/>
        <v>46.06</v>
      </c>
      <c r="AH619" s="276">
        <f t="shared" si="53"/>
        <v>207.81556999999995</v>
      </c>
      <c r="AI619" s="283">
        <f t="shared" si="54"/>
        <v>1.3106431004036323</v>
      </c>
    </row>
    <row r="620" spans="1:35" x14ac:dyDescent="0.25">
      <c r="A620" s="275">
        <f>'Profits 2016'!A5833</f>
        <v>3004582</v>
      </c>
      <c r="B620" s="279">
        <f>'Profits 2016'!B5833</f>
        <v>42640</v>
      </c>
      <c r="C620" s="276">
        <f>'Profits 2016'!H5833</f>
        <v>1263.2</v>
      </c>
      <c r="D620" s="280">
        <f>'Profits 2016'!K5833</f>
        <v>1125.2112</v>
      </c>
      <c r="E620" s="276">
        <f>'Profits 2016'!L5833</f>
        <v>1200</v>
      </c>
      <c r="F620" s="275" t="str">
        <f>'Profits 2016'!P5833</f>
        <v>Thea</v>
      </c>
      <c r="G620" s="292">
        <f>'Profits 2016'!N5833-'Profits 2016'!M5833</f>
        <v>552</v>
      </c>
      <c r="H620" s="319"/>
      <c r="I620" s="320"/>
      <c r="J620" s="321"/>
      <c r="K620" s="321"/>
      <c r="L620" s="321"/>
      <c r="M620" s="319"/>
      <c r="N620" s="322"/>
      <c r="O620" s="236" t="str">
        <f>'Profits 2016'!T5833</f>
        <v>R&amp;L/ECHO</v>
      </c>
      <c r="P620" s="284" t="str">
        <f>'Profits 2016'!U5833</f>
        <v>444846051</v>
      </c>
      <c r="Q620" s="284" t="s">
        <v>15767</v>
      </c>
      <c r="R620" s="276">
        <v>187.81</v>
      </c>
      <c r="S620" s="275" t="s">
        <v>15808</v>
      </c>
      <c r="T620" s="279">
        <v>42649</v>
      </c>
      <c r="U620" s="279">
        <v>42654</v>
      </c>
      <c r="V620" s="279">
        <v>42678</v>
      </c>
      <c r="W620" s="293">
        <v>187.81</v>
      </c>
      <c r="X620" s="236">
        <v>9297</v>
      </c>
      <c r="AF620" s="276">
        <f t="shared" si="56"/>
        <v>739.81</v>
      </c>
      <c r="AG620" s="276">
        <f t="shared" si="52"/>
        <v>187.81</v>
      </c>
      <c r="AH620" s="276">
        <f t="shared" si="53"/>
        <v>937.40120000000002</v>
      </c>
      <c r="AI620" s="283">
        <f t="shared" si="54"/>
        <v>1.2670837106824726</v>
      </c>
    </row>
    <row r="621" spans="1:35" ht="30" x14ac:dyDescent="0.25">
      <c r="A621" s="275">
        <f>'Profits 2016'!A5834</f>
        <v>3004583</v>
      </c>
      <c r="B621" s="279">
        <f>'Profits 2016'!B5834</f>
        <v>42640</v>
      </c>
      <c r="C621" s="276">
        <f>'Profits 2016'!H5834</f>
        <v>185.9</v>
      </c>
      <c r="D621" s="280">
        <f>'Profits 2016'!K5834</f>
        <v>165.33690000000001</v>
      </c>
      <c r="E621" s="276">
        <f>'Profits 2016'!L5834</f>
        <v>672</v>
      </c>
      <c r="F621" s="275" t="str">
        <f>'Profits 2016'!P5834</f>
        <v>Houston</v>
      </c>
      <c r="G621" s="292">
        <f>'Profits 2016'!N5834-'Profits 2016'!M5834</f>
        <v>100.80000000000001</v>
      </c>
      <c r="H621" s="292">
        <v>0</v>
      </c>
      <c r="I621" s="275">
        <v>30905594</v>
      </c>
      <c r="J621" s="277">
        <v>42642</v>
      </c>
      <c r="K621" s="277">
        <v>42647</v>
      </c>
      <c r="L621" s="277">
        <v>42671</v>
      </c>
      <c r="M621" s="292">
        <v>100.8</v>
      </c>
      <c r="N621" s="281">
        <v>9253</v>
      </c>
      <c r="O621" s="236" t="str">
        <f>'Profits 2016'!T5834</f>
        <v>FEDEX GROUND</v>
      </c>
      <c r="P621" s="284" t="str">
        <f>'Profits 2016'!U5834</f>
        <v>701849703522</v>
      </c>
      <c r="Q621" s="284" t="s">
        <v>314</v>
      </c>
      <c r="R621" s="276">
        <v>27.6</v>
      </c>
      <c r="S621" s="275" t="s">
        <v>15738</v>
      </c>
      <c r="T621" s="279">
        <v>42653</v>
      </c>
      <c r="U621" s="279">
        <v>42656</v>
      </c>
      <c r="V621" s="340">
        <v>42664</v>
      </c>
      <c r="W621" s="350">
        <f t="shared" ref="W621:W625" si="60">R621</f>
        <v>27.6</v>
      </c>
      <c r="X621" s="347">
        <v>9215</v>
      </c>
      <c r="AF621" s="276">
        <f t="shared" si="56"/>
        <v>128.4</v>
      </c>
      <c r="AG621" s="276">
        <f t="shared" si="52"/>
        <v>128.4</v>
      </c>
      <c r="AH621" s="276">
        <f t="shared" si="53"/>
        <v>36.936900000000009</v>
      </c>
      <c r="AI621" s="283">
        <f t="shared" si="54"/>
        <v>0.28767056074766362</v>
      </c>
    </row>
    <row r="622" spans="1:35" ht="30" x14ac:dyDescent="0.25">
      <c r="A622" s="275">
        <f>'Profits 2016'!A5835</f>
        <v>3004584</v>
      </c>
      <c r="B622" s="279">
        <f>'Profits 2016'!B5835</f>
        <v>42640</v>
      </c>
      <c r="C622" s="276">
        <f>'Profits 2016'!H5835</f>
        <v>195.25</v>
      </c>
      <c r="D622" s="280">
        <f>'Profits 2016'!K5835</f>
        <v>173.66775000000001</v>
      </c>
      <c r="E622" s="276">
        <f>'Profits 2016'!L5835</f>
        <v>950</v>
      </c>
      <c r="F622" s="275" t="str">
        <f>'Profits 2016'!P5835</f>
        <v>Nassau</v>
      </c>
      <c r="G622" s="292">
        <f>'Profits 2016'!N5835-'Profits 2016'!M5835</f>
        <v>95</v>
      </c>
      <c r="H622" s="319"/>
      <c r="I622" s="320"/>
      <c r="J622" s="321"/>
      <c r="K622" s="321"/>
      <c r="L622" s="321"/>
      <c r="M622" s="319"/>
      <c r="N622" s="322"/>
      <c r="O622" s="236" t="str">
        <f>'Profits 2016'!T5835</f>
        <v>FEDEX GROUND</v>
      </c>
      <c r="P622" s="284" t="str">
        <f>'Profits 2016'!U5835</f>
        <v>702723288727</v>
      </c>
      <c r="Q622" s="284" t="s">
        <v>314</v>
      </c>
      <c r="R622" s="276">
        <v>17.27</v>
      </c>
      <c r="S622" s="275" t="s">
        <v>15738</v>
      </c>
      <c r="T622" s="279">
        <v>42653</v>
      </c>
      <c r="U622" s="279">
        <v>42656</v>
      </c>
      <c r="V622" s="340">
        <v>42664</v>
      </c>
      <c r="W622" s="350">
        <f t="shared" si="60"/>
        <v>17.27</v>
      </c>
      <c r="X622" s="347">
        <v>9215</v>
      </c>
      <c r="AF622" s="276">
        <f t="shared" si="56"/>
        <v>112.27</v>
      </c>
      <c r="AG622" s="276">
        <f t="shared" si="52"/>
        <v>17.27</v>
      </c>
      <c r="AH622" s="276">
        <f t="shared" si="53"/>
        <v>156.39775</v>
      </c>
      <c r="AI622" s="283">
        <f t="shared" si="54"/>
        <v>1.3930502360381225</v>
      </c>
    </row>
    <row r="623" spans="1:35" ht="30" x14ac:dyDescent="0.25">
      <c r="A623" s="275">
        <f>'Profits 2016'!A5836</f>
        <v>3004585</v>
      </c>
      <c r="B623" s="279">
        <f>'Profits 2016'!B5836</f>
        <v>42640</v>
      </c>
      <c r="C623" s="276">
        <f>'Profits 2016'!H5836</f>
        <v>219.41</v>
      </c>
      <c r="D623" s="280">
        <f>'Profits 2016'!K5836</f>
        <v>186.49850000000001</v>
      </c>
      <c r="E623" s="276">
        <f>'Profits 2016'!L5836</f>
        <v>162</v>
      </c>
      <c r="F623" s="275" t="str">
        <f>'Profits 2016'!P5836</f>
        <v>Houston</v>
      </c>
      <c r="G623" s="292">
        <f>'Profits 2016'!N5836-'Profits 2016'!M5836</f>
        <v>56.70000000000001</v>
      </c>
      <c r="H623" s="292">
        <v>0</v>
      </c>
      <c r="I623" s="275">
        <v>30904972</v>
      </c>
      <c r="J623" s="277">
        <v>42641</v>
      </c>
      <c r="K623" s="277">
        <v>42647</v>
      </c>
      <c r="L623" s="277">
        <v>42671</v>
      </c>
      <c r="M623" s="292">
        <v>56.7</v>
      </c>
      <c r="N623" s="281">
        <v>9252</v>
      </c>
      <c r="O623" s="236" t="str">
        <f>'Profits 2016'!T5836</f>
        <v>FEDEX GROUND</v>
      </c>
      <c r="P623" s="284" t="str">
        <f>'Profits 2016'!U5836</f>
        <v>707510672942</v>
      </c>
      <c r="Q623" s="284" t="s">
        <v>314</v>
      </c>
      <c r="R623" s="276">
        <v>31.79</v>
      </c>
      <c r="S623" s="275" t="s">
        <v>15738</v>
      </c>
      <c r="T623" s="279">
        <v>42653</v>
      </c>
      <c r="U623" s="279">
        <v>42656</v>
      </c>
      <c r="V623" s="340">
        <v>42664</v>
      </c>
      <c r="W623" s="350">
        <f t="shared" si="60"/>
        <v>31.79</v>
      </c>
      <c r="X623" s="347">
        <v>9215</v>
      </c>
      <c r="AF623" s="276">
        <f t="shared" si="56"/>
        <v>88.490000000000009</v>
      </c>
      <c r="AG623" s="276">
        <f t="shared" si="52"/>
        <v>88.490000000000009</v>
      </c>
      <c r="AH623" s="276">
        <f t="shared" si="53"/>
        <v>98.008499999999998</v>
      </c>
      <c r="AI623" s="283">
        <f t="shared" si="54"/>
        <v>1.1075658266470787</v>
      </c>
    </row>
    <row r="624" spans="1:35" ht="30" x14ac:dyDescent="0.25">
      <c r="A624" s="275">
        <f>'Profits 2016'!A5837</f>
        <v>3004586</v>
      </c>
      <c r="B624" s="279">
        <f>'Profits 2016'!B5837</f>
        <v>42640</v>
      </c>
      <c r="C624" s="276">
        <f>'Profits 2016'!H5837</f>
        <v>113.43</v>
      </c>
      <c r="D624" s="280">
        <f>'Profits 2016'!K5837</f>
        <v>96.415500000000009</v>
      </c>
      <c r="E624" s="276">
        <f>'Profits 2016'!L5837</f>
        <v>950</v>
      </c>
      <c r="F624" s="275" t="str">
        <f>'Profits 2016'!P5837</f>
        <v>Nassau</v>
      </c>
      <c r="G624" s="292">
        <f>'Profits 2016'!N5837-'Profits 2016'!M5837</f>
        <v>47.5</v>
      </c>
      <c r="H624" s="319"/>
      <c r="I624" s="320"/>
      <c r="J624" s="321"/>
      <c r="K624" s="321"/>
      <c r="L624" s="321"/>
      <c r="M624" s="319"/>
      <c r="N624" s="322"/>
      <c r="O624" s="236" t="str">
        <f>'Profits 2016'!T5837</f>
        <v>FEDEX GROUND</v>
      </c>
      <c r="P624" s="284" t="str">
        <f>'Profits 2016'!U5837</f>
        <v>702723288885</v>
      </c>
      <c r="Q624" s="284" t="s">
        <v>314</v>
      </c>
      <c r="R624" s="276">
        <v>20.8</v>
      </c>
      <c r="S624" s="275" t="s">
        <v>15802</v>
      </c>
      <c r="T624" s="279">
        <v>42660</v>
      </c>
      <c r="U624" s="279">
        <v>42663</v>
      </c>
      <c r="V624" s="279">
        <v>42671</v>
      </c>
      <c r="W624" s="293">
        <f t="shared" si="60"/>
        <v>20.8</v>
      </c>
      <c r="X624" s="236">
        <v>9250</v>
      </c>
      <c r="AF624" s="276">
        <f t="shared" si="56"/>
        <v>68.3</v>
      </c>
      <c r="AG624" s="276">
        <f t="shared" si="52"/>
        <v>20.8</v>
      </c>
      <c r="AH624" s="276">
        <f t="shared" si="53"/>
        <v>75.615500000000011</v>
      </c>
      <c r="AI624" s="283">
        <f t="shared" si="54"/>
        <v>1.1071083455344073</v>
      </c>
    </row>
    <row r="625" spans="1:35" ht="30" x14ac:dyDescent="0.25">
      <c r="A625" s="275">
        <f>'Profits 2016'!A5838</f>
        <v>3004587</v>
      </c>
      <c r="B625" s="279">
        <f>'Profits 2016'!B5838</f>
        <v>42640</v>
      </c>
      <c r="C625" s="276">
        <f>'Profits 2016'!H5838</f>
        <v>183.71</v>
      </c>
      <c r="D625" s="280">
        <f>'Profits 2016'!K5838</f>
        <v>156.15350000000001</v>
      </c>
      <c r="E625" s="276">
        <f>'Profits 2016'!L5838</f>
        <v>220</v>
      </c>
      <c r="F625" s="275" t="str">
        <f>'Profits 2016'!P5838</f>
        <v>Nassau</v>
      </c>
      <c r="G625" s="292">
        <f>'Profits 2016'!N5838-'Profits 2016'!M5838</f>
        <v>110</v>
      </c>
      <c r="H625" s="319"/>
      <c r="I625" s="320"/>
      <c r="J625" s="321"/>
      <c r="K625" s="321"/>
      <c r="L625" s="321"/>
      <c r="M625" s="319"/>
      <c r="N625" s="322"/>
      <c r="O625" s="236" t="str">
        <f>'Profits 2016'!T5838</f>
        <v>FEDEX GROUND</v>
      </c>
      <c r="P625" s="284" t="str">
        <f>'Profits 2016'!U5838</f>
        <v>665645047173</v>
      </c>
      <c r="Q625" s="284" t="s">
        <v>314</v>
      </c>
      <c r="R625" s="276">
        <v>46.6</v>
      </c>
      <c r="S625" s="275" t="s">
        <v>15802</v>
      </c>
      <c r="T625" s="279">
        <v>42660</v>
      </c>
      <c r="U625" s="279">
        <v>42663</v>
      </c>
      <c r="V625" s="279">
        <v>42671</v>
      </c>
      <c r="W625" s="293">
        <f t="shared" si="60"/>
        <v>46.6</v>
      </c>
      <c r="X625" s="236">
        <v>9250</v>
      </c>
      <c r="AF625" s="276">
        <f t="shared" si="56"/>
        <v>156.6</v>
      </c>
      <c r="AG625" s="276">
        <f t="shared" si="52"/>
        <v>46.6</v>
      </c>
      <c r="AH625" s="276">
        <f t="shared" si="53"/>
        <v>109.55350000000001</v>
      </c>
      <c r="AI625" s="283">
        <f t="shared" si="54"/>
        <v>0.6995753512132824</v>
      </c>
    </row>
    <row r="626" spans="1:35" ht="30" x14ac:dyDescent="0.25">
      <c r="A626" s="275">
        <f>'Profits 2016'!A5839</f>
        <v>3004588</v>
      </c>
      <c r="B626" s="279">
        <f>'Profits 2016'!B5839</f>
        <v>42640</v>
      </c>
      <c r="C626" s="276">
        <f>'Profits 2016'!H5839</f>
        <v>99.98</v>
      </c>
      <c r="D626" s="280">
        <f>'Profits 2016'!K5839</f>
        <v>84.983000000000004</v>
      </c>
      <c r="E626" s="276">
        <f>'Profits 2016'!L5839</f>
        <v>698</v>
      </c>
      <c r="F626" s="275" t="str">
        <f>'Profits 2016'!P5839</f>
        <v>Nassau</v>
      </c>
      <c r="G626" s="292">
        <f>'Profits 2016'!N5839-'Profits 2016'!M5839</f>
        <v>34.900000000000006</v>
      </c>
      <c r="H626" s="319"/>
      <c r="I626" s="320"/>
      <c r="J626" s="321"/>
      <c r="K626" s="321"/>
      <c r="L626" s="321"/>
      <c r="M626" s="319"/>
      <c r="N626" s="322"/>
      <c r="O626" s="236" t="str">
        <f>'Profits 2016'!T5839</f>
        <v>FEDEX GROUND</v>
      </c>
      <c r="P626" s="284" t="str">
        <f>'Profits 2016'!U5839</f>
        <v>665645047184</v>
      </c>
      <c r="Q626" s="284" t="s">
        <v>314</v>
      </c>
      <c r="R626" s="276">
        <v>30.05</v>
      </c>
      <c r="S626" s="275" t="s">
        <v>15738</v>
      </c>
      <c r="T626" s="279">
        <v>42653</v>
      </c>
      <c r="U626" s="279">
        <v>42656</v>
      </c>
      <c r="V626" s="340">
        <v>42664</v>
      </c>
      <c r="W626" s="350">
        <f>R626</f>
        <v>30.05</v>
      </c>
      <c r="X626" s="347">
        <v>9215</v>
      </c>
      <c r="AF626" s="276">
        <f t="shared" si="56"/>
        <v>64.95</v>
      </c>
      <c r="AG626" s="276">
        <f t="shared" si="52"/>
        <v>30.05</v>
      </c>
      <c r="AH626" s="276">
        <f t="shared" si="53"/>
        <v>54.933000000000007</v>
      </c>
      <c r="AI626" s="283">
        <f t="shared" si="54"/>
        <v>0.84577367205542731</v>
      </c>
    </row>
    <row r="627" spans="1:35" ht="45" x14ac:dyDescent="0.25">
      <c r="A627" s="275">
        <f>'Profits 2016'!A5840</f>
        <v>3004589</v>
      </c>
      <c r="B627" s="279">
        <f>'Profits 2016'!B5840</f>
        <v>42640</v>
      </c>
      <c r="C627" s="276">
        <f>'Profits 2016'!H5840</f>
        <v>3030.56</v>
      </c>
      <c r="D627" s="280">
        <f>'Profits 2016'!K5840</f>
        <v>3030.56</v>
      </c>
      <c r="E627" s="276">
        <f>'Profits 2016'!L5840</f>
        <v>8450</v>
      </c>
      <c r="F627" s="275" t="str">
        <f>'Profits 2016'!P5840</f>
        <v>Robertson</v>
      </c>
      <c r="G627" s="292">
        <f>'Profits 2016'!N5840-'Profits 2016'!M5840</f>
        <v>1690</v>
      </c>
      <c r="O627" s="236" t="str">
        <f>'Profits 2016'!T5840</f>
        <v>FREIGHT LINE CARRIERS</v>
      </c>
      <c r="P627" s="284" t="str">
        <f>'Profits 2016'!U5840</f>
        <v>138177</v>
      </c>
      <c r="AF627" s="276">
        <f t="shared" si="56"/>
        <v>1690</v>
      </c>
      <c r="AG627" s="276">
        <f t="shared" si="52"/>
        <v>0</v>
      </c>
      <c r="AH627" s="276">
        <f t="shared" si="53"/>
        <v>3030.56</v>
      </c>
      <c r="AI627" s="283">
        <f t="shared" si="54"/>
        <v>1.7932307692307692</v>
      </c>
    </row>
    <row r="628" spans="1:35" ht="30" x14ac:dyDescent="0.25">
      <c r="A628" s="275">
        <f>'Profits 2016'!A5841</f>
        <v>3004590</v>
      </c>
      <c r="B628" s="279">
        <f>'Profits 2016'!B5841</f>
        <v>42640</v>
      </c>
      <c r="C628" s="276">
        <f>'Profits 2016'!H5841</f>
        <v>431.64</v>
      </c>
      <c r="D628" s="280">
        <f>'Profits 2016'!K5841</f>
        <v>384.29123999999996</v>
      </c>
      <c r="E628" s="276">
        <f>'Profits 2016'!L5841</f>
        <v>1100</v>
      </c>
      <c r="F628" s="275" t="str">
        <f>'Profits 2016'!P5841</f>
        <v>Nassau</v>
      </c>
      <c r="G628" s="292">
        <f>'Profits 2016'!N5841-'Profits 2016'!M5841</f>
        <v>275</v>
      </c>
      <c r="H628" s="319"/>
      <c r="I628" s="320"/>
      <c r="J628" s="321"/>
      <c r="K628" s="321"/>
      <c r="L628" s="321"/>
      <c r="M628" s="319"/>
      <c r="N628" s="322"/>
      <c r="O628" s="236" t="str">
        <f>'Profits 2016'!T5841</f>
        <v>FEDEX GROUND</v>
      </c>
      <c r="P628" s="284" t="str">
        <f>'Profits 2016'!U5841</f>
        <v>702723288793</v>
      </c>
      <c r="Q628" s="284" t="s">
        <v>314</v>
      </c>
      <c r="R628" s="276">
        <v>57.95</v>
      </c>
      <c r="S628" s="275" t="s">
        <v>15802</v>
      </c>
      <c r="T628" s="279">
        <v>42660</v>
      </c>
      <c r="U628" s="279">
        <v>42663</v>
      </c>
      <c r="V628" s="279">
        <v>42671</v>
      </c>
      <c r="W628" s="293">
        <f>R628</f>
        <v>57.95</v>
      </c>
      <c r="X628" s="236">
        <v>9250</v>
      </c>
      <c r="AF628" s="276">
        <f t="shared" si="56"/>
        <v>332.95</v>
      </c>
      <c r="AG628" s="276">
        <f t="shared" si="52"/>
        <v>57.95</v>
      </c>
      <c r="AH628" s="276">
        <f t="shared" si="53"/>
        <v>326.34123999999997</v>
      </c>
      <c r="AI628" s="283">
        <f t="shared" si="54"/>
        <v>0.98015089352755669</v>
      </c>
    </row>
    <row r="629" spans="1:35" ht="30" x14ac:dyDescent="0.25">
      <c r="A629" s="275">
        <f>'Profits 2016'!A5842</f>
        <v>3004591</v>
      </c>
      <c r="B629" s="279">
        <f>'Profits 2016'!B5842</f>
        <v>42640</v>
      </c>
      <c r="C629" s="276">
        <f>'Profits 2016'!H5842</f>
        <v>185.9</v>
      </c>
      <c r="D629" s="280">
        <f>'Profits 2016'!K5842</f>
        <v>165.33690000000001</v>
      </c>
      <c r="E629" s="276">
        <f>'Profits 2016'!L5842</f>
        <v>672</v>
      </c>
      <c r="F629" s="275" t="str">
        <f>'Profits 2016'!P5842</f>
        <v>Houston</v>
      </c>
      <c r="G629" s="292">
        <f>'Profits 2016'!N5842-'Profits 2016'!M5842</f>
        <v>100.79999999999998</v>
      </c>
      <c r="H629" s="292">
        <v>0</v>
      </c>
      <c r="I629" s="275">
        <v>30905589</v>
      </c>
      <c r="J629" s="277">
        <v>42642</v>
      </c>
      <c r="K629" s="277">
        <v>42647</v>
      </c>
      <c r="L629" s="277">
        <v>42671</v>
      </c>
      <c r="M629" s="292">
        <v>100.8</v>
      </c>
      <c r="N629" s="281">
        <v>9253</v>
      </c>
      <c r="O629" s="236" t="str">
        <f>'Profits 2016'!T5842</f>
        <v>FEDEX GROUND</v>
      </c>
      <c r="P629" s="284" t="str">
        <f>'Profits 2016'!U5842</f>
        <v>701849703496</v>
      </c>
      <c r="Q629" s="284" t="s">
        <v>314</v>
      </c>
      <c r="R629" s="276">
        <v>20.18</v>
      </c>
      <c r="S629" s="275" t="s">
        <v>15738</v>
      </c>
      <c r="T629" s="279">
        <v>42653</v>
      </c>
      <c r="U629" s="279">
        <v>42656</v>
      </c>
      <c r="V629" s="340">
        <v>42664</v>
      </c>
      <c r="W629" s="350">
        <f t="shared" ref="W629:W630" si="61">R629</f>
        <v>20.18</v>
      </c>
      <c r="X629" s="347">
        <v>9215</v>
      </c>
      <c r="AF629" s="276">
        <f t="shared" si="56"/>
        <v>120.97999999999999</v>
      </c>
      <c r="AG629" s="276">
        <f t="shared" si="52"/>
        <v>120.97999999999999</v>
      </c>
      <c r="AH629" s="276">
        <f t="shared" si="53"/>
        <v>44.356900000000024</v>
      </c>
      <c r="AI629" s="283">
        <f t="shared" si="54"/>
        <v>0.36664655314928113</v>
      </c>
    </row>
    <row r="630" spans="1:35" ht="30" x14ac:dyDescent="0.25">
      <c r="A630" s="275">
        <f>'Profits 2016'!A5843</f>
        <v>3004592</v>
      </c>
      <c r="B630" s="279">
        <f>'Profits 2016'!B5843</f>
        <v>42640</v>
      </c>
      <c r="C630" s="276">
        <f>'Profits 2016'!H5843</f>
        <v>112.95</v>
      </c>
      <c r="D630" s="280">
        <f>'Profits 2016'!K5843</f>
        <v>100.33845000000001</v>
      </c>
      <c r="E630" s="276">
        <f>'Profits 2016'!L5843</f>
        <v>386</v>
      </c>
      <c r="F630" s="275" t="str">
        <f>'Profits 2016'!P5843</f>
        <v>Nassau</v>
      </c>
      <c r="G630" s="292">
        <f>'Profits 2016'!N5843-'Profits 2016'!M5843</f>
        <v>38.600000000000009</v>
      </c>
      <c r="H630" s="319"/>
      <c r="I630" s="320"/>
      <c r="J630" s="321"/>
      <c r="K630" s="321"/>
      <c r="L630" s="321"/>
      <c r="M630" s="319"/>
      <c r="N630" s="322"/>
      <c r="O630" s="236" t="str">
        <f>'Profits 2016'!T5843</f>
        <v>FEDEX GROUND</v>
      </c>
      <c r="P630" s="284" t="str">
        <f>'Profits 2016'!U5843</f>
        <v>702723288760</v>
      </c>
      <c r="Q630" s="284" t="s">
        <v>314</v>
      </c>
      <c r="R630" s="276">
        <v>9.27</v>
      </c>
      <c r="S630" s="275" t="s">
        <v>15738</v>
      </c>
      <c r="T630" s="279">
        <v>42653</v>
      </c>
      <c r="U630" s="279">
        <v>42656</v>
      </c>
      <c r="V630" s="340">
        <v>42664</v>
      </c>
      <c r="W630" s="350">
        <f t="shared" si="61"/>
        <v>9.27</v>
      </c>
      <c r="X630" s="347">
        <v>9215</v>
      </c>
      <c r="AF630" s="276">
        <f t="shared" si="56"/>
        <v>47.870000000000005</v>
      </c>
      <c r="AG630" s="276">
        <f t="shared" si="52"/>
        <v>9.27</v>
      </c>
      <c r="AH630" s="276">
        <f t="shared" si="53"/>
        <v>91.068450000000013</v>
      </c>
      <c r="AI630" s="283">
        <f t="shared" si="54"/>
        <v>1.9024117401295175</v>
      </c>
    </row>
    <row r="631" spans="1:35" x14ac:dyDescent="0.25">
      <c r="A631" s="275">
        <f>'Profits 2016'!A5844</f>
        <v>3004593</v>
      </c>
      <c r="B631" s="279">
        <f>'Profits 2016'!B5844</f>
        <v>42640</v>
      </c>
      <c r="C631" s="276">
        <f>'Profits 2016'!H5844</f>
        <v>482</v>
      </c>
      <c r="D631" s="280">
        <f>'Profits 2016'!K5844</f>
        <v>471.096</v>
      </c>
      <c r="E631" s="276">
        <f>'Profits 2016'!L5844</f>
        <v>584</v>
      </c>
      <c r="F631" s="275" t="str">
        <f>'Profits 2016'!P5844</f>
        <v>Commodity</v>
      </c>
      <c r="G631" s="292">
        <f>'Profits 2016'!N5844-'Profits 2016'!M5844</f>
        <v>292</v>
      </c>
      <c r="H631" s="292">
        <v>0</v>
      </c>
      <c r="I631" s="275" t="s">
        <v>15809</v>
      </c>
      <c r="J631" s="277">
        <v>42643</v>
      </c>
      <c r="K631" s="277">
        <v>42655</v>
      </c>
      <c r="L631" s="277">
        <v>42657</v>
      </c>
      <c r="M631" s="292">
        <f>292-8.06</f>
        <v>283.94</v>
      </c>
      <c r="N631" s="281">
        <v>9163</v>
      </c>
      <c r="O631" s="236" t="str">
        <f>'Profits 2016'!T5844</f>
        <v>R&amp;L</v>
      </c>
      <c r="P631" s="284">
        <f>'Profits 2016'!U5844</f>
        <v>734738112</v>
      </c>
      <c r="Q631" s="284" t="s">
        <v>15764</v>
      </c>
      <c r="R631" s="276">
        <v>110.85</v>
      </c>
      <c r="S631" s="275" t="s">
        <v>15809</v>
      </c>
      <c r="T631" s="279">
        <v>42643</v>
      </c>
      <c r="U631" s="279">
        <v>42655</v>
      </c>
      <c r="V631" s="279">
        <v>42657</v>
      </c>
      <c r="W631" s="293">
        <v>110.85</v>
      </c>
      <c r="X631" s="236">
        <v>9163</v>
      </c>
      <c r="AF631" s="276">
        <f t="shared" si="56"/>
        <v>402.85</v>
      </c>
      <c r="AG631" s="276">
        <f t="shared" si="52"/>
        <v>394.78999999999996</v>
      </c>
      <c r="AH631" s="276">
        <f t="shared" si="53"/>
        <v>76.30600000000004</v>
      </c>
      <c r="AI631" s="283">
        <f t="shared" si="54"/>
        <v>0.18941541516693566</v>
      </c>
    </row>
    <row r="632" spans="1:35" ht="30" x14ac:dyDescent="0.25">
      <c r="A632" s="275">
        <f>'Profits 2016'!A5845</f>
        <v>3004594</v>
      </c>
      <c r="B632" s="279">
        <f>'Profits 2016'!B5845</f>
        <v>42640</v>
      </c>
      <c r="C632" s="276">
        <f>'Profits 2016'!H5845</f>
        <v>256</v>
      </c>
      <c r="D632" s="280">
        <f>'Profits 2016'!K5845</f>
        <v>250.06800000000001</v>
      </c>
      <c r="E632" s="276">
        <f>'Profits 2016'!L5845</f>
        <v>209</v>
      </c>
      <c r="F632" s="275" t="str">
        <f>'Profits 2016'!P5845</f>
        <v>Priority</v>
      </c>
      <c r="G632" s="292">
        <f>'Profits 2016'!N5845-'Profits 2016'!M5845</f>
        <v>167.20000000000002</v>
      </c>
      <c r="H632" s="292">
        <v>0</v>
      </c>
      <c r="I632" s="275">
        <v>1062651</v>
      </c>
      <c r="J632" s="277">
        <v>42648</v>
      </c>
      <c r="K632" s="277">
        <v>42655</v>
      </c>
      <c r="L632" s="277">
        <v>42678</v>
      </c>
      <c r="M632" s="292">
        <v>167.2</v>
      </c>
      <c r="N632" s="281">
        <v>9337</v>
      </c>
      <c r="O632" s="236" t="str">
        <f>'Profits 2016'!T5845</f>
        <v>CUSTOMER PICK UP</v>
      </c>
      <c r="P632" s="284" t="str">
        <f>'Profits 2016'!U5845</f>
        <v>CUSTOMER PICK UP</v>
      </c>
      <c r="AF632" s="276">
        <f t="shared" si="56"/>
        <v>167.20000000000002</v>
      </c>
      <c r="AG632" s="276">
        <f t="shared" si="52"/>
        <v>167.2</v>
      </c>
      <c r="AH632" s="276">
        <f t="shared" si="53"/>
        <v>82.868000000000023</v>
      </c>
      <c r="AI632" s="283">
        <f t="shared" si="54"/>
        <v>0.49562200956937807</v>
      </c>
    </row>
    <row r="633" spans="1:35" ht="30" x14ac:dyDescent="0.25">
      <c r="A633" s="275">
        <f>'Profits 2016'!A5846</f>
        <v>3004596</v>
      </c>
      <c r="B633" s="279">
        <f>'Profits 2016'!B5846</f>
        <v>42640</v>
      </c>
      <c r="C633" s="276">
        <f>'Profits 2016'!H5846</f>
        <v>139</v>
      </c>
      <c r="D633" s="280">
        <f>'Profits 2016'!K5846</f>
        <v>135.642</v>
      </c>
      <c r="E633" s="276">
        <f>'Profits 2016'!L5846</f>
        <v>1322</v>
      </c>
      <c r="F633" s="275" t="str">
        <f>'Profits 2016'!P5846</f>
        <v>Nassau</v>
      </c>
      <c r="G633" s="292">
        <f>'Profits 2016'!N5846-'Profits 2016'!M5846</f>
        <v>66.100000000000009</v>
      </c>
      <c r="H633" s="319"/>
      <c r="I633" s="320"/>
      <c r="J633" s="321"/>
      <c r="K633" s="321"/>
      <c r="L633" s="321"/>
      <c r="M633" s="319"/>
      <c r="N633" s="322"/>
      <c r="O633" s="236" t="str">
        <f>'Profits 2016'!T5846</f>
        <v>FEDEX GROUND</v>
      </c>
      <c r="P633" s="284" t="str">
        <f>'Profits 2016'!U5846</f>
        <v>702723288808</v>
      </c>
      <c r="Q633" s="284" t="s">
        <v>314</v>
      </c>
      <c r="R633" s="276">
        <v>41.75</v>
      </c>
      <c r="S633" s="275" t="s">
        <v>15802</v>
      </c>
      <c r="T633" s="279">
        <v>42660</v>
      </c>
      <c r="U633" s="279">
        <v>42663</v>
      </c>
      <c r="V633" s="279">
        <v>42671</v>
      </c>
      <c r="W633" s="293">
        <f t="shared" ref="W633:W634" si="62">R633</f>
        <v>41.75</v>
      </c>
      <c r="X633" s="236">
        <v>9250</v>
      </c>
      <c r="AF633" s="276">
        <f t="shared" si="56"/>
        <v>107.00000000000001</v>
      </c>
      <c r="AG633" s="276">
        <f t="shared" si="52"/>
        <v>41.75</v>
      </c>
      <c r="AH633" s="276">
        <f t="shared" si="53"/>
        <v>93.891999999999996</v>
      </c>
      <c r="AI633" s="283">
        <f t="shared" si="54"/>
        <v>0.87749532710280354</v>
      </c>
    </row>
    <row r="634" spans="1:35" ht="30" x14ac:dyDescent="0.25">
      <c r="A634" s="275">
        <f>'Profits 2016'!A5847</f>
        <v>3004597</v>
      </c>
      <c r="B634" s="279">
        <f>'Profits 2016'!B5847</f>
        <v>42640</v>
      </c>
      <c r="C634" s="276">
        <f>'Profits 2016'!H5847</f>
        <v>297</v>
      </c>
      <c r="D634" s="280">
        <f>'Profits 2016'!K5847</f>
        <v>290.166</v>
      </c>
      <c r="E634" s="276">
        <f>'Profits 2016'!L5847</f>
        <v>6550.96</v>
      </c>
      <c r="F634" s="275" t="str">
        <f>'Profits 2016'!P5847</f>
        <v>General</v>
      </c>
      <c r="G634" s="292">
        <f>'Profits 2016'!N5847-'Profits 2016'!M5847</f>
        <v>144.12111999999996</v>
      </c>
      <c r="H634" s="292">
        <v>-0.85</v>
      </c>
      <c r="I634" s="275">
        <v>3752148</v>
      </c>
      <c r="J634" s="277">
        <v>42641</v>
      </c>
      <c r="K634" s="277">
        <v>42646</v>
      </c>
      <c r="L634" s="277">
        <v>42678</v>
      </c>
      <c r="M634" s="292">
        <v>140.4</v>
      </c>
      <c r="N634" s="281">
        <v>9305</v>
      </c>
      <c r="O634" s="236" t="str">
        <f>'Profits 2016'!T5847</f>
        <v>FEDEX GROUND</v>
      </c>
      <c r="P634" s="284" t="str">
        <f>'Profits 2016'!U5847</f>
        <v>675157530209</v>
      </c>
      <c r="Q634" s="284" t="s">
        <v>314</v>
      </c>
      <c r="R634" s="276">
        <v>25.11</v>
      </c>
      <c r="S634" s="275" t="s">
        <v>15802</v>
      </c>
      <c r="T634" s="279">
        <v>42660</v>
      </c>
      <c r="U634" s="279">
        <v>42663</v>
      </c>
      <c r="V634" s="279">
        <v>42671</v>
      </c>
      <c r="W634" s="293">
        <f t="shared" si="62"/>
        <v>25.11</v>
      </c>
      <c r="X634" s="236">
        <v>9250</v>
      </c>
      <c r="AF634" s="276">
        <f t="shared" si="56"/>
        <v>169.23111999999998</v>
      </c>
      <c r="AG634" s="276">
        <f t="shared" si="52"/>
        <v>165.51</v>
      </c>
      <c r="AH634" s="276">
        <f t="shared" si="53"/>
        <v>124.65600000000001</v>
      </c>
      <c r="AI634" s="283">
        <f t="shared" si="54"/>
        <v>0.73660210958835481</v>
      </c>
    </row>
    <row r="635" spans="1:35" x14ac:dyDescent="0.25">
      <c r="A635" s="275">
        <f>'Profits 2016'!A5848</f>
        <v>3004598</v>
      </c>
      <c r="B635" s="279">
        <f>'Profits 2016'!B5848</f>
        <v>42640</v>
      </c>
      <c r="C635" s="276">
        <f>'Profits 2016'!H5848</f>
        <v>3691.5</v>
      </c>
      <c r="D635" s="280">
        <f>'Profits 2016'!K5848</f>
        <v>3609.9870000000001</v>
      </c>
      <c r="E635" s="276">
        <f>'Profits 2016'!L5848</f>
        <v>10283</v>
      </c>
      <c r="F635" s="275" t="str">
        <f>'Profits 2016'!P5848</f>
        <v>Ace Wire</v>
      </c>
      <c r="G635" s="292">
        <f>'Profits 2016'!N5848-'Profits 2016'!M5848</f>
        <v>2570.75</v>
      </c>
      <c r="H635" s="292">
        <v>0</v>
      </c>
      <c r="I635" s="275">
        <v>1068169</v>
      </c>
      <c r="J635" s="277">
        <v>42642</v>
      </c>
      <c r="K635" s="277">
        <v>42647</v>
      </c>
      <c r="L635" s="277">
        <v>42671</v>
      </c>
      <c r="M635" s="292">
        <v>2570.75</v>
      </c>
      <c r="N635" s="281">
        <v>9241</v>
      </c>
      <c r="O635" s="236" t="str">
        <f>'Profits 2016'!T5848</f>
        <v>ACE TRUCK</v>
      </c>
      <c r="P635" s="284" t="str">
        <f>'Profits 2016'!U5848</f>
        <v>ACE TRUCK</v>
      </c>
      <c r="AF635" s="276">
        <f t="shared" si="56"/>
        <v>2570.75</v>
      </c>
      <c r="AG635" s="276">
        <f t="shared" si="52"/>
        <v>2570.75</v>
      </c>
      <c r="AH635" s="276">
        <f t="shared" si="53"/>
        <v>1039.2370000000001</v>
      </c>
      <c r="AI635" s="283">
        <f t="shared" si="54"/>
        <v>0.4042544004667899</v>
      </c>
    </row>
    <row r="636" spans="1:35" ht="30" x14ac:dyDescent="0.25">
      <c r="A636" s="275">
        <f>'Profits 2016'!A5849</f>
        <v>3004600</v>
      </c>
      <c r="B636" s="279">
        <f>'Profits 2016'!B5849</f>
        <v>42641</v>
      </c>
      <c r="C636" s="276">
        <f>'Profits 2016'!H5849</f>
        <v>189</v>
      </c>
      <c r="D636" s="280">
        <f>'Profits 2016'!K5849</f>
        <v>184.542</v>
      </c>
      <c r="E636" s="276">
        <f>'Profits 2016'!L5849</f>
        <v>950</v>
      </c>
      <c r="F636" s="275" t="str">
        <f>'Profits 2016'!P5849</f>
        <v>Nassau</v>
      </c>
      <c r="G636" s="292">
        <f>'Profits 2016'!N5849-'Profits 2016'!M5849</f>
        <v>95</v>
      </c>
      <c r="H636" s="319"/>
      <c r="I636" s="320"/>
      <c r="J636" s="321"/>
      <c r="K636" s="321"/>
      <c r="L636" s="321"/>
      <c r="M636" s="319"/>
      <c r="N636" s="322"/>
      <c r="O636" s="236" t="str">
        <f>'Profits 2016'!T5849</f>
        <v>FEDEX GROUND</v>
      </c>
      <c r="P636" s="284" t="str">
        <f>'Profits 2016'!U5849</f>
        <v>702723288874</v>
      </c>
      <c r="Q636" s="284" t="s">
        <v>314</v>
      </c>
      <c r="R636" s="276">
        <v>34.68</v>
      </c>
      <c r="S636" s="275" t="s">
        <v>15802</v>
      </c>
      <c r="T636" s="279">
        <v>42660</v>
      </c>
      <c r="U636" s="279">
        <v>42663</v>
      </c>
      <c r="V636" s="279">
        <v>42671</v>
      </c>
      <c r="W636" s="293">
        <f>R636</f>
        <v>34.68</v>
      </c>
      <c r="X636" s="236">
        <v>9250</v>
      </c>
      <c r="AF636" s="276">
        <f t="shared" si="56"/>
        <v>129.68</v>
      </c>
      <c r="AG636" s="276">
        <f t="shared" si="52"/>
        <v>34.68</v>
      </c>
      <c r="AH636" s="276">
        <f t="shared" si="53"/>
        <v>149.86199999999999</v>
      </c>
      <c r="AI636" s="283">
        <f t="shared" si="54"/>
        <v>1.15562924120913</v>
      </c>
    </row>
    <row r="637" spans="1:35" ht="30" x14ac:dyDescent="0.25">
      <c r="A637" s="275">
        <f>'Profits 2016'!A5850</f>
        <v>3004601</v>
      </c>
      <c r="B637" s="279">
        <f>'Profits 2016'!B5850</f>
        <v>42641</v>
      </c>
      <c r="C637" s="276">
        <f>'Profits 2016'!H5850</f>
        <v>590</v>
      </c>
      <c r="D637" s="280">
        <f>'Profits 2016'!K5850</f>
        <v>570.52499999999998</v>
      </c>
      <c r="E637" s="276">
        <f>'Profits 2016'!L5850</f>
        <v>0</v>
      </c>
      <c r="F637" s="275" t="str">
        <f>'Profits 2016'!P5850</f>
        <v>Nassau</v>
      </c>
      <c r="G637" s="292">
        <f>'Profits 2016'!N5850-'Profits 2016'!M5850</f>
        <v>0</v>
      </c>
      <c r="H637" s="319"/>
      <c r="I637" s="320"/>
      <c r="J637" s="321"/>
      <c r="K637" s="321"/>
      <c r="L637" s="321"/>
      <c r="M637" s="319"/>
      <c r="N637" s="322"/>
      <c r="O637" s="236" t="str">
        <f>'Profits 2016'!T5850</f>
        <v>FEDEX/ECHO</v>
      </c>
      <c r="P637" s="284" t="str">
        <f>'Profits 2016'!U5850</f>
        <v>2696706585</v>
      </c>
      <c r="Q637" s="284" t="s">
        <v>15767</v>
      </c>
      <c r="R637" s="276">
        <v>119.6</v>
      </c>
      <c r="S637" s="275" t="s">
        <v>15810</v>
      </c>
      <c r="T637" s="279">
        <v>42650</v>
      </c>
      <c r="U637" s="279">
        <v>42657</v>
      </c>
      <c r="V637" s="279">
        <v>42678</v>
      </c>
      <c r="W637" s="293">
        <v>119.6</v>
      </c>
      <c r="X637" s="236">
        <v>9297</v>
      </c>
      <c r="AF637" s="276">
        <f t="shared" si="56"/>
        <v>119.6</v>
      </c>
      <c r="AG637" s="276">
        <f t="shared" si="52"/>
        <v>119.6</v>
      </c>
      <c r="AH637" s="276">
        <f t="shared" si="53"/>
        <v>450.92499999999995</v>
      </c>
      <c r="AI637" s="283">
        <f t="shared" si="54"/>
        <v>3.7702759197324411</v>
      </c>
    </row>
    <row r="638" spans="1:35" x14ac:dyDescent="0.25">
      <c r="A638" s="275">
        <f>'Profits 2016'!A5851</f>
        <v>0</v>
      </c>
      <c r="B638" s="279">
        <f>'Profits 2016'!B5851</f>
        <v>0</v>
      </c>
      <c r="C638" s="276">
        <f>'Profits 2016'!H5851</f>
        <v>0</v>
      </c>
      <c r="D638" s="280">
        <f>'Profits 2016'!K5851</f>
        <v>0</v>
      </c>
      <c r="E638" s="276">
        <f>'Profits 2016'!L5851</f>
        <v>0</v>
      </c>
      <c r="F638" s="275" t="str">
        <f>'Profits 2016'!P5851</f>
        <v>Nassau</v>
      </c>
      <c r="G638" s="292">
        <f>'Profits 2016'!N5851-'Profits 2016'!M5851</f>
        <v>0</v>
      </c>
      <c r="H638" s="319"/>
      <c r="I638" s="320"/>
      <c r="J638" s="321"/>
      <c r="K638" s="321"/>
      <c r="L638" s="321"/>
      <c r="M638" s="319"/>
      <c r="N638" s="322"/>
      <c r="O638" s="236">
        <f>'Profits 2016'!T5851</f>
        <v>0</v>
      </c>
      <c r="P638" s="284">
        <f>'Profits 2016'!U5851</f>
        <v>0</v>
      </c>
      <c r="Q638" s="284" t="s">
        <v>15767</v>
      </c>
      <c r="R638" s="276">
        <v>0</v>
      </c>
      <c r="S638" s="275" t="s">
        <v>15810</v>
      </c>
      <c r="T638" s="279">
        <v>42650</v>
      </c>
      <c r="U638" s="279">
        <v>42657</v>
      </c>
      <c r="V638" s="279">
        <v>42678</v>
      </c>
      <c r="W638" s="293">
        <v>0</v>
      </c>
      <c r="X638" s="236">
        <v>9297</v>
      </c>
      <c r="AF638" s="276">
        <f t="shared" si="56"/>
        <v>0</v>
      </c>
      <c r="AG638" s="276">
        <f t="shared" si="52"/>
        <v>0</v>
      </c>
      <c r="AH638" s="276">
        <f t="shared" si="53"/>
        <v>0</v>
      </c>
      <c r="AI638" s="283" t="e">
        <f t="shared" si="54"/>
        <v>#DIV/0!</v>
      </c>
    </row>
    <row r="639" spans="1:35" ht="45" x14ac:dyDescent="0.25">
      <c r="A639" s="275">
        <f>'Profits 2016'!A5852</f>
        <v>3004602</v>
      </c>
      <c r="B639" s="279">
        <f>'Profits 2016'!B5852</f>
        <v>42641</v>
      </c>
      <c r="C639" s="276">
        <f>'Profits 2016'!H5852</f>
        <v>4634</v>
      </c>
      <c r="D639" s="280">
        <f>'Profits 2016'!K5852</f>
        <v>4634</v>
      </c>
      <c r="E639" s="276">
        <f>'Profits 2016'!L5852</f>
        <v>513.73</v>
      </c>
      <c r="F639" s="275" t="str">
        <f>'Profits 2016'!P5852</f>
        <v>Colonial</v>
      </c>
      <c r="G639" s="292">
        <f>'Profits 2016'!N5852-'Profits 2016'!M5852</f>
        <v>256.86500000000001</v>
      </c>
      <c r="H639" s="292">
        <v>0</v>
      </c>
      <c r="I639" s="275" t="s">
        <v>15811</v>
      </c>
      <c r="J639" s="277">
        <v>42646</v>
      </c>
      <c r="K639" s="277">
        <v>42650</v>
      </c>
      <c r="L639" s="277">
        <v>42678</v>
      </c>
      <c r="M639" s="292">
        <v>0</v>
      </c>
      <c r="N639" s="281">
        <v>9286</v>
      </c>
      <c r="O639" s="236" t="str">
        <f>'Profits 2016'!T5852</f>
        <v>DELIVERED VIA TRUCK 10/4/16</v>
      </c>
      <c r="P639" s="284" t="str">
        <f>'Profits 2016'!U5852</f>
        <v>DELIVERED VIA TRUCK 10/4/16</v>
      </c>
      <c r="AF639" s="276">
        <f t="shared" si="56"/>
        <v>256.86500000000001</v>
      </c>
      <c r="AG639" s="276">
        <f t="shared" si="52"/>
        <v>0</v>
      </c>
      <c r="AH639" s="276">
        <f t="shared" si="53"/>
        <v>4634</v>
      </c>
      <c r="AI639" s="283">
        <f t="shared" si="54"/>
        <v>18.040604987055456</v>
      </c>
    </row>
    <row r="640" spans="1:35" x14ac:dyDescent="0.25">
      <c r="A640" s="275">
        <f>'Profits 2016'!A5853</f>
        <v>0</v>
      </c>
      <c r="B640" s="279">
        <f>'Profits 2016'!B5853</f>
        <v>0</v>
      </c>
      <c r="C640" s="276">
        <f>'Profits 2016'!H5853</f>
        <v>0</v>
      </c>
      <c r="D640" s="280">
        <f>'Profits 2016'!K5853</f>
        <v>0</v>
      </c>
      <c r="E640" s="276">
        <f>'Profits 2016'!L5853</f>
        <v>274.08</v>
      </c>
      <c r="F640" s="275" t="str">
        <f>'Profits 2016'!P5853</f>
        <v>Colonial</v>
      </c>
      <c r="G640" s="292">
        <f>'Profits 2016'!N5853-'Profits 2016'!M5853</f>
        <v>137.04</v>
      </c>
      <c r="H640" s="292">
        <v>0</v>
      </c>
      <c r="I640" s="275" t="s">
        <v>15811</v>
      </c>
      <c r="J640" s="277">
        <v>42646</v>
      </c>
      <c r="K640" s="277">
        <v>42650</v>
      </c>
      <c r="L640" s="277">
        <v>42678</v>
      </c>
      <c r="M640" s="292">
        <v>0</v>
      </c>
      <c r="N640" s="281">
        <v>9286</v>
      </c>
      <c r="O640" s="236">
        <f>'Profits 2016'!T5853</f>
        <v>0</v>
      </c>
      <c r="P640" s="284">
        <f>'Profits 2016'!U5853</f>
        <v>0</v>
      </c>
      <c r="AF640" s="276">
        <f t="shared" si="56"/>
        <v>137.04</v>
      </c>
      <c r="AG640" s="276">
        <f t="shared" si="52"/>
        <v>0</v>
      </c>
      <c r="AH640" s="276">
        <f t="shared" si="53"/>
        <v>0</v>
      </c>
      <c r="AI640" s="283">
        <f t="shared" si="54"/>
        <v>0</v>
      </c>
    </row>
    <row r="641" spans="1:35" x14ac:dyDescent="0.25">
      <c r="A641" s="275">
        <f>'Profits 2016'!A5854</f>
        <v>0</v>
      </c>
      <c r="B641" s="279">
        <f>'Profits 2016'!B5854</f>
        <v>0</v>
      </c>
      <c r="C641" s="276">
        <f>'Profits 2016'!H5854</f>
        <v>0</v>
      </c>
      <c r="D641" s="280">
        <f>'Profits 2016'!K5854</f>
        <v>0</v>
      </c>
      <c r="E641" s="276">
        <f>'Profits 2016'!L5854</f>
        <v>178.14</v>
      </c>
      <c r="F641" s="275" t="str">
        <f>'Profits 2016'!P5854</f>
        <v>Colonial</v>
      </c>
      <c r="G641" s="292">
        <f>'Profits 2016'!N5854-'Profits 2016'!M5854</f>
        <v>89.07</v>
      </c>
      <c r="H641" s="292">
        <v>0</v>
      </c>
      <c r="I641" s="275" t="s">
        <v>15811</v>
      </c>
      <c r="J641" s="277">
        <v>42646</v>
      </c>
      <c r="K641" s="277">
        <v>42650</v>
      </c>
      <c r="L641" s="277">
        <v>42678</v>
      </c>
      <c r="M641" s="292">
        <v>1858.7</v>
      </c>
      <c r="N641" s="281">
        <v>9286</v>
      </c>
      <c r="O641" s="236">
        <f>'Profits 2016'!T5854</f>
        <v>0</v>
      </c>
      <c r="P641" s="284">
        <f>'Profits 2016'!U5854</f>
        <v>0</v>
      </c>
      <c r="AF641" s="276">
        <f t="shared" si="56"/>
        <v>89.07</v>
      </c>
      <c r="AG641" s="276">
        <f t="shared" si="52"/>
        <v>1858.7</v>
      </c>
      <c r="AH641" s="276">
        <f t="shared" si="53"/>
        <v>-1858.7</v>
      </c>
      <c r="AI641" s="283">
        <f t="shared" si="54"/>
        <v>-20.867856741888403</v>
      </c>
    </row>
    <row r="642" spans="1:35" x14ac:dyDescent="0.25">
      <c r="A642" s="275">
        <f>'Profits 2016'!A5855</f>
        <v>0</v>
      </c>
      <c r="B642" s="279">
        <f>'Profits 2016'!B5855</f>
        <v>0</v>
      </c>
      <c r="C642" s="276">
        <f>'Profits 2016'!H5855</f>
        <v>0</v>
      </c>
      <c r="D642" s="280">
        <f>'Profits 2016'!K5855</f>
        <v>0</v>
      </c>
      <c r="E642" s="276">
        <f>'Profits 2016'!L5855</f>
        <v>643.04</v>
      </c>
      <c r="F642" s="275" t="str">
        <f>'Profits 2016'!P5855</f>
        <v>Colonial</v>
      </c>
      <c r="G642" s="292">
        <f>'Profits 2016'!N5855-'Profits 2016'!M5855</f>
        <v>321.52</v>
      </c>
      <c r="H642" s="292">
        <v>0</v>
      </c>
      <c r="I642" s="275" t="s">
        <v>15811</v>
      </c>
      <c r="J642" s="277">
        <v>42646</v>
      </c>
      <c r="K642" s="277">
        <v>42650</v>
      </c>
      <c r="L642" s="277">
        <v>42678</v>
      </c>
      <c r="M642" s="292">
        <v>0</v>
      </c>
      <c r="N642" s="281">
        <v>9286</v>
      </c>
      <c r="O642" s="236">
        <f>'Profits 2016'!T5855</f>
        <v>0</v>
      </c>
      <c r="P642" s="284">
        <f>'Profits 2016'!U5855</f>
        <v>0</v>
      </c>
      <c r="AF642" s="276">
        <f>G642+H646+R642+Y642</f>
        <v>321.52</v>
      </c>
      <c r="AG642" s="276">
        <f t="shared" si="52"/>
        <v>0</v>
      </c>
      <c r="AH642" s="276">
        <f t="shared" si="53"/>
        <v>0</v>
      </c>
      <c r="AI642" s="283">
        <f t="shared" si="54"/>
        <v>0</v>
      </c>
    </row>
    <row r="643" spans="1:35" x14ac:dyDescent="0.25">
      <c r="A643" s="275">
        <f>'Profits 2016'!A5856</f>
        <v>0</v>
      </c>
      <c r="B643" s="279">
        <f>'Profits 2016'!B5856</f>
        <v>0</v>
      </c>
      <c r="C643" s="276">
        <f>'Profits 2016'!H5856</f>
        <v>0</v>
      </c>
      <c r="D643" s="280">
        <f>'Profits 2016'!K5856</f>
        <v>0</v>
      </c>
      <c r="E643" s="276">
        <f>'Profits 2016'!L5856</f>
        <v>513.73</v>
      </c>
      <c r="F643" s="275" t="str">
        <f>'Profits 2016'!P5856</f>
        <v>Colonial</v>
      </c>
      <c r="G643" s="292">
        <f>'Profits 2016'!N5856-'Profits 2016'!M5856</f>
        <v>256.86500000000001</v>
      </c>
      <c r="H643" s="292">
        <v>0</v>
      </c>
      <c r="I643" s="275" t="s">
        <v>15811</v>
      </c>
      <c r="J643" s="277">
        <v>42646</v>
      </c>
      <c r="K643" s="277">
        <v>42650</v>
      </c>
      <c r="L643" s="277">
        <v>42678</v>
      </c>
      <c r="M643" s="292">
        <v>0</v>
      </c>
      <c r="N643" s="281">
        <v>9286</v>
      </c>
      <c r="O643" s="236">
        <f>'Profits 2016'!T5856</f>
        <v>0</v>
      </c>
      <c r="P643" s="284">
        <f>'Profits 2016'!U5856</f>
        <v>0</v>
      </c>
      <c r="AF643" s="276">
        <f t="shared" ref="AF643:AF647" si="63">G643+H647+R643+Y643</f>
        <v>256.86500000000001</v>
      </c>
      <c r="AG643" s="276">
        <f t="shared" ref="AG643:AG706" si="64">M643+R643+Y643</f>
        <v>0</v>
      </c>
      <c r="AH643" s="276">
        <f t="shared" ref="AH643:AH706" si="65">D643-AG643</f>
        <v>0</v>
      </c>
      <c r="AI643" s="283">
        <f t="shared" ref="AI643:AI706" si="66">AH643/AF643</f>
        <v>0</v>
      </c>
    </row>
    <row r="644" spans="1:35" x14ac:dyDescent="0.25">
      <c r="A644" s="275">
        <f>'Profits 2016'!A5857</f>
        <v>0</v>
      </c>
      <c r="B644" s="279">
        <f>'Profits 2016'!B5857</f>
        <v>0</v>
      </c>
      <c r="C644" s="276">
        <f>'Profits 2016'!H5857</f>
        <v>0</v>
      </c>
      <c r="D644" s="280">
        <f>'Profits 2016'!K5857</f>
        <v>0</v>
      </c>
      <c r="E644" s="276">
        <f>'Profits 2016'!L5857</f>
        <v>513.73</v>
      </c>
      <c r="F644" s="275" t="str">
        <f>'Profits 2016'!P5857</f>
        <v>Colonial</v>
      </c>
      <c r="G644" s="292">
        <f>'Profits 2016'!N5857-'Profits 2016'!M5857</f>
        <v>256.86500000000001</v>
      </c>
      <c r="H644" s="292">
        <v>0</v>
      </c>
      <c r="I644" s="275" t="s">
        <v>15811</v>
      </c>
      <c r="J644" s="277">
        <v>42646</v>
      </c>
      <c r="K644" s="277">
        <v>42650</v>
      </c>
      <c r="L644" s="277">
        <v>42678</v>
      </c>
      <c r="M644" s="292">
        <v>0</v>
      </c>
      <c r="N644" s="281">
        <v>9286</v>
      </c>
      <c r="O644" s="236">
        <f>'Profits 2016'!T5857</f>
        <v>0</v>
      </c>
      <c r="P644" s="284">
        <f>'Profits 2016'!U5857</f>
        <v>0</v>
      </c>
      <c r="AF644" s="276">
        <f t="shared" si="63"/>
        <v>256.86500000000001</v>
      </c>
      <c r="AG644" s="276">
        <f t="shared" si="64"/>
        <v>0</v>
      </c>
      <c r="AH644" s="276">
        <f t="shared" si="65"/>
        <v>0</v>
      </c>
      <c r="AI644" s="283">
        <f t="shared" si="66"/>
        <v>0</v>
      </c>
    </row>
    <row r="645" spans="1:35" x14ac:dyDescent="0.25">
      <c r="A645" s="275">
        <f>'Profits 2016'!A5858</f>
        <v>0</v>
      </c>
      <c r="B645" s="279">
        <f>'Profits 2016'!B5858</f>
        <v>0</v>
      </c>
      <c r="C645" s="276">
        <f>'Profits 2016'!H5858</f>
        <v>0</v>
      </c>
      <c r="D645" s="280">
        <f>'Profits 2016'!K5858</f>
        <v>0</v>
      </c>
      <c r="E645" s="276">
        <f>'Profits 2016'!L5858</f>
        <v>513.73</v>
      </c>
      <c r="F645" s="275" t="str">
        <f>'Profits 2016'!P5858</f>
        <v>Colonial</v>
      </c>
      <c r="G645" s="292">
        <f>'Profits 2016'!N5858-'Profits 2016'!M5858</f>
        <v>256.86500000000001</v>
      </c>
      <c r="H645" s="292">
        <v>0</v>
      </c>
      <c r="I645" s="275" t="s">
        <v>15811</v>
      </c>
      <c r="J645" s="277">
        <v>42646</v>
      </c>
      <c r="K645" s="277">
        <v>42650</v>
      </c>
      <c r="L645" s="277">
        <v>42678</v>
      </c>
      <c r="M645" s="292">
        <v>0</v>
      </c>
      <c r="N645" s="281">
        <v>9286</v>
      </c>
      <c r="O645" s="236">
        <f>'Profits 2016'!T5858</f>
        <v>0</v>
      </c>
      <c r="P645" s="284">
        <f>'Profits 2016'!U5858</f>
        <v>0</v>
      </c>
      <c r="AF645" s="276">
        <f t="shared" si="63"/>
        <v>256.86500000000001</v>
      </c>
      <c r="AG645" s="276">
        <f t="shared" si="64"/>
        <v>0</v>
      </c>
      <c r="AH645" s="276">
        <f t="shared" si="65"/>
        <v>0</v>
      </c>
      <c r="AI645" s="283">
        <f t="shared" si="66"/>
        <v>0</v>
      </c>
    </row>
    <row r="646" spans="1:35" x14ac:dyDescent="0.25">
      <c r="A646" s="275">
        <f>'Profits 2016'!A5859</f>
        <v>0</v>
      </c>
      <c r="B646" s="279">
        <f>'Profits 2016'!B5859</f>
        <v>0</v>
      </c>
      <c r="C646" s="276">
        <f>'Profits 2016'!H5859</f>
        <v>0</v>
      </c>
      <c r="D646" s="280">
        <f>'Profits 2016'!K5859</f>
        <v>0</v>
      </c>
      <c r="E646" s="276">
        <f>'Profits 2016'!L5859</f>
        <v>643.04</v>
      </c>
      <c r="F646" s="275" t="str">
        <f>'Profits 2016'!P5859</f>
        <v>Colonial</v>
      </c>
      <c r="G646" s="292">
        <f>'Profits 2016'!N5859-'Profits 2016'!M5859</f>
        <v>321.52</v>
      </c>
      <c r="H646" s="292">
        <v>0</v>
      </c>
      <c r="I646" s="275" t="s">
        <v>15811</v>
      </c>
      <c r="J646" s="277">
        <v>42646</v>
      </c>
      <c r="K646" s="277">
        <v>42650</v>
      </c>
      <c r="L646" s="277">
        <v>42678</v>
      </c>
      <c r="M646" s="292">
        <v>0</v>
      </c>
      <c r="N646" s="281">
        <v>9286</v>
      </c>
      <c r="O646" s="236">
        <f>'Profits 2016'!T5859</f>
        <v>0</v>
      </c>
      <c r="P646" s="284">
        <f>'Profits 2016'!U5859</f>
        <v>0</v>
      </c>
      <c r="AF646" s="276">
        <f t="shared" si="63"/>
        <v>321.52</v>
      </c>
      <c r="AG646" s="276">
        <f t="shared" si="64"/>
        <v>0</v>
      </c>
      <c r="AH646" s="276">
        <f t="shared" si="65"/>
        <v>0</v>
      </c>
      <c r="AI646" s="283">
        <f t="shared" si="66"/>
        <v>0</v>
      </c>
    </row>
    <row r="647" spans="1:35" x14ac:dyDescent="0.25">
      <c r="A647" s="275">
        <f>'Profits 2016'!A5860</f>
        <v>0</v>
      </c>
      <c r="B647" s="279">
        <f>'Profits 2016'!B5860</f>
        <v>0</v>
      </c>
      <c r="C647" s="276">
        <f>'Profits 2016'!H5860</f>
        <v>0</v>
      </c>
      <c r="D647" s="280">
        <f>'Profits 2016'!K5860</f>
        <v>0</v>
      </c>
      <c r="E647" s="276">
        <f>'Profits 2016'!L5860</f>
        <v>643.04</v>
      </c>
      <c r="F647" s="275" t="str">
        <f>'Profits 2016'!P5860</f>
        <v>Colonial</v>
      </c>
      <c r="G647" s="292">
        <f>'Profits 2016'!N5860-'Profits 2016'!M5860</f>
        <v>321.52</v>
      </c>
      <c r="H647" s="292">
        <v>0</v>
      </c>
      <c r="I647" s="275" t="s">
        <v>15812</v>
      </c>
      <c r="J647" s="277">
        <v>42649</v>
      </c>
      <c r="K647" s="277">
        <v>42657</v>
      </c>
      <c r="L647" s="277">
        <v>42678</v>
      </c>
      <c r="M647" s="292">
        <v>315.08999999999997</v>
      </c>
      <c r="N647" s="281">
        <v>9287</v>
      </c>
      <c r="O647" s="236">
        <f>'Profits 2016'!T5860</f>
        <v>0</v>
      </c>
      <c r="P647" s="284">
        <f>'Profits 2016'!U5860</f>
        <v>0</v>
      </c>
      <c r="AF647" s="276">
        <f t="shared" si="63"/>
        <v>321.52</v>
      </c>
      <c r="AG647" s="276">
        <f t="shared" si="64"/>
        <v>315.08999999999997</v>
      </c>
      <c r="AH647" s="276">
        <f t="shared" si="65"/>
        <v>-315.08999999999997</v>
      </c>
      <c r="AI647" s="283">
        <f t="shared" si="66"/>
        <v>-0.98000124409056977</v>
      </c>
    </row>
    <row r="648" spans="1:35" x14ac:dyDescent="0.25">
      <c r="A648" s="275">
        <f>'Profits 2016'!A5861</f>
        <v>0</v>
      </c>
      <c r="B648" s="279">
        <f>'Profits 2016'!B5861</f>
        <v>0</v>
      </c>
      <c r="C648" s="276">
        <f>'Profits 2016'!H5861</f>
        <v>0</v>
      </c>
      <c r="D648" s="280">
        <f>'Profits 2016'!K5861</f>
        <v>0</v>
      </c>
      <c r="E648" s="276">
        <f>'Profits 2016'!L5861</f>
        <v>318</v>
      </c>
      <c r="F648" s="275" t="str">
        <f>'Profits 2016'!P5861</f>
        <v>Nexans</v>
      </c>
      <c r="G648" s="292">
        <f>'Profits 2016'!N5861-'Profits 2016'!M5861</f>
        <v>636</v>
      </c>
      <c r="H648" s="292">
        <v>0</v>
      </c>
      <c r="I648" s="275">
        <v>47382702</v>
      </c>
      <c r="J648" s="277">
        <v>42643</v>
      </c>
      <c r="K648" s="277">
        <v>42654</v>
      </c>
      <c r="L648" s="277">
        <v>42678</v>
      </c>
      <c r="M648" s="292">
        <f>G648*0.98</f>
        <v>623.28</v>
      </c>
      <c r="N648" s="281">
        <v>9330</v>
      </c>
      <c r="O648" s="236" t="str">
        <f>'Profits 2016'!T5861</f>
        <v>NEMF</v>
      </c>
      <c r="P648" s="284">
        <f>'Profits 2016'!U5861</f>
        <v>23922393</v>
      </c>
      <c r="Q648" s="284" t="s">
        <v>15760</v>
      </c>
      <c r="R648" s="276">
        <v>47.81</v>
      </c>
      <c r="S648" s="275">
        <v>47382702</v>
      </c>
      <c r="T648" s="279">
        <v>42643</v>
      </c>
      <c r="U648" s="279">
        <v>42654</v>
      </c>
      <c r="V648" s="279">
        <v>42678</v>
      </c>
      <c r="W648" s="293">
        <v>47.81</v>
      </c>
      <c r="X648" s="236">
        <v>9330</v>
      </c>
      <c r="AF648" s="276">
        <f t="shared" ref="AF648:AF650" si="67">G648+H652+R648+Y648</f>
        <v>683.81</v>
      </c>
      <c r="AG648" s="276">
        <f t="shared" si="64"/>
        <v>671.08999999999992</v>
      </c>
      <c r="AH648" s="276">
        <f t="shared" si="65"/>
        <v>-671.08999999999992</v>
      </c>
      <c r="AI648" s="283">
        <f t="shared" si="66"/>
        <v>-0.98139834164460882</v>
      </c>
    </row>
    <row r="649" spans="1:35" x14ac:dyDescent="0.25">
      <c r="A649" s="275">
        <f>'Profits 2016'!A5862</f>
        <v>0</v>
      </c>
      <c r="B649" s="279">
        <f>'Profits 2016'!B5862</f>
        <v>0</v>
      </c>
      <c r="C649" s="276">
        <f>'Profits 2016'!H5862</f>
        <v>0</v>
      </c>
      <c r="D649" s="280">
        <f>'Profits 2016'!K5862</f>
        <v>0</v>
      </c>
      <c r="E649" s="276">
        <f>'Profits 2016'!L5862</f>
        <v>448</v>
      </c>
      <c r="F649" s="275" t="str">
        <f>'Profits 2016'!P5862</f>
        <v>Nexans</v>
      </c>
      <c r="G649" s="292">
        <f>'Profits 2016'!N5862-'Profits 2016'!M5862</f>
        <v>896</v>
      </c>
      <c r="H649" s="292">
        <v>0</v>
      </c>
      <c r="I649" s="275">
        <v>47409902</v>
      </c>
      <c r="J649" s="277">
        <v>42650</v>
      </c>
      <c r="K649" s="277">
        <v>42662</v>
      </c>
      <c r="L649" s="277">
        <v>42678</v>
      </c>
      <c r="M649" s="292">
        <v>878.08</v>
      </c>
      <c r="N649" s="281">
        <v>9332</v>
      </c>
      <c r="O649" s="236" t="str">
        <f>'Profits 2016'!T5862</f>
        <v>NEMF</v>
      </c>
      <c r="P649" s="284">
        <f>'Profits 2016'!U5862</f>
        <v>23922402</v>
      </c>
      <c r="Q649" s="284" t="s">
        <v>15760</v>
      </c>
      <c r="R649" s="276">
        <v>0</v>
      </c>
      <c r="S649" s="275">
        <v>47382702</v>
      </c>
      <c r="T649" s="279">
        <v>42643</v>
      </c>
      <c r="U649" s="279">
        <v>42654</v>
      </c>
      <c r="V649" s="279">
        <v>42678</v>
      </c>
      <c r="W649" s="293">
        <v>0</v>
      </c>
      <c r="X649" s="236">
        <v>9330</v>
      </c>
      <c r="AF649" s="276">
        <f t="shared" si="67"/>
        <v>896</v>
      </c>
      <c r="AG649" s="276">
        <f t="shared" si="64"/>
        <v>878.08</v>
      </c>
      <c r="AH649" s="276">
        <f t="shared" si="65"/>
        <v>-878.08</v>
      </c>
      <c r="AI649" s="283">
        <f t="shared" si="66"/>
        <v>-0.98000000000000009</v>
      </c>
    </row>
    <row r="650" spans="1:35" x14ac:dyDescent="0.25">
      <c r="A650" s="275">
        <f>'Profits 2016'!A5863</f>
        <v>3004603</v>
      </c>
      <c r="B650" s="279">
        <f>'Profits 2016'!B5863</f>
        <v>42641</v>
      </c>
      <c r="C650" s="276">
        <f>'Profits 2016'!H5863</f>
        <v>680</v>
      </c>
      <c r="D650" s="280">
        <f>'Profits 2016'!K5863</f>
        <v>657.6</v>
      </c>
      <c r="E650" s="276">
        <f>'Profits 2016'!L5863</f>
        <v>1900</v>
      </c>
      <c r="F650" s="275" t="str">
        <f>'Profits 2016'!P5863</f>
        <v>Nassau</v>
      </c>
      <c r="G650" s="292">
        <f>'Profits 2016'!N5863-'Profits 2016'!M5863</f>
        <v>380</v>
      </c>
      <c r="H650" s="319"/>
      <c r="I650" s="320"/>
      <c r="J650" s="321"/>
      <c r="K650" s="321"/>
      <c r="L650" s="321"/>
      <c r="M650" s="319"/>
      <c r="N650" s="322"/>
      <c r="O650" s="236" t="str">
        <f>'Profits 2016'!T5863</f>
        <v>R&amp;L/ECHO</v>
      </c>
      <c r="P650" s="284" t="str">
        <f>'Profits 2016'!U5863</f>
        <v>730491093</v>
      </c>
      <c r="Q650" s="284" t="s">
        <v>15767</v>
      </c>
      <c r="R650" s="276">
        <v>113.93</v>
      </c>
      <c r="S650" s="275" t="s">
        <v>15813</v>
      </c>
      <c r="T650" s="279">
        <v>42650</v>
      </c>
      <c r="U650" s="279">
        <v>42657</v>
      </c>
      <c r="V650" s="279">
        <v>42678</v>
      </c>
      <c r="W650" s="293">
        <v>113.93</v>
      </c>
      <c r="X650" s="236">
        <v>9298</v>
      </c>
      <c r="AF650" s="276">
        <f t="shared" si="67"/>
        <v>493.93</v>
      </c>
      <c r="AG650" s="276">
        <f t="shared" si="64"/>
        <v>113.93</v>
      </c>
      <c r="AH650" s="276">
        <f t="shared" si="65"/>
        <v>543.67000000000007</v>
      </c>
      <c r="AI650" s="283">
        <f t="shared" si="66"/>
        <v>1.1007025286983987</v>
      </c>
    </row>
    <row r="651" spans="1:35" ht="30" x14ac:dyDescent="0.25">
      <c r="A651" s="275">
        <f>'Profits 2016'!A5864</f>
        <v>3004604</v>
      </c>
      <c r="B651" s="279">
        <f>'Profits 2016'!B5864</f>
        <v>42641</v>
      </c>
      <c r="C651" s="276">
        <f>'Profits 2016'!H5864</f>
        <v>2750</v>
      </c>
      <c r="D651" s="280">
        <f>'Profits 2016'!K5864</f>
        <v>2750</v>
      </c>
      <c r="E651" s="276">
        <f>'Profits 2016'!L5864</f>
        <v>3635</v>
      </c>
      <c r="F651" s="275" t="str">
        <f>'Profits 2016'!P5864</f>
        <v>Essex</v>
      </c>
      <c r="G651" s="292">
        <f>'Profits 2016'!N5864-'Profits 2016'!M5864</f>
        <v>1817.5</v>
      </c>
      <c r="O651" s="236" t="str">
        <f>'Profits 2016'!T5864</f>
        <v>see 3004501</v>
      </c>
      <c r="P651" s="284" t="str">
        <f>'Profits 2016'!U5864</f>
        <v>see 3004501</v>
      </c>
      <c r="AF651" s="276" t="e">
        <f>G651+#REF!+R651+Y651</f>
        <v>#REF!</v>
      </c>
      <c r="AG651" s="276">
        <f t="shared" si="64"/>
        <v>0</v>
      </c>
      <c r="AH651" s="276">
        <f t="shared" si="65"/>
        <v>2750</v>
      </c>
      <c r="AI651" s="283" t="e">
        <f t="shared" si="66"/>
        <v>#REF!</v>
      </c>
    </row>
    <row r="652" spans="1:35" ht="30" x14ac:dyDescent="0.25">
      <c r="A652" s="275">
        <f>'Profits 2016'!A5865</f>
        <v>3004605</v>
      </c>
      <c r="B652" s="279">
        <f>'Profits 2016'!B5865</f>
        <v>42641</v>
      </c>
      <c r="C652" s="276">
        <f>'Profits 2016'!H5865</f>
        <v>230</v>
      </c>
      <c r="D652" s="280">
        <f>'Profits 2016'!K5865</f>
        <v>204.63000000000002</v>
      </c>
      <c r="E652" s="276">
        <f>'Profits 2016'!L5865</f>
        <v>220</v>
      </c>
      <c r="F652" s="275" t="str">
        <f>'Profits 2016'!P5865</f>
        <v>Nassau</v>
      </c>
      <c r="G652" s="292">
        <f>'Profits 2016'!N5865-'Profits 2016'!M5865</f>
        <v>110.00000000000001</v>
      </c>
      <c r="H652" s="319"/>
      <c r="I652" s="320"/>
      <c r="J652" s="321"/>
      <c r="K652" s="321"/>
      <c r="L652" s="321"/>
      <c r="M652" s="319"/>
      <c r="N652" s="322"/>
      <c r="O652" s="236" t="str">
        <f>'Profits 2016'!T5865</f>
        <v>FEDEX GROUND</v>
      </c>
      <c r="P652" s="284" t="str">
        <f>'Profits 2016'!U5865</f>
        <v>702723288911</v>
      </c>
      <c r="Q652" s="284" t="s">
        <v>314</v>
      </c>
      <c r="R652" s="276">
        <v>41.3</v>
      </c>
      <c r="S652" s="275" t="s">
        <v>15802</v>
      </c>
      <c r="T652" s="279">
        <v>42660</v>
      </c>
      <c r="U652" s="279">
        <v>42663</v>
      </c>
      <c r="V652" s="279">
        <v>42671</v>
      </c>
      <c r="W652" s="293">
        <f t="shared" ref="W652:W657" si="68">R652</f>
        <v>41.3</v>
      </c>
      <c r="X652" s="236">
        <v>9250</v>
      </c>
      <c r="AF652" s="276">
        <f>G652+H655+R652+Y652</f>
        <v>151.30000000000001</v>
      </c>
      <c r="AG652" s="276">
        <f t="shared" si="64"/>
        <v>41.3</v>
      </c>
      <c r="AH652" s="276">
        <f t="shared" si="65"/>
        <v>163.33000000000004</v>
      </c>
      <c r="AI652" s="283">
        <f t="shared" si="66"/>
        <v>1.0795109054857901</v>
      </c>
    </row>
    <row r="653" spans="1:35" ht="30" x14ac:dyDescent="0.25">
      <c r="A653" s="275">
        <f>'Profits 2016'!A5866</f>
        <v>3004606</v>
      </c>
      <c r="B653" s="279">
        <f>'Profits 2016'!B5866</f>
        <v>42641</v>
      </c>
      <c r="C653" s="276">
        <f>'Profits 2016'!H5866</f>
        <v>97.95</v>
      </c>
      <c r="D653" s="280">
        <f>'Profits 2016'!K5866</f>
        <v>86.97345</v>
      </c>
      <c r="E653" s="276">
        <f>'Profits 2016'!L5866</f>
        <v>0</v>
      </c>
      <c r="F653" s="275" t="str">
        <f>'Profits 2016'!P5866</f>
        <v>Nassau</v>
      </c>
      <c r="G653" s="292">
        <f>'Profits 2016'!N5866-'Profits 2016'!M5866</f>
        <v>0</v>
      </c>
      <c r="H653" s="319"/>
      <c r="I653" s="320"/>
      <c r="J653" s="321"/>
      <c r="K653" s="321"/>
      <c r="L653" s="321"/>
      <c r="M653" s="319"/>
      <c r="N653" s="322"/>
      <c r="O653" s="236" t="str">
        <f>'Profits 2016'!T5866</f>
        <v>FEDEX GROUND</v>
      </c>
      <c r="P653" s="284" t="str">
        <f>'Profits 2016'!U5866</f>
        <v>702723288933</v>
      </c>
      <c r="Q653" s="284" t="s">
        <v>314</v>
      </c>
      <c r="R653" s="276">
        <v>31.06</v>
      </c>
      <c r="S653" s="275" t="s">
        <v>15802</v>
      </c>
      <c r="T653" s="279">
        <v>42660</v>
      </c>
      <c r="U653" s="279">
        <v>42663</v>
      </c>
      <c r="V653" s="279">
        <v>42671</v>
      </c>
      <c r="W653" s="293">
        <f t="shared" si="68"/>
        <v>31.06</v>
      </c>
      <c r="X653" s="236">
        <v>9250</v>
      </c>
      <c r="AF653" s="276">
        <f>G653+H656+R653+Y653</f>
        <v>31.06</v>
      </c>
      <c r="AG653" s="276">
        <f t="shared" si="64"/>
        <v>31.06</v>
      </c>
      <c r="AH653" s="276">
        <f t="shared" si="65"/>
        <v>55.913449999999997</v>
      </c>
      <c r="AI653" s="283">
        <f t="shared" si="66"/>
        <v>1.8001754668383774</v>
      </c>
    </row>
    <row r="654" spans="1:35" ht="30" x14ac:dyDescent="0.25">
      <c r="A654" s="275">
        <f>'Profits 2016'!A5867</f>
        <v>3004607</v>
      </c>
      <c r="B654" s="279">
        <f>'Profits 2016'!B5867</f>
        <v>42641</v>
      </c>
      <c r="C654" s="276">
        <f>'Profits 2016'!H5867</f>
        <v>213.77</v>
      </c>
      <c r="D654" s="280">
        <f>'Profits 2016'!K5867</f>
        <v>190.16907000000003</v>
      </c>
      <c r="E654" s="276">
        <f>'Profits 2016'!L5867</f>
        <v>2150</v>
      </c>
      <c r="F654" s="275" t="str">
        <f>'Profits 2016'!P5867</f>
        <v>Nassau</v>
      </c>
      <c r="G654" s="292">
        <f>'Profits 2016'!N5867-'Profits 2016'!M5867</f>
        <v>107.49999999999999</v>
      </c>
      <c r="H654" s="319"/>
      <c r="I654" s="320"/>
      <c r="J654" s="321"/>
      <c r="K654" s="321"/>
      <c r="L654" s="321"/>
      <c r="M654" s="319"/>
      <c r="N654" s="322"/>
      <c r="O654" s="236" t="str">
        <f>'Profits 2016'!T5867</f>
        <v>FEDEX GROUND</v>
      </c>
      <c r="P654" s="284" t="str">
        <f>'Profits 2016'!U5867</f>
        <v>702723288896</v>
      </c>
      <c r="Q654" s="284" t="s">
        <v>314</v>
      </c>
      <c r="R654" s="276">
        <v>31.76</v>
      </c>
      <c r="S654" s="275" t="s">
        <v>15802</v>
      </c>
      <c r="T654" s="279">
        <v>42660</v>
      </c>
      <c r="U654" s="279">
        <v>42663</v>
      </c>
      <c r="V654" s="279">
        <v>42671</v>
      </c>
      <c r="W654" s="293">
        <f t="shared" si="68"/>
        <v>31.76</v>
      </c>
      <c r="X654" s="236">
        <v>9250</v>
      </c>
      <c r="AF654" s="276">
        <f>G654+H657+R654+Y654</f>
        <v>139.26</v>
      </c>
      <c r="AG654" s="276">
        <f t="shared" si="64"/>
        <v>31.76</v>
      </c>
      <c r="AH654" s="276">
        <f t="shared" si="65"/>
        <v>158.40907000000004</v>
      </c>
      <c r="AI654" s="283">
        <f t="shared" si="66"/>
        <v>1.1375058882665521</v>
      </c>
    </row>
    <row r="655" spans="1:35" ht="30" x14ac:dyDescent="0.25">
      <c r="A655" s="275">
        <f>'Profits 2016'!A5868</f>
        <v>3004608</v>
      </c>
      <c r="B655" s="279">
        <f>'Profits 2016'!B5868</f>
        <v>42641</v>
      </c>
      <c r="C655" s="276">
        <f>'Profits 2016'!H5868</f>
        <v>267.17</v>
      </c>
      <c r="D655" s="280">
        <f>'Profits 2016'!K5868</f>
        <v>237.74847000000003</v>
      </c>
      <c r="E655" s="276">
        <f>'Profits 2016'!L5868</f>
        <v>350</v>
      </c>
      <c r="F655" s="275" t="str">
        <f>'Profits 2016'!P5868</f>
        <v>Nassau</v>
      </c>
      <c r="G655" s="292">
        <f>'Profits 2016'!N5868-'Profits 2016'!M5868</f>
        <v>105</v>
      </c>
      <c r="H655" s="319"/>
      <c r="I655" s="320"/>
      <c r="J655" s="321"/>
      <c r="K655" s="321"/>
      <c r="L655" s="321"/>
      <c r="M655" s="319"/>
      <c r="N655" s="322"/>
      <c r="O655" s="236" t="str">
        <f>'Profits 2016'!T5868</f>
        <v>FEDEX GROUND</v>
      </c>
      <c r="P655" s="284" t="str">
        <f>'Profits 2016'!U5868</f>
        <v>702723288830</v>
      </c>
      <c r="Q655" s="284" t="s">
        <v>314</v>
      </c>
      <c r="R655" s="276">
        <v>18.850000000000001</v>
      </c>
      <c r="S655" s="275" t="s">
        <v>15802</v>
      </c>
      <c r="T655" s="279">
        <v>42660</v>
      </c>
      <c r="U655" s="279">
        <v>42663</v>
      </c>
      <c r="V655" s="279">
        <v>42671</v>
      </c>
      <c r="W655" s="293">
        <f t="shared" si="68"/>
        <v>18.850000000000001</v>
      </c>
      <c r="X655" s="236">
        <v>9250</v>
      </c>
      <c r="AF655" s="276">
        <f t="shared" si="56"/>
        <v>123.85</v>
      </c>
      <c r="AG655" s="276">
        <f t="shared" si="64"/>
        <v>18.850000000000001</v>
      </c>
      <c r="AH655" s="276">
        <f t="shared" si="65"/>
        <v>218.89847000000003</v>
      </c>
      <c r="AI655" s="283">
        <f t="shared" si="66"/>
        <v>1.7674482842147763</v>
      </c>
    </row>
    <row r="656" spans="1:35" ht="30" x14ac:dyDescent="0.25">
      <c r="A656" s="275">
        <f>'Profits 2016'!A5869</f>
        <v>3004609</v>
      </c>
      <c r="B656" s="279">
        <f>'Profits 2016'!B5869</f>
        <v>42641</v>
      </c>
      <c r="C656" s="276">
        <f>'Profits 2016'!H5869</f>
        <v>228</v>
      </c>
      <c r="D656" s="280">
        <f>'Profits 2016'!K5869</f>
        <v>202.84799999999998</v>
      </c>
      <c r="E656" s="276">
        <f>'Profits 2016'!L5869</f>
        <v>716</v>
      </c>
      <c r="F656" s="275" t="str">
        <f>'Profits 2016'!P5869</f>
        <v>Nassau</v>
      </c>
      <c r="G656" s="292">
        <f>'Profits 2016'!N5869-'Profits 2016'!M5869</f>
        <v>71.600000000000009</v>
      </c>
      <c r="H656" s="319"/>
      <c r="I656" s="320"/>
      <c r="J656" s="321"/>
      <c r="K656" s="321"/>
      <c r="L656" s="321"/>
      <c r="M656" s="319"/>
      <c r="N656" s="322"/>
      <c r="O656" s="236" t="str">
        <f>'Profits 2016'!T5869</f>
        <v>FEDEX GROUND</v>
      </c>
      <c r="P656" s="284" t="str">
        <f>'Profits 2016'!U5869</f>
        <v>702723288900</v>
      </c>
      <c r="Q656" s="284" t="s">
        <v>314</v>
      </c>
      <c r="R656" s="276">
        <v>34.58</v>
      </c>
      <c r="S656" s="275" t="s">
        <v>15738</v>
      </c>
      <c r="T656" s="279">
        <v>42653</v>
      </c>
      <c r="U656" s="279">
        <v>42656</v>
      </c>
      <c r="V656" s="340">
        <v>42664</v>
      </c>
      <c r="W656" s="350">
        <f t="shared" si="68"/>
        <v>34.58</v>
      </c>
      <c r="X656" s="347">
        <v>9215</v>
      </c>
      <c r="AF656" s="276">
        <f t="shared" si="56"/>
        <v>106.18</v>
      </c>
      <c r="AG656" s="276">
        <f t="shared" si="64"/>
        <v>34.58</v>
      </c>
      <c r="AH656" s="276">
        <f t="shared" si="65"/>
        <v>168.26799999999997</v>
      </c>
      <c r="AI656" s="283">
        <f t="shared" si="66"/>
        <v>1.584742889433038</v>
      </c>
    </row>
    <row r="657" spans="1:35" ht="30" x14ac:dyDescent="0.25">
      <c r="A657" s="275">
        <f>'Profits 2016'!A5870</f>
        <v>3004610</v>
      </c>
      <c r="B657" s="279">
        <f>'Profits 2016'!B5870</f>
        <v>42641</v>
      </c>
      <c r="C657" s="276">
        <f>'Profits 2016'!H5870</f>
        <v>243.55</v>
      </c>
      <c r="D657" s="280">
        <f>'Profits 2016'!K5870</f>
        <v>207.01750000000001</v>
      </c>
      <c r="E657" s="276">
        <f>'Profits 2016'!L5870</f>
        <v>990</v>
      </c>
      <c r="F657" s="275" t="str">
        <f>'Profits 2016'!P5870</f>
        <v>Nassau</v>
      </c>
      <c r="G657" s="292">
        <f>'Profits 2016'!N5870-'Profits 2016'!M5870</f>
        <v>99</v>
      </c>
      <c r="H657" s="319"/>
      <c r="I657" s="320"/>
      <c r="J657" s="321"/>
      <c r="K657" s="321"/>
      <c r="L657" s="321"/>
      <c r="M657" s="319"/>
      <c r="N657" s="322"/>
      <c r="O657" s="236" t="str">
        <f>'Profits 2016'!T5870</f>
        <v>FEDEX GROUND</v>
      </c>
      <c r="P657" s="284">
        <f>'Profits 2016'!U5870</f>
        <v>702723288863</v>
      </c>
      <c r="Q657" s="284" t="s">
        <v>314</v>
      </c>
      <c r="R657" s="276">
        <v>36.44</v>
      </c>
      <c r="S657" s="275" t="s">
        <v>15802</v>
      </c>
      <c r="T657" s="279">
        <v>42660</v>
      </c>
      <c r="U657" s="279">
        <v>42663</v>
      </c>
      <c r="V657" s="279">
        <v>42671</v>
      </c>
      <c r="W657" s="293">
        <f t="shared" si="68"/>
        <v>36.44</v>
      </c>
      <c r="X657" s="236">
        <v>9250</v>
      </c>
      <c r="AF657" s="276">
        <f t="shared" si="56"/>
        <v>135.44</v>
      </c>
      <c r="AG657" s="276">
        <f t="shared" si="64"/>
        <v>36.44</v>
      </c>
      <c r="AH657" s="276">
        <f t="shared" si="65"/>
        <v>170.57750000000001</v>
      </c>
      <c r="AI657" s="283">
        <f t="shared" si="66"/>
        <v>1.259432220909628</v>
      </c>
    </row>
    <row r="658" spans="1:35" ht="30" x14ac:dyDescent="0.25">
      <c r="A658" s="275">
        <f>'Profits 2016'!A5871</f>
        <v>3004611</v>
      </c>
      <c r="B658" s="279">
        <f>'Profits 2016'!B5871</f>
        <v>42641</v>
      </c>
      <c r="C658" s="276">
        <f>'Profits 2016'!H5871</f>
        <v>192</v>
      </c>
      <c r="D658" s="280">
        <f>'Profits 2016'!K5871</f>
        <v>170.77199999999999</v>
      </c>
      <c r="E658" s="276">
        <f>'Profits 2016'!L5871</f>
        <v>672</v>
      </c>
      <c r="F658" s="275" t="str">
        <f>'Profits 2016'!P5871</f>
        <v>Houston</v>
      </c>
      <c r="G658" s="292">
        <f>'Profits 2016'!N5871-'Profits 2016'!M5871</f>
        <v>100.8</v>
      </c>
      <c r="H658" s="292">
        <v>0</v>
      </c>
      <c r="I658" s="275">
        <v>30905590</v>
      </c>
      <c r="J658" s="277">
        <v>42642</v>
      </c>
      <c r="K658" s="277">
        <v>42647</v>
      </c>
      <c r="L658" s="277">
        <v>42671</v>
      </c>
      <c r="M658" s="292">
        <v>100.8</v>
      </c>
      <c r="N658" s="281">
        <v>9253</v>
      </c>
      <c r="O658" s="236" t="str">
        <f>'Profits 2016'!T5871</f>
        <v>FEDEX GROUND</v>
      </c>
      <c r="P658" s="284" t="str">
        <f>'Profits 2016'!U5871</f>
        <v>701849703500</v>
      </c>
      <c r="Q658" s="284" t="s">
        <v>314</v>
      </c>
      <c r="R658" s="276">
        <v>23.44</v>
      </c>
      <c r="S658" s="275" t="s">
        <v>15738</v>
      </c>
      <c r="T658" s="279">
        <v>42653</v>
      </c>
      <c r="U658" s="279">
        <v>42656</v>
      </c>
      <c r="V658" s="340">
        <v>42664</v>
      </c>
      <c r="W658" s="350">
        <f t="shared" ref="W658:W659" si="69">R658</f>
        <v>23.44</v>
      </c>
      <c r="X658" s="347">
        <v>9215</v>
      </c>
      <c r="AF658" s="276">
        <f t="shared" si="56"/>
        <v>124.24</v>
      </c>
      <c r="AG658" s="276">
        <f t="shared" si="64"/>
        <v>124.24</v>
      </c>
      <c r="AH658" s="276">
        <f t="shared" si="65"/>
        <v>46.531999999999996</v>
      </c>
      <c r="AI658" s="283">
        <f t="shared" si="66"/>
        <v>0.37453316162266581</v>
      </c>
    </row>
    <row r="659" spans="1:35" ht="30" x14ac:dyDescent="0.25">
      <c r="A659" s="275">
        <f>'Profits 2016'!A5872</f>
        <v>3004612</v>
      </c>
      <c r="B659" s="279">
        <f>'Profits 2016'!B5872</f>
        <v>42641</v>
      </c>
      <c r="C659" s="276">
        <f>'Profits 2016'!H5872</f>
        <v>179.96</v>
      </c>
      <c r="D659" s="280">
        <f>'Profits 2016'!K5872</f>
        <v>152.96600000000001</v>
      </c>
      <c r="E659" s="276">
        <f>'Profits 2016'!L5872</f>
        <v>280</v>
      </c>
      <c r="F659" s="275" t="str">
        <f>'Profits 2016'!P5872</f>
        <v>A-Z</v>
      </c>
      <c r="G659" s="292">
        <f>'Profits 2016'!N5872-'Profits 2016'!M5872</f>
        <v>140</v>
      </c>
      <c r="H659" s="292">
        <v>0</v>
      </c>
      <c r="I659" s="275">
        <v>403108</v>
      </c>
      <c r="J659" s="277">
        <v>42642</v>
      </c>
      <c r="K659" s="277">
        <v>42646</v>
      </c>
      <c r="O659" s="236" t="str">
        <f>'Profits 2016'!T5872</f>
        <v>FEDEX GROUND</v>
      </c>
      <c r="P659" s="284" t="str">
        <f>'Profits 2016'!U5872</f>
        <v>705687154712</v>
      </c>
      <c r="Q659" s="284" t="s">
        <v>314</v>
      </c>
      <c r="R659" s="276">
        <v>25.51</v>
      </c>
      <c r="S659" s="275" t="s">
        <v>15738</v>
      </c>
      <c r="T659" s="279">
        <v>42653</v>
      </c>
      <c r="U659" s="279">
        <v>42656</v>
      </c>
      <c r="V659" s="340">
        <v>42664</v>
      </c>
      <c r="W659" s="350">
        <f t="shared" si="69"/>
        <v>25.51</v>
      </c>
      <c r="X659" s="347">
        <v>9215</v>
      </c>
      <c r="AF659" s="276">
        <f t="shared" ref="AF659:AF707" si="70">G659+H660+R659+Y659</f>
        <v>165.51</v>
      </c>
      <c r="AG659" s="276">
        <f t="shared" si="64"/>
        <v>25.51</v>
      </c>
      <c r="AH659" s="276">
        <f t="shared" si="65"/>
        <v>127.456</v>
      </c>
      <c r="AI659" s="283">
        <f t="shared" si="66"/>
        <v>0.77008035768231531</v>
      </c>
    </row>
    <row r="660" spans="1:35" ht="30" x14ac:dyDescent="0.25">
      <c r="A660" s="275">
        <f>'Profits 2016'!A5873</f>
        <v>3004613</v>
      </c>
      <c r="B660" s="279">
        <f>'Profits 2016'!B5873</f>
        <v>42641</v>
      </c>
      <c r="C660" s="276">
        <f>'Profits 2016'!H5873</f>
        <v>190.39</v>
      </c>
      <c r="D660" s="280">
        <f>'Profits 2016'!K5873</f>
        <v>161.83149999999998</v>
      </c>
      <c r="E660" s="276">
        <f>'Profits 2016'!L5873</f>
        <v>1450</v>
      </c>
      <c r="F660" s="275" t="str">
        <f>'Profits 2016'!P5873</f>
        <v>Direct</v>
      </c>
      <c r="G660" s="292">
        <f>'Profits 2016'!N5873-'Profits 2016'!M5873</f>
        <v>36.250000000000007</v>
      </c>
      <c r="H660" s="292">
        <v>0</v>
      </c>
      <c r="I660" s="275">
        <v>73556</v>
      </c>
      <c r="J660" s="277">
        <v>42643</v>
      </c>
      <c r="K660" s="277">
        <v>42648</v>
      </c>
      <c r="L660" s="277">
        <v>42650</v>
      </c>
      <c r="M660" s="292">
        <v>71.540000000000006</v>
      </c>
      <c r="N660" s="281">
        <v>9069</v>
      </c>
      <c r="O660" s="236" t="str">
        <f>'Profits 2016'!T5873</f>
        <v>FEDEX GROUND</v>
      </c>
      <c r="P660" s="284" t="str">
        <f>'Profits 2016'!U5873</f>
        <v>630512245019</v>
      </c>
      <c r="Q660" s="284" t="s">
        <v>314</v>
      </c>
      <c r="R660" s="276">
        <v>35.479999999999997</v>
      </c>
      <c r="S660" s="275" t="s">
        <v>15814</v>
      </c>
      <c r="T660" s="279">
        <v>42654</v>
      </c>
      <c r="U660" s="279">
        <v>42657</v>
      </c>
      <c r="V660" s="279">
        <v>42664</v>
      </c>
      <c r="W660" s="293">
        <v>35.479999999999997</v>
      </c>
      <c r="X660" s="236">
        <v>9214</v>
      </c>
      <c r="Y660" s="276">
        <v>27.83</v>
      </c>
      <c r="Z660" s="236" t="s">
        <v>15815</v>
      </c>
      <c r="AA660" s="279">
        <v>42691</v>
      </c>
      <c r="AB660" s="279">
        <v>42695</v>
      </c>
      <c r="AF660" s="276">
        <f t="shared" si="70"/>
        <v>99.56</v>
      </c>
      <c r="AG660" s="276">
        <f t="shared" si="64"/>
        <v>134.85000000000002</v>
      </c>
      <c r="AH660" s="276">
        <f t="shared" si="65"/>
        <v>26.981499999999954</v>
      </c>
      <c r="AI660" s="283">
        <f t="shared" si="66"/>
        <v>0.27100743270389666</v>
      </c>
    </row>
    <row r="661" spans="1:35" x14ac:dyDescent="0.25">
      <c r="A661" s="275">
        <f>'Profits 2016'!A5874</f>
        <v>0</v>
      </c>
      <c r="B661" s="279">
        <f>'Profits 2016'!B5874</f>
        <v>0</v>
      </c>
      <c r="C661" s="276">
        <f>'Profits 2016'!H5874</f>
        <v>0</v>
      </c>
      <c r="D661" s="280">
        <f>'Profits 2016'!K5874</f>
        <v>0</v>
      </c>
      <c r="E661" s="276">
        <f>'Profits 2016'!L5874</f>
        <v>1470</v>
      </c>
      <c r="F661" s="275" t="str">
        <f>'Profits 2016'!P5874</f>
        <v>Direct</v>
      </c>
      <c r="G661" s="292">
        <f>'Profits 2016'!N5874-'Profits 2016'!M5874</f>
        <v>36.749999999999993</v>
      </c>
      <c r="H661" s="292">
        <v>0</v>
      </c>
      <c r="I661" s="275">
        <v>73556</v>
      </c>
      <c r="J661" s="277">
        <v>42643</v>
      </c>
      <c r="K661" s="277">
        <v>42648</v>
      </c>
      <c r="L661" s="277">
        <v>42650</v>
      </c>
      <c r="M661" s="292">
        <v>0</v>
      </c>
      <c r="N661" s="281">
        <v>9069</v>
      </c>
      <c r="O661" s="236">
        <f>'Profits 2016'!T5874</f>
        <v>0</v>
      </c>
      <c r="P661" s="284">
        <f>'Profits 2016'!U5874</f>
        <v>0</v>
      </c>
      <c r="Q661" s="284" t="s">
        <v>314</v>
      </c>
      <c r="R661" s="276">
        <v>35.479999999999997</v>
      </c>
      <c r="S661" s="275" t="s">
        <v>15814</v>
      </c>
      <c r="T661" s="279">
        <v>42654</v>
      </c>
      <c r="U661" s="279">
        <v>42657</v>
      </c>
      <c r="V661" s="279">
        <v>42664</v>
      </c>
      <c r="W661" s="293">
        <v>35.479999999999997</v>
      </c>
      <c r="X661" s="236">
        <v>9214</v>
      </c>
      <c r="AF661" s="276">
        <f t="shared" si="70"/>
        <v>72.22999999999999</v>
      </c>
      <c r="AG661" s="276">
        <f t="shared" si="64"/>
        <v>35.479999999999997</v>
      </c>
      <c r="AH661" s="276">
        <f t="shared" si="65"/>
        <v>-35.479999999999997</v>
      </c>
      <c r="AI661" s="283">
        <f t="shared" si="66"/>
        <v>-0.49120863906963869</v>
      </c>
    </row>
    <row r="662" spans="1:35" ht="30" x14ac:dyDescent="0.25">
      <c r="A662" s="275">
        <f>'Profits 2016'!A5875</f>
        <v>3004614</v>
      </c>
      <c r="B662" s="279">
        <f>'Profits 2016'!B5875</f>
        <v>42641</v>
      </c>
      <c r="C662" s="276">
        <f>'Profits 2016'!H5875</f>
        <v>360.36</v>
      </c>
      <c r="D662" s="280">
        <f>'Profits 2016'!K5875</f>
        <v>306.30600000000004</v>
      </c>
      <c r="E662" s="276">
        <f>'Profits 2016'!L5875</f>
        <v>1150</v>
      </c>
      <c r="F662" s="275" t="str">
        <f>'Profits 2016'!P5875</f>
        <v>Direct</v>
      </c>
      <c r="G662" s="292">
        <f>'Profits 2016'!N5875-'Profits 2016'!M5875</f>
        <v>115.00000000000001</v>
      </c>
      <c r="H662" s="292">
        <v>0</v>
      </c>
      <c r="I662" s="275">
        <v>73558</v>
      </c>
      <c r="J662" s="277">
        <v>42643</v>
      </c>
      <c r="K662" s="277">
        <v>42648</v>
      </c>
      <c r="L662" s="277">
        <v>42650</v>
      </c>
      <c r="M662" s="292">
        <v>228.34</v>
      </c>
      <c r="N662" s="281">
        <v>9069</v>
      </c>
      <c r="O662" s="236" t="str">
        <f>'Profits 2016'!T5875</f>
        <v>FEDEX GROUND</v>
      </c>
      <c r="P662" s="284" t="str">
        <f>'Profits 2016'!U5875</f>
        <v>642286529073</v>
      </c>
      <c r="Q662" s="284" t="s">
        <v>314</v>
      </c>
      <c r="R662" s="276">
        <v>13.27</v>
      </c>
      <c r="S662" s="275" t="s">
        <v>15802</v>
      </c>
      <c r="T662" s="279">
        <v>42660</v>
      </c>
      <c r="U662" s="279">
        <v>42663</v>
      </c>
      <c r="V662" s="279">
        <v>42671</v>
      </c>
      <c r="W662" s="293">
        <f t="shared" ref="W662:W663" si="71">R662</f>
        <v>13.27</v>
      </c>
      <c r="X662" s="236">
        <v>9250</v>
      </c>
      <c r="AF662" s="276">
        <f t="shared" si="70"/>
        <v>128.27000000000001</v>
      </c>
      <c r="AG662" s="276">
        <f t="shared" si="64"/>
        <v>241.61</v>
      </c>
      <c r="AH662" s="276">
        <f t="shared" si="65"/>
        <v>64.696000000000026</v>
      </c>
      <c r="AI662" s="283">
        <f t="shared" si="66"/>
        <v>0.5043735869649959</v>
      </c>
    </row>
    <row r="663" spans="1:35" x14ac:dyDescent="0.25">
      <c r="A663" s="275">
        <f>'Profits 2016'!A5876</f>
        <v>0</v>
      </c>
      <c r="B663" s="279">
        <f>'Profits 2016'!B5876</f>
        <v>0</v>
      </c>
      <c r="C663" s="276">
        <f>'Profits 2016'!H5876</f>
        <v>0</v>
      </c>
      <c r="D663" s="280">
        <f>'Profits 2016'!K5876</f>
        <v>0</v>
      </c>
      <c r="E663" s="276">
        <f>'Profits 2016'!L5876</f>
        <v>1180</v>
      </c>
      <c r="F663" s="275" t="str">
        <f>'Profits 2016'!P5876</f>
        <v>Direct</v>
      </c>
      <c r="G663" s="292">
        <f>'Profits 2016'!N5876-'Profits 2016'!M5876</f>
        <v>118.00000000000001</v>
      </c>
      <c r="H663" s="292">
        <v>0</v>
      </c>
      <c r="I663" s="275">
        <v>73558</v>
      </c>
      <c r="J663" s="277">
        <v>42643</v>
      </c>
      <c r="K663" s="277">
        <v>42648</v>
      </c>
      <c r="L663" s="277">
        <v>42650</v>
      </c>
      <c r="M663" s="292">
        <v>0</v>
      </c>
      <c r="N663" s="281">
        <v>9069</v>
      </c>
      <c r="O663" s="236">
        <f>'Profits 2016'!T5876</f>
        <v>0</v>
      </c>
      <c r="P663" s="284">
        <f>'Profits 2016'!U5876</f>
        <v>642286529084</v>
      </c>
      <c r="Q663" s="284" t="s">
        <v>314</v>
      </c>
      <c r="R663" s="276">
        <v>13.3</v>
      </c>
      <c r="S663" s="275" t="s">
        <v>15802</v>
      </c>
      <c r="T663" s="279">
        <v>42660</v>
      </c>
      <c r="U663" s="279">
        <v>42663</v>
      </c>
      <c r="V663" s="279">
        <v>42671</v>
      </c>
      <c r="W663" s="293">
        <f t="shared" si="71"/>
        <v>13.3</v>
      </c>
      <c r="X663" s="236">
        <v>9250</v>
      </c>
      <c r="AF663" s="276">
        <f t="shared" si="70"/>
        <v>131.30000000000001</v>
      </c>
      <c r="AG663" s="276">
        <f t="shared" si="64"/>
        <v>13.3</v>
      </c>
      <c r="AH663" s="276">
        <f t="shared" si="65"/>
        <v>-13.3</v>
      </c>
      <c r="AI663" s="283">
        <f t="shared" si="66"/>
        <v>-0.1012947448591013</v>
      </c>
    </row>
    <row r="664" spans="1:35" x14ac:dyDescent="0.25">
      <c r="A664" s="275">
        <f>'Profits 2016'!A5877</f>
        <v>3004615</v>
      </c>
      <c r="B664" s="279">
        <f>'Profits 2016'!B5877</f>
        <v>42641</v>
      </c>
      <c r="C664" s="276">
        <f>'Profits 2016'!H5877</f>
        <v>880</v>
      </c>
      <c r="D664" s="280">
        <f>'Profits 2016'!K5877</f>
        <v>783.78</v>
      </c>
      <c r="E664" s="276">
        <f>'Profits 2016'!L5877</f>
        <v>504</v>
      </c>
      <c r="F664" s="275" t="str">
        <f>'Profits 2016'!P5877</f>
        <v>Nassau</v>
      </c>
      <c r="G664" s="292">
        <f>'Profits 2016'!N5877-'Profits 2016'!M5877</f>
        <v>503.99999999999994</v>
      </c>
      <c r="H664" s="319"/>
      <c r="I664" s="320"/>
      <c r="J664" s="321"/>
      <c r="K664" s="321"/>
      <c r="L664" s="321"/>
      <c r="M664" s="319"/>
      <c r="N664" s="322"/>
      <c r="O664" s="236" t="str">
        <f>'Profits 2016'!T5877</f>
        <v>XPO/DLS</v>
      </c>
      <c r="P664" s="284" t="str">
        <f>'Profits 2016'!U5877</f>
        <v>410753792</v>
      </c>
      <c r="Q664" s="284" t="s">
        <v>15804</v>
      </c>
      <c r="R664" s="276">
        <v>158.06</v>
      </c>
      <c r="S664" s="275">
        <v>636808436</v>
      </c>
      <c r="T664" s="279">
        <v>42650</v>
      </c>
      <c r="U664" s="279">
        <v>42654</v>
      </c>
      <c r="V664" s="279">
        <v>42664</v>
      </c>
      <c r="W664" s="293">
        <v>158.06</v>
      </c>
      <c r="X664" s="236">
        <v>9229</v>
      </c>
      <c r="AF664" s="276">
        <f t="shared" si="70"/>
        <v>662.06</v>
      </c>
      <c r="AG664" s="276">
        <f t="shared" si="64"/>
        <v>158.06</v>
      </c>
      <c r="AH664" s="276">
        <f t="shared" si="65"/>
        <v>625.72</v>
      </c>
      <c r="AI664" s="283">
        <f t="shared" si="66"/>
        <v>0.94511071504093291</v>
      </c>
    </row>
    <row r="665" spans="1:35" x14ac:dyDescent="0.25">
      <c r="A665" s="275">
        <f>'Profits 2016'!A5878</f>
        <v>3004616</v>
      </c>
      <c r="B665" s="279">
        <f>'Profits 2016'!B5878</f>
        <v>42641</v>
      </c>
      <c r="C665" s="276">
        <f>'Profits 2016'!H5878</f>
        <v>2185</v>
      </c>
      <c r="D665" s="280">
        <f>'Profits 2016'!K5878</f>
        <v>2136.63</v>
      </c>
      <c r="E665" s="276">
        <f>'Profits 2016'!L5878</f>
        <v>1200</v>
      </c>
      <c r="F665" s="275" t="str">
        <f>'Profits 2016'!P5878</f>
        <v>PTSupply</v>
      </c>
      <c r="G665" s="292">
        <f>'Profits 2016'!N5878-'Profits 2016'!M5878</f>
        <v>1200</v>
      </c>
      <c r="H665" s="292">
        <v>0</v>
      </c>
      <c r="I665" s="275" t="s">
        <v>15816</v>
      </c>
      <c r="J665" s="277">
        <v>42643</v>
      </c>
      <c r="K665" s="277">
        <v>42650</v>
      </c>
      <c r="L665" s="277">
        <v>42671</v>
      </c>
      <c r="M665" s="292">
        <v>1200</v>
      </c>
      <c r="N665" s="281">
        <v>9255</v>
      </c>
      <c r="O665" s="236" t="str">
        <f>'Profits 2016'!T5878</f>
        <v>FEDEX/DLS</v>
      </c>
      <c r="P665" s="284" t="str">
        <f>'Profits 2016'!U5878</f>
        <v>3400800410</v>
      </c>
      <c r="Q665" s="284" t="s">
        <v>15804</v>
      </c>
      <c r="R665" s="276">
        <v>133.25</v>
      </c>
      <c r="S665" s="275">
        <v>636804336</v>
      </c>
      <c r="T665" s="279">
        <v>42649</v>
      </c>
      <c r="U665" s="279">
        <v>42654</v>
      </c>
      <c r="V665" s="279">
        <v>42664</v>
      </c>
      <c r="W665" s="293">
        <v>133.25</v>
      </c>
      <c r="X665" s="236">
        <v>9228</v>
      </c>
      <c r="AF665" s="276">
        <f t="shared" si="70"/>
        <v>1333.25</v>
      </c>
      <c r="AG665" s="276">
        <f t="shared" si="64"/>
        <v>1333.25</v>
      </c>
      <c r="AH665" s="276">
        <f t="shared" si="65"/>
        <v>803.38000000000011</v>
      </c>
      <c r="AI665" s="283">
        <f t="shared" si="66"/>
        <v>0.60257266079129956</v>
      </c>
    </row>
    <row r="666" spans="1:35" ht="30" x14ac:dyDescent="0.25">
      <c r="A666" s="275">
        <f>'Profits 2016'!A5879</f>
        <v>3004617</v>
      </c>
      <c r="B666" s="279">
        <f>'Profits 2016'!B5879</f>
        <v>42641</v>
      </c>
      <c r="C666" s="276">
        <f>'Profits 2016'!H5879</f>
        <v>291.85000000000002</v>
      </c>
      <c r="D666" s="280">
        <f>'Profits 2016'!K5879</f>
        <v>259.73835000000003</v>
      </c>
      <c r="E666" s="276">
        <f>'Profits 2016'!L5879</f>
        <v>300</v>
      </c>
      <c r="F666" s="275" t="str">
        <f>'Profits 2016'!P5879</f>
        <v>Nassau</v>
      </c>
      <c r="G666" s="292">
        <f>'Profits 2016'!N5879-'Profits 2016'!M5879</f>
        <v>150</v>
      </c>
      <c r="H666" s="319"/>
      <c r="I666" s="320"/>
      <c r="J666" s="321"/>
      <c r="K666" s="321"/>
      <c r="L666" s="321"/>
      <c r="M666" s="319"/>
      <c r="N666" s="322"/>
      <c r="O666" s="236" t="str">
        <f>'Profits 2016'!T5879</f>
        <v>FEDEX GROUND</v>
      </c>
      <c r="P666" s="284" t="str">
        <f>'Profits 2016'!U5879</f>
        <v>702723288944</v>
      </c>
      <c r="Q666" s="284" t="s">
        <v>314</v>
      </c>
      <c r="R666" s="276">
        <v>42.82</v>
      </c>
      <c r="S666" s="275" t="s">
        <v>15802</v>
      </c>
      <c r="T666" s="279">
        <v>42660</v>
      </c>
      <c r="U666" s="279">
        <v>42663</v>
      </c>
      <c r="V666" s="279">
        <v>42671</v>
      </c>
      <c r="W666" s="293">
        <f t="shared" ref="W666:W667" si="72">R666</f>
        <v>42.82</v>
      </c>
      <c r="X666" s="236">
        <v>9250</v>
      </c>
      <c r="AF666" s="276">
        <f t="shared" si="70"/>
        <v>192.82</v>
      </c>
      <c r="AG666" s="276">
        <f t="shared" si="64"/>
        <v>42.82</v>
      </c>
      <c r="AH666" s="276">
        <f t="shared" si="65"/>
        <v>216.91835000000003</v>
      </c>
      <c r="AI666" s="283">
        <f t="shared" si="66"/>
        <v>1.124978477336376</v>
      </c>
    </row>
    <row r="667" spans="1:35" ht="30" x14ac:dyDescent="0.25">
      <c r="A667" s="275">
        <f>'Profits 2016'!A5880</f>
        <v>3004618</v>
      </c>
      <c r="B667" s="279">
        <f>'Profits 2016'!B5880</f>
        <v>42641</v>
      </c>
      <c r="C667" s="276">
        <f>'Profits 2016'!H5880</f>
        <v>320</v>
      </c>
      <c r="D667" s="280">
        <f>'Profits 2016'!K5880</f>
        <v>272</v>
      </c>
      <c r="E667" s="276">
        <f>'Profits 2016'!L5880</f>
        <v>630</v>
      </c>
      <c r="F667" s="275" t="str">
        <f>'Profits 2016'!P5880</f>
        <v>Nassau</v>
      </c>
      <c r="G667" s="292">
        <f>'Profits 2016'!N5880-'Profits 2016'!M5880</f>
        <v>157.5</v>
      </c>
      <c r="H667" s="319"/>
      <c r="I667" s="320"/>
      <c r="J667" s="321"/>
      <c r="K667" s="321"/>
      <c r="L667" s="321"/>
      <c r="M667" s="319"/>
      <c r="N667" s="322"/>
      <c r="O667" s="236" t="str">
        <f>'Profits 2016'!T5880</f>
        <v>FEDEX GROUND</v>
      </c>
      <c r="P667" s="284" t="str">
        <f>'Profits 2016'!U5880</f>
        <v>702723288852</v>
      </c>
      <c r="Q667" s="284" t="s">
        <v>314</v>
      </c>
      <c r="R667" s="276">
        <v>45.8</v>
      </c>
      <c r="S667" s="275" t="s">
        <v>15802</v>
      </c>
      <c r="T667" s="279">
        <v>42660</v>
      </c>
      <c r="U667" s="279">
        <v>42663</v>
      </c>
      <c r="V667" s="279">
        <v>42671</v>
      </c>
      <c r="W667" s="293">
        <f t="shared" si="72"/>
        <v>45.8</v>
      </c>
      <c r="X667" s="236">
        <v>9250</v>
      </c>
      <c r="AF667" s="276">
        <f t="shared" si="70"/>
        <v>203.3</v>
      </c>
      <c r="AG667" s="276">
        <f t="shared" si="64"/>
        <v>45.8</v>
      </c>
      <c r="AH667" s="276">
        <f t="shared" si="65"/>
        <v>226.2</v>
      </c>
      <c r="AI667" s="283">
        <f t="shared" si="66"/>
        <v>1.1126414166256762</v>
      </c>
    </row>
    <row r="668" spans="1:35" ht="45" x14ac:dyDescent="0.25">
      <c r="A668" s="275">
        <f>'Profits 2016'!A5881</f>
        <v>3004619</v>
      </c>
      <c r="B668" s="279">
        <f>'Profits 2016'!B5881</f>
        <v>42641</v>
      </c>
      <c r="C668" s="276">
        <f>'Profits 2016'!H5881</f>
        <v>986.85</v>
      </c>
      <c r="D668" s="280">
        <f>'Profits 2016'!K5881</f>
        <v>838.82249999999999</v>
      </c>
      <c r="E668" s="276">
        <f>'Profits 2016'!L5881</f>
        <v>225.95</v>
      </c>
      <c r="F668" s="275" t="str">
        <f>'Profits 2016'!P5881</f>
        <v>eBay</v>
      </c>
      <c r="G668" s="292">
        <f>'Profits 2016'!N5881-'Profits 2016'!M5881</f>
        <v>677.84999999999991</v>
      </c>
      <c r="O668" s="236" t="str">
        <f>'Profits 2016'!T5881</f>
        <v>FEDEX GROUND</v>
      </c>
      <c r="P668" s="284" t="str">
        <f>'Profits 2016'!U5881</f>
        <v>784268883664
784268883675
784268883686</v>
      </c>
      <c r="AF668" s="276">
        <f t="shared" si="70"/>
        <v>677.84999999999991</v>
      </c>
      <c r="AG668" s="276">
        <f t="shared" si="64"/>
        <v>0</v>
      </c>
      <c r="AH668" s="276">
        <f t="shared" si="65"/>
        <v>838.82249999999999</v>
      </c>
      <c r="AI668" s="283">
        <f t="shared" si="66"/>
        <v>1.2374751051117505</v>
      </c>
    </row>
    <row r="669" spans="1:35" ht="30" x14ac:dyDescent="0.25">
      <c r="A669" s="275">
        <f>'Profits 2016'!A5882</f>
        <v>3004620</v>
      </c>
      <c r="B669" s="279">
        <f>'Profits 2016'!B5882</f>
        <v>42641</v>
      </c>
      <c r="C669" s="276">
        <f>'Profits 2016'!H5882</f>
        <v>138.97999999999999</v>
      </c>
      <c r="D669" s="280">
        <f>'Profits 2016'!K5882</f>
        <v>123.53117999999999</v>
      </c>
      <c r="E669" s="276">
        <f>'Profits 2016'!L5882</f>
        <v>129</v>
      </c>
      <c r="F669" s="275" t="str">
        <f>'Profits 2016'!P5882</f>
        <v>Priority</v>
      </c>
      <c r="G669" s="292">
        <f>'Profits 2016'!N5882-'Profits 2016'!M5882</f>
        <v>64.5</v>
      </c>
      <c r="H669" s="292">
        <v>0</v>
      </c>
      <c r="I669" s="275">
        <v>1060645</v>
      </c>
      <c r="J669" s="277">
        <v>42641</v>
      </c>
      <c r="K669" s="277">
        <v>42647</v>
      </c>
      <c r="L669" s="277">
        <v>42671</v>
      </c>
      <c r="M669" s="292">
        <v>64.5</v>
      </c>
      <c r="N669" s="281">
        <v>9257</v>
      </c>
      <c r="O669" s="236" t="str">
        <f>'Profits 2016'!T5882</f>
        <v>FEDEX GROUND</v>
      </c>
      <c r="P669" s="284" t="str">
        <f>'Profits 2016'!U5882</f>
        <v xml:space="preserve">	609851525276</v>
      </c>
      <c r="Q669" s="284" t="s">
        <v>15740</v>
      </c>
      <c r="R669" s="276">
        <v>18.45</v>
      </c>
      <c r="S669" s="275">
        <v>1060645</v>
      </c>
      <c r="T669" s="277">
        <v>42641</v>
      </c>
      <c r="U669" s="277">
        <v>42647</v>
      </c>
      <c r="V669" s="279">
        <v>42671</v>
      </c>
      <c r="W669" s="293">
        <v>18.45</v>
      </c>
      <c r="X669" s="236">
        <v>9257</v>
      </c>
      <c r="AF669" s="276">
        <f t="shared" si="70"/>
        <v>82.95</v>
      </c>
      <c r="AG669" s="276">
        <f t="shared" si="64"/>
        <v>82.95</v>
      </c>
      <c r="AH669" s="276">
        <f t="shared" si="65"/>
        <v>40.581179999999989</v>
      </c>
      <c r="AI669" s="283">
        <f t="shared" si="66"/>
        <v>0.48922459312839045</v>
      </c>
    </row>
    <row r="670" spans="1:35" ht="30" x14ac:dyDescent="0.25">
      <c r="A670" s="275">
        <f>'Profits 2016'!A5883</f>
        <v>3004621</v>
      </c>
      <c r="B670" s="279">
        <f>'Profits 2016'!B5883</f>
        <v>42641</v>
      </c>
      <c r="C670" s="276">
        <f>'Profits 2016'!H5883</f>
        <v>62.5</v>
      </c>
      <c r="D670" s="280">
        <f>'Profits 2016'!K5883</f>
        <v>60.825000000000003</v>
      </c>
      <c r="E670" s="276">
        <f>'Profits 2016'!L5883</f>
        <v>1066</v>
      </c>
      <c r="F670" s="275" t="str">
        <f>'Profits 2016'!P5883</f>
        <v>Priority</v>
      </c>
      <c r="G670" s="292">
        <f>'Profits 2016'!N5883-'Profits 2016'!M5883</f>
        <v>26.650000000000002</v>
      </c>
      <c r="H670" s="292">
        <v>0</v>
      </c>
      <c r="I670" s="275">
        <v>1061344</v>
      </c>
      <c r="J670" s="277">
        <v>42643</v>
      </c>
      <c r="K670" s="277">
        <v>42654</v>
      </c>
      <c r="L670" s="277">
        <v>42671</v>
      </c>
      <c r="M670" s="292">
        <v>26.65</v>
      </c>
      <c r="N670" s="281">
        <v>9260</v>
      </c>
      <c r="O670" s="236" t="str">
        <f>'Profits 2016'!T5883</f>
        <v>FEDEX GROUND</v>
      </c>
      <c r="P670" s="284" t="str">
        <f>'Profits 2016'!U5883</f>
        <v xml:space="preserve">	706898122602</v>
      </c>
      <c r="Q670" s="284" t="s">
        <v>15740</v>
      </c>
      <c r="R670" s="276">
        <v>17.12</v>
      </c>
      <c r="S670" s="275">
        <v>1061344</v>
      </c>
      <c r="T670" s="279">
        <v>42643</v>
      </c>
      <c r="U670" s="279">
        <v>42654</v>
      </c>
      <c r="V670" s="279">
        <v>42671</v>
      </c>
      <c r="W670" s="293">
        <v>17.12</v>
      </c>
      <c r="X670" s="236">
        <v>9260</v>
      </c>
      <c r="AF670" s="276">
        <f t="shared" si="70"/>
        <v>43.77</v>
      </c>
      <c r="AG670" s="276">
        <f t="shared" si="64"/>
        <v>43.769999999999996</v>
      </c>
      <c r="AH670" s="276">
        <f t="shared" si="65"/>
        <v>17.055000000000007</v>
      </c>
      <c r="AI670" s="283">
        <f t="shared" si="66"/>
        <v>0.38965044551062383</v>
      </c>
    </row>
    <row r="671" spans="1:35" x14ac:dyDescent="0.25">
      <c r="A671" s="275">
        <f>'Profits 2016'!A5884</f>
        <v>3004622</v>
      </c>
      <c r="B671" s="279">
        <f>'Profits 2016'!B5884</f>
        <v>42641</v>
      </c>
      <c r="C671" s="276">
        <f>'Profits 2016'!H5884</f>
        <v>860</v>
      </c>
      <c r="D671" s="280">
        <f>'Profits 2016'!K5884</f>
        <v>840.78</v>
      </c>
      <c r="E671" s="276">
        <f>'Profits 2016'!L5884</f>
        <v>504</v>
      </c>
      <c r="F671" s="275" t="str">
        <f>'Profits 2016'!P5884</f>
        <v>Nassau</v>
      </c>
      <c r="G671" s="292">
        <f>'Profits 2016'!N5884-'Profits 2016'!M5884</f>
        <v>504</v>
      </c>
      <c r="H671" s="319"/>
      <c r="I671" s="320"/>
      <c r="J671" s="321"/>
      <c r="K671" s="321"/>
      <c r="L671" s="321"/>
      <c r="M671" s="319"/>
      <c r="N671" s="322"/>
      <c r="O671" s="236" t="str">
        <f>'Profits 2016'!T5884</f>
        <v>FEDEX/DLS</v>
      </c>
      <c r="P671" s="284" t="str">
        <f>'Profits 2016'!U5884</f>
        <v>2696706666</v>
      </c>
      <c r="Q671" s="284" t="s">
        <v>15804</v>
      </c>
      <c r="R671" s="276">
        <v>156.15</v>
      </c>
      <c r="S671" s="275">
        <v>636815148</v>
      </c>
      <c r="T671" s="279">
        <v>42653</v>
      </c>
      <c r="U671" s="279">
        <v>42684</v>
      </c>
      <c r="V671" s="279">
        <v>42692</v>
      </c>
      <c r="W671" s="293">
        <v>156.15</v>
      </c>
      <c r="X671" s="236">
        <v>9451</v>
      </c>
      <c r="AF671" s="276">
        <f t="shared" si="70"/>
        <v>660.15</v>
      </c>
      <c r="AG671" s="276">
        <f t="shared" si="64"/>
        <v>156.15</v>
      </c>
      <c r="AH671" s="276">
        <f t="shared" si="65"/>
        <v>684.63</v>
      </c>
      <c r="AI671" s="283">
        <f t="shared" si="66"/>
        <v>1.0370824812542605</v>
      </c>
    </row>
    <row r="672" spans="1:35" ht="30" x14ac:dyDescent="0.25">
      <c r="A672" s="275">
        <f>'Profits 2016'!A5885</f>
        <v>3004623</v>
      </c>
      <c r="B672" s="279">
        <f>'Profits 2016'!B5885</f>
        <v>42641</v>
      </c>
      <c r="C672" s="276">
        <f>'Profits 2016'!H5885</f>
        <v>630</v>
      </c>
      <c r="D672" s="280">
        <f>'Profits 2016'!K5885</f>
        <v>630</v>
      </c>
      <c r="E672" s="276">
        <f>'Profits 2016'!L5885</f>
        <v>1322</v>
      </c>
      <c r="F672" s="275" t="str">
        <f>'Profits 2016'!P5885</f>
        <v>Nassau</v>
      </c>
      <c r="G672" s="292">
        <f>'Profits 2016'!N5885-'Profits 2016'!M5885</f>
        <v>330.5</v>
      </c>
      <c r="H672" s="319"/>
      <c r="I672" s="320"/>
      <c r="J672" s="321"/>
      <c r="K672" s="321"/>
      <c r="L672" s="321"/>
      <c r="M672" s="319"/>
      <c r="N672" s="322"/>
      <c r="O672" s="236" t="str">
        <f>'Profits 2016'!T5885</f>
        <v>FEDEX/ECHO</v>
      </c>
      <c r="P672" s="284" t="str">
        <f>'Profits 2016'!U5885</f>
        <v>3065646614</v>
      </c>
      <c r="Q672" s="284" t="s">
        <v>15767</v>
      </c>
      <c r="R672" s="276">
        <v>119.6</v>
      </c>
      <c r="S672" s="359" t="s">
        <v>15817</v>
      </c>
      <c r="T672" s="279">
        <v>42653</v>
      </c>
      <c r="U672" s="279">
        <v>42657</v>
      </c>
      <c r="V672" s="279">
        <v>42678</v>
      </c>
      <c r="W672" s="293">
        <v>119.6</v>
      </c>
      <c r="X672" s="236">
        <v>9299</v>
      </c>
      <c r="AF672" s="276">
        <f t="shared" si="70"/>
        <v>450.1</v>
      </c>
      <c r="AG672" s="276">
        <f t="shared" si="64"/>
        <v>119.6</v>
      </c>
      <c r="AH672" s="276">
        <f t="shared" si="65"/>
        <v>510.4</v>
      </c>
      <c r="AI672" s="283">
        <f t="shared" si="66"/>
        <v>1.1339702288380358</v>
      </c>
    </row>
    <row r="673" spans="1:35" x14ac:dyDescent="0.25">
      <c r="A673" s="275">
        <f>'Profits 2016'!A5886</f>
        <v>3004624</v>
      </c>
      <c r="B673" s="279">
        <f>'Profits 2016'!B5886</f>
        <v>42641</v>
      </c>
      <c r="C673" s="276">
        <f>'Profits 2016'!H5886</f>
        <v>2150</v>
      </c>
      <c r="D673" s="280">
        <f>'Profits 2016'!K5886</f>
        <v>2079.8249999999998</v>
      </c>
      <c r="E673" s="276">
        <f>'Profits 2016'!L5886</f>
        <v>633.19000000000005</v>
      </c>
      <c r="F673" s="275" t="str">
        <f>'Profits 2016'!P5886</f>
        <v>General</v>
      </c>
      <c r="G673" s="292">
        <f>'Profits 2016'!N5886-'Profits 2016'!M5886</f>
        <v>633.19000000000005</v>
      </c>
      <c r="H673" s="292">
        <v>0</v>
      </c>
      <c r="I673" s="275">
        <v>3753292</v>
      </c>
      <c r="J673" s="277">
        <v>42642</v>
      </c>
      <c r="K673" s="277">
        <v>42646</v>
      </c>
      <c r="L673" s="277">
        <v>42678</v>
      </c>
      <c r="M673" s="292">
        <f>633.19*0.98</f>
        <v>620.52620000000002</v>
      </c>
      <c r="N673" s="281">
        <v>9306</v>
      </c>
      <c r="O673" s="236" t="str">
        <f>'Profits 2016'!T5886</f>
        <v>LTL</v>
      </c>
      <c r="P673" s="284" t="str">
        <f>'Profits 2016'!U5886</f>
        <v>No Pro</v>
      </c>
      <c r="Q673" s="284" t="s">
        <v>15741</v>
      </c>
      <c r="R673" s="276">
        <v>74.25</v>
      </c>
      <c r="S673" s="275">
        <v>3753292</v>
      </c>
      <c r="T673" s="279">
        <v>42642</v>
      </c>
      <c r="U673" s="279">
        <v>42646</v>
      </c>
      <c r="V673" s="279">
        <v>42678</v>
      </c>
      <c r="W673" s="293">
        <v>74.25</v>
      </c>
      <c r="X673" s="236">
        <v>9306</v>
      </c>
      <c r="AF673" s="276">
        <f t="shared" si="70"/>
        <v>707.44</v>
      </c>
      <c r="AG673" s="276">
        <f t="shared" si="64"/>
        <v>694.77620000000002</v>
      </c>
      <c r="AH673" s="276">
        <f t="shared" si="65"/>
        <v>1385.0487999999998</v>
      </c>
      <c r="AI673" s="283">
        <f t="shared" si="66"/>
        <v>1.9578321836480828</v>
      </c>
    </row>
    <row r="674" spans="1:35" x14ac:dyDescent="0.25">
      <c r="A674" s="275">
        <f>'Profits 2016'!A5887</f>
        <v>0</v>
      </c>
      <c r="B674" s="279">
        <f>'Profits 2016'!B5887</f>
        <v>0</v>
      </c>
      <c r="C674" s="276">
        <f>'Profits 2016'!H5887</f>
        <v>0</v>
      </c>
      <c r="D674" s="280">
        <f>'Profits 2016'!K5887</f>
        <v>0</v>
      </c>
      <c r="E674" s="276">
        <f>'Profits 2016'!L5887</f>
        <v>481.57</v>
      </c>
      <c r="F674" s="275" t="str">
        <f>'Profits 2016'!P5887</f>
        <v>General</v>
      </c>
      <c r="G674" s="292">
        <f>'Profits 2016'!N5887-'Profits 2016'!M5887</f>
        <v>481.57</v>
      </c>
      <c r="H674" s="292">
        <v>0</v>
      </c>
      <c r="I674" s="275">
        <v>3753292</v>
      </c>
      <c r="J674" s="277">
        <v>42642</v>
      </c>
      <c r="K674" s="277">
        <v>42646</v>
      </c>
      <c r="L674" s="277">
        <v>42678</v>
      </c>
      <c r="M674" s="292">
        <f>481.57*0.98</f>
        <v>471.93860000000001</v>
      </c>
      <c r="N674" s="281">
        <v>9306</v>
      </c>
      <c r="O674" s="236">
        <f>'Profits 2016'!T5887</f>
        <v>0</v>
      </c>
      <c r="P674" s="284">
        <f>'Profits 2016'!U5887</f>
        <v>0</v>
      </c>
      <c r="Q674" s="284" t="s">
        <v>15741</v>
      </c>
      <c r="R674" s="276">
        <v>0</v>
      </c>
      <c r="S674" s="275">
        <v>3753292</v>
      </c>
      <c r="T674" s="279">
        <v>42642</v>
      </c>
      <c r="U674" s="279">
        <v>42646</v>
      </c>
      <c r="V674" s="279">
        <v>42678</v>
      </c>
      <c r="W674" s="293">
        <v>0</v>
      </c>
      <c r="X674" s="236">
        <v>9306</v>
      </c>
      <c r="AF674" s="276">
        <f t="shared" si="70"/>
        <v>481.57</v>
      </c>
      <c r="AG674" s="276">
        <f t="shared" si="64"/>
        <v>471.93860000000001</v>
      </c>
      <c r="AH674" s="276">
        <f t="shared" si="65"/>
        <v>-471.93860000000001</v>
      </c>
      <c r="AI674" s="283">
        <f t="shared" si="66"/>
        <v>-0.98</v>
      </c>
    </row>
    <row r="675" spans="1:35" ht="30" x14ac:dyDescent="0.25">
      <c r="A675" s="275">
        <f>'Profits 2016'!A5888</f>
        <v>3004625</v>
      </c>
      <c r="B675" s="279">
        <f>'Profits 2016'!B5888</f>
        <v>42642</v>
      </c>
      <c r="C675" s="276">
        <f>'Profits 2016'!H5888</f>
        <v>6114</v>
      </c>
      <c r="D675" s="280">
        <f>'Profits 2016'!K5888</f>
        <v>5979.192</v>
      </c>
      <c r="E675" s="276">
        <f>'Profits 2016'!L5888</f>
        <v>3840</v>
      </c>
      <c r="F675" s="275" t="str">
        <f>'Profits 2016'!P5888</f>
        <v>Nassau</v>
      </c>
      <c r="G675" s="292">
        <f>'Profits 2016'!N5888-'Profits 2016'!M5888</f>
        <v>3260.16</v>
      </c>
      <c r="H675" s="319"/>
      <c r="I675" s="320"/>
      <c r="J675" s="321"/>
      <c r="K675" s="321"/>
      <c r="L675" s="321"/>
      <c r="M675" s="319"/>
      <c r="N675" s="322"/>
      <c r="O675" s="236" t="str">
        <f>'Profits 2016'!T5888</f>
        <v>ESTES/ECHO</v>
      </c>
      <c r="P675" s="284" t="str">
        <f>'Profits 2016'!U5888</f>
        <v>0272137557</v>
      </c>
      <c r="Q675" s="284" t="s">
        <v>15767</v>
      </c>
      <c r="R675" s="276">
        <v>167.93</v>
      </c>
      <c r="S675" s="275" t="s">
        <v>15818</v>
      </c>
      <c r="T675" s="279">
        <v>42660</v>
      </c>
      <c r="U675" s="279">
        <v>42664</v>
      </c>
      <c r="AF675" s="276">
        <f t="shared" si="70"/>
        <v>3428.0899999999997</v>
      </c>
      <c r="AG675" s="276">
        <f t="shared" si="64"/>
        <v>167.93</v>
      </c>
      <c r="AH675" s="276">
        <f t="shared" si="65"/>
        <v>5811.2619999999997</v>
      </c>
      <c r="AI675" s="283">
        <f t="shared" si="66"/>
        <v>1.6951894495185367</v>
      </c>
    </row>
    <row r="676" spans="1:35" x14ac:dyDescent="0.25">
      <c r="A676" s="275">
        <f>'Profits 2016'!A5889</f>
        <v>0</v>
      </c>
      <c r="B676" s="279">
        <f>'Profits 2016'!B5889</f>
        <v>0</v>
      </c>
      <c r="C676" s="276">
        <f>'Profits 2016'!H5889</f>
        <v>0</v>
      </c>
      <c r="D676" s="280">
        <f>'Profits 2016'!K5889</f>
        <v>0</v>
      </c>
      <c r="E676" s="276">
        <f>'Profits 2016'!L5889</f>
        <v>170</v>
      </c>
      <c r="F676" s="275" t="str">
        <f>'Profits 2016'!P5889</f>
        <v>Priority</v>
      </c>
      <c r="G676" s="292">
        <f>'Profits 2016'!N5889-'Profits 2016'!M5889</f>
        <v>680</v>
      </c>
      <c r="H676" s="292">
        <v>0</v>
      </c>
      <c r="I676" s="275">
        <v>1061203</v>
      </c>
      <c r="J676" s="277">
        <v>42642</v>
      </c>
      <c r="K676" s="277">
        <v>42650</v>
      </c>
      <c r="L676" s="277">
        <v>42671</v>
      </c>
      <c r="M676" s="292">
        <v>680</v>
      </c>
      <c r="N676" s="281">
        <v>9258</v>
      </c>
      <c r="O676" s="236" t="str">
        <f>'Profits 2016'!T5889</f>
        <v>SEFL</v>
      </c>
      <c r="P676" s="284" t="str">
        <f>'Profits 2016'!U5889</f>
        <v xml:space="preserve">	363394001</v>
      </c>
      <c r="Q676" s="284" t="s">
        <v>15740</v>
      </c>
      <c r="R676" s="276">
        <v>105</v>
      </c>
      <c r="S676" s="275">
        <v>1061203</v>
      </c>
      <c r="T676" s="279">
        <v>42642</v>
      </c>
      <c r="U676" s="279">
        <v>42650</v>
      </c>
      <c r="V676" s="279">
        <v>42671</v>
      </c>
      <c r="W676" s="293">
        <v>105</v>
      </c>
      <c r="X676" s="236">
        <v>9258</v>
      </c>
      <c r="AF676" s="276">
        <f t="shared" si="70"/>
        <v>785</v>
      </c>
      <c r="AG676" s="276">
        <f t="shared" si="64"/>
        <v>785</v>
      </c>
      <c r="AH676" s="276">
        <f t="shared" si="65"/>
        <v>-785</v>
      </c>
      <c r="AI676" s="283">
        <f t="shared" si="66"/>
        <v>-1</v>
      </c>
    </row>
    <row r="677" spans="1:35" ht="30" x14ac:dyDescent="0.25">
      <c r="A677" s="275">
        <f>'Profits 2016'!A5890</f>
        <v>3004626</v>
      </c>
      <c r="B677" s="279">
        <f>'Profits 2016'!B5890</f>
        <v>42642</v>
      </c>
      <c r="C677" s="276">
        <f>'Profits 2016'!H5890</f>
        <v>595</v>
      </c>
      <c r="D677" s="280">
        <f>'Profits 2016'!K5890</f>
        <v>575.36249999999995</v>
      </c>
      <c r="E677" s="276">
        <f>'Profits 2016'!L5890</f>
        <v>410</v>
      </c>
      <c r="F677" s="275" t="str">
        <f>'Profits 2016'!P5890</f>
        <v>Commodity</v>
      </c>
      <c r="G677" s="292">
        <f>'Profits 2016'!N5890-'Profits 2016'!M5890</f>
        <v>205</v>
      </c>
      <c r="H677" s="292">
        <v>0</v>
      </c>
      <c r="I677" s="275" t="s">
        <v>15819</v>
      </c>
      <c r="J677" s="277">
        <v>42649</v>
      </c>
      <c r="K677" s="277">
        <v>42654</v>
      </c>
      <c r="L677" s="277">
        <v>42657</v>
      </c>
      <c r="M677" s="292">
        <f>205-6.12</f>
        <v>198.88</v>
      </c>
      <c r="N677" s="281">
        <v>9160</v>
      </c>
      <c r="O677" s="236" t="str">
        <f>'Profits 2016'!T5890</f>
        <v>AAA COOPER</v>
      </c>
      <c r="P677" s="284" t="str">
        <f>'Profits 2016'!U5890</f>
        <v>908049323</v>
      </c>
      <c r="Q677" s="284" t="s">
        <v>15764</v>
      </c>
      <c r="R677" s="276">
        <v>101.23</v>
      </c>
      <c r="S677" s="275" t="s">
        <v>15819</v>
      </c>
      <c r="T677" s="279">
        <v>42649</v>
      </c>
      <c r="U677" s="279">
        <v>42654</v>
      </c>
      <c r="V677" s="279">
        <v>42657</v>
      </c>
      <c r="W677" s="293">
        <v>101.23</v>
      </c>
      <c r="X677" s="236">
        <v>9160</v>
      </c>
      <c r="AF677" s="276">
        <f t="shared" si="70"/>
        <v>306.23</v>
      </c>
      <c r="AG677" s="276">
        <f t="shared" si="64"/>
        <v>300.11</v>
      </c>
      <c r="AH677" s="276">
        <f t="shared" si="65"/>
        <v>275.25249999999994</v>
      </c>
      <c r="AI677" s="283">
        <f t="shared" si="66"/>
        <v>0.8988423733794858</v>
      </c>
    </row>
    <row r="678" spans="1:35" ht="30" x14ac:dyDescent="0.25">
      <c r="A678" s="275">
        <f>'Profits 2016'!A5891</f>
        <v>3004627</v>
      </c>
      <c r="B678" s="279">
        <f>'Profits 2016'!B5891</f>
        <v>42642</v>
      </c>
      <c r="C678" s="276">
        <f>'Profits 2016'!H5891</f>
        <v>276.79000000000002</v>
      </c>
      <c r="D678" s="280">
        <f>'Profits 2016'!K5891</f>
        <v>246.31989000000002</v>
      </c>
      <c r="E678" s="276">
        <f>'Profits 2016'!L5891</f>
        <v>445</v>
      </c>
      <c r="F678" s="275" t="str">
        <f>'Profits 2016'!P5891</f>
        <v>Nassau</v>
      </c>
      <c r="G678" s="292">
        <f>'Profits 2016'!N5891-'Profits 2016'!M5891</f>
        <v>133.5</v>
      </c>
      <c r="H678" s="319"/>
      <c r="I678" s="320"/>
      <c r="J678" s="321"/>
      <c r="K678" s="321"/>
      <c r="L678" s="321"/>
      <c r="M678" s="319"/>
      <c r="N678" s="322"/>
      <c r="O678" s="236" t="str">
        <f>'Profits 2016'!T5891</f>
        <v>FEDEX GROUND</v>
      </c>
      <c r="P678" s="284" t="str">
        <f>'Profits 2016'!U5891</f>
        <v>702723289024</v>
      </c>
      <c r="Q678" s="284" t="s">
        <v>314</v>
      </c>
      <c r="R678" s="276">
        <v>45.9</v>
      </c>
      <c r="S678" s="275" t="s">
        <v>15802</v>
      </c>
      <c r="T678" s="279">
        <v>42660</v>
      </c>
      <c r="U678" s="279">
        <v>42663</v>
      </c>
      <c r="V678" s="279">
        <v>42671</v>
      </c>
      <c r="W678" s="293">
        <f t="shared" ref="W678" si="73">R678</f>
        <v>45.9</v>
      </c>
      <c r="X678" s="236">
        <v>9250</v>
      </c>
      <c r="AF678" s="276">
        <f t="shared" si="70"/>
        <v>179.4</v>
      </c>
      <c r="AG678" s="276">
        <f t="shared" si="64"/>
        <v>45.9</v>
      </c>
      <c r="AH678" s="276">
        <f t="shared" si="65"/>
        <v>200.41989000000001</v>
      </c>
      <c r="AI678" s="283">
        <f t="shared" si="66"/>
        <v>1.1171677257525083</v>
      </c>
    </row>
    <row r="679" spans="1:35" ht="29.25" customHeight="1" x14ac:dyDescent="0.25">
      <c r="A679" s="275">
        <f>'Profits 2016'!A5892</f>
        <v>3004628</v>
      </c>
      <c r="B679" s="279">
        <f>'Profits 2016'!B5892</f>
        <v>42642</v>
      </c>
      <c r="C679" s="276">
        <f>'Profits 2016'!H5892</f>
        <v>385.7</v>
      </c>
      <c r="D679" s="280">
        <f>'Profits 2016'!K5892</f>
        <v>343.35869999999994</v>
      </c>
      <c r="E679" s="276">
        <f>'Profits 2016'!L5892</f>
        <v>100</v>
      </c>
      <c r="F679" s="275" t="str">
        <f>'Profits 2016'!P5892</f>
        <v>Wirexpress</v>
      </c>
      <c r="G679" s="292">
        <f>'Profits 2016'!N5892-'Profits 2016'!M5892</f>
        <v>200</v>
      </c>
      <c r="H679" s="292">
        <v>0</v>
      </c>
      <c r="I679" s="275" t="s">
        <v>15820</v>
      </c>
      <c r="J679" s="277">
        <v>42642</v>
      </c>
      <c r="K679" s="277">
        <v>42647</v>
      </c>
      <c r="L679" s="277">
        <v>42671</v>
      </c>
      <c r="M679" s="292">
        <v>200</v>
      </c>
      <c r="N679" s="281">
        <v>9270</v>
      </c>
      <c r="O679" s="236" t="str">
        <f>'Profits 2016'!T5892</f>
        <v>FEDEX GROUND</v>
      </c>
      <c r="P679" s="284" t="str">
        <f>'Profits 2016'!U5892</f>
        <v>440801774528905, 440801774528899</v>
      </c>
      <c r="Q679" s="284" t="s">
        <v>314</v>
      </c>
      <c r="R679" s="276">
        <f>10.95+10.95</f>
        <v>21.9</v>
      </c>
      <c r="S679" s="275" t="s">
        <v>15779</v>
      </c>
      <c r="T679" s="279" t="s">
        <v>15780</v>
      </c>
      <c r="U679" s="279" t="s">
        <v>15781</v>
      </c>
      <c r="V679" s="340">
        <v>42664</v>
      </c>
      <c r="W679" s="350">
        <f>R679</f>
        <v>21.9</v>
      </c>
      <c r="X679" s="347">
        <v>9215</v>
      </c>
      <c r="AF679" s="276">
        <f t="shared" si="70"/>
        <v>221.9</v>
      </c>
      <c r="AG679" s="276">
        <f t="shared" si="64"/>
        <v>221.9</v>
      </c>
      <c r="AH679" s="276">
        <f t="shared" si="65"/>
        <v>121.45869999999994</v>
      </c>
      <c r="AI679" s="283">
        <f t="shared" si="66"/>
        <v>0.54735781883731383</v>
      </c>
    </row>
    <row r="680" spans="1:35" ht="30" x14ac:dyDescent="0.25">
      <c r="A680" s="275">
        <f>'Profits 2016'!A5893</f>
        <v>3004629</v>
      </c>
      <c r="B680" s="279">
        <f>'Profits 2016'!B5893</f>
        <v>42642</v>
      </c>
      <c r="C680" s="276">
        <f>'Profits 2016'!H5893</f>
        <v>178.65</v>
      </c>
      <c r="D680" s="280">
        <f>'Profits 2016'!K5893</f>
        <v>158.87715000000003</v>
      </c>
      <c r="E680" s="276">
        <f>'Profits 2016'!L5893</f>
        <v>1000</v>
      </c>
      <c r="F680" s="275" t="str">
        <f>'Profits 2016'!P5893</f>
        <v>Priority</v>
      </c>
      <c r="G680" s="292">
        <f>'Profits 2016'!N5893-'Profits 2016'!M5893</f>
        <v>100</v>
      </c>
      <c r="H680" s="292">
        <v>0</v>
      </c>
      <c r="I680" s="275">
        <v>1061201</v>
      </c>
      <c r="J680" s="277">
        <v>42642</v>
      </c>
      <c r="K680" s="277">
        <v>42650</v>
      </c>
      <c r="L680" s="277">
        <v>42671</v>
      </c>
      <c r="M680" s="292">
        <v>100</v>
      </c>
      <c r="N680" s="281">
        <v>9258</v>
      </c>
      <c r="O680" s="236" t="str">
        <f>'Profits 2016'!T5893</f>
        <v>FEDEX GROUND</v>
      </c>
      <c r="P680" s="284" t="str">
        <f>'Profits 2016'!U5893</f>
        <v xml:space="preserve">	616712876895</v>
      </c>
      <c r="Q680" s="284" t="s">
        <v>15740</v>
      </c>
      <c r="R680" s="276">
        <v>18.100000000000001</v>
      </c>
      <c r="S680" s="275">
        <v>1061201</v>
      </c>
      <c r="T680" s="279">
        <v>42642</v>
      </c>
      <c r="U680" s="279">
        <v>42650</v>
      </c>
      <c r="V680" s="279">
        <v>42671</v>
      </c>
      <c r="W680" s="293">
        <v>18.100000000000001</v>
      </c>
      <c r="X680" s="236">
        <v>9258</v>
      </c>
      <c r="AF680" s="276">
        <f t="shared" si="70"/>
        <v>118.1</v>
      </c>
      <c r="AG680" s="276">
        <f t="shared" si="64"/>
        <v>118.1</v>
      </c>
      <c r="AH680" s="276">
        <f t="shared" si="65"/>
        <v>40.777150000000034</v>
      </c>
      <c r="AI680" s="283">
        <f t="shared" si="66"/>
        <v>0.34527646062658796</v>
      </c>
    </row>
    <row r="681" spans="1:35" ht="30" x14ac:dyDescent="0.25">
      <c r="A681" s="275">
        <f>'Profits 2016'!A5894</f>
        <v>3004630</v>
      </c>
      <c r="B681" s="279">
        <f>'Profits 2016'!B5894</f>
        <v>42642</v>
      </c>
      <c r="C681" s="276">
        <f>'Profits 2016'!H5894</f>
        <v>341.55</v>
      </c>
      <c r="D681" s="280">
        <f>'Profits 2016'!K5894</f>
        <v>304.02105</v>
      </c>
      <c r="E681" s="276">
        <f>'Profits 2016'!L5894</f>
        <v>1322</v>
      </c>
      <c r="F681" s="275" t="str">
        <f>'Profits 2016'!P5894</f>
        <v>Nassau</v>
      </c>
      <c r="G681" s="292">
        <f>'Profits 2016'!N5894-'Profits 2016'!M5894</f>
        <v>198.29999999999998</v>
      </c>
      <c r="H681" s="319"/>
      <c r="I681" s="320"/>
      <c r="J681" s="321"/>
      <c r="K681" s="321"/>
      <c r="L681" s="321"/>
      <c r="M681" s="319"/>
      <c r="N681" s="322"/>
      <c r="O681" s="236" t="str">
        <f>'Profits 2016'!T5894</f>
        <v>FEDEX GROUND</v>
      </c>
      <c r="P681" s="284" t="str">
        <f>'Profits 2016'!U5894</f>
        <v>665645047210</v>
      </c>
      <c r="Q681" s="284" t="s">
        <v>314</v>
      </c>
      <c r="R681" s="276">
        <v>36.76</v>
      </c>
      <c r="S681" s="275" t="s">
        <v>15802</v>
      </c>
      <c r="T681" s="279">
        <v>42660</v>
      </c>
      <c r="U681" s="279">
        <v>42663</v>
      </c>
      <c r="V681" s="279">
        <v>42671</v>
      </c>
      <c r="W681" s="293">
        <f t="shared" ref="W681:W688" si="74">R681</f>
        <v>36.76</v>
      </c>
      <c r="X681" s="236">
        <v>9250</v>
      </c>
      <c r="AF681" s="276">
        <f t="shared" si="70"/>
        <v>235.05999999999997</v>
      </c>
      <c r="AG681" s="276">
        <f t="shared" si="64"/>
        <v>36.76</v>
      </c>
      <c r="AH681" s="276">
        <f t="shared" si="65"/>
        <v>267.26105000000001</v>
      </c>
      <c r="AI681" s="283">
        <f t="shared" si="66"/>
        <v>1.1369907683144731</v>
      </c>
    </row>
    <row r="682" spans="1:35" ht="30" x14ac:dyDescent="0.25">
      <c r="A682" s="275">
        <f>'Profits 2016'!A5895</f>
        <v>3004631</v>
      </c>
      <c r="B682" s="279">
        <f>'Profits 2016'!B5895</f>
        <v>42642</v>
      </c>
      <c r="C682" s="276">
        <f>'Profits 2016'!H5895</f>
        <v>168.27</v>
      </c>
      <c r="D682" s="280">
        <f>'Profits 2016'!K5895</f>
        <v>149.62857</v>
      </c>
      <c r="E682" s="276">
        <f>'Profits 2016'!L5895</f>
        <v>300</v>
      </c>
      <c r="F682" s="275" t="str">
        <f>'Profits 2016'!P5895</f>
        <v>Nassau</v>
      </c>
      <c r="G682" s="292">
        <f>'Profits 2016'!N5895-'Profits 2016'!M5895</f>
        <v>75</v>
      </c>
      <c r="H682" s="319"/>
      <c r="I682" s="320"/>
      <c r="J682" s="321"/>
      <c r="K682" s="321"/>
      <c r="L682" s="321"/>
      <c r="M682" s="319"/>
      <c r="N682" s="322"/>
      <c r="O682" s="236" t="str">
        <f>'Profits 2016'!T5895</f>
        <v>FEDEX GROUND</v>
      </c>
      <c r="P682" s="284" t="str">
        <f>'Profits 2016'!U5895</f>
        <v>665645047195</v>
      </c>
      <c r="Q682" s="284" t="s">
        <v>314</v>
      </c>
      <c r="R682" s="276">
        <v>19.11</v>
      </c>
      <c r="S682" s="275" t="s">
        <v>15802</v>
      </c>
      <c r="T682" s="279">
        <v>42660</v>
      </c>
      <c r="U682" s="279">
        <v>42663</v>
      </c>
      <c r="V682" s="279">
        <v>42671</v>
      </c>
      <c r="W682" s="293">
        <f t="shared" si="74"/>
        <v>19.11</v>
      </c>
      <c r="X682" s="236">
        <v>9250</v>
      </c>
      <c r="AF682" s="276">
        <f t="shared" si="70"/>
        <v>94.11</v>
      </c>
      <c r="AG682" s="276">
        <f t="shared" si="64"/>
        <v>19.11</v>
      </c>
      <c r="AH682" s="276">
        <f t="shared" si="65"/>
        <v>130.51857000000001</v>
      </c>
      <c r="AI682" s="283">
        <f t="shared" si="66"/>
        <v>1.3868724896397833</v>
      </c>
    </row>
    <row r="683" spans="1:35" ht="30" x14ac:dyDescent="0.25">
      <c r="A683" s="275">
        <f>'Profits 2016'!A5896</f>
        <v>3004632</v>
      </c>
      <c r="B683" s="279">
        <f>'Profits 2016'!B5896</f>
        <v>42642</v>
      </c>
      <c r="C683" s="276">
        <f>'Profits 2016'!H5896</f>
        <v>431.64</v>
      </c>
      <c r="D683" s="280">
        <f>'Profits 2016'!K5896</f>
        <v>384.29123999999996</v>
      </c>
      <c r="E683" s="276">
        <f>'Profits 2016'!L5896</f>
        <v>1100</v>
      </c>
      <c r="F683" s="275" t="str">
        <f>'Profits 2016'!P5896</f>
        <v>Nassau</v>
      </c>
      <c r="G683" s="292">
        <f>'Profits 2016'!N5896-'Profits 2016'!M5896</f>
        <v>275</v>
      </c>
      <c r="H683" s="319"/>
      <c r="I683" s="320"/>
      <c r="J683" s="321"/>
      <c r="K683" s="321"/>
      <c r="L683" s="321"/>
      <c r="M683" s="319"/>
      <c r="N683" s="322"/>
      <c r="O683" s="236" t="str">
        <f>'Profits 2016'!T5896</f>
        <v>FEDEX GROUND</v>
      </c>
      <c r="P683" s="284" t="str">
        <f>'Profits 2016'!U5896</f>
        <v>702723289013</v>
      </c>
      <c r="Q683" s="284" t="s">
        <v>314</v>
      </c>
      <c r="R683" s="276">
        <v>53.24</v>
      </c>
      <c r="S683" s="275" t="s">
        <v>15802</v>
      </c>
      <c r="T683" s="279">
        <v>42660</v>
      </c>
      <c r="U683" s="279">
        <v>42663</v>
      </c>
      <c r="V683" s="279">
        <v>42671</v>
      </c>
      <c r="W683" s="293">
        <f t="shared" si="74"/>
        <v>53.24</v>
      </c>
      <c r="X683" s="236">
        <v>9250</v>
      </c>
      <c r="AF683" s="276">
        <f t="shared" si="70"/>
        <v>328.24</v>
      </c>
      <c r="AG683" s="276">
        <f t="shared" si="64"/>
        <v>53.24</v>
      </c>
      <c r="AH683" s="276">
        <f t="shared" si="65"/>
        <v>331.05123999999995</v>
      </c>
      <c r="AI683" s="283">
        <f t="shared" si="66"/>
        <v>1.0085645868876429</v>
      </c>
    </row>
    <row r="684" spans="1:35" ht="30" x14ac:dyDescent="0.25">
      <c r="A684" s="275">
        <f>'Profits 2016'!A5897</f>
        <v>3004633</v>
      </c>
      <c r="B684" s="279">
        <f>'Profits 2016'!B5897</f>
        <v>42642</v>
      </c>
      <c r="C684" s="276">
        <f>'Profits 2016'!H5897</f>
        <v>215.87</v>
      </c>
      <c r="D684" s="280">
        <f>'Profits 2016'!K5897</f>
        <v>192.04016999999999</v>
      </c>
      <c r="E684" s="276">
        <f>'Profits 2016'!L5897</f>
        <v>527.32000000000005</v>
      </c>
      <c r="F684" s="275" t="str">
        <f>'Profits 2016'!P5897</f>
        <v>Thea</v>
      </c>
      <c r="G684" s="292">
        <f>'Profits 2016'!N5897-'Profits 2016'!M5897</f>
        <v>105.46400000000001</v>
      </c>
      <c r="H684" s="319"/>
      <c r="I684" s="320"/>
      <c r="J684" s="321"/>
      <c r="K684" s="321"/>
      <c r="L684" s="321"/>
      <c r="M684" s="319"/>
      <c r="N684" s="322"/>
      <c r="O684" s="236" t="str">
        <f>'Profits 2016'!T5897</f>
        <v>FEDEX GROUND</v>
      </c>
      <c r="P684" s="284" t="str">
        <f>'Profits 2016'!U5897</f>
        <v>675157530415</v>
      </c>
      <c r="Q684" s="284" t="s">
        <v>314</v>
      </c>
      <c r="R684" s="276">
        <v>19.760000000000002</v>
      </c>
      <c r="S684" s="275" t="s">
        <v>15802</v>
      </c>
      <c r="T684" s="279">
        <v>42660</v>
      </c>
      <c r="U684" s="279">
        <v>42663</v>
      </c>
      <c r="V684" s="279">
        <v>42671</v>
      </c>
      <c r="W684" s="293">
        <f t="shared" si="74"/>
        <v>19.760000000000002</v>
      </c>
      <c r="X684" s="236">
        <v>9250</v>
      </c>
      <c r="AF684" s="276">
        <f t="shared" si="70"/>
        <v>125.22400000000002</v>
      </c>
      <c r="AG684" s="276">
        <f t="shared" si="64"/>
        <v>19.760000000000002</v>
      </c>
      <c r="AH684" s="276">
        <f t="shared" si="65"/>
        <v>172.28017</v>
      </c>
      <c r="AI684" s="283">
        <f t="shared" si="66"/>
        <v>1.3757759694627225</v>
      </c>
    </row>
    <row r="685" spans="1:35" ht="30" x14ac:dyDescent="0.25">
      <c r="A685" s="275">
        <f>'Profits 2016'!A5898</f>
        <v>3004634</v>
      </c>
      <c r="B685" s="279">
        <f>'Profits 2016'!B5898</f>
        <v>42642</v>
      </c>
      <c r="C685" s="276">
        <f>'Profits 2016'!H5898</f>
        <v>128.25</v>
      </c>
      <c r="D685" s="280">
        <f>'Profits 2016'!K5898</f>
        <v>113.97075</v>
      </c>
      <c r="E685" s="276">
        <f>'Profits 2016'!L5898</f>
        <v>577</v>
      </c>
      <c r="F685" s="275" t="str">
        <f>'Profits 2016'!P5898</f>
        <v>Nassau</v>
      </c>
      <c r="G685" s="292">
        <f>'Profits 2016'!N5898-'Profits 2016'!M5898</f>
        <v>57.70000000000001</v>
      </c>
      <c r="H685" s="319"/>
      <c r="I685" s="320"/>
      <c r="J685" s="321"/>
      <c r="K685" s="321"/>
      <c r="L685" s="321"/>
      <c r="M685" s="319"/>
      <c r="N685" s="322"/>
      <c r="O685" s="236" t="str">
        <f>'Profits 2016'!T5898</f>
        <v>FEDEX GROUND</v>
      </c>
      <c r="P685" s="284" t="str">
        <f>'Profits 2016'!U5898</f>
        <v>702723288999</v>
      </c>
      <c r="Q685" s="284" t="s">
        <v>314</v>
      </c>
      <c r="R685" s="276">
        <v>38.57</v>
      </c>
      <c r="S685" s="275" t="s">
        <v>15802</v>
      </c>
      <c r="T685" s="279">
        <v>42660</v>
      </c>
      <c r="U685" s="279">
        <v>42663</v>
      </c>
      <c r="V685" s="279">
        <v>42671</v>
      </c>
      <c r="W685" s="293">
        <f t="shared" si="74"/>
        <v>38.57</v>
      </c>
      <c r="X685" s="236">
        <v>9250</v>
      </c>
      <c r="AF685" s="276">
        <f t="shared" si="70"/>
        <v>96.27000000000001</v>
      </c>
      <c r="AG685" s="276">
        <f t="shared" si="64"/>
        <v>38.57</v>
      </c>
      <c r="AH685" s="276">
        <f t="shared" si="65"/>
        <v>75.400749999999988</v>
      </c>
      <c r="AI685" s="283">
        <f t="shared" si="66"/>
        <v>0.78322166822478423</v>
      </c>
    </row>
    <row r="686" spans="1:35" ht="30" x14ac:dyDescent="0.25">
      <c r="A686" s="275">
        <f>'Profits 2016'!A5899</f>
        <v>3004635</v>
      </c>
      <c r="B686" s="279">
        <f>'Profits 2016'!B5899</f>
        <v>42642</v>
      </c>
      <c r="C686" s="276">
        <f>'Profits 2016'!H5899</f>
        <v>193.04</v>
      </c>
      <c r="D686" s="280">
        <f>'Profits 2016'!K5899</f>
        <v>164.084</v>
      </c>
      <c r="E686" s="276">
        <f>'Profits 2016'!L5899</f>
        <v>950</v>
      </c>
      <c r="F686" s="275" t="str">
        <f>'Profits 2016'!P5899</f>
        <v>Nassau</v>
      </c>
      <c r="G686" s="292">
        <f>'Profits 2016'!N5899-'Profits 2016'!M5899</f>
        <v>95</v>
      </c>
      <c r="H686" s="319"/>
      <c r="I686" s="320"/>
      <c r="J686" s="321"/>
      <c r="K686" s="321"/>
      <c r="L686" s="321"/>
      <c r="M686" s="319"/>
      <c r="N686" s="322"/>
      <c r="O686" s="236" t="str">
        <f>'Profits 2016'!T5899</f>
        <v>FEDEX GROUND</v>
      </c>
      <c r="P686" s="284" t="str">
        <f>'Profits 2016'!U5899</f>
        <v>702723289002</v>
      </c>
      <c r="Q686" s="284" t="s">
        <v>314</v>
      </c>
      <c r="R686" s="276">
        <v>28.93</v>
      </c>
      <c r="S686" s="275" t="s">
        <v>15802</v>
      </c>
      <c r="T686" s="279">
        <v>42660</v>
      </c>
      <c r="U686" s="279">
        <v>42663</v>
      </c>
      <c r="V686" s="279">
        <v>42671</v>
      </c>
      <c r="W686" s="293">
        <f t="shared" si="74"/>
        <v>28.93</v>
      </c>
      <c r="X686" s="236">
        <v>9250</v>
      </c>
      <c r="AF686" s="276">
        <f t="shared" si="70"/>
        <v>123.93</v>
      </c>
      <c r="AG686" s="276">
        <f t="shared" si="64"/>
        <v>28.93</v>
      </c>
      <c r="AH686" s="276">
        <f t="shared" si="65"/>
        <v>135.154</v>
      </c>
      <c r="AI686" s="283">
        <f t="shared" si="66"/>
        <v>1.0905672557088679</v>
      </c>
    </row>
    <row r="687" spans="1:35" ht="30" x14ac:dyDescent="0.25">
      <c r="A687" s="275">
        <f>'Profits 2016'!A5900</f>
        <v>3004636</v>
      </c>
      <c r="B687" s="279">
        <f>'Profits 2016'!B5900</f>
        <v>42642</v>
      </c>
      <c r="C687" s="276">
        <f>'Profits 2016'!H5900</f>
        <v>179.97</v>
      </c>
      <c r="D687" s="280">
        <f>'Profits 2016'!K5900</f>
        <v>152.97450000000001</v>
      </c>
      <c r="E687" s="276">
        <f>'Profits 2016'!L5900</f>
        <v>584</v>
      </c>
      <c r="F687" s="275" t="str">
        <f>'Profits 2016'!P5900</f>
        <v>Commodity</v>
      </c>
      <c r="G687" s="292">
        <f>'Profits 2016'!N5900-'Profits 2016'!M5900</f>
        <v>102.19999999999999</v>
      </c>
      <c r="H687" s="292">
        <v>0</v>
      </c>
      <c r="I687" s="275" t="s">
        <v>15821</v>
      </c>
      <c r="J687" s="277">
        <v>42643</v>
      </c>
      <c r="K687" s="277">
        <v>42649</v>
      </c>
      <c r="L687" s="277">
        <v>42650</v>
      </c>
      <c r="M687" s="292">
        <v>100.16</v>
      </c>
      <c r="N687" s="281">
        <v>9146</v>
      </c>
      <c r="O687" s="236" t="str">
        <f>'Profits 2016'!T5900</f>
        <v>FEDEX GROUND</v>
      </c>
      <c r="P687" s="284" t="str">
        <f>'Profits 2016'!U5900</f>
        <v>777362082224</v>
      </c>
      <c r="Q687" s="284" t="s">
        <v>314</v>
      </c>
      <c r="R687" s="276">
        <v>37.5</v>
      </c>
      <c r="S687" s="275" t="s">
        <v>15802</v>
      </c>
      <c r="T687" s="279">
        <v>42660</v>
      </c>
      <c r="U687" s="279">
        <v>42663</v>
      </c>
      <c r="V687" s="279">
        <v>42671</v>
      </c>
      <c r="W687" s="293">
        <f t="shared" si="74"/>
        <v>37.5</v>
      </c>
      <c r="X687" s="236">
        <v>9250</v>
      </c>
      <c r="AF687" s="276">
        <f t="shared" si="70"/>
        <v>139.69999999999999</v>
      </c>
      <c r="AG687" s="276">
        <f t="shared" si="64"/>
        <v>137.66</v>
      </c>
      <c r="AH687" s="276">
        <f t="shared" si="65"/>
        <v>15.31450000000001</v>
      </c>
      <c r="AI687" s="283">
        <f t="shared" si="66"/>
        <v>0.10962419470293494</v>
      </c>
    </row>
    <row r="688" spans="1:35" ht="30" x14ac:dyDescent="0.25">
      <c r="A688" s="275">
        <f>'Profits 2016'!A5901</f>
        <v>3004637</v>
      </c>
      <c r="B688" s="279">
        <f>'Profits 2016'!B5901</f>
        <v>42642</v>
      </c>
      <c r="C688" s="276">
        <f>'Profits 2016'!H5901</f>
        <v>176.22</v>
      </c>
      <c r="D688" s="280">
        <f>'Profits 2016'!K5901</f>
        <v>149.78700000000001</v>
      </c>
      <c r="E688" s="276">
        <f>'Profits 2016'!L5901</f>
        <v>584</v>
      </c>
      <c r="F688" s="275" t="str">
        <f>'Profits 2016'!P5901</f>
        <v>Commodity</v>
      </c>
      <c r="G688" s="292">
        <f>'Profits 2016'!N5901-'Profits 2016'!M5901</f>
        <v>87.59999999999998</v>
      </c>
      <c r="H688" s="292">
        <v>0</v>
      </c>
      <c r="I688" s="275" t="s">
        <v>15822</v>
      </c>
      <c r="J688" s="277">
        <v>42643</v>
      </c>
      <c r="K688" s="277">
        <v>42649</v>
      </c>
      <c r="L688" s="277">
        <v>42650</v>
      </c>
      <c r="M688" s="292">
        <v>85.85</v>
      </c>
      <c r="N688" s="281">
        <v>9146</v>
      </c>
      <c r="O688" s="236" t="str">
        <f>'Profits 2016'!T5901</f>
        <v>FEDEX GROUND</v>
      </c>
      <c r="P688" s="284" t="str">
        <f>'Profits 2016'!U5901</f>
        <v>777362150081</v>
      </c>
      <c r="Q688" s="284" t="s">
        <v>314</v>
      </c>
      <c r="R688" s="276">
        <v>49.42</v>
      </c>
      <c r="S688" s="275" t="s">
        <v>15802</v>
      </c>
      <c r="T688" s="279">
        <v>42660</v>
      </c>
      <c r="U688" s="279">
        <v>42663</v>
      </c>
      <c r="V688" s="279">
        <v>42671</v>
      </c>
      <c r="W688" s="293">
        <f t="shared" si="74"/>
        <v>49.42</v>
      </c>
      <c r="X688" s="236">
        <v>9250</v>
      </c>
      <c r="AF688" s="276">
        <f t="shared" si="70"/>
        <v>137.01999999999998</v>
      </c>
      <c r="AG688" s="276">
        <f t="shared" si="64"/>
        <v>135.26999999999998</v>
      </c>
      <c r="AH688" s="276">
        <f t="shared" si="65"/>
        <v>14.517000000000024</v>
      </c>
      <c r="AI688" s="283">
        <f t="shared" si="66"/>
        <v>0.10594803678295159</v>
      </c>
    </row>
    <row r="689" spans="1:35" ht="30" x14ac:dyDescent="0.25">
      <c r="A689" s="275">
        <f>'Profits 2016'!A5902</f>
        <v>3004638</v>
      </c>
      <c r="B689" s="279">
        <f>'Profits 2016'!B5902</f>
        <v>42642</v>
      </c>
      <c r="C689" s="276">
        <f>'Profits 2016'!H5902</f>
        <v>125.42</v>
      </c>
      <c r="D689" s="280">
        <f>'Profits 2016'!K5902</f>
        <v>106.607</v>
      </c>
      <c r="E689" s="276">
        <f>'Profits 2016'!L5902</f>
        <v>325</v>
      </c>
      <c r="F689" s="275" t="str">
        <f>'Profits 2016'!P5902</f>
        <v>Wirexpress</v>
      </c>
      <c r="G689" s="292">
        <f>'Profits 2016'!N5902-'Profits 2016'!M5902</f>
        <v>48.75</v>
      </c>
      <c r="H689" s="292">
        <v>0</v>
      </c>
      <c r="I689" s="275" t="s">
        <v>15823</v>
      </c>
      <c r="J689" s="277">
        <v>42642</v>
      </c>
      <c r="K689" s="277">
        <v>42647</v>
      </c>
      <c r="L689" s="277">
        <v>42671</v>
      </c>
      <c r="M689" s="292">
        <v>48.75</v>
      </c>
      <c r="N689" s="281">
        <v>9270</v>
      </c>
      <c r="O689" s="236" t="str">
        <f>'Profits 2016'!T5902</f>
        <v>FEDEX GROUND</v>
      </c>
      <c r="P689" s="284" t="str">
        <f>'Profits 2016'!U5902</f>
        <v xml:space="preserve">022356386202425 </v>
      </c>
      <c r="Q689" s="284" t="s">
        <v>314</v>
      </c>
      <c r="R689" s="276">
        <v>11.08</v>
      </c>
      <c r="S689" s="275" t="s">
        <v>15738</v>
      </c>
      <c r="T689" s="279">
        <v>42653</v>
      </c>
      <c r="U689" s="279">
        <v>42656</v>
      </c>
      <c r="V689" s="340">
        <v>42664</v>
      </c>
      <c r="W689" s="350">
        <f>R689</f>
        <v>11.08</v>
      </c>
      <c r="X689" s="347">
        <v>9215</v>
      </c>
      <c r="AF689" s="276">
        <f t="shared" si="70"/>
        <v>59.83</v>
      </c>
      <c r="AG689" s="276">
        <f t="shared" si="64"/>
        <v>59.83</v>
      </c>
      <c r="AH689" s="276">
        <f t="shared" si="65"/>
        <v>46.777000000000001</v>
      </c>
      <c r="AI689" s="283">
        <f t="shared" si="66"/>
        <v>0.78183185692796264</v>
      </c>
    </row>
    <row r="690" spans="1:35" ht="30" x14ac:dyDescent="0.25">
      <c r="A690" s="275">
        <f>'Profits 2016'!A5903</f>
        <v>3004639</v>
      </c>
      <c r="B690" s="279">
        <f>'Profits 2016'!B5903</f>
        <v>42642</v>
      </c>
      <c r="C690" s="276">
        <f>'Profits 2016'!H5903</f>
        <v>104.78</v>
      </c>
      <c r="D690" s="280">
        <f>'Profits 2016'!K5903</f>
        <v>89.063000000000002</v>
      </c>
      <c r="E690" s="276">
        <f>'Profits 2016'!L5903</f>
        <v>626</v>
      </c>
      <c r="F690" s="275" t="str">
        <f>'Profits 2016'!P5903</f>
        <v>Wirexpress</v>
      </c>
      <c r="G690" s="292">
        <f>'Profits 2016'!N5903-'Profits 2016'!M5903</f>
        <v>51.332000000000001</v>
      </c>
      <c r="H690" s="292">
        <v>0</v>
      </c>
      <c r="I690" s="275" t="s">
        <v>15824</v>
      </c>
      <c r="J690" s="277">
        <v>42642</v>
      </c>
      <c r="K690" s="277">
        <v>42647</v>
      </c>
      <c r="L690" s="277">
        <v>42671</v>
      </c>
      <c r="M690" s="292">
        <v>51.33</v>
      </c>
      <c r="N690" s="281">
        <v>9270</v>
      </c>
      <c r="O690" s="236" t="str">
        <f>'Profits 2016'!T5903</f>
        <v>FEDEX GROUND</v>
      </c>
      <c r="P690" s="284" t="str">
        <f>'Profits 2016'!U5903</f>
        <v xml:space="preserve">440801774529636 </v>
      </c>
      <c r="Q690" s="284" t="s">
        <v>314</v>
      </c>
      <c r="R690" s="276">
        <v>12.1</v>
      </c>
      <c r="S690" s="275" t="s">
        <v>15802</v>
      </c>
      <c r="T690" s="279">
        <v>42660</v>
      </c>
      <c r="U690" s="279">
        <v>42663</v>
      </c>
      <c r="V690" s="279">
        <v>42671</v>
      </c>
      <c r="W690" s="293">
        <f t="shared" ref="W690:W692" si="75">R690</f>
        <v>12.1</v>
      </c>
      <c r="X690" s="236">
        <v>9250</v>
      </c>
      <c r="AF690" s="276">
        <f t="shared" si="70"/>
        <v>63.432000000000002</v>
      </c>
      <c r="AG690" s="276">
        <f t="shared" si="64"/>
        <v>63.43</v>
      </c>
      <c r="AH690" s="276">
        <f t="shared" si="65"/>
        <v>25.633000000000003</v>
      </c>
      <c r="AI690" s="283">
        <f t="shared" si="66"/>
        <v>0.40410203052087279</v>
      </c>
    </row>
    <row r="691" spans="1:35" ht="30" x14ac:dyDescent="0.25">
      <c r="A691" s="275">
        <f>'Profits 2016'!A5904</f>
        <v>3004640</v>
      </c>
      <c r="B691" s="279">
        <f>'Profits 2016'!B5904</f>
        <v>42642</v>
      </c>
      <c r="C691" s="276">
        <f>'Profits 2016'!H5904</f>
        <v>112.7</v>
      </c>
      <c r="D691" s="280">
        <f>'Profits 2016'!K5904</f>
        <v>95.795000000000002</v>
      </c>
      <c r="E691" s="276">
        <f>'Profits 2016'!L5904</f>
        <v>2200</v>
      </c>
      <c r="F691" s="275" t="str">
        <f>'Profits 2016'!P5904</f>
        <v>Direct</v>
      </c>
      <c r="G691" s="292">
        <f>'Profits 2016'!N5904-'Profits 2016'!M5904</f>
        <v>66</v>
      </c>
      <c r="H691" s="292">
        <v>0</v>
      </c>
      <c r="I691" s="275">
        <v>73593</v>
      </c>
      <c r="J691" s="277">
        <v>42643</v>
      </c>
      <c r="K691" s="277">
        <v>42648</v>
      </c>
      <c r="L691" s="277">
        <v>42650</v>
      </c>
      <c r="M691" s="292">
        <v>64.680000000000007</v>
      </c>
      <c r="N691" s="281">
        <v>9068</v>
      </c>
      <c r="O691" s="236" t="str">
        <f>'Profits 2016'!T5904</f>
        <v>FEDEX GROUND</v>
      </c>
      <c r="P691" s="284" t="str">
        <f>'Profits 2016'!U5904</f>
        <v>630512245041</v>
      </c>
      <c r="Q691" s="284" t="s">
        <v>314</v>
      </c>
      <c r="R691" s="276">
        <v>14.02</v>
      </c>
      <c r="S691" s="275" t="s">
        <v>15802</v>
      </c>
      <c r="T691" s="279">
        <v>42660</v>
      </c>
      <c r="U691" s="279">
        <v>42663</v>
      </c>
      <c r="V691" s="279">
        <v>42671</v>
      </c>
      <c r="W691" s="293">
        <f t="shared" si="75"/>
        <v>14.02</v>
      </c>
      <c r="X691" s="236">
        <v>9250</v>
      </c>
      <c r="AF691" s="276">
        <f t="shared" si="70"/>
        <v>80.02</v>
      </c>
      <c r="AG691" s="276">
        <f t="shared" si="64"/>
        <v>78.7</v>
      </c>
      <c r="AH691" s="276">
        <f t="shared" si="65"/>
        <v>17.094999999999999</v>
      </c>
      <c r="AI691" s="283">
        <f t="shared" si="66"/>
        <v>0.21363409147713072</v>
      </c>
    </row>
    <row r="692" spans="1:35" ht="30" x14ac:dyDescent="0.25">
      <c r="A692" s="275">
        <f>'Profits 2016'!A5905</f>
        <v>3004641</v>
      </c>
      <c r="B692" s="279">
        <f>'Profits 2016'!B5905</f>
        <v>42642</v>
      </c>
      <c r="C692" s="276">
        <f>'Profits 2016'!H5905</f>
        <v>146.19</v>
      </c>
      <c r="D692" s="280">
        <f>'Profits 2016'!K5905</f>
        <v>124.2615</v>
      </c>
      <c r="E692" s="276">
        <f>'Profits 2016'!L5905</f>
        <v>1022</v>
      </c>
      <c r="F692" s="275" t="str">
        <f>'Profits 2016'!P5905</f>
        <v>Direct</v>
      </c>
      <c r="G692" s="292">
        <f>'Profits 2016'!N5905-'Profits 2016'!M5905</f>
        <v>51.099999999999994</v>
      </c>
      <c r="H692" s="292">
        <v>0</v>
      </c>
      <c r="I692" s="275">
        <v>73594</v>
      </c>
      <c r="J692" s="277">
        <v>42643</v>
      </c>
      <c r="K692" s="277">
        <v>42648</v>
      </c>
      <c r="L692" s="277">
        <v>42650</v>
      </c>
      <c r="M692" s="292">
        <v>50.08</v>
      </c>
      <c r="N692" s="281">
        <v>9068</v>
      </c>
      <c r="O692" s="236" t="str">
        <f>'Profits 2016'!T5905</f>
        <v>FEDEX GROUND</v>
      </c>
      <c r="P692" s="284" t="str">
        <f>'Profits 2016'!U5905</f>
        <v>642286529100</v>
      </c>
      <c r="Q692" s="284" t="s">
        <v>314</v>
      </c>
      <c r="R692" s="276">
        <v>17.7</v>
      </c>
      <c r="S692" s="275" t="s">
        <v>15802</v>
      </c>
      <c r="T692" s="279">
        <v>42660</v>
      </c>
      <c r="U692" s="279">
        <v>42663</v>
      </c>
      <c r="V692" s="279">
        <v>42671</v>
      </c>
      <c r="W692" s="293">
        <f t="shared" si="75"/>
        <v>17.7</v>
      </c>
      <c r="X692" s="236">
        <v>9250</v>
      </c>
      <c r="AF692" s="276">
        <f t="shared" si="70"/>
        <v>68.8</v>
      </c>
      <c r="AG692" s="276">
        <f t="shared" si="64"/>
        <v>67.78</v>
      </c>
      <c r="AH692" s="276">
        <f t="shared" si="65"/>
        <v>56.481499999999997</v>
      </c>
      <c r="AI692" s="283">
        <f t="shared" si="66"/>
        <v>0.82095203488372093</v>
      </c>
    </row>
    <row r="693" spans="1:35" ht="30" x14ac:dyDescent="0.25">
      <c r="A693" s="275">
        <f>'Profits 2016'!A5906</f>
        <v>3004642</v>
      </c>
      <c r="B693" s="279">
        <f>'Profits 2016'!B5906</f>
        <v>42642</v>
      </c>
      <c r="C693" s="276">
        <f>'Profits 2016'!H5906</f>
        <v>2750</v>
      </c>
      <c r="D693" s="280">
        <f>'Profits 2016'!K5906</f>
        <v>2750</v>
      </c>
      <c r="E693" s="276">
        <f>'Profits 2016'!L5906</f>
        <v>3635</v>
      </c>
      <c r="F693" s="275" t="str">
        <f>'Profits 2016'!P5906</f>
        <v>Essex</v>
      </c>
      <c r="G693" s="292">
        <f>'Profits 2016'!N5906-'Profits 2016'!M5906</f>
        <v>1817.5</v>
      </c>
      <c r="O693" s="236" t="str">
        <f>'Profits 2016'!T5906</f>
        <v>see 3004501</v>
      </c>
      <c r="P693" s="284" t="str">
        <f>'Profits 2016'!U5906</f>
        <v>see 3004501</v>
      </c>
      <c r="AF693" s="276">
        <f t="shared" si="70"/>
        <v>1817.5</v>
      </c>
      <c r="AG693" s="276">
        <f t="shared" si="64"/>
        <v>0</v>
      </c>
      <c r="AH693" s="276">
        <f t="shared" si="65"/>
        <v>2750</v>
      </c>
      <c r="AI693" s="283">
        <f t="shared" si="66"/>
        <v>1.5130674002751032</v>
      </c>
    </row>
    <row r="694" spans="1:35" ht="30" x14ac:dyDescent="0.25">
      <c r="A694" s="275">
        <f>'Profits 2016'!A5907</f>
        <v>3004643</v>
      </c>
      <c r="B694" s="279">
        <f>'Profits 2016'!B5907</f>
        <v>42642</v>
      </c>
      <c r="C694" s="276">
        <f>'Profits 2016'!H5907</f>
        <v>780</v>
      </c>
      <c r="D694" s="280">
        <f>'Profits 2016'!K5907</f>
        <v>754.35</v>
      </c>
      <c r="E694" s="276">
        <f>'Profits 2016'!L5907</f>
        <v>1775</v>
      </c>
      <c r="F694" s="275" t="str">
        <f>'Profits 2016'!P5907</f>
        <v>Priority</v>
      </c>
      <c r="G694" s="292">
        <f>'Profits 2016'!N5907-'Profits 2016'!M5907</f>
        <v>443.75</v>
      </c>
      <c r="H694" s="292">
        <v>0</v>
      </c>
      <c r="I694" s="275">
        <v>1061921</v>
      </c>
      <c r="J694" s="277">
        <v>42643</v>
      </c>
      <c r="K694" s="277">
        <v>42654</v>
      </c>
      <c r="L694" s="277">
        <v>42671</v>
      </c>
      <c r="M694" s="292">
        <v>443.75</v>
      </c>
      <c r="N694" s="281">
        <v>9259</v>
      </c>
      <c r="O694" s="236" t="str">
        <f>'Profits 2016'!T5907</f>
        <v>VOLPE EXPRESS</v>
      </c>
      <c r="P694" s="284" t="str">
        <f>'Profits 2016'!U5907</f>
        <v xml:space="preserve">	33286982</v>
      </c>
      <c r="Q694" s="284" t="s">
        <v>15740</v>
      </c>
      <c r="R694" s="276">
        <v>145.79</v>
      </c>
      <c r="S694" s="275">
        <v>1061921</v>
      </c>
      <c r="T694" s="279">
        <v>42643</v>
      </c>
      <c r="U694" s="279">
        <v>42654</v>
      </c>
      <c r="V694" s="279">
        <v>42671</v>
      </c>
      <c r="W694" s="293">
        <v>145.79</v>
      </c>
      <c r="X694" s="236">
        <v>9259</v>
      </c>
      <c r="Y694" s="276">
        <v>90</v>
      </c>
      <c r="Z694" s="275">
        <v>1068955</v>
      </c>
      <c r="AA694" s="279">
        <v>42664</v>
      </c>
      <c r="AB694" s="279">
        <v>42683</v>
      </c>
      <c r="AC694" s="279">
        <v>42692</v>
      </c>
      <c r="AD694" s="293">
        <v>90</v>
      </c>
      <c r="AE694" s="282">
        <v>9450</v>
      </c>
      <c r="AF694" s="276">
        <f t="shared" si="70"/>
        <v>679.54</v>
      </c>
      <c r="AG694" s="276">
        <f t="shared" si="64"/>
        <v>679.54</v>
      </c>
      <c r="AH694" s="276">
        <f t="shared" si="65"/>
        <v>74.810000000000059</v>
      </c>
      <c r="AI694" s="283">
        <f t="shared" si="66"/>
        <v>0.11008917797333499</v>
      </c>
    </row>
    <row r="695" spans="1:35" ht="30" x14ac:dyDescent="0.25">
      <c r="A695" s="275">
        <f>'Profits 2016'!A5908</f>
        <v>3004644</v>
      </c>
      <c r="B695" s="279">
        <f>'Profits 2016'!B5908</f>
        <v>42642</v>
      </c>
      <c r="C695" s="276">
        <f>'Profits 2016'!H5908</f>
        <v>537.02</v>
      </c>
      <c r="D695" s="280">
        <f>'Profits 2016'!K5908</f>
        <v>478.18482</v>
      </c>
      <c r="E695" s="276">
        <f>'Profits 2016'!L5908</f>
        <v>1322</v>
      </c>
      <c r="F695" s="275" t="str">
        <f>'Profits 2016'!P5908</f>
        <v>Nassau</v>
      </c>
      <c r="G695" s="292">
        <f>'Profits 2016'!N5908-'Profits 2016'!M5908</f>
        <v>264.40000000000003</v>
      </c>
      <c r="H695" s="319"/>
      <c r="I695" s="320"/>
      <c r="J695" s="321"/>
      <c r="K695" s="321"/>
      <c r="L695" s="321"/>
      <c r="M695" s="319"/>
      <c r="N695" s="322"/>
      <c r="O695" s="236" t="str">
        <f>'Profits 2016'!T5908</f>
        <v>FEDEX GROUND</v>
      </c>
      <c r="P695" s="284" t="str">
        <f>'Profits 2016'!U5908</f>
        <v>665645047221</v>
      </c>
      <c r="Q695" s="284" t="s">
        <v>314</v>
      </c>
      <c r="R695" s="276">
        <v>52.74</v>
      </c>
      <c r="S695" s="275" t="s">
        <v>15802</v>
      </c>
      <c r="T695" s="279">
        <v>42660</v>
      </c>
      <c r="U695" s="279">
        <v>42663</v>
      </c>
      <c r="V695" s="279">
        <v>42671</v>
      </c>
      <c r="W695" s="293">
        <f>R695</f>
        <v>52.74</v>
      </c>
      <c r="X695" s="236">
        <v>9250</v>
      </c>
      <c r="AF695" s="276">
        <f t="shared" si="70"/>
        <v>317.14000000000004</v>
      </c>
      <c r="AG695" s="276">
        <f t="shared" si="64"/>
        <v>52.74</v>
      </c>
      <c r="AH695" s="276">
        <f t="shared" si="65"/>
        <v>425.44481999999999</v>
      </c>
      <c r="AI695" s="283">
        <f t="shared" si="66"/>
        <v>1.3415047613041557</v>
      </c>
    </row>
    <row r="696" spans="1:35" x14ac:dyDescent="0.25">
      <c r="A696" s="275">
        <f>'Profits 2016'!A5909</f>
        <v>3004645</v>
      </c>
      <c r="B696" s="279">
        <f>'Profits 2016'!B5909</f>
        <v>42642</v>
      </c>
      <c r="C696" s="276">
        <f>'Profits 2016'!H5909</f>
        <v>1417.5</v>
      </c>
      <c r="D696" s="280">
        <f>'Profits 2016'!K5909</f>
        <v>1371.1312499999999</v>
      </c>
      <c r="E696" s="276">
        <f>'Profits 2016'!L5909</f>
        <v>2050</v>
      </c>
      <c r="F696" s="275" t="str">
        <f>'Profits 2016'!P5909</f>
        <v>Priority</v>
      </c>
      <c r="G696" s="292">
        <f>'Profits 2016'!N5909-'Profits 2016'!M5909</f>
        <v>1025</v>
      </c>
      <c r="H696" s="292">
        <v>0</v>
      </c>
      <c r="I696" s="275">
        <v>1061207</v>
      </c>
      <c r="J696" s="277">
        <v>42642</v>
      </c>
      <c r="K696" s="277">
        <v>42650</v>
      </c>
      <c r="L696" s="277">
        <v>42671</v>
      </c>
      <c r="M696" s="292">
        <v>1025</v>
      </c>
      <c r="N696" s="281">
        <v>9258</v>
      </c>
      <c r="O696" s="236" t="str">
        <f>'Profits 2016'!T5909</f>
        <v>NEMF</v>
      </c>
      <c r="P696" s="284" t="str">
        <f>'Profits 2016'!U5909</f>
        <v>25182266</v>
      </c>
      <c r="Q696" s="284" t="s">
        <v>15740</v>
      </c>
      <c r="R696" s="276">
        <v>125</v>
      </c>
      <c r="S696" s="275">
        <v>1061207</v>
      </c>
      <c r="T696" s="279">
        <v>42642</v>
      </c>
      <c r="U696" s="279">
        <v>42650</v>
      </c>
      <c r="V696" s="279">
        <v>42671</v>
      </c>
      <c r="W696" s="293">
        <v>125</v>
      </c>
      <c r="X696" s="236">
        <v>9258</v>
      </c>
      <c r="AF696" s="276">
        <f t="shared" si="70"/>
        <v>1150</v>
      </c>
      <c r="AG696" s="276">
        <f t="shared" si="64"/>
        <v>1150</v>
      </c>
      <c r="AH696" s="276">
        <f t="shared" si="65"/>
        <v>221.13124999999991</v>
      </c>
      <c r="AI696" s="283">
        <f t="shared" si="66"/>
        <v>0.19228804347826078</v>
      </c>
    </row>
    <row r="697" spans="1:35" ht="30" x14ac:dyDescent="0.25">
      <c r="A697" s="275">
        <f>'Profits 2016'!A5910</f>
        <v>3004646</v>
      </c>
      <c r="B697" s="279">
        <f>'Profits 2016'!B5910</f>
        <v>42642</v>
      </c>
      <c r="C697" s="276">
        <f>'Profits 2016'!H5910</f>
        <v>213.77</v>
      </c>
      <c r="D697" s="280">
        <f>'Profits 2016'!K5910</f>
        <v>190.16907000000003</v>
      </c>
      <c r="E697" s="276">
        <f>'Profits 2016'!L5910</f>
        <v>2150</v>
      </c>
      <c r="F697" s="275" t="str">
        <f>'Profits 2016'!P5910</f>
        <v>Nassau</v>
      </c>
      <c r="G697" s="292">
        <f>'Profits 2016'!N5910-'Profits 2016'!M5910</f>
        <v>107.5</v>
      </c>
      <c r="H697" s="319"/>
      <c r="I697" s="320"/>
      <c r="J697" s="321"/>
      <c r="K697" s="321"/>
      <c r="L697" s="321"/>
      <c r="M697" s="319"/>
      <c r="N697" s="322"/>
      <c r="O697" s="236" t="str">
        <f>'Profits 2016'!T5910</f>
        <v>FEDEX GROUND</v>
      </c>
      <c r="P697" s="284" t="str">
        <f>'Profits 2016'!U5910</f>
        <v>665645047368</v>
      </c>
      <c r="Q697" s="284" t="s">
        <v>314</v>
      </c>
      <c r="R697" s="276">
        <v>14.21</v>
      </c>
      <c r="S697" s="275" t="s">
        <v>15802</v>
      </c>
      <c r="T697" s="279">
        <v>42660</v>
      </c>
      <c r="U697" s="279">
        <v>42663</v>
      </c>
      <c r="V697" s="279">
        <v>42671</v>
      </c>
      <c r="W697" s="293">
        <f>R697</f>
        <v>14.21</v>
      </c>
      <c r="X697" s="236">
        <v>9250</v>
      </c>
      <c r="AF697" s="276">
        <f t="shared" si="70"/>
        <v>121.71000000000001</v>
      </c>
      <c r="AG697" s="276">
        <f t="shared" si="64"/>
        <v>14.21</v>
      </c>
      <c r="AH697" s="276">
        <f t="shared" si="65"/>
        <v>175.95907000000003</v>
      </c>
      <c r="AI697" s="283">
        <f t="shared" si="66"/>
        <v>1.4457240161038536</v>
      </c>
    </row>
    <row r="698" spans="1:35" ht="30" x14ac:dyDescent="0.25">
      <c r="A698" s="275">
        <f>'Profits 2016'!A5911</f>
        <v>3004647</v>
      </c>
      <c r="B698" s="279">
        <f>'Profits 2016'!B5911</f>
        <v>42642</v>
      </c>
      <c r="C698" s="276">
        <f>'Profits 2016'!H5911</f>
        <v>211.56</v>
      </c>
      <c r="D698" s="280">
        <f>'Profits 2016'!K5911</f>
        <v>188.19996</v>
      </c>
      <c r="E698" s="276">
        <f>'Profits 2016'!L5911</f>
        <v>900</v>
      </c>
      <c r="F698" s="275" t="str">
        <f>'Profits 2016'!P5911</f>
        <v>Priority</v>
      </c>
      <c r="G698" s="292">
        <f>'Profits 2016'!N5911-'Profits 2016'!M5911</f>
        <v>112.49999999999999</v>
      </c>
      <c r="H698" s="292">
        <v>0</v>
      </c>
      <c r="I698" s="275">
        <v>1061705</v>
      </c>
      <c r="J698" s="277">
        <v>42643</v>
      </c>
      <c r="K698" s="277">
        <v>42654</v>
      </c>
      <c r="L698" s="277">
        <v>42671</v>
      </c>
      <c r="M698" s="292">
        <v>90</v>
      </c>
      <c r="N698" s="281">
        <v>9259</v>
      </c>
      <c r="O698" s="236" t="str">
        <f>'Profits 2016'!T5911</f>
        <v>FEDEX GROUND</v>
      </c>
      <c r="P698" s="284" t="str">
        <f>'Profits 2016'!U5911</f>
        <v>680993425559</v>
      </c>
      <c r="Q698" s="284" t="s">
        <v>15740</v>
      </c>
      <c r="R698" s="276">
        <v>43.39</v>
      </c>
      <c r="S698" s="275">
        <v>1061705</v>
      </c>
      <c r="T698" s="279">
        <v>42643</v>
      </c>
      <c r="U698" s="279">
        <v>42654</v>
      </c>
      <c r="V698" s="279">
        <v>42671</v>
      </c>
      <c r="W698" s="293">
        <v>43.39</v>
      </c>
      <c r="X698" s="236">
        <v>9259</v>
      </c>
      <c r="AF698" s="276">
        <f t="shared" si="70"/>
        <v>155.88999999999999</v>
      </c>
      <c r="AG698" s="276">
        <f t="shared" si="64"/>
        <v>133.38999999999999</v>
      </c>
      <c r="AH698" s="276">
        <f t="shared" si="65"/>
        <v>54.809960000000018</v>
      </c>
      <c r="AI698" s="283">
        <f t="shared" si="66"/>
        <v>0.35159381615241531</v>
      </c>
    </row>
    <row r="699" spans="1:35" ht="30" x14ac:dyDescent="0.25">
      <c r="A699" s="275">
        <f>'Profits 2016'!A5912</f>
        <v>3004648</v>
      </c>
      <c r="B699" s="279">
        <f>'Profits 2016'!B5912</f>
        <v>42642</v>
      </c>
      <c r="C699" s="276">
        <f>'Profits 2016'!H5912</f>
        <v>186.06</v>
      </c>
      <c r="D699" s="280">
        <f>'Profits 2016'!K5912</f>
        <v>158.15100000000001</v>
      </c>
      <c r="E699" s="276">
        <f>'Profits 2016'!L5912</f>
        <v>680</v>
      </c>
      <c r="F699" s="275" t="str">
        <f>'Profits 2016'!P5912</f>
        <v>Nassau</v>
      </c>
      <c r="G699" s="292">
        <f>'Profits 2016'!N5912-'Profits 2016'!M5912</f>
        <v>85</v>
      </c>
      <c r="H699" s="319"/>
      <c r="I699" s="320"/>
      <c r="J699" s="321"/>
      <c r="K699" s="321"/>
      <c r="L699" s="321"/>
      <c r="M699" s="319"/>
      <c r="N699" s="322"/>
      <c r="O699" s="236" t="str">
        <f>'Profits 2016'!T5912</f>
        <v>FEDEX GROUND</v>
      </c>
      <c r="P699" s="284" t="str">
        <f>'Profits 2016'!U5912</f>
        <v>665645047265</v>
      </c>
      <c r="Q699" s="284" t="s">
        <v>314</v>
      </c>
      <c r="R699" s="276">
        <v>31.78</v>
      </c>
      <c r="S699" s="275" t="s">
        <v>15802</v>
      </c>
      <c r="T699" s="279">
        <v>42660</v>
      </c>
      <c r="U699" s="279">
        <v>42663</v>
      </c>
      <c r="V699" s="279">
        <v>42671</v>
      </c>
      <c r="W699" s="293">
        <f>R699</f>
        <v>31.78</v>
      </c>
      <c r="X699" s="236">
        <v>9250</v>
      </c>
      <c r="AF699" s="276">
        <f t="shared" si="70"/>
        <v>124.26</v>
      </c>
      <c r="AG699" s="276">
        <f t="shared" si="64"/>
        <v>31.78</v>
      </c>
      <c r="AH699" s="276">
        <f t="shared" si="65"/>
        <v>126.37100000000001</v>
      </c>
      <c r="AI699" s="283">
        <f t="shared" si="66"/>
        <v>1.0169885723483021</v>
      </c>
    </row>
    <row r="700" spans="1:35" x14ac:dyDescent="0.25">
      <c r="A700" s="275">
        <f>'Profits 2016'!A5913</f>
        <v>3004649</v>
      </c>
      <c r="B700" s="279">
        <f>'Profits 2016'!B5913</f>
        <v>42642</v>
      </c>
      <c r="C700" s="276">
        <f>'Profits 2016'!H5913</f>
        <v>4440</v>
      </c>
      <c r="D700" s="280">
        <f>'Profits 2016'!K5913</f>
        <v>4342.0200000000004</v>
      </c>
      <c r="E700" s="276">
        <f>'Profits 2016'!L5913</f>
        <v>227.25</v>
      </c>
      <c r="F700" s="275" t="str">
        <f>'Profits 2016'!P5913</f>
        <v>General</v>
      </c>
      <c r="G700" s="292">
        <f>'Profits 2016'!N5913-'Profits 2016'!M5913</f>
        <v>2272.5</v>
      </c>
      <c r="H700" s="292">
        <v>7.48</v>
      </c>
      <c r="I700" s="275">
        <v>3755814</v>
      </c>
      <c r="J700" s="277">
        <v>42646</v>
      </c>
      <c r="K700" s="277">
        <v>42650</v>
      </c>
      <c r="L700" s="277">
        <v>42678</v>
      </c>
      <c r="M700" s="292">
        <v>3126.34</v>
      </c>
      <c r="N700" s="281">
        <v>9307</v>
      </c>
      <c r="O700" s="236" t="str">
        <f>'Profits 2016'!T5913</f>
        <v>PITT OHIO</v>
      </c>
      <c r="P700" s="284" t="str">
        <f>'Profits 2016'!U5913</f>
        <v>5011219866</v>
      </c>
      <c r="AF700" s="276">
        <f t="shared" si="70"/>
        <v>2276.0300000000002</v>
      </c>
      <c r="AG700" s="276">
        <f t="shared" si="64"/>
        <v>3126.34</v>
      </c>
      <c r="AH700" s="276">
        <f t="shared" si="65"/>
        <v>1215.6800000000003</v>
      </c>
      <c r="AI700" s="283">
        <f t="shared" si="66"/>
        <v>0.53412301243832472</v>
      </c>
    </row>
    <row r="701" spans="1:35" x14ac:dyDescent="0.25">
      <c r="A701" s="275">
        <f>'Profits 2016'!A5914</f>
        <v>0</v>
      </c>
      <c r="B701" s="279">
        <f>'Profits 2016'!B5914</f>
        <v>0</v>
      </c>
      <c r="C701" s="276">
        <f>'Profits 2016'!H5914</f>
        <v>0</v>
      </c>
      <c r="D701" s="280">
        <f>'Profits 2016'!K5914</f>
        <v>0</v>
      </c>
      <c r="E701" s="276">
        <f>'Profits 2016'!L5914</f>
        <v>302.20999999999998</v>
      </c>
      <c r="F701" s="275" t="str">
        <f>'Profits 2016'!P5914</f>
        <v>General</v>
      </c>
      <c r="G701" s="292">
        <f>'Profits 2016'!N5914-'Profits 2016'!M5914</f>
        <v>906.62999999999988</v>
      </c>
      <c r="H701" s="292">
        <v>3.53</v>
      </c>
      <c r="I701" s="275">
        <v>3755814</v>
      </c>
      <c r="J701" s="277">
        <v>42646</v>
      </c>
      <c r="K701" s="277">
        <v>42650</v>
      </c>
      <c r="L701" s="277">
        <v>42678</v>
      </c>
      <c r="M701" s="292">
        <v>0</v>
      </c>
      <c r="N701" s="281">
        <v>9307</v>
      </c>
      <c r="O701" s="236">
        <f>'Profits 2016'!T5914</f>
        <v>0</v>
      </c>
      <c r="P701" s="284">
        <f>'Profits 2016'!U5914</f>
        <v>0</v>
      </c>
      <c r="AF701" s="276">
        <f t="shared" si="70"/>
        <v>906.62999999999988</v>
      </c>
      <c r="AG701" s="276">
        <f t="shared" si="64"/>
        <v>0</v>
      </c>
      <c r="AH701" s="276">
        <f t="shared" si="65"/>
        <v>0</v>
      </c>
      <c r="AI701" s="283">
        <f t="shared" si="66"/>
        <v>0</v>
      </c>
    </row>
    <row r="702" spans="1:35" x14ac:dyDescent="0.25">
      <c r="A702" s="275">
        <f>'Profits 2016'!A5915</f>
        <v>3004650</v>
      </c>
      <c r="B702" s="279">
        <f>'Profits 2016'!B5915</f>
        <v>42642</v>
      </c>
      <c r="C702" s="276">
        <f>'Profits 2016'!H5915</f>
        <v>150</v>
      </c>
      <c r="D702" s="280">
        <f>'Profits 2016'!K5915</f>
        <v>146.4</v>
      </c>
      <c r="E702" s="276">
        <f>'Profits 2016'!L5915</f>
        <v>700</v>
      </c>
      <c r="F702" s="275" t="str">
        <f>'Profits 2016'!P5915</f>
        <v>A-Z</v>
      </c>
      <c r="G702" s="292">
        <f>'Profits 2016'!N5915-'Profits 2016'!M5915</f>
        <v>35</v>
      </c>
      <c r="H702" s="292">
        <v>0</v>
      </c>
      <c r="I702" s="275">
        <v>403490</v>
      </c>
      <c r="J702" s="277">
        <v>42646</v>
      </c>
      <c r="K702" s="277">
        <v>42650</v>
      </c>
      <c r="L702" s="277">
        <v>42692</v>
      </c>
      <c r="M702" s="292">
        <v>35</v>
      </c>
      <c r="N702" s="281">
        <v>9430</v>
      </c>
      <c r="O702" s="236" t="str">
        <f>'Profits 2016'!T5915</f>
        <v>FEDEX P1</v>
      </c>
      <c r="P702" s="284" t="str">
        <f>'Profits 2016'!U5915</f>
        <v>655044320230</v>
      </c>
      <c r="AF702" s="276">
        <f t="shared" si="70"/>
        <v>35</v>
      </c>
      <c r="AG702" s="276">
        <f t="shared" si="64"/>
        <v>35</v>
      </c>
      <c r="AH702" s="276">
        <f t="shared" si="65"/>
        <v>111.4</v>
      </c>
      <c r="AI702" s="283">
        <f t="shared" si="66"/>
        <v>3.1828571428571428</v>
      </c>
    </row>
    <row r="703" spans="1:35" ht="30" x14ac:dyDescent="0.25">
      <c r="A703" s="275">
        <f>'Profits 2016'!A5916</f>
        <v>3004651</v>
      </c>
      <c r="B703" s="279">
        <f>'Profits 2016'!B5916</f>
        <v>42643</v>
      </c>
      <c r="C703" s="276">
        <f>'Profits 2016'!H5916</f>
        <v>527.78</v>
      </c>
      <c r="D703" s="280">
        <f>'Profits 2016'!K5916</f>
        <v>515.86883999999998</v>
      </c>
      <c r="E703" s="276">
        <f>'Profits 2016'!L5916</f>
        <v>584</v>
      </c>
      <c r="F703" s="275" t="str">
        <f>'Profits 2016'!P5916</f>
        <v>Commodity</v>
      </c>
      <c r="G703" s="292">
        <f>'Profits 2016'!N5916-'Profits 2016'!M5916</f>
        <v>146</v>
      </c>
      <c r="H703" s="292">
        <v>0</v>
      </c>
      <c r="I703" s="275" t="s">
        <v>15825</v>
      </c>
      <c r="J703" s="277">
        <v>42649</v>
      </c>
      <c r="K703" s="277">
        <v>42654</v>
      </c>
      <c r="L703" s="277">
        <v>42657</v>
      </c>
      <c r="M703" s="292">
        <v>143.08000000000001</v>
      </c>
      <c r="N703" s="281">
        <v>9162</v>
      </c>
      <c r="O703" s="236" t="str">
        <f>'Profits 2016'!T5916</f>
        <v>FEDEX GROUND</v>
      </c>
      <c r="P703" s="284" t="str">
        <f>'Profits 2016'!U5916</f>
        <v>777405720519</v>
      </c>
      <c r="Q703" s="284" t="s">
        <v>314</v>
      </c>
      <c r="R703" s="276">
        <v>37.950000000000003</v>
      </c>
      <c r="S703" s="275" t="s">
        <v>15805</v>
      </c>
      <c r="T703" s="279">
        <v>42667</v>
      </c>
      <c r="U703" s="279">
        <v>42670</v>
      </c>
      <c r="V703" s="279">
        <v>42678</v>
      </c>
      <c r="W703" s="293">
        <v>0</v>
      </c>
      <c r="X703" s="236">
        <v>9301</v>
      </c>
      <c r="AF703" s="276">
        <f t="shared" si="70"/>
        <v>183.95</v>
      </c>
      <c r="AG703" s="276">
        <f t="shared" si="64"/>
        <v>181.03000000000003</v>
      </c>
      <c r="AH703" s="276">
        <f t="shared" si="65"/>
        <v>334.83883999999995</v>
      </c>
      <c r="AI703" s="283">
        <f t="shared" si="66"/>
        <v>1.8202709431910844</v>
      </c>
    </row>
    <row r="704" spans="1:35" ht="30" x14ac:dyDescent="0.25">
      <c r="A704" s="275">
        <f>'Profits 2016'!A5917</f>
        <v>0</v>
      </c>
      <c r="B704" s="279">
        <f>'Profits 2016'!B5917</f>
        <v>0</v>
      </c>
      <c r="C704" s="276">
        <f>'Profits 2016'!H5917</f>
        <v>0</v>
      </c>
      <c r="D704" s="280">
        <f>'Profits 2016'!K5917</f>
        <v>0</v>
      </c>
      <c r="E704" s="276">
        <f>'Profits 2016'!L5917</f>
        <v>570</v>
      </c>
      <c r="F704" s="275" t="str">
        <f>'Profits 2016'!P5917</f>
        <v>Nassau</v>
      </c>
      <c r="G704" s="292">
        <f>'Profits 2016'!N5917-'Profits 2016'!M5917</f>
        <v>114</v>
      </c>
      <c r="H704" s="319"/>
      <c r="I704" s="320"/>
      <c r="J704" s="321"/>
      <c r="K704" s="321"/>
      <c r="L704" s="321"/>
      <c r="M704" s="319"/>
      <c r="N704" s="322"/>
      <c r="O704" s="236" t="str">
        <f>'Profits 2016'!T5917</f>
        <v>FEDEX GROUND</v>
      </c>
      <c r="P704" s="284" t="str">
        <f>'Profits 2016'!U5917</f>
        <v>665645047302</v>
      </c>
      <c r="Q704" s="284" t="s">
        <v>314</v>
      </c>
      <c r="R704" s="276">
        <v>33.07</v>
      </c>
      <c r="S704" s="275" t="s">
        <v>15802</v>
      </c>
      <c r="T704" s="279">
        <v>42660</v>
      </c>
      <c r="U704" s="279">
        <v>42663</v>
      </c>
      <c r="V704" s="279">
        <v>42671</v>
      </c>
      <c r="W704" s="293">
        <f>R704</f>
        <v>33.07</v>
      </c>
      <c r="X704" s="236">
        <v>9250</v>
      </c>
      <c r="AF704" s="276">
        <f t="shared" si="70"/>
        <v>147.07</v>
      </c>
      <c r="AG704" s="276">
        <f t="shared" si="64"/>
        <v>33.07</v>
      </c>
      <c r="AH704" s="276">
        <f t="shared" si="65"/>
        <v>-33.07</v>
      </c>
      <c r="AI704" s="283">
        <f t="shared" si="66"/>
        <v>-0.22485891072278508</v>
      </c>
    </row>
    <row r="705" spans="1:35" ht="30" x14ac:dyDescent="0.25">
      <c r="A705" s="275">
        <f>'Profits 2016'!A5918</f>
        <v>3004652</v>
      </c>
      <c r="B705" s="279">
        <f>'Profits 2016'!B5918</f>
        <v>42643</v>
      </c>
      <c r="C705" s="276">
        <f>'Profits 2016'!H5918</f>
        <v>235</v>
      </c>
      <c r="D705" s="280">
        <f>'Profits 2016'!K5918</f>
        <v>227.0625</v>
      </c>
      <c r="E705" s="276">
        <f>'Profits 2016'!L5918</f>
        <v>240</v>
      </c>
      <c r="F705" s="275" t="str">
        <f>'Profits 2016'!P5918</f>
        <v>Priority</v>
      </c>
      <c r="G705" s="292">
        <f>'Profits 2016'!N5918-'Profits 2016'!M5918</f>
        <v>120</v>
      </c>
      <c r="H705" s="292">
        <v>0</v>
      </c>
      <c r="I705" s="275">
        <v>1061704</v>
      </c>
      <c r="J705" s="277">
        <v>42643</v>
      </c>
      <c r="K705" s="277">
        <v>42654</v>
      </c>
      <c r="L705" s="277">
        <v>42671</v>
      </c>
      <c r="M705" s="292">
        <v>120</v>
      </c>
      <c r="N705" s="281">
        <v>9259</v>
      </c>
      <c r="O705" s="236" t="str">
        <f>'Profits 2016'!T5918</f>
        <v>FEDEX GROUND</v>
      </c>
      <c r="P705" s="284" t="str">
        <f>'Profits 2016'!U5918</f>
        <v>616712876921</v>
      </c>
      <c r="Q705" s="284" t="s">
        <v>15740</v>
      </c>
      <c r="R705" s="276">
        <v>18.66</v>
      </c>
      <c r="S705" s="275">
        <v>1061704</v>
      </c>
      <c r="T705" s="279">
        <v>42643</v>
      </c>
      <c r="U705" s="279">
        <v>42654</v>
      </c>
      <c r="V705" s="279">
        <v>42671</v>
      </c>
      <c r="W705" s="293">
        <v>18.66</v>
      </c>
      <c r="X705" s="236">
        <v>9259</v>
      </c>
      <c r="AF705" s="276">
        <f t="shared" si="70"/>
        <v>138.66</v>
      </c>
      <c r="AG705" s="276">
        <f t="shared" si="64"/>
        <v>138.66</v>
      </c>
      <c r="AH705" s="276">
        <f t="shared" si="65"/>
        <v>88.402500000000003</v>
      </c>
      <c r="AI705" s="283">
        <f t="shared" si="66"/>
        <v>0.63754868022501088</v>
      </c>
    </row>
    <row r="706" spans="1:35" ht="30" x14ac:dyDescent="0.25">
      <c r="A706" s="275">
        <f>'Profits 2016'!A5919</f>
        <v>3004653</v>
      </c>
      <c r="B706" s="279">
        <f>'Profits 2016'!B5919</f>
        <v>42643</v>
      </c>
      <c r="C706" s="276">
        <f>'Profits 2016'!H5919</f>
        <v>183.4</v>
      </c>
      <c r="D706" s="280">
        <f>'Profits 2016'!K5919</f>
        <v>163.10939999999999</v>
      </c>
      <c r="E706" s="276">
        <f>'Profits 2016'!L5919</f>
        <v>240</v>
      </c>
      <c r="F706" s="275" t="str">
        <f>'Profits 2016'!P5919</f>
        <v>Nassau</v>
      </c>
      <c r="G706" s="292">
        <f>'Profits 2016'!N5919-'Profits 2016'!M5919</f>
        <v>59.999999999999993</v>
      </c>
      <c r="H706" s="319"/>
      <c r="I706" s="320"/>
      <c r="J706" s="321"/>
      <c r="K706" s="321"/>
      <c r="L706" s="321"/>
      <c r="M706" s="319"/>
      <c r="N706" s="322"/>
      <c r="O706" s="236" t="str">
        <f>'Profits 2016'!T5919</f>
        <v>FEDEX GROUND</v>
      </c>
      <c r="P706" s="284" t="str">
        <f>'Profits 2016'!U5919</f>
        <v>665645047313</v>
      </c>
      <c r="Q706" s="284" t="s">
        <v>314</v>
      </c>
      <c r="R706" s="276">
        <v>38.1</v>
      </c>
      <c r="S706" s="275" t="s">
        <v>15802</v>
      </c>
      <c r="T706" s="279">
        <v>42660</v>
      </c>
      <c r="U706" s="279">
        <v>42663</v>
      </c>
      <c r="V706" s="279">
        <v>42671</v>
      </c>
      <c r="W706" s="293">
        <f>R706</f>
        <v>38.1</v>
      </c>
      <c r="X706" s="236">
        <v>9250</v>
      </c>
      <c r="AF706" s="276">
        <f t="shared" si="70"/>
        <v>98.1</v>
      </c>
      <c r="AG706" s="276">
        <f t="shared" si="64"/>
        <v>38.1</v>
      </c>
      <c r="AH706" s="276">
        <f t="shared" si="65"/>
        <v>125.0094</v>
      </c>
      <c r="AI706" s="283">
        <f t="shared" si="66"/>
        <v>1.2743058103975535</v>
      </c>
    </row>
    <row r="707" spans="1:35" ht="30" x14ac:dyDescent="0.25">
      <c r="A707" s="275">
        <f>'Profits 2016'!A5920</f>
        <v>3004654</v>
      </c>
      <c r="B707" s="279">
        <f>'Profits 2016'!B5920</f>
        <v>42643</v>
      </c>
      <c r="C707" s="276">
        <f>'Profits 2016'!H5920</f>
        <v>227.48</v>
      </c>
      <c r="D707" s="280">
        <f>'Profits 2016'!K5920</f>
        <v>202.38468</v>
      </c>
      <c r="E707" s="276">
        <f>'Profits 2016'!L5920</f>
        <v>990</v>
      </c>
      <c r="F707" s="275" t="str">
        <f>'Profits 2016'!P5920</f>
        <v>Nassau</v>
      </c>
      <c r="G707" s="292">
        <f>'Profits 2016'!N5920-'Profits 2016'!M5920</f>
        <v>98.999999999999986</v>
      </c>
      <c r="H707" s="319"/>
      <c r="I707" s="320"/>
      <c r="J707" s="321"/>
      <c r="K707" s="321"/>
      <c r="L707" s="321"/>
      <c r="M707" s="319"/>
      <c r="N707" s="322"/>
      <c r="O707" s="236" t="str">
        <f>'Profits 2016'!T5920</f>
        <v>FEDEX GROUND</v>
      </c>
      <c r="P707" s="284" t="str">
        <f>'Profits 2016'!U5920</f>
        <v>680483360266</v>
      </c>
      <c r="Q707" s="284" t="s">
        <v>314</v>
      </c>
      <c r="R707" s="276">
        <v>50.14</v>
      </c>
      <c r="S707" s="275" t="s">
        <v>15805</v>
      </c>
      <c r="T707" s="279">
        <v>42667</v>
      </c>
      <c r="U707" s="279">
        <v>42670</v>
      </c>
      <c r="V707" s="279">
        <v>42678</v>
      </c>
      <c r="W707" s="293">
        <v>0</v>
      </c>
      <c r="X707" s="236">
        <v>9301</v>
      </c>
      <c r="AF707" s="276">
        <f t="shared" si="70"/>
        <v>149.13999999999999</v>
      </c>
      <c r="AG707" s="276">
        <f t="shared" ref="AG707:AG770" si="76">M707+R707+Y707</f>
        <v>50.14</v>
      </c>
      <c r="AH707" s="276">
        <f t="shared" ref="AH707:AH770" si="77">D707-AG707</f>
        <v>152.24468000000002</v>
      </c>
      <c r="AI707" s="283">
        <f t="shared" ref="AI707:AI770" si="78">AH707/AF707</f>
        <v>1.0208172187206654</v>
      </c>
    </row>
    <row r="708" spans="1:35" ht="30" x14ac:dyDescent="0.25">
      <c r="A708" s="275">
        <f>'Profits 2016'!A5921</f>
        <v>3004655</v>
      </c>
      <c r="B708" s="279">
        <f>'Profits 2016'!B5921</f>
        <v>42643</v>
      </c>
      <c r="C708" s="276">
        <f>'Profits 2016'!H5921</f>
        <v>141.25</v>
      </c>
      <c r="D708" s="280">
        <f>'Profits 2016'!K5921</f>
        <v>125.55374999999999</v>
      </c>
      <c r="E708" s="276">
        <f>'Profits 2016'!L5921</f>
        <v>235</v>
      </c>
      <c r="F708" s="275" t="str">
        <f>'Profits 2016'!P5921</f>
        <v>Nassau</v>
      </c>
      <c r="G708" s="292">
        <f>'Profits 2016'!N5921-'Profits 2016'!M5921</f>
        <v>41.125000000000014</v>
      </c>
      <c r="H708" s="319"/>
      <c r="I708" s="320"/>
      <c r="J708" s="321"/>
      <c r="K708" s="321"/>
      <c r="L708" s="321"/>
      <c r="M708" s="319"/>
      <c r="N708" s="322"/>
      <c r="O708" s="236" t="str">
        <f>'Profits 2016'!T5921</f>
        <v>FEDEX GROUND</v>
      </c>
      <c r="P708" s="284" t="str">
        <f>'Profits 2016'!U5921</f>
        <v>665645047298</v>
      </c>
      <c r="Q708" s="284" t="s">
        <v>314</v>
      </c>
      <c r="R708" s="276">
        <v>29.19</v>
      </c>
      <c r="S708" s="275" t="s">
        <v>15802</v>
      </c>
      <c r="T708" s="279">
        <v>42660</v>
      </c>
      <c r="U708" s="279">
        <v>42663</v>
      </c>
      <c r="V708" s="279">
        <v>42671</v>
      </c>
      <c r="W708" s="293">
        <f t="shared" ref="W708:W709" si="79">R708</f>
        <v>29.19</v>
      </c>
      <c r="X708" s="236">
        <v>9250</v>
      </c>
      <c r="AF708" s="276">
        <f t="shared" ref="AF708:AF773" si="80">G708+H709+R708+Y708</f>
        <v>70.315000000000012</v>
      </c>
      <c r="AG708" s="276">
        <f t="shared" si="76"/>
        <v>29.19</v>
      </c>
      <c r="AH708" s="276">
        <f t="shared" si="77"/>
        <v>96.363749999999996</v>
      </c>
      <c r="AI708" s="283">
        <f t="shared" si="78"/>
        <v>1.3704579392732701</v>
      </c>
    </row>
    <row r="709" spans="1:35" ht="30" x14ac:dyDescent="0.25">
      <c r="A709" s="275">
        <f>'Profits 2016'!A5922</f>
        <v>3004656</v>
      </c>
      <c r="B709" s="279">
        <f>'Profits 2016'!B5922</f>
        <v>42643</v>
      </c>
      <c r="C709" s="276">
        <f>'Profits 2016'!H5922</f>
        <v>445.26</v>
      </c>
      <c r="D709" s="280">
        <f>'Profits 2016'!K5922</f>
        <v>396.42665999999997</v>
      </c>
      <c r="E709" s="276">
        <f>'Profits 2016'!L5922</f>
        <v>510</v>
      </c>
      <c r="F709" s="275" t="str">
        <f>'Profits 2016'!P5922</f>
        <v>Nassau</v>
      </c>
      <c r="G709" s="292">
        <f>'Profits 2016'!N5922-'Profits 2016'!M5922</f>
        <v>229.5</v>
      </c>
      <c r="H709" s="319"/>
      <c r="I709" s="320"/>
      <c r="J709" s="321"/>
      <c r="K709" s="321"/>
      <c r="L709" s="321"/>
      <c r="M709" s="319"/>
      <c r="N709" s="322"/>
      <c r="O709" s="236" t="str">
        <f>'Profits 2016'!T5922</f>
        <v>FEDEX GROUND</v>
      </c>
      <c r="P709" s="284" t="str">
        <f>'Profits 2016'!U5922</f>
        <v>665645047254</v>
      </c>
      <c r="Q709" s="284" t="s">
        <v>314</v>
      </c>
      <c r="R709" s="276">
        <v>50.37</v>
      </c>
      <c r="S709" s="275" t="s">
        <v>15802</v>
      </c>
      <c r="T709" s="279">
        <v>42660</v>
      </c>
      <c r="U709" s="279">
        <v>42663</v>
      </c>
      <c r="V709" s="279">
        <v>42671</v>
      </c>
      <c r="W709" s="293">
        <f t="shared" si="79"/>
        <v>50.37</v>
      </c>
      <c r="X709" s="236">
        <v>9250</v>
      </c>
      <c r="AF709" s="276">
        <f t="shared" si="80"/>
        <v>279.87</v>
      </c>
      <c r="AG709" s="276">
        <f t="shared" si="76"/>
        <v>50.37</v>
      </c>
      <c r="AH709" s="276">
        <f t="shared" si="77"/>
        <v>346.05665999999997</v>
      </c>
      <c r="AI709" s="283">
        <f t="shared" si="78"/>
        <v>1.2364907278379247</v>
      </c>
    </row>
    <row r="710" spans="1:35" ht="30" x14ac:dyDescent="0.25">
      <c r="A710" s="275">
        <f>'Profits 2016'!A5923</f>
        <v>3004657</v>
      </c>
      <c r="B710" s="279">
        <f>'Profits 2016'!B5923</f>
        <v>42643</v>
      </c>
      <c r="C710" s="276">
        <f>'Profits 2016'!H5923</f>
        <v>341.55</v>
      </c>
      <c r="D710" s="280">
        <f>'Profits 2016'!K5923</f>
        <v>304.02105</v>
      </c>
      <c r="E710" s="276">
        <f>'Profits 2016'!L5923</f>
        <v>1322</v>
      </c>
      <c r="F710" s="275" t="str">
        <f>'Profits 2016'!P5923</f>
        <v>Nassau</v>
      </c>
      <c r="G710" s="292">
        <f>'Profits 2016'!N5923-'Profits 2016'!M5923</f>
        <v>198.29999999999998</v>
      </c>
      <c r="H710" s="319"/>
      <c r="I710" s="320"/>
      <c r="J710" s="321"/>
      <c r="K710" s="321"/>
      <c r="L710" s="321"/>
      <c r="M710" s="319"/>
      <c r="N710" s="322"/>
      <c r="O710" s="236" t="str">
        <f>'Profits 2016'!T5923</f>
        <v>FEDEX GROUND</v>
      </c>
      <c r="P710" s="284" t="str">
        <f>'Profits 2016'!U5923</f>
        <v>665645047232</v>
      </c>
      <c r="Q710" s="284" t="s">
        <v>314</v>
      </c>
      <c r="R710" s="276">
        <v>56.37</v>
      </c>
      <c r="S710" s="275" t="s">
        <v>15805</v>
      </c>
      <c r="T710" s="279">
        <v>42667</v>
      </c>
      <c r="U710" s="279">
        <v>42670</v>
      </c>
      <c r="V710" s="279">
        <v>42678</v>
      </c>
      <c r="W710" s="293">
        <v>0</v>
      </c>
      <c r="X710" s="236">
        <v>9301</v>
      </c>
      <c r="AF710" s="276">
        <f t="shared" si="80"/>
        <v>254.67</v>
      </c>
      <c r="AG710" s="276">
        <f t="shared" si="76"/>
        <v>56.37</v>
      </c>
      <c r="AH710" s="276">
        <f t="shared" si="77"/>
        <v>247.65105</v>
      </c>
      <c r="AI710" s="283">
        <f t="shared" si="78"/>
        <v>0.97243903875603721</v>
      </c>
    </row>
    <row r="711" spans="1:35" ht="30" x14ac:dyDescent="0.25">
      <c r="A711" s="275">
        <f>'Profits 2016'!A5924</f>
        <v>3004658</v>
      </c>
      <c r="B711" s="279">
        <f>'Profits 2016'!B5924</f>
        <v>42643</v>
      </c>
      <c r="C711" s="276">
        <f>'Profits 2016'!H5924</f>
        <v>168.74</v>
      </c>
      <c r="D711" s="280">
        <f>'Profits 2016'!K5924</f>
        <v>150.04734000000002</v>
      </c>
      <c r="E711" s="276">
        <f>'Profits 2016'!L5924</f>
        <v>514</v>
      </c>
      <c r="F711" s="275" t="str">
        <f>'Profits 2016'!P5924</f>
        <v>Commodity</v>
      </c>
      <c r="G711" s="292">
        <f>'Profits 2016'!N5924-'Profits 2016'!M5924</f>
        <v>77.099999999999994</v>
      </c>
      <c r="H711" s="292">
        <v>0</v>
      </c>
      <c r="I711" s="275" t="s">
        <v>15826</v>
      </c>
      <c r="J711" s="277">
        <v>42649</v>
      </c>
      <c r="K711" s="277">
        <v>42654</v>
      </c>
      <c r="L711" s="277">
        <v>42657</v>
      </c>
      <c r="M711" s="292">
        <v>75.56</v>
      </c>
      <c r="N711" s="281">
        <v>9162</v>
      </c>
      <c r="O711" s="236" t="str">
        <f>'Profits 2016'!T5924</f>
        <v>FEDEX GROUND</v>
      </c>
      <c r="P711" s="284" t="str">
        <f>'Profits 2016'!U5924</f>
        <v>777406328537</v>
      </c>
      <c r="Q711" s="284" t="s">
        <v>314</v>
      </c>
      <c r="R711" s="276">
        <v>28.16</v>
      </c>
      <c r="S711" s="275" t="s">
        <v>15827</v>
      </c>
      <c r="T711" s="279">
        <v>42667</v>
      </c>
      <c r="U711" s="279">
        <v>42670</v>
      </c>
      <c r="V711" s="279">
        <v>42678</v>
      </c>
      <c r="W711" s="293">
        <v>0</v>
      </c>
      <c r="X711" s="236">
        <v>9301</v>
      </c>
      <c r="AF711" s="276">
        <f t="shared" si="80"/>
        <v>105.25999999999999</v>
      </c>
      <c r="AG711" s="276">
        <f t="shared" si="76"/>
        <v>103.72</v>
      </c>
      <c r="AH711" s="276">
        <f t="shared" si="77"/>
        <v>46.327340000000021</v>
      </c>
      <c r="AI711" s="283">
        <f t="shared" si="78"/>
        <v>0.44012293368801086</v>
      </c>
    </row>
    <row r="712" spans="1:35" ht="30" x14ac:dyDescent="0.25">
      <c r="A712" s="275">
        <f>'Profits 2016'!A5925</f>
        <v>3004659</v>
      </c>
      <c r="B712" s="279">
        <f>'Profits 2016'!B5925</f>
        <v>42643</v>
      </c>
      <c r="C712" s="276">
        <f>'Profits 2016'!H5925</f>
        <v>123.94</v>
      </c>
      <c r="D712" s="280">
        <f>'Profits 2016'!K5925</f>
        <v>110.13054</v>
      </c>
      <c r="E712" s="276">
        <f>'Profits 2016'!L5925</f>
        <v>584</v>
      </c>
      <c r="F712" s="275" t="str">
        <f>'Profits 2016'!P5925</f>
        <v>Commodity</v>
      </c>
      <c r="G712" s="292">
        <f>'Profits 2016'!N5925-'Profits 2016'!M5925</f>
        <v>58.400000000000006</v>
      </c>
      <c r="H712" s="292">
        <v>0</v>
      </c>
      <c r="I712" s="275" t="s">
        <v>15828</v>
      </c>
      <c r="J712" s="277">
        <v>42649</v>
      </c>
      <c r="K712" s="277">
        <v>42654</v>
      </c>
      <c r="L712" s="277">
        <v>42657</v>
      </c>
      <c r="M712" s="292">
        <v>57.23</v>
      </c>
      <c r="N712" s="281">
        <v>9158</v>
      </c>
      <c r="O712" s="236" t="str">
        <f>'Profits 2016'!T5925</f>
        <v>FEDEX GROUND</v>
      </c>
      <c r="P712" s="284" t="str">
        <f>'Profits 2016'!U5925</f>
        <v>777405578450</v>
      </c>
      <c r="Q712" s="284" t="s">
        <v>314</v>
      </c>
      <c r="R712" s="276">
        <v>32.549999999999997</v>
      </c>
      <c r="S712" s="275" t="s">
        <v>15827</v>
      </c>
      <c r="T712" s="279">
        <v>42667</v>
      </c>
      <c r="U712" s="279">
        <v>42670</v>
      </c>
      <c r="V712" s="279">
        <v>42678</v>
      </c>
      <c r="W712" s="293">
        <v>0</v>
      </c>
      <c r="X712" s="236">
        <v>9301</v>
      </c>
      <c r="AF712" s="276">
        <f t="shared" si="80"/>
        <v>90.95</v>
      </c>
      <c r="AG712" s="276">
        <f t="shared" si="76"/>
        <v>89.78</v>
      </c>
      <c r="AH712" s="276">
        <f t="shared" si="77"/>
        <v>20.350539999999995</v>
      </c>
      <c r="AI712" s="283">
        <f t="shared" si="78"/>
        <v>0.22375525013743811</v>
      </c>
    </row>
    <row r="713" spans="1:35" ht="30" x14ac:dyDescent="0.25">
      <c r="A713" s="275">
        <f>'Profits 2016'!A5926</f>
        <v>3004660</v>
      </c>
      <c r="B713" s="279">
        <f>'Profits 2016'!B5926</f>
        <v>42643</v>
      </c>
      <c r="C713" s="276">
        <f>'Profits 2016'!H5926</f>
        <v>113.43</v>
      </c>
      <c r="D713" s="280">
        <f>'Profits 2016'!K5926</f>
        <v>96.415500000000009</v>
      </c>
      <c r="E713" s="276">
        <f>'Profits 2016'!L5926</f>
        <v>950</v>
      </c>
      <c r="F713" s="275" t="str">
        <f>'Profits 2016'!P5926</f>
        <v>Nassau</v>
      </c>
      <c r="G713" s="292">
        <f>'Profits 2016'!N5926-'Profits 2016'!M5926</f>
        <v>47.5</v>
      </c>
      <c r="H713" s="319"/>
      <c r="I713" s="320"/>
      <c r="J713" s="321"/>
      <c r="K713" s="321"/>
      <c r="L713" s="321"/>
      <c r="M713" s="319"/>
      <c r="N713" s="322"/>
      <c r="O713" s="236" t="str">
        <f>'Profits 2016'!T5926</f>
        <v>FEDEX GROUND</v>
      </c>
      <c r="P713" s="284" t="str">
        <f>'Profits 2016'!U5926</f>
        <v>665645047243</v>
      </c>
      <c r="Q713" s="284" t="s">
        <v>314</v>
      </c>
      <c r="R713" s="276">
        <v>23.31</v>
      </c>
      <c r="S713" s="275" t="s">
        <v>15802</v>
      </c>
      <c r="T713" s="279">
        <v>42660</v>
      </c>
      <c r="U713" s="279">
        <v>42663</v>
      </c>
      <c r="V713" s="279">
        <v>42671</v>
      </c>
      <c r="W713" s="293">
        <f>R713</f>
        <v>23.31</v>
      </c>
      <c r="X713" s="236">
        <v>9250</v>
      </c>
      <c r="AF713" s="276">
        <f t="shared" si="80"/>
        <v>70.81</v>
      </c>
      <c r="AG713" s="276">
        <f t="shared" si="76"/>
        <v>23.31</v>
      </c>
      <c r="AH713" s="276">
        <f t="shared" si="77"/>
        <v>73.105500000000006</v>
      </c>
      <c r="AI713" s="283">
        <f t="shared" si="78"/>
        <v>1.0324177376076826</v>
      </c>
    </row>
    <row r="714" spans="1:35" ht="30" x14ac:dyDescent="0.25">
      <c r="A714" s="275">
        <f>'Profits 2016'!A5927</f>
        <v>3004661</v>
      </c>
      <c r="B714" s="279">
        <f>'Profits 2016'!B5927</f>
        <v>42643</v>
      </c>
      <c r="C714" s="276">
        <f>'Profits 2016'!H5927</f>
        <v>222.75</v>
      </c>
      <c r="D714" s="280">
        <f>'Profits 2016'!K5927</f>
        <v>189.33750000000001</v>
      </c>
      <c r="E714" s="276">
        <f>'Profits 2016'!L5927</f>
        <v>1322</v>
      </c>
      <c r="F714" s="275" t="str">
        <f>'Profits 2016'!P5927</f>
        <v>Nassau</v>
      </c>
      <c r="G714" s="292">
        <f>'Profits 2016'!N5927-'Profits 2016'!M5927</f>
        <v>132.20000000000002</v>
      </c>
      <c r="H714" s="319"/>
      <c r="I714" s="320"/>
      <c r="J714" s="321"/>
      <c r="K714" s="321"/>
      <c r="L714" s="321"/>
      <c r="M714" s="319"/>
      <c r="N714" s="322"/>
      <c r="O714" s="236" t="str">
        <f>'Profits 2016'!T5927</f>
        <v>FEDEX GROUND</v>
      </c>
      <c r="P714" s="284" t="str">
        <f>'Profits 2016'!U5927</f>
        <v>6656-4504-7335</v>
      </c>
      <c r="Q714" s="284" t="s">
        <v>314</v>
      </c>
      <c r="R714" s="276">
        <v>45.04</v>
      </c>
      <c r="S714" s="275" t="s">
        <v>15805</v>
      </c>
      <c r="T714" s="279">
        <v>1024</v>
      </c>
      <c r="U714" s="279">
        <v>42670</v>
      </c>
      <c r="V714" s="279">
        <v>42678</v>
      </c>
      <c r="W714" s="293">
        <v>0</v>
      </c>
      <c r="X714" s="236">
        <v>9301</v>
      </c>
      <c r="AF714" s="276">
        <f t="shared" si="80"/>
        <v>177.24</v>
      </c>
      <c r="AG714" s="276">
        <f t="shared" si="76"/>
        <v>45.04</v>
      </c>
      <c r="AH714" s="276">
        <f t="shared" si="77"/>
        <v>144.29750000000001</v>
      </c>
      <c r="AI714" s="283">
        <f t="shared" si="78"/>
        <v>0.81413619950349814</v>
      </c>
    </row>
    <row r="715" spans="1:35" ht="30" x14ac:dyDescent="0.25">
      <c r="A715" s="275">
        <f>'Profits 2016'!A5928</f>
        <v>3004662</v>
      </c>
      <c r="B715" s="279">
        <f>'Profits 2016'!B5928</f>
        <v>42643</v>
      </c>
      <c r="C715" s="276">
        <f>'Profits 2016'!H5928</f>
        <v>145</v>
      </c>
      <c r="D715" s="280">
        <f>'Profits 2016'!K5928</f>
        <v>123.25</v>
      </c>
      <c r="E715" s="276">
        <f>'Profits 2016'!L5928</f>
        <v>698</v>
      </c>
      <c r="F715" s="275" t="str">
        <f>'Profits 2016'!P5928</f>
        <v>Nassau</v>
      </c>
      <c r="G715" s="292">
        <f>'Profits 2016'!N5928-'Profits 2016'!M5928</f>
        <v>69.8</v>
      </c>
      <c r="H715" s="319"/>
      <c r="I715" s="320"/>
      <c r="J715" s="321"/>
      <c r="K715" s="321"/>
      <c r="L715" s="321"/>
      <c r="M715" s="319"/>
      <c r="N715" s="322"/>
      <c r="O715" s="236" t="str">
        <f>'Profits 2016'!T5928</f>
        <v>FEDEX GROUND</v>
      </c>
      <c r="P715" s="284" t="str">
        <f>'Profits 2016'!U5928</f>
        <v>665645047357</v>
      </c>
      <c r="Q715" s="284" t="s">
        <v>314</v>
      </c>
      <c r="R715" s="276">
        <v>36.19</v>
      </c>
      <c r="S715" s="275" t="s">
        <v>15802</v>
      </c>
      <c r="T715" s="279">
        <v>42660</v>
      </c>
      <c r="U715" s="279">
        <v>42663</v>
      </c>
      <c r="V715" s="279">
        <v>42671</v>
      </c>
      <c r="W715" s="293">
        <f t="shared" ref="W715:W718" si="81">R715</f>
        <v>36.19</v>
      </c>
      <c r="X715" s="236">
        <v>9250</v>
      </c>
      <c r="AF715" s="276">
        <f t="shared" si="80"/>
        <v>105.99</v>
      </c>
      <c r="AG715" s="276">
        <f t="shared" si="76"/>
        <v>36.19</v>
      </c>
      <c r="AH715" s="276">
        <f t="shared" si="77"/>
        <v>87.06</v>
      </c>
      <c r="AI715" s="283">
        <f t="shared" si="78"/>
        <v>0.82139824511746395</v>
      </c>
    </row>
    <row r="716" spans="1:35" ht="30" x14ac:dyDescent="0.25">
      <c r="A716" s="275">
        <f>'Profits 2016'!A5929</f>
        <v>3004663</v>
      </c>
      <c r="B716" s="279">
        <f>'Profits 2016'!B5929</f>
        <v>42643</v>
      </c>
      <c r="C716" s="276">
        <f>'Profits 2016'!H5929</f>
        <v>393</v>
      </c>
      <c r="D716" s="280">
        <f>'Profits 2016'!K5929</f>
        <v>384.05399999999997</v>
      </c>
      <c r="E716" s="276">
        <f>'Profits 2016'!L5929</f>
        <v>449.79</v>
      </c>
      <c r="F716" s="275" t="str">
        <f>'Profits 2016'!P5929</f>
        <v>Kalas</v>
      </c>
      <c r="G716" s="292">
        <f>'Profits 2016'!N5929-'Profits 2016'!M5929</f>
        <v>224.89500000000001</v>
      </c>
      <c r="H716" s="292">
        <v>0</v>
      </c>
      <c r="I716" s="275" t="s">
        <v>15829</v>
      </c>
      <c r="J716" s="277">
        <v>42646</v>
      </c>
      <c r="K716" s="277">
        <v>42654</v>
      </c>
      <c r="L716" s="277">
        <v>42657</v>
      </c>
      <c r="M716" s="292">
        <v>220.4</v>
      </c>
      <c r="N716" s="281">
        <v>9183</v>
      </c>
      <c r="O716" s="236" t="str">
        <f>'Profits 2016'!T5929</f>
        <v>FEDEX GROUND</v>
      </c>
      <c r="P716" s="284" t="str">
        <f>'Profits 2016'!U5929</f>
        <v>777371902443</v>
      </c>
      <c r="Q716" s="284" t="s">
        <v>314</v>
      </c>
      <c r="R716" s="276">
        <v>29.47</v>
      </c>
      <c r="S716" s="275" t="s">
        <v>15802</v>
      </c>
      <c r="T716" s="279">
        <v>42660</v>
      </c>
      <c r="U716" s="279">
        <v>42663</v>
      </c>
      <c r="V716" s="279">
        <v>42671</v>
      </c>
      <c r="W716" s="293">
        <f t="shared" si="81"/>
        <v>29.47</v>
      </c>
      <c r="X716" s="236">
        <v>9250</v>
      </c>
      <c r="AF716" s="276">
        <f t="shared" si="80"/>
        <v>254.36500000000001</v>
      </c>
      <c r="AG716" s="276">
        <f t="shared" si="76"/>
        <v>249.87</v>
      </c>
      <c r="AH716" s="276">
        <f t="shared" si="77"/>
        <v>134.18399999999997</v>
      </c>
      <c r="AI716" s="283">
        <f t="shared" si="78"/>
        <v>0.52752540640418277</v>
      </c>
    </row>
    <row r="717" spans="1:35" ht="30" x14ac:dyDescent="0.25">
      <c r="A717" s="275">
        <f>'Profits 2016'!A5930</f>
        <v>3004664</v>
      </c>
      <c r="B717" s="279">
        <f>'Profits 2016'!B5930</f>
        <v>42643</v>
      </c>
      <c r="C717" s="276">
        <f>'Profits 2016'!H5930</f>
        <v>168</v>
      </c>
      <c r="D717" s="280">
        <f>'Profits 2016'!K5930</f>
        <v>142.80000000000001</v>
      </c>
      <c r="E717" s="276">
        <f>'Profits 2016'!L5930</f>
        <v>915</v>
      </c>
      <c r="F717" s="275" t="str">
        <f>'Profits 2016'!P5930</f>
        <v>Direct</v>
      </c>
      <c r="G717" s="292">
        <f>'Profits 2016'!N5930-'Profits 2016'!M5930</f>
        <v>91.5</v>
      </c>
      <c r="H717" s="292">
        <v>0</v>
      </c>
      <c r="I717" s="275">
        <v>73668</v>
      </c>
      <c r="J717" s="277">
        <v>42643</v>
      </c>
      <c r="K717" s="277">
        <v>42650</v>
      </c>
      <c r="L717" s="277">
        <v>42657</v>
      </c>
      <c r="M717" s="292">
        <v>89.67</v>
      </c>
      <c r="N717" s="281">
        <v>9167</v>
      </c>
      <c r="O717" s="236" t="str">
        <f>'Profits 2016'!T5930</f>
        <v>FEDEX GROUND</v>
      </c>
      <c r="P717" s="284" t="str">
        <f>'Profits 2016'!U5930</f>
        <v>644286529121</v>
      </c>
      <c r="Q717" s="284" t="s">
        <v>314</v>
      </c>
      <c r="R717" s="276">
        <v>24.73</v>
      </c>
      <c r="S717" s="275" t="s">
        <v>15802</v>
      </c>
      <c r="T717" s="279">
        <v>42660</v>
      </c>
      <c r="U717" s="279">
        <v>42663</v>
      </c>
      <c r="V717" s="279">
        <v>42671</v>
      </c>
      <c r="W717" s="293">
        <f t="shared" si="81"/>
        <v>24.73</v>
      </c>
      <c r="X717" s="236">
        <v>9250</v>
      </c>
      <c r="AF717" s="276">
        <f t="shared" si="80"/>
        <v>116.23</v>
      </c>
      <c r="AG717" s="276">
        <f t="shared" si="76"/>
        <v>114.4</v>
      </c>
      <c r="AH717" s="276">
        <f t="shared" si="77"/>
        <v>28.400000000000006</v>
      </c>
      <c r="AI717" s="283">
        <f t="shared" si="78"/>
        <v>0.24434311279359894</v>
      </c>
    </row>
    <row r="718" spans="1:35" ht="30" x14ac:dyDescent="0.25">
      <c r="A718" s="275">
        <f>'Profits 2016'!A5931</f>
        <v>3004665</v>
      </c>
      <c r="B718" s="279">
        <f>'Profits 2016'!B5931</f>
        <v>42643</v>
      </c>
      <c r="C718" s="276">
        <f>'Profits 2016'!H5931</f>
        <v>431.64</v>
      </c>
      <c r="D718" s="280">
        <f>'Profits 2016'!K5931</f>
        <v>384.29123999999996</v>
      </c>
      <c r="E718" s="276">
        <f>'Profits 2016'!L5931</f>
        <v>1100</v>
      </c>
      <c r="F718" s="275" t="str">
        <f>'Profits 2016'!P5931</f>
        <v>Nassau</v>
      </c>
      <c r="G718" s="292">
        <f>'Profits 2016'!N5931-'Profits 2016'!M5931</f>
        <v>275</v>
      </c>
      <c r="H718" s="319"/>
      <c r="I718" s="320"/>
      <c r="J718" s="321"/>
      <c r="K718" s="321"/>
      <c r="L718" s="321"/>
      <c r="M718" s="319"/>
      <c r="N718" s="322"/>
      <c r="O718" s="236" t="str">
        <f>'Profits 2016'!T5931</f>
        <v>FEDEX GROUND</v>
      </c>
      <c r="P718" s="284" t="str">
        <f>'Profits 2016'!U5931</f>
        <v>665645047346</v>
      </c>
      <c r="Q718" s="284" t="s">
        <v>314</v>
      </c>
      <c r="R718" s="276">
        <v>50.18</v>
      </c>
      <c r="S718" s="275" t="s">
        <v>15802</v>
      </c>
      <c r="T718" s="279">
        <v>42660</v>
      </c>
      <c r="U718" s="279">
        <v>42663</v>
      </c>
      <c r="V718" s="279">
        <v>42671</v>
      </c>
      <c r="W718" s="293">
        <f t="shared" si="81"/>
        <v>50.18</v>
      </c>
      <c r="X718" s="236">
        <v>9250</v>
      </c>
      <c r="AF718" s="276">
        <f t="shared" si="80"/>
        <v>325.18</v>
      </c>
      <c r="AG718" s="276">
        <f t="shared" si="76"/>
        <v>50.18</v>
      </c>
      <c r="AH718" s="276">
        <f t="shared" si="77"/>
        <v>334.11123999999995</v>
      </c>
      <c r="AI718" s="283">
        <f t="shared" si="78"/>
        <v>1.0274655267851649</v>
      </c>
    </row>
    <row r="719" spans="1:35" ht="30" x14ac:dyDescent="0.25">
      <c r="A719" s="275">
        <f>'Profits 2016'!A5932</f>
        <v>3004666</v>
      </c>
      <c r="B719" s="279">
        <f>'Profits 2016'!B5932</f>
        <v>42643</v>
      </c>
      <c r="C719" s="276">
        <f>'Profits 2016'!H5932</f>
        <v>320</v>
      </c>
      <c r="D719" s="280">
        <f>'Profits 2016'!K5932</f>
        <v>284.82</v>
      </c>
      <c r="E719" s="276">
        <f>'Profits 2016'!L5932</f>
        <v>750</v>
      </c>
      <c r="F719" s="275" t="str">
        <f>'Profits 2016'!P5932</f>
        <v>Nassau</v>
      </c>
      <c r="G719" s="292">
        <f>'Profits 2016'!N5932-'Profits 2016'!M5932</f>
        <v>187.5</v>
      </c>
      <c r="H719" s="319"/>
      <c r="I719" s="320"/>
      <c r="J719" s="321"/>
      <c r="K719" s="321"/>
      <c r="L719" s="321"/>
      <c r="M719" s="319"/>
      <c r="N719" s="322"/>
      <c r="O719" s="236" t="str">
        <f>'Profits 2016'!T5932</f>
        <v>FEDEX GROUND</v>
      </c>
      <c r="P719" s="284">
        <f>'Profits 2016'!U5932</f>
        <v>665645047324</v>
      </c>
      <c r="Q719" s="284" t="s">
        <v>314</v>
      </c>
      <c r="R719" s="276">
        <v>34.950000000000003</v>
      </c>
      <c r="S719" s="275" t="s">
        <v>15805</v>
      </c>
      <c r="T719" s="279">
        <v>42667</v>
      </c>
      <c r="U719" s="279">
        <v>42670</v>
      </c>
      <c r="V719" s="279">
        <v>42678</v>
      </c>
      <c r="W719" s="293">
        <v>0</v>
      </c>
      <c r="X719" s="236">
        <v>9301</v>
      </c>
      <c r="AF719" s="276">
        <f t="shared" si="80"/>
        <v>222.45</v>
      </c>
      <c r="AG719" s="276">
        <f t="shared" si="76"/>
        <v>34.950000000000003</v>
      </c>
      <c r="AH719" s="276">
        <f t="shared" si="77"/>
        <v>249.87</v>
      </c>
      <c r="AI719" s="283">
        <f t="shared" si="78"/>
        <v>1.1232636547538775</v>
      </c>
    </row>
    <row r="720" spans="1:35" ht="30" x14ac:dyDescent="0.25">
      <c r="A720" s="275">
        <f>'Profits 2016'!A5933</f>
        <v>3004667</v>
      </c>
      <c r="B720" s="279">
        <f>'Profits 2016'!B5933</f>
        <v>42643</v>
      </c>
      <c r="C720" s="276">
        <f>'Profits 2016'!H5933</f>
        <v>113.43</v>
      </c>
      <c r="D720" s="280">
        <f>'Profits 2016'!K5933</f>
        <v>96.415500000000009</v>
      </c>
      <c r="E720" s="276">
        <f>'Profits 2016'!L5933</f>
        <v>950</v>
      </c>
      <c r="F720" s="275" t="str">
        <f>'Profits 2016'!P5933</f>
        <v>Nassau</v>
      </c>
      <c r="G720" s="292">
        <f>'Profits 2016'!N5933-'Profits 2016'!M5933</f>
        <v>47.5</v>
      </c>
      <c r="H720" s="319"/>
      <c r="I720" s="320"/>
      <c r="J720" s="321"/>
      <c r="K720" s="321"/>
      <c r="L720" s="321"/>
      <c r="M720" s="319"/>
      <c r="N720" s="322"/>
      <c r="O720" s="236" t="str">
        <f>'Profits 2016'!T5933</f>
        <v>FEDEX GROUND</v>
      </c>
      <c r="P720" s="284" t="str">
        <f>'Profits 2016'!U5933</f>
        <v>665645047287</v>
      </c>
      <c r="Q720" s="284" t="s">
        <v>314</v>
      </c>
      <c r="R720" s="276">
        <v>25.08</v>
      </c>
      <c r="S720" s="275" t="s">
        <v>15802</v>
      </c>
      <c r="T720" s="279">
        <v>42660</v>
      </c>
      <c r="U720" s="279">
        <v>42663</v>
      </c>
      <c r="V720" s="279">
        <v>42671</v>
      </c>
      <c r="W720" s="293">
        <f>R720</f>
        <v>25.08</v>
      </c>
      <c r="X720" s="236">
        <v>9250</v>
      </c>
      <c r="AF720" s="276">
        <f t="shared" si="80"/>
        <v>72.58</v>
      </c>
      <c r="AG720" s="276">
        <f t="shared" si="76"/>
        <v>25.08</v>
      </c>
      <c r="AH720" s="276">
        <f t="shared" si="77"/>
        <v>71.33550000000001</v>
      </c>
      <c r="AI720" s="283">
        <f t="shared" si="78"/>
        <v>0.98285340314136138</v>
      </c>
    </row>
    <row r="721" spans="1:35" x14ac:dyDescent="0.25">
      <c r="A721" s="275">
        <f>'Profits 2016'!A5934</f>
        <v>3004668</v>
      </c>
      <c r="B721" s="279">
        <f>'Profits 2016'!B5934</f>
        <v>42643</v>
      </c>
      <c r="C721" s="276">
        <f>'Profits 2016'!H5934</f>
        <v>1450</v>
      </c>
      <c r="D721" s="280">
        <f>'Profits 2016'!K5934</f>
        <v>1450</v>
      </c>
      <c r="E721" s="276">
        <f>'Profits 2016'!L5934</f>
        <v>250</v>
      </c>
      <c r="F721" s="275" t="str">
        <f>'Profits 2016'!P5934</f>
        <v>Thea</v>
      </c>
      <c r="G721" s="292">
        <f>'Profits 2016'!N5934-'Profits 2016'!M5934</f>
        <v>250.00000000000003</v>
      </c>
      <c r="H721" s="319"/>
      <c r="I721" s="320"/>
      <c r="J721" s="321"/>
      <c r="K721" s="321"/>
      <c r="L721" s="321"/>
      <c r="M721" s="319"/>
      <c r="N721" s="322"/>
      <c r="O721" s="236" t="str">
        <f>'Profits 2016'!T5934</f>
        <v>R&amp;L/ECHO</v>
      </c>
      <c r="P721" s="284" t="str">
        <f>'Profits 2016'!U5934</f>
        <v>444846069</v>
      </c>
      <c r="Q721" s="284" t="s">
        <v>15767</v>
      </c>
      <c r="R721" s="276">
        <v>146.46</v>
      </c>
      <c r="S721" s="275" t="s">
        <v>15830</v>
      </c>
      <c r="T721" s="279">
        <v>42655</v>
      </c>
      <c r="U721" s="279">
        <v>42692</v>
      </c>
      <c r="V721" s="279">
        <v>42697</v>
      </c>
      <c r="W721" s="293">
        <v>146.46</v>
      </c>
      <c r="X721" s="236">
        <v>9485</v>
      </c>
      <c r="AF721" s="276">
        <f t="shared" si="80"/>
        <v>396.46000000000004</v>
      </c>
      <c r="AG721" s="276">
        <f t="shared" si="76"/>
        <v>146.46</v>
      </c>
      <c r="AH721" s="276">
        <f t="shared" si="77"/>
        <v>1303.54</v>
      </c>
      <c r="AI721" s="283">
        <f t="shared" si="78"/>
        <v>3.2879483428340812</v>
      </c>
    </row>
    <row r="722" spans="1:35" x14ac:dyDescent="0.25">
      <c r="A722" s="275">
        <f>'Profits 2016'!A5935</f>
        <v>0</v>
      </c>
      <c r="B722" s="279">
        <f>'Profits 2016'!B5935</f>
        <v>0</v>
      </c>
      <c r="C722" s="276">
        <f>'Profits 2016'!H5935</f>
        <v>0</v>
      </c>
      <c r="D722" s="280">
        <f>'Profits 2016'!K5935</f>
        <v>0</v>
      </c>
      <c r="E722" s="276">
        <f>'Profits 2016'!L5935</f>
        <v>175</v>
      </c>
      <c r="F722" s="275" t="str">
        <f>'Profits 2016'!P5935</f>
        <v>Thea</v>
      </c>
      <c r="G722" s="292">
        <f>'Profits 2016'!N5935-'Profits 2016'!M5935</f>
        <v>350</v>
      </c>
      <c r="H722" s="319"/>
      <c r="I722" s="320"/>
      <c r="J722" s="321"/>
      <c r="K722" s="321"/>
      <c r="L722" s="321"/>
      <c r="M722" s="319"/>
      <c r="N722" s="322"/>
      <c r="O722" s="236">
        <f>'Profits 2016'!T5935</f>
        <v>0</v>
      </c>
      <c r="P722" s="284">
        <f>'Profits 2016'!U5935</f>
        <v>0</v>
      </c>
      <c r="Q722" s="284" t="s">
        <v>15767</v>
      </c>
      <c r="R722" s="276">
        <v>0</v>
      </c>
      <c r="S722" s="275" t="s">
        <v>15830</v>
      </c>
      <c r="T722" s="279">
        <v>42655</v>
      </c>
      <c r="U722" s="279">
        <v>42692</v>
      </c>
      <c r="V722" s="279">
        <v>42697</v>
      </c>
      <c r="W722" s="293">
        <v>0</v>
      </c>
      <c r="X722" s="236">
        <v>9485</v>
      </c>
      <c r="AF722" s="276">
        <f t="shared" si="80"/>
        <v>350</v>
      </c>
      <c r="AG722" s="276">
        <f t="shared" si="76"/>
        <v>0</v>
      </c>
      <c r="AH722" s="276">
        <f t="shared" si="77"/>
        <v>0</v>
      </c>
      <c r="AI722" s="283">
        <f t="shared" si="78"/>
        <v>0</v>
      </c>
    </row>
    <row r="723" spans="1:35" ht="30" x14ac:dyDescent="0.25">
      <c r="A723" s="275">
        <f>'Profits 2016'!A5936</f>
        <v>3004669</v>
      </c>
      <c r="B723" s="279">
        <f>'Profits 2016'!B5936</f>
        <v>42643</v>
      </c>
      <c r="C723" s="276">
        <f>'Profits 2016'!H5936</f>
        <v>637.5</v>
      </c>
      <c r="D723" s="280">
        <f>'Profits 2016'!K5936</f>
        <v>616.48125000000005</v>
      </c>
      <c r="E723" s="276">
        <f>'Profits 2016'!L5936</f>
        <v>2500</v>
      </c>
      <c r="F723" s="275" t="str">
        <f>'Profits 2016'!P5936</f>
        <v>Priority</v>
      </c>
      <c r="G723" s="292">
        <f>'Profits 2016'!N5936-'Profits 2016'!M5936</f>
        <v>375</v>
      </c>
      <c r="H723" s="292">
        <v>0</v>
      </c>
      <c r="I723" s="275">
        <v>1062280</v>
      </c>
      <c r="J723" s="277">
        <v>42647</v>
      </c>
      <c r="K723" s="277">
        <v>42654</v>
      </c>
      <c r="L723" s="277">
        <v>42678</v>
      </c>
      <c r="M723" s="292">
        <v>375</v>
      </c>
      <c r="N723" s="281">
        <v>9369</v>
      </c>
      <c r="O723" s="236" t="str">
        <f>'Profits 2016'!T5936</f>
        <v>FEDEX GROUND</v>
      </c>
      <c r="P723" s="284" t="str">
        <f>'Profits 2016'!U5936</f>
        <v xml:space="preserve">	574454201443</v>
      </c>
      <c r="Q723" s="284" t="s">
        <v>15740</v>
      </c>
      <c r="R723" s="276">
        <v>33.330010622800003</v>
      </c>
      <c r="S723" s="275">
        <v>1062280</v>
      </c>
      <c r="T723" s="279">
        <v>42647</v>
      </c>
      <c r="U723" s="279">
        <v>42654</v>
      </c>
      <c r="V723" s="279">
        <v>42678</v>
      </c>
      <c r="W723" s="293">
        <v>33.33</v>
      </c>
      <c r="X723" s="236">
        <v>9369</v>
      </c>
      <c r="AF723" s="276">
        <f t="shared" si="80"/>
        <v>408.33001062279999</v>
      </c>
      <c r="AG723" s="276">
        <f t="shared" si="76"/>
        <v>408.33001062279999</v>
      </c>
      <c r="AH723" s="276">
        <f t="shared" si="77"/>
        <v>208.15123937720006</v>
      </c>
      <c r="AI723" s="283">
        <f t="shared" si="78"/>
        <v>0.50976228531358769</v>
      </c>
    </row>
    <row r="724" spans="1:35" ht="30" x14ac:dyDescent="0.25">
      <c r="A724" s="275">
        <f>'Profits 2016'!A5937</f>
        <v>3004670</v>
      </c>
      <c r="B724" s="279">
        <f>'Profits 2016'!B5937</f>
        <v>42643</v>
      </c>
      <c r="C724" s="276">
        <f>'Profits 2016'!H5937</f>
        <v>370</v>
      </c>
      <c r="D724" s="280">
        <f>'Profits 2016'!K5937</f>
        <v>329.37</v>
      </c>
      <c r="E724" s="276">
        <f>'Profits 2016'!L5937</f>
        <v>3300</v>
      </c>
      <c r="F724" s="275" t="str">
        <f>'Profits 2016'!P5937</f>
        <v>Nassau</v>
      </c>
      <c r="G724" s="292">
        <f>'Profits 2016'!N5937-'Profits 2016'!M5937</f>
        <v>165</v>
      </c>
      <c r="H724" s="319"/>
      <c r="I724" s="320"/>
      <c r="J724" s="321"/>
      <c r="K724" s="321"/>
      <c r="L724" s="321"/>
      <c r="M724" s="319"/>
      <c r="N724" s="322"/>
      <c r="O724" s="236" t="str">
        <f>'Profits 2016'!T5937</f>
        <v>FEDEX GROUND</v>
      </c>
      <c r="P724" s="284" t="str">
        <f>'Profits 2016'!U5937</f>
        <v>665645047416</v>
      </c>
      <c r="Q724" s="284" t="s">
        <v>314</v>
      </c>
      <c r="R724" s="276">
        <v>28.05</v>
      </c>
      <c r="S724" s="275" t="s">
        <v>15802</v>
      </c>
      <c r="T724" s="279">
        <v>42660</v>
      </c>
      <c r="U724" s="279">
        <v>42663</v>
      </c>
      <c r="V724" s="279">
        <v>42671</v>
      </c>
      <c r="W724" s="293">
        <f>R724</f>
        <v>28.05</v>
      </c>
      <c r="X724" s="236">
        <v>9250</v>
      </c>
      <c r="AF724" s="276">
        <f t="shared" si="80"/>
        <v>193.05</v>
      </c>
      <c r="AG724" s="276">
        <f t="shared" si="76"/>
        <v>28.05</v>
      </c>
      <c r="AH724" s="276">
        <f t="shared" si="77"/>
        <v>301.32</v>
      </c>
      <c r="AI724" s="283">
        <f t="shared" si="78"/>
        <v>1.5608391608391607</v>
      </c>
    </row>
    <row r="725" spans="1:35" ht="45" x14ac:dyDescent="0.25">
      <c r="A725" s="275">
        <f>'Profits 2016'!A5938</f>
        <v>3004671</v>
      </c>
      <c r="B725" s="279">
        <f>'Profits 2016'!B5938</f>
        <v>42646</v>
      </c>
      <c r="C725" s="276">
        <f>'Profits 2016'!H5938</f>
        <v>2600</v>
      </c>
      <c r="D725" s="280">
        <f>'Profits 2016'!K5938</f>
        <v>2542.5</v>
      </c>
      <c r="E725" s="276">
        <f>'Profits 2016'!L5938</f>
        <v>1080</v>
      </c>
      <c r="F725" s="275" t="str">
        <f>'Profits 2016'!P5938</f>
        <v>Direct</v>
      </c>
      <c r="G725" s="292">
        <f>'Profits 2016'!N5938-'Profits 2016'!M5938</f>
        <v>2160</v>
      </c>
      <c r="H725" s="292">
        <v>0</v>
      </c>
      <c r="I725" s="275">
        <v>73795</v>
      </c>
      <c r="J725" s="277">
        <v>42649</v>
      </c>
      <c r="K725" s="277">
        <v>42654</v>
      </c>
      <c r="L725" s="277">
        <v>42657</v>
      </c>
      <c r="M725" s="292">
        <v>2116.8000000000002</v>
      </c>
      <c r="N725" s="281">
        <v>9169</v>
      </c>
      <c r="O725" s="236" t="str">
        <f>'Profits 2016'!T5938</f>
        <v>FEDEX FREIGHT PRIORITY</v>
      </c>
      <c r="P725" s="284" t="str">
        <f>'Profits 2016'!U5938</f>
        <v>399084732-4</v>
      </c>
      <c r="Q725" s="345"/>
      <c r="R725" s="342"/>
      <c r="S725" s="336"/>
      <c r="T725" s="341"/>
      <c r="U725" s="341"/>
      <c r="V725" s="341"/>
      <c r="W725" s="346"/>
      <c r="X725" s="344"/>
      <c r="AF725" s="276">
        <f t="shared" si="80"/>
        <v>2160</v>
      </c>
      <c r="AG725" s="276">
        <f t="shared" si="76"/>
        <v>2116.8000000000002</v>
      </c>
      <c r="AH725" s="276">
        <f t="shared" si="77"/>
        <v>425.69999999999982</v>
      </c>
      <c r="AI725" s="283">
        <f t="shared" si="78"/>
        <v>0.19708333333333325</v>
      </c>
    </row>
    <row r="726" spans="1:35" ht="30" x14ac:dyDescent="0.25">
      <c r="A726" s="275">
        <f>'Profits 2016'!A5939</f>
        <v>3004672</v>
      </c>
      <c r="B726" s="279">
        <f>'Profits 2016'!B5939</f>
        <v>42646</v>
      </c>
      <c r="C726" s="276">
        <f>'Profits 2016'!H5939</f>
        <v>4302</v>
      </c>
      <c r="D726" s="280">
        <f>'Profits 2016'!K5939</f>
        <v>4302</v>
      </c>
      <c r="E726" s="276">
        <f>'Profits 2016'!L5939</f>
        <v>1569</v>
      </c>
      <c r="F726" s="275" t="str">
        <f>'Profits 2016'!P5939</f>
        <v>Nassau</v>
      </c>
      <c r="G726" s="292">
        <f>'Profits 2016'!N5939-'Profits 2016'!M5939</f>
        <v>1569</v>
      </c>
      <c r="H726" s="319"/>
      <c r="I726" s="320"/>
      <c r="J726" s="321"/>
      <c r="K726" s="321"/>
      <c r="L726" s="321"/>
      <c r="M726" s="319"/>
      <c r="N726" s="322"/>
      <c r="O726" s="236" t="str">
        <f>'Profits 2016'!T5939</f>
        <v>PITT OHIO/DLS</v>
      </c>
      <c r="P726" s="284">
        <f>'Profits 2016'!U5939</f>
        <v>5014120637</v>
      </c>
      <c r="Q726" s="284" t="s">
        <v>15804</v>
      </c>
      <c r="R726" s="276">
        <v>152.02000000000001</v>
      </c>
      <c r="S726" s="275">
        <v>636872283</v>
      </c>
      <c r="T726" s="279">
        <v>42667</v>
      </c>
      <c r="U726" s="279">
        <v>42671</v>
      </c>
      <c r="V726" s="279">
        <v>42678</v>
      </c>
      <c r="W726" s="293">
        <v>152.02000000000001</v>
      </c>
      <c r="X726" s="236">
        <v>9341</v>
      </c>
      <c r="AF726" s="276">
        <f t="shared" si="80"/>
        <v>1721.02</v>
      </c>
      <c r="AG726" s="276">
        <f t="shared" si="76"/>
        <v>152.02000000000001</v>
      </c>
      <c r="AH726" s="276">
        <f t="shared" si="77"/>
        <v>4149.9799999999996</v>
      </c>
      <c r="AI726" s="283">
        <f t="shared" si="78"/>
        <v>2.4113490836829321</v>
      </c>
    </row>
    <row r="727" spans="1:35" x14ac:dyDescent="0.25">
      <c r="A727" s="275">
        <f>'Profits 2016'!A5940</f>
        <v>0</v>
      </c>
      <c r="B727" s="279">
        <f>'Profits 2016'!B5940</f>
        <v>0</v>
      </c>
      <c r="C727" s="276">
        <f>'Profits 2016'!H5940</f>
        <v>0</v>
      </c>
      <c r="D727" s="280">
        <f>'Profits 2016'!K5940</f>
        <v>0</v>
      </c>
      <c r="E727" s="276">
        <f>'Profits 2016'!L5940</f>
        <v>300</v>
      </c>
      <c r="F727" s="275" t="str">
        <f>'Profits 2016'!P5940</f>
        <v>Thea</v>
      </c>
      <c r="G727" s="292">
        <f>'Profits 2016'!N5940-'Profits 2016'!M5940</f>
        <v>900</v>
      </c>
      <c r="H727" s="319"/>
      <c r="I727" s="320"/>
      <c r="J727" s="321"/>
      <c r="K727" s="321"/>
      <c r="L727" s="321"/>
      <c r="M727" s="319"/>
      <c r="N727" s="322"/>
      <c r="O727" s="236" t="str">
        <f>'Profits 2016'!T5940</f>
        <v>R&amp;L/ECHO</v>
      </c>
      <c r="P727" s="284" t="str">
        <f>'Profits 2016'!U5940</f>
        <v xml:space="preserve">	444846078</v>
      </c>
      <c r="Q727" s="284" t="s">
        <v>15767</v>
      </c>
      <c r="R727" s="276">
        <v>176.94</v>
      </c>
      <c r="S727" s="275" t="s">
        <v>15831</v>
      </c>
      <c r="T727" s="279">
        <v>42655</v>
      </c>
      <c r="U727" s="279">
        <v>42660</v>
      </c>
      <c r="AF727" s="276">
        <f>G727+H730+R727+Y727</f>
        <v>1076.94</v>
      </c>
      <c r="AG727" s="276">
        <f t="shared" si="76"/>
        <v>176.94</v>
      </c>
      <c r="AH727" s="276">
        <f t="shared" si="77"/>
        <v>-176.94</v>
      </c>
      <c r="AI727" s="283">
        <f t="shared" si="78"/>
        <v>-0.16429884673240849</v>
      </c>
    </row>
    <row r="728" spans="1:35" ht="30" x14ac:dyDescent="0.25">
      <c r="A728" s="275">
        <f>'Profits 2016'!A5941</f>
        <v>0</v>
      </c>
      <c r="B728" s="279">
        <f>'Profits 2016'!B5941</f>
        <v>0</v>
      </c>
      <c r="C728" s="276">
        <f>'Profits 2016'!H5941</f>
        <v>0</v>
      </c>
      <c r="D728" s="280">
        <f>'Profits 2016'!K5941</f>
        <v>0</v>
      </c>
      <c r="E728" s="276">
        <f>'Profits 2016'!L5941</f>
        <v>0</v>
      </c>
      <c r="F728" s="275" t="str">
        <f>'Profits 2016'!P5941</f>
        <v>Nassau</v>
      </c>
      <c r="G728" s="292">
        <f>'Profits 2016'!N5941-'Profits 2016'!M5941</f>
        <v>0</v>
      </c>
      <c r="H728" s="319"/>
      <c r="I728" s="320"/>
      <c r="J728" s="321"/>
      <c r="K728" s="321"/>
      <c r="L728" s="321"/>
      <c r="M728" s="319"/>
      <c r="N728" s="322"/>
      <c r="O728" s="236" t="str">
        <f>'Profits 2016'!T5941</f>
        <v>FEDEX GROUND</v>
      </c>
      <c r="P728" s="284" t="str">
        <f>'Profits 2016'!U5941</f>
        <v>702723289344</v>
      </c>
      <c r="Q728" s="284" t="s">
        <v>314</v>
      </c>
      <c r="R728" s="276">
        <v>29.76</v>
      </c>
      <c r="S728" s="275" t="s">
        <v>15805</v>
      </c>
      <c r="T728" s="279">
        <v>42667</v>
      </c>
      <c r="U728" s="279">
        <v>42670</v>
      </c>
      <c r="V728" s="279">
        <v>42678</v>
      </c>
      <c r="W728" s="293">
        <v>0</v>
      </c>
      <c r="X728" s="236">
        <v>9301</v>
      </c>
      <c r="AF728" s="276">
        <f t="shared" ref="AF728:AF730" si="82">G728+H731+R728+Y728</f>
        <v>29.76</v>
      </c>
      <c r="AG728" s="276">
        <f t="shared" si="76"/>
        <v>29.76</v>
      </c>
      <c r="AH728" s="276">
        <f t="shared" si="77"/>
        <v>-29.76</v>
      </c>
      <c r="AI728" s="283">
        <f t="shared" si="78"/>
        <v>-1</v>
      </c>
    </row>
    <row r="729" spans="1:35" ht="30" x14ac:dyDescent="0.25">
      <c r="A729" s="275">
        <f>'Profits 2016'!A5942</f>
        <v>0</v>
      </c>
      <c r="B729" s="279">
        <f>'Profits 2016'!B5942</f>
        <v>0</v>
      </c>
      <c r="C729" s="276">
        <f>'Profits 2016'!H5942</f>
        <v>0</v>
      </c>
      <c r="D729" s="280">
        <f>'Profits 2016'!K5942</f>
        <v>0</v>
      </c>
      <c r="E729" s="276">
        <f>'Profits 2016'!L5942</f>
        <v>160</v>
      </c>
      <c r="F729" s="275" t="str">
        <f>'Profits 2016'!P5942</f>
        <v>Kristech</v>
      </c>
      <c r="G729" s="292">
        <f>'Profits 2016'!N5942-'Profits 2016'!M5942</f>
        <v>160</v>
      </c>
      <c r="H729" s="331">
        <v>0</v>
      </c>
      <c r="I729" s="332">
        <v>122211</v>
      </c>
      <c r="J729" s="333">
        <v>42648</v>
      </c>
      <c r="K729" s="333">
        <v>42654</v>
      </c>
      <c r="L729" s="333">
        <v>42657</v>
      </c>
      <c r="M729" s="331">
        <v>156.80000000000001</v>
      </c>
      <c r="N729" s="334">
        <v>9184</v>
      </c>
      <c r="O729" s="236" t="str">
        <f>'Profits 2016'!T5942</f>
        <v>FEDEX GROUND</v>
      </c>
      <c r="P729" s="284" t="str">
        <f>'Profits 2016'!U5942</f>
        <v>690306367149</v>
      </c>
      <c r="Q729" s="345"/>
      <c r="R729" s="342"/>
      <c r="S729" s="336"/>
      <c r="T729" s="341"/>
      <c r="U729" s="341"/>
      <c r="V729" s="341"/>
      <c r="W729" s="346"/>
      <c r="X729" s="344"/>
      <c r="AF729" s="276">
        <f t="shared" si="82"/>
        <v>160</v>
      </c>
      <c r="AG729" s="276">
        <f t="shared" si="76"/>
        <v>156.80000000000001</v>
      </c>
      <c r="AH729" s="276">
        <f t="shared" si="77"/>
        <v>-156.80000000000001</v>
      </c>
      <c r="AI729" s="283">
        <f t="shared" si="78"/>
        <v>-0.98000000000000009</v>
      </c>
    </row>
    <row r="730" spans="1:35" ht="30" x14ac:dyDescent="0.25">
      <c r="A730" s="275">
        <f>'Profits 2016'!A5943</f>
        <v>0</v>
      </c>
      <c r="B730" s="279">
        <f>'Profits 2016'!B5943</f>
        <v>0</v>
      </c>
      <c r="C730" s="276">
        <f>'Profits 2016'!H5943</f>
        <v>0</v>
      </c>
      <c r="D730" s="280">
        <f>'Profits 2016'!K5943</f>
        <v>0</v>
      </c>
      <c r="E730" s="276">
        <f>'Profits 2016'!L5943</f>
        <v>160</v>
      </c>
      <c r="F730" s="275" t="str">
        <f>'Profits 2016'!P5943</f>
        <v>Kristech</v>
      </c>
      <c r="G730" s="292">
        <f>'Profits 2016'!N5943-'Profits 2016'!M5943</f>
        <v>240</v>
      </c>
      <c r="H730" s="331">
        <v>0</v>
      </c>
      <c r="I730" s="332">
        <v>122343</v>
      </c>
      <c r="J730" s="333">
        <v>42654</v>
      </c>
      <c r="K730" s="333">
        <v>42660</v>
      </c>
      <c r="L730" s="333">
        <v>42664</v>
      </c>
      <c r="M730" s="331">
        <v>235.2</v>
      </c>
      <c r="N730" s="334">
        <v>9221</v>
      </c>
      <c r="O730" s="236" t="str">
        <f>'Profits 2016'!T5943</f>
        <v>FEDEX GROUND</v>
      </c>
      <c r="P730" s="284" t="str">
        <f>'Profits 2016'!U5943</f>
        <v>609306367514</v>
      </c>
      <c r="Q730" s="284" t="s">
        <v>314</v>
      </c>
      <c r="R730" s="276">
        <v>17.170000000000002</v>
      </c>
      <c r="S730" s="275" t="s">
        <v>15832</v>
      </c>
      <c r="T730" s="279">
        <v>1024</v>
      </c>
      <c r="U730" s="279">
        <v>42670</v>
      </c>
      <c r="V730" s="279">
        <v>42678</v>
      </c>
      <c r="W730" s="293">
        <v>0</v>
      </c>
      <c r="X730" s="236">
        <v>9301</v>
      </c>
      <c r="AF730" s="276">
        <f t="shared" si="82"/>
        <v>257.17</v>
      </c>
      <c r="AG730" s="276">
        <f t="shared" si="76"/>
        <v>252.37</v>
      </c>
      <c r="AH730" s="276">
        <f t="shared" si="77"/>
        <v>-252.37</v>
      </c>
      <c r="AI730" s="283">
        <f t="shared" si="78"/>
        <v>-0.98133530349574205</v>
      </c>
    </row>
    <row r="731" spans="1:35" ht="45" x14ac:dyDescent="0.25">
      <c r="A731" s="275">
        <f>'Profits 2016'!A5944</f>
        <v>3004673</v>
      </c>
      <c r="B731" s="279">
        <f>'Profits 2016'!B5944</f>
        <v>42646</v>
      </c>
      <c r="C731" s="276">
        <f>'Profits 2016'!H5944</f>
        <v>6862.5</v>
      </c>
      <c r="D731" s="280">
        <f>'Profits 2016'!K5944</f>
        <v>6862.5</v>
      </c>
      <c r="E731" s="276">
        <f>'Profits 2016'!L5944</f>
        <v>100</v>
      </c>
      <c r="F731" s="275" t="str">
        <f>'Profits 2016'!P5944</f>
        <v>Priority</v>
      </c>
      <c r="G731" s="292">
        <f>'Profits 2016'!N5944-'Profits 2016'!M5944</f>
        <v>1000</v>
      </c>
      <c r="H731" s="292">
        <v>0</v>
      </c>
      <c r="I731" s="275">
        <v>1062354</v>
      </c>
      <c r="J731" s="277">
        <v>42647</v>
      </c>
      <c r="K731" s="277">
        <v>42654</v>
      </c>
      <c r="L731" s="277">
        <v>42471</v>
      </c>
      <c r="M731" s="292">
        <v>1000</v>
      </c>
      <c r="N731" s="281">
        <v>9369</v>
      </c>
      <c r="O731" s="236" t="str">
        <f>'Profits 2016'!T5944</f>
        <v>OLD DOMINION</v>
      </c>
      <c r="P731" s="284" t="str">
        <f>'Profits 2016'!U5944</f>
        <v>08226925298</v>
      </c>
      <c r="Q731" s="284" t="s">
        <v>15740</v>
      </c>
      <c r="R731" s="276">
        <v>145.19</v>
      </c>
      <c r="S731" s="275">
        <v>1062354</v>
      </c>
      <c r="T731" s="279">
        <v>42647</v>
      </c>
      <c r="U731" s="279">
        <v>42654</v>
      </c>
      <c r="V731" s="279">
        <v>42678</v>
      </c>
      <c r="W731" s="293">
        <v>145.19</v>
      </c>
      <c r="X731" s="236">
        <v>9369</v>
      </c>
      <c r="AF731" s="276">
        <f t="shared" si="80"/>
        <v>1145.19</v>
      </c>
      <c r="AG731" s="276">
        <f t="shared" si="76"/>
        <v>1145.19</v>
      </c>
      <c r="AH731" s="276">
        <f t="shared" si="77"/>
        <v>5717.3099999999995</v>
      </c>
      <c r="AI731" s="283">
        <f t="shared" si="78"/>
        <v>4.9924554004139043</v>
      </c>
    </row>
    <row r="732" spans="1:35" x14ac:dyDescent="0.25">
      <c r="A732" s="275">
        <f>'Profits 2016'!A5945</f>
        <v>0</v>
      </c>
      <c r="B732" s="279">
        <f>'Profits 2016'!B5945</f>
        <v>0</v>
      </c>
      <c r="C732" s="276">
        <f>'Profits 2016'!H5945</f>
        <v>0</v>
      </c>
      <c r="D732" s="280">
        <f>'Profits 2016'!K5945</f>
        <v>0</v>
      </c>
      <c r="E732" s="276">
        <f>'Profits 2016'!L5945</f>
        <v>139</v>
      </c>
      <c r="F732" s="275" t="str">
        <f>'Profits 2016'!P5945</f>
        <v>Nehring</v>
      </c>
      <c r="G732" s="292">
        <f>'Profits 2016'!N5945-'Profits 2016'!M5945</f>
        <v>4170</v>
      </c>
      <c r="H732" s="292">
        <v>0</v>
      </c>
      <c r="I732" s="275" t="s">
        <v>15833</v>
      </c>
      <c r="J732" s="277">
        <v>42653</v>
      </c>
      <c r="K732" s="277">
        <v>42660</v>
      </c>
      <c r="L732" s="277">
        <v>42678</v>
      </c>
      <c r="M732" s="292">
        <v>4170</v>
      </c>
      <c r="N732" s="281">
        <v>9326</v>
      </c>
      <c r="O732" s="236" t="str">
        <f>'Profits 2016'!T5945</f>
        <v>FEDEX/DLS</v>
      </c>
      <c r="P732" s="284" t="str">
        <f>'Profits 2016'!U5945</f>
        <v>3954750424</v>
      </c>
      <c r="Q732" s="284" t="s">
        <v>15804</v>
      </c>
      <c r="R732" s="276">
        <v>398.21</v>
      </c>
      <c r="S732" s="275">
        <v>636842853</v>
      </c>
      <c r="T732" s="279">
        <v>42660</v>
      </c>
      <c r="U732" s="279">
        <v>42667</v>
      </c>
      <c r="V732" s="279">
        <v>42671</v>
      </c>
      <c r="W732" s="293">
        <v>398.21</v>
      </c>
      <c r="X732" s="236">
        <v>9261</v>
      </c>
      <c r="AF732" s="276">
        <f t="shared" si="80"/>
        <v>4568.21</v>
      </c>
      <c r="AG732" s="276">
        <f t="shared" si="76"/>
        <v>4568.21</v>
      </c>
      <c r="AH732" s="276">
        <f t="shared" si="77"/>
        <v>-4568.21</v>
      </c>
      <c r="AI732" s="283">
        <f t="shared" si="78"/>
        <v>-1</v>
      </c>
    </row>
    <row r="733" spans="1:35" ht="30" x14ac:dyDescent="0.25">
      <c r="A733" s="275">
        <f>'Profits 2016'!A5946</f>
        <v>3004674</v>
      </c>
      <c r="B733" s="279">
        <f>'Profits 2016'!B5946</f>
        <v>42646</v>
      </c>
      <c r="C733" s="276">
        <f>'Profits 2016'!H5946</f>
        <v>8140</v>
      </c>
      <c r="D733" s="280">
        <f>'Profits 2016'!K5946</f>
        <v>8140</v>
      </c>
      <c r="E733" s="276">
        <f>'Profits 2016'!L5946</f>
        <v>618</v>
      </c>
      <c r="F733" s="275" t="str">
        <f>'Profits 2016'!P5946</f>
        <v>Colonial</v>
      </c>
      <c r="G733" s="292">
        <f>'Profits 2016'!N5946-'Profits 2016'!M5946</f>
        <v>3708</v>
      </c>
      <c r="H733" s="292">
        <v>0</v>
      </c>
      <c r="I733" s="275" t="s">
        <v>15834</v>
      </c>
      <c r="J733" s="277">
        <v>42674</v>
      </c>
      <c r="K733" s="277">
        <v>42681</v>
      </c>
      <c r="O733" s="236" t="str">
        <f>'Profits 2016'!T5946</f>
        <v>PITT OHIO/DLS</v>
      </c>
      <c r="P733" s="284">
        <f>'Profits 2016'!U5946</f>
        <v>0</v>
      </c>
      <c r="Q733" s="345"/>
      <c r="R733" s="342"/>
      <c r="S733" s="336"/>
      <c r="T733" s="341"/>
      <c r="U733" s="341"/>
      <c r="V733" s="341"/>
      <c r="W733" s="346"/>
      <c r="X733" s="344"/>
      <c r="AF733" s="276">
        <f t="shared" si="80"/>
        <v>3708</v>
      </c>
      <c r="AG733" s="276">
        <f t="shared" si="76"/>
        <v>0</v>
      </c>
      <c r="AH733" s="276">
        <f t="shared" si="77"/>
        <v>8140</v>
      </c>
      <c r="AI733" s="283">
        <f t="shared" si="78"/>
        <v>2.1952535059331177</v>
      </c>
    </row>
    <row r="734" spans="1:35" x14ac:dyDescent="0.25">
      <c r="A734" s="275">
        <f>'Profits 2016'!A5947</f>
        <v>0</v>
      </c>
      <c r="B734" s="279">
        <f>'Profits 2016'!B5947</f>
        <v>0</v>
      </c>
      <c r="C734" s="276">
        <f>'Profits 2016'!H5947</f>
        <v>0</v>
      </c>
      <c r="D734" s="280">
        <f>'Profits 2016'!K5947</f>
        <v>0</v>
      </c>
      <c r="E734" s="276">
        <f>'Profits 2016'!L5947</f>
        <v>618</v>
      </c>
      <c r="F734" s="275" t="str">
        <f>'Profits 2016'!P5947</f>
        <v>Colonial</v>
      </c>
      <c r="G734" s="292">
        <f>'Profits 2016'!N5947-'Profits 2016'!M5947</f>
        <v>1854</v>
      </c>
      <c r="H734" s="292">
        <v>0</v>
      </c>
      <c r="I734" s="275" t="s">
        <v>15834</v>
      </c>
      <c r="J734" s="277">
        <v>42674</v>
      </c>
      <c r="K734" s="277">
        <v>42681</v>
      </c>
      <c r="O734" s="236">
        <f>'Profits 2016'!T5947</f>
        <v>0</v>
      </c>
      <c r="P734" s="284">
        <f>'Profits 2016'!U5947</f>
        <v>0</v>
      </c>
      <c r="Q734" s="345"/>
      <c r="R734" s="342"/>
      <c r="S734" s="336"/>
      <c r="T734" s="341"/>
      <c r="U734" s="341"/>
      <c r="V734" s="341"/>
      <c r="W734" s="346"/>
      <c r="X734" s="344"/>
      <c r="AF734" s="276">
        <f t="shared" si="80"/>
        <v>1854</v>
      </c>
      <c r="AG734" s="276">
        <f t="shared" si="76"/>
        <v>0</v>
      </c>
      <c r="AH734" s="276">
        <f t="shared" si="77"/>
        <v>0</v>
      </c>
      <c r="AI734" s="283">
        <f t="shared" si="78"/>
        <v>0</v>
      </c>
    </row>
    <row r="735" spans="1:35" x14ac:dyDescent="0.25">
      <c r="A735" s="275">
        <f>'Profits 2016'!A5948</f>
        <v>0</v>
      </c>
      <c r="B735" s="279">
        <f>'Profits 2016'!B5948</f>
        <v>0</v>
      </c>
      <c r="C735" s="276">
        <f>'Profits 2016'!H5948</f>
        <v>0</v>
      </c>
      <c r="D735" s="280">
        <f>'Profits 2016'!K5948</f>
        <v>0</v>
      </c>
      <c r="E735" s="276">
        <f>'Profits 2016'!L5948</f>
        <v>173</v>
      </c>
      <c r="F735" s="275" t="str">
        <f>'Profits 2016'!P5948</f>
        <v>Colonial</v>
      </c>
      <c r="G735" s="292">
        <f>'Profits 2016'!N5948-'Profits 2016'!M5948</f>
        <v>173</v>
      </c>
      <c r="H735" s="292">
        <v>0</v>
      </c>
      <c r="I735" s="275" t="s">
        <v>15834</v>
      </c>
      <c r="J735" s="277">
        <v>42674</v>
      </c>
      <c r="K735" s="277">
        <v>42681</v>
      </c>
      <c r="O735" s="236">
        <f>'Profits 2016'!T5948</f>
        <v>0</v>
      </c>
      <c r="P735" s="284">
        <f>'Profits 2016'!U5948</f>
        <v>0</v>
      </c>
      <c r="Q735" s="345"/>
      <c r="R735" s="342"/>
      <c r="S735" s="336"/>
      <c r="T735" s="341"/>
      <c r="U735" s="341"/>
      <c r="V735" s="341"/>
      <c r="W735" s="346"/>
      <c r="X735" s="344"/>
      <c r="AF735" s="276">
        <f t="shared" si="80"/>
        <v>173</v>
      </c>
      <c r="AG735" s="276">
        <f t="shared" si="76"/>
        <v>0</v>
      </c>
      <c r="AH735" s="276">
        <f t="shared" si="77"/>
        <v>0</v>
      </c>
      <c r="AI735" s="283">
        <f t="shared" si="78"/>
        <v>0</v>
      </c>
    </row>
    <row r="736" spans="1:35" x14ac:dyDescent="0.25">
      <c r="A736" s="275">
        <f>'Profits 2016'!A5949</f>
        <v>0</v>
      </c>
      <c r="B736" s="279">
        <f>'Profits 2016'!B5949</f>
        <v>0</v>
      </c>
      <c r="C736" s="276">
        <f>'Profits 2016'!H5949</f>
        <v>0</v>
      </c>
      <c r="D736" s="280">
        <f>'Profits 2016'!K5949</f>
        <v>0</v>
      </c>
      <c r="E736" s="276">
        <f>'Profits 2016'!L5949</f>
        <v>173</v>
      </c>
      <c r="F736" s="275" t="str">
        <f>'Profits 2016'!P5949</f>
        <v>Colonial</v>
      </c>
      <c r="G736" s="292">
        <f>'Profits 2016'!N5949-'Profits 2016'!M5949</f>
        <v>173</v>
      </c>
      <c r="H736" s="292">
        <v>0</v>
      </c>
      <c r="I736" s="275" t="s">
        <v>15834</v>
      </c>
      <c r="J736" s="277">
        <v>42674</v>
      </c>
      <c r="K736" s="277">
        <v>42681</v>
      </c>
      <c r="O736" s="236">
        <f>'Profits 2016'!T5949</f>
        <v>0</v>
      </c>
      <c r="P736" s="284">
        <f>'Profits 2016'!U5949</f>
        <v>0</v>
      </c>
      <c r="Q736" s="345"/>
      <c r="R736" s="342"/>
      <c r="S736" s="336"/>
      <c r="T736" s="341"/>
      <c r="U736" s="341"/>
      <c r="V736" s="341"/>
      <c r="W736" s="346"/>
      <c r="X736" s="344"/>
      <c r="AF736" s="276">
        <f t="shared" si="80"/>
        <v>173</v>
      </c>
      <c r="AG736" s="276">
        <f t="shared" si="76"/>
        <v>0</v>
      </c>
      <c r="AH736" s="276">
        <f t="shared" si="77"/>
        <v>0</v>
      </c>
      <c r="AI736" s="283">
        <f t="shared" si="78"/>
        <v>0</v>
      </c>
    </row>
    <row r="737" spans="1:35" x14ac:dyDescent="0.25">
      <c r="A737" s="275">
        <f>'Profits 2016'!A5950</f>
        <v>0</v>
      </c>
      <c r="B737" s="279">
        <f>'Profits 2016'!B5950</f>
        <v>0</v>
      </c>
      <c r="C737" s="276">
        <f>'Profits 2016'!H5950</f>
        <v>0</v>
      </c>
      <c r="D737" s="280">
        <f>'Profits 2016'!K5950</f>
        <v>0</v>
      </c>
      <c r="E737" s="276">
        <f>'Profits 2016'!L5950</f>
        <v>173</v>
      </c>
      <c r="F737" s="275" t="str">
        <f>'Profits 2016'!P5950</f>
        <v>Colonial</v>
      </c>
      <c r="G737" s="292">
        <f>'Profits 2016'!N5950-'Profits 2016'!M5950</f>
        <v>173</v>
      </c>
      <c r="H737" s="292">
        <v>0</v>
      </c>
      <c r="I737" s="275" t="s">
        <v>15834</v>
      </c>
      <c r="J737" s="277">
        <v>42674</v>
      </c>
      <c r="K737" s="277">
        <v>42681</v>
      </c>
      <c r="O737" s="236">
        <f>'Profits 2016'!T5950</f>
        <v>0</v>
      </c>
      <c r="P737" s="284">
        <f>'Profits 2016'!U5950</f>
        <v>0</v>
      </c>
      <c r="Q737" s="345"/>
      <c r="R737" s="342"/>
      <c r="S737" s="336"/>
      <c r="T737" s="341"/>
      <c r="U737" s="341"/>
      <c r="V737" s="341"/>
      <c r="W737" s="346"/>
      <c r="X737" s="344"/>
      <c r="AF737" s="276">
        <f t="shared" si="80"/>
        <v>173</v>
      </c>
      <c r="AG737" s="276">
        <f t="shared" si="76"/>
        <v>0</v>
      </c>
      <c r="AH737" s="276">
        <f t="shared" si="77"/>
        <v>0</v>
      </c>
      <c r="AI737" s="283">
        <f t="shared" si="78"/>
        <v>0</v>
      </c>
    </row>
    <row r="738" spans="1:35" ht="30" x14ac:dyDescent="0.25">
      <c r="A738" s="275">
        <f>'Profits 2016'!A5951</f>
        <v>3004675</v>
      </c>
      <c r="B738" s="279">
        <f>'Profits 2016'!B5951</f>
        <v>42646</v>
      </c>
      <c r="C738" s="276">
        <f>'Profits 2016'!H5951</f>
        <v>361.38</v>
      </c>
      <c r="D738" s="280">
        <f>'Profits 2016'!K5951</f>
        <v>321.68957999999998</v>
      </c>
      <c r="E738" s="276">
        <f>'Profits 2016'!L5951</f>
        <v>1000</v>
      </c>
      <c r="F738" s="275" t="str">
        <f>'Profits 2016'!P5951</f>
        <v>A-Z</v>
      </c>
      <c r="G738" s="292">
        <f>'Profits 2016'!N5951-'Profits 2016'!M5951</f>
        <v>250</v>
      </c>
      <c r="H738" s="292">
        <v>0</v>
      </c>
      <c r="I738" s="275">
        <v>403854</v>
      </c>
      <c r="J738" s="277">
        <v>42648</v>
      </c>
      <c r="K738" s="277">
        <v>42654</v>
      </c>
      <c r="L738" s="277">
        <v>42692</v>
      </c>
      <c r="M738" s="292">
        <v>250</v>
      </c>
      <c r="N738" s="281">
        <v>9430</v>
      </c>
      <c r="O738" s="236" t="str">
        <f>'Profits 2016'!T5951</f>
        <v>FEDEX GROUND</v>
      </c>
      <c r="P738" s="284" t="str">
        <f>'Profits 2016'!U5951</f>
        <v>705687155178</v>
      </c>
      <c r="Q738" s="284" t="s">
        <v>314</v>
      </c>
      <c r="R738" s="276">
        <v>39.17</v>
      </c>
      <c r="S738" s="275" t="s">
        <v>15802</v>
      </c>
      <c r="T738" s="279">
        <v>42660</v>
      </c>
      <c r="U738" s="279">
        <v>42663</v>
      </c>
      <c r="V738" s="279">
        <v>42671</v>
      </c>
      <c r="W738" s="293">
        <f t="shared" ref="W738:W739" si="83">R738</f>
        <v>39.17</v>
      </c>
      <c r="X738" s="236">
        <v>9250</v>
      </c>
      <c r="AF738" s="276">
        <f t="shared" si="80"/>
        <v>289.17</v>
      </c>
      <c r="AG738" s="276">
        <f t="shared" si="76"/>
        <v>289.17</v>
      </c>
      <c r="AH738" s="276">
        <f t="shared" si="77"/>
        <v>32.519579999999962</v>
      </c>
      <c r="AI738" s="283">
        <f t="shared" si="78"/>
        <v>0.11245834630148342</v>
      </c>
    </row>
    <row r="739" spans="1:35" ht="30" x14ac:dyDescent="0.25">
      <c r="A739" s="275">
        <f>'Profits 2016'!A5952</f>
        <v>3004676</v>
      </c>
      <c r="B739" s="279">
        <f>'Profits 2016'!B5952</f>
        <v>42646</v>
      </c>
      <c r="C739" s="276">
        <f>'Profits 2016'!H5952</f>
        <v>431.64</v>
      </c>
      <c r="D739" s="280">
        <f>'Profits 2016'!K5952</f>
        <v>384.29123999999996</v>
      </c>
      <c r="E739" s="276">
        <f>'Profits 2016'!L5952</f>
        <v>1100</v>
      </c>
      <c r="F739" s="275" t="str">
        <f>'Profits 2016'!P5952</f>
        <v>Nassau</v>
      </c>
      <c r="G739" s="292">
        <f>'Profits 2016'!N5952-'Profits 2016'!M5952</f>
        <v>275</v>
      </c>
      <c r="H739" s="319"/>
      <c r="I739" s="320"/>
      <c r="J739" s="321"/>
      <c r="K739" s="321"/>
      <c r="L739" s="321"/>
      <c r="M739" s="319"/>
      <c r="N739" s="322"/>
      <c r="O739" s="236" t="str">
        <f>'Profits 2016'!T5952</f>
        <v>FEDEX GROUND</v>
      </c>
      <c r="P739" s="284" t="str">
        <f>'Profits 2016'!U5952</f>
        <v>665645047380</v>
      </c>
      <c r="Q739" s="284" t="s">
        <v>314</v>
      </c>
      <c r="R739" s="276">
        <v>40.86</v>
      </c>
      <c r="S739" s="275" t="s">
        <v>15802</v>
      </c>
      <c r="T739" s="279">
        <v>42660</v>
      </c>
      <c r="U739" s="279">
        <v>42663</v>
      </c>
      <c r="V739" s="279">
        <v>42671</v>
      </c>
      <c r="W739" s="293">
        <f t="shared" si="83"/>
        <v>40.86</v>
      </c>
      <c r="X739" s="236">
        <v>9250</v>
      </c>
      <c r="AF739" s="276">
        <f t="shared" si="80"/>
        <v>315.86</v>
      </c>
      <c r="AG739" s="276">
        <f t="shared" si="76"/>
        <v>40.86</v>
      </c>
      <c r="AH739" s="276">
        <f t="shared" si="77"/>
        <v>343.43123999999995</v>
      </c>
      <c r="AI739" s="283">
        <f t="shared" si="78"/>
        <v>1.0872894320268471</v>
      </c>
    </row>
    <row r="740" spans="1:35" ht="30" x14ac:dyDescent="0.25">
      <c r="A740" s="275">
        <f>'Profits 2016'!A5953</f>
        <v>3004677</v>
      </c>
      <c r="B740" s="279">
        <f>'Profits 2016'!B5953</f>
        <v>42646</v>
      </c>
      <c r="C740" s="276">
        <f>'Profits 2016'!H5953</f>
        <v>200.77</v>
      </c>
      <c r="D740" s="280">
        <f>'Profits 2016'!K5953</f>
        <v>178.58607000000001</v>
      </c>
      <c r="E740" s="276">
        <f>'Profits 2016'!L5953</f>
        <v>584</v>
      </c>
      <c r="F740" s="275" t="str">
        <f>'Profits 2016'!P5953</f>
        <v>Commodity</v>
      </c>
      <c r="G740" s="292">
        <f>'Profits 2016'!N5953-'Profits 2016'!M5953</f>
        <v>87.6</v>
      </c>
      <c r="H740" s="292">
        <v>0</v>
      </c>
      <c r="I740" s="275" t="s">
        <v>15835</v>
      </c>
      <c r="J740" s="277">
        <v>42649</v>
      </c>
      <c r="K740" s="277">
        <v>42654</v>
      </c>
      <c r="L740" s="277">
        <v>42657</v>
      </c>
      <c r="M740" s="292">
        <v>85.85</v>
      </c>
      <c r="N740" s="281">
        <v>9160</v>
      </c>
      <c r="O740" s="236" t="str">
        <f>'Profits 2016'!T5953</f>
        <v>FEDEX GROUND</v>
      </c>
      <c r="P740" s="284" t="str">
        <f>'Profits 2016'!U5953</f>
        <v>7774057871297</v>
      </c>
      <c r="Q740" s="284" t="s">
        <v>314</v>
      </c>
      <c r="R740" s="276">
        <v>36.04</v>
      </c>
      <c r="S740" s="275" t="s">
        <v>15805</v>
      </c>
      <c r="T740" s="279">
        <v>42667</v>
      </c>
      <c r="U740" s="279">
        <v>1027</v>
      </c>
      <c r="V740" s="279">
        <v>42678</v>
      </c>
      <c r="W740" s="293">
        <v>0</v>
      </c>
      <c r="X740" s="236">
        <v>9301</v>
      </c>
      <c r="AF740" s="276">
        <f t="shared" si="80"/>
        <v>123.63999999999999</v>
      </c>
      <c r="AG740" s="276">
        <f t="shared" si="76"/>
        <v>121.88999999999999</v>
      </c>
      <c r="AH740" s="276">
        <f t="shared" si="77"/>
        <v>56.69607000000002</v>
      </c>
      <c r="AI740" s="283">
        <f t="shared" si="78"/>
        <v>0.45855766742154663</v>
      </c>
    </row>
    <row r="741" spans="1:35" ht="30" x14ac:dyDescent="0.25">
      <c r="A741" s="275">
        <f>'Profits 2016'!A5954</f>
        <v>3004678</v>
      </c>
      <c r="B741" s="279">
        <f>'Profits 2016'!B5954</f>
        <v>42646</v>
      </c>
      <c r="C741" s="276">
        <f>'Profits 2016'!H5954</f>
        <v>186.52</v>
      </c>
      <c r="D741" s="280">
        <f>'Profits 2016'!K5954</f>
        <v>165.88932</v>
      </c>
      <c r="E741" s="276">
        <f>'Profits 2016'!L5954</f>
        <v>595</v>
      </c>
      <c r="F741" s="275" t="str">
        <f>'Profits 2016'!P5954</f>
        <v>Nassau</v>
      </c>
      <c r="G741" s="292">
        <f>'Profits 2016'!N5954-'Profits 2016'!M5954</f>
        <v>74.375</v>
      </c>
      <c r="H741" s="319"/>
      <c r="I741" s="320"/>
      <c r="J741" s="321"/>
      <c r="K741" s="321"/>
      <c r="L741" s="321"/>
      <c r="M741" s="319"/>
      <c r="N741" s="322"/>
      <c r="O741" s="236" t="str">
        <f>'Profits 2016'!T5954</f>
        <v>FEDEX GROUND</v>
      </c>
      <c r="P741" s="284" t="str">
        <f>'Profits 2016'!U5954</f>
        <v>680483360325</v>
      </c>
      <c r="Q741" s="345"/>
      <c r="R741" s="342"/>
      <c r="S741" s="336"/>
      <c r="T741" s="341"/>
      <c r="U741" s="341"/>
      <c r="V741" s="341"/>
      <c r="W741" s="346"/>
      <c r="X741" s="344"/>
      <c r="AF741" s="276">
        <f t="shared" si="80"/>
        <v>74.375</v>
      </c>
      <c r="AG741" s="276">
        <f t="shared" si="76"/>
        <v>0</v>
      </c>
      <c r="AH741" s="276">
        <f t="shared" si="77"/>
        <v>165.88932</v>
      </c>
      <c r="AI741" s="283">
        <f t="shared" si="78"/>
        <v>2.2304446386554622</v>
      </c>
    </row>
    <row r="742" spans="1:35" ht="30" x14ac:dyDescent="0.25">
      <c r="A742" s="275">
        <f>'Profits 2016'!A5955</f>
        <v>3004679</v>
      </c>
      <c r="B742" s="279">
        <f>'Profits 2016'!B5955</f>
        <v>42646</v>
      </c>
      <c r="C742" s="276">
        <f>'Profits 2016'!H5955</f>
        <v>53.48</v>
      </c>
      <c r="D742" s="280">
        <f>'Profits 2016'!K5955</f>
        <v>47.350679999999997</v>
      </c>
      <c r="E742" s="276">
        <f>'Profits 2016'!L5955</f>
        <v>595</v>
      </c>
      <c r="F742" s="275" t="str">
        <f>'Profits 2016'!P5955</f>
        <v>Nassau</v>
      </c>
      <c r="G742" s="292">
        <f>'Profits 2016'!N5955-'Profits 2016'!M5955</f>
        <v>20.23</v>
      </c>
      <c r="H742" s="319"/>
      <c r="I742" s="320"/>
      <c r="J742" s="321"/>
      <c r="K742" s="321"/>
      <c r="L742" s="321"/>
      <c r="M742" s="319"/>
      <c r="N742" s="322"/>
      <c r="O742" s="236" t="str">
        <f>'Profits 2016'!T5955</f>
        <v>FEDEX GROUND</v>
      </c>
      <c r="P742" s="284" t="str">
        <f>'Profits 2016'!U5955</f>
        <v>680483360314</v>
      </c>
      <c r="Q742" s="345"/>
      <c r="R742" s="342"/>
      <c r="S742" s="336"/>
      <c r="T742" s="341"/>
      <c r="U742" s="341"/>
      <c r="V742" s="341"/>
      <c r="W742" s="346"/>
      <c r="X742" s="344"/>
      <c r="AF742" s="276">
        <f t="shared" si="80"/>
        <v>20.23</v>
      </c>
      <c r="AG742" s="276">
        <f t="shared" si="76"/>
        <v>0</v>
      </c>
      <c r="AH742" s="276">
        <f t="shared" si="77"/>
        <v>47.350679999999997</v>
      </c>
      <c r="AI742" s="283">
        <f t="shared" si="78"/>
        <v>2.3406169055857635</v>
      </c>
    </row>
    <row r="743" spans="1:35" ht="30" x14ac:dyDescent="0.25">
      <c r="A743" s="275">
        <f>'Profits 2016'!A5956</f>
        <v>3004680</v>
      </c>
      <c r="B743" s="279">
        <f>'Profits 2016'!B5956</f>
        <v>42646</v>
      </c>
      <c r="C743" s="276">
        <f>'Profits 2016'!H5956</f>
        <v>446.5</v>
      </c>
      <c r="D743" s="280">
        <f>'Profits 2016'!K5956</f>
        <v>397.53149999999999</v>
      </c>
      <c r="E743" s="276">
        <f>'Profits 2016'!L5956</f>
        <v>521</v>
      </c>
      <c r="F743" s="275" t="str">
        <f>'Profits 2016'!P5956</f>
        <v>Colonial</v>
      </c>
      <c r="G743" s="292">
        <f>'Profits 2016'!N5956-'Profits 2016'!M5956</f>
        <v>260.5</v>
      </c>
      <c r="H743" s="292">
        <v>0</v>
      </c>
      <c r="I743" s="275" t="s">
        <v>15836</v>
      </c>
      <c r="J743" s="277">
        <v>42648</v>
      </c>
      <c r="K743" s="277">
        <v>42654</v>
      </c>
      <c r="L743" s="277">
        <v>42678</v>
      </c>
      <c r="M743" s="292">
        <v>255.26</v>
      </c>
      <c r="N743" s="281">
        <v>9286</v>
      </c>
      <c r="O743" s="236" t="str">
        <f>'Profits 2016'!T5956</f>
        <v>FEDEX GROUND</v>
      </c>
      <c r="P743" s="284" t="str">
        <f>'Profits 2016'!U5956</f>
        <v>675157530345</v>
      </c>
      <c r="Q743" s="284" t="s">
        <v>314</v>
      </c>
      <c r="R743" s="276">
        <v>59.77</v>
      </c>
      <c r="S743" s="275" t="s">
        <v>15802</v>
      </c>
      <c r="T743" s="279">
        <v>42660</v>
      </c>
      <c r="U743" s="279">
        <v>42663</v>
      </c>
      <c r="V743" s="279">
        <v>42671</v>
      </c>
      <c r="W743" s="293">
        <f>R743</f>
        <v>59.77</v>
      </c>
      <c r="X743" s="236">
        <v>9250</v>
      </c>
      <c r="AF743" s="276">
        <f t="shared" si="80"/>
        <v>320.27</v>
      </c>
      <c r="AG743" s="276">
        <f t="shared" si="76"/>
        <v>315.02999999999997</v>
      </c>
      <c r="AH743" s="276">
        <f t="shared" si="77"/>
        <v>82.501500000000021</v>
      </c>
      <c r="AI743" s="283">
        <f t="shared" si="78"/>
        <v>0.25759983763699384</v>
      </c>
    </row>
    <row r="744" spans="1:35" ht="30" x14ac:dyDescent="0.25">
      <c r="A744" s="275">
        <f>'Profits 2016'!A5957</f>
        <v>3004681</v>
      </c>
      <c r="B744" s="279">
        <f>'Profits 2016'!B5957</f>
        <v>42646</v>
      </c>
      <c r="C744" s="276">
        <f>'Profits 2016'!H5957</f>
        <v>134.61000000000001</v>
      </c>
      <c r="D744" s="280">
        <f>'Profits 2016'!K5957</f>
        <v>119.63751000000001</v>
      </c>
      <c r="E744" s="276">
        <f>'Profits 2016'!L5957</f>
        <v>112</v>
      </c>
      <c r="F744" s="275" t="str">
        <f>'Profits 2016'!P5957</f>
        <v>Priority</v>
      </c>
      <c r="G744" s="292">
        <f>'Profits 2016'!N5957-'Profits 2016'!M5957</f>
        <v>55.999999999999993</v>
      </c>
      <c r="H744" s="292">
        <v>0</v>
      </c>
      <c r="I744" s="275">
        <v>1062150</v>
      </c>
      <c r="J744" s="277">
        <v>42646</v>
      </c>
      <c r="K744" s="277">
        <v>42654</v>
      </c>
      <c r="L744" s="277">
        <v>42671</v>
      </c>
      <c r="M744" s="292">
        <v>56</v>
      </c>
      <c r="N744" s="281">
        <v>9260</v>
      </c>
      <c r="O744" s="236" t="str">
        <f>'Profits 2016'!T5957</f>
        <v>FEDEX GROUND</v>
      </c>
      <c r="P744" s="284" t="str">
        <f>'Profits 2016'!U5957</f>
        <v>616712876954</v>
      </c>
      <c r="Q744" s="284" t="s">
        <v>15740</v>
      </c>
      <c r="R744" s="276">
        <v>17.82</v>
      </c>
      <c r="S744" s="275">
        <v>1062150</v>
      </c>
      <c r="T744" s="279">
        <v>42646</v>
      </c>
      <c r="U744" s="279">
        <v>42654</v>
      </c>
      <c r="V744" s="279">
        <v>42671</v>
      </c>
      <c r="W744" s="293">
        <v>17.82</v>
      </c>
      <c r="X744" s="236">
        <v>9260</v>
      </c>
      <c r="AF744" s="276">
        <f t="shared" si="80"/>
        <v>73.819999999999993</v>
      </c>
      <c r="AG744" s="276">
        <f t="shared" si="76"/>
        <v>73.819999999999993</v>
      </c>
      <c r="AH744" s="276">
        <f t="shared" si="77"/>
        <v>45.817510000000013</v>
      </c>
      <c r="AI744" s="283">
        <f t="shared" si="78"/>
        <v>0.6206652668653484</v>
      </c>
    </row>
    <row r="745" spans="1:35" ht="30" x14ac:dyDescent="0.25">
      <c r="A745" s="275">
        <f>'Profits 2016'!A5958</f>
        <v>3004682</v>
      </c>
      <c r="B745" s="279">
        <f>'Profits 2016'!B5958</f>
        <v>42646</v>
      </c>
      <c r="C745" s="276">
        <f>'Profits 2016'!H5958</f>
        <v>128.80000000000001</v>
      </c>
      <c r="D745" s="280">
        <f>'Profits 2016'!K5958</f>
        <v>114.46080000000001</v>
      </c>
      <c r="E745" s="276">
        <f>'Profits 2016'!L5958</f>
        <v>990</v>
      </c>
      <c r="F745" s="275" t="str">
        <f>'Profits 2016'!P5958</f>
        <v>Nassau</v>
      </c>
      <c r="G745" s="292">
        <f>'Profits 2016'!N5958-'Profits 2016'!M5958</f>
        <v>49.5</v>
      </c>
      <c r="H745" s="319"/>
      <c r="I745" s="320"/>
      <c r="J745" s="321"/>
      <c r="K745" s="321"/>
      <c r="L745" s="321"/>
      <c r="M745" s="319"/>
      <c r="N745" s="322"/>
      <c r="O745" s="236" t="str">
        <f>'Profits 2016'!T5958</f>
        <v>FEDEX GROUND</v>
      </c>
      <c r="P745" s="284" t="str">
        <f>'Profits 2016'!U5958</f>
        <v>680483360380</v>
      </c>
      <c r="Q745" s="345"/>
      <c r="R745" s="342"/>
      <c r="S745" s="336"/>
      <c r="T745" s="341"/>
      <c r="U745" s="341"/>
      <c r="V745" s="341"/>
      <c r="W745" s="346"/>
      <c r="X745" s="344"/>
      <c r="AF745" s="276">
        <f t="shared" si="80"/>
        <v>49.5</v>
      </c>
      <c r="AG745" s="276">
        <f t="shared" si="76"/>
        <v>0</v>
      </c>
      <c r="AH745" s="276">
        <f t="shared" si="77"/>
        <v>114.46080000000001</v>
      </c>
      <c r="AI745" s="283">
        <f t="shared" si="78"/>
        <v>2.3123393939393941</v>
      </c>
    </row>
    <row r="746" spans="1:35" ht="30" x14ac:dyDescent="0.25">
      <c r="A746" s="275">
        <f>'Profits 2016'!A5959</f>
        <v>3004683</v>
      </c>
      <c r="B746" s="279">
        <f>'Profits 2016'!B5959</f>
        <v>42646</v>
      </c>
      <c r="C746" s="276">
        <f>'Profits 2016'!H5959</f>
        <v>197.99</v>
      </c>
      <c r="D746" s="280">
        <f>'Profits 2016'!K5959</f>
        <v>176.10909000000001</v>
      </c>
      <c r="E746" s="276">
        <f>'Profits 2016'!L5959</f>
        <v>395</v>
      </c>
      <c r="F746" s="275" t="str">
        <f>'Profits 2016'!P5959</f>
        <v>Nassau</v>
      </c>
      <c r="G746" s="292">
        <f>'Profits 2016'!N5959-'Profits 2016'!M5959</f>
        <v>98.75</v>
      </c>
      <c r="H746" s="319"/>
      <c r="I746" s="320"/>
      <c r="J746" s="321"/>
      <c r="K746" s="321"/>
      <c r="L746" s="321"/>
      <c r="M746" s="319"/>
      <c r="N746" s="322"/>
      <c r="O746" s="236" t="str">
        <f>'Profits 2016'!T5959</f>
        <v>FEDEX GROUND</v>
      </c>
      <c r="P746" s="284" t="str">
        <f>'Profits 2016'!U5959</f>
        <v>680483360358</v>
      </c>
      <c r="Q746" s="284" t="s">
        <v>314</v>
      </c>
      <c r="R746" s="276">
        <v>35.840000000000003</v>
      </c>
      <c r="S746" s="275" t="s">
        <v>15802</v>
      </c>
      <c r="T746" s="279">
        <v>42660</v>
      </c>
      <c r="U746" s="279">
        <v>42663</v>
      </c>
      <c r="V746" s="279">
        <v>42671</v>
      </c>
      <c r="W746" s="293">
        <f>R746</f>
        <v>35.840000000000003</v>
      </c>
      <c r="X746" s="236">
        <v>9250</v>
      </c>
      <c r="AF746" s="276">
        <f t="shared" si="80"/>
        <v>134.59</v>
      </c>
      <c r="AG746" s="276">
        <f t="shared" si="76"/>
        <v>35.840000000000003</v>
      </c>
      <c r="AH746" s="276">
        <f t="shared" si="77"/>
        <v>140.26909000000001</v>
      </c>
      <c r="AI746" s="283">
        <f t="shared" si="78"/>
        <v>1.0421954825767146</v>
      </c>
    </row>
    <row r="747" spans="1:35" ht="30" x14ac:dyDescent="0.25">
      <c r="A747" s="275">
        <f>'Profits 2016'!A5960</f>
        <v>3004684</v>
      </c>
      <c r="B747" s="279">
        <f>'Profits 2016'!B5960</f>
        <v>42646</v>
      </c>
      <c r="C747" s="276">
        <f>'Profits 2016'!H5960</f>
        <v>341.55</v>
      </c>
      <c r="D747" s="280">
        <f>'Profits 2016'!K5960</f>
        <v>304.02105</v>
      </c>
      <c r="E747" s="276">
        <f>'Profits 2016'!L5960</f>
        <v>1322</v>
      </c>
      <c r="F747" s="275" t="str">
        <f>'Profits 2016'!P5960</f>
        <v>Nassau</v>
      </c>
      <c r="G747" s="292">
        <f>'Profits 2016'!N5960-'Profits 2016'!M5960</f>
        <v>198.29999999999998</v>
      </c>
      <c r="H747" s="319"/>
      <c r="I747" s="320"/>
      <c r="J747" s="321"/>
      <c r="K747" s="321"/>
      <c r="L747" s="321"/>
      <c r="M747" s="319"/>
      <c r="N747" s="322"/>
      <c r="O747" s="236" t="str">
        <f>'Profits 2016'!T5960</f>
        <v>FEDEX GROUND</v>
      </c>
      <c r="P747" s="284" t="str">
        <f>'Profits 2016'!U5960</f>
        <v>680483360370</v>
      </c>
      <c r="Q747" s="284" t="s">
        <v>314</v>
      </c>
      <c r="R747" s="276">
        <v>50.74</v>
      </c>
      <c r="S747" s="275" t="s">
        <v>15805</v>
      </c>
      <c r="T747" s="279">
        <v>42667</v>
      </c>
      <c r="U747" s="279">
        <v>42670</v>
      </c>
      <c r="V747" s="279">
        <v>42678</v>
      </c>
      <c r="W747" s="293">
        <v>0</v>
      </c>
      <c r="X747" s="236">
        <v>9301</v>
      </c>
      <c r="AF747" s="276">
        <f t="shared" si="80"/>
        <v>249.04</v>
      </c>
      <c r="AG747" s="276">
        <f t="shared" si="76"/>
        <v>50.74</v>
      </c>
      <c r="AH747" s="276">
        <f t="shared" si="77"/>
        <v>253.28104999999999</v>
      </c>
      <c r="AI747" s="283">
        <f t="shared" si="78"/>
        <v>1.0170295936395759</v>
      </c>
    </row>
    <row r="748" spans="1:35" ht="30" x14ac:dyDescent="0.25">
      <c r="A748" s="275">
        <f>'Profits 2016'!A5961</f>
        <v>3004685</v>
      </c>
      <c r="B748" s="279">
        <f>'Profits 2016'!B5961</f>
        <v>42646</v>
      </c>
      <c r="C748" s="276">
        <f>'Profits 2016'!H5961</f>
        <v>138.9</v>
      </c>
      <c r="D748" s="280">
        <f>'Profits 2016'!K5961</f>
        <v>123.4599</v>
      </c>
      <c r="E748" s="276">
        <f>'Profits 2016'!L5961</f>
        <v>880</v>
      </c>
      <c r="F748" s="275" t="str">
        <f>'Profits 2016'!P5961</f>
        <v>A-Z</v>
      </c>
      <c r="G748" s="292">
        <f>'Profits 2016'!N5961-'Profits 2016'!M5961</f>
        <v>88</v>
      </c>
      <c r="H748" s="292">
        <v>0</v>
      </c>
      <c r="I748" s="275">
        <v>404468</v>
      </c>
      <c r="J748" s="277">
        <v>42653</v>
      </c>
      <c r="K748" s="277">
        <v>42657</v>
      </c>
      <c r="L748" s="277">
        <v>42697</v>
      </c>
      <c r="M748" s="292">
        <v>88</v>
      </c>
      <c r="N748" s="281">
        <v>9461</v>
      </c>
      <c r="O748" s="236" t="str">
        <f>'Profits 2016'!T5961</f>
        <v>FEDEX GROUND</v>
      </c>
      <c r="P748" s="284" t="str">
        <f>'Profits 2016'!U5961</f>
        <v>679590220889</v>
      </c>
      <c r="Q748" s="284" t="s">
        <v>314</v>
      </c>
      <c r="R748" s="276">
        <v>16.82</v>
      </c>
      <c r="S748" s="275" t="s">
        <v>15805</v>
      </c>
      <c r="T748" s="279">
        <v>42667</v>
      </c>
      <c r="U748" s="279">
        <v>42670</v>
      </c>
      <c r="V748" s="279">
        <v>42678</v>
      </c>
      <c r="W748" s="293">
        <v>0</v>
      </c>
      <c r="X748" s="236">
        <v>9301</v>
      </c>
      <c r="AF748" s="276">
        <f t="shared" si="80"/>
        <v>104.82</v>
      </c>
      <c r="AG748" s="276">
        <f t="shared" si="76"/>
        <v>104.82</v>
      </c>
      <c r="AH748" s="276">
        <f t="shared" si="77"/>
        <v>18.639900000000011</v>
      </c>
      <c r="AI748" s="283">
        <f t="shared" si="78"/>
        <v>0.17782770463651987</v>
      </c>
    </row>
    <row r="749" spans="1:35" ht="30" x14ac:dyDescent="0.25">
      <c r="A749" s="275">
        <f>'Profits 2016'!A5962</f>
        <v>3004686</v>
      </c>
      <c r="B749" s="279">
        <f>'Profits 2016'!B5962</f>
        <v>42646</v>
      </c>
      <c r="C749" s="276">
        <f>'Profits 2016'!H5962</f>
        <v>89.25</v>
      </c>
      <c r="D749" s="280">
        <f>'Profits 2016'!K5962</f>
        <v>79.22175</v>
      </c>
      <c r="E749" s="276">
        <f>'Profits 2016'!L5962</f>
        <v>375</v>
      </c>
      <c r="F749" s="275" t="str">
        <f>'Profits 2016'!P5962</f>
        <v>Nassau</v>
      </c>
      <c r="G749" s="292">
        <f>'Profits 2016'!N5962-'Profits 2016'!M5962</f>
        <v>28.125</v>
      </c>
      <c r="H749" s="319"/>
      <c r="I749" s="320"/>
      <c r="J749" s="321"/>
      <c r="K749" s="321"/>
      <c r="L749" s="321"/>
      <c r="M749" s="319"/>
      <c r="N749" s="322"/>
      <c r="O749" s="236" t="str">
        <f>'Profits 2016'!T5962</f>
        <v>FEDEX GROUND</v>
      </c>
      <c r="P749" s="284" t="str">
        <f>'Profits 2016'!U5962</f>
        <v>680483360336</v>
      </c>
      <c r="Q749" s="345"/>
      <c r="R749" s="342"/>
      <c r="S749" s="336"/>
      <c r="T749" s="341"/>
      <c r="U749" s="341"/>
      <c r="V749" s="341"/>
      <c r="W749" s="346"/>
      <c r="X749" s="344"/>
      <c r="AF749" s="276">
        <f t="shared" si="80"/>
        <v>28.125</v>
      </c>
      <c r="AG749" s="276">
        <f t="shared" si="76"/>
        <v>0</v>
      </c>
      <c r="AH749" s="276">
        <f t="shared" si="77"/>
        <v>79.22175</v>
      </c>
      <c r="AI749" s="283">
        <f t="shared" si="78"/>
        <v>2.8167733333333334</v>
      </c>
    </row>
    <row r="750" spans="1:35" ht="30" x14ac:dyDescent="0.25">
      <c r="A750" s="275">
        <f>'Profits 2016'!A5963</f>
        <v>3004687</v>
      </c>
      <c r="B750" s="279">
        <f>'Profits 2016'!B5963</f>
        <v>42646</v>
      </c>
      <c r="C750" s="276">
        <f>'Profits 2016'!H5963</f>
        <v>550.44000000000005</v>
      </c>
      <c r="D750" s="280">
        <f>'Profits 2016'!K5963</f>
        <v>490.14204000000007</v>
      </c>
      <c r="E750" s="276">
        <f>'Profits 2016'!L5963</f>
        <v>1325</v>
      </c>
      <c r="F750" s="275" t="str">
        <f>'Profits 2016'!P5963</f>
        <v>Kalas</v>
      </c>
      <c r="G750" s="292">
        <f>'Profits 2016'!N5963-'Profits 2016'!M5963</f>
        <v>265</v>
      </c>
      <c r="H750" s="292">
        <v>0</v>
      </c>
      <c r="I750" s="275" t="s">
        <v>15837</v>
      </c>
      <c r="J750" s="277">
        <v>42648</v>
      </c>
      <c r="K750" s="277">
        <v>42654</v>
      </c>
      <c r="L750" s="277">
        <v>42657</v>
      </c>
      <c r="M750" s="292">
        <v>259.7</v>
      </c>
      <c r="N750" s="281">
        <v>9183</v>
      </c>
      <c r="O750" s="236" t="str">
        <f>'Profits 2016'!T5963</f>
        <v>FEDEX GROUND</v>
      </c>
      <c r="P750" s="284" t="str">
        <f>'Profits 2016'!U5963</f>
        <v>777396020202</v>
      </c>
      <c r="Q750" s="284" t="s">
        <v>314</v>
      </c>
      <c r="R750" s="276">
        <v>29.76</v>
      </c>
      <c r="S750" s="275" t="s">
        <v>15802</v>
      </c>
      <c r="T750" s="279">
        <v>42660</v>
      </c>
      <c r="U750" s="279">
        <v>42663</v>
      </c>
      <c r="V750" s="279">
        <v>42671</v>
      </c>
      <c r="W750" s="293">
        <f>R750</f>
        <v>29.76</v>
      </c>
      <c r="X750" s="236">
        <v>9250</v>
      </c>
      <c r="AF750" s="276">
        <f t="shared" si="80"/>
        <v>294.76</v>
      </c>
      <c r="AG750" s="276">
        <f t="shared" si="76"/>
        <v>289.45999999999998</v>
      </c>
      <c r="AH750" s="276">
        <f t="shared" si="77"/>
        <v>200.68204000000009</v>
      </c>
      <c r="AI750" s="283">
        <f t="shared" si="78"/>
        <v>0.68083199891437129</v>
      </c>
    </row>
    <row r="751" spans="1:35" ht="30" x14ac:dyDescent="0.25">
      <c r="A751" s="275">
        <f>'Profits 2016'!A5964</f>
        <v>3004688</v>
      </c>
      <c r="B751" s="279">
        <f>'Profits 2016'!B5964</f>
        <v>42646</v>
      </c>
      <c r="C751" s="276">
        <f>'Profits 2016'!H5964</f>
        <v>245</v>
      </c>
      <c r="D751" s="280">
        <f>'Profits 2016'!K5964</f>
        <v>217.99499999999998</v>
      </c>
      <c r="E751" s="276">
        <f>'Profits 2016'!L5964</f>
        <v>1322</v>
      </c>
      <c r="F751" s="275" t="str">
        <f>'Profits 2016'!P5964</f>
        <v>Nassau</v>
      </c>
      <c r="G751" s="292">
        <f>'Profits 2016'!N5964-'Profits 2016'!M5964</f>
        <v>132.20000000000002</v>
      </c>
      <c r="H751" s="319"/>
      <c r="I751" s="320"/>
      <c r="J751" s="321"/>
      <c r="K751" s="321"/>
      <c r="L751" s="321"/>
      <c r="M751" s="319"/>
      <c r="N751" s="322"/>
      <c r="O751" s="236" t="str">
        <f>'Profits 2016'!T5964</f>
        <v>FEDEX GROUND</v>
      </c>
      <c r="P751" s="284" t="str">
        <f>'Profits 2016'!U5964</f>
        <v>680483360347</v>
      </c>
      <c r="Q751" s="345"/>
      <c r="R751" s="342"/>
      <c r="S751" s="336"/>
      <c r="T751" s="341"/>
      <c r="U751" s="341"/>
      <c r="V751" s="341"/>
      <c r="W751" s="346"/>
      <c r="X751" s="344"/>
      <c r="AF751" s="276">
        <f t="shared" si="80"/>
        <v>132.20000000000002</v>
      </c>
      <c r="AG751" s="276">
        <f t="shared" si="76"/>
        <v>0</v>
      </c>
      <c r="AH751" s="276">
        <f t="shared" si="77"/>
        <v>217.99499999999998</v>
      </c>
      <c r="AI751" s="283">
        <f t="shared" si="78"/>
        <v>1.6489788199697424</v>
      </c>
    </row>
    <row r="752" spans="1:35" x14ac:dyDescent="0.25">
      <c r="A752" s="275">
        <f>'Profits 2016'!A5965</f>
        <v>3004689</v>
      </c>
      <c r="B752" s="279">
        <f>'Profits 2016'!B5965</f>
        <v>42646</v>
      </c>
      <c r="C752" s="276">
        <f>'Profits 2016'!H5965</f>
        <v>576.91999999999996</v>
      </c>
      <c r="D752" s="280">
        <f>'Profits 2016'!K5965</f>
        <v>513.73572000000001</v>
      </c>
      <c r="E752" s="276">
        <f>'Profits 2016'!L5965</f>
        <v>1296</v>
      </c>
      <c r="F752" s="275" t="str">
        <f>'Profits 2016'!P5965</f>
        <v>Nassau</v>
      </c>
      <c r="G752" s="292">
        <f>'Profits 2016'!N5965-'Profits 2016'!M5965</f>
        <v>291.60000000000002</v>
      </c>
      <c r="H752" s="319"/>
      <c r="I752" s="320"/>
      <c r="J752" s="321"/>
      <c r="K752" s="321"/>
      <c r="L752" s="321"/>
      <c r="M752" s="319"/>
      <c r="N752" s="322"/>
      <c r="O752" s="236" t="str">
        <f>'Profits 2016'!T5965</f>
        <v>R&amp;L/ECHO</v>
      </c>
      <c r="P752" s="284" t="str">
        <f>'Profits 2016'!U5965</f>
        <v>730516923</v>
      </c>
      <c r="Q752" s="284" t="s">
        <v>15767</v>
      </c>
      <c r="R752" s="276">
        <v>181.46</v>
      </c>
      <c r="S752" s="275" t="s">
        <v>15838</v>
      </c>
      <c r="T752" s="279">
        <v>42654</v>
      </c>
      <c r="U752" s="279">
        <v>42660</v>
      </c>
      <c r="AF752" s="276">
        <f t="shared" si="80"/>
        <v>473.06000000000006</v>
      </c>
      <c r="AG752" s="276">
        <f t="shared" si="76"/>
        <v>181.46</v>
      </c>
      <c r="AH752" s="276">
        <f t="shared" si="77"/>
        <v>332.27571999999998</v>
      </c>
      <c r="AI752" s="283">
        <f t="shared" si="78"/>
        <v>0.70239656703166609</v>
      </c>
    </row>
    <row r="753" spans="1:35" ht="30" x14ac:dyDescent="0.25">
      <c r="A753" s="275">
        <f>'Profits 2016'!A5966</f>
        <v>3004690</v>
      </c>
      <c r="B753" s="279">
        <f>'Profits 2016'!B5966</f>
        <v>42646</v>
      </c>
      <c r="C753" s="276">
        <f>'Profits 2016'!H5966</f>
        <v>195.25</v>
      </c>
      <c r="D753" s="280">
        <f>'Profits 2016'!K5966</f>
        <v>173.66775000000001</v>
      </c>
      <c r="E753" s="276">
        <f>'Profits 2016'!L5966</f>
        <v>950</v>
      </c>
      <c r="F753" s="275" t="str">
        <f>'Profits 2016'!P5966</f>
        <v>Nassau</v>
      </c>
      <c r="G753" s="292">
        <f>'Profits 2016'!N5966-'Profits 2016'!M5966</f>
        <v>95.000000000000014</v>
      </c>
      <c r="H753" s="319"/>
      <c r="I753" s="320"/>
      <c r="J753" s="321"/>
      <c r="K753" s="321"/>
      <c r="L753" s="321"/>
      <c r="M753" s="319"/>
      <c r="N753" s="322"/>
      <c r="O753" s="236" t="str">
        <f>'Profits 2016'!T5966</f>
        <v>FEDEX GROUND</v>
      </c>
      <c r="P753" s="284" t="str">
        <f>'Profits 2016'!U5966</f>
        <v>665645047460</v>
      </c>
      <c r="Q753" s="284" t="s">
        <v>314</v>
      </c>
      <c r="R753" s="276">
        <v>42.11</v>
      </c>
      <c r="S753" s="275" t="s">
        <v>15802</v>
      </c>
      <c r="T753" s="279">
        <v>42660</v>
      </c>
      <c r="U753" s="279">
        <v>42663</v>
      </c>
      <c r="V753" s="279">
        <v>42671</v>
      </c>
      <c r="W753" s="293">
        <f>R753</f>
        <v>42.11</v>
      </c>
      <c r="X753" s="236">
        <v>9250</v>
      </c>
      <c r="AF753" s="276">
        <f t="shared" si="80"/>
        <v>137.11000000000001</v>
      </c>
      <c r="AG753" s="276">
        <f t="shared" si="76"/>
        <v>42.11</v>
      </c>
      <c r="AH753" s="276">
        <f t="shared" si="77"/>
        <v>131.55775</v>
      </c>
      <c r="AI753" s="283">
        <f t="shared" si="78"/>
        <v>0.95950514185690317</v>
      </c>
    </row>
    <row r="754" spans="1:35" ht="30" x14ac:dyDescent="0.25">
      <c r="A754" s="275">
        <f>'Profits 2016'!A5967</f>
        <v>3004691</v>
      </c>
      <c r="B754" s="279">
        <f>'Profits 2016'!B5967</f>
        <v>42646</v>
      </c>
      <c r="C754" s="276">
        <f>'Profits 2016'!H5967</f>
        <v>910</v>
      </c>
      <c r="D754" s="280">
        <f>'Profits 2016'!K5967</f>
        <v>810.51</v>
      </c>
      <c r="E754" s="276">
        <f>'Profits 2016'!L5967</f>
        <v>1693</v>
      </c>
      <c r="F754" s="275" t="str">
        <f>'Profits 2016'!P5967</f>
        <v>Nassau</v>
      </c>
      <c r="G754" s="292">
        <f>'Profits 2016'!N5967-'Profits 2016'!M5967</f>
        <v>465.57499999999999</v>
      </c>
      <c r="H754" s="319"/>
      <c r="I754" s="320"/>
      <c r="J754" s="321"/>
      <c r="K754" s="321"/>
      <c r="L754" s="321"/>
      <c r="M754" s="319"/>
      <c r="N754" s="322"/>
      <c r="O754" s="236" t="str">
        <f>'Profits 2016'!T5967</f>
        <v>NEMF/ECHO</v>
      </c>
      <c r="P754" s="284" t="str">
        <f>'Profits 2016'!U5967</f>
        <v xml:space="preserve">	24114020</v>
      </c>
      <c r="Q754" s="284" t="s">
        <v>15767</v>
      </c>
      <c r="R754" s="276">
        <v>173.07</v>
      </c>
      <c r="S754" s="275" t="s">
        <v>15839</v>
      </c>
      <c r="T754" s="279">
        <v>42683</v>
      </c>
      <c r="U754" s="279">
        <v>42688</v>
      </c>
      <c r="AF754" s="276">
        <f t="shared" si="80"/>
        <v>638.64499999999998</v>
      </c>
      <c r="AG754" s="276">
        <f t="shared" si="76"/>
        <v>173.07</v>
      </c>
      <c r="AH754" s="276">
        <f t="shared" si="77"/>
        <v>637.44000000000005</v>
      </c>
      <c r="AI754" s="283">
        <f t="shared" si="78"/>
        <v>0.99811319277532917</v>
      </c>
    </row>
    <row r="755" spans="1:35" ht="30" x14ac:dyDescent="0.25">
      <c r="A755" s="275">
        <f>'Profits 2016'!A5968</f>
        <v>3004692</v>
      </c>
      <c r="B755" s="279">
        <f>'Profits 2016'!B5968</f>
        <v>42646</v>
      </c>
      <c r="C755" s="276">
        <f>'Profits 2016'!H5968</f>
        <v>142.75</v>
      </c>
      <c r="D755" s="280">
        <f>'Profits 2016'!K5968</f>
        <v>126.89025000000001</v>
      </c>
      <c r="E755" s="276">
        <f>'Profits 2016'!L5968</f>
        <v>1322</v>
      </c>
      <c r="F755" s="275" t="str">
        <f>'Profits 2016'!P5968</f>
        <v>Nassau</v>
      </c>
      <c r="G755" s="292">
        <f>'Profits 2016'!N5968-'Profits 2016'!M5968</f>
        <v>66.100000000000009</v>
      </c>
      <c r="H755" s="319"/>
      <c r="I755" s="320"/>
      <c r="J755" s="321"/>
      <c r="K755" s="321"/>
      <c r="L755" s="321"/>
      <c r="M755" s="319"/>
      <c r="N755" s="322"/>
      <c r="O755" s="236" t="str">
        <f>'Profits 2016'!T5968</f>
        <v>FEDEX GROUND</v>
      </c>
      <c r="P755" s="284" t="str">
        <f>'Profits 2016'!U5968</f>
        <v>665645047449</v>
      </c>
      <c r="Q755" s="284" t="s">
        <v>314</v>
      </c>
      <c r="R755" s="276">
        <v>30.36</v>
      </c>
      <c r="S755" s="275" t="s">
        <v>15802</v>
      </c>
      <c r="T755" s="279">
        <v>42660</v>
      </c>
      <c r="U755" s="279">
        <v>42663</v>
      </c>
      <c r="V755" s="279">
        <v>42671</v>
      </c>
      <c r="W755" s="293">
        <f t="shared" ref="W755:W761" si="84">R755</f>
        <v>30.36</v>
      </c>
      <c r="X755" s="236">
        <v>9250</v>
      </c>
      <c r="AF755" s="276">
        <f t="shared" si="80"/>
        <v>96.460000000000008</v>
      </c>
      <c r="AG755" s="276">
        <f t="shared" si="76"/>
        <v>30.36</v>
      </c>
      <c r="AH755" s="276">
        <f t="shared" si="77"/>
        <v>96.530250000000009</v>
      </c>
      <c r="AI755" s="283">
        <f t="shared" si="78"/>
        <v>1.0007282811528095</v>
      </c>
    </row>
    <row r="756" spans="1:35" ht="30" x14ac:dyDescent="0.25">
      <c r="A756" s="275">
        <f>'Profits 2016'!A5969</f>
        <v>3004693</v>
      </c>
      <c r="B756" s="279">
        <f>'Profits 2016'!B5969</f>
        <v>42646</v>
      </c>
      <c r="C756" s="276">
        <f>'Profits 2016'!H5969</f>
        <v>560</v>
      </c>
      <c r="D756" s="280">
        <f>'Profits 2016'!K5969</f>
        <v>547.38</v>
      </c>
      <c r="E756" s="276">
        <f>'Profits 2016'!L5969</f>
        <v>300</v>
      </c>
      <c r="F756" s="275" t="str">
        <f>'Profits 2016'!P5969</f>
        <v>Nassau</v>
      </c>
      <c r="G756" s="292">
        <f>'Profits 2016'!N5969-'Profits 2016'!M5969</f>
        <v>300</v>
      </c>
      <c r="H756" s="319"/>
      <c r="I756" s="320"/>
      <c r="J756" s="321"/>
      <c r="K756" s="321"/>
      <c r="L756" s="321"/>
      <c r="M756" s="319"/>
      <c r="N756" s="322"/>
      <c r="O756" s="236" t="str">
        <f>'Profits 2016'!T5969</f>
        <v>FEDEX GROUND</v>
      </c>
      <c r="P756" s="284" t="str">
        <f>'Profits 2016'!U5969</f>
        <v>680483360369</v>
      </c>
      <c r="Q756" s="284" t="s">
        <v>314</v>
      </c>
      <c r="R756" s="276">
        <v>57.79</v>
      </c>
      <c r="S756" s="275" t="s">
        <v>15802</v>
      </c>
      <c r="T756" s="279">
        <v>42660</v>
      </c>
      <c r="U756" s="279">
        <v>42663</v>
      </c>
      <c r="V756" s="279">
        <v>42671</v>
      </c>
      <c r="W756" s="293">
        <f t="shared" si="84"/>
        <v>57.79</v>
      </c>
      <c r="X756" s="236">
        <v>9250</v>
      </c>
      <c r="AF756" s="276">
        <f t="shared" si="80"/>
        <v>357.79</v>
      </c>
      <c r="AG756" s="276">
        <f t="shared" si="76"/>
        <v>57.79</v>
      </c>
      <c r="AH756" s="276">
        <f t="shared" si="77"/>
        <v>489.59</v>
      </c>
      <c r="AI756" s="283">
        <f t="shared" si="78"/>
        <v>1.3683725090136671</v>
      </c>
    </row>
    <row r="757" spans="1:35" ht="30" x14ac:dyDescent="0.25">
      <c r="A757" s="275">
        <f>'Profits 2016'!A5970</f>
        <v>3004694</v>
      </c>
      <c r="B757" s="279">
        <f>'Profits 2016'!B5970</f>
        <v>42646</v>
      </c>
      <c r="C757" s="276">
        <f>'Profits 2016'!H5970</f>
        <v>122.61</v>
      </c>
      <c r="D757" s="280">
        <f>'Profits 2016'!K5970</f>
        <v>104.21850000000001</v>
      </c>
      <c r="E757" s="276">
        <f>'Profits 2016'!L5970</f>
        <v>8000</v>
      </c>
      <c r="F757" s="275" t="str">
        <f>'Profits 2016'!P5970</f>
        <v>Wirexpress</v>
      </c>
      <c r="G757" s="292">
        <f>'Profits 2016'!N5970-'Profits 2016'!M5970</f>
        <v>80</v>
      </c>
      <c r="H757" s="292">
        <v>0</v>
      </c>
      <c r="I757" s="275" t="s">
        <v>15840</v>
      </c>
      <c r="J757" s="277">
        <v>42647</v>
      </c>
      <c r="K757" s="277">
        <v>42654</v>
      </c>
      <c r="L757" s="277">
        <v>42678</v>
      </c>
      <c r="M757" s="292">
        <v>80</v>
      </c>
      <c r="N757" s="281">
        <v>9361</v>
      </c>
      <c r="O757" s="236" t="str">
        <f>'Profits 2016'!T5970</f>
        <v>FEDEX GROUND</v>
      </c>
      <c r="P757" s="284" t="str">
        <f>'Profits 2016'!U5970</f>
        <v>118391272737434</v>
      </c>
      <c r="Q757" s="284" t="s">
        <v>314</v>
      </c>
      <c r="R757" s="276">
        <v>10.3</v>
      </c>
      <c r="S757" s="275" t="s">
        <v>15802</v>
      </c>
      <c r="T757" s="279">
        <v>42660</v>
      </c>
      <c r="U757" s="279">
        <v>42663</v>
      </c>
      <c r="V757" s="279">
        <v>42671</v>
      </c>
      <c r="W757" s="293">
        <f t="shared" si="84"/>
        <v>10.3</v>
      </c>
      <c r="X757" s="236">
        <v>9250</v>
      </c>
      <c r="AF757" s="276">
        <f t="shared" si="80"/>
        <v>90.3</v>
      </c>
      <c r="AG757" s="276">
        <f t="shared" si="76"/>
        <v>90.3</v>
      </c>
      <c r="AH757" s="276">
        <f t="shared" si="77"/>
        <v>13.918500000000009</v>
      </c>
      <c r="AI757" s="283">
        <f t="shared" si="78"/>
        <v>0.15413621262458482</v>
      </c>
    </row>
    <row r="758" spans="1:35" ht="30" x14ac:dyDescent="0.25">
      <c r="A758" s="275">
        <f>'Profits 2016'!A5971</f>
        <v>3004695</v>
      </c>
      <c r="B758" s="279">
        <f>'Profits 2016'!B5971</f>
        <v>42646</v>
      </c>
      <c r="C758" s="276">
        <f>'Profits 2016'!H5971</f>
        <v>270</v>
      </c>
      <c r="D758" s="280">
        <f>'Profits 2016'!K5971</f>
        <v>229.5</v>
      </c>
      <c r="E758" s="276">
        <f>'Profits 2016'!L5971</f>
        <v>375</v>
      </c>
      <c r="F758" s="275" t="str">
        <f>'Profits 2016'!P5971</f>
        <v>Nassau</v>
      </c>
      <c r="G758" s="292">
        <f>'Profits 2016'!N5971-'Profits 2016'!M5971</f>
        <v>131.25</v>
      </c>
      <c r="H758" s="319"/>
      <c r="I758" s="320"/>
      <c r="J758" s="321"/>
      <c r="K758" s="321"/>
      <c r="L758" s="321"/>
      <c r="M758" s="319"/>
      <c r="N758" s="322"/>
      <c r="O758" s="236" t="str">
        <f>'Profits 2016'!T5971</f>
        <v>FEDEX GROUND</v>
      </c>
      <c r="P758" s="284" t="str">
        <f>'Profits 2016'!U5971</f>
        <v>665645047405</v>
      </c>
      <c r="Q758" s="284" t="s">
        <v>314</v>
      </c>
      <c r="R758" s="276">
        <v>46.3</v>
      </c>
      <c r="S758" s="275" t="s">
        <v>15802</v>
      </c>
      <c r="T758" s="279">
        <v>42660</v>
      </c>
      <c r="U758" s="279">
        <v>42663</v>
      </c>
      <c r="V758" s="279">
        <v>42671</v>
      </c>
      <c r="W758" s="293">
        <f t="shared" si="84"/>
        <v>46.3</v>
      </c>
      <c r="X758" s="236">
        <v>9250</v>
      </c>
      <c r="AF758" s="276">
        <f t="shared" si="80"/>
        <v>177.55</v>
      </c>
      <c r="AG758" s="276">
        <f t="shared" si="76"/>
        <v>46.3</v>
      </c>
      <c r="AH758" s="276">
        <f t="shared" si="77"/>
        <v>183.2</v>
      </c>
      <c r="AI758" s="283">
        <f t="shared" si="78"/>
        <v>1.0318220219656433</v>
      </c>
    </row>
    <row r="759" spans="1:35" ht="30" x14ac:dyDescent="0.25">
      <c r="A759" s="275">
        <f>'Profits 2016'!A5972</f>
        <v>3004696</v>
      </c>
      <c r="B759" s="279">
        <f>'Profits 2016'!B5972</f>
        <v>42646</v>
      </c>
      <c r="C759" s="276">
        <f>'Profits 2016'!H5972</f>
        <v>103.95</v>
      </c>
      <c r="D759" s="280">
        <f>'Profits 2016'!K5972</f>
        <v>88.357500000000002</v>
      </c>
      <c r="E759" s="276">
        <f>'Profits 2016'!L5972</f>
        <v>504</v>
      </c>
      <c r="F759" s="275" t="str">
        <f>'Profits 2016'!P5972</f>
        <v>Nassau</v>
      </c>
      <c r="G759" s="292">
        <f>'Profits 2016'!N5972-'Profits 2016'!M5972</f>
        <v>50.400000000000006</v>
      </c>
      <c r="H759" s="319"/>
      <c r="I759" s="320"/>
      <c r="J759" s="321"/>
      <c r="K759" s="321"/>
      <c r="L759" s="321"/>
      <c r="M759" s="319"/>
      <c r="N759" s="322"/>
      <c r="O759" s="236" t="str">
        <f>'Profits 2016'!T5972</f>
        <v>FEDEX GROUND</v>
      </c>
      <c r="P759" s="284" t="str">
        <f>'Profits 2016'!U5972</f>
        <v>680483360303</v>
      </c>
      <c r="Q759" s="284" t="s">
        <v>314</v>
      </c>
      <c r="R759" s="276">
        <v>25.56</v>
      </c>
      <c r="S759" s="275" t="s">
        <v>15802</v>
      </c>
      <c r="T759" s="279">
        <v>42660</v>
      </c>
      <c r="U759" s="279">
        <v>42663</v>
      </c>
      <c r="V759" s="279">
        <v>42671</v>
      </c>
      <c r="W759" s="293">
        <f t="shared" si="84"/>
        <v>25.56</v>
      </c>
      <c r="X759" s="236">
        <v>9250</v>
      </c>
      <c r="AF759" s="276">
        <f t="shared" si="80"/>
        <v>75.960000000000008</v>
      </c>
      <c r="AG759" s="276">
        <f t="shared" si="76"/>
        <v>25.56</v>
      </c>
      <c r="AH759" s="276">
        <f t="shared" si="77"/>
        <v>62.797499999999999</v>
      </c>
      <c r="AI759" s="283">
        <f t="shared" si="78"/>
        <v>0.82671800947867291</v>
      </c>
    </row>
    <row r="760" spans="1:35" ht="30" x14ac:dyDescent="0.25">
      <c r="A760" s="275">
        <f>'Profits 2016'!A5973</f>
        <v>3004697</v>
      </c>
      <c r="B760" s="279">
        <f>'Profits 2016'!B5973</f>
        <v>42646</v>
      </c>
      <c r="C760" s="276">
        <f>'Profits 2016'!H5973</f>
        <v>270</v>
      </c>
      <c r="D760" s="280">
        <f>'Profits 2016'!K5973</f>
        <v>229.5</v>
      </c>
      <c r="E760" s="276">
        <f>'Profits 2016'!L5973</f>
        <v>375</v>
      </c>
      <c r="F760" s="275" t="str">
        <f>'Profits 2016'!P5973</f>
        <v>Nassau</v>
      </c>
      <c r="G760" s="292">
        <f>'Profits 2016'!N5973-'Profits 2016'!M5973</f>
        <v>131.25</v>
      </c>
      <c r="H760" s="319"/>
      <c r="I760" s="320"/>
      <c r="J760" s="321"/>
      <c r="K760" s="321"/>
      <c r="L760" s="321"/>
      <c r="M760" s="319"/>
      <c r="N760" s="322"/>
      <c r="O760" s="236" t="str">
        <f>'Profits 2016'!T5973</f>
        <v>FEDEX GROUND</v>
      </c>
      <c r="P760" s="284" t="str">
        <f>'Profits 2016'!U5973</f>
        <v>665645047390</v>
      </c>
      <c r="Q760" s="284" t="s">
        <v>314</v>
      </c>
      <c r="R760" s="276">
        <v>51.69</v>
      </c>
      <c r="S760" s="275" t="s">
        <v>15802</v>
      </c>
      <c r="T760" s="279">
        <v>42660</v>
      </c>
      <c r="U760" s="279">
        <v>42663</v>
      </c>
      <c r="V760" s="279">
        <v>42671</v>
      </c>
      <c r="W760" s="293">
        <f t="shared" si="84"/>
        <v>51.69</v>
      </c>
      <c r="X760" s="236">
        <v>9250</v>
      </c>
      <c r="AF760" s="276">
        <f t="shared" si="80"/>
        <v>182.94</v>
      </c>
      <c r="AG760" s="276">
        <f t="shared" si="76"/>
        <v>51.69</v>
      </c>
      <c r="AH760" s="276">
        <f t="shared" si="77"/>
        <v>177.81</v>
      </c>
      <c r="AI760" s="283">
        <f t="shared" si="78"/>
        <v>0.97195801902263035</v>
      </c>
    </row>
    <row r="761" spans="1:35" ht="30" x14ac:dyDescent="0.25">
      <c r="A761" s="275">
        <f>'Profits 2016'!A5974</f>
        <v>3004698</v>
      </c>
      <c r="B761" s="279">
        <f>'Profits 2016'!B5974</f>
        <v>42646</v>
      </c>
      <c r="C761" s="276">
        <f>'Profits 2016'!H5974</f>
        <v>193.04</v>
      </c>
      <c r="D761" s="280">
        <f>'Profits 2016'!K5974</f>
        <v>164.084</v>
      </c>
      <c r="E761" s="276">
        <f>'Profits 2016'!L5974</f>
        <v>950</v>
      </c>
      <c r="F761" s="275" t="str">
        <f>'Profits 2016'!P5974</f>
        <v>Nassau</v>
      </c>
      <c r="G761" s="292">
        <f>'Profits 2016'!N5974-'Profits 2016'!M5974</f>
        <v>95</v>
      </c>
      <c r="H761" s="319"/>
      <c r="I761" s="320"/>
      <c r="J761" s="321"/>
      <c r="K761" s="321"/>
      <c r="L761" s="321"/>
      <c r="M761" s="319"/>
      <c r="N761" s="322"/>
      <c r="O761" s="236" t="str">
        <f>'Profits 2016'!T5974</f>
        <v>FEDEX GROUND</v>
      </c>
      <c r="P761" s="284" t="str">
        <f>'Profits 2016'!U5974</f>
        <v>665645047450</v>
      </c>
      <c r="Q761" s="284" t="s">
        <v>314</v>
      </c>
      <c r="R761" s="276">
        <v>19.79</v>
      </c>
      <c r="S761" s="275" t="s">
        <v>15802</v>
      </c>
      <c r="T761" s="279">
        <v>42660</v>
      </c>
      <c r="U761" s="279">
        <v>42663</v>
      </c>
      <c r="V761" s="279">
        <v>42671</v>
      </c>
      <c r="W761" s="293">
        <f t="shared" si="84"/>
        <v>19.79</v>
      </c>
      <c r="X761" s="236">
        <v>9250</v>
      </c>
      <c r="AF761" s="276">
        <f t="shared" si="80"/>
        <v>114.78999999999999</v>
      </c>
      <c r="AG761" s="276">
        <f t="shared" si="76"/>
        <v>19.79</v>
      </c>
      <c r="AH761" s="276">
        <f t="shared" si="77"/>
        <v>144.29400000000001</v>
      </c>
      <c r="AI761" s="283">
        <f t="shared" si="78"/>
        <v>1.2570258733339144</v>
      </c>
    </row>
    <row r="762" spans="1:35" ht="30" x14ac:dyDescent="0.25">
      <c r="A762" s="275">
        <f>'Profits 2016'!A5975</f>
        <v>3004699</v>
      </c>
      <c r="B762" s="279">
        <f>'Profits 2016'!B5975</f>
        <v>42646</v>
      </c>
      <c r="C762" s="276">
        <f>'Profits 2016'!H5975</f>
        <v>320.19</v>
      </c>
      <c r="D762" s="280">
        <f>'Profits 2016'!K5975</f>
        <v>272.16149999999999</v>
      </c>
      <c r="E762" s="276">
        <f>'Profits 2016'!L5975</f>
        <v>584</v>
      </c>
      <c r="F762" s="275" t="str">
        <f>'Profits 2016'!P5975</f>
        <v>Commodity</v>
      </c>
      <c r="G762" s="292">
        <f>'Profits 2016'!N5975-'Profits 2016'!M5975</f>
        <v>160.60000000000002</v>
      </c>
      <c r="H762" s="292">
        <v>0</v>
      </c>
      <c r="I762" s="275" t="s">
        <v>15841</v>
      </c>
      <c r="J762" s="277">
        <v>42649</v>
      </c>
      <c r="K762" s="277">
        <v>42654</v>
      </c>
      <c r="L762" s="277">
        <v>42657</v>
      </c>
      <c r="M762" s="292">
        <v>157.38999999999999</v>
      </c>
      <c r="N762" s="281">
        <v>9161</v>
      </c>
      <c r="O762" s="236" t="str">
        <f>'Profits 2016'!T5975</f>
        <v>FEDEX GROUND</v>
      </c>
      <c r="P762" s="284" t="str">
        <f>'Profits 2016'!U5975</f>
        <v>777405755362</v>
      </c>
      <c r="Q762" s="284" t="s">
        <v>314</v>
      </c>
      <c r="R762" s="276">
        <v>43.13</v>
      </c>
      <c r="S762" s="275" t="s">
        <v>15805</v>
      </c>
      <c r="T762" s="279">
        <v>42667</v>
      </c>
      <c r="U762" s="279">
        <v>42670</v>
      </c>
      <c r="V762" s="279">
        <v>42678</v>
      </c>
      <c r="W762" s="293">
        <v>0</v>
      </c>
      <c r="X762" s="236">
        <v>9301</v>
      </c>
      <c r="AF762" s="276">
        <f t="shared" si="80"/>
        <v>203.73000000000002</v>
      </c>
      <c r="AG762" s="276">
        <f t="shared" si="76"/>
        <v>200.51999999999998</v>
      </c>
      <c r="AH762" s="276">
        <f t="shared" si="77"/>
        <v>71.641500000000008</v>
      </c>
      <c r="AI762" s="283">
        <f t="shared" si="78"/>
        <v>0.35164924164335148</v>
      </c>
    </row>
    <row r="763" spans="1:35" ht="30" x14ac:dyDescent="0.25">
      <c r="A763" s="275">
        <f>'Profits 2016'!A5976</f>
        <v>3004700</v>
      </c>
      <c r="B763" s="279">
        <f>'Profits 2016'!B5976</f>
        <v>42646</v>
      </c>
      <c r="C763" s="276">
        <f>'Profits 2016'!H5976</f>
        <v>224.43</v>
      </c>
      <c r="D763" s="280">
        <f>'Profits 2016'!K5976</f>
        <v>190.7655</v>
      </c>
      <c r="E763" s="276">
        <f>'Profits 2016'!L5976</f>
        <v>584</v>
      </c>
      <c r="F763" s="275" t="str">
        <f>'Profits 2016'!P5976</f>
        <v>Commodity</v>
      </c>
      <c r="G763" s="292">
        <f>'Profits 2016'!N5976-'Profits 2016'!M5976</f>
        <v>116.80000000000001</v>
      </c>
      <c r="H763" s="292">
        <v>0</v>
      </c>
      <c r="I763" s="275" t="s">
        <v>15842</v>
      </c>
      <c r="J763" s="277">
        <v>42649</v>
      </c>
      <c r="K763" s="277">
        <v>42654</v>
      </c>
      <c r="L763" s="277">
        <v>42657</v>
      </c>
      <c r="M763" s="292">
        <v>114.46</v>
      </c>
      <c r="N763" s="281">
        <v>9158</v>
      </c>
      <c r="O763" s="236" t="str">
        <f>'Profits 2016'!T5976</f>
        <v>FEDEX GROUND</v>
      </c>
      <c r="P763" s="284" t="str">
        <f>'Profits 2016'!U5976</f>
        <v>777405625070</v>
      </c>
      <c r="Q763" s="284" t="s">
        <v>314</v>
      </c>
      <c r="R763" s="276">
        <v>33.47</v>
      </c>
      <c r="S763" s="275" t="s">
        <v>15805</v>
      </c>
      <c r="T763" s="279">
        <v>42667</v>
      </c>
      <c r="U763" s="279">
        <v>42670</v>
      </c>
      <c r="V763" s="279">
        <v>42678</v>
      </c>
      <c r="W763" s="293">
        <v>0</v>
      </c>
      <c r="X763" s="236">
        <v>9301</v>
      </c>
      <c r="AF763" s="276">
        <f t="shared" si="80"/>
        <v>150.27000000000001</v>
      </c>
      <c r="AG763" s="276">
        <f t="shared" si="76"/>
        <v>147.93</v>
      </c>
      <c r="AH763" s="276">
        <f t="shared" si="77"/>
        <v>42.835499999999996</v>
      </c>
      <c r="AI763" s="283">
        <f t="shared" si="78"/>
        <v>0.2850568975843481</v>
      </c>
    </row>
    <row r="764" spans="1:35" ht="30" x14ac:dyDescent="0.25">
      <c r="A764" s="275">
        <f>'Profits 2016'!A5977</f>
        <v>3004701</v>
      </c>
      <c r="B764" s="279">
        <f>'Profits 2016'!B5977</f>
        <v>42646</v>
      </c>
      <c r="C764" s="276">
        <f>'Profits 2016'!H5977</f>
        <v>218.22</v>
      </c>
      <c r="D764" s="280">
        <f>'Profits 2016'!K5977</f>
        <v>185.48699999999999</v>
      </c>
      <c r="E764" s="276">
        <f>'Profits 2016'!L5977</f>
        <v>640</v>
      </c>
      <c r="F764" s="275" t="str">
        <f>'Profits 2016'!P5977</f>
        <v>Nassau</v>
      </c>
      <c r="G764" s="292">
        <f>'Profits 2016'!N5977-'Profits 2016'!M5977</f>
        <v>96</v>
      </c>
      <c r="H764" s="319"/>
      <c r="I764" s="320"/>
      <c r="J764" s="321"/>
      <c r="K764" s="321"/>
      <c r="L764" s="321"/>
      <c r="M764" s="319"/>
      <c r="N764" s="322"/>
      <c r="O764" s="236" t="str">
        <f>'Profits 2016'!T5977</f>
        <v>FEDEX GROUND</v>
      </c>
      <c r="P764" s="284" t="str">
        <f>'Profits 2016'!U5977</f>
        <v>680483360299</v>
      </c>
      <c r="Q764" s="284" t="s">
        <v>314</v>
      </c>
      <c r="R764" s="276">
        <v>48.88</v>
      </c>
      <c r="S764" s="275" t="s">
        <v>15805</v>
      </c>
      <c r="T764" s="279">
        <v>42667</v>
      </c>
      <c r="U764" s="279">
        <v>42670</v>
      </c>
      <c r="V764" s="279">
        <v>42678</v>
      </c>
      <c r="W764" s="293">
        <v>0</v>
      </c>
      <c r="X764" s="236">
        <v>9301</v>
      </c>
      <c r="AF764" s="276">
        <f t="shared" si="80"/>
        <v>144.88</v>
      </c>
      <c r="AG764" s="276">
        <f t="shared" si="76"/>
        <v>48.88</v>
      </c>
      <c r="AH764" s="276">
        <f t="shared" si="77"/>
        <v>136.607</v>
      </c>
      <c r="AI764" s="283">
        <f t="shared" si="78"/>
        <v>0.94289757040309219</v>
      </c>
    </row>
    <row r="765" spans="1:35" ht="30" x14ac:dyDescent="0.25">
      <c r="A765" s="275">
        <f>'Profits 2016'!A5978</f>
        <v>3004702</v>
      </c>
      <c r="B765" s="279">
        <f>'Profits 2016'!B5978</f>
        <v>42646</v>
      </c>
      <c r="C765" s="276">
        <f>'Profits 2016'!H5978</f>
        <v>168.37</v>
      </c>
      <c r="D765" s="280">
        <f>'Profits 2016'!K5978</f>
        <v>143.11449999999999</v>
      </c>
      <c r="E765" s="276">
        <f>'Profits 2016'!L5978</f>
        <v>579</v>
      </c>
      <c r="F765" s="275" t="str">
        <f>'Profits 2016'!P5978</f>
        <v>Nassau</v>
      </c>
      <c r="G765" s="292">
        <f>'Profits 2016'!N5978-'Profits 2016'!M5978</f>
        <v>57.900000000000006</v>
      </c>
      <c r="H765" s="319"/>
      <c r="I765" s="320"/>
      <c r="J765" s="321"/>
      <c r="K765" s="321"/>
      <c r="L765" s="321"/>
      <c r="M765" s="319"/>
      <c r="N765" s="322"/>
      <c r="O765" s="236" t="str">
        <f>'Profits 2016'!T5978</f>
        <v>FEDEX GROUND</v>
      </c>
      <c r="P765" s="284" t="str">
        <f>'Profits 2016'!U5978</f>
        <v>665645047427</v>
      </c>
      <c r="Q765" s="284" t="s">
        <v>314</v>
      </c>
      <c r="R765" s="276">
        <v>16.02</v>
      </c>
      <c r="S765" s="275" t="s">
        <v>15802</v>
      </c>
      <c r="T765" s="279">
        <v>42660</v>
      </c>
      <c r="U765" s="279">
        <v>42663</v>
      </c>
      <c r="V765" s="279">
        <v>42671</v>
      </c>
      <c r="W765" s="293">
        <f t="shared" ref="W765:W766" si="85">R765</f>
        <v>16.02</v>
      </c>
      <c r="X765" s="236">
        <v>9250</v>
      </c>
      <c r="AF765" s="276">
        <f t="shared" si="80"/>
        <v>73.92</v>
      </c>
      <c r="AG765" s="276">
        <f t="shared" si="76"/>
        <v>16.02</v>
      </c>
      <c r="AH765" s="276">
        <f t="shared" si="77"/>
        <v>127.0945</v>
      </c>
      <c r="AI765" s="283">
        <f t="shared" si="78"/>
        <v>1.7193520021645021</v>
      </c>
    </row>
    <row r="766" spans="1:35" ht="30" x14ac:dyDescent="0.25">
      <c r="A766" s="275">
        <f>'Profits 2016'!A5979</f>
        <v>3004703</v>
      </c>
      <c r="B766" s="279">
        <f>'Profits 2016'!B5979</f>
        <v>42646</v>
      </c>
      <c r="C766" s="276">
        <f>'Profits 2016'!H5979</f>
        <v>312.10000000000002</v>
      </c>
      <c r="D766" s="280">
        <f>'Profits 2016'!K5979</f>
        <v>265.28500000000003</v>
      </c>
      <c r="E766" s="276">
        <f>'Profits 2016'!L5979</f>
        <v>280</v>
      </c>
      <c r="F766" s="275" t="str">
        <f>'Profits 2016'!P5979</f>
        <v>A-Z</v>
      </c>
      <c r="G766" s="292">
        <f>'Profits 2016'!N5979-'Profits 2016'!M5979</f>
        <v>280</v>
      </c>
      <c r="H766" s="292">
        <v>0</v>
      </c>
      <c r="I766" s="275">
        <v>404129</v>
      </c>
      <c r="J766" s="277">
        <v>42649</v>
      </c>
      <c r="K766" s="277">
        <v>42655</v>
      </c>
      <c r="L766" s="277">
        <v>42692</v>
      </c>
      <c r="M766" s="292">
        <v>280</v>
      </c>
      <c r="N766" s="281">
        <v>9431</v>
      </c>
      <c r="O766" s="236" t="str">
        <f>'Profits 2016'!T5979</f>
        <v>FEDEX GROUND</v>
      </c>
      <c r="P766" s="284" t="str">
        <f>'Profits 2016'!U5979</f>
        <v>707060224745</v>
      </c>
      <c r="Q766" s="284" t="s">
        <v>314</v>
      </c>
      <c r="R766" s="276">
        <v>46.75</v>
      </c>
      <c r="S766" s="275" t="s">
        <v>15802</v>
      </c>
      <c r="T766" s="279">
        <v>42660</v>
      </c>
      <c r="U766" s="279">
        <v>42663</v>
      </c>
      <c r="V766" s="279">
        <v>42671</v>
      </c>
      <c r="W766" s="293">
        <f t="shared" si="85"/>
        <v>46.75</v>
      </c>
      <c r="X766" s="236">
        <v>9250</v>
      </c>
      <c r="AF766" s="276">
        <f t="shared" si="80"/>
        <v>326.75</v>
      </c>
      <c r="AG766" s="276">
        <f t="shared" si="76"/>
        <v>326.75</v>
      </c>
      <c r="AH766" s="276">
        <f t="shared" si="77"/>
        <v>-61.464999999999975</v>
      </c>
      <c r="AI766" s="283">
        <f t="shared" si="78"/>
        <v>-0.18811017597551638</v>
      </c>
    </row>
    <row r="767" spans="1:35" ht="30" x14ac:dyDescent="0.25">
      <c r="A767" s="275">
        <f>'Profits 2016'!A5980</f>
        <v>3004704</v>
      </c>
      <c r="B767" s="279">
        <f>'Profits 2016'!B5980</f>
        <v>42646</v>
      </c>
      <c r="C767" s="276">
        <f>'Profits 2016'!H5980</f>
        <v>229.32</v>
      </c>
      <c r="D767" s="280">
        <f>'Profits 2016'!K5980</f>
        <v>194.922</v>
      </c>
      <c r="E767" s="276">
        <f>'Profits 2016'!L5980</f>
        <v>1450</v>
      </c>
      <c r="F767" s="275" t="str">
        <f>'Profits 2016'!P5980</f>
        <v>Direct</v>
      </c>
      <c r="G767" s="292">
        <f>'Profits 2016'!N5980-'Profits 2016'!M5980</f>
        <v>72.5</v>
      </c>
      <c r="H767" s="292">
        <v>0</v>
      </c>
      <c r="I767" s="275">
        <v>74068</v>
      </c>
      <c r="J767" s="277">
        <v>42653</v>
      </c>
      <c r="K767" s="277">
        <v>42656</v>
      </c>
      <c r="O767" s="236" t="str">
        <f>'Profits 2016'!T5980</f>
        <v>FEDEX GROUND</v>
      </c>
      <c r="P767" s="284" t="str">
        <f>'Profits 2016'!U5980</f>
        <v>630512245188</v>
      </c>
      <c r="Q767" s="284" t="s">
        <v>314</v>
      </c>
      <c r="R767" s="276">
        <v>19.04</v>
      </c>
      <c r="S767" s="275" t="s">
        <v>15805</v>
      </c>
      <c r="T767" s="279">
        <v>42667</v>
      </c>
      <c r="U767" s="279">
        <v>42670</v>
      </c>
      <c r="V767" s="279">
        <v>42678</v>
      </c>
      <c r="W767" s="293">
        <v>0</v>
      </c>
      <c r="X767" s="236">
        <v>9301</v>
      </c>
      <c r="AF767" s="276">
        <f t="shared" si="80"/>
        <v>91.539999999999992</v>
      </c>
      <c r="AG767" s="276">
        <f t="shared" si="76"/>
        <v>19.04</v>
      </c>
      <c r="AH767" s="276">
        <f t="shared" si="77"/>
        <v>175.88200000000001</v>
      </c>
      <c r="AI767" s="283">
        <f t="shared" si="78"/>
        <v>1.9213677081057463</v>
      </c>
    </row>
    <row r="768" spans="1:35" x14ac:dyDescent="0.25">
      <c r="A768" s="275">
        <f>'Profits 2016'!A5981</f>
        <v>0</v>
      </c>
      <c r="B768" s="279">
        <f>'Profits 2016'!B5981</f>
        <v>0</v>
      </c>
      <c r="C768" s="276">
        <f>'Profits 2016'!H5981</f>
        <v>0</v>
      </c>
      <c r="D768" s="280">
        <f>'Profits 2016'!K5981</f>
        <v>0</v>
      </c>
      <c r="E768" s="276">
        <f>'Profits 2016'!L5981</f>
        <v>1460</v>
      </c>
      <c r="F768" s="275" t="str">
        <f>'Profits 2016'!P5981</f>
        <v>Direct</v>
      </c>
      <c r="G768" s="292">
        <f>'Profits 2016'!N5981-'Profits 2016'!M5981</f>
        <v>73</v>
      </c>
      <c r="H768" s="292">
        <v>0</v>
      </c>
      <c r="I768" s="275">
        <v>74068</v>
      </c>
      <c r="J768" s="277">
        <v>42653</v>
      </c>
      <c r="K768" s="277">
        <v>42656</v>
      </c>
      <c r="O768" s="236">
        <f>'Profits 2016'!T5981</f>
        <v>0</v>
      </c>
      <c r="P768" s="284">
        <f>'Profits 2016'!U5981</f>
        <v>0</v>
      </c>
      <c r="Q768" s="284" t="s">
        <v>314</v>
      </c>
      <c r="R768" s="276">
        <v>0</v>
      </c>
      <c r="S768" s="275" t="s">
        <v>15805</v>
      </c>
      <c r="T768" s="279">
        <v>42667</v>
      </c>
      <c r="U768" s="279">
        <v>42670</v>
      </c>
      <c r="V768" s="279">
        <v>42678</v>
      </c>
      <c r="W768" s="293">
        <v>0</v>
      </c>
      <c r="X768" s="236">
        <v>9301</v>
      </c>
      <c r="AF768" s="276">
        <f t="shared" si="80"/>
        <v>73</v>
      </c>
      <c r="AG768" s="276">
        <f t="shared" si="76"/>
        <v>0</v>
      </c>
      <c r="AH768" s="276">
        <f t="shared" si="77"/>
        <v>0</v>
      </c>
      <c r="AI768" s="283">
        <f t="shared" si="78"/>
        <v>0</v>
      </c>
    </row>
    <row r="769" spans="1:35" ht="30.75" customHeight="1" x14ac:dyDescent="0.25">
      <c r="A769" s="275">
        <f>'Profits 2016'!A5982</f>
        <v>3004705</v>
      </c>
      <c r="B769" s="279">
        <f>'Profits 2016'!B5982</f>
        <v>42646</v>
      </c>
      <c r="C769" s="276">
        <f>'Profits 2016'!H5982</f>
        <v>1391.17</v>
      </c>
      <c r="D769" s="280">
        <f>'Profits 2016'!K5982</f>
        <v>1182.4945</v>
      </c>
      <c r="E769" s="276">
        <f>'Profits 2016'!L5982</f>
        <v>110</v>
      </c>
      <c r="F769" s="275" t="str">
        <f>'Profits 2016'!P5982</f>
        <v>Allied</v>
      </c>
      <c r="G769" s="292">
        <f>'Profits 2016'!N5982-'Profits 2016'!M5982</f>
        <v>275</v>
      </c>
      <c r="H769" s="292">
        <v>0</v>
      </c>
      <c r="I769" s="275">
        <v>347691</v>
      </c>
      <c r="J769" s="277">
        <v>42648</v>
      </c>
      <c r="K769" s="277">
        <v>42654</v>
      </c>
      <c r="L769" s="277">
        <v>42678</v>
      </c>
      <c r="M769" s="292">
        <v>275</v>
      </c>
      <c r="N769" s="281">
        <v>9284</v>
      </c>
      <c r="O769" s="236" t="str">
        <f>'Profits 2016'!T5982</f>
        <v>FEDEX GROUND</v>
      </c>
      <c r="P769" s="284" t="str">
        <f>'Profits 2016'!U5982</f>
        <v>705501218693
705501218708</v>
      </c>
      <c r="Q769" s="284" t="s">
        <v>314</v>
      </c>
      <c r="R769" s="276">
        <f>8.74+8.74</f>
        <v>17.48</v>
      </c>
      <c r="S769" s="275" t="s">
        <v>15802</v>
      </c>
      <c r="T769" s="279">
        <v>42660</v>
      </c>
      <c r="U769" s="279">
        <v>42663</v>
      </c>
      <c r="V769" s="279">
        <v>42671</v>
      </c>
      <c r="W769" s="293">
        <f t="shared" ref="W769:W771" si="86">R769</f>
        <v>17.48</v>
      </c>
      <c r="X769" s="236">
        <v>9250</v>
      </c>
      <c r="AF769" s="276">
        <f t="shared" si="80"/>
        <v>292.48</v>
      </c>
      <c r="AG769" s="276">
        <f t="shared" si="76"/>
        <v>292.48</v>
      </c>
      <c r="AH769" s="276">
        <f t="shared" si="77"/>
        <v>890.0145</v>
      </c>
      <c r="AI769" s="283">
        <f t="shared" si="78"/>
        <v>3.0429926832603935</v>
      </c>
    </row>
    <row r="770" spans="1:35" ht="30.75" customHeight="1" x14ac:dyDescent="0.25">
      <c r="A770" s="275">
        <f>'Profits 2016'!A5983</f>
        <v>0</v>
      </c>
      <c r="B770" s="279">
        <f>'Profits 2016'!B5983</f>
        <v>0</v>
      </c>
      <c r="C770" s="276">
        <f>'Profits 2016'!H5983</f>
        <v>0</v>
      </c>
      <c r="D770" s="280">
        <f>'Profits 2016'!K5983</f>
        <v>0</v>
      </c>
      <c r="E770" s="276">
        <f>'Profits 2016'!L5983</f>
        <v>78</v>
      </c>
      <c r="F770" s="275" t="str">
        <f>'Profits 2016'!P5983</f>
        <v>Allied</v>
      </c>
      <c r="G770" s="292">
        <f>'Profits 2016'!N5983-'Profits 2016'!M5983</f>
        <v>156</v>
      </c>
      <c r="H770" s="292">
        <v>0</v>
      </c>
      <c r="I770" s="275">
        <v>347691</v>
      </c>
      <c r="J770" s="277">
        <v>42648</v>
      </c>
      <c r="K770" s="277">
        <v>42654</v>
      </c>
      <c r="L770" s="277">
        <v>42678</v>
      </c>
      <c r="M770" s="292">
        <v>156</v>
      </c>
      <c r="N770" s="281">
        <v>9284</v>
      </c>
      <c r="O770" s="236">
        <f>'Profits 2016'!T5983</f>
        <v>0</v>
      </c>
      <c r="P770" s="284" t="str">
        <f>'Profits 2016'!U5983</f>
        <v>705501218719
705501218720</v>
      </c>
      <c r="Q770" s="284" t="s">
        <v>314</v>
      </c>
      <c r="R770" s="276">
        <f>8.74+8.74</f>
        <v>17.48</v>
      </c>
      <c r="S770" s="275" t="s">
        <v>15802</v>
      </c>
      <c r="T770" s="279">
        <v>42660</v>
      </c>
      <c r="U770" s="279">
        <v>42663</v>
      </c>
      <c r="V770" s="279">
        <v>42671</v>
      </c>
      <c r="W770" s="293">
        <f t="shared" si="86"/>
        <v>17.48</v>
      </c>
      <c r="X770" s="236">
        <v>9250</v>
      </c>
      <c r="AF770" s="276">
        <f t="shared" si="80"/>
        <v>173.48</v>
      </c>
      <c r="AG770" s="276">
        <f t="shared" si="76"/>
        <v>173.48</v>
      </c>
      <c r="AH770" s="276">
        <f t="shared" si="77"/>
        <v>-173.48</v>
      </c>
      <c r="AI770" s="283">
        <f t="shared" si="78"/>
        <v>-1</v>
      </c>
    </row>
    <row r="771" spans="1:35" ht="30.75" customHeight="1" x14ac:dyDescent="0.25">
      <c r="A771" s="275">
        <f>'Profits 2016'!A5984</f>
        <v>0</v>
      </c>
      <c r="B771" s="279">
        <f>'Profits 2016'!B5984</f>
        <v>0</v>
      </c>
      <c r="C771" s="276">
        <f>'Profits 2016'!H5984</f>
        <v>0</v>
      </c>
      <c r="D771" s="280">
        <f>'Profits 2016'!K5984</f>
        <v>0</v>
      </c>
      <c r="E771" s="276">
        <f>'Profits 2016'!L5984</f>
        <v>110</v>
      </c>
      <c r="F771" s="275" t="str">
        <f>'Profits 2016'!P5984</f>
        <v>Allied</v>
      </c>
      <c r="G771" s="292">
        <f>'Profits 2016'!N5984-'Profits 2016'!M5984</f>
        <v>275</v>
      </c>
      <c r="H771" s="292">
        <v>0</v>
      </c>
      <c r="I771" s="275">
        <v>347691</v>
      </c>
      <c r="J771" s="277">
        <v>42648</v>
      </c>
      <c r="K771" s="277">
        <v>42654</v>
      </c>
      <c r="L771" s="277">
        <v>42678</v>
      </c>
      <c r="M771" s="292">
        <v>275</v>
      </c>
      <c r="N771" s="281">
        <v>9284</v>
      </c>
      <c r="O771" s="236">
        <f>'Profits 2016'!T5984</f>
        <v>0</v>
      </c>
      <c r="P771" s="284" t="str">
        <f>'Profits 2016'!U5984</f>
        <v>705501218730
705501218741</v>
      </c>
      <c r="Q771" s="284" t="s">
        <v>314</v>
      </c>
      <c r="R771" s="276">
        <f>8.74+9.87</f>
        <v>18.61</v>
      </c>
      <c r="S771" s="275" t="s">
        <v>15802</v>
      </c>
      <c r="T771" s="279">
        <v>42660</v>
      </c>
      <c r="U771" s="279">
        <v>42663</v>
      </c>
      <c r="V771" s="279">
        <v>42671</v>
      </c>
      <c r="W771" s="293">
        <f t="shared" si="86"/>
        <v>18.61</v>
      </c>
      <c r="X771" s="236">
        <v>9250</v>
      </c>
      <c r="AF771" s="276">
        <f t="shared" si="80"/>
        <v>293.61</v>
      </c>
      <c r="AG771" s="276">
        <f t="shared" ref="AG771:AG834" si="87">M771+R771+Y771</f>
        <v>293.61</v>
      </c>
      <c r="AH771" s="276">
        <f t="shared" ref="AH771:AH834" si="88">D771-AG771</f>
        <v>-293.61</v>
      </c>
      <c r="AI771" s="283">
        <f t="shared" ref="AI771:AI834" si="89">AH771/AF771</f>
        <v>-1</v>
      </c>
    </row>
    <row r="772" spans="1:35" ht="30" x14ac:dyDescent="0.25">
      <c r="A772" s="275">
        <f>'Profits 2016'!A5985</f>
        <v>3004706</v>
      </c>
      <c r="B772" s="279">
        <f>'Profits 2016'!B5985</f>
        <v>42646</v>
      </c>
      <c r="C772" s="276">
        <f>'Profits 2016'!H5985</f>
        <v>224.43</v>
      </c>
      <c r="D772" s="280">
        <f>'Profits 2016'!K5985</f>
        <v>190.7655</v>
      </c>
      <c r="E772" s="276">
        <f>'Profits 2016'!L5985</f>
        <v>584</v>
      </c>
      <c r="F772" s="275" t="str">
        <f>'Profits 2016'!P5985</f>
        <v>Commodity</v>
      </c>
      <c r="G772" s="292">
        <f>'Profits 2016'!N5985-'Profits 2016'!M5985</f>
        <v>116.80000000000001</v>
      </c>
      <c r="H772" s="292">
        <v>0</v>
      </c>
      <c r="I772" s="275" t="s">
        <v>15843</v>
      </c>
      <c r="J772" s="277">
        <v>42649</v>
      </c>
      <c r="K772" s="277">
        <v>42654</v>
      </c>
      <c r="L772" s="277">
        <v>42657</v>
      </c>
      <c r="M772" s="292">
        <v>114.46</v>
      </c>
      <c r="N772" s="281">
        <v>9161</v>
      </c>
      <c r="O772" s="236" t="str">
        <f>'Profits 2016'!T5985</f>
        <v>FEDEX GROUND</v>
      </c>
      <c r="P772" s="284" t="str">
        <f>'Profits 2016'!U5985</f>
        <v>777405684024</v>
      </c>
      <c r="Q772" s="284" t="s">
        <v>314</v>
      </c>
      <c r="R772" s="276">
        <v>39.020000000000003</v>
      </c>
      <c r="S772" s="275" t="s">
        <v>15805</v>
      </c>
      <c r="T772" s="279">
        <v>42667</v>
      </c>
      <c r="U772" s="279">
        <v>42670</v>
      </c>
      <c r="V772" s="279">
        <v>42678</v>
      </c>
      <c r="W772" s="293">
        <v>0</v>
      </c>
      <c r="X772" s="236">
        <v>9301</v>
      </c>
      <c r="AF772" s="276">
        <f t="shared" si="80"/>
        <v>155.82000000000002</v>
      </c>
      <c r="AG772" s="276">
        <f t="shared" si="87"/>
        <v>153.47999999999999</v>
      </c>
      <c r="AH772" s="276">
        <f t="shared" si="88"/>
        <v>37.285500000000013</v>
      </c>
      <c r="AI772" s="283">
        <f t="shared" si="89"/>
        <v>0.23928571428571432</v>
      </c>
    </row>
    <row r="773" spans="1:35" ht="30" x14ac:dyDescent="0.25">
      <c r="A773" s="275">
        <f>'Profits 2016'!A5986</f>
        <v>3004707</v>
      </c>
      <c r="B773" s="279">
        <f>'Profits 2016'!B5986</f>
        <v>42646</v>
      </c>
      <c r="C773" s="276">
        <f>'Profits 2016'!H5986</f>
        <v>260</v>
      </c>
      <c r="D773" s="280">
        <f>'Profits 2016'!K5986</f>
        <v>221</v>
      </c>
      <c r="E773" s="276">
        <f>'Profits 2016'!L5986</f>
        <v>1322</v>
      </c>
      <c r="F773" s="275" t="str">
        <f>'Profits 2016'!P5986</f>
        <v>Nassau</v>
      </c>
      <c r="G773" s="292">
        <f>'Profits 2016'!N5986-'Profits 2016'!M5986</f>
        <v>132.20000000000002</v>
      </c>
      <c r="H773" s="319"/>
      <c r="I773" s="320"/>
      <c r="J773" s="321"/>
      <c r="K773" s="321"/>
      <c r="L773" s="321"/>
      <c r="M773" s="319"/>
      <c r="N773" s="322"/>
      <c r="O773" s="236" t="str">
        <f>'Profits 2016'!T5986</f>
        <v>FEDEX GROUND</v>
      </c>
      <c r="P773" s="284" t="str">
        <f>'Profits 2016'!U5986</f>
        <v>665645047438</v>
      </c>
      <c r="Q773" s="284" t="s">
        <v>314</v>
      </c>
      <c r="R773" s="276">
        <v>33.4</v>
      </c>
      <c r="S773" s="275" t="s">
        <v>15802</v>
      </c>
      <c r="T773" s="279">
        <v>42660</v>
      </c>
      <c r="U773" s="279">
        <v>42663</v>
      </c>
      <c r="V773" s="279">
        <v>42671</v>
      </c>
      <c r="W773" s="293">
        <f t="shared" ref="W773:W774" si="90">R773</f>
        <v>33.4</v>
      </c>
      <c r="X773" s="236">
        <v>9250</v>
      </c>
      <c r="AF773" s="276">
        <f t="shared" si="80"/>
        <v>165.60000000000002</v>
      </c>
      <c r="AG773" s="276">
        <f t="shared" si="87"/>
        <v>33.4</v>
      </c>
      <c r="AH773" s="276">
        <f t="shared" si="88"/>
        <v>187.6</v>
      </c>
      <c r="AI773" s="283">
        <f t="shared" si="89"/>
        <v>1.1328502415458934</v>
      </c>
    </row>
    <row r="774" spans="1:35" ht="30" x14ac:dyDescent="0.25">
      <c r="A774" s="275">
        <f>'Profits 2016'!A5987</f>
        <v>3004708</v>
      </c>
      <c r="B774" s="279">
        <f>'Profits 2016'!B5987</f>
        <v>42646</v>
      </c>
      <c r="C774" s="276">
        <f>'Profits 2016'!H5987</f>
        <v>159</v>
      </c>
      <c r="D774" s="280">
        <f>'Profits 2016'!K5987</f>
        <v>135.15</v>
      </c>
      <c r="E774" s="276">
        <f>'Profits 2016'!L5987</f>
        <v>468</v>
      </c>
      <c r="F774" s="275" t="str">
        <f>'Profits 2016'!P5987</f>
        <v>Direct</v>
      </c>
      <c r="G774" s="292">
        <f>'Profits 2016'!N5987-'Profits 2016'!M5987</f>
        <v>46.800000000000011</v>
      </c>
      <c r="H774" s="292">
        <v>0</v>
      </c>
      <c r="I774" s="275">
        <v>73814</v>
      </c>
      <c r="J774" s="277">
        <v>42649</v>
      </c>
      <c r="K774" s="277">
        <v>42654</v>
      </c>
      <c r="L774" s="277">
        <v>42657</v>
      </c>
      <c r="M774" s="292">
        <v>92.71</v>
      </c>
      <c r="N774" s="281">
        <v>9168</v>
      </c>
      <c r="O774" s="236" t="str">
        <f>'Profits 2016'!T5987</f>
        <v>FEDEX GROUND</v>
      </c>
      <c r="P774" s="284" t="str">
        <f>'Profits 2016'!U5987</f>
        <v>642286529176</v>
      </c>
      <c r="Q774" s="284" t="s">
        <v>314</v>
      </c>
      <c r="R774" s="276">
        <v>11.16</v>
      </c>
      <c r="S774" s="275" t="s">
        <v>15802</v>
      </c>
      <c r="T774" s="279">
        <v>42660</v>
      </c>
      <c r="U774" s="279">
        <v>42663</v>
      </c>
      <c r="V774" s="279">
        <v>42671</v>
      </c>
      <c r="W774" s="293">
        <f t="shared" si="90"/>
        <v>11.16</v>
      </c>
      <c r="X774" s="236">
        <v>9250</v>
      </c>
      <c r="AF774" s="276">
        <f t="shared" ref="AF774:AF805" si="91">G774+H775+R774+Y774</f>
        <v>57.960000000000008</v>
      </c>
      <c r="AG774" s="276">
        <f t="shared" si="87"/>
        <v>103.86999999999999</v>
      </c>
      <c r="AH774" s="276">
        <f t="shared" si="88"/>
        <v>31.280000000000015</v>
      </c>
      <c r="AI774" s="283">
        <f t="shared" si="89"/>
        <v>0.53968253968253987</v>
      </c>
    </row>
    <row r="775" spans="1:35" x14ac:dyDescent="0.25">
      <c r="A775" s="275">
        <f>'Profits 2016'!A5988</f>
        <v>0</v>
      </c>
      <c r="B775" s="279">
        <f>'Profits 2016'!B5988</f>
        <v>0</v>
      </c>
      <c r="C775" s="276">
        <f>'Profits 2016'!H5988</f>
        <v>0</v>
      </c>
      <c r="D775" s="280">
        <f>'Profits 2016'!K5988</f>
        <v>0</v>
      </c>
      <c r="E775" s="276">
        <f>'Profits 2016'!L5988</f>
        <v>478</v>
      </c>
      <c r="F775" s="275" t="str">
        <f>'Profits 2016'!P5988</f>
        <v>Direct</v>
      </c>
      <c r="G775" s="292">
        <f>'Profits 2016'!N5988-'Profits 2016'!M5988</f>
        <v>47.800000000000004</v>
      </c>
      <c r="H775" s="292">
        <v>0</v>
      </c>
      <c r="I775" s="275">
        <v>73814</v>
      </c>
      <c r="J775" s="277">
        <v>42649</v>
      </c>
      <c r="K775" s="277">
        <v>42654</v>
      </c>
      <c r="L775" s="277">
        <v>42657</v>
      </c>
      <c r="M775" s="292">
        <v>0</v>
      </c>
      <c r="N775" s="281">
        <v>9168</v>
      </c>
      <c r="O775" s="236">
        <f>'Profits 2016'!T5988</f>
        <v>0</v>
      </c>
      <c r="P775" s="284">
        <f>'Profits 2016'!U5988</f>
        <v>0</v>
      </c>
      <c r="Q775" s="284" t="s">
        <v>314</v>
      </c>
      <c r="R775" s="276">
        <v>11.16</v>
      </c>
      <c r="S775" s="275" t="s">
        <v>15802</v>
      </c>
      <c r="T775" s="279">
        <v>42660</v>
      </c>
      <c r="U775" s="279">
        <v>42663</v>
      </c>
      <c r="V775" s="279">
        <v>42671</v>
      </c>
      <c r="W775" s="293">
        <f t="shared" ref="W775" si="92">R775</f>
        <v>11.16</v>
      </c>
      <c r="X775" s="236">
        <v>9250</v>
      </c>
      <c r="AF775" s="276">
        <f t="shared" si="91"/>
        <v>58.960000000000008</v>
      </c>
      <c r="AG775" s="276">
        <f t="shared" si="87"/>
        <v>11.16</v>
      </c>
      <c r="AH775" s="276">
        <f t="shared" si="88"/>
        <v>-11.16</v>
      </c>
      <c r="AI775" s="283">
        <f t="shared" si="89"/>
        <v>-0.18928086838534597</v>
      </c>
    </row>
    <row r="776" spans="1:35" ht="30" x14ac:dyDescent="0.25">
      <c r="A776" s="275">
        <f>'Profits 2016'!A5989</f>
        <v>3004709</v>
      </c>
      <c r="B776" s="279">
        <f>'Profits 2016'!B5989</f>
        <v>42646</v>
      </c>
      <c r="C776" s="276">
        <f>'Profits 2016'!H5989</f>
        <v>230</v>
      </c>
      <c r="D776" s="280">
        <f>'Profits 2016'!K5989</f>
        <v>225.33</v>
      </c>
      <c r="E776" s="276">
        <f>'Profits 2016'!L5989</f>
        <v>595</v>
      </c>
      <c r="F776" s="275" t="str">
        <f>'Profits 2016'!P5989</f>
        <v>Nassau</v>
      </c>
      <c r="G776" s="292">
        <f>'Profits 2016'!N5989-'Profits 2016'!M5989</f>
        <v>118.99999999999999</v>
      </c>
      <c r="H776" s="319"/>
      <c r="I776" s="320"/>
      <c r="J776" s="321"/>
      <c r="K776" s="321"/>
      <c r="L776" s="321"/>
      <c r="M776" s="319"/>
      <c r="N776" s="322"/>
      <c r="O776" s="236" t="str">
        <f>'Profits 2016'!T5989</f>
        <v>FEDEX GROUND</v>
      </c>
      <c r="P776" s="284" t="str">
        <f>'Profits 2016'!U5989</f>
        <v>665645047379</v>
      </c>
      <c r="Q776" s="284" t="s">
        <v>314</v>
      </c>
      <c r="R776" s="276">
        <v>36.58</v>
      </c>
      <c r="S776" s="275" t="s">
        <v>15802</v>
      </c>
      <c r="T776" s="279">
        <v>42660</v>
      </c>
      <c r="U776" s="279">
        <v>42663</v>
      </c>
      <c r="V776" s="279">
        <v>42671</v>
      </c>
      <c r="W776" s="293">
        <f>R776</f>
        <v>36.58</v>
      </c>
      <c r="X776" s="236">
        <v>9250</v>
      </c>
      <c r="AF776" s="276">
        <f t="shared" si="91"/>
        <v>165.57999999999998</v>
      </c>
      <c r="AG776" s="276">
        <f t="shared" si="87"/>
        <v>36.58</v>
      </c>
      <c r="AH776" s="276">
        <f t="shared" si="88"/>
        <v>188.75</v>
      </c>
      <c r="AI776" s="283">
        <f t="shared" si="89"/>
        <v>1.1399323589805532</v>
      </c>
    </row>
    <row r="777" spans="1:35" ht="30" x14ac:dyDescent="0.25">
      <c r="A777" s="275">
        <f>'Profits 2016'!A5990</f>
        <v>3004710</v>
      </c>
      <c r="B777" s="279">
        <f>'Profits 2016'!B5990</f>
        <v>42646</v>
      </c>
      <c r="C777" s="276">
        <f>'Profits 2016'!H5990</f>
        <v>252.5</v>
      </c>
      <c r="D777" s="280">
        <f>'Profits 2016'!K5990</f>
        <v>247.4025</v>
      </c>
      <c r="E777" s="276">
        <f>'Profits 2016'!L5990</f>
        <v>3150</v>
      </c>
      <c r="F777" s="275" t="str">
        <f>'Profits 2016'!P5990</f>
        <v>Priority</v>
      </c>
      <c r="G777" s="292">
        <f>'Profits 2016'!N5990-'Profits 2016'!M5990</f>
        <v>157.5</v>
      </c>
      <c r="H777" s="292">
        <v>10</v>
      </c>
      <c r="I777" s="275">
        <v>1062228</v>
      </c>
      <c r="J777" s="277">
        <v>42646</v>
      </c>
      <c r="K777" s="277">
        <v>42654</v>
      </c>
      <c r="L777" s="277">
        <v>42671</v>
      </c>
      <c r="M777" s="292">
        <v>167.5</v>
      </c>
      <c r="N777" s="281">
        <v>9260</v>
      </c>
      <c r="O777" s="236" t="str">
        <f>'Profits 2016'!T5990</f>
        <v>FEDEX GROUND</v>
      </c>
      <c r="P777" s="284" t="str">
        <f>'Profits 2016'!U5990</f>
        <v>609851525931</v>
      </c>
      <c r="Q777" s="284" t="s">
        <v>15740</v>
      </c>
      <c r="R777" s="276">
        <v>23.14</v>
      </c>
      <c r="S777" s="275">
        <v>1062228</v>
      </c>
      <c r="T777" s="279">
        <v>42646</v>
      </c>
      <c r="U777" s="279">
        <v>42654</v>
      </c>
      <c r="V777" s="279">
        <v>42671</v>
      </c>
      <c r="W777" s="293">
        <v>23.14</v>
      </c>
      <c r="X777" s="236">
        <v>9260</v>
      </c>
      <c r="AF777" s="276">
        <f t="shared" si="91"/>
        <v>180.64</v>
      </c>
      <c r="AG777" s="276">
        <f t="shared" si="87"/>
        <v>190.64</v>
      </c>
      <c r="AH777" s="276">
        <f t="shared" si="88"/>
        <v>56.762500000000017</v>
      </c>
      <c r="AI777" s="283">
        <f t="shared" si="89"/>
        <v>0.31422996014171845</v>
      </c>
    </row>
    <row r="778" spans="1:35" ht="30" x14ac:dyDescent="0.25">
      <c r="A778" s="275">
        <f>'Profits 2016'!A5991</f>
        <v>3004711</v>
      </c>
      <c r="B778" s="279">
        <f>'Profits 2016'!B5991</f>
        <v>42646</v>
      </c>
      <c r="C778" s="276">
        <f>'Profits 2016'!H5991</f>
        <v>100</v>
      </c>
      <c r="D778" s="280">
        <f>'Profits 2016'!K5991</f>
        <v>85</v>
      </c>
      <c r="E778" s="276">
        <f>'Profits 2016'!L5991</f>
        <v>670</v>
      </c>
      <c r="F778" s="275" t="str">
        <f>'Profits 2016'!P5991</f>
        <v>Wirexpress</v>
      </c>
      <c r="G778" s="292">
        <f>'Profits 2016'!N5991-'Profits 2016'!M5991</f>
        <v>67</v>
      </c>
      <c r="H778" s="292">
        <v>0</v>
      </c>
      <c r="I778" s="275" t="s">
        <v>15844</v>
      </c>
      <c r="J778" s="277">
        <v>42647</v>
      </c>
      <c r="K778" s="277">
        <v>42654</v>
      </c>
      <c r="L778" s="277">
        <v>42678</v>
      </c>
      <c r="M778" s="292">
        <v>67</v>
      </c>
      <c r="N778" s="281">
        <v>9362</v>
      </c>
      <c r="O778" s="236" t="str">
        <f>'Profits 2016'!T5991</f>
        <v>FEDEX GROUND</v>
      </c>
      <c r="P778" s="284" t="str">
        <f>'Profits 2016'!U5991</f>
        <v>440801774537730</v>
      </c>
      <c r="Q778" s="284" t="s">
        <v>314</v>
      </c>
      <c r="R778" s="276">
        <v>7.2</v>
      </c>
      <c r="S778" s="275" t="s">
        <v>15802</v>
      </c>
      <c r="T778" s="279">
        <v>42660</v>
      </c>
      <c r="U778" s="279">
        <v>42663</v>
      </c>
      <c r="V778" s="279">
        <v>42671</v>
      </c>
      <c r="W778" s="293">
        <f>R778</f>
        <v>7.2</v>
      </c>
      <c r="X778" s="236">
        <v>9250</v>
      </c>
      <c r="AF778" s="276">
        <f t="shared" si="91"/>
        <v>74.2</v>
      </c>
      <c r="AG778" s="276">
        <f t="shared" si="87"/>
        <v>74.2</v>
      </c>
      <c r="AH778" s="276">
        <f t="shared" si="88"/>
        <v>10.799999999999997</v>
      </c>
      <c r="AI778" s="283">
        <f t="shared" si="89"/>
        <v>0.14555256064690023</v>
      </c>
    </row>
    <row r="779" spans="1:35" ht="30" x14ac:dyDescent="0.25">
      <c r="A779" s="275">
        <f>'Profits 2016'!A5992</f>
        <v>3004712</v>
      </c>
      <c r="B779" s="279">
        <f>'Profits 2016'!B5992</f>
        <v>42646</v>
      </c>
      <c r="C779" s="276">
        <f>'Profits 2016'!H5992</f>
        <v>108.06</v>
      </c>
      <c r="D779" s="280">
        <f>'Profits 2016'!K5992</f>
        <v>91.850999999999999</v>
      </c>
      <c r="E779" s="276">
        <f>'Profits 2016'!L5992</f>
        <v>1000</v>
      </c>
      <c r="F779" s="275" t="str">
        <f>'Profits 2016'!P5992</f>
        <v>Priority</v>
      </c>
      <c r="G779" s="292">
        <f>'Profits 2016'!N5992-'Profits 2016'!M5992</f>
        <v>49.999999999999993</v>
      </c>
      <c r="H779" s="292">
        <v>0</v>
      </c>
      <c r="I779" s="275">
        <v>1062298</v>
      </c>
      <c r="J779" s="277">
        <v>42647</v>
      </c>
      <c r="K779" s="277">
        <v>42654</v>
      </c>
      <c r="L779" s="277">
        <v>42678</v>
      </c>
      <c r="M779" s="292">
        <v>50</v>
      </c>
      <c r="N779" s="281">
        <v>9337</v>
      </c>
      <c r="O779" s="236" t="str">
        <f>'Profits 2016'!T5992</f>
        <v>FEDEX GROUND</v>
      </c>
      <c r="P779" s="284" t="str">
        <f>'Profits 2016'!U5992</f>
        <v>614697967783</v>
      </c>
      <c r="Q779" s="284" t="s">
        <v>15740</v>
      </c>
      <c r="R779" s="276">
        <v>23.82</v>
      </c>
      <c r="S779" s="275">
        <v>1062298</v>
      </c>
      <c r="T779" s="279">
        <v>42647</v>
      </c>
      <c r="U779" s="279">
        <v>42654</v>
      </c>
      <c r="V779" s="279">
        <v>42678</v>
      </c>
      <c r="W779" s="293">
        <v>23.82</v>
      </c>
      <c r="X779" s="236">
        <v>9337</v>
      </c>
      <c r="AF779" s="276">
        <f t="shared" si="91"/>
        <v>73.819999999999993</v>
      </c>
      <c r="AG779" s="276">
        <f t="shared" si="87"/>
        <v>73.819999999999993</v>
      </c>
      <c r="AH779" s="276">
        <f t="shared" si="88"/>
        <v>18.031000000000006</v>
      </c>
      <c r="AI779" s="283">
        <f t="shared" si="89"/>
        <v>0.24425629910593347</v>
      </c>
    </row>
    <row r="780" spans="1:35" ht="30" x14ac:dyDescent="0.25">
      <c r="A780" s="275">
        <f>'Profits 2016'!A5993</f>
        <v>3004713</v>
      </c>
      <c r="B780" s="279">
        <f>'Profits 2016'!B5993</f>
        <v>42646</v>
      </c>
      <c r="C780" s="276">
        <f>'Profits 2016'!H5993</f>
        <v>171.4</v>
      </c>
      <c r="D780" s="280">
        <f>'Profits 2016'!K5993</f>
        <v>152.41740000000001</v>
      </c>
      <c r="E780" s="276">
        <f>'Profits 2016'!L5993</f>
        <v>1750</v>
      </c>
      <c r="F780" s="275" t="str">
        <f>'Profits 2016'!P5993</f>
        <v>A-Z</v>
      </c>
      <c r="G780" s="292">
        <f>'Profits 2016'!N5993-'Profits 2016'!M5993</f>
        <v>87.5</v>
      </c>
      <c r="H780" s="292">
        <v>0</v>
      </c>
      <c r="I780" s="275">
        <v>403729</v>
      </c>
      <c r="J780" s="277">
        <v>42647</v>
      </c>
      <c r="K780" s="277">
        <v>42654</v>
      </c>
      <c r="L780" s="277">
        <v>42692</v>
      </c>
      <c r="M780" s="292">
        <v>87.5</v>
      </c>
      <c r="N780" s="281">
        <v>9430</v>
      </c>
      <c r="O780" s="236" t="str">
        <f>'Profits 2016'!T5993</f>
        <v>FEDEX GROUND</v>
      </c>
      <c r="P780" s="284" t="str">
        <f>'Profits 2016'!U5993</f>
        <v>655044320540</v>
      </c>
      <c r="Q780" s="284" t="s">
        <v>314</v>
      </c>
      <c r="R780" s="276">
        <v>32.32</v>
      </c>
      <c r="S780" s="275" t="s">
        <v>15802</v>
      </c>
      <c r="T780" s="279">
        <v>42660</v>
      </c>
      <c r="U780" s="279">
        <v>42663</v>
      </c>
      <c r="V780" s="279">
        <v>42671</v>
      </c>
      <c r="W780" s="293">
        <f t="shared" ref="W780:W782" si="93">R780</f>
        <v>32.32</v>
      </c>
      <c r="X780" s="236">
        <v>9250</v>
      </c>
      <c r="AF780" s="276">
        <f t="shared" si="91"/>
        <v>119.82</v>
      </c>
      <c r="AG780" s="276">
        <f t="shared" si="87"/>
        <v>119.82</v>
      </c>
      <c r="AH780" s="276">
        <f t="shared" si="88"/>
        <v>32.597400000000022</v>
      </c>
      <c r="AI780" s="283">
        <f t="shared" si="89"/>
        <v>0.27205307961942932</v>
      </c>
    </row>
    <row r="781" spans="1:35" ht="30" x14ac:dyDescent="0.25">
      <c r="A781" s="275">
        <f>'Profits 2016'!A5994</f>
        <v>3004714</v>
      </c>
      <c r="B781" s="279">
        <f>'Profits 2016'!B5994</f>
        <v>42646</v>
      </c>
      <c r="C781" s="276">
        <f>'Profits 2016'!H5994</f>
        <v>680</v>
      </c>
      <c r="D781" s="280">
        <f>'Profits 2016'!K5994</f>
        <v>680</v>
      </c>
      <c r="E781" s="276">
        <f>'Profits 2016'!L5994</f>
        <v>708</v>
      </c>
      <c r="F781" s="275" t="str">
        <f>'Profits 2016'!P5994</f>
        <v>Wirexpress</v>
      </c>
      <c r="G781" s="292">
        <f>'Profits 2016'!N5994-'Profits 2016'!M5994</f>
        <v>354</v>
      </c>
      <c r="H781" s="292">
        <v>0</v>
      </c>
      <c r="I781" s="275" t="s">
        <v>15845</v>
      </c>
      <c r="J781" s="277">
        <v>42647</v>
      </c>
      <c r="K781" s="277">
        <v>42657</v>
      </c>
      <c r="L781" s="277">
        <v>42678</v>
      </c>
      <c r="M781" s="292">
        <v>354</v>
      </c>
      <c r="N781" s="281">
        <v>9361</v>
      </c>
      <c r="O781" s="236" t="str">
        <f>'Profits 2016'!T5994</f>
        <v>FEDEX GROUND</v>
      </c>
      <c r="P781" s="284" t="str">
        <f>'Profits 2016'!U5994</f>
        <v>777388901545</v>
      </c>
      <c r="Q781" s="284" t="s">
        <v>314</v>
      </c>
      <c r="R781" s="276">
        <v>34.450000000000003</v>
      </c>
      <c r="S781" s="275" t="s">
        <v>15802</v>
      </c>
      <c r="T781" s="279">
        <v>42660</v>
      </c>
      <c r="U781" s="279">
        <v>42663</v>
      </c>
      <c r="V781" s="279">
        <v>42671</v>
      </c>
      <c r="W781" s="293">
        <f t="shared" si="93"/>
        <v>34.450000000000003</v>
      </c>
      <c r="X781" s="236">
        <v>9250</v>
      </c>
      <c r="AF781" s="276">
        <f t="shared" si="91"/>
        <v>388.45</v>
      </c>
      <c r="AG781" s="276">
        <f t="shared" si="87"/>
        <v>388.45</v>
      </c>
      <c r="AH781" s="276">
        <f t="shared" si="88"/>
        <v>291.55</v>
      </c>
      <c r="AI781" s="283">
        <f t="shared" si="89"/>
        <v>0.75054704595186006</v>
      </c>
    </row>
    <row r="782" spans="1:35" ht="30" x14ac:dyDescent="0.25">
      <c r="A782" s="275">
        <f>'Profits 2016'!A5995</f>
        <v>3004715</v>
      </c>
      <c r="B782" s="279">
        <f>'Profits 2016'!B5995</f>
        <v>42647</v>
      </c>
      <c r="C782" s="276">
        <f>'Profits 2016'!H5995</f>
        <v>300</v>
      </c>
      <c r="D782" s="280">
        <f>'Profits 2016'!K5995</f>
        <v>293.10000000000002</v>
      </c>
      <c r="E782" s="276">
        <f>'Profits 2016'!L5995</f>
        <v>2000</v>
      </c>
      <c r="F782" s="275" t="str">
        <f>'Profits 2016'!P5995</f>
        <v>A-Z</v>
      </c>
      <c r="G782" s="292">
        <f>'Profits 2016'!N5995-'Profits 2016'!M5995</f>
        <v>200</v>
      </c>
      <c r="H782" s="292">
        <v>0</v>
      </c>
      <c r="I782" s="275">
        <v>403879</v>
      </c>
      <c r="J782" s="277">
        <v>42648</v>
      </c>
      <c r="K782" s="277">
        <v>42654</v>
      </c>
      <c r="L782" s="277">
        <v>42692</v>
      </c>
      <c r="M782" s="292">
        <v>200</v>
      </c>
      <c r="N782" s="281">
        <v>9431</v>
      </c>
      <c r="O782" s="236" t="str">
        <f>'Profits 2016'!T5995</f>
        <v>FEDEX GROUND</v>
      </c>
      <c r="P782" s="284" t="str">
        <f>'Profits 2016'!U5995</f>
        <v>654016290970</v>
      </c>
      <c r="Q782" s="284" t="s">
        <v>314</v>
      </c>
      <c r="R782" s="276">
        <v>38.75</v>
      </c>
      <c r="S782" s="275" t="s">
        <v>15802</v>
      </c>
      <c r="T782" s="279">
        <v>42660</v>
      </c>
      <c r="U782" s="279">
        <v>42663</v>
      </c>
      <c r="V782" s="279">
        <v>42671</v>
      </c>
      <c r="W782" s="293">
        <f t="shared" si="93"/>
        <v>38.75</v>
      </c>
      <c r="X782" s="236">
        <v>9250</v>
      </c>
      <c r="AF782" s="276">
        <f t="shared" si="91"/>
        <v>238.75</v>
      </c>
      <c r="AG782" s="276">
        <f t="shared" si="87"/>
        <v>238.75</v>
      </c>
      <c r="AH782" s="276">
        <f t="shared" si="88"/>
        <v>54.350000000000023</v>
      </c>
      <c r="AI782" s="283">
        <f t="shared" si="89"/>
        <v>0.22764397905759171</v>
      </c>
    </row>
    <row r="783" spans="1:35" ht="30" x14ac:dyDescent="0.25">
      <c r="A783" s="275">
        <f>'Profits 2016'!A5996</f>
        <v>3004716</v>
      </c>
      <c r="B783" s="279">
        <f>'Profits 2016'!B5996</f>
        <v>42647</v>
      </c>
      <c r="C783" s="276">
        <f>'Profits 2016'!H5996</f>
        <v>202</v>
      </c>
      <c r="D783" s="280">
        <f>'Profits 2016'!K5996</f>
        <v>197.256</v>
      </c>
      <c r="E783" s="276">
        <f>'Profits 2016'!L5996</f>
        <v>1229</v>
      </c>
      <c r="F783" s="275" t="str">
        <f>'Profits 2016'!P5996</f>
        <v>Priority</v>
      </c>
      <c r="G783" s="292">
        <f>'Profits 2016'!N5996-'Profits 2016'!M5996</f>
        <v>100.77800000000001</v>
      </c>
      <c r="H783" s="292">
        <v>0</v>
      </c>
      <c r="I783" s="275">
        <v>1062785</v>
      </c>
      <c r="J783" s="277">
        <v>42648</v>
      </c>
      <c r="K783" s="277">
        <v>42655</v>
      </c>
      <c r="L783" s="277">
        <v>42678</v>
      </c>
      <c r="M783" s="292">
        <v>100.78</v>
      </c>
      <c r="N783" s="281">
        <v>9338</v>
      </c>
      <c r="O783" s="236" t="str">
        <f>'Profits 2016'!T5996</f>
        <v>FEDEX GROUND</v>
      </c>
      <c r="P783" s="284" t="str">
        <f>'Profits 2016'!U5996</f>
        <v xml:space="preserve">	644267288141</v>
      </c>
      <c r="Q783" s="284" t="s">
        <v>15740</v>
      </c>
      <c r="R783" s="276">
        <v>22.51</v>
      </c>
      <c r="S783" s="275">
        <v>1062785</v>
      </c>
      <c r="T783" s="279">
        <v>42648</v>
      </c>
      <c r="U783" s="279">
        <v>42655</v>
      </c>
      <c r="V783" s="279">
        <v>42678</v>
      </c>
      <c r="W783" s="293">
        <v>22.51</v>
      </c>
      <c r="X783" s="236">
        <v>9338</v>
      </c>
      <c r="AF783" s="276">
        <f t="shared" si="91"/>
        <v>123.28800000000001</v>
      </c>
      <c r="AG783" s="276">
        <f t="shared" si="87"/>
        <v>123.29</v>
      </c>
      <c r="AH783" s="276">
        <f t="shared" si="88"/>
        <v>73.965999999999994</v>
      </c>
      <c r="AI783" s="283">
        <f t="shared" si="89"/>
        <v>0.59994484459152542</v>
      </c>
    </row>
    <row r="784" spans="1:35" ht="30" x14ac:dyDescent="0.25">
      <c r="A784" s="275">
        <f>'Profits 2016'!A5997</f>
        <v>3004717</v>
      </c>
      <c r="B784" s="279">
        <f>'Profits 2016'!B5997</f>
        <v>42647</v>
      </c>
      <c r="C784" s="276">
        <f>'Profits 2016'!H5997</f>
        <v>215.87</v>
      </c>
      <c r="D784" s="280">
        <f>'Profits 2016'!K5997</f>
        <v>192.04016999999999</v>
      </c>
      <c r="E784" s="276">
        <f>'Profits 2016'!L5997</f>
        <v>527.32000000000005</v>
      </c>
      <c r="F784" s="275" t="str">
        <f>'Profits 2016'!P5997</f>
        <v>Thea</v>
      </c>
      <c r="G784" s="292">
        <f>'Profits 2016'!N5997-'Profits 2016'!M5997</f>
        <v>105.464</v>
      </c>
      <c r="H784" s="319"/>
      <c r="I784" s="320"/>
      <c r="J784" s="321"/>
      <c r="K784" s="321"/>
      <c r="L784" s="321"/>
      <c r="M784" s="319"/>
      <c r="N784" s="322"/>
      <c r="O784" s="236" t="str">
        <f>'Profits 2016'!T5997</f>
        <v>FEDEX GROUND</v>
      </c>
      <c r="P784" s="284" t="str">
        <f>'Profits 2016'!U5997</f>
        <v>675157530540</v>
      </c>
      <c r="Q784" s="284" t="s">
        <v>314</v>
      </c>
      <c r="R784" s="276">
        <v>35.9</v>
      </c>
      <c r="S784" s="275" t="s">
        <v>15805</v>
      </c>
      <c r="T784" s="279">
        <v>42667</v>
      </c>
      <c r="U784" s="279">
        <v>42670</v>
      </c>
      <c r="V784" s="279">
        <v>42678</v>
      </c>
      <c r="W784" s="293">
        <v>0</v>
      </c>
      <c r="X784" s="236">
        <v>9301</v>
      </c>
      <c r="AF784" s="276">
        <f t="shared" si="91"/>
        <v>141.364</v>
      </c>
      <c r="AG784" s="276">
        <f t="shared" si="87"/>
        <v>35.9</v>
      </c>
      <c r="AH784" s="276">
        <f t="shared" si="88"/>
        <v>156.14016999999998</v>
      </c>
      <c r="AI784" s="283">
        <f t="shared" si="89"/>
        <v>1.1045256925384113</v>
      </c>
    </row>
    <row r="785" spans="1:35" ht="30" x14ac:dyDescent="0.25">
      <c r="A785" s="275">
        <f>'Profits 2016'!A5998</f>
        <v>3004718</v>
      </c>
      <c r="B785" s="279">
        <f>'Profits 2016'!B5998</f>
        <v>42647</v>
      </c>
      <c r="C785" s="276">
        <f>'Profits 2016'!H5998</f>
        <v>168.27</v>
      </c>
      <c r="D785" s="280">
        <f>'Profits 2016'!K5998</f>
        <v>149.62857</v>
      </c>
      <c r="E785" s="276">
        <f>'Profits 2016'!L5998</f>
        <v>300</v>
      </c>
      <c r="F785" s="275" t="str">
        <f>'Profits 2016'!P5998</f>
        <v>Nassau</v>
      </c>
      <c r="G785" s="292">
        <f>'Profits 2016'!N5998-'Profits 2016'!M5998</f>
        <v>75</v>
      </c>
      <c r="H785" s="319"/>
      <c r="I785" s="320"/>
      <c r="J785" s="321"/>
      <c r="K785" s="321"/>
      <c r="L785" s="321"/>
      <c r="M785" s="319"/>
      <c r="N785" s="322"/>
      <c r="O785" s="236" t="str">
        <f>'Profits 2016'!T5998</f>
        <v>FEDEX GROUND</v>
      </c>
      <c r="P785" s="284" t="str">
        <f>'Profits 2016'!U5998</f>
        <v>665645047508</v>
      </c>
      <c r="Q785" s="284" t="s">
        <v>314</v>
      </c>
      <c r="R785" s="276">
        <v>31.38</v>
      </c>
      <c r="S785" s="275" t="s">
        <v>15802</v>
      </c>
      <c r="T785" s="279">
        <v>42660</v>
      </c>
      <c r="U785" s="279">
        <v>42663</v>
      </c>
      <c r="V785" s="279">
        <v>42671</v>
      </c>
      <c r="W785" s="293">
        <f t="shared" ref="W785:W786" si="94">R785</f>
        <v>31.38</v>
      </c>
      <c r="X785" s="236">
        <v>9250</v>
      </c>
      <c r="AF785" s="276">
        <f t="shared" si="91"/>
        <v>106.38</v>
      </c>
      <c r="AG785" s="276">
        <f t="shared" si="87"/>
        <v>31.38</v>
      </c>
      <c r="AH785" s="276">
        <f t="shared" si="88"/>
        <v>118.24857</v>
      </c>
      <c r="AI785" s="283">
        <f t="shared" si="89"/>
        <v>1.111567681895093</v>
      </c>
    </row>
    <row r="786" spans="1:35" ht="30" x14ac:dyDescent="0.25">
      <c r="A786" s="275">
        <f>'Profits 2016'!A5999</f>
        <v>3004719</v>
      </c>
      <c r="B786" s="279">
        <f>'Profits 2016'!B5999</f>
        <v>42647</v>
      </c>
      <c r="C786" s="276">
        <f>'Profits 2016'!H5999</f>
        <v>108.9</v>
      </c>
      <c r="D786" s="280">
        <f>'Profits 2016'!K5999</f>
        <v>96.729900000000001</v>
      </c>
      <c r="E786" s="276">
        <f>'Profits 2016'!L5999</f>
        <v>900</v>
      </c>
      <c r="F786" s="275" t="str">
        <f>'Profits 2016'!P5999</f>
        <v>Nassau</v>
      </c>
      <c r="G786" s="292">
        <f>'Profits 2016'!N5999-'Profits 2016'!M5999</f>
        <v>45</v>
      </c>
      <c r="H786" s="319"/>
      <c r="I786" s="320"/>
      <c r="J786" s="321"/>
      <c r="K786" s="321"/>
      <c r="L786" s="321"/>
      <c r="M786" s="319"/>
      <c r="N786" s="322"/>
      <c r="O786" s="236" t="str">
        <f>'Profits 2016'!T5999</f>
        <v>FEDEX GROUND</v>
      </c>
      <c r="P786" s="284" t="str">
        <f>'Profits 2016'!U5999</f>
        <v>665645047493</v>
      </c>
      <c r="Q786" s="284" t="s">
        <v>314</v>
      </c>
      <c r="R786" s="276">
        <v>23.31</v>
      </c>
      <c r="S786" s="275" t="s">
        <v>15802</v>
      </c>
      <c r="T786" s="279">
        <v>42660</v>
      </c>
      <c r="U786" s="279">
        <v>42663</v>
      </c>
      <c r="V786" s="279">
        <v>42671</v>
      </c>
      <c r="W786" s="293">
        <f t="shared" si="94"/>
        <v>23.31</v>
      </c>
      <c r="X786" s="236">
        <v>9250</v>
      </c>
      <c r="AF786" s="276">
        <f t="shared" si="91"/>
        <v>68.31</v>
      </c>
      <c r="AG786" s="276">
        <f t="shared" si="87"/>
        <v>23.31</v>
      </c>
      <c r="AH786" s="276">
        <f t="shared" si="88"/>
        <v>73.419899999999998</v>
      </c>
      <c r="AI786" s="283">
        <f t="shared" si="89"/>
        <v>1.0748045674132629</v>
      </c>
    </row>
    <row r="787" spans="1:35" ht="30" x14ac:dyDescent="0.25">
      <c r="A787" s="275">
        <f>'Profits 2016'!A6000</f>
        <v>3004720</v>
      </c>
      <c r="B787" s="279">
        <f>'Profits 2016'!B6000</f>
        <v>42647</v>
      </c>
      <c r="C787" s="276">
        <f>'Profits 2016'!H6000</f>
        <v>123.94</v>
      </c>
      <c r="D787" s="280">
        <f>'Profits 2016'!K6000</f>
        <v>110.13054</v>
      </c>
      <c r="E787" s="276">
        <f>'Profits 2016'!L6000</f>
        <v>584</v>
      </c>
      <c r="F787" s="275" t="str">
        <f>'Profits 2016'!P6000</f>
        <v>Commodity</v>
      </c>
      <c r="G787" s="292">
        <f>'Profits 2016'!N6000-'Profits 2016'!M6000</f>
        <v>58.400000000000013</v>
      </c>
      <c r="H787" s="292">
        <v>0</v>
      </c>
      <c r="I787" s="275" t="s">
        <v>15846</v>
      </c>
      <c r="J787" s="277">
        <v>42653</v>
      </c>
      <c r="K787" s="277">
        <v>42657</v>
      </c>
      <c r="L787" s="277">
        <v>42664</v>
      </c>
      <c r="M787" s="292">
        <v>57.23</v>
      </c>
      <c r="N787" s="281">
        <v>9211</v>
      </c>
      <c r="O787" s="236" t="str">
        <f>'Profits 2016'!T6000</f>
        <v>FEDEX GROUND</v>
      </c>
      <c r="P787" s="284" t="str">
        <f>'Profits 2016'!U6000</f>
        <v>777426830462</v>
      </c>
      <c r="Q787" s="284" t="s">
        <v>314</v>
      </c>
      <c r="R787" s="276">
        <v>17.899999999999999</v>
      </c>
      <c r="S787" s="275" t="s">
        <v>15805</v>
      </c>
      <c r="T787" s="279">
        <v>42667</v>
      </c>
      <c r="U787" s="279">
        <v>42670</v>
      </c>
      <c r="V787" s="279">
        <v>42678</v>
      </c>
      <c r="W787" s="293">
        <v>0</v>
      </c>
      <c r="X787" s="236">
        <v>9301</v>
      </c>
      <c r="AF787" s="276">
        <f t="shared" si="91"/>
        <v>76.300000000000011</v>
      </c>
      <c r="AG787" s="276">
        <f t="shared" si="87"/>
        <v>75.13</v>
      </c>
      <c r="AH787" s="276">
        <f t="shared" si="88"/>
        <v>35.000540000000001</v>
      </c>
      <c r="AI787" s="283">
        <f t="shared" si="89"/>
        <v>0.45872267365661856</v>
      </c>
    </row>
    <row r="788" spans="1:35" ht="28.5" customHeight="1" x14ac:dyDescent="0.25">
      <c r="A788" s="275">
        <f>'Profits 2016'!A6001</f>
        <v>3004721</v>
      </c>
      <c r="B788" s="279">
        <f>'Profits 2016'!B6001</f>
        <v>42647</v>
      </c>
      <c r="C788" s="276">
        <f>'Profits 2016'!H6001</f>
        <v>323.61</v>
      </c>
      <c r="D788" s="280">
        <f>'Profits 2016'!K6001</f>
        <v>288.03650999999996</v>
      </c>
      <c r="E788" s="276">
        <f>'Profits 2016'!L6001</f>
        <v>1800</v>
      </c>
      <c r="F788" s="275" t="str">
        <f>'Profits 2016'!P6001</f>
        <v>Priority</v>
      </c>
      <c r="G788" s="292">
        <f>'Profits 2016'!N6001-'Profits 2016'!M6001</f>
        <v>90</v>
      </c>
      <c r="H788" s="331">
        <v>0</v>
      </c>
      <c r="I788" s="332">
        <v>1064704</v>
      </c>
      <c r="J788" s="333">
        <v>42654</v>
      </c>
      <c r="K788" s="333">
        <v>42660</v>
      </c>
      <c r="L788" s="333"/>
      <c r="M788" s="331"/>
      <c r="N788" s="334"/>
      <c r="O788" s="236" t="str">
        <f>'Profits 2016'!T6001</f>
        <v>FEDEX GROUND</v>
      </c>
      <c r="P788" s="284" t="str">
        <f>'Profits 2016'!U6001</f>
        <v>706898123127 706898123138</v>
      </c>
      <c r="Q788" s="284" t="s">
        <v>15740</v>
      </c>
      <c r="R788" s="331">
        <v>39.1</v>
      </c>
      <c r="S788" s="332">
        <v>1064704</v>
      </c>
      <c r="T788" s="333">
        <v>42654</v>
      </c>
      <c r="U788" s="333">
        <v>42660</v>
      </c>
      <c r="Y788" s="276">
        <v>19.649999999999999</v>
      </c>
      <c r="Z788" s="236" t="s">
        <v>15847</v>
      </c>
      <c r="AA788" s="279">
        <v>42695</v>
      </c>
      <c r="AB788" s="279">
        <v>42702</v>
      </c>
      <c r="AF788" s="276">
        <f t="shared" si="91"/>
        <v>148.75</v>
      </c>
      <c r="AG788" s="276">
        <f t="shared" si="87"/>
        <v>58.75</v>
      </c>
      <c r="AH788" s="276">
        <f t="shared" si="88"/>
        <v>229.28650999999996</v>
      </c>
      <c r="AI788" s="283">
        <f t="shared" si="89"/>
        <v>1.5414219159663862</v>
      </c>
    </row>
    <row r="789" spans="1:35" ht="28.5" customHeight="1" x14ac:dyDescent="0.25">
      <c r="A789" s="275">
        <f>'Profits 2016'!A6002</f>
        <v>0</v>
      </c>
      <c r="B789" s="279">
        <f>'Profits 2016'!B6002</f>
        <v>0</v>
      </c>
      <c r="C789" s="276">
        <f>'Profits 2016'!H6002</f>
        <v>0</v>
      </c>
      <c r="D789" s="280">
        <f>'Profits 2016'!K6002</f>
        <v>0</v>
      </c>
      <c r="E789" s="276">
        <f>'Profits 2016'!L6002</f>
        <v>850</v>
      </c>
      <c r="F789" s="275" t="str">
        <f>'Profits 2016'!P6002</f>
        <v>Priority</v>
      </c>
      <c r="G789" s="292">
        <f>'Profits 2016'!N6002-'Profits 2016'!M6002</f>
        <v>85</v>
      </c>
      <c r="H789" s="331">
        <v>0</v>
      </c>
      <c r="I789" s="332">
        <v>1064704</v>
      </c>
      <c r="J789" s="333">
        <v>42654</v>
      </c>
      <c r="K789" s="333">
        <v>42660</v>
      </c>
      <c r="L789" s="333"/>
      <c r="M789" s="331"/>
      <c r="N789" s="334"/>
      <c r="O789" s="236">
        <f>'Profits 2016'!T6002</f>
        <v>0</v>
      </c>
      <c r="P789" s="284" t="str">
        <f>'Profits 2016'!U6002</f>
        <v>702723289090 702723289080</v>
      </c>
      <c r="Q789" s="284" t="s">
        <v>314</v>
      </c>
      <c r="R789" s="331">
        <f>16.2+15.14+11.68</f>
        <v>43.019999999999996</v>
      </c>
      <c r="S789" s="275" t="s">
        <v>15848</v>
      </c>
      <c r="T789" s="277" t="s">
        <v>15849</v>
      </c>
      <c r="U789" s="277" t="s">
        <v>15850</v>
      </c>
      <c r="V789" s="279">
        <v>42671</v>
      </c>
      <c r="W789" s="293">
        <f>R789</f>
        <v>43.019999999999996</v>
      </c>
      <c r="X789" s="236">
        <v>9250</v>
      </c>
      <c r="AF789" s="276">
        <f t="shared" si="91"/>
        <v>128.01999999999998</v>
      </c>
      <c r="AG789" s="276">
        <f t="shared" si="87"/>
        <v>43.019999999999996</v>
      </c>
      <c r="AH789" s="276">
        <f t="shared" si="88"/>
        <v>-43.019999999999996</v>
      </c>
      <c r="AI789" s="283">
        <f t="shared" si="89"/>
        <v>-0.33604124355569442</v>
      </c>
    </row>
    <row r="790" spans="1:35" ht="30" x14ac:dyDescent="0.25">
      <c r="A790" s="275">
        <f>'Profits 2016'!A6003</f>
        <v>3004722</v>
      </c>
      <c r="B790" s="279">
        <f>'Profits 2016'!B6003</f>
        <v>42647</v>
      </c>
      <c r="C790" s="276">
        <f>'Profits 2016'!H6003</f>
        <v>145.35</v>
      </c>
      <c r="D790" s="280">
        <f>'Profits 2016'!K6003</f>
        <v>129.20685</v>
      </c>
      <c r="E790" s="276">
        <f>'Profits 2016'!L6003</f>
        <v>622.45000000000005</v>
      </c>
      <c r="F790" s="275" t="str">
        <f>'Profits 2016'!P6003</f>
        <v>Nassau</v>
      </c>
      <c r="G790" s="292">
        <f>'Profits 2016'!N6003-'Profits 2016'!M6003</f>
        <v>62.245000000000005</v>
      </c>
      <c r="H790" s="319"/>
      <c r="I790" s="320"/>
      <c r="J790" s="321"/>
      <c r="K790" s="321"/>
      <c r="L790" s="321"/>
      <c r="M790" s="319"/>
      <c r="N790" s="322"/>
      <c r="O790" s="236" t="str">
        <f>'Profits 2016'!T6003</f>
        <v>FEDEX GROUND</v>
      </c>
      <c r="P790" s="284" t="str">
        <f>'Profits 2016'!U6003</f>
        <v>665645047519</v>
      </c>
      <c r="Q790" s="284" t="s">
        <v>314</v>
      </c>
      <c r="R790" s="276">
        <v>44.17</v>
      </c>
      <c r="S790" s="275" t="s">
        <v>15805</v>
      </c>
      <c r="T790" s="279">
        <v>42667</v>
      </c>
      <c r="U790" s="279">
        <v>42670</v>
      </c>
      <c r="V790" s="279">
        <v>42678</v>
      </c>
      <c r="W790" s="293">
        <v>0</v>
      </c>
      <c r="X790" s="236">
        <v>9301</v>
      </c>
      <c r="AF790" s="276">
        <f t="shared" si="91"/>
        <v>106.41500000000001</v>
      </c>
      <c r="AG790" s="276">
        <f t="shared" si="87"/>
        <v>44.17</v>
      </c>
      <c r="AH790" s="276">
        <f t="shared" si="88"/>
        <v>85.036850000000001</v>
      </c>
      <c r="AI790" s="283">
        <f t="shared" si="89"/>
        <v>0.79910585913639987</v>
      </c>
    </row>
    <row r="791" spans="1:35" ht="30" x14ac:dyDescent="0.25">
      <c r="A791" s="275">
        <f>'Profits 2016'!A6004</f>
        <v>3004723</v>
      </c>
      <c r="B791" s="279">
        <f>'Profits 2016'!B6004</f>
        <v>42647</v>
      </c>
      <c r="C791" s="276">
        <f>'Profits 2016'!H6004</f>
        <v>1689.48</v>
      </c>
      <c r="D791" s="280">
        <f>'Profits 2016'!K6004</f>
        <v>1505.0266799999999</v>
      </c>
      <c r="E791" s="276">
        <f>'Profits 2016'!L6004</f>
        <v>1100</v>
      </c>
      <c r="F791" s="275" t="str">
        <f>'Profits 2016'!P6004</f>
        <v>Nassau</v>
      </c>
      <c r="G791" s="292">
        <f>'Profits 2016'!N6004-'Profits 2016'!M6004</f>
        <v>1100</v>
      </c>
      <c r="H791" s="319"/>
      <c r="I791" s="320"/>
      <c r="J791" s="321"/>
      <c r="K791" s="321"/>
      <c r="L791" s="321"/>
      <c r="M791" s="319"/>
      <c r="N791" s="322"/>
      <c r="O791" s="236" t="str">
        <f>'Profits 2016'!T6004</f>
        <v>NEMF/ECHO</v>
      </c>
      <c r="P791" s="284" t="str">
        <f>'Profits 2016'!U6004</f>
        <v>24114036</v>
      </c>
      <c r="Q791" s="284" t="s">
        <v>15767</v>
      </c>
      <c r="R791" s="276">
        <v>152.33000000000001</v>
      </c>
      <c r="S791" s="275" t="s">
        <v>15851</v>
      </c>
      <c r="T791" s="279">
        <v>42660</v>
      </c>
      <c r="U791" s="279">
        <v>42664</v>
      </c>
      <c r="AF791" s="276">
        <f t="shared" si="91"/>
        <v>1252.33</v>
      </c>
      <c r="AG791" s="276">
        <f t="shared" si="87"/>
        <v>152.33000000000001</v>
      </c>
      <c r="AH791" s="276">
        <f t="shared" si="88"/>
        <v>1352.69668</v>
      </c>
      <c r="AI791" s="283">
        <f t="shared" si="89"/>
        <v>1.0801439556666375</v>
      </c>
    </row>
    <row r="792" spans="1:35" ht="29.25" customHeight="1" x14ac:dyDescent="0.25">
      <c r="A792" s="275">
        <f>'Profits 2016'!A6005</f>
        <v>3004724</v>
      </c>
      <c r="B792" s="279">
        <f>'Profits 2016'!B6005</f>
        <v>42647</v>
      </c>
      <c r="C792" s="276">
        <f>'Profits 2016'!H6005</f>
        <v>916</v>
      </c>
      <c r="D792" s="280">
        <f>'Profits 2016'!K6005</f>
        <v>778.6</v>
      </c>
      <c r="E792" s="276">
        <f>'Profits 2016'!L6005</f>
        <v>409</v>
      </c>
      <c r="F792" s="275" t="str">
        <f>'Profits 2016'!P6005</f>
        <v>Nassau</v>
      </c>
      <c r="G792" s="292">
        <f>'Profits 2016'!N6005-'Profits 2016'!M6005</f>
        <v>409.00000000000006</v>
      </c>
      <c r="H792" s="319"/>
      <c r="I792" s="320"/>
      <c r="J792" s="321"/>
      <c r="K792" s="321"/>
      <c r="L792" s="321"/>
      <c r="M792" s="319"/>
      <c r="N792" s="322"/>
      <c r="O792" s="236" t="str">
        <f>'Profits 2016'!T6005</f>
        <v>FEDEX GROUND</v>
      </c>
      <c r="P792" s="284" t="str">
        <f>'Profits 2016'!U6005</f>
        <v>665645047520, 665645047530  </v>
      </c>
      <c r="Q792" s="284" t="s">
        <v>314</v>
      </c>
      <c r="R792" s="276">
        <f>61.04+61.04</f>
        <v>122.08</v>
      </c>
      <c r="S792" s="275" t="s">
        <v>15802</v>
      </c>
      <c r="T792" s="279">
        <v>42660</v>
      </c>
      <c r="U792" s="279">
        <v>42663</v>
      </c>
      <c r="V792" s="279">
        <v>42671</v>
      </c>
      <c r="W792" s="293">
        <f>R792</f>
        <v>122.08</v>
      </c>
      <c r="X792" s="236">
        <v>9250</v>
      </c>
      <c r="AF792" s="276">
        <f t="shared" si="91"/>
        <v>531.08000000000004</v>
      </c>
      <c r="AG792" s="276">
        <f t="shared" si="87"/>
        <v>122.08</v>
      </c>
      <c r="AH792" s="276">
        <f t="shared" si="88"/>
        <v>656.52</v>
      </c>
      <c r="AI792" s="283">
        <f t="shared" si="89"/>
        <v>1.2361979362807862</v>
      </c>
    </row>
    <row r="793" spans="1:35" ht="30" x14ac:dyDescent="0.25">
      <c r="A793" s="275">
        <f>'Profits 2016'!A6006</f>
        <v>3004725</v>
      </c>
      <c r="B793" s="279">
        <f>'Profits 2016'!B6006</f>
        <v>42647</v>
      </c>
      <c r="C793" s="276">
        <f>'Profits 2016'!H6006</f>
        <v>188.61</v>
      </c>
      <c r="D793" s="280">
        <f>'Profits 2016'!K6006</f>
        <v>160.3185</v>
      </c>
      <c r="E793" s="276">
        <f>'Profits 2016'!L6006</f>
        <v>407</v>
      </c>
      <c r="F793" s="275" t="str">
        <f>'Profits 2016'!P6006</f>
        <v>Priority</v>
      </c>
      <c r="G793" s="292">
        <f>'Profits 2016'!N6006-'Profits 2016'!M6006</f>
        <v>122.1</v>
      </c>
      <c r="H793" s="292">
        <v>0</v>
      </c>
      <c r="I793" s="275">
        <v>1063083</v>
      </c>
      <c r="J793" s="277">
        <v>42648</v>
      </c>
      <c r="K793" s="277">
        <v>42655</v>
      </c>
      <c r="L793" s="277">
        <v>42678</v>
      </c>
      <c r="M793" s="292">
        <v>122.1</v>
      </c>
      <c r="N793" s="281">
        <v>9338</v>
      </c>
      <c r="O793" s="236" t="str">
        <f>'Profits 2016'!T6006</f>
        <v>FEDEX GROUND</v>
      </c>
      <c r="P793" s="284" t="str">
        <f>'Profits 2016'!U6006</f>
        <v>616712877034</v>
      </c>
      <c r="Q793" s="284" t="s">
        <v>15740</v>
      </c>
      <c r="R793" s="276">
        <v>17.309999999999999</v>
      </c>
      <c r="S793" s="275">
        <v>1063083</v>
      </c>
      <c r="T793" s="279">
        <v>42648</v>
      </c>
      <c r="U793" s="279">
        <v>42655</v>
      </c>
      <c r="V793" s="279">
        <v>42678</v>
      </c>
      <c r="W793" s="293">
        <v>17.309999999999999</v>
      </c>
      <c r="X793" s="236">
        <v>9338</v>
      </c>
      <c r="AF793" s="276">
        <f t="shared" si="91"/>
        <v>139.41</v>
      </c>
      <c r="AG793" s="276">
        <f t="shared" si="87"/>
        <v>139.41</v>
      </c>
      <c r="AH793" s="276">
        <f t="shared" si="88"/>
        <v>20.908500000000004</v>
      </c>
      <c r="AI793" s="283">
        <f t="shared" si="89"/>
        <v>0.14997848074026257</v>
      </c>
    </row>
    <row r="794" spans="1:35" ht="30" x14ac:dyDescent="0.25">
      <c r="A794" s="275">
        <f>'Profits 2016'!A6007</f>
        <v>3004726</v>
      </c>
      <c r="B794" s="279">
        <f>'Profits 2016'!B6007</f>
        <v>42647</v>
      </c>
      <c r="C794" s="276">
        <f>'Profits 2016'!H6007</f>
        <v>193.04</v>
      </c>
      <c r="D794" s="280">
        <f>'Profits 2016'!K6007</f>
        <v>164.084</v>
      </c>
      <c r="E794" s="276">
        <f>'Profits 2016'!L6007</f>
        <v>900</v>
      </c>
      <c r="F794" s="275" t="str">
        <f>'Profits 2016'!P6007</f>
        <v>Nassau</v>
      </c>
      <c r="G794" s="292">
        <f>'Profits 2016'!N6007-'Profits 2016'!M6007</f>
        <v>90</v>
      </c>
      <c r="H794" s="319"/>
      <c r="I794" s="320"/>
      <c r="J794" s="321"/>
      <c r="K794" s="321"/>
      <c r="L794" s="321"/>
      <c r="M794" s="319"/>
      <c r="N794" s="322"/>
      <c r="O794" s="236" t="str">
        <f>'Profits 2016'!T6007</f>
        <v>FEDEX GROUND</v>
      </c>
      <c r="P794" s="284" t="str">
        <f>'Profits 2016'!U6007</f>
        <v>665645047541</v>
      </c>
      <c r="Q794" s="284" t="s">
        <v>314</v>
      </c>
      <c r="R794" s="276">
        <v>35.659999999999997</v>
      </c>
      <c r="S794" s="275" t="s">
        <v>15805</v>
      </c>
      <c r="T794" s="279">
        <v>42667</v>
      </c>
      <c r="U794" s="279">
        <v>42670</v>
      </c>
      <c r="V794" s="279">
        <v>42678</v>
      </c>
      <c r="W794" s="293">
        <v>0</v>
      </c>
      <c r="X794" s="236">
        <v>9301</v>
      </c>
      <c r="AF794" s="276">
        <f t="shared" si="91"/>
        <v>125.66</v>
      </c>
      <c r="AG794" s="276">
        <f t="shared" si="87"/>
        <v>35.659999999999997</v>
      </c>
      <c r="AH794" s="276">
        <f t="shared" si="88"/>
        <v>128.42400000000001</v>
      </c>
      <c r="AI794" s="283">
        <f t="shared" si="89"/>
        <v>1.0219958618494351</v>
      </c>
    </row>
    <row r="795" spans="1:35" ht="30" x14ac:dyDescent="0.25">
      <c r="A795" s="275">
        <f>'Profits 2016'!A6008</f>
        <v>3004727</v>
      </c>
      <c r="B795" s="279">
        <f>'Profits 2016'!B6008</f>
        <v>42647</v>
      </c>
      <c r="C795" s="276">
        <f>'Profits 2016'!H6008</f>
        <v>100</v>
      </c>
      <c r="D795" s="280">
        <f>'Profits 2016'!K6008</f>
        <v>85</v>
      </c>
      <c r="E795" s="276">
        <f>'Profits 2016'!L6008</f>
        <v>2200</v>
      </c>
      <c r="F795" s="275" t="str">
        <f>'Profits 2016'!P6008</f>
        <v>Direct</v>
      </c>
      <c r="G795" s="292">
        <f>'Profits 2016'!N6008-'Profits 2016'!M6008</f>
        <v>33</v>
      </c>
      <c r="H795" s="292">
        <v>0</v>
      </c>
      <c r="I795" s="275">
        <v>73901</v>
      </c>
      <c r="J795" s="277">
        <v>42649</v>
      </c>
      <c r="K795" s="277">
        <v>42654</v>
      </c>
      <c r="L795" s="277">
        <v>42657</v>
      </c>
      <c r="M795" s="292">
        <v>65.12</v>
      </c>
      <c r="N795" s="281">
        <v>9167</v>
      </c>
      <c r="O795" s="236" t="str">
        <f>'Profits 2016'!T6008</f>
        <v>FEDEX GROUND</v>
      </c>
      <c r="P795" s="284" t="str">
        <f>'Profits 2016'!U6008</f>
        <v>642286529198</v>
      </c>
      <c r="Q795" s="284" t="s">
        <v>314</v>
      </c>
      <c r="R795" s="276">
        <v>13.03</v>
      </c>
      <c r="S795" s="275" t="s">
        <v>15805</v>
      </c>
      <c r="T795" s="279">
        <v>42667</v>
      </c>
      <c r="U795" s="279">
        <v>42670</v>
      </c>
      <c r="V795" s="279">
        <v>42678</v>
      </c>
      <c r="W795" s="293">
        <v>0</v>
      </c>
      <c r="X795" s="236">
        <v>9301</v>
      </c>
      <c r="AF795" s="276">
        <f t="shared" si="91"/>
        <v>46.03</v>
      </c>
      <c r="AG795" s="276">
        <f t="shared" si="87"/>
        <v>78.150000000000006</v>
      </c>
      <c r="AH795" s="276">
        <f t="shared" si="88"/>
        <v>6.8499999999999943</v>
      </c>
      <c r="AI795" s="283">
        <f t="shared" si="89"/>
        <v>0.14881598957201811</v>
      </c>
    </row>
    <row r="796" spans="1:35" x14ac:dyDescent="0.25">
      <c r="A796" s="275">
        <f>'Profits 2016'!A6009</f>
        <v>0</v>
      </c>
      <c r="B796" s="279">
        <f>'Profits 2016'!B6009</f>
        <v>0</v>
      </c>
      <c r="C796" s="276">
        <f>'Profits 2016'!H6009</f>
        <v>0</v>
      </c>
      <c r="D796" s="280">
        <f>'Profits 2016'!K6009</f>
        <v>0</v>
      </c>
      <c r="E796" s="276">
        <f>'Profits 2016'!L6009</f>
        <v>2230</v>
      </c>
      <c r="F796" s="275" t="str">
        <f>'Profits 2016'!P6009</f>
        <v>Direct</v>
      </c>
      <c r="G796" s="292">
        <f>'Profits 2016'!N6009-'Profits 2016'!M6009</f>
        <v>33.449999999999996</v>
      </c>
      <c r="H796" s="292">
        <v>0</v>
      </c>
      <c r="I796" s="275">
        <v>73901</v>
      </c>
      <c r="J796" s="277">
        <v>42649</v>
      </c>
      <c r="K796" s="277">
        <v>42654</v>
      </c>
      <c r="L796" s="277">
        <v>42657</v>
      </c>
      <c r="M796" s="292">
        <v>0</v>
      </c>
      <c r="N796" s="281">
        <v>9167</v>
      </c>
      <c r="O796" s="236">
        <f>'Profits 2016'!T6009</f>
        <v>0</v>
      </c>
      <c r="P796" s="284" t="str">
        <f>'Profits 2016'!U6009</f>
        <v>642286529202</v>
      </c>
      <c r="Q796" s="284" t="s">
        <v>314</v>
      </c>
      <c r="R796" s="276">
        <v>0</v>
      </c>
      <c r="S796" s="275" t="s">
        <v>15805</v>
      </c>
      <c r="T796" s="279">
        <v>42667</v>
      </c>
      <c r="U796" s="279">
        <v>42670</v>
      </c>
      <c r="V796" s="279">
        <v>42678</v>
      </c>
      <c r="W796" s="293">
        <v>0</v>
      </c>
      <c r="X796" s="236">
        <v>9301</v>
      </c>
      <c r="AF796" s="276">
        <f t="shared" si="91"/>
        <v>33.449999999999996</v>
      </c>
      <c r="AG796" s="276">
        <f t="shared" si="87"/>
        <v>0</v>
      </c>
      <c r="AH796" s="276">
        <f t="shared" si="88"/>
        <v>0</v>
      </c>
      <c r="AI796" s="283">
        <f t="shared" si="89"/>
        <v>0</v>
      </c>
    </row>
    <row r="797" spans="1:35" ht="30" x14ac:dyDescent="0.25">
      <c r="A797" s="275">
        <f>'Profits 2016'!A6010</f>
        <v>3004728</v>
      </c>
      <c r="B797" s="279">
        <f>'Profits 2016'!B6010</f>
        <v>42647</v>
      </c>
      <c r="C797" s="276">
        <f>'Profits 2016'!H6010</f>
        <v>20300</v>
      </c>
      <c r="D797" s="280">
        <f>'Profits 2016'!K6010</f>
        <v>20300</v>
      </c>
      <c r="E797" s="276">
        <f>'Profits 2016'!L6010</f>
        <v>115000</v>
      </c>
      <c r="F797" s="275" t="str">
        <f>'Profits 2016'!P6010</f>
        <v>Ace</v>
      </c>
      <c r="G797" s="292">
        <f>'Profits 2016'!N6010-'Profits 2016'!M6010</f>
        <v>5980.0000000000009</v>
      </c>
      <c r="H797" s="335"/>
      <c r="I797" s="336"/>
      <c r="J797" s="337"/>
      <c r="K797" s="337"/>
      <c r="L797" s="337"/>
      <c r="M797" s="335"/>
      <c r="N797" s="338"/>
      <c r="O797" s="236" t="str">
        <f>'Profits 2016'!T6010</f>
        <v>VOLUNTEER EXPRESS</v>
      </c>
      <c r="P797" s="284" t="str">
        <f>'Profits 2016'!U6010</f>
        <v>0011076228</v>
      </c>
      <c r="Q797" s="345"/>
      <c r="R797" s="342"/>
      <c r="S797" s="336"/>
      <c r="T797" s="341"/>
      <c r="U797" s="341"/>
      <c r="V797" s="341"/>
      <c r="W797" s="346"/>
      <c r="X797" s="344"/>
      <c r="AF797" s="276">
        <f t="shared" si="91"/>
        <v>5980.0000000000009</v>
      </c>
      <c r="AG797" s="276">
        <f t="shared" si="87"/>
        <v>0</v>
      </c>
      <c r="AH797" s="276">
        <f t="shared" si="88"/>
        <v>20300</v>
      </c>
      <c r="AI797" s="283">
        <f t="shared" si="89"/>
        <v>3.3946488294314374</v>
      </c>
    </row>
    <row r="798" spans="1:35" x14ac:dyDescent="0.25">
      <c r="A798" s="275">
        <f>'Profits 2016'!A6011</f>
        <v>0</v>
      </c>
      <c r="B798" s="279">
        <f>'Profits 2016'!B6011</f>
        <v>0</v>
      </c>
      <c r="C798" s="276">
        <f>'Profits 2016'!H6011</f>
        <v>0</v>
      </c>
      <c r="D798" s="280">
        <f>'Profits 2016'!K6011</f>
        <v>0</v>
      </c>
      <c r="E798" s="276">
        <f>'Profits 2016'!L6011</f>
        <v>115000</v>
      </c>
      <c r="F798" s="275" t="str">
        <f>'Profits 2016'!P6011</f>
        <v>Ace</v>
      </c>
      <c r="G798" s="292">
        <f>'Profits 2016'!N6011-'Profits 2016'!M6011</f>
        <v>4600</v>
      </c>
      <c r="H798" s="335"/>
      <c r="I798" s="336"/>
      <c r="J798" s="337"/>
      <c r="K798" s="337"/>
      <c r="L798" s="337"/>
      <c r="M798" s="335"/>
      <c r="N798" s="338"/>
      <c r="O798" s="236">
        <f>'Profits 2016'!T6011</f>
        <v>0</v>
      </c>
      <c r="P798" s="284">
        <f>'Profits 2016'!U6011</f>
        <v>0</v>
      </c>
      <c r="Q798" s="345"/>
      <c r="R798" s="342"/>
      <c r="S798" s="336"/>
      <c r="T798" s="341"/>
      <c r="U798" s="341"/>
      <c r="V798" s="341"/>
      <c r="W798" s="346"/>
      <c r="X798" s="344"/>
      <c r="AF798" s="276">
        <f t="shared" si="91"/>
        <v>4599.76</v>
      </c>
      <c r="AG798" s="276">
        <f t="shared" si="87"/>
        <v>0</v>
      </c>
      <c r="AH798" s="276">
        <f t="shared" si="88"/>
        <v>0</v>
      </c>
      <c r="AI798" s="283">
        <f t="shared" si="89"/>
        <v>0</v>
      </c>
    </row>
    <row r="799" spans="1:35" x14ac:dyDescent="0.25">
      <c r="A799" s="275">
        <f>'Profits 2016'!A6012</f>
        <v>3004729</v>
      </c>
      <c r="B799" s="279">
        <f>'Profits 2016'!B6012</f>
        <v>42647</v>
      </c>
      <c r="C799" s="276">
        <f>'Profits 2016'!H6012</f>
        <v>800</v>
      </c>
      <c r="D799" s="280">
        <f>'Profits 2016'!K6012</f>
        <v>712.5</v>
      </c>
      <c r="E799" s="276">
        <f>'Profits 2016'!L6012</f>
        <v>7500</v>
      </c>
      <c r="F799" s="275" t="str">
        <f>'Profits 2016'!P6012</f>
        <v>General</v>
      </c>
      <c r="G799" s="292">
        <f>'Profits 2016'!N6012-'Profits 2016'!M6012</f>
        <v>427.5</v>
      </c>
      <c r="H799" s="292">
        <v>-0.24</v>
      </c>
      <c r="I799" s="275">
        <v>3759069</v>
      </c>
      <c r="J799" s="277">
        <v>42649</v>
      </c>
      <c r="K799" s="277">
        <v>42654</v>
      </c>
      <c r="L799" s="277">
        <v>42678</v>
      </c>
      <c r="M799" s="292">
        <f>427.26*0.98</f>
        <v>418.71479999999997</v>
      </c>
      <c r="N799" s="281">
        <v>9308</v>
      </c>
      <c r="O799" s="236" t="str">
        <f>'Profits 2016'!T6012</f>
        <v>PITT OHIO</v>
      </c>
      <c r="P799" s="284" t="str">
        <f>'Profits 2016'!U6012</f>
        <v>5011218433</v>
      </c>
      <c r="Q799" s="284" t="s">
        <v>15741</v>
      </c>
      <c r="R799" s="276">
        <v>124.85</v>
      </c>
      <c r="S799" s="275">
        <v>3759069</v>
      </c>
      <c r="T799" s="279">
        <v>42649</v>
      </c>
      <c r="U799" s="279">
        <v>42654</v>
      </c>
      <c r="V799" s="279">
        <v>42678</v>
      </c>
      <c r="W799" s="293">
        <v>124.85</v>
      </c>
      <c r="X799" s="236">
        <v>9308</v>
      </c>
      <c r="AF799" s="276">
        <f t="shared" si="91"/>
        <v>552.35</v>
      </c>
      <c r="AG799" s="276">
        <f t="shared" si="87"/>
        <v>543.56479999999999</v>
      </c>
      <c r="AH799" s="276">
        <f t="shared" si="88"/>
        <v>168.93520000000001</v>
      </c>
      <c r="AI799" s="283">
        <f t="shared" si="89"/>
        <v>0.30584810355752695</v>
      </c>
    </row>
    <row r="800" spans="1:35" ht="30" x14ac:dyDescent="0.25">
      <c r="A800" s="275">
        <f>'Profits 2016'!A6013</f>
        <v>3004730</v>
      </c>
      <c r="B800" s="279">
        <f>'Profits 2016'!B6013</f>
        <v>42647</v>
      </c>
      <c r="C800" s="276">
        <f>'Profits 2016'!H6013</f>
        <v>320</v>
      </c>
      <c r="D800" s="280">
        <f>'Profits 2016'!K6013</f>
        <v>312.66000000000003</v>
      </c>
      <c r="E800" s="276">
        <f>'Profits 2016'!L6013</f>
        <v>1693</v>
      </c>
      <c r="F800" s="275" t="str">
        <f>'Profits 2016'!P6013</f>
        <v>Nassau</v>
      </c>
      <c r="G800" s="292">
        <f>'Profits 2016'!N6013-'Profits 2016'!M6013</f>
        <v>169.3</v>
      </c>
      <c r="H800" s="319"/>
      <c r="I800" s="320"/>
      <c r="J800" s="321"/>
      <c r="K800" s="321"/>
      <c r="L800" s="321"/>
      <c r="M800" s="319"/>
      <c r="N800" s="322"/>
      <c r="O800" s="236" t="str">
        <f>'Profits 2016'!T6013</f>
        <v>FEDEX GROUND</v>
      </c>
      <c r="P800" s="284" t="str">
        <f>'Profits 2016'!U6013</f>
        <v>702723289079</v>
      </c>
      <c r="Q800" s="284" t="s">
        <v>314</v>
      </c>
      <c r="R800" s="276">
        <v>33.880000000000003</v>
      </c>
      <c r="S800" s="275" t="s">
        <v>15802</v>
      </c>
      <c r="T800" s="279">
        <v>42660</v>
      </c>
      <c r="U800" s="279">
        <v>42663</v>
      </c>
      <c r="V800" s="279">
        <v>42671</v>
      </c>
      <c r="W800" s="293">
        <f>R800</f>
        <v>33.880000000000003</v>
      </c>
      <c r="X800" s="236">
        <v>9250</v>
      </c>
      <c r="AF800" s="276">
        <f t="shared" si="91"/>
        <v>203.18</v>
      </c>
      <c r="AG800" s="276">
        <f t="shared" si="87"/>
        <v>33.880000000000003</v>
      </c>
      <c r="AH800" s="276">
        <f t="shared" si="88"/>
        <v>278.78000000000003</v>
      </c>
      <c r="AI800" s="283">
        <f t="shared" si="89"/>
        <v>1.3720838665222956</v>
      </c>
    </row>
    <row r="801" spans="1:35" ht="30" x14ac:dyDescent="0.25">
      <c r="A801" s="275">
        <f>'Profits 2016'!A6014</f>
        <v>3004731</v>
      </c>
      <c r="B801" s="279">
        <f>'Profits 2016'!B6014</f>
        <v>42647</v>
      </c>
      <c r="C801" s="276">
        <f>'Profits 2016'!H6014</f>
        <v>153.44999999999999</v>
      </c>
      <c r="D801" s="280">
        <f>'Profits 2016'!K6014</f>
        <v>136.42394999999999</v>
      </c>
      <c r="E801" s="276">
        <f>'Profits 2016'!L6014</f>
        <v>900</v>
      </c>
      <c r="F801" s="275" t="str">
        <f>'Profits 2016'!P6014</f>
        <v>Nassau</v>
      </c>
      <c r="G801" s="292">
        <f>'Profits 2016'!N6014-'Profits 2016'!M6014</f>
        <v>67.5</v>
      </c>
      <c r="H801" s="319"/>
      <c r="I801" s="320"/>
      <c r="J801" s="321"/>
      <c r="K801" s="321"/>
      <c r="L801" s="321"/>
      <c r="M801" s="319"/>
      <c r="N801" s="322"/>
      <c r="O801" s="236" t="str">
        <f>'Profits 2016'!T6014</f>
        <v>FEDEX GROUND</v>
      </c>
      <c r="P801" s="284" t="str">
        <f>'Profits 2016'!U6014</f>
        <v>702723289057</v>
      </c>
      <c r="Q801" s="284" t="s">
        <v>314</v>
      </c>
      <c r="R801" s="276">
        <v>33.17</v>
      </c>
      <c r="S801" s="275" t="s">
        <v>15805</v>
      </c>
      <c r="T801" s="279">
        <v>42667</v>
      </c>
      <c r="U801" s="279">
        <v>42670</v>
      </c>
      <c r="V801" s="279">
        <v>42678</v>
      </c>
      <c r="W801" s="293">
        <v>0</v>
      </c>
      <c r="X801" s="236">
        <v>9301</v>
      </c>
      <c r="AF801" s="276">
        <f t="shared" si="91"/>
        <v>100.67</v>
      </c>
      <c r="AG801" s="276">
        <f t="shared" si="87"/>
        <v>33.17</v>
      </c>
      <c r="AH801" s="276">
        <f t="shared" si="88"/>
        <v>103.25394999999999</v>
      </c>
      <c r="AI801" s="283">
        <f t="shared" si="89"/>
        <v>1.0256675275653122</v>
      </c>
    </row>
    <row r="802" spans="1:35" ht="30" x14ac:dyDescent="0.25">
      <c r="A802" s="275">
        <f>'Profits 2016'!A6015</f>
        <v>3004732</v>
      </c>
      <c r="B802" s="279">
        <f>'Profits 2016'!B6015</f>
        <v>42647</v>
      </c>
      <c r="C802" s="276">
        <f>'Profits 2016'!H6015</f>
        <v>147.12</v>
      </c>
      <c r="D802" s="280">
        <f>'Profits 2016'!K6015</f>
        <v>130.78391999999999</v>
      </c>
      <c r="E802" s="276">
        <f>'Profits 2016'!L6015</f>
        <v>235</v>
      </c>
      <c r="F802" s="275" t="str">
        <f>'Profits 2016'!P6015</f>
        <v>Nassau</v>
      </c>
      <c r="G802" s="292">
        <f>'Profits 2016'!N6015-'Profits 2016'!M6015</f>
        <v>46.999999999999993</v>
      </c>
      <c r="H802" s="319"/>
      <c r="I802" s="320"/>
      <c r="J802" s="321"/>
      <c r="K802" s="321"/>
      <c r="L802" s="321"/>
      <c r="M802" s="319"/>
      <c r="N802" s="322"/>
      <c r="O802" s="236" t="str">
        <f>'Profits 2016'!T6015</f>
        <v>FEDEX GROUND</v>
      </c>
      <c r="P802" s="284" t="str">
        <f>'Profits 2016'!U6015</f>
        <v>702723289068</v>
      </c>
      <c r="Q802" s="284" t="s">
        <v>314</v>
      </c>
      <c r="R802" s="276">
        <v>25.04</v>
      </c>
      <c r="S802" s="275" t="s">
        <v>15802</v>
      </c>
      <c r="T802" s="279">
        <v>42660</v>
      </c>
      <c r="U802" s="279">
        <v>42663</v>
      </c>
      <c r="V802" s="279">
        <v>42671</v>
      </c>
      <c r="W802" s="293">
        <f>R802</f>
        <v>25.04</v>
      </c>
      <c r="X802" s="236">
        <v>9250</v>
      </c>
      <c r="AF802" s="276">
        <f t="shared" si="91"/>
        <v>72.039999999999992</v>
      </c>
      <c r="AG802" s="276">
        <f t="shared" si="87"/>
        <v>25.04</v>
      </c>
      <c r="AH802" s="276">
        <f t="shared" si="88"/>
        <v>105.74392</v>
      </c>
      <c r="AI802" s="283">
        <f t="shared" si="89"/>
        <v>1.4678500832870629</v>
      </c>
    </row>
    <row r="803" spans="1:35" ht="30" x14ac:dyDescent="0.25">
      <c r="A803" s="275">
        <f>'Profits 2016'!A6016</f>
        <v>3004733</v>
      </c>
      <c r="B803" s="279">
        <f>'Profits 2016'!B6016</f>
        <v>42647</v>
      </c>
      <c r="C803" s="276">
        <f>'Profits 2016'!H6016</f>
        <v>2637</v>
      </c>
      <c r="D803" s="280">
        <f>'Profits 2016'!K6016</f>
        <v>2637</v>
      </c>
      <c r="E803" s="276">
        <f>'Profits 2016'!L6016</f>
        <v>450</v>
      </c>
      <c r="F803" s="275" t="str">
        <f>'Profits 2016'!P6016</f>
        <v>Priority</v>
      </c>
      <c r="G803" s="292">
        <f>'Profits 2016'!N6016-'Profits 2016'!M6016</f>
        <v>337.5</v>
      </c>
      <c r="H803" s="292">
        <v>0</v>
      </c>
      <c r="I803" s="275">
        <v>1063316</v>
      </c>
      <c r="J803" s="277">
        <v>42649</v>
      </c>
      <c r="K803" s="277">
        <v>42657</v>
      </c>
      <c r="L803" s="277">
        <v>42678</v>
      </c>
      <c r="M803" s="292">
        <v>337.5</v>
      </c>
      <c r="N803" s="281">
        <v>9339</v>
      </c>
      <c r="O803" s="236" t="str">
        <f>'Profits 2016'!T6016</f>
        <v>FEDEX GROUND</v>
      </c>
      <c r="P803" s="284" t="str">
        <f>'Profits 2016'!U6016</f>
        <v>614697967901, 	614697967912, 614697967923</v>
      </c>
      <c r="Q803" s="284" t="s">
        <v>15740</v>
      </c>
      <c r="R803" s="276">
        <v>120.66</v>
      </c>
      <c r="S803" s="275">
        <v>1063316</v>
      </c>
      <c r="T803" s="279">
        <v>42649</v>
      </c>
      <c r="U803" s="279">
        <v>42657</v>
      </c>
      <c r="V803" s="279">
        <v>42678</v>
      </c>
      <c r="W803" s="293">
        <v>120.66</v>
      </c>
      <c r="X803" s="236">
        <v>9339</v>
      </c>
      <c r="AF803" s="276">
        <f t="shared" si="91"/>
        <v>458.15999999999997</v>
      </c>
      <c r="AG803" s="276">
        <f t="shared" si="87"/>
        <v>458.15999999999997</v>
      </c>
      <c r="AH803" s="276">
        <f t="shared" si="88"/>
        <v>2178.84</v>
      </c>
      <c r="AI803" s="283">
        <f t="shared" si="89"/>
        <v>4.7556312205343119</v>
      </c>
    </row>
    <row r="804" spans="1:35" x14ac:dyDescent="0.25">
      <c r="A804" s="275">
        <f>'Profits 2016'!A6017</f>
        <v>0</v>
      </c>
      <c r="B804" s="279">
        <f>'Profits 2016'!B6017</f>
        <v>0</v>
      </c>
      <c r="C804" s="276">
        <f>'Profits 2016'!H6017</f>
        <v>0</v>
      </c>
      <c r="D804" s="280">
        <f>'Profits 2016'!K6017</f>
        <v>0</v>
      </c>
      <c r="E804" s="276">
        <f>'Profits 2016'!L6017</f>
        <v>200</v>
      </c>
      <c r="F804" s="275" t="str">
        <f>'Profits 2016'!P6017</f>
        <v>Nassau</v>
      </c>
      <c r="G804" s="292">
        <f>'Profits 2016'!N6017-'Profits 2016'!M6017</f>
        <v>100</v>
      </c>
      <c r="H804" s="319"/>
      <c r="I804" s="320"/>
      <c r="J804" s="321"/>
      <c r="K804" s="321"/>
      <c r="L804" s="321"/>
      <c r="M804" s="319"/>
      <c r="N804" s="322"/>
      <c r="O804" s="236" t="str">
        <f>'Profits 2016'!T6017</f>
        <v>NEMF/TQL</v>
      </c>
      <c r="P804" s="284">
        <f>'Profits 2016'!U6017</f>
        <v>0</v>
      </c>
      <c r="Q804" s="284" t="s">
        <v>14204</v>
      </c>
      <c r="R804" s="276">
        <v>110</v>
      </c>
      <c r="S804" s="275">
        <v>7593115</v>
      </c>
      <c r="T804" s="279">
        <v>42684</v>
      </c>
      <c r="U804" s="279">
        <v>42688</v>
      </c>
      <c r="V804" s="279">
        <v>42692</v>
      </c>
      <c r="W804" s="293">
        <v>110</v>
      </c>
      <c r="X804" s="236">
        <v>9457</v>
      </c>
      <c r="AF804" s="276">
        <f t="shared" si="91"/>
        <v>210</v>
      </c>
      <c r="AG804" s="276">
        <f t="shared" si="87"/>
        <v>110</v>
      </c>
      <c r="AH804" s="276">
        <f t="shared" si="88"/>
        <v>-110</v>
      </c>
      <c r="AI804" s="283">
        <f t="shared" si="89"/>
        <v>-0.52380952380952384</v>
      </c>
    </row>
    <row r="805" spans="1:35" x14ac:dyDescent="0.25">
      <c r="A805" s="275">
        <f>'Profits 2016'!A6018</f>
        <v>0</v>
      </c>
      <c r="B805" s="279">
        <f>'Profits 2016'!B6018</f>
        <v>0</v>
      </c>
      <c r="C805" s="276">
        <f>'Profits 2016'!H6018</f>
        <v>0</v>
      </c>
      <c r="D805" s="280">
        <f>'Profits 2016'!K6018</f>
        <v>0</v>
      </c>
      <c r="E805" s="276">
        <f>'Profits 2016'!L6018</f>
        <v>180</v>
      </c>
      <c r="F805" s="275" t="str">
        <f>'Profits 2016'!P6018</f>
        <v>Nassau</v>
      </c>
      <c r="G805" s="292">
        <f>'Profits 2016'!N6018-'Profits 2016'!M6018</f>
        <v>135</v>
      </c>
      <c r="H805" s="319"/>
      <c r="I805" s="320"/>
      <c r="J805" s="321"/>
      <c r="K805" s="321"/>
      <c r="L805" s="321"/>
      <c r="M805" s="319"/>
      <c r="N805" s="322"/>
      <c r="O805" s="236">
        <f>'Profits 2016'!T6018</f>
        <v>0</v>
      </c>
      <c r="P805" s="284">
        <f>'Profits 2016'!U6018</f>
        <v>0</v>
      </c>
      <c r="Q805" s="284" t="s">
        <v>14204</v>
      </c>
      <c r="R805" s="276">
        <v>0</v>
      </c>
      <c r="S805" s="275">
        <v>7593115</v>
      </c>
      <c r="T805" s="279">
        <v>42684</v>
      </c>
      <c r="U805" s="279">
        <v>42688</v>
      </c>
      <c r="V805" s="279">
        <v>42692</v>
      </c>
      <c r="W805" s="293">
        <v>0</v>
      </c>
      <c r="X805" s="236">
        <v>9457</v>
      </c>
      <c r="AF805" s="276">
        <f t="shared" si="91"/>
        <v>135</v>
      </c>
      <c r="AG805" s="276">
        <f t="shared" si="87"/>
        <v>0</v>
      </c>
      <c r="AH805" s="276">
        <f t="shared" si="88"/>
        <v>0</v>
      </c>
      <c r="AI805" s="283">
        <f t="shared" si="89"/>
        <v>0</v>
      </c>
    </row>
    <row r="806" spans="1:35" x14ac:dyDescent="0.25">
      <c r="A806" s="275">
        <f>'Profits 2016'!A6019</f>
        <v>0</v>
      </c>
      <c r="B806" s="279">
        <f>'Profits 2016'!B6019</f>
        <v>0</v>
      </c>
      <c r="C806" s="276">
        <f>'Profits 2016'!H6019</f>
        <v>0</v>
      </c>
      <c r="D806" s="280">
        <f>'Profits 2016'!K6019</f>
        <v>0</v>
      </c>
      <c r="E806" s="276">
        <f>'Profits 2016'!L6019</f>
        <v>150</v>
      </c>
      <c r="F806" s="275" t="str">
        <f>'Profits 2016'!P6019</f>
        <v>Nassau</v>
      </c>
      <c r="G806" s="292">
        <f>'Profits 2016'!N6019-'Profits 2016'!M6019</f>
        <v>75</v>
      </c>
      <c r="H806" s="319"/>
      <c r="I806" s="320"/>
      <c r="J806" s="321"/>
      <c r="K806" s="321"/>
      <c r="L806" s="321"/>
      <c r="M806" s="319"/>
      <c r="N806" s="322"/>
      <c r="O806" s="236">
        <f>'Profits 2016'!T6019</f>
        <v>0</v>
      </c>
      <c r="P806" s="284">
        <f>'Profits 2016'!U6019</f>
        <v>0</v>
      </c>
      <c r="Q806" s="284" t="s">
        <v>14204</v>
      </c>
      <c r="R806" s="276">
        <v>0</v>
      </c>
      <c r="S806" s="275">
        <v>7593115</v>
      </c>
      <c r="T806" s="279">
        <v>42684</v>
      </c>
      <c r="U806" s="279">
        <v>42688</v>
      </c>
      <c r="V806" s="279">
        <v>42692</v>
      </c>
      <c r="W806" s="293">
        <v>0</v>
      </c>
      <c r="X806" s="236">
        <v>9457</v>
      </c>
      <c r="AF806" s="276">
        <f t="shared" ref="AF806" si="95">G806+H807+R806+Y806</f>
        <v>75</v>
      </c>
      <c r="AG806" s="276">
        <f t="shared" si="87"/>
        <v>0</v>
      </c>
      <c r="AH806" s="276">
        <f t="shared" si="88"/>
        <v>0</v>
      </c>
      <c r="AI806" s="283">
        <f t="shared" si="89"/>
        <v>0</v>
      </c>
    </row>
    <row r="807" spans="1:35" x14ac:dyDescent="0.25">
      <c r="A807" s="275">
        <f>'Profits 2016'!A6020</f>
        <v>0</v>
      </c>
      <c r="B807" s="279">
        <f>'Profits 2016'!B6020</f>
        <v>0</v>
      </c>
      <c r="C807" s="276">
        <f>'Profits 2016'!H6020</f>
        <v>0</v>
      </c>
      <c r="D807" s="280">
        <f>'Profits 2016'!K6020</f>
        <v>0</v>
      </c>
      <c r="E807" s="276">
        <f>'Profits 2016'!L6020</f>
        <v>220</v>
      </c>
      <c r="F807" s="275" t="str">
        <f>'Profits 2016'!P6020</f>
        <v>Nassau</v>
      </c>
      <c r="G807" s="292">
        <f>'Profits 2016'!N6020-'Profits 2016'!M6020</f>
        <v>110</v>
      </c>
      <c r="H807" s="319"/>
      <c r="I807" s="320"/>
      <c r="J807" s="321"/>
      <c r="K807" s="321"/>
      <c r="L807" s="321"/>
      <c r="M807" s="319"/>
      <c r="N807" s="322"/>
      <c r="O807" s="236">
        <f>'Profits 2016'!T6020</f>
        <v>0</v>
      </c>
      <c r="P807" s="284">
        <f>'Profits 2016'!U6020</f>
        <v>0</v>
      </c>
      <c r="Q807" s="284" t="s">
        <v>14204</v>
      </c>
      <c r="R807" s="276">
        <v>0</v>
      </c>
      <c r="S807" s="275">
        <v>7593115</v>
      </c>
      <c r="T807" s="279">
        <v>42684</v>
      </c>
      <c r="U807" s="279">
        <v>42688</v>
      </c>
      <c r="V807" s="279">
        <v>42692</v>
      </c>
      <c r="W807" s="293">
        <v>0</v>
      </c>
      <c r="X807" s="236">
        <v>9457</v>
      </c>
      <c r="AF807" s="276">
        <f t="shared" ref="AF807:AF871" si="96">G807+H808+R807+Y807</f>
        <v>110</v>
      </c>
      <c r="AG807" s="276">
        <f t="shared" si="87"/>
        <v>0</v>
      </c>
      <c r="AH807" s="276">
        <f t="shared" si="88"/>
        <v>0</v>
      </c>
      <c r="AI807" s="283">
        <f t="shared" si="89"/>
        <v>0</v>
      </c>
    </row>
    <row r="808" spans="1:35" x14ac:dyDescent="0.25">
      <c r="A808" s="275">
        <f>'Profits 2016'!A6021</f>
        <v>0</v>
      </c>
      <c r="B808" s="279">
        <f>'Profits 2016'!B6021</f>
        <v>0</v>
      </c>
      <c r="C808" s="276">
        <f>'Profits 2016'!H6021</f>
        <v>0</v>
      </c>
      <c r="D808" s="280">
        <f>'Profits 2016'!K6021</f>
        <v>0</v>
      </c>
      <c r="E808" s="276">
        <f>'Profits 2016'!L6021</f>
        <v>570</v>
      </c>
      <c r="F808" s="275" t="str">
        <f>'Profits 2016'!P6021</f>
        <v>Nassau</v>
      </c>
      <c r="G808" s="292">
        <f>'Profits 2016'!N6021-'Profits 2016'!M6021</f>
        <v>285</v>
      </c>
      <c r="H808" s="319"/>
      <c r="I808" s="320"/>
      <c r="J808" s="321"/>
      <c r="K808" s="321"/>
      <c r="L808" s="321"/>
      <c r="M808" s="319"/>
      <c r="N808" s="322"/>
      <c r="O808" s="236">
        <f>'Profits 2016'!T6021</f>
        <v>0</v>
      </c>
      <c r="P808" s="284">
        <f>'Profits 2016'!U6021</f>
        <v>0</v>
      </c>
      <c r="Q808" s="284" t="s">
        <v>14204</v>
      </c>
      <c r="R808" s="276">
        <v>0</v>
      </c>
      <c r="S808" s="275">
        <v>7593115</v>
      </c>
      <c r="T808" s="279">
        <v>42684</v>
      </c>
      <c r="U808" s="279">
        <v>42688</v>
      </c>
      <c r="V808" s="279">
        <v>42692</v>
      </c>
      <c r="W808" s="293">
        <v>0</v>
      </c>
      <c r="X808" s="236">
        <v>9457</v>
      </c>
      <c r="AF808" s="276">
        <f t="shared" si="96"/>
        <v>284.83999999999997</v>
      </c>
      <c r="AG808" s="276">
        <f t="shared" si="87"/>
        <v>0</v>
      </c>
      <c r="AH808" s="276">
        <f t="shared" si="88"/>
        <v>0</v>
      </c>
      <c r="AI808" s="283">
        <f t="shared" si="89"/>
        <v>0</v>
      </c>
    </row>
    <row r="809" spans="1:35" ht="30" x14ac:dyDescent="0.25">
      <c r="A809" s="275">
        <f>'Profits 2016'!A6022</f>
        <v>0</v>
      </c>
      <c r="B809" s="279">
        <f>'Profits 2016'!B6022</f>
        <v>0</v>
      </c>
      <c r="C809" s="276">
        <f>'Profits 2016'!H6022</f>
        <v>0</v>
      </c>
      <c r="D809" s="280">
        <f>'Profits 2016'!K6022</f>
        <v>0</v>
      </c>
      <c r="E809" s="276">
        <f>'Profits 2016'!L6022</f>
        <v>621</v>
      </c>
      <c r="F809" s="275" t="str">
        <f>'Profits 2016'!P6022</f>
        <v>General</v>
      </c>
      <c r="G809" s="292">
        <f>'Profits 2016'!N6022-'Profits 2016'!M6022</f>
        <v>310.5</v>
      </c>
      <c r="H809" s="331">
        <v>-0.16</v>
      </c>
      <c r="I809" s="332">
        <v>3759068</v>
      </c>
      <c r="J809" s="333">
        <v>42649</v>
      </c>
      <c r="K809" s="333">
        <v>42654</v>
      </c>
      <c r="L809" s="333">
        <v>42678</v>
      </c>
      <c r="M809" s="331">
        <f>310.34*0.98</f>
        <v>304.13319999999999</v>
      </c>
      <c r="N809" s="334">
        <v>9309</v>
      </c>
      <c r="O809" s="236" t="str">
        <f>'Profits 2016'!T6022</f>
        <v>UPS GROUND</v>
      </c>
      <c r="P809" s="284" t="str">
        <f>'Profits 2016'!U6022</f>
        <v>1Z9X760X0363501884</v>
      </c>
      <c r="Q809" s="284" t="s">
        <v>15741</v>
      </c>
      <c r="R809" s="276">
        <v>86.92</v>
      </c>
      <c r="S809" s="275">
        <v>3759068</v>
      </c>
      <c r="T809" s="279">
        <v>42649</v>
      </c>
      <c r="U809" s="279">
        <v>42654</v>
      </c>
      <c r="V809" s="279">
        <v>42678</v>
      </c>
      <c r="W809" s="293">
        <v>86.92</v>
      </c>
      <c r="X809" s="236">
        <v>9309</v>
      </c>
      <c r="AF809" s="276">
        <f t="shared" si="96"/>
        <v>397.42</v>
      </c>
      <c r="AG809" s="276">
        <f t="shared" si="87"/>
        <v>391.0532</v>
      </c>
      <c r="AH809" s="276">
        <f t="shared" si="88"/>
        <v>-391.0532</v>
      </c>
      <c r="AI809" s="283">
        <f t="shared" si="89"/>
        <v>-0.98397966886417387</v>
      </c>
    </row>
    <row r="810" spans="1:35" x14ac:dyDescent="0.25">
      <c r="A810" s="275">
        <f>'Profits 2016'!A6023</f>
        <v>0</v>
      </c>
      <c r="B810" s="279">
        <f>'Profits 2016'!B6023</f>
        <v>0</v>
      </c>
      <c r="C810" s="276">
        <f>'Profits 2016'!H6023</f>
        <v>0</v>
      </c>
      <c r="D810" s="280">
        <f>'Profits 2016'!K6023</f>
        <v>0</v>
      </c>
      <c r="E810" s="276">
        <f>'Profits 2016'!L6023</f>
        <v>695</v>
      </c>
      <c r="F810" s="275" t="str">
        <f>'Profits 2016'!P6023</f>
        <v>Nassau</v>
      </c>
      <c r="G810" s="292">
        <f>'Profits 2016'!N6023-'Profits 2016'!M6023</f>
        <v>173.75</v>
      </c>
      <c r="H810" s="319"/>
      <c r="I810" s="320"/>
      <c r="J810" s="321"/>
      <c r="K810" s="321"/>
      <c r="L810" s="321"/>
      <c r="M810" s="319"/>
      <c r="N810" s="322"/>
      <c r="O810" s="236" t="str">
        <f>'Profits 2016'!T6023</f>
        <v>NEMF/TQL</v>
      </c>
      <c r="P810" s="284">
        <f>'Profits 2016'!U6023</f>
        <v>0</v>
      </c>
      <c r="Q810" s="284" t="s">
        <v>14204</v>
      </c>
      <c r="R810" s="276">
        <v>0</v>
      </c>
      <c r="S810" s="275">
        <v>7593115</v>
      </c>
      <c r="T810" s="279">
        <v>42684</v>
      </c>
      <c r="U810" s="279">
        <v>42688</v>
      </c>
      <c r="V810" s="279">
        <v>42692</v>
      </c>
      <c r="W810" s="293">
        <v>0</v>
      </c>
      <c r="X810" s="236">
        <v>9457</v>
      </c>
      <c r="AF810" s="276">
        <f t="shared" si="96"/>
        <v>173.75</v>
      </c>
      <c r="AG810" s="276">
        <f t="shared" si="87"/>
        <v>0</v>
      </c>
      <c r="AH810" s="276">
        <f t="shared" si="88"/>
        <v>0</v>
      </c>
      <c r="AI810" s="283">
        <f t="shared" si="89"/>
        <v>0</v>
      </c>
    </row>
    <row r="811" spans="1:35" x14ac:dyDescent="0.25">
      <c r="A811" s="275">
        <f>'Profits 2016'!A6024</f>
        <v>0</v>
      </c>
      <c r="B811" s="279">
        <f>'Profits 2016'!B6024</f>
        <v>0</v>
      </c>
      <c r="C811" s="276">
        <f>'Profits 2016'!H6024</f>
        <v>0</v>
      </c>
      <c r="D811" s="280">
        <f>'Profits 2016'!K6024</f>
        <v>0</v>
      </c>
      <c r="E811" s="276">
        <f>'Profits 2016'!L6024</f>
        <v>990</v>
      </c>
      <c r="F811" s="275" t="str">
        <f>'Profits 2016'!P6024</f>
        <v>Nassau</v>
      </c>
      <c r="G811" s="292">
        <f>'Profits 2016'!N6024-'Profits 2016'!M6024</f>
        <v>247.5</v>
      </c>
      <c r="H811" s="319"/>
      <c r="I811" s="320"/>
      <c r="J811" s="321"/>
      <c r="K811" s="321"/>
      <c r="L811" s="321"/>
      <c r="M811" s="319"/>
      <c r="N811" s="322"/>
      <c r="O811" s="236">
        <f>'Profits 2016'!T6024</f>
        <v>0</v>
      </c>
      <c r="P811" s="284">
        <f>'Profits 2016'!U6024</f>
        <v>0</v>
      </c>
      <c r="Q811" s="284" t="s">
        <v>14204</v>
      </c>
      <c r="R811" s="276">
        <v>0</v>
      </c>
      <c r="S811" s="275">
        <v>7593115</v>
      </c>
      <c r="T811" s="279">
        <v>42684</v>
      </c>
      <c r="U811" s="279">
        <v>42688</v>
      </c>
      <c r="V811" s="279">
        <v>42692</v>
      </c>
      <c r="W811" s="293">
        <v>0</v>
      </c>
      <c r="X811" s="236">
        <v>9457</v>
      </c>
      <c r="AF811" s="276">
        <f t="shared" si="96"/>
        <v>247.5</v>
      </c>
      <c r="AG811" s="276">
        <f t="shared" si="87"/>
        <v>0</v>
      </c>
      <c r="AH811" s="276">
        <f t="shared" si="88"/>
        <v>0</v>
      </c>
      <c r="AI811" s="283">
        <f t="shared" si="89"/>
        <v>0</v>
      </c>
    </row>
    <row r="812" spans="1:35" ht="30" x14ac:dyDescent="0.25">
      <c r="A812" s="275">
        <f>'Profits 2016'!A6025</f>
        <v>3004734</v>
      </c>
      <c r="B812" s="279">
        <f>'Profits 2016'!B6025</f>
        <v>42647</v>
      </c>
      <c r="C812" s="276">
        <f>'Profits 2016'!H6025</f>
        <v>342</v>
      </c>
      <c r="D812" s="280">
        <f>'Profits 2016'!K6025</f>
        <v>304.42200000000003</v>
      </c>
      <c r="E812" s="276">
        <f>'Profits 2016'!L6025</f>
        <v>806</v>
      </c>
      <c r="F812" s="275" t="str">
        <f>'Profits 2016'!P6025</f>
        <v>Thea</v>
      </c>
      <c r="G812" s="292">
        <f>'Profits 2016'!N6025-'Profits 2016'!M6025</f>
        <v>161.20000000000002</v>
      </c>
      <c r="H812" s="319"/>
      <c r="I812" s="320"/>
      <c r="J812" s="321"/>
      <c r="K812" s="321"/>
      <c r="L812" s="321"/>
      <c r="M812" s="319"/>
      <c r="N812" s="322"/>
      <c r="O812" s="236" t="str">
        <f>'Profits 2016'!T6025</f>
        <v>FEDEX GROUND</v>
      </c>
      <c r="P812" s="284" t="str">
        <f>'Profits 2016'!U6025</f>
        <v>675157530632</v>
      </c>
      <c r="Q812" s="284" t="s">
        <v>314</v>
      </c>
      <c r="R812" s="276">
        <v>63.38</v>
      </c>
      <c r="S812" s="275" t="s">
        <v>15805</v>
      </c>
      <c r="T812" s="279">
        <v>42667</v>
      </c>
      <c r="U812" s="279">
        <v>42670</v>
      </c>
      <c r="V812" s="279">
        <v>42678</v>
      </c>
      <c r="W812" s="293">
        <v>0</v>
      </c>
      <c r="X812" s="236">
        <v>9301</v>
      </c>
      <c r="AF812" s="276">
        <f t="shared" si="96"/>
        <v>224.58</v>
      </c>
      <c r="AG812" s="276">
        <f t="shared" si="87"/>
        <v>63.38</v>
      </c>
      <c r="AH812" s="276">
        <f t="shared" si="88"/>
        <v>241.04200000000003</v>
      </c>
      <c r="AI812" s="283">
        <f t="shared" si="89"/>
        <v>1.0733012734882894</v>
      </c>
    </row>
    <row r="813" spans="1:35" ht="30" x14ac:dyDescent="0.25">
      <c r="A813" s="275">
        <f>'Profits 2016'!A6026</f>
        <v>3004735</v>
      </c>
      <c r="B813" s="279">
        <f>'Profits 2016'!B6026</f>
        <v>42647</v>
      </c>
      <c r="C813" s="276">
        <f>'Profits 2016'!H6026</f>
        <v>185.9</v>
      </c>
      <c r="D813" s="280">
        <f>'Profits 2016'!K6026</f>
        <v>165.33690000000001</v>
      </c>
      <c r="E813" s="276">
        <f>'Profits 2016'!L6026</f>
        <v>672</v>
      </c>
      <c r="F813" s="275" t="str">
        <f>'Profits 2016'!P6026</f>
        <v>Houston</v>
      </c>
      <c r="G813" s="292">
        <f>'Profits 2016'!N6026-'Profits 2016'!M6026</f>
        <v>100.79999999999998</v>
      </c>
      <c r="H813" s="292">
        <v>0</v>
      </c>
      <c r="I813" s="275">
        <v>30907962</v>
      </c>
      <c r="J813" s="277">
        <v>42648</v>
      </c>
      <c r="K813" s="277">
        <v>42654</v>
      </c>
      <c r="L813" s="277">
        <v>42678</v>
      </c>
      <c r="M813" s="292">
        <v>100.8</v>
      </c>
      <c r="N813" s="281">
        <v>9320</v>
      </c>
      <c r="O813" s="236" t="str">
        <f>'Profits 2016'!T6026</f>
        <v>FEDEX GROUND</v>
      </c>
      <c r="P813" s="284" t="str">
        <f>'Profits 2016'!U6026</f>
        <v>707510673240</v>
      </c>
      <c r="Q813" s="284" t="s">
        <v>314</v>
      </c>
      <c r="R813" s="276">
        <v>54.16</v>
      </c>
      <c r="S813" s="275" t="s">
        <v>15802</v>
      </c>
      <c r="T813" s="279">
        <v>42660</v>
      </c>
      <c r="U813" s="279">
        <v>42663</v>
      </c>
      <c r="V813" s="279">
        <v>42671</v>
      </c>
      <c r="W813" s="293">
        <f t="shared" ref="W813:W814" si="97">R813</f>
        <v>54.16</v>
      </c>
      <c r="X813" s="236">
        <v>9250</v>
      </c>
      <c r="AF813" s="276">
        <f t="shared" si="96"/>
        <v>154.95999999999998</v>
      </c>
      <c r="AG813" s="276">
        <f t="shared" si="87"/>
        <v>154.95999999999998</v>
      </c>
      <c r="AH813" s="276">
        <f t="shared" si="88"/>
        <v>10.376900000000035</v>
      </c>
      <c r="AI813" s="283">
        <f t="shared" si="89"/>
        <v>6.6965023231801993E-2</v>
      </c>
    </row>
    <row r="814" spans="1:35" ht="30" x14ac:dyDescent="0.25">
      <c r="A814" s="275">
        <f>'Profits 2016'!A6027</f>
        <v>3004736</v>
      </c>
      <c r="B814" s="279">
        <f>'Profits 2016'!B6027</f>
        <v>42647</v>
      </c>
      <c r="C814" s="276">
        <f>'Profits 2016'!H6027</f>
        <v>700</v>
      </c>
      <c r="D814" s="280">
        <f>'Profits 2016'!K6027</f>
        <v>684.3</v>
      </c>
      <c r="E814" s="276">
        <f>'Profits 2016'!L6027</f>
        <v>3300</v>
      </c>
      <c r="F814" s="275" t="str">
        <f>'Profits 2016'!P6027</f>
        <v>Nassau</v>
      </c>
      <c r="G814" s="292">
        <f>'Profits 2016'!N6027-'Profits 2016'!M6027</f>
        <v>330</v>
      </c>
      <c r="H814" s="319"/>
      <c r="I814" s="320"/>
      <c r="J814" s="321"/>
      <c r="K814" s="321"/>
      <c r="L814" s="321"/>
      <c r="M814" s="319"/>
      <c r="N814" s="322"/>
      <c r="O814" s="236" t="str">
        <f>'Profits 2016'!T6027</f>
        <v>FEDEX GROUND</v>
      </c>
      <c r="P814" s="284" t="str">
        <f>'Profits 2016'!U6027</f>
        <v>702723289241</v>
      </c>
      <c r="Q814" s="284" t="s">
        <v>314</v>
      </c>
      <c r="R814" s="276">
        <v>54.64</v>
      </c>
      <c r="S814" s="275" t="s">
        <v>15802</v>
      </c>
      <c r="T814" s="279">
        <v>42660</v>
      </c>
      <c r="U814" s="279">
        <v>42663</v>
      </c>
      <c r="V814" s="279">
        <v>42671</v>
      </c>
      <c r="W814" s="293">
        <f t="shared" si="97"/>
        <v>54.64</v>
      </c>
      <c r="X814" s="236">
        <v>9250</v>
      </c>
      <c r="AF814" s="276">
        <f t="shared" si="96"/>
        <v>384.64</v>
      </c>
      <c r="AG814" s="276">
        <f t="shared" si="87"/>
        <v>54.64</v>
      </c>
      <c r="AH814" s="276">
        <f t="shared" si="88"/>
        <v>629.66</v>
      </c>
      <c r="AI814" s="283">
        <f t="shared" si="89"/>
        <v>1.637011231281198</v>
      </c>
    </row>
    <row r="815" spans="1:35" ht="30" x14ac:dyDescent="0.25">
      <c r="A815" s="275">
        <f>'Profits 2016'!A6028</f>
        <v>3004737</v>
      </c>
      <c r="B815" s="279">
        <f>'Profits 2016'!B6028</f>
        <v>42647</v>
      </c>
      <c r="C815" s="276">
        <f>'Profits 2016'!H6028</f>
        <v>174.47</v>
      </c>
      <c r="D815" s="280">
        <f>'Profits 2016'!K6028</f>
        <v>148.29949999999999</v>
      </c>
      <c r="E815" s="276">
        <f>'Profits 2016'!L6028</f>
        <v>672</v>
      </c>
      <c r="F815" s="275" t="str">
        <f>'Profits 2016'!P6028</f>
        <v>Houston</v>
      </c>
      <c r="G815" s="292">
        <f>'Profits 2016'!N6028-'Profits 2016'!M6028</f>
        <v>100.79999999999998</v>
      </c>
      <c r="H815" s="292">
        <v>0</v>
      </c>
      <c r="I815" s="275">
        <v>30907859</v>
      </c>
      <c r="J815" s="277">
        <v>42648</v>
      </c>
      <c r="K815" s="277">
        <v>42654</v>
      </c>
      <c r="L815" s="277">
        <v>42678</v>
      </c>
      <c r="M815" s="292">
        <v>100.8</v>
      </c>
      <c r="N815" s="281">
        <v>9320</v>
      </c>
      <c r="O815" s="236" t="str">
        <f>'Profits 2016'!T6028</f>
        <v>FEDEX GROUND</v>
      </c>
      <c r="P815" s="284" t="str">
        <f>'Profits 2016'!U6028</f>
        <v>679301397245</v>
      </c>
      <c r="Q815" s="284" t="s">
        <v>314</v>
      </c>
      <c r="R815" s="276">
        <v>43.71</v>
      </c>
      <c r="S815" s="275" t="s">
        <v>15805</v>
      </c>
      <c r="T815" s="279">
        <v>42667</v>
      </c>
      <c r="U815" s="279">
        <v>42670</v>
      </c>
      <c r="V815" s="279">
        <v>42678</v>
      </c>
      <c r="W815" s="293">
        <v>0</v>
      </c>
      <c r="X815" s="236">
        <v>9301</v>
      </c>
      <c r="AF815" s="276">
        <f t="shared" si="96"/>
        <v>144.51</v>
      </c>
      <c r="AG815" s="276">
        <f t="shared" si="87"/>
        <v>144.51</v>
      </c>
      <c r="AH815" s="276">
        <f t="shared" si="88"/>
        <v>3.7895000000000039</v>
      </c>
      <c r="AI815" s="283">
        <f t="shared" si="89"/>
        <v>2.6223098747491552E-2</v>
      </c>
    </row>
    <row r="816" spans="1:35" ht="30" x14ac:dyDescent="0.25">
      <c r="A816" s="275">
        <f>'Profits 2016'!A6029</f>
        <v>3004738</v>
      </c>
      <c r="B816" s="279">
        <f>'Profits 2016'!B6029</f>
        <v>42648</v>
      </c>
      <c r="C816" s="276">
        <f>'Profits 2016'!H6029</f>
        <v>14850</v>
      </c>
      <c r="D816" s="280">
        <f>'Profits 2016'!K6029</f>
        <v>14850</v>
      </c>
      <c r="E816" s="276">
        <f>'Profits 2016'!L6029</f>
        <v>6800</v>
      </c>
      <c r="F816" s="275" t="str">
        <f>'Profits 2016'!P6029</f>
        <v>Nexans</v>
      </c>
      <c r="G816" s="292">
        <f>'Profits 2016'!N6029-'Profits 2016'!M6029</f>
        <v>10200</v>
      </c>
      <c r="H816" s="292">
        <v>0</v>
      </c>
      <c r="I816" s="275">
        <v>47414702</v>
      </c>
      <c r="J816" s="277">
        <v>42650</v>
      </c>
      <c r="K816" s="277">
        <v>42662</v>
      </c>
      <c r="L816" s="277">
        <v>42678</v>
      </c>
      <c r="M816" s="292">
        <v>9996</v>
      </c>
      <c r="N816" s="281">
        <v>9333</v>
      </c>
      <c r="O816" s="236" t="str">
        <f>'Profits 2016'!T6029</f>
        <v>YRC FREIGHT</v>
      </c>
      <c r="P816" s="284" t="str">
        <f>'Profits 2016'!U6029</f>
        <v>6510211788</v>
      </c>
      <c r="Q816" s="345"/>
      <c r="R816" s="342"/>
      <c r="S816" s="336"/>
      <c r="T816" s="341"/>
      <c r="U816" s="341"/>
      <c r="V816" s="341"/>
      <c r="W816" s="346"/>
      <c r="X816" s="344"/>
      <c r="AF816" s="276">
        <f t="shared" si="96"/>
        <v>10200</v>
      </c>
      <c r="AG816" s="276">
        <f t="shared" si="87"/>
        <v>9996</v>
      </c>
      <c r="AH816" s="276">
        <f t="shared" si="88"/>
        <v>4854</v>
      </c>
      <c r="AI816" s="283">
        <f t="shared" si="89"/>
        <v>0.47588235294117648</v>
      </c>
    </row>
    <row r="817" spans="1:35" ht="30" x14ac:dyDescent="0.25">
      <c r="A817" s="275">
        <f>'Profits 2016'!A6030</f>
        <v>3004739</v>
      </c>
      <c r="B817" s="279">
        <f>'Profits 2016'!B6030</f>
        <v>42648</v>
      </c>
      <c r="C817" s="276">
        <f>'Profits 2016'!H6030</f>
        <v>209.6</v>
      </c>
      <c r="D817" s="280">
        <f>'Profits 2016'!K6030</f>
        <v>186.45359999999999</v>
      </c>
      <c r="E817" s="276">
        <f>'Profits 2016'!L6030</f>
        <v>1170</v>
      </c>
      <c r="F817" s="275" t="str">
        <f>'Profits 2016'!P6030</f>
        <v>Nassau</v>
      </c>
      <c r="G817" s="292">
        <f>'Profits 2016'!N6030-'Profits 2016'!M6030</f>
        <v>93.600000000000023</v>
      </c>
      <c r="H817" s="319"/>
      <c r="I817" s="320"/>
      <c r="J817" s="321"/>
      <c r="K817" s="321"/>
      <c r="L817" s="321"/>
      <c r="M817" s="319"/>
      <c r="N817" s="322"/>
      <c r="O817" s="236" t="str">
        <f>'Profits 2016'!T6030</f>
        <v>FEDEX GROUND</v>
      </c>
      <c r="P817" s="284" t="str">
        <f>'Profits 2016'!U6030</f>
        <v>702723289150</v>
      </c>
      <c r="Q817" s="284" t="s">
        <v>314</v>
      </c>
      <c r="R817" s="276">
        <v>49.13</v>
      </c>
      <c r="S817" s="275" t="s">
        <v>15805</v>
      </c>
      <c r="T817" s="279">
        <v>42667</v>
      </c>
      <c r="U817" s="279">
        <v>42670</v>
      </c>
      <c r="V817" s="279">
        <v>42678</v>
      </c>
      <c r="W817" s="293">
        <v>0</v>
      </c>
      <c r="X817" s="236">
        <v>9301</v>
      </c>
      <c r="AF817" s="276">
        <f t="shared" si="96"/>
        <v>142.73000000000002</v>
      </c>
      <c r="AG817" s="276">
        <f t="shared" si="87"/>
        <v>49.13</v>
      </c>
      <c r="AH817" s="276">
        <f t="shared" si="88"/>
        <v>137.3236</v>
      </c>
      <c r="AI817" s="283">
        <f t="shared" si="89"/>
        <v>0.96212148812443066</v>
      </c>
    </row>
    <row r="818" spans="1:35" ht="30" x14ac:dyDescent="0.25">
      <c r="A818" s="275">
        <f>'Profits 2016'!A6031</f>
        <v>3004740</v>
      </c>
      <c r="B818" s="279">
        <f>'Profits 2016'!B6031</f>
        <v>42648</v>
      </c>
      <c r="C818" s="276">
        <f>'Profits 2016'!H6031</f>
        <v>537.02</v>
      </c>
      <c r="D818" s="280">
        <f>'Profits 2016'!K6031</f>
        <v>478.18482</v>
      </c>
      <c r="E818" s="276">
        <f>'Profits 2016'!L6031</f>
        <v>1322</v>
      </c>
      <c r="F818" s="275" t="str">
        <f>'Profits 2016'!P6031</f>
        <v>Nassau</v>
      </c>
      <c r="G818" s="292">
        <f>'Profits 2016'!N6031-'Profits 2016'!M6031</f>
        <v>264.40000000000003</v>
      </c>
      <c r="H818" s="319"/>
      <c r="I818" s="320"/>
      <c r="J818" s="321"/>
      <c r="K818" s="321"/>
      <c r="L818" s="321"/>
      <c r="M818" s="319"/>
      <c r="N818" s="322"/>
      <c r="O818" s="236" t="str">
        <f>'Profits 2016'!T6031</f>
        <v>FEDEX GROUND</v>
      </c>
      <c r="P818" s="284" t="str">
        <f>'Profits 2016'!U6031</f>
        <v>702723289193</v>
      </c>
      <c r="Q818" s="284" t="s">
        <v>314</v>
      </c>
      <c r="R818" s="276">
        <v>53.54</v>
      </c>
      <c r="S818" s="275" t="s">
        <v>15805</v>
      </c>
      <c r="T818" s="279">
        <v>42667</v>
      </c>
      <c r="U818" s="279">
        <v>42670</v>
      </c>
      <c r="V818" s="279">
        <v>42678</v>
      </c>
      <c r="W818" s="293">
        <v>0</v>
      </c>
      <c r="X818" s="236">
        <v>9301</v>
      </c>
      <c r="AF818" s="276">
        <f t="shared" si="96"/>
        <v>317.94000000000005</v>
      </c>
      <c r="AG818" s="276">
        <f t="shared" si="87"/>
        <v>53.54</v>
      </c>
      <c r="AH818" s="276">
        <f t="shared" si="88"/>
        <v>424.64481999999998</v>
      </c>
      <c r="AI818" s="283">
        <f t="shared" si="89"/>
        <v>1.3356130716487384</v>
      </c>
    </row>
    <row r="819" spans="1:35" x14ac:dyDescent="0.25">
      <c r="A819" s="275">
        <f>'Profits 2016'!A6032</f>
        <v>3004741</v>
      </c>
      <c r="B819" s="279">
        <f>'Profits 2016'!B6032</f>
        <v>42648</v>
      </c>
      <c r="C819" s="276">
        <f>'Profits 2016'!H6032</f>
        <v>740</v>
      </c>
      <c r="D819" s="280">
        <f>'Profits 2016'!K6032</f>
        <v>659.04</v>
      </c>
      <c r="E819" s="276">
        <f>'Profits 2016'!L6032</f>
        <v>1021</v>
      </c>
      <c r="F819" s="275" t="str">
        <f>'Profits 2016'!P6032</f>
        <v>Nassau</v>
      </c>
      <c r="G819" s="292">
        <f>'Profits 2016'!N6032-'Profits 2016'!M6032</f>
        <v>357.35</v>
      </c>
      <c r="H819" s="319"/>
      <c r="I819" s="320"/>
      <c r="J819" s="321"/>
      <c r="K819" s="321"/>
      <c r="L819" s="321"/>
      <c r="M819" s="319"/>
      <c r="N819" s="322"/>
      <c r="O819" s="236" t="str">
        <f>'Profits 2016'!T6032</f>
        <v xml:space="preserve">R&amp;L/ECHO </v>
      </c>
      <c r="P819" s="284" t="str">
        <f>'Profits 2016'!U6032</f>
        <v>730507761</v>
      </c>
      <c r="Q819" s="345"/>
      <c r="R819" s="342"/>
      <c r="S819" s="336"/>
      <c r="T819" s="341"/>
      <c r="U819" s="341"/>
      <c r="V819" s="341"/>
      <c r="W819" s="346"/>
      <c r="X819" s="344"/>
      <c r="AF819" s="276">
        <f t="shared" si="96"/>
        <v>357.35</v>
      </c>
      <c r="AG819" s="276">
        <f t="shared" si="87"/>
        <v>0</v>
      </c>
      <c r="AH819" s="276">
        <f t="shared" si="88"/>
        <v>659.04</v>
      </c>
      <c r="AI819" s="283">
        <f t="shared" si="89"/>
        <v>1.8442423394431229</v>
      </c>
    </row>
    <row r="820" spans="1:35" ht="30" x14ac:dyDescent="0.25">
      <c r="A820" s="275">
        <f>'Profits 2016'!A6033</f>
        <v>3004742</v>
      </c>
      <c r="B820" s="279">
        <f>'Profits 2016'!B6033</f>
        <v>42648</v>
      </c>
      <c r="C820" s="276">
        <f>'Profits 2016'!H6033</f>
        <v>197.99</v>
      </c>
      <c r="D820" s="280">
        <f>'Profits 2016'!K6033</f>
        <v>176.10909000000001</v>
      </c>
      <c r="E820" s="276">
        <f>'Profits 2016'!L6033</f>
        <v>395</v>
      </c>
      <c r="F820" s="275" t="str">
        <f>'Profits 2016'!P6033</f>
        <v>Nassau</v>
      </c>
      <c r="G820" s="292">
        <f>'Profits 2016'!N6033-'Profits 2016'!M6033</f>
        <v>98.75</v>
      </c>
      <c r="H820" s="319"/>
      <c r="I820" s="320"/>
      <c r="J820" s="321"/>
      <c r="K820" s="321"/>
      <c r="L820" s="321"/>
      <c r="M820" s="319"/>
      <c r="N820" s="322"/>
      <c r="O820" s="236" t="str">
        <f>'Profits 2016'!T6033</f>
        <v>FEDEX GROUND</v>
      </c>
      <c r="P820" s="284" t="str">
        <f>'Profits 2016'!U6033</f>
        <v>702723289230</v>
      </c>
      <c r="Q820" s="284" t="s">
        <v>314</v>
      </c>
      <c r="R820" s="276">
        <v>21.24</v>
      </c>
      <c r="S820" s="275" t="s">
        <v>15805</v>
      </c>
      <c r="T820" s="279">
        <v>42667</v>
      </c>
      <c r="U820" s="279">
        <v>42670</v>
      </c>
      <c r="V820" s="279">
        <v>42678</v>
      </c>
      <c r="W820" s="293">
        <v>0</v>
      </c>
      <c r="X820" s="236">
        <v>9301</v>
      </c>
      <c r="AF820" s="276">
        <f t="shared" si="96"/>
        <v>119.99</v>
      </c>
      <c r="AG820" s="276">
        <f t="shared" si="87"/>
        <v>21.24</v>
      </c>
      <c r="AH820" s="276">
        <f t="shared" si="88"/>
        <v>154.86909</v>
      </c>
      <c r="AI820" s="283">
        <f t="shared" si="89"/>
        <v>1.2906833069422452</v>
      </c>
    </row>
    <row r="821" spans="1:35" ht="30" x14ac:dyDescent="0.25">
      <c r="A821" s="275">
        <f>'Profits 2016'!A6034</f>
        <v>3004743</v>
      </c>
      <c r="B821" s="279">
        <f>'Profits 2016'!B6034</f>
        <v>42648</v>
      </c>
      <c r="C821" s="276">
        <f>'Profits 2016'!H6034</f>
        <v>195.91</v>
      </c>
      <c r="D821" s="280">
        <f>'Profits 2016'!K6034</f>
        <v>174.25581</v>
      </c>
      <c r="E821" s="276">
        <f>'Profits 2016'!L6034</f>
        <v>249</v>
      </c>
      <c r="F821" s="275" t="str">
        <f>'Profits 2016'!P6034</f>
        <v>Houston</v>
      </c>
      <c r="G821" s="292">
        <f>'Profits 2016'!N6034-'Profits 2016'!M6034</f>
        <v>62.25</v>
      </c>
      <c r="H821" s="292">
        <v>0</v>
      </c>
      <c r="I821" s="275">
        <v>30908413</v>
      </c>
      <c r="J821" s="277">
        <v>42649</v>
      </c>
      <c r="K821" s="277">
        <v>42654</v>
      </c>
      <c r="L821" s="277">
        <v>42678</v>
      </c>
      <c r="M821" s="292">
        <v>62.25</v>
      </c>
      <c r="N821" s="281">
        <v>9321</v>
      </c>
      <c r="O821" s="236" t="str">
        <f>'Profits 2016'!T6034</f>
        <v>FEDEX GROUND</v>
      </c>
      <c r="P821" s="284" t="str">
        <f>'Profits 2016'!U6034</f>
        <v>701849703603</v>
      </c>
      <c r="Q821" s="284" t="s">
        <v>314</v>
      </c>
      <c r="R821" s="276">
        <v>23.8</v>
      </c>
      <c r="S821" s="275" t="s">
        <v>15805</v>
      </c>
      <c r="T821" s="279">
        <v>42667</v>
      </c>
      <c r="U821" s="279">
        <v>42670</v>
      </c>
      <c r="V821" s="279">
        <v>42678</v>
      </c>
      <c r="W821" s="293">
        <v>0</v>
      </c>
      <c r="X821" s="236">
        <v>9301</v>
      </c>
      <c r="AF821" s="276">
        <f t="shared" si="96"/>
        <v>86.05</v>
      </c>
      <c r="AG821" s="276">
        <f t="shared" si="87"/>
        <v>86.05</v>
      </c>
      <c r="AH821" s="276">
        <f t="shared" si="88"/>
        <v>88.20581</v>
      </c>
      <c r="AI821" s="283">
        <f t="shared" si="89"/>
        <v>1.0250529924462521</v>
      </c>
    </row>
    <row r="822" spans="1:35" ht="30" x14ac:dyDescent="0.25">
      <c r="A822" s="275">
        <f>'Profits 2016'!A6035</f>
        <v>3004744</v>
      </c>
      <c r="B822" s="279">
        <f>'Profits 2016'!B6035</f>
        <v>42648</v>
      </c>
      <c r="C822" s="276">
        <f>'Profits 2016'!H6035</f>
        <v>296.95999999999998</v>
      </c>
      <c r="D822" s="280">
        <f>'Profits 2016'!K6035</f>
        <v>252.416</v>
      </c>
      <c r="E822" s="276">
        <f>'Profits 2016'!L6035</f>
        <v>300</v>
      </c>
      <c r="F822" s="275" t="str">
        <f>'Profits 2016'!P6035</f>
        <v>Nassau</v>
      </c>
      <c r="G822" s="292">
        <f>'Profits 2016'!N6035-'Profits 2016'!M6035</f>
        <v>150</v>
      </c>
      <c r="H822" s="319"/>
      <c r="I822" s="320"/>
      <c r="J822" s="321"/>
      <c r="K822" s="321"/>
      <c r="L822" s="321"/>
      <c r="M822" s="319"/>
      <c r="N822" s="322"/>
      <c r="O822" s="236" t="str">
        <f>'Profits 2016'!T6035</f>
        <v>FEDEX GROUND</v>
      </c>
      <c r="P822" s="284" t="str">
        <f>'Profits 2016'!U6035</f>
        <v>702723289138</v>
      </c>
      <c r="Q822" s="284" t="s">
        <v>314</v>
      </c>
      <c r="R822" s="276">
        <v>27.47</v>
      </c>
      <c r="S822" s="275" t="s">
        <v>15802</v>
      </c>
      <c r="T822" s="279">
        <v>42660</v>
      </c>
      <c r="U822" s="279">
        <v>42663</v>
      </c>
      <c r="V822" s="279">
        <v>42671</v>
      </c>
      <c r="W822" s="293">
        <f>R822</f>
        <v>27.47</v>
      </c>
      <c r="X822" s="236">
        <v>9250</v>
      </c>
      <c r="AF822" s="276">
        <f t="shared" si="96"/>
        <v>177.47</v>
      </c>
      <c r="AG822" s="276">
        <f t="shared" si="87"/>
        <v>27.47</v>
      </c>
      <c r="AH822" s="276">
        <f t="shared" si="88"/>
        <v>224.946</v>
      </c>
      <c r="AI822" s="283">
        <f t="shared" si="89"/>
        <v>1.2675156364455964</v>
      </c>
    </row>
    <row r="823" spans="1:35" ht="30" x14ac:dyDescent="0.25">
      <c r="A823" s="275">
        <f>'Profits 2016'!A6036</f>
        <v>3004745</v>
      </c>
      <c r="B823" s="279">
        <f>'Profits 2016'!B6036</f>
        <v>42648</v>
      </c>
      <c r="C823" s="276">
        <f>'Profits 2016'!H6036</f>
        <v>224.43</v>
      </c>
      <c r="D823" s="280">
        <f>'Profits 2016'!K6036</f>
        <v>190.7655</v>
      </c>
      <c r="E823" s="276">
        <f>'Profits 2016'!L6036</f>
        <v>672</v>
      </c>
      <c r="F823" s="275" t="str">
        <f>'Profits 2016'!P6036</f>
        <v>Houston</v>
      </c>
      <c r="G823" s="292">
        <f>'Profits 2016'!N6036-'Profits 2016'!M6036</f>
        <v>134.4</v>
      </c>
      <c r="H823" s="292">
        <v>0</v>
      </c>
      <c r="I823" s="275">
        <v>30908895</v>
      </c>
      <c r="J823" s="277">
        <v>42650</v>
      </c>
      <c r="K823" s="277">
        <v>42657</v>
      </c>
      <c r="L823" s="277">
        <v>42678</v>
      </c>
      <c r="M823" s="292">
        <v>134.4</v>
      </c>
      <c r="N823" s="281">
        <v>9321</v>
      </c>
      <c r="O823" s="236" t="str">
        <f>'Profits 2016'!T6036</f>
        <v>FEDEX GROUND</v>
      </c>
      <c r="P823" s="284" t="str">
        <f>'Profits 2016'!U6036</f>
        <v>679301397392</v>
      </c>
      <c r="Q823" s="284" t="s">
        <v>314</v>
      </c>
      <c r="R823" s="276">
        <v>42.69</v>
      </c>
      <c r="S823" s="275" t="s">
        <v>15805</v>
      </c>
      <c r="T823" s="279">
        <v>42667</v>
      </c>
      <c r="U823" s="279">
        <v>42670</v>
      </c>
      <c r="V823" s="279">
        <v>42678</v>
      </c>
      <c r="W823" s="293">
        <v>0</v>
      </c>
      <c r="X823" s="236">
        <v>9301</v>
      </c>
      <c r="AF823" s="276">
        <f t="shared" si="96"/>
        <v>177.09</v>
      </c>
      <c r="AG823" s="276">
        <f t="shared" si="87"/>
        <v>177.09</v>
      </c>
      <c r="AH823" s="276">
        <f t="shared" si="88"/>
        <v>13.6755</v>
      </c>
      <c r="AI823" s="283">
        <f t="shared" si="89"/>
        <v>7.7223445705573435E-2</v>
      </c>
    </row>
    <row r="824" spans="1:35" ht="30" x14ac:dyDescent="0.25">
      <c r="A824" s="275">
        <f>'Profits 2016'!A6037</f>
        <v>3004746</v>
      </c>
      <c r="B824" s="279">
        <f>'Profits 2016'!B6037</f>
        <v>42648</v>
      </c>
      <c r="C824" s="276">
        <f>'Profits 2016'!H6037</f>
        <v>102.92</v>
      </c>
      <c r="D824" s="280">
        <f>'Profits 2016'!K6037</f>
        <v>87.481999999999999</v>
      </c>
      <c r="E824" s="276">
        <f>'Profits 2016'!L6037</f>
        <v>400</v>
      </c>
      <c r="F824" s="275" t="str">
        <f>'Profits 2016'!P6037</f>
        <v>Nassau</v>
      </c>
      <c r="G824" s="292">
        <f>'Profits 2016'!N6037-'Profits 2016'!M6037</f>
        <v>40</v>
      </c>
      <c r="H824" s="319"/>
      <c r="I824" s="320"/>
      <c r="J824" s="321"/>
      <c r="K824" s="321"/>
      <c r="L824" s="321"/>
      <c r="M824" s="319"/>
      <c r="N824" s="322"/>
      <c r="O824" s="236" t="str">
        <f>'Profits 2016'!T6037</f>
        <v>FEDEX GROUND</v>
      </c>
      <c r="P824" s="284" t="str">
        <f>'Profits 2016'!U6037</f>
        <v>702723289105</v>
      </c>
      <c r="Q824" s="284" t="s">
        <v>314</v>
      </c>
      <c r="R824" s="276">
        <v>27.41</v>
      </c>
      <c r="S824" s="275" t="s">
        <v>15805</v>
      </c>
      <c r="T824" s="279">
        <v>42667</v>
      </c>
      <c r="U824" s="279">
        <v>42670</v>
      </c>
      <c r="V824" s="279">
        <v>42678</v>
      </c>
      <c r="W824" s="293">
        <v>0</v>
      </c>
      <c r="X824" s="236">
        <v>9301</v>
      </c>
      <c r="AF824" s="276">
        <f t="shared" si="96"/>
        <v>67.41</v>
      </c>
      <c r="AG824" s="276">
        <f t="shared" si="87"/>
        <v>27.41</v>
      </c>
      <c r="AH824" s="276">
        <f t="shared" si="88"/>
        <v>60.072000000000003</v>
      </c>
      <c r="AI824" s="283">
        <f t="shared" si="89"/>
        <v>0.89114374721851364</v>
      </c>
    </row>
    <row r="825" spans="1:35" ht="30" x14ac:dyDescent="0.25">
      <c r="A825" s="275">
        <f>'Profits 2016'!A6038</f>
        <v>3004747</v>
      </c>
      <c r="B825" s="279">
        <f>'Profits 2016'!B6038</f>
        <v>42648</v>
      </c>
      <c r="C825" s="276">
        <f>'Profits 2016'!H6038</f>
        <v>361.62</v>
      </c>
      <c r="D825" s="280">
        <f>'Profits 2016'!K6038</f>
        <v>307.37700000000001</v>
      </c>
      <c r="E825" s="276">
        <f>'Profits 2016'!L6038</f>
        <v>1160</v>
      </c>
      <c r="F825" s="275" t="str">
        <f>'Profits 2016'!P6038</f>
        <v>Direct</v>
      </c>
      <c r="G825" s="292">
        <f>'Profits 2016'!N6038-'Profits 2016'!M6038</f>
        <v>203.00000000000003</v>
      </c>
      <c r="H825" s="292">
        <v>0</v>
      </c>
      <c r="I825" s="275">
        <v>73920</v>
      </c>
      <c r="J825" s="277">
        <v>42649</v>
      </c>
      <c r="K825" s="277">
        <v>42654</v>
      </c>
      <c r="L825" s="277">
        <v>42657</v>
      </c>
      <c r="M825" s="292">
        <v>198.94</v>
      </c>
      <c r="N825" s="281">
        <v>9168</v>
      </c>
      <c r="O825" s="236" t="str">
        <f>'Profits 2016'!T6038</f>
        <v>FEDEX GROUND</v>
      </c>
      <c r="P825" s="284" t="str">
        <f>'Profits 2016'!U6038</f>
        <v>639564016364</v>
      </c>
      <c r="Q825" s="284" t="s">
        <v>314</v>
      </c>
      <c r="R825" s="276">
        <v>40.9</v>
      </c>
      <c r="S825" s="275" t="s">
        <v>15805</v>
      </c>
      <c r="T825" s="279">
        <v>42667</v>
      </c>
      <c r="U825" s="279">
        <v>42670</v>
      </c>
      <c r="V825" s="279">
        <v>42678</v>
      </c>
      <c r="W825" s="293">
        <v>0</v>
      </c>
      <c r="X825" s="236">
        <v>9301</v>
      </c>
      <c r="AF825" s="276">
        <f t="shared" si="96"/>
        <v>243.90000000000003</v>
      </c>
      <c r="AG825" s="276">
        <f t="shared" si="87"/>
        <v>239.84</v>
      </c>
      <c r="AH825" s="276">
        <f t="shared" si="88"/>
        <v>67.537000000000006</v>
      </c>
      <c r="AI825" s="283">
        <f t="shared" si="89"/>
        <v>0.27690446904469046</v>
      </c>
    </row>
    <row r="826" spans="1:35" ht="30" x14ac:dyDescent="0.25">
      <c r="A826" s="275">
        <f>'Profits 2016'!A6039</f>
        <v>3004748</v>
      </c>
      <c r="B826" s="279">
        <f>'Profits 2016'!B6039</f>
        <v>42648</v>
      </c>
      <c r="C826" s="276">
        <f>'Profits 2016'!H6039</f>
        <v>118.56</v>
      </c>
      <c r="D826" s="280">
        <f>'Profits 2016'!K6039</f>
        <v>105.33696</v>
      </c>
      <c r="E826" s="276">
        <f>'Profits 2016'!L6039</f>
        <v>510</v>
      </c>
      <c r="F826" s="275" t="str">
        <f>'Profits 2016'!P6039</f>
        <v>Nassau</v>
      </c>
      <c r="G826" s="292">
        <f>'Profits 2016'!N6039-'Profits 2016'!M6039</f>
        <v>51</v>
      </c>
      <c r="H826" s="319"/>
      <c r="I826" s="320"/>
      <c r="J826" s="321"/>
      <c r="K826" s="321"/>
      <c r="L826" s="321"/>
      <c r="M826" s="319"/>
      <c r="N826" s="322"/>
      <c r="O826" s="236" t="str">
        <f>'Profits 2016'!T6039</f>
        <v>FEDEX GROUND</v>
      </c>
      <c r="P826" s="284" t="str">
        <f>'Profits 2016'!U6039</f>
        <v>702723289116</v>
      </c>
      <c r="Q826" s="284" t="s">
        <v>314</v>
      </c>
      <c r="R826" s="276">
        <v>35.200000000000003</v>
      </c>
      <c r="S826" s="275" t="s">
        <v>15802</v>
      </c>
      <c r="T826" s="279">
        <v>42660</v>
      </c>
      <c r="U826" s="279">
        <v>42663</v>
      </c>
      <c r="V826" s="279">
        <v>42671</v>
      </c>
      <c r="W826" s="293">
        <f t="shared" ref="W826:W828" si="98">R826</f>
        <v>35.200000000000003</v>
      </c>
      <c r="X826" s="236">
        <v>9250</v>
      </c>
      <c r="AF826" s="276">
        <f t="shared" si="96"/>
        <v>86.2</v>
      </c>
      <c r="AG826" s="276">
        <f t="shared" si="87"/>
        <v>35.200000000000003</v>
      </c>
      <c r="AH826" s="276">
        <f t="shared" si="88"/>
        <v>70.136960000000002</v>
      </c>
      <c r="AI826" s="283">
        <f t="shared" si="89"/>
        <v>0.81365382830626454</v>
      </c>
    </row>
    <row r="827" spans="1:35" ht="30" x14ac:dyDescent="0.25">
      <c r="A827" s="275">
        <f>'Profits 2016'!A6040</f>
        <v>3004749</v>
      </c>
      <c r="B827" s="279">
        <f>'Profits 2016'!B6040</f>
        <v>42648</v>
      </c>
      <c r="C827" s="276">
        <f>'Profits 2016'!H6040</f>
        <v>113.43</v>
      </c>
      <c r="D827" s="280">
        <f>'Profits 2016'!K6040</f>
        <v>96.415500000000009</v>
      </c>
      <c r="E827" s="276">
        <f>'Profits 2016'!L6040</f>
        <v>900</v>
      </c>
      <c r="F827" s="275" t="str">
        <f>'Profits 2016'!P6040</f>
        <v>Nassau</v>
      </c>
      <c r="G827" s="292">
        <f>'Profits 2016'!N6040-'Profits 2016'!M6040</f>
        <v>45</v>
      </c>
      <c r="H827" s="319"/>
      <c r="I827" s="320"/>
      <c r="J827" s="321"/>
      <c r="K827" s="321"/>
      <c r="L827" s="321"/>
      <c r="M827" s="319"/>
      <c r="N827" s="322"/>
      <c r="O827" s="236" t="str">
        <f>'Profits 2016'!T6040</f>
        <v>FEDEX GROUND</v>
      </c>
      <c r="P827" s="284" t="str">
        <f>'Profits 2016'!U6040</f>
        <v>702723289149</v>
      </c>
      <c r="Q827" s="284" t="s">
        <v>314</v>
      </c>
      <c r="R827" s="276">
        <v>23.31</v>
      </c>
      <c r="S827" s="275" t="s">
        <v>15802</v>
      </c>
      <c r="T827" s="279">
        <v>42660</v>
      </c>
      <c r="U827" s="279">
        <v>42663</v>
      </c>
      <c r="V827" s="279">
        <v>42671</v>
      </c>
      <c r="W827" s="293">
        <f t="shared" si="98"/>
        <v>23.31</v>
      </c>
      <c r="X827" s="236">
        <v>9250</v>
      </c>
      <c r="AF827" s="276">
        <f t="shared" si="96"/>
        <v>68.31</v>
      </c>
      <c r="AG827" s="276">
        <f t="shared" si="87"/>
        <v>23.31</v>
      </c>
      <c r="AH827" s="276">
        <f t="shared" si="88"/>
        <v>73.105500000000006</v>
      </c>
      <c r="AI827" s="283">
        <f t="shared" si="89"/>
        <v>1.0702020202020202</v>
      </c>
    </row>
    <row r="828" spans="1:35" ht="30" x14ac:dyDescent="0.25">
      <c r="A828" s="275">
        <f>'Profits 2016'!A6041</f>
        <v>3004750</v>
      </c>
      <c r="B828" s="279">
        <f>'Profits 2016'!B6041</f>
        <v>42648</v>
      </c>
      <c r="C828" s="276">
        <f>'Profits 2016'!H6041</f>
        <v>142.09</v>
      </c>
      <c r="D828" s="280">
        <f>'Profits 2016'!K6041</f>
        <v>120.7765</v>
      </c>
      <c r="E828" s="276">
        <f>'Profits 2016'!L6041</f>
        <v>695</v>
      </c>
      <c r="F828" s="275" t="str">
        <f>'Profits 2016'!P6041</f>
        <v>Nassau</v>
      </c>
      <c r="G828" s="292">
        <f>'Profits 2016'!N6041-'Profits 2016'!M6041</f>
        <v>69.5</v>
      </c>
      <c r="H828" s="319"/>
      <c r="I828" s="320"/>
      <c r="J828" s="321"/>
      <c r="K828" s="321"/>
      <c r="L828" s="321"/>
      <c r="M828" s="319"/>
      <c r="N828" s="322"/>
      <c r="O828" s="236" t="str">
        <f>'Profits 2016'!T6041</f>
        <v>FEDEX GROUND</v>
      </c>
      <c r="P828" s="284" t="str">
        <f>'Profits 2016'!U6041</f>
        <v>702723289127</v>
      </c>
      <c r="Q828" s="284" t="s">
        <v>314</v>
      </c>
      <c r="R828" s="276">
        <v>27.32</v>
      </c>
      <c r="S828" s="275" t="s">
        <v>15802</v>
      </c>
      <c r="T828" s="279">
        <v>42660</v>
      </c>
      <c r="U828" s="279">
        <v>42663</v>
      </c>
      <c r="V828" s="279">
        <v>42671</v>
      </c>
      <c r="W828" s="293">
        <f t="shared" si="98"/>
        <v>27.32</v>
      </c>
      <c r="X828" s="236">
        <v>9250</v>
      </c>
      <c r="AF828" s="276">
        <f t="shared" si="96"/>
        <v>96.82</v>
      </c>
      <c r="AG828" s="276">
        <f t="shared" si="87"/>
        <v>27.32</v>
      </c>
      <c r="AH828" s="276">
        <f t="shared" si="88"/>
        <v>93.456500000000005</v>
      </c>
      <c r="AI828" s="283">
        <f t="shared" si="89"/>
        <v>0.96526027680231374</v>
      </c>
    </row>
    <row r="829" spans="1:35" ht="30" x14ac:dyDescent="0.25">
      <c r="A829" s="275">
        <f>'Profits 2016'!A6042</f>
        <v>3004751</v>
      </c>
      <c r="B829" s="279">
        <f>'Profits 2016'!B6042</f>
        <v>42648</v>
      </c>
      <c r="C829" s="276">
        <f>'Profits 2016'!H6042</f>
        <v>302.83</v>
      </c>
      <c r="D829" s="280">
        <f>'Profits 2016'!K6042</f>
        <v>269.52152999999998</v>
      </c>
      <c r="E829" s="276">
        <f>'Profits 2016'!L6042</f>
        <v>1150</v>
      </c>
      <c r="F829" s="275" t="str">
        <f>'Profits 2016'!P6042</f>
        <v>Nassau</v>
      </c>
      <c r="G829" s="292">
        <f>'Profits 2016'!N6042-'Profits 2016'!M6042</f>
        <v>143.75</v>
      </c>
      <c r="H829" s="319"/>
      <c r="I829" s="320"/>
      <c r="J829" s="321"/>
      <c r="K829" s="321"/>
      <c r="L829" s="321"/>
      <c r="M829" s="319"/>
      <c r="N829" s="322"/>
      <c r="O829" s="236" t="str">
        <f>'Profits 2016'!T6042</f>
        <v>FEDEX GROUND</v>
      </c>
      <c r="P829" s="284" t="str">
        <f>'Profits 2016'!U6042</f>
        <v>702723289171</v>
      </c>
      <c r="Q829" s="284" t="s">
        <v>314</v>
      </c>
      <c r="R829" s="276">
        <v>48.48</v>
      </c>
      <c r="S829" s="275" t="s">
        <v>15805</v>
      </c>
      <c r="T829" s="279">
        <v>42667</v>
      </c>
      <c r="U829" s="279">
        <v>42670</v>
      </c>
      <c r="V829" s="279">
        <v>42678</v>
      </c>
      <c r="W829" s="293">
        <v>0</v>
      </c>
      <c r="X829" s="236">
        <v>9301</v>
      </c>
      <c r="AF829" s="276">
        <f t="shared" si="96"/>
        <v>192.23</v>
      </c>
      <c r="AG829" s="276">
        <f t="shared" si="87"/>
        <v>48.48</v>
      </c>
      <c r="AH829" s="276">
        <f t="shared" si="88"/>
        <v>221.04152999999999</v>
      </c>
      <c r="AI829" s="283">
        <f t="shared" si="89"/>
        <v>1.1498805077251211</v>
      </c>
    </row>
    <row r="830" spans="1:35" ht="30" x14ac:dyDescent="0.25">
      <c r="A830" s="275">
        <f>'Profits 2016'!A6043</f>
        <v>3004752</v>
      </c>
      <c r="B830" s="279">
        <f>'Profits 2016'!B6043</f>
        <v>42648</v>
      </c>
      <c r="C830" s="276">
        <f>'Profits 2016'!H6043</f>
        <v>193.04</v>
      </c>
      <c r="D830" s="280">
        <f>'Profits 2016'!K6043</f>
        <v>164.084</v>
      </c>
      <c r="E830" s="276">
        <f>'Profits 2016'!L6043</f>
        <v>900</v>
      </c>
      <c r="F830" s="275" t="str">
        <f>'Profits 2016'!P6043</f>
        <v>Nassau</v>
      </c>
      <c r="G830" s="292">
        <f>'Profits 2016'!N6043-'Profits 2016'!M6043</f>
        <v>90</v>
      </c>
      <c r="H830" s="319"/>
      <c r="I830" s="320"/>
      <c r="J830" s="321"/>
      <c r="K830" s="321"/>
      <c r="L830" s="321"/>
      <c r="M830" s="319"/>
      <c r="N830" s="322"/>
      <c r="O830" s="236" t="str">
        <f>'Profits 2016'!T6043</f>
        <v>FEDEX GROUND</v>
      </c>
      <c r="P830" s="284" t="str">
        <f>'Profits 2016'!U6043</f>
        <v>702723289208</v>
      </c>
      <c r="Q830" s="284" t="s">
        <v>314</v>
      </c>
      <c r="R830" s="276">
        <v>42.01</v>
      </c>
      <c r="S830" s="275" t="s">
        <v>15805</v>
      </c>
      <c r="T830" s="279">
        <v>42667</v>
      </c>
      <c r="U830" s="279">
        <v>42670</v>
      </c>
      <c r="V830" s="279">
        <v>42678</v>
      </c>
      <c r="W830" s="293">
        <v>0</v>
      </c>
      <c r="X830" s="236">
        <v>9301</v>
      </c>
      <c r="AF830" s="276">
        <f t="shared" si="96"/>
        <v>132.01</v>
      </c>
      <c r="AG830" s="276">
        <f t="shared" si="87"/>
        <v>42.01</v>
      </c>
      <c r="AH830" s="276">
        <f t="shared" si="88"/>
        <v>122.07400000000001</v>
      </c>
      <c r="AI830" s="283">
        <f t="shared" si="89"/>
        <v>0.92473297477463845</v>
      </c>
    </row>
    <row r="831" spans="1:35" ht="30" x14ac:dyDescent="0.25">
      <c r="A831" s="275">
        <f>'Profits 2016'!A6044</f>
        <v>3004753</v>
      </c>
      <c r="B831" s="279">
        <f>'Profits 2016'!B6044</f>
        <v>42648</v>
      </c>
      <c r="C831" s="276">
        <f>'Profits 2016'!H6044</f>
        <v>108.9</v>
      </c>
      <c r="D831" s="280">
        <f>'Profits 2016'!K6044</f>
        <v>96.729900000000001</v>
      </c>
      <c r="E831" s="276">
        <f>'Profits 2016'!L6044</f>
        <v>900</v>
      </c>
      <c r="F831" s="275" t="str">
        <f>'Profits 2016'!P6044</f>
        <v>Nassau</v>
      </c>
      <c r="G831" s="292">
        <f>'Profits 2016'!N6044-'Profits 2016'!M6044</f>
        <v>45</v>
      </c>
      <c r="H831" s="319"/>
      <c r="I831" s="320"/>
      <c r="J831" s="321"/>
      <c r="K831" s="321"/>
      <c r="L831" s="321"/>
      <c r="M831" s="319"/>
      <c r="N831" s="322"/>
      <c r="O831" s="236" t="str">
        <f>'Profits 2016'!T6044</f>
        <v>FEDEX GROUND</v>
      </c>
      <c r="P831" s="284" t="str">
        <f>'Profits 2016'!U6044</f>
        <v>702723289219</v>
      </c>
      <c r="Q831" s="284" t="s">
        <v>314</v>
      </c>
      <c r="R831" s="276">
        <v>14.58</v>
      </c>
      <c r="S831" s="275" t="s">
        <v>15805</v>
      </c>
      <c r="T831" s="279">
        <v>42667</v>
      </c>
      <c r="U831" s="279">
        <v>42670</v>
      </c>
      <c r="V831" s="279">
        <v>42678</v>
      </c>
      <c r="W831" s="293">
        <v>0</v>
      </c>
      <c r="X831" s="236">
        <v>9301</v>
      </c>
      <c r="AF831" s="276">
        <f t="shared" si="96"/>
        <v>69.58</v>
      </c>
      <c r="AG831" s="276">
        <f t="shared" si="87"/>
        <v>14.58</v>
      </c>
      <c r="AH831" s="276">
        <f t="shared" si="88"/>
        <v>82.149900000000002</v>
      </c>
      <c r="AI831" s="283">
        <f t="shared" si="89"/>
        <v>1.1806539235412477</v>
      </c>
    </row>
    <row r="832" spans="1:35" ht="30" x14ac:dyDescent="0.25">
      <c r="A832" s="275">
        <f>'Profits 2016'!A6045</f>
        <v>3004754</v>
      </c>
      <c r="B832" s="279">
        <f>'Profits 2016'!B6045</f>
        <v>42648</v>
      </c>
      <c r="C832" s="276">
        <f>'Profits 2016'!H6045</f>
        <v>205.29</v>
      </c>
      <c r="D832" s="280">
        <f>'Profits 2016'!K6045</f>
        <v>182.61338999999998</v>
      </c>
      <c r="E832" s="276">
        <f>'Profits 2016'!L6045</f>
        <v>3460</v>
      </c>
      <c r="F832" s="275" t="str">
        <f>'Profits 2016'!P6045</f>
        <v>Priority</v>
      </c>
      <c r="G832" s="292">
        <f>'Profits 2016'!N6045-'Profits 2016'!M6045</f>
        <v>86.5</v>
      </c>
      <c r="H832" s="292">
        <v>10</v>
      </c>
      <c r="I832" s="275">
        <v>1063143</v>
      </c>
      <c r="J832" s="277">
        <v>42648</v>
      </c>
      <c r="K832" s="277">
        <v>42655</v>
      </c>
      <c r="L832" s="277">
        <v>42678</v>
      </c>
      <c r="M832" s="292">
        <v>96.5</v>
      </c>
      <c r="N832" s="281">
        <v>9338</v>
      </c>
      <c r="O832" s="236" t="str">
        <f>'Profits 2016'!T6045</f>
        <v>FEDEX GROUND</v>
      </c>
      <c r="P832" s="284" t="str">
        <f>'Profits 2016'!U6045</f>
        <v xml:space="preserve">	680993425560</v>
      </c>
      <c r="Q832" s="284" t="s">
        <v>15740</v>
      </c>
      <c r="R832" s="276">
        <v>22.15</v>
      </c>
      <c r="S832" s="275">
        <v>1063143</v>
      </c>
      <c r="T832" s="279">
        <v>42649</v>
      </c>
      <c r="U832" s="279">
        <v>42655</v>
      </c>
      <c r="V832" s="279">
        <v>42678</v>
      </c>
      <c r="W832" s="293">
        <v>22.15</v>
      </c>
      <c r="X832" s="236">
        <v>9338</v>
      </c>
      <c r="AF832" s="276">
        <f t="shared" si="96"/>
        <v>108.65</v>
      </c>
      <c r="AG832" s="276">
        <f t="shared" si="87"/>
        <v>118.65</v>
      </c>
      <c r="AH832" s="276">
        <f t="shared" si="88"/>
        <v>63.963389999999976</v>
      </c>
      <c r="AI832" s="283">
        <f t="shared" si="89"/>
        <v>0.58871044638748249</v>
      </c>
    </row>
    <row r="833" spans="1:35" ht="30" x14ac:dyDescent="0.25">
      <c r="A833" s="275">
        <f>'Profits 2016'!A6046</f>
        <v>3004755</v>
      </c>
      <c r="B833" s="279">
        <f>'Profits 2016'!B6046</f>
        <v>42648</v>
      </c>
      <c r="C833" s="276">
        <f>'Profits 2016'!H6046</f>
        <v>215</v>
      </c>
      <c r="D833" s="280">
        <f>'Profits 2016'!K6046</f>
        <v>209.97</v>
      </c>
      <c r="E833" s="276">
        <f>'Profits 2016'!L6046</f>
        <v>622.45000000000005</v>
      </c>
      <c r="F833" s="275" t="str">
        <f>'Profits 2016'!P6046</f>
        <v>Nassau</v>
      </c>
      <c r="G833" s="292">
        <f>'Profits 2016'!N6046-'Profits 2016'!M6046</f>
        <v>93.367500000000007</v>
      </c>
      <c r="H833" s="319"/>
      <c r="I833" s="320"/>
      <c r="J833" s="321"/>
      <c r="K833" s="321"/>
      <c r="L833" s="321"/>
      <c r="M833" s="319"/>
      <c r="N833" s="322"/>
      <c r="O833" s="236" t="str">
        <f>'Profits 2016'!T6046</f>
        <v>FEDEX GROUND</v>
      </c>
      <c r="P833" s="284" t="str">
        <f>'Profits 2016'!U6046</f>
        <v>702723289160</v>
      </c>
      <c r="Q833" s="284" t="s">
        <v>314</v>
      </c>
      <c r="R833" s="276">
        <v>24.58</v>
      </c>
      <c r="S833" s="275" t="s">
        <v>15802</v>
      </c>
      <c r="T833" s="279">
        <v>42660</v>
      </c>
      <c r="U833" s="279">
        <v>42663</v>
      </c>
      <c r="V833" s="279">
        <v>42671</v>
      </c>
      <c r="W833" s="293">
        <f t="shared" ref="W833:W834" si="99">R833</f>
        <v>24.58</v>
      </c>
      <c r="X833" s="236">
        <v>9250</v>
      </c>
      <c r="AF833" s="276">
        <f t="shared" si="96"/>
        <v>117.94750000000001</v>
      </c>
      <c r="AG833" s="276">
        <f t="shared" si="87"/>
        <v>24.58</v>
      </c>
      <c r="AH833" s="276">
        <f t="shared" si="88"/>
        <v>185.39</v>
      </c>
      <c r="AI833" s="283">
        <f t="shared" si="89"/>
        <v>1.5718010131626357</v>
      </c>
    </row>
    <row r="834" spans="1:35" ht="30" x14ac:dyDescent="0.25">
      <c r="A834" s="275">
        <f>'Profits 2016'!A6047</f>
        <v>3004756</v>
      </c>
      <c r="B834" s="279">
        <f>'Profits 2016'!B6047</f>
        <v>42648</v>
      </c>
      <c r="C834" s="276">
        <f>'Profits 2016'!H6047</f>
        <v>77.25</v>
      </c>
      <c r="D834" s="280">
        <f>'Profits 2016'!K6047</f>
        <v>75.482249999999993</v>
      </c>
      <c r="E834" s="276">
        <f>'Profits 2016'!L6047</f>
        <v>375</v>
      </c>
      <c r="F834" s="275" t="str">
        <f>'Profits 2016'!P6047</f>
        <v>Nassau</v>
      </c>
      <c r="G834" s="292">
        <f>'Profits 2016'!N6047-'Profits 2016'!M6047</f>
        <v>28.125</v>
      </c>
      <c r="H834" s="319"/>
      <c r="I834" s="320"/>
      <c r="J834" s="321"/>
      <c r="K834" s="321"/>
      <c r="L834" s="321"/>
      <c r="M834" s="319"/>
      <c r="N834" s="322"/>
      <c r="O834" s="236" t="str">
        <f>'Profits 2016'!T6047</f>
        <v>FEDEX GROUND</v>
      </c>
      <c r="P834" s="284" t="str">
        <f>'Profits 2016'!U6047</f>
        <v>702723289220</v>
      </c>
      <c r="Q834" s="284" t="s">
        <v>314</v>
      </c>
      <c r="R834" s="276">
        <v>17.07</v>
      </c>
      <c r="S834" s="275" t="s">
        <v>15802</v>
      </c>
      <c r="T834" s="279">
        <v>42660</v>
      </c>
      <c r="U834" s="279">
        <v>42663</v>
      </c>
      <c r="V834" s="279">
        <v>42671</v>
      </c>
      <c r="W834" s="293">
        <f t="shared" si="99"/>
        <v>17.07</v>
      </c>
      <c r="X834" s="236">
        <v>9250</v>
      </c>
      <c r="AF834" s="276">
        <f t="shared" si="96"/>
        <v>45.195</v>
      </c>
      <c r="AG834" s="276">
        <f t="shared" si="87"/>
        <v>17.07</v>
      </c>
      <c r="AH834" s="276">
        <f t="shared" si="88"/>
        <v>58.412249999999993</v>
      </c>
      <c r="AI834" s="283">
        <f t="shared" si="89"/>
        <v>1.2924493859940258</v>
      </c>
    </row>
    <row r="835" spans="1:35" ht="30" x14ac:dyDescent="0.25">
      <c r="A835" s="275">
        <f>'Profits 2016'!A6048</f>
        <v>3004757</v>
      </c>
      <c r="B835" s="279">
        <f>'Profits 2016'!B6048</f>
        <v>42648</v>
      </c>
      <c r="C835" s="276">
        <f>'Profits 2016'!H6048</f>
        <v>320.2</v>
      </c>
      <c r="D835" s="280">
        <f>'Profits 2016'!K6048</f>
        <v>284.9982</v>
      </c>
      <c r="E835" s="276">
        <f>'Profits 2016'!L6048</f>
        <v>315</v>
      </c>
      <c r="F835" s="275" t="str">
        <f>'Profits 2016'!P6048</f>
        <v>A-Z</v>
      </c>
      <c r="G835" s="292">
        <f>'Profits 2016'!N6048-'Profits 2016'!M6048</f>
        <v>157.5</v>
      </c>
      <c r="H835" s="292">
        <v>0</v>
      </c>
      <c r="I835" s="275">
        <v>404341</v>
      </c>
      <c r="J835" s="277">
        <v>42650</v>
      </c>
      <c r="K835" s="277">
        <v>42657</v>
      </c>
      <c r="L835" s="277">
        <v>42697</v>
      </c>
      <c r="M835" s="292">
        <v>157.5</v>
      </c>
      <c r="N835" s="281">
        <v>9461</v>
      </c>
      <c r="O835" s="236" t="str">
        <f>'Profits 2016'!T6048</f>
        <v>FEDEX GROUND</v>
      </c>
      <c r="P835" s="284" t="str">
        <f>'Profits 2016'!U6048</f>
        <v>679590220775</v>
      </c>
      <c r="Q835" s="284" t="s">
        <v>314</v>
      </c>
      <c r="R835" s="276">
        <v>35.950000000000003</v>
      </c>
      <c r="S835" s="275" t="s">
        <v>15805</v>
      </c>
      <c r="T835" s="279">
        <v>42667</v>
      </c>
      <c r="U835" s="279">
        <v>42670</v>
      </c>
      <c r="V835" s="279">
        <v>42678</v>
      </c>
      <c r="W835" s="293">
        <v>0</v>
      </c>
      <c r="X835" s="236">
        <v>9301</v>
      </c>
      <c r="AF835" s="276">
        <f t="shared" si="96"/>
        <v>193.45</v>
      </c>
      <c r="AG835" s="276">
        <f t="shared" ref="AG835:AG899" si="100">M835+R835+Y835</f>
        <v>193.45</v>
      </c>
      <c r="AH835" s="276">
        <f t="shared" ref="AH835:AH899" si="101">D835-AG835</f>
        <v>91.548200000000008</v>
      </c>
      <c r="AI835" s="283">
        <f t="shared" ref="AI835:AI899" si="102">AH835/AF835</f>
        <v>0.47323959679503758</v>
      </c>
    </row>
    <row r="836" spans="1:35" ht="30" x14ac:dyDescent="0.25">
      <c r="A836" s="275">
        <f>'Profits 2016'!A6049</f>
        <v>3004758</v>
      </c>
      <c r="B836" s="279">
        <f>'Profits 2016'!B6049</f>
        <v>42648</v>
      </c>
      <c r="C836" s="276">
        <f>'Profits 2016'!H6049</f>
        <v>265.26</v>
      </c>
      <c r="D836" s="280">
        <f>'Profits 2016'!K6049</f>
        <v>236.04665999999997</v>
      </c>
      <c r="E836" s="276">
        <f>'Profits 2016'!L6049</f>
        <v>551</v>
      </c>
      <c r="F836" s="275" t="str">
        <f>'Profits 2016'!P6049</f>
        <v>Priority</v>
      </c>
      <c r="G836" s="292">
        <f>'Profits 2016'!N6049-'Profits 2016'!M6049</f>
        <v>137.75</v>
      </c>
      <c r="H836" s="292">
        <v>0</v>
      </c>
      <c r="I836" s="275">
        <v>1063706</v>
      </c>
      <c r="J836" s="277">
        <v>42649</v>
      </c>
      <c r="K836" s="277">
        <v>42657</v>
      </c>
      <c r="L836" s="277">
        <v>42678</v>
      </c>
      <c r="M836" s="292">
        <v>137.75</v>
      </c>
      <c r="N836" s="281">
        <v>9339</v>
      </c>
      <c r="O836" s="236" t="str">
        <f>'Profits 2016'!T6049</f>
        <v>FEDEX GROUND</v>
      </c>
      <c r="P836" s="284" t="str">
        <f>'Profits 2016'!U6049</f>
        <v>661091352064</v>
      </c>
      <c r="Q836" s="284" t="s">
        <v>15740</v>
      </c>
      <c r="R836" s="276">
        <v>17.41</v>
      </c>
      <c r="S836" s="275">
        <v>1063706</v>
      </c>
      <c r="T836" s="279">
        <v>42649</v>
      </c>
      <c r="U836" s="279">
        <v>42657</v>
      </c>
      <c r="V836" s="279">
        <v>42678</v>
      </c>
      <c r="W836" s="293">
        <v>17.41</v>
      </c>
      <c r="X836" s="236">
        <v>9339</v>
      </c>
      <c r="AF836" s="276">
        <f t="shared" si="96"/>
        <v>155.16</v>
      </c>
      <c r="AG836" s="276">
        <f t="shared" si="100"/>
        <v>155.16</v>
      </c>
      <c r="AH836" s="276">
        <f t="shared" si="101"/>
        <v>80.886659999999978</v>
      </c>
      <c r="AI836" s="283">
        <f t="shared" si="102"/>
        <v>0.52131129156999212</v>
      </c>
    </row>
    <row r="837" spans="1:35" ht="30" x14ac:dyDescent="0.25">
      <c r="A837" s="275">
        <f>'Profits 2016'!A6050</f>
        <v>3004759</v>
      </c>
      <c r="B837" s="279">
        <f>'Profits 2016'!B6050</f>
        <v>42648</v>
      </c>
      <c r="C837" s="276">
        <f>'Profits 2016'!H6050</f>
        <v>319.27999999999997</v>
      </c>
      <c r="D837" s="280">
        <f>'Profits 2016'!K6050</f>
        <v>284.17847999999998</v>
      </c>
      <c r="E837" s="276">
        <f>'Profits 2016'!L6050</f>
        <v>628</v>
      </c>
      <c r="F837" s="275" t="str">
        <f>'Profits 2016'!P6050</f>
        <v>Wirexpress</v>
      </c>
      <c r="G837" s="292">
        <f>'Profits 2016'!N6050-'Profits 2016'!M6050</f>
        <v>157</v>
      </c>
      <c r="H837" s="292">
        <v>0</v>
      </c>
      <c r="I837" s="275" t="s">
        <v>15852</v>
      </c>
      <c r="J837" s="277">
        <v>42648</v>
      </c>
      <c r="K837" s="277">
        <v>42654</v>
      </c>
      <c r="L837" s="277">
        <v>42678</v>
      </c>
      <c r="M837" s="292">
        <v>157</v>
      </c>
      <c r="N837" s="281">
        <v>9362</v>
      </c>
      <c r="O837" s="236" t="str">
        <f>'Profits 2016'!T6050</f>
        <v>FEDEX GROUND</v>
      </c>
      <c r="P837" s="284" t="str">
        <f>'Profits 2016'!U6050</f>
        <v xml:space="preserve">052767285624491 </v>
      </c>
      <c r="Q837" s="284" t="s">
        <v>314</v>
      </c>
      <c r="R837" s="276">
        <v>15.01</v>
      </c>
      <c r="S837" s="275" t="s">
        <v>15802</v>
      </c>
      <c r="T837" s="279">
        <v>42660</v>
      </c>
      <c r="U837" s="279">
        <v>42663</v>
      </c>
      <c r="V837" s="279">
        <v>42671</v>
      </c>
      <c r="W837" s="293">
        <f>R837</f>
        <v>15.01</v>
      </c>
      <c r="X837" s="236">
        <v>9250</v>
      </c>
      <c r="AF837" s="276">
        <f t="shared" si="96"/>
        <v>172.01</v>
      </c>
      <c r="AG837" s="276">
        <f t="shared" si="100"/>
        <v>172.01</v>
      </c>
      <c r="AH837" s="276">
        <f t="shared" si="101"/>
        <v>112.16847999999999</v>
      </c>
      <c r="AI837" s="283">
        <f t="shared" si="102"/>
        <v>0.65210441253415496</v>
      </c>
    </row>
    <row r="838" spans="1:35" ht="30" x14ac:dyDescent="0.25">
      <c r="A838" s="275">
        <f>'Profits 2016'!A6051</f>
        <v>3004760</v>
      </c>
      <c r="B838" s="279">
        <f>'Profits 2016'!B6051</f>
        <v>42648</v>
      </c>
      <c r="C838" s="276">
        <f>'Profits 2016'!H6051</f>
        <v>518</v>
      </c>
      <c r="D838" s="280">
        <f>'Profits 2016'!K6051</f>
        <v>506.30399999999997</v>
      </c>
      <c r="E838" s="276">
        <f>'Profits 2016'!L6051</f>
        <v>1322</v>
      </c>
      <c r="F838" s="275" t="str">
        <f>'Profits 2016'!P6051</f>
        <v>Nassau</v>
      </c>
      <c r="G838" s="292">
        <f>'Profits 2016'!N6051-'Profits 2016'!M6051</f>
        <v>264.40000000000003</v>
      </c>
      <c r="H838" s="319"/>
      <c r="I838" s="320"/>
      <c r="J838" s="321"/>
      <c r="K838" s="321"/>
      <c r="L838" s="321"/>
      <c r="M838" s="319"/>
      <c r="N838" s="322"/>
      <c r="O838" s="236" t="str">
        <f>'Profits 2016'!T6051</f>
        <v>FEDEX GROUND</v>
      </c>
      <c r="P838" s="284" t="str">
        <f>'Profits 2016'!U6051</f>
        <v>702723289182</v>
      </c>
      <c r="Q838" s="284" t="s">
        <v>314</v>
      </c>
      <c r="R838" s="276">
        <v>67.05</v>
      </c>
      <c r="S838" s="275" t="s">
        <v>15805</v>
      </c>
      <c r="T838" s="279">
        <v>42667</v>
      </c>
      <c r="U838" s="279">
        <v>42670</v>
      </c>
      <c r="V838" s="279">
        <v>42678</v>
      </c>
      <c r="W838" s="293">
        <v>0</v>
      </c>
      <c r="X838" s="236">
        <v>9301</v>
      </c>
      <c r="AF838" s="276">
        <f t="shared" si="96"/>
        <v>331.45000000000005</v>
      </c>
      <c r="AG838" s="276">
        <f t="shared" si="100"/>
        <v>67.05</v>
      </c>
      <c r="AH838" s="276">
        <f t="shared" si="101"/>
        <v>439.25399999999996</v>
      </c>
      <c r="AI838" s="283">
        <f t="shared" si="102"/>
        <v>1.3252496605822897</v>
      </c>
    </row>
    <row r="839" spans="1:35" x14ac:dyDescent="0.25">
      <c r="A839" s="275">
        <f>'Profits 2016'!A6052</f>
        <v>3004761</v>
      </c>
      <c r="B839" s="279">
        <f>'Profits 2016'!B6052</f>
        <v>42648</v>
      </c>
      <c r="C839" s="276">
        <f>'Profits 2016'!H6052</f>
        <v>3175</v>
      </c>
      <c r="D839" s="280">
        <f>'Profits 2016'!K6052</f>
        <v>3175</v>
      </c>
      <c r="E839" s="276">
        <f>'Profits 2016'!L6052</f>
        <v>980</v>
      </c>
      <c r="F839" s="275" t="str">
        <f>'Profits 2016'!P6052</f>
        <v>Southwire</v>
      </c>
      <c r="G839" s="292">
        <f>'Profits 2016'!N6052-'Profits 2016'!M6052</f>
        <v>980</v>
      </c>
      <c r="H839" s="292">
        <v>0</v>
      </c>
      <c r="I839" s="275">
        <v>90979034</v>
      </c>
      <c r="J839" s="277">
        <v>42650</v>
      </c>
      <c r="K839" s="277">
        <v>42660</v>
      </c>
      <c r="L839" s="277">
        <v>42678</v>
      </c>
      <c r="M839" s="292">
        <v>1768.9</v>
      </c>
      <c r="N839" s="281">
        <v>9349</v>
      </c>
      <c r="O839" s="236" t="str">
        <f>'Profits 2016'!T6052</f>
        <v>FEDEX</v>
      </c>
      <c r="P839" s="284" t="str">
        <f>'Profits 2016'!U6052</f>
        <v>4226678805</v>
      </c>
      <c r="Q839" s="345"/>
      <c r="R839" s="342"/>
      <c r="S839" s="336"/>
      <c r="T839" s="341"/>
      <c r="U839" s="341"/>
      <c r="V839" s="341"/>
      <c r="W839" s="346"/>
      <c r="X839" s="344"/>
      <c r="AF839" s="276">
        <f>G839+H841+R839+Y839</f>
        <v>980</v>
      </c>
      <c r="AG839" s="276">
        <f t="shared" si="100"/>
        <v>1768.9</v>
      </c>
      <c r="AH839" s="276">
        <f t="shared" si="101"/>
        <v>1406.1</v>
      </c>
      <c r="AI839" s="283">
        <f t="shared" si="102"/>
        <v>1.4347959183673469</v>
      </c>
    </row>
    <row r="840" spans="1:35" x14ac:dyDescent="0.25">
      <c r="A840" s="275">
        <f>'Profits 2016'!A6053</f>
        <v>0</v>
      </c>
      <c r="B840" s="279">
        <f>'Profits 2016'!B6053</f>
        <v>0</v>
      </c>
      <c r="C840" s="276">
        <f>'Profits 2016'!H6053</f>
        <v>0</v>
      </c>
      <c r="D840" s="280">
        <f>'Profits 2016'!K6053</f>
        <v>0</v>
      </c>
      <c r="E840" s="276">
        <f>'Profits 2016'!L6053</f>
        <v>3300</v>
      </c>
      <c r="F840" s="275" t="str">
        <f>'Profits 2016'!P6053</f>
        <v>Southwire</v>
      </c>
      <c r="G840" s="292">
        <f>'Profits 2016'!N6053-'Profits 2016'!M6053</f>
        <v>825</v>
      </c>
      <c r="H840" s="292">
        <v>0</v>
      </c>
      <c r="I840" s="275">
        <v>90979034</v>
      </c>
      <c r="J840" s="277">
        <v>42650</v>
      </c>
      <c r="K840" s="277">
        <v>42660</v>
      </c>
      <c r="L840" s="277">
        <v>42678</v>
      </c>
      <c r="M840" s="292">
        <v>0</v>
      </c>
      <c r="N840" s="281">
        <v>9349</v>
      </c>
      <c r="O840" s="236">
        <f>'Profits 2016'!T6053</f>
        <v>0</v>
      </c>
      <c r="P840" s="284">
        <f>'Profits 2016'!U6053</f>
        <v>0</v>
      </c>
      <c r="AF840" s="276">
        <f>G840+H842+R840+Y840</f>
        <v>825</v>
      </c>
      <c r="AG840" s="276">
        <f t="shared" ref="AG840" si="103">M840+R840+Y840</f>
        <v>0</v>
      </c>
      <c r="AH840" s="276">
        <f t="shared" ref="AH840" si="104">D840-AG840</f>
        <v>0</v>
      </c>
      <c r="AI840" s="283">
        <f t="shared" ref="AI840" si="105">AH840/AF840</f>
        <v>0</v>
      </c>
    </row>
    <row r="841" spans="1:35" x14ac:dyDescent="0.25">
      <c r="A841" s="275">
        <f>'Profits 2016'!A6054</f>
        <v>3004762</v>
      </c>
      <c r="B841" s="279">
        <f>'Profits 2016'!B6054</f>
        <v>42648</v>
      </c>
      <c r="C841" s="276">
        <f>'Profits 2016'!H6054</f>
        <v>3330</v>
      </c>
      <c r="D841" s="280">
        <f>'Profits 2016'!K6054</f>
        <v>3221.4749999999999</v>
      </c>
      <c r="E841" s="276">
        <f>'Profits 2016'!L6054</f>
        <v>2300</v>
      </c>
      <c r="F841" s="275" t="str">
        <f>'Profits 2016'!P6054</f>
        <v>Nexans</v>
      </c>
      <c r="G841" s="292">
        <f>'Profits 2016'!N6054-'Profits 2016'!M6054</f>
        <v>920.00000000000011</v>
      </c>
      <c r="H841" s="292">
        <v>0</v>
      </c>
      <c r="I841" s="275">
        <v>47410102</v>
      </c>
      <c r="J841" s="277">
        <v>42649</v>
      </c>
      <c r="K841" s="277">
        <v>42655</v>
      </c>
      <c r="L841" s="277">
        <v>42678</v>
      </c>
      <c r="M841" s="292">
        <f>2576.17-175.17</f>
        <v>2401</v>
      </c>
      <c r="N841" s="281">
        <v>9331</v>
      </c>
      <c r="O841" s="236" t="str">
        <f>'Profits 2016'!T6054</f>
        <v>NEMF</v>
      </c>
      <c r="P841" s="284">
        <f>'Profits 2016'!U6054</f>
        <v>23922403</v>
      </c>
      <c r="Q841" s="284" t="s">
        <v>15760</v>
      </c>
      <c r="R841" s="276">
        <v>175.17</v>
      </c>
      <c r="S841" s="275">
        <v>47410102</v>
      </c>
      <c r="T841" s="279">
        <v>42649</v>
      </c>
      <c r="U841" s="279">
        <v>42655</v>
      </c>
      <c r="V841" s="279">
        <v>42678</v>
      </c>
      <c r="W841" s="293">
        <v>175.17</v>
      </c>
      <c r="X841" s="236">
        <v>9331</v>
      </c>
      <c r="AF841" s="276">
        <f t="shared" si="96"/>
        <v>1095.17</v>
      </c>
      <c r="AG841" s="276">
        <f t="shared" si="100"/>
        <v>2576.17</v>
      </c>
      <c r="AH841" s="276">
        <f t="shared" si="101"/>
        <v>645.30499999999984</v>
      </c>
      <c r="AI841" s="283">
        <f t="shared" si="102"/>
        <v>0.58922815635928649</v>
      </c>
    </row>
    <row r="842" spans="1:35" x14ac:dyDescent="0.25">
      <c r="A842" s="275">
        <f>'Profits 2016'!A6055</f>
        <v>0</v>
      </c>
      <c r="B842" s="279">
        <f>'Profits 2016'!B6055</f>
        <v>0</v>
      </c>
      <c r="C842" s="276">
        <f>'Profits 2016'!H6055</f>
        <v>0</v>
      </c>
      <c r="D842" s="280">
        <f>'Profits 2016'!K6055</f>
        <v>0</v>
      </c>
      <c r="E842" s="276">
        <f>'Profits 2016'!L6055</f>
        <v>5100</v>
      </c>
      <c r="F842" s="275" t="str">
        <f>'Profits 2016'!P6055</f>
        <v>Nexans</v>
      </c>
      <c r="G842" s="292">
        <f>'Profits 2016'!N6055-'Profits 2016'!M6055</f>
        <v>1530</v>
      </c>
      <c r="H842" s="292">
        <v>0</v>
      </c>
      <c r="I842" s="275">
        <v>47410102</v>
      </c>
      <c r="J842" s="277">
        <v>42649</v>
      </c>
      <c r="K842" s="277">
        <v>42655</v>
      </c>
      <c r="L842" s="277">
        <v>42678</v>
      </c>
      <c r="M842" s="292">
        <v>0</v>
      </c>
      <c r="N842" s="281">
        <v>9331</v>
      </c>
      <c r="O842" s="236">
        <f>'Profits 2016'!T6055</f>
        <v>0</v>
      </c>
      <c r="P842" s="284">
        <f>'Profits 2016'!U6055</f>
        <v>0</v>
      </c>
      <c r="Q842" s="284" t="s">
        <v>15760</v>
      </c>
      <c r="R842" s="276">
        <v>0</v>
      </c>
      <c r="S842" s="275">
        <v>47410102</v>
      </c>
      <c r="T842" s="279">
        <v>42649</v>
      </c>
      <c r="U842" s="279">
        <v>42655</v>
      </c>
      <c r="V842" s="279">
        <v>42678</v>
      </c>
      <c r="W842" s="293">
        <v>0</v>
      </c>
      <c r="X842" s="236">
        <v>9331</v>
      </c>
      <c r="AF842" s="276">
        <f t="shared" si="96"/>
        <v>1530</v>
      </c>
      <c r="AG842" s="276">
        <f t="shared" si="100"/>
        <v>0</v>
      </c>
      <c r="AH842" s="276">
        <f t="shared" si="101"/>
        <v>0</v>
      </c>
      <c r="AI842" s="283">
        <f t="shared" si="102"/>
        <v>0</v>
      </c>
    </row>
    <row r="843" spans="1:35" ht="30" x14ac:dyDescent="0.25">
      <c r="A843" s="275">
        <f>'Profits 2016'!A6056</f>
        <v>3004763</v>
      </c>
      <c r="B843" s="279">
        <f>'Profits 2016'!B6056</f>
        <v>42648</v>
      </c>
      <c r="C843" s="276">
        <f>'Profits 2016'!H6056</f>
        <v>8100</v>
      </c>
      <c r="D843" s="280">
        <f>'Profits 2016'!K6056</f>
        <v>7836.45</v>
      </c>
      <c r="E843" s="276">
        <f>'Profits 2016'!L6056</f>
        <v>89</v>
      </c>
      <c r="F843" s="275" t="str">
        <f>'Profits 2016'!P6056</f>
        <v xml:space="preserve">Service </v>
      </c>
      <c r="G843" s="292">
        <f>'Profits 2016'!N6056-'Profits 2016'!M6056</f>
        <v>5340</v>
      </c>
      <c r="H843" s="292">
        <v>0</v>
      </c>
      <c r="I843" s="275">
        <v>50263758</v>
      </c>
      <c r="J843" s="277">
        <v>42650</v>
      </c>
      <c r="K843" s="277">
        <v>42657</v>
      </c>
      <c r="L843" s="277">
        <v>42678</v>
      </c>
      <c r="M843" s="292">
        <v>5340</v>
      </c>
      <c r="N843" s="281">
        <v>9346</v>
      </c>
      <c r="O843" s="236" t="str">
        <f>'Profits 2016'!T6056</f>
        <v>XPO LOGISTICS</v>
      </c>
      <c r="P843" s="284" t="str">
        <f>'Profits 2016'!U6056</f>
        <v>802370026</v>
      </c>
      <c r="Q843" s="284" t="s">
        <v>15853</v>
      </c>
      <c r="R843" s="276">
        <v>222.42</v>
      </c>
      <c r="S843" s="275">
        <v>50263758</v>
      </c>
      <c r="T843" s="279">
        <v>42650</v>
      </c>
      <c r="U843" s="279">
        <v>42657</v>
      </c>
      <c r="V843" s="279">
        <v>42678</v>
      </c>
      <c r="W843" s="293">
        <v>222.42</v>
      </c>
      <c r="X843" s="236">
        <v>9346</v>
      </c>
      <c r="AF843" s="276">
        <f t="shared" si="96"/>
        <v>5562.42</v>
      </c>
      <c r="AG843" s="276">
        <f t="shared" si="100"/>
        <v>5562.42</v>
      </c>
      <c r="AH843" s="276">
        <f t="shared" si="101"/>
        <v>2274.0299999999997</v>
      </c>
      <c r="AI843" s="283">
        <f t="shared" si="102"/>
        <v>0.4088202616846624</v>
      </c>
    </row>
    <row r="844" spans="1:35" x14ac:dyDescent="0.25">
      <c r="A844" s="275">
        <f>'Profits 2016'!A6057</f>
        <v>3004764</v>
      </c>
      <c r="B844" s="279">
        <f>'Profits 2016'!B6057</f>
        <v>42648</v>
      </c>
      <c r="C844" s="276">
        <f>'Profits 2016'!H6057</f>
        <v>770</v>
      </c>
      <c r="D844" s="280">
        <f>'Profits 2016'!K6057</f>
        <v>752.76</v>
      </c>
      <c r="E844" s="276">
        <f>'Profits 2016'!L6057</f>
        <v>1100</v>
      </c>
      <c r="F844" s="275" t="str">
        <f>'Profits 2016'!P6057</f>
        <v>Nassau</v>
      </c>
      <c r="G844" s="292">
        <f>'Profits 2016'!N6057-'Profits 2016'!M6057</f>
        <v>440</v>
      </c>
      <c r="H844" s="319"/>
      <c r="I844" s="320"/>
      <c r="J844" s="321"/>
      <c r="K844" s="321"/>
      <c r="L844" s="321"/>
      <c r="M844" s="319"/>
      <c r="N844" s="322"/>
      <c r="O844" s="236" t="str">
        <f>'Profits 2016'!T6057</f>
        <v>XPO/DLS</v>
      </c>
      <c r="P844" s="284" t="str">
        <f>'Profits 2016'!U6057</f>
        <v>521-985940</v>
      </c>
      <c r="Q844" s="284" t="s">
        <v>15804</v>
      </c>
      <c r="R844" s="276">
        <v>172.66</v>
      </c>
      <c r="S844" s="275">
        <v>636833907</v>
      </c>
      <c r="T844" s="279">
        <v>42656</v>
      </c>
      <c r="U844" s="279">
        <v>42660</v>
      </c>
      <c r="V844" s="279">
        <v>42664</v>
      </c>
      <c r="W844" s="293">
        <v>172.66</v>
      </c>
      <c r="X844" s="236">
        <v>9230</v>
      </c>
      <c r="AF844" s="276">
        <f t="shared" si="96"/>
        <v>612.66</v>
      </c>
      <c r="AG844" s="276">
        <f t="shared" si="100"/>
        <v>172.66</v>
      </c>
      <c r="AH844" s="276">
        <f t="shared" si="101"/>
        <v>580.1</v>
      </c>
      <c r="AI844" s="283">
        <f t="shared" si="102"/>
        <v>0.94685469918062226</v>
      </c>
    </row>
    <row r="845" spans="1:35" ht="30" x14ac:dyDescent="0.25">
      <c r="A845" s="275">
        <f>'Profits 2016'!A6058</f>
        <v>3004765</v>
      </c>
      <c r="B845" s="279">
        <f>'Profits 2016'!B6058</f>
        <v>42649</v>
      </c>
      <c r="C845" s="276">
        <f>'Profits 2016'!H6058</f>
        <v>300</v>
      </c>
      <c r="D845" s="280">
        <f>'Profits 2016'!K6058</f>
        <v>267</v>
      </c>
      <c r="E845" s="276">
        <f>'Profits 2016'!L6058</f>
        <v>1241.08</v>
      </c>
      <c r="F845" s="275" t="str">
        <f>'Profits 2016'!P6058</f>
        <v>Nassau</v>
      </c>
      <c r="G845" s="292">
        <f>'Profits 2016'!N6058-'Profits 2016'!M6058</f>
        <v>124.108</v>
      </c>
      <c r="H845" s="319"/>
      <c r="I845" s="320"/>
      <c r="J845" s="321"/>
      <c r="K845" s="321"/>
      <c r="L845" s="321"/>
      <c r="M845" s="319"/>
      <c r="N845" s="322"/>
      <c r="O845" s="236" t="str">
        <f>'Profits 2016'!T6058</f>
        <v>FEDEX GROUND</v>
      </c>
      <c r="P845" s="284" t="str">
        <f>'Profits 2016'!U6058</f>
        <v>702723289300</v>
      </c>
      <c r="Q845" s="284" t="s">
        <v>314</v>
      </c>
      <c r="R845" s="276">
        <v>33.380000000000003</v>
      </c>
      <c r="S845" s="275" t="s">
        <v>15805</v>
      </c>
      <c r="T845" s="279">
        <v>42667</v>
      </c>
      <c r="U845" s="279">
        <v>42650</v>
      </c>
      <c r="V845" s="279">
        <v>42678</v>
      </c>
      <c r="W845" s="293">
        <v>0</v>
      </c>
      <c r="X845" s="236">
        <v>9301</v>
      </c>
      <c r="AF845" s="276">
        <f t="shared" si="96"/>
        <v>157.488</v>
      </c>
      <c r="AG845" s="276">
        <f t="shared" si="100"/>
        <v>33.380000000000003</v>
      </c>
      <c r="AH845" s="276">
        <f t="shared" si="101"/>
        <v>233.62</v>
      </c>
      <c r="AI845" s="283">
        <f t="shared" si="102"/>
        <v>1.4834146093670628</v>
      </c>
    </row>
    <row r="846" spans="1:35" ht="30" x14ac:dyDescent="0.25">
      <c r="A846" s="275">
        <f>'Profits 2016'!A6059</f>
        <v>3004766</v>
      </c>
      <c r="B846" s="279">
        <f>'Profits 2016'!B6059</f>
        <v>42649</v>
      </c>
      <c r="C846" s="276">
        <f>'Profits 2016'!H6059</f>
        <v>431.64</v>
      </c>
      <c r="D846" s="280">
        <f>'Profits 2016'!K6059</f>
        <v>384.29123999999996</v>
      </c>
      <c r="E846" s="276">
        <f>'Profits 2016'!L6059</f>
        <v>1100</v>
      </c>
      <c r="F846" s="275" t="str">
        <f>'Profits 2016'!P6059</f>
        <v>Nassau</v>
      </c>
      <c r="G846" s="292">
        <f>'Profits 2016'!N6059-'Profits 2016'!M6059</f>
        <v>275</v>
      </c>
      <c r="H846" s="319"/>
      <c r="I846" s="320"/>
      <c r="J846" s="321"/>
      <c r="K846" s="321"/>
      <c r="L846" s="321"/>
      <c r="M846" s="319"/>
      <c r="N846" s="322"/>
      <c r="O846" s="236" t="str">
        <f>'Profits 2016'!T6059</f>
        <v>FEDEX GROUND</v>
      </c>
      <c r="P846" s="284" t="str">
        <f>'Profits 2016'!U6059</f>
        <v>702723289274</v>
      </c>
      <c r="Q846" s="284" t="s">
        <v>314</v>
      </c>
      <c r="R846" s="276">
        <v>49.99</v>
      </c>
      <c r="S846" s="275" t="s">
        <v>15805</v>
      </c>
      <c r="T846" s="279">
        <v>42667</v>
      </c>
      <c r="U846" s="279">
        <v>42670</v>
      </c>
      <c r="V846" s="279">
        <v>42678</v>
      </c>
      <c r="W846" s="293">
        <v>0</v>
      </c>
      <c r="X846" s="236">
        <v>9301</v>
      </c>
      <c r="AF846" s="276">
        <f t="shared" si="96"/>
        <v>324.99</v>
      </c>
      <c r="AG846" s="276">
        <f t="shared" si="100"/>
        <v>49.99</v>
      </c>
      <c r="AH846" s="276">
        <f t="shared" si="101"/>
        <v>334.30123999999995</v>
      </c>
      <c r="AI846" s="283">
        <f t="shared" si="102"/>
        <v>1.0286508507954089</v>
      </c>
    </row>
    <row r="847" spans="1:35" ht="30" x14ac:dyDescent="0.25">
      <c r="A847" s="275">
        <f>'Profits 2016'!A6060</f>
        <v>3004767</v>
      </c>
      <c r="B847" s="279">
        <f>'Profits 2016'!B6060</f>
        <v>42649</v>
      </c>
      <c r="C847" s="276">
        <f>'Profits 2016'!H6060</f>
        <v>304</v>
      </c>
      <c r="D847" s="280">
        <f>'Profits 2016'!K6060</f>
        <v>270.56399999999996</v>
      </c>
      <c r="E847" s="276">
        <f>'Profits 2016'!L6060</f>
        <v>709.43</v>
      </c>
      <c r="F847" s="275" t="str">
        <f>'Profits 2016'!P6060</f>
        <v>AFC</v>
      </c>
      <c r="G847" s="292">
        <f>'Profits 2016'!N6060-'Profits 2016'!M6060</f>
        <v>177.35749999999999</v>
      </c>
      <c r="H847" s="292">
        <v>0</v>
      </c>
      <c r="I847" s="275" t="s">
        <v>15854</v>
      </c>
      <c r="J847" s="277">
        <v>42649</v>
      </c>
      <c r="K847" s="277">
        <v>42657</v>
      </c>
      <c r="O847" s="236" t="str">
        <f>'Profits 2016'!T6060</f>
        <v>FEDEX GROUND</v>
      </c>
      <c r="P847" s="284" t="str">
        <f>'Profits 2016'!U6060</f>
        <v>675157530507</v>
      </c>
      <c r="Q847" s="284" t="s">
        <v>621</v>
      </c>
      <c r="R847" s="276">
        <v>32.46</v>
      </c>
      <c r="S847" s="275" t="s">
        <v>15854</v>
      </c>
      <c r="T847" s="279">
        <v>42649</v>
      </c>
      <c r="U847" s="279">
        <v>42657</v>
      </c>
      <c r="AF847" s="276">
        <f t="shared" si="96"/>
        <v>209.8175</v>
      </c>
      <c r="AG847" s="276">
        <f t="shared" si="100"/>
        <v>32.46</v>
      </c>
      <c r="AH847" s="276">
        <f t="shared" si="101"/>
        <v>238.10399999999996</v>
      </c>
      <c r="AI847" s="283">
        <f t="shared" si="102"/>
        <v>1.134814779510765</v>
      </c>
    </row>
    <row r="848" spans="1:35" ht="45" x14ac:dyDescent="0.25">
      <c r="A848" s="275">
        <f>'Profits 2016'!A6061</f>
        <v>3004768</v>
      </c>
      <c r="B848" s="279">
        <f>'Profits 2016'!B6061</f>
        <v>42649</v>
      </c>
      <c r="C848" s="276">
        <f>'Profits 2016'!H6061</f>
        <v>553.37</v>
      </c>
      <c r="D848" s="280">
        <f>'Profits 2016'!K6061</f>
        <v>492.75267000000002</v>
      </c>
      <c r="E848" s="276">
        <f>'Profits 2016'!L6061</f>
        <v>584</v>
      </c>
      <c r="F848" s="275" t="str">
        <f>'Profits 2016'!P6061</f>
        <v>Commodity</v>
      </c>
      <c r="G848" s="292">
        <f>'Profits 2016'!N6061-'Profits 2016'!M6061</f>
        <v>292</v>
      </c>
      <c r="H848" s="292">
        <v>0</v>
      </c>
      <c r="I848" s="275" t="s">
        <v>15855</v>
      </c>
      <c r="J848" s="277">
        <v>42649</v>
      </c>
      <c r="K848" s="277">
        <v>42654</v>
      </c>
      <c r="L848" s="277">
        <v>42657</v>
      </c>
      <c r="M848" s="292">
        <f>292-9.3</f>
        <v>282.7</v>
      </c>
      <c r="N848" s="281">
        <v>9159</v>
      </c>
      <c r="O848" s="236" t="str">
        <f>'Profits 2016'!T6061</f>
        <v>OLD DOMINION</v>
      </c>
      <c r="P848" s="284" t="str">
        <f>'Profits 2016'!U6061</f>
        <v>25707913361</v>
      </c>
      <c r="Q848" s="284" t="s">
        <v>15764</v>
      </c>
      <c r="R848" s="276">
        <v>173.11</v>
      </c>
      <c r="S848" s="275" t="s">
        <v>15855</v>
      </c>
      <c r="T848" s="279">
        <v>42649</v>
      </c>
      <c r="U848" s="279">
        <v>42654</v>
      </c>
      <c r="V848" s="279">
        <v>43387</v>
      </c>
      <c r="W848" s="293">
        <v>173.11</v>
      </c>
      <c r="X848" s="236">
        <v>9151</v>
      </c>
      <c r="AF848" s="276">
        <f>G848+H849+R848+Y848</f>
        <v>465.11</v>
      </c>
      <c r="AG848" s="276">
        <f t="shared" si="100"/>
        <v>455.81</v>
      </c>
      <c r="AH848" s="276">
        <f t="shared" si="101"/>
        <v>36.942670000000021</v>
      </c>
      <c r="AI848" s="283">
        <f t="shared" si="102"/>
        <v>7.9427812775472506E-2</v>
      </c>
    </row>
    <row r="849" spans="1:35" ht="30" x14ac:dyDescent="0.25">
      <c r="A849" s="275">
        <f>'Profits 2016'!A6062</f>
        <v>3004769</v>
      </c>
      <c r="B849" s="279">
        <f>'Profits 2016'!B6062</f>
        <v>42649</v>
      </c>
      <c r="C849" s="276">
        <f>'Profits 2016'!H6062</f>
        <v>334.62</v>
      </c>
      <c r="D849" s="280">
        <f>'Profits 2016'!K6062</f>
        <v>297.84642000000002</v>
      </c>
      <c r="E849" s="276">
        <f>'Profits 2016'!L6062</f>
        <v>0</v>
      </c>
      <c r="F849" s="275" t="str">
        <f>'Profits 2016'!P6062</f>
        <v>Nassau</v>
      </c>
      <c r="G849" s="292">
        <f>'Profits 2016'!N6062-'Profits 2016'!M6062</f>
        <v>0</v>
      </c>
      <c r="H849" s="319"/>
      <c r="I849" s="320"/>
      <c r="J849" s="321"/>
      <c r="K849" s="321"/>
      <c r="L849" s="321"/>
      <c r="M849" s="319"/>
      <c r="N849" s="322"/>
      <c r="O849" s="236" t="str">
        <f>'Profits 2016'!T6062</f>
        <v>FEDEX GROUND</v>
      </c>
      <c r="P849" s="284" t="str">
        <f>'Profits 2016'!U6062</f>
        <v>702723289296</v>
      </c>
      <c r="Q849" s="284" t="s">
        <v>314</v>
      </c>
      <c r="R849" s="276">
        <v>56.37</v>
      </c>
      <c r="S849" s="275" t="s">
        <v>15805</v>
      </c>
      <c r="T849" s="279">
        <v>42667</v>
      </c>
      <c r="U849" s="279">
        <v>42670</v>
      </c>
      <c r="V849" s="279">
        <v>42678</v>
      </c>
      <c r="W849" s="293">
        <v>0</v>
      </c>
      <c r="X849" s="236">
        <v>9301</v>
      </c>
      <c r="AF849" s="276">
        <f t="shared" si="96"/>
        <v>56.37</v>
      </c>
      <c r="AG849" s="276">
        <f t="shared" si="100"/>
        <v>56.37</v>
      </c>
      <c r="AH849" s="276">
        <f t="shared" si="101"/>
        <v>241.47642000000002</v>
      </c>
      <c r="AI849" s="283">
        <f t="shared" si="102"/>
        <v>4.2837754124534335</v>
      </c>
    </row>
    <row r="850" spans="1:35" ht="30" x14ac:dyDescent="0.25">
      <c r="A850" s="275">
        <f>'Profits 2016'!A6063</f>
        <v>3004770</v>
      </c>
      <c r="B850" s="279">
        <f>'Profits 2016'!B6063</f>
        <v>42649</v>
      </c>
      <c r="C850" s="276">
        <f>'Profits 2016'!H6063</f>
        <v>227.48</v>
      </c>
      <c r="D850" s="280">
        <f>'Profits 2016'!K6063</f>
        <v>202.38468</v>
      </c>
      <c r="E850" s="276">
        <f>'Profits 2016'!L6063</f>
        <v>990</v>
      </c>
      <c r="F850" s="275" t="str">
        <f>'Profits 2016'!P6063</f>
        <v>Nassau</v>
      </c>
      <c r="G850" s="292">
        <f>'Profits 2016'!N6063-'Profits 2016'!M6063</f>
        <v>99</v>
      </c>
      <c r="H850" s="319"/>
      <c r="I850" s="320"/>
      <c r="J850" s="321"/>
      <c r="K850" s="321"/>
      <c r="L850" s="321"/>
      <c r="M850" s="319"/>
      <c r="N850" s="322"/>
      <c r="O850" s="236" t="str">
        <f>'Profits 2016'!T6063</f>
        <v>FEDEX GROUND</v>
      </c>
      <c r="P850" s="284" t="str">
        <f>'Profits 2016'!U6063</f>
        <v>702723289263</v>
      </c>
      <c r="Q850" s="284" t="s">
        <v>314</v>
      </c>
      <c r="R850" s="276">
        <v>31.54</v>
      </c>
      <c r="S850" s="275" t="s">
        <v>15805</v>
      </c>
      <c r="T850" s="279">
        <v>42667</v>
      </c>
      <c r="U850" s="279">
        <v>42670</v>
      </c>
      <c r="V850" s="279">
        <v>42678</v>
      </c>
      <c r="W850" s="293">
        <v>0</v>
      </c>
      <c r="X850" s="236">
        <v>9301</v>
      </c>
      <c r="AF850" s="276">
        <f t="shared" si="96"/>
        <v>130.54</v>
      </c>
      <c r="AG850" s="276">
        <f t="shared" si="100"/>
        <v>31.54</v>
      </c>
      <c r="AH850" s="276">
        <f t="shared" si="101"/>
        <v>170.84468000000001</v>
      </c>
      <c r="AI850" s="283">
        <f t="shared" si="102"/>
        <v>1.3087534855216794</v>
      </c>
    </row>
    <row r="851" spans="1:35" ht="30" x14ac:dyDescent="0.25">
      <c r="A851" s="275">
        <f>'Profits 2016'!A6064</f>
        <v>3004771</v>
      </c>
      <c r="B851" s="279">
        <f>'Profits 2016'!B6064</f>
        <v>42649</v>
      </c>
      <c r="C851" s="276">
        <f>'Profits 2016'!H6064</f>
        <v>174.47</v>
      </c>
      <c r="D851" s="280">
        <f>'Profits 2016'!K6064</f>
        <v>148.29949999999999</v>
      </c>
      <c r="E851" s="276">
        <f>'Profits 2016'!L6064</f>
        <v>672</v>
      </c>
      <c r="F851" s="275" t="str">
        <f>'Profits 2016'!P6064</f>
        <v>Houston</v>
      </c>
      <c r="G851" s="292">
        <f>'Profits 2016'!N6064-'Profits 2016'!M6064</f>
        <v>100.8</v>
      </c>
      <c r="H851" s="292">
        <v>0</v>
      </c>
      <c r="I851" s="275">
        <v>30909029</v>
      </c>
      <c r="J851" s="277">
        <v>42650</v>
      </c>
      <c r="K851" s="277">
        <v>42657</v>
      </c>
      <c r="L851" s="277">
        <v>42678</v>
      </c>
      <c r="M851" s="292">
        <v>100.8</v>
      </c>
      <c r="N851" s="281">
        <v>9322</v>
      </c>
      <c r="O851" s="236" t="str">
        <f>'Profits 2016'!T6064</f>
        <v>FEDEX GROUND</v>
      </c>
      <c r="P851" s="284" t="str">
        <f>'Profits 2016'!U6064</f>
        <v>543369481815</v>
      </c>
      <c r="Q851" s="284" t="s">
        <v>314</v>
      </c>
      <c r="R851" s="276">
        <v>35.61</v>
      </c>
      <c r="S851" s="275" t="s">
        <v>15805</v>
      </c>
      <c r="T851" s="279">
        <v>42667</v>
      </c>
      <c r="U851" s="279">
        <v>42670</v>
      </c>
      <c r="V851" s="279">
        <v>42678</v>
      </c>
      <c r="W851" s="293">
        <v>0</v>
      </c>
      <c r="X851" s="236">
        <v>9301</v>
      </c>
      <c r="AF851" s="276">
        <f t="shared" si="96"/>
        <v>136.41</v>
      </c>
      <c r="AG851" s="276">
        <f t="shared" si="100"/>
        <v>136.41</v>
      </c>
      <c r="AH851" s="276">
        <f t="shared" si="101"/>
        <v>11.889499999999998</v>
      </c>
      <c r="AI851" s="283">
        <f t="shared" si="102"/>
        <v>8.7160032255699724E-2</v>
      </c>
    </row>
    <row r="852" spans="1:35" ht="30" x14ac:dyDescent="0.25">
      <c r="A852" s="275">
        <f>'Profits 2016'!A6065</f>
        <v>3004772</v>
      </c>
      <c r="B852" s="279">
        <f>'Profits 2016'!B6065</f>
        <v>42649</v>
      </c>
      <c r="C852" s="276">
        <f>'Profits 2016'!H6065</f>
        <v>229.32</v>
      </c>
      <c r="D852" s="280">
        <f>'Profits 2016'!K6065</f>
        <v>194.922</v>
      </c>
      <c r="E852" s="276">
        <f>'Profits 2016'!L6065</f>
        <v>1419</v>
      </c>
      <c r="F852" s="275" t="str">
        <f>'Profits 2016'!P6065</f>
        <v>Direct</v>
      </c>
      <c r="G852" s="292">
        <f>'Profits 2016'!N6065-'Profits 2016'!M6065</f>
        <v>70.95</v>
      </c>
      <c r="H852" s="292">
        <v>0</v>
      </c>
      <c r="I852" s="275">
        <v>74072</v>
      </c>
      <c r="J852" s="277" t="s">
        <v>15856</v>
      </c>
      <c r="K852" s="277">
        <v>42656</v>
      </c>
      <c r="O852" s="236" t="str">
        <f>'Profits 2016'!T6065</f>
        <v>FEDEX GROUND</v>
      </c>
      <c r="P852" s="284" t="str">
        <f>'Profits 2016'!U6065</f>
        <v>639794969728</v>
      </c>
      <c r="Q852" s="284" t="s">
        <v>314</v>
      </c>
      <c r="R852" s="276">
        <v>29.98</v>
      </c>
      <c r="S852" s="275" t="s">
        <v>15805</v>
      </c>
      <c r="T852" s="279">
        <v>42667</v>
      </c>
      <c r="U852" s="279">
        <v>42670</v>
      </c>
      <c r="V852" s="279">
        <v>42678</v>
      </c>
      <c r="W852" s="293">
        <v>0</v>
      </c>
      <c r="X852" s="236">
        <v>9301</v>
      </c>
      <c r="AF852" s="276">
        <f t="shared" si="96"/>
        <v>100.93</v>
      </c>
      <c r="AG852" s="276">
        <f t="shared" si="100"/>
        <v>29.98</v>
      </c>
      <c r="AH852" s="276">
        <f t="shared" si="101"/>
        <v>164.94200000000001</v>
      </c>
      <c r="AI852" s="283">
        <f t="shared" si="102"/>
        <v>1.6342217378381056</v>
      </c>
    </row>
    <row r="853" spans="1:35" x14ac:dyDescent="0.25">
      <c r="A853" s="275">
        <f>'Profits 2016'!A6066</f>
        <v>0</v>
      </c>
      <c r="B853" s="279">
        <f>'Profits 2016'!B6066</f>
        <v>0</v>
      </c>
      <c r="C853" s="276">
        <f>'Profits 2016'!H6066</f>
        <v>0</v>
      </c>
      <c r="D853" s="280">
        <f>'Profits 2016'!K6066</f>
        <v>0</v>
      </c>
      <c r="E853" s="276">
        <f>'Profits 2016'!L6066</f>
        <v>1448</v>
      </c>
      <c r="F853" s="275" t="str">
        <f>'Profits 2016'!P6066</f>
        <v>Direct</v>
      </c>
      <c r="G853" s="292">
        <f>'Profits 2016'!N6066-'Profits 2016'!M6066</f>
        <v>72.400000000000006</v>
      </c>
      <c r="H853" s="292">
        <v>0</v>
      </c>
      <c r="I853" s="275">
        <v>74072</v>
      </c>
      <c r="J853" s="277" t="s">
        <v>15856</v>
      </c>
      <c r="K853" s="277">
        <v>42656</v>
      </c>
      <c r="O853" s="236">
        <f>'Profits 2016'!T6066</f>
        <v>0</v>
      </c>
      <c r="P853" s="284">
        <f>'Profits 2016'!U6066</f>
        <v>0</v>
      </c>
      <c r="Q853" s="284" t="s">
        <v>314</v>
      </c>
      <c r="R853" s="276">
        <v>0</v>
      </c>
      <c r="S853" s="275" t="s">
        <v>15805</v>
      </c>
      <c r="T853" s="279">
        <v>42667</v>
      </c>
      <c r="U853" s="279">
        <v>42670</v>
      </c>
      <c r="V853" s="279">
        <v>42678</v>
      </c>
      <c r="W853" s="293">
        <v>0</v>
      </c>
      <c r="X853" s="236">
        <v>9301</v>
      </c>
      <c r="AF853" s="276">
        <f t="shared" si="96"/>
        <v>72.400000000000006</v>
      </c>
      <c r="AG853" s="276">
        <f t="shared" si="100"/>
        <v>0</v>
      </c>
      <c r="AH853" s="276">
        <f t="shared" si="101"/>
        <v>0</v>
      </c>
      <c r="AI853" s="283">
        <f t="shared" si="102"/>
        <v>0</v>
      </c>
    </row>
    <row r="854" spans="1:35" ht="30" x14ac:dyDescent="0.25">
      <c r="A854" s="275">
        <f>'Profits 2016'!A6067</f>
        <v>3004773</v>
      </c>
      <c r="B854" s="279">
        <f>'Profits 2016'!B6067</f>
        <v>42649</v>
      </c>
      <c r="C854" s="276">
        <f>'Profits 2016'!H6067</f>
        <v>159</v>
      </c>
      <c r="D854" s="280">
        <f>'Profits 2016'!K6067</f>
        <v>135.15</v>
      </c>
      <c r="E854" s="276">
        <f>'Profits 2016'!L6067</f>
        <v>461</v>
      </c>
      <c r="F854" s="275" t="str">
        <f>'Profits 2016'!P6067</f>
        <v>Direct</v>
      </c>
      <c r="G854" s="292">
        <f>'Profits 2016'!N6067-'Profits 2016'!M6067</f>
        <v>46.099999999999994</v>
      </c>
      <c r="H854" s="292">
        <v>0</v>
      </c>
      <c r="I854" s="275">
        <v>74071</v>
      </c>
      <c r="J854" s="277" t="s">
        <v>15856</v>
      </c>
      <c r="K854" s="277">
        <v>42656</v>
      </c>
      <c r="O854" s="236" t="str">
        <f>'Profits 2016'!T6067</f>
        <v>FEDEX GROUND</v>
      </c>
      <c r="P854" s="284" t="str">
        <f>'Profits 2016'!U6067</f>
        <v>639794969739</v>
      </c>
      <c r="Q854" s="284" t="s">
        <v>314</v>
      </c>
      <c r="R854" s="276">
        <v>15.45</v>
      </c>
      <c r="S854" s="275" t="s">
        <v>15805</v>
      </c>
      <c r="T854" s="279">
        <v>42667</v>
      </c>
      <c r="U854" s="279">
        <v>42670</v>
      </c>
      <c r="V854" s="279">
        <v>42678</v>
      </c>
      <c r="W854" s="293">
        <v>0</v>
      </c>
      <c r="X854" s="236">
        <v>9301</v>
      </c>
      <c r="AF854" s="276">
        <f t="shared" si="96"/>
        <v>61.55</v>
      </c>
      <c r="AG854" s="276">
        <f t="shared" si="100"/>
        <v>15.45</v>
      </c>
      <c r="AH854" s="276">
        <f t="shared" si="101"/>
        <v>119.7</v>
      </c>
      <c r="AI854" s="283">
        <f t="shared" si="102"/>
        <v>1.9447603574329815</v>
      </c>
    </row>
    <row r="855" spans="1:35" x14ac:dyDescent="0.25">
      <c r="A855" s="275">
        <f>'Profits 2016'!A6068</f>
        <v>0</v>
      </c>
      <c r="B855" s="279">
        <f>'Profits 2016'!B6068</f>
        <v>0</v>
      </c>
      <c r="C855" s="276">
        <f>'Profits 2016'!H6068</f>
        <v>0</v>
      </c>
      <c r="D855" s="280">
        <f>'Profits 2016'!K6068</f>
        <v>0</v>
      </c>
      <c r="E855" s="276">
        <f>'Profits 2016'!L6068</f>
        <v>471</v>
      </c>
      <c r="F855" s="275" t="str">
        <f>'Profits 2016'!P6068</f>
        <v>Direct</v>
      </c>
      <c r="G855" s="292">
        <f>'Profits 2016'!N6068-'Profits 2016'!M6068</f>
        <v>47.1</v>
      </c>
      <c r="H855" s="292">
        <v>0</v>
      </c>
      <c r="I855" s="275">
        <v>74071</v>
      </c>
      <c r="J855" s="277" t="s">
        <v>15856</v>
      </c>
      <c r="K855" s="277">
        <v>42656</v>
      </c>
      <c r="O855" s="236">
        <f>'Profits 2016'!T6068</f>
        <v>0</v>
      </c>
      <c r="P855" s="284">
        <f>'Profits 2016'!U6068</f>
        <v>0</v>
      </c>
      <c r="Q855" s="284" t="s">
        <v>314</v>
      </c>
      <c r="R855" s="276">
        <v>0</v>
      </c>
      <c r="S855" s="275" t="s">
        <v>15805</v>
      </c>
      <c r="T855" s="279">
        <v>42667</v>
      </c>
      <c r="U855" s="279">
        <v>42670</v>
      </c>
      <c r="V855" s="279">
        <v>42678</v>
      </c>
      <c r="W855" s="293">
        <v>0</v>
      </c>
      <c r="X855" s="236">
        <v>9301</v>
      </c>
      <c r="AF855" s="276">
        <f t="shared" si="96"/>
        <v>47.1</v>
      </c>
      <c r="AG855" s="276">
        <f t="shared" si="100"/>
        <v>0</v>
      </c>
      <c r="AH855" s="276">
        <f t="shared" si="101"/>
        <v>0</v>
      </c>
      <c r="AI855" s="283">
        <f t="shared" si="102"/>
        <v>0</v>
      </c>
    </row>
    <row r="856" spans="1:35" ht="30" x14ac:dyDescent="0.25">
      <c r="A856" s="275">
        <f>'Profits 2016'!A6069</f>
        <v>3004774</v>
      </c>
      <c r="B856" s="279">
        <f>'Profits 2016'!B6069</f>
        <v>42649</v>
      </c>
      <c r="C856" s="276">
        <f>'Profits 2016'!H6069</f>
        <v>140</v>
      </c>
      <c r="D856" s="280">
        <f>'Profits 2016'!K6069</f>
        <v>119</v>
      </c>
      <c r="E856" s="276">
        <f>'Profits 2016'!L6069</f>
        <v>695</v>
      </c>
      <c r="F856" s="275" t="str">
        <f>'Profits 2016'!P6069</f>
        <v>Nassau</v>
      </c>
      <c r="G856" s="292">
        <f>'Profits 2016'!N6069-'Profits 2016'!M6069</f>
        <v>69.5</v>
      </c>
      <c r="H856" s="319"/>
      <c r="I856" s="320"/>
      <c r="J856" s="321"/>
      <c r="K856" s="321"/>
      <c r="L856" s="321"/>
      <c r="M856" s="319"/>
      <c r="N856" s="322"/>
      <c r="O856" s="236" t="str">
        <f>'Profits 2016'!T6069</f>
        <v>FEDEX GROUND</v>
      </c>
      <c r="P856" s="284" t="str">
        <f>'Profits 2016'!U6069</f>
        <v>702723289252</v>
      </c>
      <c r="Q856" s="284" t="s">
        <v>314</v>
      </c>
      <c r="R856" s="276">
        <v>26.78</v>
      </c>
      <c r="S856" s="275" t="s">
        <v>15802</v>
      </c>
      <c r="T856" s="279">
        <v>42660</v>
      </c>
      <c r="U856" s="279">
        <v>42663</v>
      </c>
      <c r="V856" s="279">
        <v>42671</v>
      </c>
      <c r="W856" s="293">
        <f>R856</f>
        <v>26.78</v>
      </c>
      <c r="X856" s="236">
        <v>9250</v>
      </c>
      <c r="AF856" s="276">
        <f t="shared" si="96"/>
        <v>96.28</v>
      </c>
      <c r="AG856" s="276">
        <f t="shared" si="100"/>
        <v>26.78</v>
      </c>
      <c r="AH856" s="276">
        <f t="shared" si="101"/>
        <v>92.22</v>
      </c>
      <c r="AI856" s="283">
        <f t="shared" si="102"/>
        <v>0.95783132530120485</v>
      </c>
    </row>
    <row r="857" spans="1:35" ht="30" x14ac:dyDescent="0.25">
      <c r="A857" s="275">
        <f>'Profits 2016'!A6070</f>
        <v>3004775</v>
      </c>
      <c r="B857" s="279">
        <f>'Profits 2016'!B6070</f>
        <v>42649</v>
      </c>
      <c r="C857" s="276">
        <f>'Profits 2016'!H6070</f>
        <v>880</v>
      </c>
      <c r="D857" s="280">
        <f>'Profits 2016'!K6070</f>
        <v>851.1</v>
      </c>
      <c r="E857" s="276">
        <f>'Profits 2016'!L6070</f>
        <v>448</v>
      </c>
      <c r="F857" s="275" t="str">
        <f>'Profits 2016'!P6070</f>
        <v>Commodity</v>
      </c>
      <c r="G857" s="292">
        <f>'Profits 2016'!N6070-'Profits 2016'!M6070</f>
        <v>392</v>
      </c>
      <c r="H857" s="292">
        <v>0</v>
      </c>
      <c r="I857" s="275" t="s">
        <v>15857</v>
      </c>
      <c r="J857" s="277">
        <v>42649</v>
      </c>
      <c r="K857" s="277">
        <v>42654</v>
      </c>
      <c r="L857" s="277">
        <v>42657</v>
      </c>
      <c r="M857" s="292">
        <f>392-9.71</f>
        <v>382.29</v>
      </c>
      <c r="N857" s="281">
        <v>9159</v>
      </c>
      <c r="O857" s="236" t="str">
        <f>'Profits 2016'!T6070</f>
        <v>FEDEX GROUND</v>
      </c>
      <c r="P857" s="284" t="str">
        <f>'Profits 2016'!U6070</f>
        <v>734763555</v>
      </c>
      <c r="Q857" s="284" t="s">
        <v>15764</v>
      </c>
      <c r="R857" s="276">
        <v>93.55</v>
      </c>
      <c r="S857" s="275" t="s">
        <v>15857</v>
      </c>
      <c r="T857" s="279">
        <v>42649</v>
      </c>
      <c r="U857" s="279">
        <v>42654</v>
      </c>
      <c r="V857" s="279">
        <v>42657</v>
      </c>
      <c r="W857" s="293">
        <v>93.55</v>
      </c>
      <c r="X857" s="236">
        <v>9151</v>
      </c>
      <c r="AF857" s="276">
        <f t="shared" si="96"/>
        <v>485.55</v>
      </c>
      <c r="AG857" s="276">
        <f t="shared" si="100"/>
        <v>475.84000000000003</v>
      </c>
      <c r="AH857" s="276">
        <f t="shared" si="101"/>
        <v>375.26</v>
      </c>
      <c r="AI857" s="283">
        <f t="shared" si="102"/>
        <v>0.77285552466275353</v>
      </c>
    </row>
    <row r="858" spans="1:35" ht="15" customHeight="1" x14ac:dyDescent="0.25">
      <c r="A858" s="275">
        <f>'Profits 2016'!A6071</f>
        <v>3004776</v>
      </c>
      <c r="B858" s="279">
        <f>'Profits 2016'!B6071</f>
        <v>42649</v>
      </c>
      <c r="C858" s="276">
        <f>'Profits 2016'!H6071</f>
        <v>193.04</v>
      </c>
      <c r="D858" s="280">
        <f>'Profits 2016'!K6071</f>
        <v>164.084</v>
      </c>
      <c r="E858" s="276">
        <f>'Profits 2016'!L6071</f>
        <v>900</v>
      </c>
      <c r="F858" s="275" t="str">
        <f>'Profits 2016'!P6071</f>
        <v>Nassau</v>
      </c>
      <c r="G858" s="292">
        <f>'Profits 2016'!N6071-'Profits 2016'!M6071</f>
        <v>90</v>
      </c>
      <c r="H858" s="319"/>
      <c r="I858" s="320"/>
      <c r="J858" s="321"/>
      <c r="K858" s="321"/>
      <c r="L858" s="321"/>
      <c r="M858" s="319"/>
      <c r="N858" s="322"/>
      <c r="O858" s="236" t="str">
        <f>'Profits 2016'!T6071</f>
        <v>FEDEX GROUND</v>
      </c>
      <c r="P858" s="284" t="str">
        <f>'Profits 2016'!U6071</f>
        <v>702723289285</v>
      </c>
      <c r="Q858" s="284" t="s">
        <v>314</v>
      </c>
      <c r="R858" s="276">
        <v>23.9</v>
      </c>
      <c r="S858" s="275" t="s">
        <v>15805</v>
      </c>
      <c r="T858" s="279">
        <v>42667</v>
      </c>
      <c r="U858" s="279">
        <v>42670</v>
      </c>
      <c r="V858" s="279">
        <v>42678</v>
      </c>
      <c r="W858" s="293">
        <v>0</v>
      </c>
      <c r="X858" s="236">
        <v>9301</v>
      </c>
      <c r="AF858" s="276">
        <f t="shared" si="96"/>
        <v>113.9</v>
      </c>
      <c r="AG858" s="276">
        <f t="shared" si="100"/>
        <v>23.9</v>
      </c>
      <c r="AH858" s="276">
        <f t="shared" si="101"/>
        <v>140.184</v>
      </c>
      <c r="AI858" s="283">
        <f t="shared" si="102"/>
        <v>1.2307638279192272</v>
      </c>
    </row>
    <row r="859" spans="1:35" ht="30" x14ac:dyDescent="0.25">
      <c r="A859" s="275">
        <f>'Profits 2016'!A6072</f>
        <v>3004777</v>
      </c>
      <c r="B859" s="279">
        <f>'Profits 2016'!B6072</f>
        <v>42649</v>
      </c>
      <c r="C859" s="276">
        <f>'Profits 2016'!H6072</f>
        <v>120.78</v>
      </c>
      <c r="D859" s="280">
        <f>'Profits 2016'!K6072</f>
        <v>102.663</v>
      </c>
      <c r="E859" s="276">
        <f>'Profits 2016'!L6072</f>
        <v>1450</v>
      </c>
      <c r="F859" s="275" t="str">
        <f>'Profits 2016'!P6072</f>
        <v>Direct</v>
      </c>
      <c r="G859" s="292">
        <f>'Profits 2016'!N6072-'Profits 2016'!M6072</f>
        <v>36.25</v>
      </c>
      <c r="H859" s="292">
        <v>0</v>
      </c>
      <c r="I859" s="275">
        <v>74098</v>
      </c>
      <c r="J859" s="277" t="s">
        <v>15856</v>
      </c>
      <c r="K859" s="277">
        <v>42656</v>
      </c>
      <c r="L859" s="277">
        <v>42664</v>
      </c>
      <c r="M859" s="292">
        <v>71.540000000000006</v>
      </c>
      <c r="N859" s="281">
        <v>9212</v>
      </c>
      <c r="O859" s="236" t="str">
        <f>'Profits 2016'!T6072</f>
        <v>FEDEX GROUND</v>
      </c>
      <c r="P859" s="284" t="str">
        <f>'Profits 2016'!U6072</f>
        <v>655702855323</v>
      </c>
      <c r="Q859" s="284" t="s">
        <v>314</v>
      </c>
      <c r="R859" s="276">
        <v>13.87</v>
      </c>
      <c r="S859" s="275" t="s">
        <v>15805</v>
      </c>
      <c r="T859" s="279">
        <v>42667</v>
      </c>
      <c r="U859" s="279">
        <v>42670</v>
      </c>
      <c r="V859" s="279">
        <v>42678</v>
      </c>
      <c r="W859" s="293">
        <v>0</v>
      </c>
      <c r="X859" s="236">
        <v>9301</v>
      </c>
      <c r="AF859" s="276">
        <f t="shared" si="96"/>
        <v>50.12</v>
      </c>
      <c r="AG859" s="276">
        <f t="shared" si="100"/>
        <v>85.410000000000011</v>
      </c>
      <c r="AH859" s="276">
        <f t="shared" si="101"/>
        <v>17.252999999999986</v>
      </c>
      <c r="AI859" s="283">
        <f t="shared" si="102"/>
        <v>0.34423383878691116</v>
      </c>
    </row>
    <row r="860" spans="1:35" x14ac:dyDescent="0.25">
      <c r="A860" s="275">
        <f>'Profits 2016'!A6073</f>
        <v>0</v>
      </c>
      <c r="B860" s="279">
        <f>'Profits 2016'!B6073</f>
        <v>0</v>
      </c>
      <c r="C860" s="276">
        <f>'Profits 2016'!H6073</f>
        <v>0</v>
      </c>
      <c r="D860" s="280">
        <f>'Profits 2016'!K6073</f>
        <v>0</v>
      </c>
      <c r="E860" s="276">
        <f>'Profits 2016'!L6073</f>
        <v>1470</v>
      </c>
      <c r="F860" s="275" t="str">
        <f>'Profits 2016'!P6073</f>
        <v>Direct</v>
      </c>
      <c r="G860" s="292">
        <f>'Profits 2016'!N6073-'Profits 2016'!M6073</f>
        <v>36.75</v>
      </c>
      <c r="H860" s="292">
        <v>0</v>
      </c>
      <c r="I860" s="275">
        <v>74098</v>
      </c>
      <c r="J860" s="277" t="s">
        <v>15856</v>
      </c>
      <c r="K860" s="277">
        <v>42656</v>
      </c>
      <c r="L860" s="277">
        <v>42664</v>
      </c>
      <c r="M860" s="292">
        <v>0</v>
      </c>
      <c r="N860" s="281">
        <v>9212</v>
      </c>
      <c r="O860" s="236">
        <f>'Profits 2016'!T6073</f>
        <v>0</v>
      </c>
      <c r="P860" s="284">
        <f>'Profits 2016'!U6073</f>
        <v>0</v>
      </c>
      <c r="Q860" s="284" t="s">
        <v>314</v>
      </c>
      <c r="R860" s="276">
        <v>0</v>
      </c>
      <c r="S860" s="275" t="s">
        <v>15805</v>
      </c>
      <c r="T860" s="279">
        <v>42667</v>
      </c>
      <c r="U860" s="279">
        <v>42670</v>
      </c>
      <c r="V860" s="279">
        <v>42678</v>
      </c>
      <c r="W860" s="293">
        <v>0</v>
      </c>
      <c r="X860" s="236">
        <v>9301</v>
      </c>
      <c r="AF860" s="276">
        <f t="shared" si="96"/>
        <v>36.75</v>
      </c>
      <c r="AG860" s="276">
        <f t="shared" si="100"/>
        <v>0</v>
      </c>
      <c r="AH860" s="276">
        <f t="shared" si="101"/>
        <v>0</v>
      </c>
      <c r="AI860" s="283">
        <f t="shared" si="102"/>
        <v>0</v>
      </c>
    </row>
    <row r="861" spans="1:35" ht="30" x14ac:dyDescent="0.25">
      <c r="A861" s="275">
        <f>'Profits 2016'!A6074</f>
        <v>3004778</v>
      </c>
      <c r="B861" s="279">
        <f>'Profits 2016'!B6074</f>
        <v>42649</v>
      </c>
      <c r="C861" s="276">
        <f>'Profits 2016'!H6074</f>
        <v>195.25</v>
      </c>
      <c r="D861" s="280">
        <f>'Profits 2016'!K6074</f>
        <v>173.66775000000001</v>
      </c>
      <c r="E861" s="276">
        <f>'Profits 2016'!L6074</f>
        <v>900</v>
      </c>
      <c r="F861" s="275" t="str">
        <f>'Profits 2016'!P6074</f>
        <v>Nassau</v>
      </c>
      <c r="G861" s="292">
        <f>'Profits 2016'!N6074-'Profits 2016'!M6074</f>
        <v>90</v>
      </c>
      <c r="H861" s="319"/>
      <c r="I861" s="320"/>
      <c r="J861" s="321"/>
      <c r="K861" s="321"/>
      <c r="L861" s="321"/>
      <c r="M861" s="319"/>
      <c r="N861" s="322"/>
      <c r="O861" s="236" t="str">
        <f>'Profits 2016'!T6074</f>
        <v>FEDEX GROUND</v>
      </c>
      <c r="P861" s="284" t="str">
        <f>'Profits 2016'!U6074</f>
        <v>702723289311</v>
      </c>
      <c r="Q861" s="284" t="s">
        <v>314</v>
      </c>
      <c r="R861" s="276">
        <v>38.22</v>
      </c>
      <c r="S861" s="275" t="s">
        <v>15805</v>
      </c>
      <c r="T861" s="279">
        <v>42667</v>
      </c>
      <c r="U861" s="279">
        <v>42670</v>
      </c>
      <c r="V861" s="279">
        <v>42678</v>
      </c>
      <c r="W861" s="293">
        <v>0</v>
      </c>
      <c r="X861" s="236">
        <v>9301</v>
      </c>
      <c r="AF861" s="276">
        <f t="shared" si="96"/>
        <v>128.22</v>
      </c>
      <c r="AG861" s="276">
        <f t="shared" si="100"/>
        <v>38.22</v>
      </c>
      <c r="AH861" s="276">
        <f t="shared" si="101"/>
        <v>135.44775000000001</v>
      </c>
      <c r="AI861" s="283">
        <f t="shared" si="102"/>
        <v>1.0563699110903135</v>
      </c>
    </row>
    <row r="862" spans="1:35" ht="30" x14ac:dyDescent="0.25">
      <c r="A862" s="275">
        <f>'Profits 2016'!A6075</f>
        <v>3004779</v>
      </c>
      <c r="B862" s="279">
        <f>'Profits 2016'!B6075</f>
        <v>42649</v>
      </c>
      <c r="C862" s="276">
        <f>'Profits 2016'!H6075</f>
        <v>224.43</v>
      </c>
      <c r="D862" s="280">
        <f>'Profits 2016'!K6075</f>
        <v>190.7655</v>
      </c>
      <c r="E862" s="276">
        <f>'Profits 2016'!L6075</f>
        <v>584</v>
      </c>
      <c r="F862" s="275" t="str">
        <f>'Profits 2016'!P6075</f>
        <v>Commodity</v>
      </c>
      <c r="G862" s="292">
        <f>'Profits 2016'!N6075-'Profits 2016'!M6075</f>
        <v>116.80000000000003</v>
      </c>
      <c r="H862" s="292">
        <v>0</v>
      </c>
      <c r="I862" s="275" t="s">
        <v>15858</v>
      </c>
      <c r="J862" s="277">
        <v>42653</v>
      </c>
      <c r="K862" s="277">
        <v>42657</v>
      </c>
      <c r="L862" s="277">
        <v>42664</v>
      </c>
      <c r="M862" s="292">
        <v>114.46</v>
      </c>
      <c r="N862" s="281">
        <v>9211</v>
      </c>
      <c r="O862" s="236" t="str">
        <f>'Profits 2016'!T6075</f>
        <v>FEDEX GROUND</v>
      </c>
      <c r="P862" s="284" t="str">
        <f>'Profits 2016'!U6075</f>
        <v>777426865798</v>
      </c>
      <c r="Q862" s="284" t="s">
        <v>314</v>
      </c>
      <c r="R862" s="276">
        <v>34.92</v>
      </c>
      <c r="S862" s="275" t="s">
        <v>15805</v>
      </c>
      <c r="T862" s="279">
        <v>42667</v>
      </c>
      <c r="U862" s="279">
        <v>42670</v>
      </c>
      <c r="V862" s="279">
        <v>42678</v>
      </c>
      <c r="W862" s="293">
        <v>0</v>
      </c>
      <c r="X862" s="236">
        <v>9301</v>
      </c>
      <c r="AF862" s="276">
        <f t="shared" si="96"/>
        <v>151.72000000000003</v>
      </c>
      <c r="AG862" s="276">
        <f t="shared" si="100"/>
        <v>149.38</v>
      </c>
      <c r="AH862" s="276">
        <f t="shared" si="101"/>
        <v>41.385500000000008</v>
      </c>
      <c r="AI862" s="283">
        <f t="shared" si="102"/>
        <v>0.27277550751384128</v>
      </c>
    </row>
    <row r="863" spans="1:35" ht="30" x14ac:dyDescent="0.25">
      <c r="A863" s="275">
        <f>'Profits 2016'!A6076</f>
        <v>3004780</v>
      </c>
      <c r="B863" s="279">
        <f>'Profits 2016'!B6076</f>
        <v>42649</v>
      </c>
      <c r="C863" s="276">
        <f>'Profits 2016'!H6076</f>
        <v>116</v>
      </c>
      <c r="D863" s="280">
        <f>'Profits 2016'!K6076</f>
        <v>113.148</v>
      </c>
      <c r="E863" s="276">
        <f>'Profits 2016'!L6076</f>
        <v>743</v>
      </c>
      <c r="F863" s="275" t="str">
        <f>'Profits 2016'!P6076</f>
        <v>Priority</v>
      </c>
      <c r="G863" s="292">
        <f>'Profits 2016'!N6076-'Profits 2016'!M6076</f>
        <v>27.491000000000003</v>
      </c>
      <c r="H863" s="292">
        <v>0</v>
      </c>
      <c r="I863" s="275">
        <v>1063738</v>
      </c>
      <c r="J863" s="277">
        <v>42649</v>
      </c>
      <c r="K863" s="277">
        <v>42657</v>
      </c>
      <c r="L863" s="277">
        <v>42678</v>
      </c>
      <c r="M863" s="292">
        <v>31.21</v>
      </c>
      <c r="N863" s="281">
        <v>9339</v>
      </c>
      <c r="O863" s="236" t="str">
        <f>'Profits 2016'!T6076</f>
        <v>FEDEX GROUND</v>
      </c>
      <c r="P863" s="284">
        <f>'Profits 2016'!U6076</f>
        <v>3</v>
      </c>
      <c r="Q863" s="284" t="s">
        <v>15740</v>
      </c>
      <c r="R863" s="276">
        <v>19.559999999999999</v>
      </c>
      <c r="S863" s="275">
        <v>1063738</v>
      </c>
      <c r="T863" s="279">
        <v>42649</v>
      </c>
      <c r="U863" s="279">
        <v>42657</v>
      </c>
      <c r="V863" s="279">
        <v>42678</v>
      </c>
      <c r="W863" s="293">
        <v>19.559999999999999</v>
      </c>
      <c r="X863" s="236">
        <v>9339</v>
      </c>
      <c r="AF863" s="276">
        <f t="shared" si="96"/>
        <v>47.051000000000002</v>
      </c>
      <c r="AG863" s="276">
        <f t="shared" si="100"/>
        <v>50.769999999999996</v>
      </c>
      <c r="AH863" s="276">
        <f t="shared" si="101"/>
        <v>62.378</v>
      </c>
      <c r="AI863" s="283">
        <f t="shared" si="102"/>
        <v>1.3257529064206923</v>
      </c>
    </row>
    <row r="864" spans="1:35" x14ac:dyDescent="0.25">
      <c r="A864" s="275">
        <f>'Profits 2016'!A6077</f>
        <v>3004781</v>
      </c>
      <c r="B864" s="279">
        <f>'Profits 2016'!B6077</f>
        <v>42649</v>
      </c>
      <c r="C864" s="276">
        <f>'Profits 2016'!H6077</f>
        <v>9350</v>
      </c>
      <c r="D864" s="280">
        <f>'Profits 2016'!K6077</f>
        <v>9350</v>
      </c>
      <c r="E864" s="276">
        <f>'Profits 2016'!L6077</f>
        <v>73.5</v>
      </c>
      <c r="F864" s="275" t="str">
        <f>'Profits 2016'!P6077</f>
        <v>Atlanta</v>
      </c>
      <c r="G864" s="292">
        <f>'Profits 2016'!N6077-'Profits 2016'!M6077</f>
        <v>551.25</v>
      </c>
      <c r="H864" s="335"/>
      <c r="I864" s="336"/>
      <c r="J864" s="337"/>
      <c r="K864" s="337"/>
      <c r="L864" s="337"/>
      <c r="M864" s="335"/>
      <c r="N864" s="338"/>
      <c r="O864" s="236" t="str">
        <f>'Profits 2016'!T6077</f>
        <v>R&amp;L/ECHO</v>
      </c>
      <c r="P864" s="284" t="str">
        <f>'Profits 2016'!U6077</f>
        <v>741298032</v>
      </c>
      <c r="Q864" s="284" t="s">
        <v>15767</v>
      </c>
      <c r="R864" s="276">
        <v>158.59</v>
      </c>
      <c r="S864" s="275" t="s">
        <v>15859</v>
      </c>
      <c r="T864" s="279">
        <v>42657</v>
      </c>
      <c r="U864" s="279">
        <v>42675</v>
      </c>
      <c r="AF864" s="276">
        <f t="shared" si="96"/>
        <v>709.84</v>
      </c>
      <c r="AG864" s="276">
        <f t="shared" si="100"/>
        <v>158.59</v>
      </c>
      <c r="AH864" s="276">
        <f t="shared" si="101"/>
        <v>9191.41</v>
      </c>
      <c r="AI864" s="283">
        <f t="shared" si="102"/>
        <v>12.948565873999774</v>
      </c>
    </row>
    <row r="865" spans="1:35" x14ac:dyDescent="0.25">
      <c r="A865" s="275">
        <f>'Profits 2016'!A6078</f>
        <v>0</v>
      </c>
      <c r="B865" s="279">
        <f>'Profits 2016'!B6078</f>
        <v>0</v>
      </c>
      <c r="C865" s="276">
        <f>'Profits 2016'!H6078</f>
        <v>0</v>
      </c>
      <c r="D865" s="280">
        <f>'Profits 2016'!K6078</f>
        <v>0</v>
      </c>
      <c r="E865" s="276">
        <f>'Profits 2016'!L6078</f>
        <v>73.5</v>
      </c>
      <c r="F865" s="275" t="str">
        <f>'Profits 2016'!P6078</f>
        <v>Atlanta</v>
      </c>
      <c r="G865" s="292">
        <f>'Profits 2016'!N6078-'Profits 2016'!M6078</f>
        <v>551.25</v>
      </c>
      <c r="H865" s="335"/>
      <c r="I865" s="336"/>
      <c r="J865" s="337"/>
      <c r="K865" s="337"/>
      <c r="L865" s="337"/>
      <c r="M865" s="335"/>
      <c r="N865" s="338"/>
      <c r="O865" s="236">
        <f>'Profits 2016'!T6078</f>
        <v>0</v>
      </c>
      <c r="P865" s="284">
        <f>'Profits 2016'!U6078</f>
        <v>0</v>
      </c>
      <c r="Q865" s="284" t="s">
        <v>15767</v>
      </c>
      <c r="R865" s="276">
        <v>0</v>
      </c>
      <c r="S865" s="275" t="s">
        <v>15859</v>
      </c>
      <c r="T865" s="279">
        <v>42657</v>
      </c>
      <c r="U865" s="279">
        <v>42675</v>
      </c>
      <c r="AF865" s="276">
        <f t="shared" si="96"/>
        <v>551.25</v>
      </c>
      <c r="AG865" s="276">
        <f t="shared" si="100"/>
        <v>0</v>
      </c>
      <c r="AH865" s="276">
        <f t="shared" si="101"/>
        <v>0</v>
      </c>
      <c r="AI865" s="283">
        <f t="shared" si="102"/>
        <v>0</v>
      </c>
    </row>
    <row r="866" spans="1:35" x14ac:dyDescent="0.25">
      <c r="A866" s="275">
        <f>'Profits 2016'!A6079</f>
        <v>0</v>
      </c>
      <c r="B866" s="279">
        <f>'Profits 2016'!B6079</f>
        <v>0</v>
      </c>
      <c r="C866" s="276">
        <f>'Profits 2016'!H6079</f>
        <v>0</v>
      </c>
      <c r="D866" s="280">
        <f>'Profits 2016'!K6079</f>
        <v>0</v>
      </c>
      <c r="E866" s="276">
        <f>'Profits 2016'!L6079</f>
        <v>49</v>
      </c>
      <c r="F866" s="275" t="str">
        <f>'Profits 2016'!P6079</f>
        <v>Atlanta</v>
      </c>
      <c r="G866" s="292">
        <f>'Profits 2016'!N6079-'Profits 2016'!M6079</f>
        <v>245</v>
      </c>
      <c r="H866" s="335"/>
      <c r="I866" s="336"/>
      <c r="J866" s="337"/>
      <c r="K866" s="337"/>
      <c r="L866" s="337"/>
      <c r="M866" s="335"/>
      <c r="N866" s="338"/>
      <c r="O866" s="236">
        <f>'Profits 2016'!T6079</f>
        <v>0</v>
      </c>
      <c r="P866" s="284">
        <f>'Profits 2016'!U6079</f>
        <v>0</v>
      </c>
      <c r="Q866" s="284" t="s">
        <v>15767</v>
      </c>
      <c r="R866" s="276">
        <v>0</v>
      </c>
      <c r="S866" s="275" t="s">
        <v>15859</v>
      </c>
      <c r="T866" s="279">
        <v>42657</v>
      </c>
      <c r="U866" s="279">
        <v>42675</v>
      </c>
      <c r="AF866" s="276">
        <f t="shared" si="96"/>
        <v>245</v>
      </c>
      <c r="AG866" s="276">
        <f t="shared" si="100"/>
        <v>0</v>
      </c>
      <c r="AH866" s="276">
        <f t="shared" si="101"/>
        <v>0</v>
      </c>
      <c r="AI866" s="283">
        <f t="shared" si="102"/>
        <v>0</v>
      </c>
    </row>
    <row r="867" spans="1:35" x14ac:dyDescent="0.25">
      <c r="A867" s="275">
        <f>'Profits 2016'!A6080</f>
        <v>0</v>
      </c>
      <c r="B867" s="279">
        <f>'Profits 2016'!B6080</f>
        <v>0</v>
      </c>
      <c r="C867" s="276">
        <f>'Profits 2016'!H6080</f>
        <v>0</v>
      </c>
      <c r="D867" s="280">
        <f>'Profits 2016'!K6080</f>
        <v>0</v>
      </c>
      <c r="E867" s="276">
        <f>'Profits 2016'!L6080</f>
        <v>73.5</v>
      </c>
      <c r="F867" s="275" t="str">
        <f>'Profits 2016'!P6080</f>
        <v>Atlanta</v>
      </c>
      <c r="G867" s="292">
        <f>'Profits 2016'!N6080-'Profits 2016'!M6080</f>
        <v>551.25</v>
      </c>
      <c r="H867" s="335"/>
      <c r="I867" s="336"/>
      <c r="J867" s="337"/>
      <c r="K867" s="337"/>
      <c r="L867" s="337"/>
      <c r="M867" s="335"/>
      <c r="N867" s="338"/>
      <c r="O867" s="236">
        <f>'Profits 2016'!T6080</f>
        <v>0</v>
      </c>
      <c r="P867" s="284">
        <f>'Profits 2016'!U6080</f>
        <v>0</v>
      </c>
      <c r="Q867" s="284" t="s">
        <v>15767</v>
      </c>
      <c r="R867" s="276">
        <v>0</v>
      </c>
      <c r="S867" s="275" t="s">
        <v>15859</v>
      </c>
      <c r="T867" s="279">
        <v>42657</v>
      </c>
      <c r="U867" s="279">
        <v>42675</v>
      </c>
      <c r="AF867" s="276">
        <f t="shared" si="96"/>
        <v>551.25</v>
      </c>
      <c r="AG867" s="276">
        <f t="shared" si="100"/>
        <v>0</v>
      </c>
      <c r="AH867" s="276">
        <f t="shared" si="101"/>
        <v>0</v>
      </c>
      <c r="AI867" s="283">
        <f t="shared" si="102"/>
        <v>0</v>
      </c>
    </row>
    <row r="868" spans="1:35" x14ac:dyDescent="0.25">
      <c r="A868" s="275">
        <f>'Profits 2016'!A6081</f>
        <v>0</v>
      </c>
      <c r="B868" s="279">
        <f>'Profits 2016'!B6081</f>
        <v>0</v>
      </c>
      <c r="C868" s="276">
        <f>'Profits 2016'!H6081</f>
        <v>0</v>
      </c>
      <c r="D868" s="280">
        <f>'Profits 2016'!K6081</f>
        <v>0</v>
      </c>
      <c r="E868" s="276">
        <f>'Profits 2016'!L6081</f>
        <v>73.5</v>
      </c>
      <c r="F868" s="275" t="str">
        <f>'Profits 2016'!P6081</f>
        <v>Atlanta</v>
      </c>
      <c r="G868" s="292">
        <f>'Profits 2016'!N6081-'Profits 2016'!M6081</f>
        <v>183.75</v>
      </c>
      <c r="H868" s="335"/>
      <c r="I868" s="336"/>
      <c r="J868" s="337"/>
      <c r="K868" s="337"/>
      <c r="L868" s="337"/>
      <c r="M868" s="335"/>
      <c r="N868" s="338"/>
      <c r="O868" s="236">
        <f>'Profits 2016'!T6081</f>
        <v>0</v>
      </c>
      <c r="P868" s="284">
        <f>'Profits 2016'!U6081</f>
        <v>0</v>
      </c>
      <c r="Q868" s="284" t="s">
        <v>15767</v>
      </c>
      <c r="R868" s="276">
        <v>0</v>
      </c>
      <c r="S868" s="275" t="s">
        <v>15859</v>
      </c>
      <c r="T868" s="279">
        <v>42657</v>
      </c>
      <c r="U868" s="279">
        <v>42675</v>
      </c>
      <c r="AF868" s="276">
        <f t="shared" si="96"/>
        <v>183.75</v>
      </c>
      <c r="AG868" s="276">
        <f t="shared" si="100"/>
        <v>0</v>
      </c>
      <c r="AH868" s="276">
        <f t="shared" si="101"/>
        <v>0</v>
      </c>
      <c r="AI868" s="283">
        <f t="shared" si="102"/>
        <v>0</v>
      </c>
    </row>
    <row r="869" spans="1:35" x14ac:dyDescent="0.25">
      <c r="A869" s="275">
        <f>'Profits 2016'!A6082</f>
        <v>0</v>
      </c>
      <c r="B869" s="279">
        <f>'Profits 2016'!B6082</f>
        <v>0</v>
      </c>
      <c r="C869" s="276">
        <f>'Profits 2016'!H6082</f>
        <v>0</v>
      </c>
      <c r="D869" s="280">
        <f>'Profits 2016'!K6082</f>
        <v>0</v>
      </c>
      <c r="E869" s="276">
        <f>'Profits 2016'!L6082</f>
        <v>49</v>
      </c>
      <c r="F869" s="275" t="str">
        <f>'Profits 2016'!P6082</f>
        <v>Atlanta</v>
      </c>
      <c r="G869" s="292">
        <f>'Profits 2016'!N6082-'Profits 2016'!M6082</f>
        <v>367.5</v>
      </c>
      <c r="H869" s="335"/>
      <c r="I869" s="336"/>
      <c r="J869" s="337"/>
      <c r="K869" s="337"/>
      <c r="L869" s="337"/>
      <c r="M869" s="335"/>
      <c r="N869" s="338"/>
      <c r="O869" s="236">
        <f>'Profits 2016'!T6082</f>
        <v>0</v>
      </c>
      <c r="P869" s="284">
        <f>'Profits 2016'!U6082</f>
        <v>0</v>
      </c>
      <c r="Q869" s="284" t="s">
        <v>15767</v>
      </c>
      <c r="R869" s="276">
        <v>0</v>
      </c>
      <c r="S869" s="275" t="s">
        <v>15859</v>
      </c>
      <c r="T869" s="279">
        <v>42657</v>
      </c>
      <c r="U869" s="279">
        <v>42675</v>
      </c>
      <c r="AF869" s="276">
        <f t="shared" si="96"/>
        <v>367.5</v>
      </c>
      <c r="AG869" s="276">
        <f t="shared" si="100"/>
        <v>0</v>
      </c>
      <c r="AH869" s="276">
        <f t="shared" si="101"/>
        <v>0</v>
      </c>
      <c r="AI869" s="283">
        <f t="shared" si="102"/>
        <v>0</v>
      </c>
    </row>
    <row r="870" spans="1:35" ht="30" x14ac:dyDescent="0.25">
      <c r="A870" s="275">
        <f>'Profits 2016'!A6083</f>
        <v>0</v>
      </c>
      <c r="B870" s="279">
        <f>'Profits 2016'!B6083</f>
        <v>0</v>
      </c>
      <c r="C870" s="276">
        <f>'Profits 2016'!H6083</f>
        <v>0</v>
      </c>
      <c r="D870" s="280">
        <f>'Profits 2016'!K6083</f>
        <v>0</v>
      </c>
      <c r="E870" s="276">
        <f>'Profits 2016'!L6083</f>
        <v>180</v>
      </c>
      <c r="F870" s="275" t="str">
        <f>'Profits 2016'!P6083</f>
        <v>Nassau</v>
      </c>
      <c r="G870" s="292">
        <f>'Profits 2016'!N6083-'Profits 2016'!M6083</f>
        <v>4500</v>
      </c>
      <c r="H870" s="319"/>
      <c r="I870" s="320"/>
      <c r="J870" s="321"/>
      <c r="K870" s="321"/>
      <c r="L870" s="321"/>
      <c r="M870" s="319"/>
      <c r="N870" s="322"/>
      <c r="O870" s="236" t="str">
        <f>'Profits 2016'!T6083</f>
        <v>PITT OHIO/DLS</v>
      </c>
      <c r="P870" s="284" t="str">
        <f>'Profits 2016'!U6083</f>
        <v>5011804501</v>
      </c>
      <c r="Q870" s="284" t="s">
        <v>15804</v>
      </c>
      <c r="R870" s="276">
        <v>300.85000000000002</v>
      </c>
      <c r="S870" s="275">
        <v>636820000</v>
      </c>
      <c r="T870" s="279">
        <v>42654</v>
      </c>
      <c r="U870" s="279">
        <v>42660</v>
      </c>
      <c r="V870" s="279">
        <v>42664</v>
      </c>
      <c r="W870" s="293">
        <v>300.85000000000002</v>
      </c>
      <c r="X870" s="236">
        <v>9230</v>
      </c>
      <c r="AF870" s="276">
        <f t="shared" si="96"/>
        <v>4800.8500000000004</v>
      </c>
      <c r="AG870" s="276">
        <f t="shared" si="100"/>
        <v>300.85000000000002</v>
      </c>
      <c r="AH870" s="276">
        <f t="shared" si="101"/>
        <v>-300.85000000000002</v>
      </c>
      <c r="AI870" s="283">
        <f t="shared" si="102"/>
        <v>-6.2665986231604826E-2</v>
      </c>
    </row>
    <row r="871" spans="1:35" ht="30" x14ac:dyDescent="0.25">
      <c r="A871" s="275">
        <f>'Profits 2016'!A6084</f>
        <v>3004782</v>
      </c>
      <c r="B871" s="279">
        <f>'Profits 2016'!B6084</f>
        <v>42649</v>
      </c>
      <c r="C871" s="276">
        <f>'Profits 2016'!H6084</f>
        <v>290</v>
      </c>
      <c r="D871" s="280">
        <f>'Profits 2016'!K6084</f>
        <v>283.32</v>
      </c>
      <c r="E871" s="276">
        <f>'Profits 2016'!L6084</f>
        <v>1241.08</v>
      </c>
      <c r="F871" s="275" t="str">
        <f>'Profits 2016'!P6084</f>
        <v>Nassau</v>
      </c>
      <c r="G871" s="292">
        <f>'Profits 2016'!N6084-'Profits 2016'!M6084</f>
        <v>124.108</v>
      </c>
      <c r="H871" s="319"/>
      <c r="I871" s="320"/>
      <c r="J871" s="321"/>
      <c r="K871" s="321"/>
      <c r="L871" s="321"/>
      <c r="M871" s="319"/>
      <c r="N871" s="322"/>
      <c r="O871" s="236" t="str">
        <f>'Profits 2016'!T6084</f>
        <v>FEDEX GROUND</v>
      </c>
      <c r="P871" s="284" t="str">
        <f>'Profits 2016'!U6084</f>
        <v>702723289322</v>
      </c>
      <c r="Q871" s="284" t="s">
        <v>314</v>
      </c>
      <c r="R871" s="276">
        <v>18.79</v>
      </c>
      <c r="S871" s="275" t="s">
        <v>15805</v>
      </c>
      <c r="T871" s="279">
        <v>42667</v>
      </c>
      <c r="U871" s="279">
        <v>42670</v>
      </c>
      <c r="V871" s="279">
        <v>42678</v>
      </c>
      <c r="W871" s="293">
        <v>0</v>
      </c>
      <c r="X871" s="236">
        <v>9301</v>
      </c>
      <c r="AF871" s="276">
        <f t="shared" si="96"/>
        <v>167.898</v>
      </c>
      <c r="AG871" s="276">
        <f t="shared" si="100"/>
        <v>18.79</v>
      </c>
      <c r="AH871" s="276">
        <f t="shared" si="101"/>
        <v>264.52999999999997</v>
      </c>
      <c r="AI871" s="283">
        <f t="shared" si="102"/>
        <v>1.5755399111365231</v>
      </c>
    </row>
    <row r="872" spans="1:35" ht="30" x14ac:dyDescent="0.25">
      <c r="A872" s="275">
        <f>'Profits 2016'!A6085</f>
        <v>3004783</v>
      </c>
      <c r="B872" s="279">
        <f>'Profits 2016'!B6085</f>
        <v>42649</v>
      </c>
      <c r="C872" s="276">
        <f>'Profits 2016'!H6085</f>
        <v>1785</v>
      </c>
      <c r="D872" s="280">
        <f>'Profits 2016'!K6085</f>
        <v>1785</v>
      </c>
      <c r="E872" s="276">
        <f>'Profits 2016'!L6085</f>
        <v>130.84</v>
      </c>
      <c r="F872" s="275" t="str">
        <f>'Profits 2016'!P6085</f>
        <v>ADCable</v>
      </c>
      <c r="G872" s="292">
        <f>'Profits 2016'!N6085-'Profits 2016'!M6085</f>
        <v>196.26</v>
      </c>
      <c r="H872" s="292">
        <v>25</v>
      </c>
      <c r="I872" s="275">
        <v>139160</v>
      </c>
      <c r="J872" s="277">
        <v>42653</v>
      </c>
      <c r="K872" s="277">
        <v>42660</v>
      </c>
      <c r="L872" s="277">
        <v>42664</v>
      </c>
      <c r="M872" s="292">
        <v>345.06</v>
      </c>
      <c r="N872" s="281">
        <v>9208</v>
      </c>
      <c r="O872" s="236" t="str">
        <f>'Profits 2016'!T6085</f>
        <v>UPS GROUND</v>
      </c>
      <c r="P872" s="284" t="str">
        <f>'Profits 2016'!U6085</f>
        <v>1Z5316EX0345236515</v>
      </c>
      <c r="Q872" s="345"/>
      <c r="R872" s="342"/>
      <c r="S872" s="336"/>
      <c r="T872" s="341"/>
      <c r="U872" s="341"/>
      <c r="V872" s="341"/>
      <c r="W872" s="346"/>
      <c r="X872" s="344"/>
      <c r="AF872" s="276">
        <f t="shared" ref="AF872:AF936" si="106">G872+H873+R872+Y872</f>
        <v>196.26</v>
      </c>
      <c r="AG872" s="276">
        <f t="shared" si="100"/>
        <v>345.06</v>
      </c>
      <c r="AH872" s="276">
        <f t="shared" si="101"/>
        <v>1439.94</v>
      </c>
      <c r="AI872" s="283">
        <f t="shared" si="102"/>
        <v>7.3369000305716909</v>
      </c>
    </row>
    <row r="873" spans="1:35" x14ac:dyDescent="0.25">
      <c r="A873" s="275">
        <f>'Profits 2016'!A6086</f>
        <v>0</v>
      </c>
      <c r="B873" s="279">
        <f>'Profits 2016'!B6086</f>
        <v>0</v>
      </c>
      <c r="C873" s="276">
        <f>'Profits 2016'!H6086</f>
        <v>0</v>
      </c>
      <c r="D873" s="280">
        <f>'Profits 2016'!K6086</f>
        <v>0</v>
      </c>
      <c r="E873" s="276">
        <f>'Profits 2016'!L6086</f>
        <v>130.84</v>
      </c>
      <c r="F873" s="275" t="str">
        <f>'Profits 2016'!P6086</f>
        <v>ADCable</v>
      </c>
      <c r="G873" s="292">
        <f>'Profits 2016'!N6086-'Profits 2016'!M6086</f>
        <v>130.84</v>
      </c>
      <c r="H873" s="292">
        <v>0</v>
      </c>
      <c r="I873" s="275">
        <v>139160</v>
      </c>
      <c r="J873" s="277">
        <v>42653</v>
      </c>
      <c r="K873" s="277">
        <v>42660</v>
      </c>
      <c r="L873" s="277">
        <v>42664</v>
      </c>
      <c r="M873" s="292">
        <v>0</v>
      </c>
      <c r="N873" s="281">
        <v>9208</v>
      </c>
      <c r="O873" s="236">
        <f>'Profits 2016'!T6086</f>
        <v>0</v>
      </c>
      <c r="P873" s="284" t="str">
        <f>'Profits 2016'!U6086</f>
        <v>1Z5316EX0343089705</v>
      </c>
      <c r="Q873" s="345"/>
      <c r="R873" s="342"/>
      <c r="S873" s="336"/>
      <c r="T873" s="341"/>
      <c r="U873" s="341"/>
      <c r="V873" s="341"/>
      <c r="W873" s="346"/>
      <c r="X873" s="344"/>
      <c r="AF873" s="276">
        <f t="shared" si="106"/>
        <v>130.84</v>
      </c>
      <c r="AG873" s="276">
        <f t="shared" si="100"/>
        <v>0</v>
      </c>
      <c r="AH873" s="276">
        <f t="shared" si="101"/>
        <v>0</v>
      </c>
      <c r="AI873" s="283">
        <f t="shared" si="102"/>
        <v>0</v>
      </c>
    </row>
    <row r="874" spans="1:35" ht="30" x14ac:dyDescent="0.25">
      <c r="A874" s="275">
        <f>'Profits 2016'!A6087</f>
        <v>0</v>
      </c>
      <c r="B874" s="279">
        <f>'Profits 2016'!B6087</f>
        <v>0</v>
      </c>
      <c r="C874" s="276">
        <f>'Profits 2016'!H6087</f>
        <v>0</v>
      </c>
      <c r="D874" s="280">
        <f>'Profits 2016'!K6087</f>
        <v>0</v>
      </c>
      <c r="E874" s="276">
        <f>'Profits 2016'!L6087</f>
        <v>170</v>
      </c>
      <c r="F874" s="275" t="str">
        <f>'Profits 2016'!P6087</f>
        <v>Kris-Tech</v>
      </c>
      <c r="G874" s="292">
        <f>'Profits 2016'!N6087-'Profits 2016'!M6087</f>
        <v>255</v>
      </c>
      <c r="H874" s="292">
        <v>0</v>
      </c>
      <c r="I874" s="275">
        <v>122331</v>
      </c>
      <c r="J874" s="277">
        <v>42653</v>
      </c>
      <c r="K874" s="277">
        <v>42660</v>
      </c>
      <c r="L874" s="277">
        <v>42664</v>
      </c>
      <c r="M874" s="292">
        <v>249.9</v>
      </c>
      <c r="N874" s="281">
        <v>9221</v>
      </c>
      <c r="O874" s="236" t="str">
        <f>'Profits 2016'!T6087</f>
        <v>FEDEX GROUND</v>
      </c>
      <c r="P874" s="284" t="str">
        <f>'Profits 2016'!U6087</f>
        <v>609306367477</v>
      </c>
      <c r="Q874" s="345"/>
      <c r="R874" s="342"/>
      <c r="S874" s="336"/>
      <c r="T874" s="341"/>
      <c r="U874" s="341"/>
      <c r="V874" s="341"/>
      <c r="W874" s="346"/>
      <c r="X874" s="344"/>
      <c r="AF874" s="276">
        <f t="shared" si="106"/>
        <v>255</v>
      </c>
      <c r="AG874" s="276">
        <f t="shared" si="100"/>
        <v>249.9</v>
      </c>
      <c r="AH874" s="276">
        <f t="shared" si="101"/>
        <v>-249.9</v>
      </c>
      <c r="AI874" s="283">
        <f t="shared" si="102"/>
        <v>-0.98</v>
      </c>
    </row>
    <row r="875" spans="1:35" ht="30" x14ac:dyDescent="0.25">
      <c r="A875" s="275">
        <f>'Profits 2016'!A6088</f>
        <v>3004784</v>
      </c>
      <c r="B875" s="279">
        <f>'Profits 2016'!B6088</f>
        <v>42649</v>
      </c>
      <c r="C875" s="276">
        <f>'Profits 2016'!H6088</f>
        <v>815</v>
      </c>
      <c r="D875" s="280">
        <f>'Profits 2016'!K6088</f>
        <v>796.77</v>
      </c>
      <c r="E875" s="276">
        <f>'Profits 2016'!L6088</f>
        <v>1200</v>
      </c>
      <c r="F875" s="275" t="str">
        <f>'Profits 2016'!P6088</f>
        <v xml:space="preserve">Service </v>
      </c>
      <c r="G875" s="292">
        <f>'Profits 2016'!N6088-'Profits 2016'!M6088</f>
        <v>600</v>
      </c>
      <c r="H875" s="292">
        <v>0</v>
      </c>
      <c r="I875" s="275">
        <v>50263816</v>
      </c>
      <c r="J875" s="277">
        <v>42650</v>
      </c>
      <c r="K875" s="277">
        <v>42657</v>
      </c>
      <c r="L875" s="277">
        <v>42678</v>
      </c>
      <c r="M875" s="292">
        <v>600</v>
      </c>
      <c r="N875" s="281">
        <v>9346</v>
      </c>
      <c r="O875" s="236" t="str">
        <f>'Profits 2016'!T6088</f>
        <v>XPO LOGISTICS</v>
      </c>
      <c r="P875" s="284" t="str">
        <f>'Profits 2016'!U6088</f>
        <v>396434791</v>
      </c>
      <c r="Q875" s="345"/>
      <c r="R875" s="342"/>
      <c r="S875" s="336"/>
      <c r="T875" s="341"/>
      <c r="U875" s="341"/>
      <c r="V875" s="341"/>
      <c r="W875" s="346"/>
      <c r="X875" s="344"/>
      <c r="AF875" s="276">
        <f t="shared" si="106"/>
        <v>600</v>
      </c>
      <c r="AG875" s="276">
        <f t="shared" si="100"/>
        <v>600</v>
      </c>
      <c r="AH875" s="276">
        <f t="shared" si="101"/>
        <v>196.76999999999998</v>
      </c>
      <c r="AI875" s="283">
        <f t="shared" si="102"/>
        <v>0.32794999999999996</v>
      </c>
    </row>
    <row r="876" spans="1:35" ht="30" x14ac:dyDescent="0.25">
      <c r="A876" s="275">
        <f>'Profits 2016'!A6089</f>
        <v>3004785</v>
      </c>
      <c r="B876" s="279">
        <f>'Profits 2016'!B6089</f>
        <v>42649</v>
      </c>
      <c r="C876" s="276">
        <f>'Profits 2016'!H6089</f>
        <v>490</v>
      </c>
      <c r="D876" s="280">
        <f>'Profits 2016'!K6089</f>
        <v>490</v>
      </c>
      <c r="E876" s="276">
        <f>'Profits 2016'!L6089</f>
        <v>310</v>
      </c>
      <c r="F876" s="275" t="str">
        <f>'Profits 2016'!P6089</f>
        <v>Priority</v>
      </c>
      <c r="G876" s="292">
        <f>'Profits 2016'!N6089-'Profits 2016'!M6089</f>
        <v>310</v>
      </c>
      <c r="H876" s="292">
        <v>0</v>
      </c>
      <c r="I876" s="275">
        <v>1064207</v>
      </c>
      <c r="J876" s="277">
        <v>42653</v>
      </c>
      <c r="K876" s="277">
        <v>42660</v>
      </c>
      <c r="L876" s="277">
        <v>42678</v>
      </c>
      <c r="M876" s="292">
        <v>310</v>
      </c>
      <c r="N876" s="281">
        <v>9340</v>
      </c>
      <c r="O876" s="236" t="str">
        <f>'Profits 2016'!T6089</f>
        <v>FEDEX GROUND</v>
      </c>
      <c r="P876" s="284" t="str">
        <f>'Profits 2016'!U6089</f>
        <v xml:space="preserve">	616712877104</v>
      </c>
      <c r="Q876" s="284" t="s">
        <v>15740</v>
      </c>
      <c r="R876" s="276">
        <v>34.909999999999997</v>
      </c>
      <c r="S876" s="275">
        <v>1064207</v>
      </c>
      <c r="T876" s="279">
        <v>42653</v>
      </c>
      <c r="U876" s="279">
        <v>42660</v>
      </c>
      <c r="V876" s="279">
        <v>42678</v>
      </c>
      <c r="W876" s="293">
        <v>34.909999999999997</v>
      </c>
      <c r="X876" s="236">
        <v>9340</v>
      </c>
      <c r="AF876" s="276">
        <f t="shared" si="106"/>
        <v>344.90999999999997</v>
      </c>
      <c r="AG876" s="276">
        <f t="shared" si="100"/>
        <v>344.90999999999997</v>
      </c>
      <c r="AH876" s="276">
        <f t="shared" si="101"/>
        <v>145.09000000000003</v>
      </c>
      <c r="AI876" s="283">
        <f t="shared" si="102"/>
        <v>0.42066046214954639</v>
      </c>
    </row>
    <row r="877" spans="1:35" ht="30" x14ac:dyDescent="0.25">
      <c r="A877" s="275">
        <f>'Profits 2016'!A6090</f>
        <v>3004786</v>
      </c>
      <c r="B877" s="279">
        <f>'Profits 2016'!B6090</f>
        <v>42649</v>
      </c>
      <c r="C877" s="276">
        <f>'Profits 2016'!H6090</f>
        <v>383.47</v>
      </c>
      <c r="D877" s="280">
        <f>'Profits 2016'!K6090</f>
        <v>341.37177000000003</v>
      </c>
      <c r="E877" s="276">
        <f>'Profits 2016'!L6090</f>
        <v>350</v>
      </c>
      <c r="F877" s="275" t="str">
        <f>'Profits 2016'!P6090</f>
        <v>Thea</v>
      </c>
      <c r="G877" s="292">
        <f>'Profits 2016'!N6090-'Profits 2016'!M6090</f>
        <v>175</v>
      </c>
      <c r="H877" s="319"/>
      <c r="I877" s="320"/>
      <c r="J877" s="321"/>
      <c r="K877" s="321"/>
      <c r="L877" s="321"/>
      <c r="M877" s="319"/>
      <c r="N877" s="322"/>
      <c r="O877" s="236" t="str">
        <f>'Profits 2016'!T6090</f>
        <v>FEDEX GROUND</v>
      </c>
      <c r="P877" s="284" t="str">
        <f>'Profits 2016'!U6090</f>
        <v>675157530665</v>
      </c>
      <c r="Q877" s="284" t="s">
        <v>314</v>
      </c>
      <c r="R877" s="276">
        <v>41.94</v>
      </c>
      <c r="S877" s="275" t="s">
        <v>15805</v>
      </c>
      <c r="T877" s="279">
        <v>42667</v>
      </c>
      <c r="U877" s="279">
        <v>42670</v>
      </c>
      <c r="V877" s="279">
        <v>42678</v>
      </c>
      <c r="W877" s="293">
        <v>0</v>
      </c>
      <c r="X877" s="236">
        <v>9301</v>
      </c>
      <c r="AF877" s="276">
        <f t="shared" si="106"/>
        <v>216.94</v>
      </c>
      <c r="AG877" s="276">
        <f t="shared" si="100"/>
        <v>41.94</v>
      </c>
      <c r="AH877" s="276">
        <f t="shared" si="101"/>
        <v>299.43177000000003</v>
      </c>
      <c r="AI877" s="283">
        <f t="shared" si="102"/>
        <v>1.3802515442057712</v>
      </c>
    </row>
    <row r="878" spans="1:35" ht="30" x14ac:dyDescent="0.25">
      <c r="A878" s="275">
        <f>'Profits 2016'!A6091</f>
        <v>3004787</v>
      </c>
      <c r="B878" s="279">
        <f>'Profits 2016'!B6091</f>
        <v>42650</v>
      </c>
      <c r="C878" s="276">
        <f>'Profits 2016'!H6091</f>
        <v>230</v>
      </c>
      <c r="D878" s="280">
        <f>'Profits 2016'!K6091</f>
        <v>224.64</v>
      </c>
      <c r="E878" s="276">
        <f>'Profits 2016'!L6091</f>
        <v>622.45000000000005</v>
      </c>
      <c r="F878" s="275" t="str">
        <f>'Profits 2016'!P6091</f>
        <v>Nassau</v>
      </c>
      <c r="G878" s="292">
        <f>'Profits 2016'!N6091-'Profits 2016'!M6091</f>
        <v>124.49</v>
      </c>
      <c r="H878" s="319"/>
      <c r="I878" s="320"/>
      <c r="J878" s="321"/>
      <c r="K878" s="321"/>
      <c r="L878" s="321"/>
      <c r="M878" s="319"/>
      <c r="N878" s="322"/>
      <c r="O878" s="236" t="str">
        <f>'Profits 2016'!T6091</f>
        <v>FEDEX GROUND</v>
      </c>
      <c r="P878" s="284" t="str">
        <f>'Profits 2016'!U6091</f>
        <v>702723289414</v>
      </c>
      <c r="Q878" s="284" t="s">
        <v>314</v>
      </c>
      <c r="R878" s="276">
        <v>34.950000000000003</v>
      </c>
      <c r="S878" s="275" t="s">
        <v>15805</v>
      </c>
      <c r="T878" s="279">
        <v>42667</v>
      </c>
      <c r="U878" s="279">
        <v>42670</v>
      </c>
      <c r="V878" s="279">
        <v>42678</v>
      </c>
      <c r="W878" s="293">
        <v>0</v>
      </c>
      <c r="X878" s="236">
        <v>9301</v>
      </c>
      <c r="AF878" s="276">
        <f t="shared" si="106"/>
        <v>159.44</v>
      </c>
      <c r="AG878" s="276">
        <f t="shared" si="100"/>
        <v>34.950000000000003</v>
      </c>
      <c r="AH878" s="276">
        <f t="shared" si="101"/>
        <v>189.69</v>
      </c>
      <c r="AI878" s="283">
        <f t="shared" si="102"/>
        <v>1.1897265429001505</v>
      </c>
    </row>
    <row r="879" spans="1:35" ht="45" x14ac:dyDescent="0.25">
      <c r="A879" s="275">
        <f>'Profits 2016'!A6092</f>
        <v>3004788</v>
      </c>
      <c r="B879" s="279">
        <f>'Profits 2016'!B6092</f>
        <v>42650</v>
      </c>
      <c r="C879" s="276">
        <f>'Profits 2016'!H6092</f>
        <v>835</v>
      </c>
      <c r="D879" s="280">
        <f>'Profits 2016'!K6092</f>
        <v>835</v>
      </c>
      <c r="E879" s="276">
        <f>'Profits 2016'!L6092</f>
        <v>330</v>
      </c>
      <c r="F879" s="275" t="str">
        <f>'Profits 2016'!P6092</f>
        <v>Southwire</v>
      </c>
      <c r="G879" s="292">
        <f>'Profits 2016'!N6092-'Profits 2016'!M6092</f>
        <v>330</v>
      </c>
      <c r="H879" s="292">
        <v>0</v>
      </c>
      <c r="I879" s="275">
        <v>90988317</v>
      </c>
      <c r="J879" s="277">
        <v>42656</v>
      </c>
      <c r="K879" s="277">
        <v>42660</v>
      </c>
      <c r="L879" s="277">
        <v>42678</v>
      </c>
      <c r="M879" s="292">
        <v>568.4</v>
      </c>
      <c r="N879" s="281">
        <v>9351</v>
      </c>
      <c r="O879" s="236" t="str">
        <f>'Profits 2016'!T6092</f>
        <v>OLD DOMINION</v>
      </c>
      <c r="P879" s="284" t="str">
        <f>'Profits 2016'!U6092</f>
        <v>59654859780</v>
      </c>
      <c r="Q879" s="345"/>
      <c r="R879" s="342"/>
      <c r="S879" s="336"/>
      <c r="T879" s="341"/>
      <c r="U879" s="341"/>
      <c r="V879" s="341"/>
      <c r="W879" s="346"/>
      <c r="X879" s="344"/>
      <c r="AF879" s="276">
        <f t="shared" si="106"/>
        <v>330</v>
      </c>
      <c r="AG879" s="276">
        <f t="shared" si="100"/>
        <v>568.4</v>
      </c>
      <c r="AH879" s="276">
        <f t="shared" si="101"/>
        <v>266.60000000000002</v>
      </c>
      <c r="AI879" s="283">
        <f t="shared" si="102"/>
        <v>0.80787878787878797</v>
      </c>
    </row>
    <row r="880" spans="1:35" x14ac:dyDescent="0.25">
      <c r="A880" s="275">
        <f>'Profits 2016'!A6093</f>
        <v>0</v>
      </c>
      <c r="B880" s="279">
        <f>'Profits 2016'!B6093</f>
        <v>0</v>
      </c>
      <c r="C880" s="276">
        <f>'Profits 2016'!H6093</f>
        <v>0</v>
      </c>
      <c r="D880" s="280">
        <f>'Profits 2016'!K6093</f>
        <v>0</v>
      </c>
      <c r="E880" s="276">
        <f>'Profits 2016'!L6093</f>
        <v>250</v>
      </c>
      <c r="F880" s="275" t="str">
        <f>'Profits 2016'!P6093</f>
        <v>Southwire</v>
      </c>
      <c r="G880" s="292">
        <f>'Profits 2016'!N6093-'Profits 2016'!M6093</f>
        <v>250</v>
      </c>
      <c r="H880" s="292">
        <v>0</v>
      </c>
      <c r="I880" s="275">
        <v>90988317</v>
      </c>
      <c r="J880" s="277">
        <v>42656</v>
      </c>
      <c r="K880" s="277">
        <v>42660</v>
      </c>
      <c r="L880" s="277">
        <v>42373</v>
      </c>
      <c r="M880" s="292">
        <v>0</v>
      </c>
      <c r="N880" s="281">
        <v>9351</v>
      </c>
      <c r="O880" s="236">
        <f>'Profits 2016'!T6093</f>
        <v>0</v>
      </c>
      <c r="P880" s="284">
        <f>'Profits 2016'!U6093</f>
        <v>0</v>
      </c>
      <c r="Q880" s="345"/>
      <c r="R880" s="342"/>
      <c r="S880" s="336"/>
      <c r="T880" s="341"/>
      <c r="U880" s="341"/>
      <c r="V880" s="341"/>
      <c r="W880" s="346"/>
      <c r="X880" s="344"/>
      <c r="AF880" s="276">
        <f t="shared" si="106"/>
        <v>250</v>
      </c>
      <c r="AG880" s="276">
        <f t="shared" si="100"/>
        <v>0</v>
      </c>
      <c r="AH880" s="276">
        <f t="shared" si="101"/>
        <v>0</v>
      </c>
      <c r="AI880" s="283">
        <f t="shared" si="102"/>
        <v>0</v>
      </c>
    </row>
    <row r="881" spans="1:35" ht="30" x14ac:dyDescent="0.25">
      <c r="A881" s="275">
        <f>'Profits 2016'!A6094</f>
        <v>0</v>
      </c>
      <c r="B881" s="279">
        <f>'Profits 2016'!B6094</f>
        <v>0</v>
      </c>
      <c r="C881" s="276">
        <f>'Profits 2016'!H6094</f>
        <v>0</v>
      </c>
      <c r="D881" s="280">
        <f>'Profits 2016'!K6094</f>
        <v>0</v>
      </c>
      <c r="E881" s="276">
        <f>'Profits 2016'!L6094</f>
        <v>0</v>
      </c>
      <c r="F881" s="275" t="str">
        <f>'Profits 2016'!P6094</f>
        <v>Nassau</v>
      </c>
      <c r="G881" s="292">
        <f>'Profits 2016'!N6094-'Profits 2016'!M6094</f>
        <v>0</v>
      </c>
      <c r="H881" s="319"/>
      <c r="I881" s="320"/>
      <c r="J881" s="321"/>
      <c r="K881" s="321"/>
      <c r="L881" s="321"/>
      <c r="M881" s="319"/>
      <c r="N881" s="322"/>
      <c r="O881" s="236" t="str">
        <f>'Profits 2016'!T6094</f>
        <v>FEDEX GROUND</v>
      </c>
      <c r="P881" s="284" t="str">
        <f>'Profits 2016'!U6094</f>
        <v>680483360391</v>
      </c>
      <c r="Q881" s="284" t="s">
        <v>314</v>
      </c>
      <c r="R881" s="276">
        <v>17.7</v>
      </c>
      <c r="S881" s="275" t="s">
        <v>15805</v>
      </c>
      <c r="T881" s="279">
        <v>42667</v>
      </c>
      <c r="U881" s="279">
        <v>42670</v>
      </c>
      <c r="V881" s="279">
        <v>42678</v>
      </c>
      <c r="W881" s="293">
        <v>0</v>
      </c>
      <c r="X881" s="236">
        <v>9301</v>
      </c>
      <c r="AF881" s="276">
        <f t="shared" si="106"/>
        <v>17.7</v>
      </c>
      <c r="AG881" s="276">
        <f t="shared" si="100"/>
        <v>17.7</v>
      </c>
      <c r="AH881" s="276">
        <f t="shared" si="101"/>
        <v>-17.7</v>
      </c>
      <c r="AI881" s="283">
        <f t="shared" si="102"/>
        <v>-1</v>
      </c>
    </row>
    <row r="882" spans="1:35" ht="30" x14ac:dyDescent="0.25">
      <c r="A882" s="275">
        <f>'Profits 2016'!A6095</f>
        <v>3004789</v>
      </c>
      <c r="B882" s="279">
        <f>'Profits 2016'!B6095</f>
        <v>42650</v>
      </c>
      <c r="C882" s="276">
        <f>'Profits 2016'!H6095</f>
        <v>360</v>
      </c>
      <c r="D882" s="280">
        <f>'Profits 2016'!K6095</f>
        <v>320.46000000000004</v>
      </c>
      <c r="E882" s="276">
        <f>'Profits 2016'!L6095</f>
        <v>390</v>
      </c>
      <c r="F882" s="275" t="str">
        <f>'Profits 2016'!P6095</f>
        <v>Houston</v>
      </c>
      <c r="G882" s="292">
        <f>'Profits 2016'!N6095-'Profits 2016'!M6095</f>
        <v>195</v>
      </c>
      <c r="H882" s="292">
        <v>0</v>
      </c>
      <c r="I882" s="275">
        <v>30909584</v>
      </c>
      <c r="J882" s="277">
        <v>42653</v>
      </c>
      <c r="K882" s="277">
        <v>42657</v>
      </c>
      <c r="L882" s="277">
        <v>42678</v>
      </c>
      <c r="M882" s="292">
        <v>195</v>
      </c>
      <c r="N882" s="281">
        <v>9322</v>
      </c>
      <c r="O882" s="236" t="str">
        <f>'Profits 2016'!T6095</f>
        <v>FEDEX GROUND</v>
      </c>
      <c r="P882" s="284" t="str">
        <f>'Profits 2016'!U6095</f>
        <v>543369481870</v>
      </c>
      <c r="Q882" s="284" t="s">
        <v>314</v>
      </c>
      <c r="R882" s="276">
        <v>51.48</v>
      </c>
      <c r="S882" s="275" t="s">
        <v>15805</v>
      </c>
      <c r="T882" s="279">
        <v>42667</v>
      </c>
      <c r="U882" s="279">
        <v>42670</v>
      </c>
      <c r="V882" s="279">
        <v>42678</v>
      </c>
      <c r="W882" s="293">
        <v>0</v>
      </c>
      <c r="X882" s="236">
        <v>9301</v>
      </c>
      <c r="AF882" s="276">
        <f t="shared" si="106"/>
        <v>246.48</v>
      </c>
      <c r="AG882" s="276">
        <f t="shared" si="100"/>
        <v>246.48</v>
      </c>
      <c r="AH882" s="276">
        <f t="shared" si="101"/>
        <v>73.980000000000047</v>
      </c>
      <c r="AI882" s="283">
        <f t="shared" si="102"/>
        <v>0.30014605647517062</v>
      </c>
    </row>
    <row r="883" spans="1:35" ht="30" x14ac:dyDescent="0.25">
      <c r="A883" s="275">
        <f>'Profits 2016'!A6096</f>
        <v>3004790</v>
      </c>
      <c r="B883" s="279">
        <f>'Profits 2016'!B6096</f>
        <v>42650</v>
      </c>
      <c r="C883" s="276">
        <f>'Profits 2016'!H6096</f>
        <v>130.46</v>
      </c>
      <c r="D883" s="280">
        <f>'Profits 2016'!K6096</f>
        <v>115.93986000000001</v>
      </c>
      <c r="E883" s="276">
        <f>'Profits 2016'!L6096</f>
        <v>672</v>
      </c>
      <c r="F883" s="275" t="str">
        <f>'Profits 2016'!P6096</f>
        <v>Houston</v>
      </c>
      <c r="G883" s="292">
        <f>'Profits 2016'!N6096-'Profits 2016'!M6096</f>
        <v>67.199999999999989</v>
      </c>
      <c r="H883" s="292">
        <v>0</v>
      </c>
      <c r="I883" s="275">
        <v>30910415</v>
      </c>
      <c r="J883" s="277">
        <v>42655</v>
      </c>
      <c r="K883" s="277">
        <v>42660</v>
      </c>
      <c r="O883" s="236" t="str">
        <f>'Profits 2016'!T6096</f>
        <v>FEDEX GROUND</v>
      </c>
      <c r="P883" s="284" t="str">
        <f>'Profits 2016'!U6096</f>
        <v>543369481907</v>
      </c>
      <c r="Q883" s="284" t="s">
        <v>314</v>
      </c>
      <c r="R883" s="276">
        <v>21.43</v>
      </c>
      <c r="S883" s="275" t="s">
        <v>15805</v>
      </c>
      <c r="T883" s="279">
        <v>42667</v>
      </c>
      <c r="U883" s="279">
        <v>42670</v>
      </c>
      <c r="V883" s="279">
        <v>42678</v>
      </c>
      <c r="W883" s="293">
        <v>0</v>
      </c>
      <c r="X883" s="236">
        <v>9301</v>
      </c>
      <c r="AF883" s="276">
        <f t="shared" si="106"/>
        <v>88.63</v>
      </c>
      <c r="AG883" s="276">
        <f t="shared" si="100"/>
        <v>21.43</v>
      </c>
      <c r="AH883" s="276">
        <f t="shared" si="101"/>
        <v>94.509860000000003</v>
      </c>
      <c r="AI883" s="283">
        <f t="shared" si="102"/>
        <v>1.0663416450411825</v>
      </c>
    </row>
    <row r="884" spans="1:35" ht="30" x14ac:dyDescent="0.25">
      <c r="A884" s="275">
        <f>'Profits 2016'!A6097</f>
        <v>3004791</v>
      </c>
      <c r="B884" s="279">
        <f>'Profits 2016'!B6097</f>
        <v>42650</v>
      </c>
      <c r="C884" s="276">
        <f>'Profits 2016'!H6097</f>
        <v>111.31</v>
      </c>
      <c r="D884" s="280">
        <f>'Profits 2016'!K6097</f>
        <v>98.877210000000005</v>
      </c>
      <c r="E884" s="276">
        <f>'Profits 2016'!L6097</f>
        <v>350</v>
      </c>
      <c r="F884" s="275" t="str">
        <f>'Profits 2016'!P6097</f>
        <v>Nassau</v>
      </c>
      <c r="G884" s="292">
        <f>'Profits 2016'!N6097-'Profits 2016'!M6097</f>
        <v>43.75</v>
      </c>
      <c r="H884" s="319"/>
      <c r="I884" s="320"/>
      <c r="J884" s="321"/>
      <c r="K884" s="321"/>
      <c r="L884" s="321"/>
      <c r="M884" s="319"/>
      <c r="N884" s="322"/>
      <c r="O884" s="236" t="str">
        <f>'Profits 2016'!T6097</f>
        <v>FEDEX GROUND</v>
      </c>
      <c r="P884" s="284" t="str">
        <f>'Profits 2016'!U6097</f>
        <v>702723289399</v>
      </c>
      <c r="Q884" s="284" t="s">
        <v>314</v>
      </c>
      <c r="R884" s="276">
        <v>18.02</v>
      </c>
      <c r="S884" s="275" t="s">
        <v>15805</v>
      </c>
      <c r="T884" s="279">
        <v>42667</v>
      </c>
      <c r="U884" s="279">
        <v>42670</v>
      </c>
      <c r="V884" s="279">
        <v>42678</v>
      </c>
      <c r="W884" s="293">
        <v>0</v>
      </c>
      <c r="X884" s="236">
        <v>9301</v>
      </c>
      <c r="AF884" s="276">
        <f t="shared" si="106"/>
        <v>61.769999999999996</v>
      </c>
      <c r="AG884" s="276">
        <f t="shared" si="100"/>
        <v>18.02</v>
      </c>
      <c r="AH884" s="276">
        <f t="shared" si="101"/>
        <v>80.857210000000009</v>
      </c>
      <c r="AI884" s="283">
        <f t="shared" si="102"/>
        <v>1.3090045329447955</v>
      </c>
    </row>
    <row r="885" spans="1:35" ht="30" x14ac:dyDescent="0.25">
      <c r="A885" s="275">
        <f>'Profits 2016'!A6098</f>
        <v>3004792</v>
      </c>
      <c r="B885" s="279">
        <f>'Profits 2016'!B6098</f>
        <v>42650</v>
      </c>
      <c r="C885" s="276">
        <f>'Profits 2016'!H6098</f>
        <v>240</v>
      </c>
      <c r="D885" s="280">
        <f>'Profits 2016'!K6098</f>
        <v>213.54000000000002</v>
      </c>
      <c r="E885" s="276">
        <f>'Profits 2016'!L6098</f>
        <v>1021</v>
      </c>
      <c r="F885" s="275" t="str">
        <f>'Profits 2016'!P6098</f>
        <v>Nassau</v>
      </c>
      <c r="G885" s="292">
        <f>'Profits 2016'!N6098-'Profits 2016'!M6098</f>
        <v>102.10000000000001</v>
      </c>
      <c r="H885" s="319"/>
      <c r="I885" s="320"/>
      <c r="J885" s="321"/>
      <c r="K885" s="321"/>
      <c r="L885" s="321"/>
      <c r="M885" s="319"/>
      <c r="N885" s="322"/>
      <c r="O885" s="236" t="str">
        <f>'Profits 2016'!T6098</f>
        <v>FEDEX GROUND</v>
      </c>
      <c r="P885" s="284" t="str">
        <f>'Profits 2016'!U6098</f>
        <v>680483360417</v>
      </c>
      <c r="Q885" s="284" t="s">
        <v>314</v>
      </c>
      <c r="R885" s="276">
        <v>37.700000000000003</v>
      </c>
      <c r="S885" s="275" t="s">
        <v>15805</v>
      </c>
      <c r="T885" s="279">
        <v>42667</v>
      </c>
      <c r="U885" s="279">
        <v>42670</v>
      </c>
      <c r="V885" s="279">
        <v>42678</v>
      </c>
      <c r="W885" s="293">
        <v>0</v>
      </c>
      <c r="X885" s="236">
        <v>9301</v>
      </c>
      <c r="AF885" s="276">
        <f t="shared" si="106"/>
        <v>139.80000000000001</v>
      </c>
      <c r="AG885" s="276">
        <f t="shared" si="100"/>
        <v>37.700000000000003</v>
      </c>
      <c r="AH885" s="276">
        <f t="shared" si="101"/>
        <v>175.84000000000003</v>
      </c>
      <c r="AI885" s="283">
        <f t="shared" si="102"/>
        <v>1.2577968526466381</v>
      </c>
    </row>
    <row r="886" spans="1:35" ht="30" x14ac:dyDescent="0.25">
      <c r="A886" s="275">
        <f>'Profits 2016'!A6099</f>
        <v>3004793</v>
      </c>
      <c r="B886" s="279">
        <f>'Profits 2016'!B6099</f>
        <v>42650</v>
      </c>
      <c r="C886" s="276">
        <f>'Profits 2016'!H6099</f>
        <v>104.16</v>
      </c>
      <c r="D886" s="280">
        <f>'Profits 2016'!K6099</f>
        <v>92.506560000000007</v>
      </c>
      <c r="E886" s="276">
        <f>'Profits 2016'!L6099</f>
        <v>600</v>
      </c>
      <c r="F886" s="275" t="str">
        <f>'Profits 2016'!P6099</f>
        <v>Houston</v>
      </c>
      <c r="G886" s="292">
        <f>'Profits 2016'!N6099-'Profits 2016'!M6099</f>
        <v>60</v>
      </c>
      <c r="H886" s="292">
        <v>0</v>
      </c>
      <c r="I886" s="275">
        <v>30910000</v>
      </c>
      <c r="J886" s="277">
        <v>42654</v>
      </c>
      <c r="K886" s="277">
        <v>42660</v>
      </c>
      <c r="O886" s="236" t="str">
        <f>'Profits 2016'!T6099</f>
        <v>FEDEX GROUND</v>
      </c>
      <c r="P886" s="284" t="str">
        <f>'Profits 2016'!U6099</f>
        <v>701849703669</v>
      </c>
      <c r="Q886" s="284" t="s">
        <v>314</v>
      </c>
      <c r="R886" s="276">
        <v>23</v>
      </c>
      <c r="S886" s="275" t="s">
        <v>15832</v>
      </c>
      <c r="T886" s="279">
        <v>42667</v>
      </c>
      <c r="U886" s="279">
        <v>42670</v>
      </c>
      <c r="V886" s="279">
        <v>42678</v>
      </c>
      <c r="W886" s="293">
        <v>0</v>
      </c>
      <c r="X886" s="236">
        <v>9301</v>
      </c>
      <c r="AF886" s="276">
        <f t="shared" si="106"/>
        <v>83</v>
      </c>
      <c r="AG886" s="276">
        <f t="shared" si="100"/>
        <v>23</v>
      </c>
      <c r="AH886" s="276">
        <f t="shared" si="101"/>
        <v>69.506560000000007</v>
      </c>
      <c r="AI886" s="283">
        <f t="shared" si="102"/>
        <v>0.8374284337349398</v>
      </c>
    </row>
    <row r="887" spans="1:35" ht="30" x14ac:dyDescent="0.25">
      <c r="A887" s="275">
        <f>'Profits 2016'!A6100</f>
        <v>3004794</v>
      </c>
      <c r="B887" s="279">
        <f>'Profits 2016'!B6100</f>
        <v>42650</v>
      </c>
      <c r="C887" s="276">
        <f>'Profits 2016'!H6100</f>
        <v>585</v>
      </c>
      <c r="D887" s="280">
        <f>'Profits 2016'!K6100</f>
        <v>520.93500000000006</v>
      </c>
      <c r="E887" s="276">
        <f>'Profits 2016'!L6100</f>
        <v>300</v>
      </c>
      <c r="F887" s="275" t="str">
        <f>'Profits 2016'!P6100</f>
        <v>Nassau</v>
      </c>
      <c r="G887" s="292">
        <f>'Profits 2016'!N6100-'Profits 2016'!M6100</f>
        <v>300</v>
      </c>
      <c r="H887" s="319"/>
      <c r="I887" s="320"/>
      <c r="J887" s="321"/>
      <c r="K887" s="321"/>
      <c r="L887" s="321"/>
      <c r="M887" s="319"/>
      <c r="N887" s="322"/>
      <c r="O887" s="236" t="str">
        <f>'Profits 2016'!T6100</f>
        <v>FEDEX GROUND</v>
      </c>
      <c r="P887" s="284" t="str">
        <f>'Profits 2016'!U6100</f>
        <v>702723289333</v>
      </c>
      <c r="Q887" s="284" t="s">
        <v>314</v>
      </c>
      <c r="R887" s="276">
        <v>73.040000000000006</v>
      </c>
      <c r="S887" s="275" t="s">
        <v>15805</v>
      </c>
      <c r="T887" s="279">
        <v>42667</v>
      </c>
      <c r="U887" s="279">
        <v>42670</v>
      </c>
      <c r="V887" s="279">
        <v>42678</v>
      </c>
      <c r="W887" s="293">
        <v>0</v>
      </c>
      <c r="X887" s="236">
        <v>9301</v>
      </c>
      <c r="AF887" s="276">
        <f t="shared" si="106"/>
        <v>373.04</v>
      </c>
      <c r="AG887" s="276">
        <f t="shared" si="100"/>
        <v>73.040000000000006</v>
      </c>
      <c r="AH887" s="276">
        <f t="shared" si="101"/>
        <v>447.89500000000004</v>
      </c>
      <c r="AI887" s="283">
        <f t="shared" si="102"/>
        <v>1.2006621273858031</v>
      </c>
    </row>
    <row r="888" spans="1:35" ht="30" x14ac:dyDescent="0.25">
      <c r="A888" s="275">
        <f>'Profits 2016'!A6101</f>
        <v>3004795</v>
      </c>
      <c r="B888" s="279">
        <f>'Profits 2016'!B6101</f>
        <v>42650</v>
      </c>
      <c r="C888" s="276">
        <f>'Profits 2016'!H6101</f>
        <v>133</v>
      </c>
      <c r="D888" s="280">
        <f>'Profits 2016'!K6101</f>
        <v>118.203</v>
      </c>
      <c r="E888" s="276">
        <f>'Profits 2016'!L6101</f>
        <v>220</v>
      </c>
      <c r="F888" s="275" t="str">
        <f>'Profits 2016'!P6101</f>
        <v>Nassau</v>
      </c>
      <c r="G888" s="292">
        <f>'Profits 2016'!N6101-'Profits 2016'!M6101</f>
        <v>54.999999999999993</v>
      </c>
      <c r="H888" s="319"/>
      <c r="I888" s="320"/>
      <c r="J888" s="321"/>
      <c r="K888" s="321"/>
      <c r="L888" s="321"/>
      <c r="M888" s="319"/>
      <c r="N888" s="322"/>
      <c r="O888" s="236" t="str">
        <f>'Profits 2016'!T6101</f>
        <v>FEDEX GROUND</v>
      </c>
      <c r="P888" s="284" t="str">
        <f>'Profits 2016'!U6101</f>
        <v>702723289377</v>
      </c>
      <c r="Q888" s="284" t="s">
        <v>314</v>
      </c>
      <c r="R888" s="276">
        <v>16.600000000000001</v>
      </c>
      <c r="S888" s="275" t="s">
        <v>15805</v>
      </c>
      <c r="T888" s="279">
        <v>42667</v>
      </c>
      <c r="U888" s="279">
        <v>42670</v>
      </c>
      <c r="V888" s="279">
        <v>42678</v>
      </c>
      <c r="W888" s="293">
        <v>0</v>
      </c>
      <c r="X888" s="236">
        <v>9301</v>
      </c>
      <c r="AF888" s="276">
        <f t="shared" si="106"/>
        <v>71.599999999999994</v>
      </c>
      <c r="AG888" s="276">
        <f t="shared" si="100"/>
        <v>16.600000000000001</v>
      </c>
      <c r="AH888" s="276">
        <f t="shared" si="101"/>
        <v>101.60300000000001</v>
      </c>
      <c r="AI888" s="283">
        <f t="shared" si="102"/>
        <v>1.4190363128491623</v>
      </c>
    </row>
    <row r="889" spans="1:35" ht="30" x14ac:dyDescent="0.25">
      <c r="A889" s="275">
        <f>'Profits 2016'!A6102</f>
        <v>3004796</v>
      </c>
      <c r="B889" s="279">
        <f>'Profits 2016'!B6102</f>
        <v>42650</v>
      </c>
      <c r="C889" s="276">
        <f>'Profits 2016'!H6102</f>
        <v>94.4</v>
      </c>
      <c r="D889" s="280">
        <f>'Profits 2016'!K6102</f>
        <v>83.810400000000016</v>
      </c>
      <c r="E889" s="276">
        <f>'Profits 2016'!L6102</f>
        <v>375</v>
      </c>
      <c r="F889" s="275" t="str">
        <f>'Profits 2016'!P6102</f>
        <v>Nassau</v>
      </c>
      <c r="G889" s="292">
        <f>'Profits 2016'!N6102-'Profits 2016'!M6102</f>
        <v>29.999999999999996</v>
      </c>
      <c r="H889" s="319"/>
      <c r="I889" s="320"/>
      <c r="J889" s="321"/>
      <c r="K889" s="321"/>
      <c r="L889" s="321"/>
      <c r="M889" s="319"/>
      <c r="N889" s="322"/>
      <c r="O889" s="236" t="str">
        <f>'Profits 2016'!T6102</f>
        <v>FEDEX GROUND</v>
      </c>
      <c r="P889" s="284" t="str">
        <f>'Profits 2016'!U6102</f>
        <v>680483360439</v>
      </c>
      <c r="Q889" s="284" t="s">
        <v>314</v>
      </c>
      <c r="R889" s="276">
        <v>27.91</v>
      </c>
      <c r="S889" s="275" t="s">
        <v>15805</v>
      </c>
      <c r="T889" s="279">
        <v>42667</v>
      </c>
      <c r="U889" s="279">
        <v>42670</v>
      </c>
      <c r="V889" s="279">
        <v>42678</v>
      </c>
      <c r="W889" s="293">
        <v>0</v>
      </c>
      <c r="X889" s="236">
        <v>9301</v>
      </c>
      <c r="AF889" s="276">
        <f t="shared" si="106"/>
        <v>57.91</v>
      </c>
      <c r="AG889" s="276">
        <f t="shared" si="100"/>
        <v>27.91</v>
      </c>
      <c r="AH889" s="276">
        <f t="shared" si="101"/>
        <v>55.900400000000019</v>
      </c>
      <c r="AI889" s="283">
        <f t="shared" si="102"/>
        <v>0.96529787601450567</v>
      </c>
    </row>
    <row r="890" spans="1:35" ht="30" x14ac:dyDescent="0.25">
      <c r="A890" s="275">
        <f>'Profits 2016'!A6103</f>
        <v>3004797</v>
      </c>
      <c r="B890" s="279">
        <f>'Profits 2016'!B6103</f>
        <v>42650</v>
      </c>
      <c r="C890" s="276">
        <f>'Profits 2016'!H6103</f>
        <v>245</v>
      </c>
      <c r="D890" s="280">
        <f>'Profits 2016'!K6103</f>
        <v>217.99499999999998</v>
      </c>
      <c r="E890" s="276">
        <f>'Profits 2016'!L6103</f>
        <v>1322</v>
      </c>
      <c r="F890" s="275" t="str">
        <f>'Profits 2016'!P6103</f>
        <v>Nassau</v>
      </c>
      <c r="G890" s="292">
        <f>'Profits 2016'!N6103-'Profits 2016'!M6103</f>
        <v>132.20000000000002</v>
      </c>
      <c r="H890" s="319"/>
      <c r="I890" s="320"/>
      <c r="J890" s="321"/>
      <c r="K890" s="321"/>
      <c r="L890" s="321"/>
      <c r="M890" s="319"/>
      <c r="N890" s="322"/>
      <c r="O890" s="236" t="str">
        <f>'Profits 2016'!T6103</f>
        <v>FEDEX GROUND</v>
      </c>
      <c r="P890" s="284" t="str">
        <f>'Profits 2016'!U6103</f>
        <v>702723289366</v>
      </c>
      <c r="Q890" s="284" t="s">
        <v>314</v>
      </c>
      <c r="R890" s="276">
        <v>24.32</v>
      </c>
      <c r="S890" s="275" t="s">
        <v>15805</v>
      </c>
      <c r="T890" s="279">
        <v>42667</v>
      </c>
      <c r="U890" s="279">
        <v>42670</v>
      </c>
      <c r="V890" s="279">
        <v>42678</v>
      </c>
      <c r="W890" s="293">
        <v>0</v>
      </c>
      <c r="X890" s="236">
        <v>9301</v>
      </c>
      <c r="AF890" s="276">
        <f t="shared" si="106"/>
        <v>156.52000000000001</v>
      </c>
      <c r="AG890" s="276">
        <f t="shared" si="100"/>
        <v>24.32</v>
      </c>
      <c r="AH890" s="276">
        <f t="shared" si="101"/>
        <v>193.67499999999998</v>
      </c>
      <c r="AI890" s="283">
        <f t="shared" si="102"/>
        <v>1.2373818042422691</v>
      </c>
    </row>
    <row r="891" spans="1:35" ht="30" x14ac:dyDescent="0.25">
      <c r="A891" s="275">
        <f>'Profits 2016'!A6104</f>
        <v>3004798</v>
      </c>
      <c r="B891" s="279">
        <f>'Profits 2016'!B6104</f>
        <v>42650</v>
      </c>
      <c r="C891" s="276">
        <f>'Profits 2016'!H6104</f>
        <v>197.99</v>
      </c>
      <c r="D891" s="280">
        <f>'Profits 2016'!K6104</f>
        <v>176.10909000000001</v>
      </c>
      <c r="E891" s="276">
        <f>'Profits 2016'!L6104</f>
        <v>395</v>
      </c>
      <c r="F891" s="275" t="str">
        <f>'Profits 2016'!P6104</f>
        <v>Nassau</v>
      </c>
      <c r="G891" s="292">
        <f>'Profits 2016'!N6104-'Profits 2016'!M6104</f>
        <v>98.75</v>
      </c>
      <c r="H891" s="319"/>
      <c r="I891" s="320"/>
      <c r="J891" s="321"/>
      <c r="K891" s="321"/>
      <c r="L891" s="321"/>
      <c r="M891" s="319"/>
      <c r="N891" s="322"/>
      <c r="O891" s="236" t="str">
        <f>'Profits 2016'!T6104</f>
        <v>FEDEX GROUND</v>
      </c>
      <c r="P891" s="284" t="str">
        <f>'Profits 2016'!U6104</f>
        <v>702723289388</v>
      </c>
      <c r="Q891" s="284" t="s">
        <v>314</v>
      </c>
      <c r="R891" s="276">
        <v>37.46</v>
      </c>
      <c r="S891" s="275" t="s">
        <v>15805</v>
      </c>
      <c r="T891" s="279">
        <v>42667</v>
      </c>
      <c r="U891" s="279">
        <v>42670</v>
      </c>
      <c r="V891" s="279">
        <v>42678</v>
      </c>
      <c r="W891" s="293">
        <v>0</v>
      </c>
      <c r="X891" s="236">
        <v>9301</v>
      </c>
      <c r="AF891" s="276">
        <f t="shared" si="106"/>
        <v>136.21</v>
      </c>
      <c r="AG891" s="276">
        <f t="shared" si="100"/>
        <v>37.46</v>
      </c>
      <c r="AH891" s="276">
        <f t="shared" si="101"/>
        <v>138.64909</v>
      </c>
      <c r="AI891" s="283">
        <f t="shared" si="102"/>
        <v>1.0179068350341385</v>
      </c>
    </row>
    <row r="892" spans="1:35" ht="30" x14ac:dyDescent="0.25">
      <c r="A892" s="275">
        <f>'Profits 2016'!A6105</f>
        <v>3004799</v>
      </c>
      <c r="B892" s="279">
        <f>'Profits 2016'!B6105</f>
        <v>42650</v>
      </c>
      <c r="C892" s="276">
        <f>'Profits 2016'!H6105</f>
        <v>205.17</v>
      </c>
      <c r="D892" s="280">
        <f>'Profits 2016'!K6105</f>
        <v>174.39449999999999</v>
      </c>
      <c r="E892" s="276">
        <f>'Profits 2016'!L6105</f>
        <v>80</v>
      </c>
      <c r="F892" s="275" t="str">
        <f>'Profits 2016'!P6105</f>
        <v>Kris-Tech</v>
      </c>
      <c r="G892" s="292">
        <f>'Profits 2016'!N6105-'Profits 2016'!M6105</f>
        <v>40</v>
      </c>
      <c r="H892" s="292">
        <v>0</v>
      </c>
      <c r="I892" s="275">
        <v>122328</v>
      </c>
      <c r="J892" s="277">
        <v>42650</v>
      </c>
      <c r="K892" s="277">
        <v>42660</v>
      </c>
      <c r="L892" s="277">
        <v>42664</v>
      </c>
      <c r="M892" s="292">
        <v>78.400000000000006</v>
      </c>
      <c r="N892" s="281">
        <v>9221</v>
      </c>
      <c r="O892" s="236" t="str">
        <f>'Profits 2016'!T6105</f>
        <v>FEDEX GROUND</v>
      </c>
      <c r="P892" s="284" t="str">
        <f>'Profits 2016'!U6105</f>
        <v>690306367400</v>
      </c>
      <c r="Q892" s="284" t="s">
        <v>314</v>
      </c>
      <c r="R892" s="276">
        <v>11.68</v>
      </c>
      <c r="S892" s="275" t="s">
        <v>15805</v>
      </c>
      <c r="T892" s="279">
        <v>42667</v>
      </c>
      <c r="U892" s="279">
        <v>42670</v>
      </c>
      <c r="V892" s="279">
        <v>42678</v>
      </c>
      <c r="W892" s="293">
        <v>0</v>
      </c>
      <c r="X892" s="236">
        <v>9301</v>
      </c>
      <c r="AF892" s="276">
        <f t="shared" si="106"/>
        <v>51.68</v>
      </c>
      <c r="AG892" s="276">
        <f t="shared" si="100"/>
        <v>90.080000000000013</v>
      </c>
      <c r="AH892" s="276">
        <f t="shared" si="101"/>
        <v>84.314499999999981</v>
      </c>
      <c r="AI892" s="283">
        <f t="shared" si="102"/>
        <v>1.631472523219814</v>
      </c>
    </row>
    <row r="893" spans="1:35" x14ac:dyDescent="0.25">
      <c r="A893" s="275">
        <f>'Profits 2016'!A6106</f>
        <v>0</v>
      </c>
      <c r="B893" s="279">
        <f>'Profits 2016'!B6106</f>
        <v>0</v>
      </c>
      <c r="C893" s="276">
        <f>'Profits 2016'!H6106</f>
        <v>0</v>
      </c>
      <c r="D893" s="280">
        <f>'Profits 2016'!K6106</f>
        <v>0</v>
      </c>
      <c r="E893" s="276">
        <f>'Profits 2016'!L6106</f>
        <v>80</v>
      </c>
      <c r="F893" s="275" t="str">
        <f>'Profits 2016'!P6106</f>
        <v>Kris-Tech</v>
      </c>
      <c r="G893" s="292">
        <f>'Profits 2016'!N6106-'Profits 2016'!M6106</f>
        <v>40</v>
      </c>
      <c r="H893" s="292">
        <v>0</v>
      </c>
      <c r="I893" s="275">
        <v>122328</v>
      </c>
      <c r="J893" s="277">
        <v>42650</v>
      </c>
      <c r="K893" s="277">
        <v>42660</v>
      </c>
      <c r="L893" s="277">
        <v>42664</v>
      </c>
      <c r="M893" s="292">
        <v>0</v>
      </c>
      <c r="N893" s="281">
        <v>9221</v>
      </c>
      <c r="O893" s="236">
        <f>'Profits 2016'!T6106</f>
        <v>0</v>
      </c>
      <c r="P893" s="284">
        <f>'Profits 2016'!U6106</f>
        <v>0</v>
      </c>
      <c r="Q893" s="284" t="s">
        <v>314</v>
      </c>
      <c r="R893" s="276">
        <v>0</v>
      </c>
      <c r="S893" s="275" t="s">
        <v>15805</v>
      </c>
      <c r="T893" s="279">
        <v>42667</v>
      </c>
      <c r="U893" s="279">
        <v>42670</v>
      </c>
      <c r="V893" s="279">
        <v>42678</v>
      </c>
      <c r="W893" s="293">
        <v>0</v>
      </c>
      <c r="X893" s="236">
        <v>9301</v>
      </c>
      <c r="AF893" s="276">
        <f t="shared" si="106"/>
        <v>40</v>
      </c>
      <c r="AG893" s="276">
        <f t="shared" si="100"/>
        <v>0</v>
      </c>
      <c r="AH893" s="276">
        <f t="shared" si="101"/>
        <v>0</v>
      </c>
      <c r="AI893" s="283">
        <f t="shared" si="102"/>
        <v>0</v>
      </c>
    </row>
    <row r="894" spans="1:35" ht="30" x14ac:dyDescent="0.25">
      <c r="A894" s="275">
        <f>'Profits 2016'!A6107</f>
        <v>3004800</v>
      </c>
      <c r="B894" s="279">
        <f>'Profits 2016'!B6107</f>
        <v>42650</v>
      </c>
      <c r="C894" s="276">
        <f>'Profits 2016'!H6107</f>
        <v>727.07</v>
      </c>
      <c r="D894" s="280">
        <f>'Profits 2016'!K6107</f>
        <v>647.51937000000009</v>
      </c>
      <c r="E894" s="276">
        <f>'Profits 2016'!L6107</f>
        <v>1021</v>
      </c>
      <c r="F894" s="275" t="str">
        <f>'Profits 2016'!P6107</f>
        <v>Nassau</v>
      </c>
      <c r="G894" s="292">
        <f>'Profits 2016'!N6107-'Profits 2016'!M6107</f>
        <v>357.35</v>
      </c>
      <c r="H894" s="319"/>
      <c r="I894" s="320"/>
      <c r="J894" s="321"/>
      <c r="K894" s="321"/>
      <c r="L894" s="321"/>
      <c r="M894" s="319"/>
      <c r="N894" s="322"/>
      <c r="O894" s="236" t="str">
        <f>'Profits 2016'!T6107</f>
        <v xml:space="preserve">NEW PENN/DLS </v>
      </c>
      <c r="P894" s="284" t="str">
        <f>'Profits 2016'!U6107</f>
        <v>88653359-5</v>
      </c>
      <c r="Q894" s="284" t="s">
        <v>15804</v>
      </c>
      <c r="R894" s="276">
        <v>145.07</v>
      </c>
      <c r="S894" s="275">
        <v>636842854</v>
      </c>
      <c r="T894" s="279">
        <v>42660</v>
      </c>
      <c r="U894" s="279">
        <v>42667</v>
      </c>
      <c r="V894" s="279">
        <v>42671</v>
      </c>
      <c r="W894" s="293">
        <v>145.07</v>
      </c>
      <c r="X894" s="236">
        <v>9261</v>
      </c>
      <c r="AF894" s="276">
        <f t="shared" si="106"/>
        <v>502.42</v>
      </c>
      <c r="AG894" s="276">
        <f t="shared" si="100"/>
        <v>145.07</v>
      </c>
      <c r="AH894" s="276">
        <f t="shared" si="101"/>
        <v>502.4493700000001</v>
      </c>
      <c r="AI894" s="283">
        <f t="shared" si="102"/>
        <v>1.000058457067792</v>
      </c>
    </row>
    <row r="895" spans="1:35" ht="30" x14ac:dyDescent="0.25">
      <c r="A895" s="275">
        <f>'Profits 2016'!A6108</f>
        <v>3004801</v>
      </c>
      <c r="B895" s="279">
        <f>'Profits 2016'!B6108</f>
        <v>42650</v>
      </c>
      <c r="C895" s="276">
        <f>'Profits 2016'!H6108</f>
        <v>168.27</v>
      </c>
      <c r="D895" s="280">
        <f>'Profits 2016'!K6108</f>
        <v>149.62857</v>
      </c>
      <c r="E895" s="276">
        <f>'Profits 2016'!L6108</f>
        <v>300</v>
      </c>
      <c r="F895" s="275" t="str">
        <f>'Profits 2016'!P6108</f>
        <v>Nassau</v>
      </c>
      <c r="G895" s="292">
        <f>'Profits 2016'!N6108-'Profits 2016'!M6108</f>
        <v>75</v>
      </c>
      <c r="H895" s="319"/>
      <c r="I895" s="320"/>
      <c r="J895" s="321"/>
      <c r="K895" s="321"/>
      <c r="L895" s="321"/>
      <c r="M895" s="319"/>
      <c r="N895" s="322"/>
      <c r="O895" s="236" t="str">
        <f>'Profits 2016'!T6108</f>
        <v>FEDEX GROUND</v>
      </c>
      <c r="P895" s="284" t="str">
        <f>'Profits 2016'!U6108</f>
        <v>702723289403</v>
      </c>
      <c r="Q895" s="284" t="s">
        <v>314</v>
      </c>
      <c r="R895" s="276">
        <v>28.74</v>
      </c>
      <c r="S895" s="275" t="s">
        <v>15805</v>
      </c>
      <c r="T895" s="279">
        <v>42667</v>
      </c>
      <c r="U895" s="279">
        <v>42670</v>
      </c>
      <c r="V895" s="279">
        <v>42678</v>
      </c>
      <c r="W895" s="293">
        <v>0</v>
      </c>
      <c r="X895" s="236">
        <v>9301</v>
      </c>
      <c r="AF895" s="276">
        <f t="shared" si="106"/>
        <v>103.74</v>
      </c>
      <c r="AG895" s="276">
        <f t="shared" si="100"/>
        <v>28.74</v>
      </c>
      <c r="AH895" s="276">
        <f t="shared" si="101"/>
        <v>120.88857</v>
      </c>
      <c r="AI895" s="283">
        <f t="shared" si="102"/>
        <v>1.1653033545401967</v>
      </c>
    </row>
    <row r="896" spans="1:35" ht="30" x14ac:dyDescent="0.25">
      <c r="A896" s="275">
        <f>'Profits 2016'!A6109</f>
        <v>3004802</v>
      </c>
      <c r="B896" s="279">
        <f>'Profits 2016'!B6109</f>
        <v>42650</v>
      </c>
      <c r="C896" s="276">
        <f>'Profits 2016'!H6109</f>
        <v>198</v>
      </c>
      <c r="D896" s="280">
        <f>'Profits 2016'!K6109</f>
        <v>176.11799999999999</v>
      </c>
      <c r="E896" s="276">
        <f>'Profits 2016'!L6109</f>
        <v>320</v>
      </c>
      <c r="F896" s="275" t="str">
        <f>'Profits 2016'!P6109</f>
        <v>Thea</v>
      </c>
      <c r="G896" s="292">
        <f>'Profits 2016'!N6109-'Profits 2016'!M6109</f>
        <v>80</v>
      </c>
      <c r="H896" s="319"/>
      <c r="I896" s="320"/>
      <c r="J896" s="321"/>
      <c r="K896" s="321"/>
      <c r="L896" s="321"/>
      <c r="M896" s="319"/>
      <c r="N896" s="322"/>
      <c r="O896" s="236" t="str">
        <f>'Profits 2016'!T6109</f>
        <v>FEDEX GROUND</v>
      </c>
      <c r="P896" s="284" t="str">
        <f>'Profits 2016'!U6109</f>
        <v>675157530654</v>
      </c>
      <c r="Q896" s="284" t="s">
        <v>314</v>
      </c>
      <c r="R896" s="276">
        <v>17.600000000000001</v>
      </c>
      <c r="S896" s="275" t="s">
        <v>15805</v>
      </c>
      <c r="T896" s="279">
        <v>42667</v>
      </c>
      <c r="U896" s="279">
        <v>42670</v>
      </c>
      <c r="V896" s="279">
        <v>42678</v>
      </c>
      <c r="W896" s="293">
        <v>0</v>
      </c>
      <c r="X896" s="236">
        <v>9301</v>
      </c>
      <c r="AF896" s="276">
        <f t="shared" si="106"/>
        <v>97.6</v>
      </c>
      <c r="AG896" s="276">
        <f t="shared" si="100"/>
        <v>17.600000000000001</v>
      </c>
      <c r="AH896" s="276">
        <f t="shared" si="101"/>
        <v>158.518</v>
      </c>
      <c r="AI896" s="283">
        <f t="shared" si="102"/>
        <v>1.6241598360655738</v>
      </c>
    </row>
    <row r="897" spans="1:35" ht="30" x14ac:dyDescent="0.25">
      <c r="A897" s="275">
        <f>'Profits 2016'!A6110</f>
        <v>3004803</v>
      </c>
      <c r="B897" s="279">
        <f>'Profits 2016'!B6110</f>
        <v>42650</v>
      </c>
      <c r="C897" s="276">
        <f>'Profits 2016'!H6110</f>
        <v>270.73</v>
      </c>
      <c r="D897" s="280">
        <f>'Profits 2016'!K6110</f>
        <v>230.12050000000002</v>
      </c>
      <c r="E897" s="276">
        <f>'Profits 2016'!L6110</f>
        <v>375</v>
      </c>
      <c r="F897" s="275" t="str">
        <f>'Profits 2016'!P6110</f>
        <v>Nassau</v>
      </c>
      <c r="G897" s="292">
        <f>'Profits 2016'!N6110-'Profits 2016'!M6110</f>
        <v>131.25</v>
      </c>
      <c r="H897" s="319"/>
      <c r="I897" s="320"/>
      <c r="J897" s="321"/>
      <c r="K897" s="321"/>
      <c r="L897" s="321"/>
      <c r="M897" s="319"/>
      <c r="N897" s="322"/>
      <c r="O897" s="236" t="str">
        <f>'Profits 2016'!T6110</f>
        <v>FEDEX GROUND</v>
      </c>
      <c r="P897" s="284" t="str">
        <f>'Profits 2016'!U6110</f>
        <v>680483360428</v>
      </c>
      <c r="Q897" s="284" t="s">
        <v>314</v>
      </c>
      <c r="R897" s="276">
        <v>49.63</v>
      </c>
      <c r="S897" s="275" t="s">
        <v>15805</v>
      </c>
      <c r="T897" s="279">
        <v>42667</v>
      </c>
      <c r="U897" s="279">
        <v>42670</v>
      </c>
      <c r="V897" s="279">
        <v>42678</v>
      </c>
      <c r="W897" s="293">
        <v>0</v>
      </c>
      <c r="X897" s="236">
        <v>9301</v>
      </c>
      <c r="AF897" s="276">
        <f t="shared" si="106"/>
        <v>180.88</v>
      </c>
      <c r="AG897" s="276">
        <f t="shared" si="100"/>
        <v>49.63</v>
      </c>
      <c r="AH897" s="276">
        <f t="shared" si="101"/>
        <v>180.49050000000003</v>
      </c>
      <c r="AI897" s="283">
        <f t="shared" si="102"/>
        <v>0.9978466386554623</v>
      </c>
    </row>
    <row r="898" spans="1:35" ht="30" x14ac:dyDescent="0.25">
      <c r="A898" s="275">
        <f>'Profits 2016'!A6111</f>
        <v>3004804</v>
      </c>
      <c r="B898" s="279">
        <f>'Profits 2016'!B6111</f>
        <v>42650</v>
      </c>
      <c r="C898" s="276">
        <f>'Profits 2016'!H6111</f>
        <v>124.97</v>
      </c>
      <c r="D898" s="280">
        <f>'Profits 2016'!K6111</f>
        <v>106.22450000000001</v>
      </c>
      <c r="E898" s="276">
        <f>'Profits 2016'!L6111</f>
        <v>672</v>
      </c>
      <c r="F898" s="275" t="str">
        <f>'Profits 2016'!P6111</f>
        <v>Houston</v>
      </c>
      <c r="G898" s="292">
        <f>'Profits 2016'!N6111-'Profits 2016'!M6111</f>
        <v>67.2</v>
      </c>
      <c r="H898" s="292">
        <v>0</v>
      </c>
      <c r="I898" s="275">
        <v>30909435</v>
      </c>
      <c r="J898" s="277">
        <v>42653</v>
      </c>
      <c r="K898" s="277">
        <v>42657</v>
      </c>
      <c r="L898" s="277">
        <v>42678</v>
      </c>
      <c r="M898" s="292">
        <v>67.2</v>
      </c>
      <c r="N898" s="281">
        <v>9323</v>
      </c>
      <c r="O898" s="236" t="str">
        <f>'Profits 2016'!T6111</f>
        <v>FEDEX GROUND</v>
      </c>
      <c r="P898" s="284" t="str">
        <f>'Profits 2016'!U6111</f>
        <v>707510673310</v>
      </c>
      <c r="Q898" s="284" t="s">
        <v>314</v>
      </c>
      <c r="R898" s="276">
        <v>23.8</v>
      </c>
      <c r="S898" s="275" t="s">
        <v>15805</v>
      </c>
      <c r="T898" s="279">
        <v>42667</v>
      </c>
      <c r="U898" s="279">
        <v>42670</v>
      </c>
      <c r="V898" s="279">
        <v>42678</v>
      </c>
      <c r="W898" s="293">
        <v>0</v>
      </c>
      <c r="X898" s="236">
        <v>9301</v>
      </c>
      <c r="AF898" s="276">
        <f t="shared" si="106"/>
        <v>91</v>
      </c>
      <c r="AG898" s="276">
        <f t="shared" si="100"/>
        <v>91</v>
      </c>
      <c r="AH898" s="276">
        <f t="shared" si="101"/>
        <v>15.224500000000006</v>
      </c>
      <c r="AI898" s="283">
        <f t="shared" si="102"/>
        <v>0.16730219780219788</v>
      </c>
    </row>
    <row r="899" spans="1:35" ht="30" x14ac:dyDescent="0.25">
      <c r="A899" s="275">
        <f>'Profits 2016'!A6112</f>
        <v>3004805</v>
      </c>
      <c r="B899" s="279">
        <f>'Profits 2016'!B6112</f>
        <v>42650</v>
      </c>
      <c r="C899" s="276">
        <f>'Profits 2016'!H6112</f>
        <v>117.85</v>
      </c>
      <c r="D899" s="280">
        <f>'Profits 2016'!K6112</f>
        <v>100.1725</v>
      </c>
      <c r="E899" s="276">
        <f>'Profits 2016'!L6112</f>
        <v>78</v>
      </c>
      <c r="F899" s="275" t="str">
        <f>'Profits 2016'!P6112</f>
        <v>Allied</v>
      </c>
      <c r="G899" s="292">
        <f>'Profits 2016'!N6112-'Profits 2016'!M6112</f>
        <v>78</v>
      </c>
      <c r="H899" s="292">
        <v>0</v>
      </c>
      <c r="I899" s="275">
        <v>349190</v>
      </c>
      <c r="J899" s="277">
        <v>42653</v>
      </c>
      <c r="K899" s="277">
        <v>42660</v>
      </c>
      <c r="L899" s="277">
        <v>42678</v>
      </c>
      <c r="M899" s="292">
        <v>78</v>
      </c>
      <c r="N899" s="281">
        <v>9284</v>
      </c>
      <c r="O899" s="236" t="str">
        <f>'Profits 2016'!T6112</f>
        <v>FEDEX GROUND</v>
      </c>
      <c r="P899" s="284" t="str">
        <f>'Profits 2016'!U6112</f>
        <v xml:space="preserve">706034053856 </v>
      </c>
      <c r="Q899" s="284" t="s">
        <v>314</v>
      </c>
      <c r="R899" s="276">
        <v>17.27</v>
      </c>
      <c r="S899" s="275" t="s">
        <v>15805</v>
      </c>
      <c r="T899" s="279">
        <v>42667</v>
      </c>
      <c r="U899" s="279">
        <v>42670</v>
      </c>
      <c r="V899" s="279">
        <v>42678</v>
      </c>
      <c r="W899" s="293">
        <v>0</v>
      </c>
      <c r="X899" s="236">
        <v>9301</v>
      </c>
      <c r="AF899" s="276">
        <f t="shared" si="106"/>
        <v>95.27</v>
      </c>
      <c r="AG899" s="276">
        <f t="shared" si="100"/>
        <v>95.27</v>
      </c>
      <c r="AH899" s="276">
        <f t="shared" si="101"/>
        <v>4.9025000000000034</v>
      </c>
      <c r="AI899" s="283">
        <f t="shared" si="102"/>
        <v>5.1459011231237577E-2</v>
      </c>
    </row>
    <row r="900" spans="1:35" ht="29.25" customHeight="1" x14ac:dyDescent="0.25">
      <c r="A900" s="275">
        <f>'Profits 2016'!A6113</f>
        <v>3004806</v>
      </c>
      <c r="B900" s="279">
        <f>'Profits 2016'!B6113</f>
        <v>42650</v>
      </c>
      <c r="C900" s="276">
        <f>'Profits 2016'!H6113</f>
        <v>1732</v>
      </c>
      <c r="D900" s="280">
        <f>'Profits 2016'!K6113</f>
        <v>1675.41</v>
      </c>
      <c r="E900" s="276">
        <f>'Profits 2016'!L6113</f>
        <v>390</v>
      </c>
      <c r="F900" s="275" t="str">
        <f>'Profits 2016'!P6113</f>
        <v>Allied</v>
      </c>
      <c r="G900" s="292">
        <f>'Profits 2016'!N6113-'Profits 2016'!M6113</f>
        <v>780</v>
      </c>
      <c r="H900" s="292">
        <v>0</v>
      </c>
      <c r="I900" s="275">
        <v>354763</v>
      </c>
      <c r="J900" s="277">
        <v>42645</v>
      </c>
      <c r="K900" s="277">
        <v>42675</v>
      </c>
      <c r="L900" s="277">
        <v>42697</v>
      </c>
      <c r="M900" s="292">
        <v>780</v>
      </c>
      <c r="N900" s="281">
        <v>9463</v>
      </c>
      <c r="O900" s="236" t="str">
        <f>'Profits 2016'!T6113</f>
        <v>FEDEX GROUND</v>
      </c>
      <c r="P900" s="284" t="str">
        <f>'Profits 2016'!U6113</f>
        <v>672892758530 672892758540</v>
      </c>
      <c r="Q900" s="284" t="s">
        <v>314</v>
      </c>
      <c r="R900" s="276">
        <f>23.91+34.41</f>
        <v>58.319999999999993</v>
      </c>
      <c r="S900" s="275" t="s">
        <v>15805</v>
      </c>
      <c r="T900" s="279">
        <v>42667</v>
      </c>
      <c r="U900" s="279">
        <v>42670</v>
      </c>
      <c r="V900" s="279">
        <v>42678</v>
      </c>
      <c r="W900" s="293">
        <v>0</v>
      </c>
      <c r="X900" s="236">
        <v>9301</v>
      </c>
      <c r="AF900" s="276">
        <f t="shared" si="106"/>
        <v>838.31999999999994</v>
      </c>
      <c r="AG900" s="276">
        <f t="shared" ref="AG900:AG964" si="107">M900+R900+Y900</f>
        <v>838.31999999999994</v>
      </c>
      <c r="AH900" s="276">
        <f t="shared" ref="AH900:AH964" si="108">D900-AG900</f>
        <v>837.09000000000015</v>
      </c>
      <c r="AI900" s="283">
        <f t="shared" ref="AI900:AI964" si="109">AH900/AF900</f>
        <v>0.99853277984540534</v>
      </c>
    </row>
    <row r="901" spans="1:35" ht="30" x14ac:dyDescent="0.25">
      <c r="A901" s="275">
        <f>'Profits 2016'!A6114</f>
        <v>3004807</v>
      </c>
      <c r="B901" s="279">
        <f>'Profits 2016'!B6114</f>
        <v>42650</v>
      </c>
      <c r="C901" s="276">
        <f>'Profits 2016'!H6114</f>
        <v>2320</v>
      </c>
      <c r="D901" s="280">
        <f>'Profits 2016'!K6114</f>
        <v>2268.66</v>
      </c>
      <c r="E901" s="276">
        <f>'Profits 2016'!L6114</f>
        <v>2260</v>
      </c>
      <c r="F901" s="275" t="str">
        <f>'Profits 2016'!P6114</f>
        <v xml:space="preserve">Service </v>
      </c>
      <c r="G901" s="292">
        <f>'Profits 2016'!N6114-'Profits 2016'!M6114</f>
        <v>904</v>
      </c>
      <c r="H901" s="292">
        <v>0</v>
      </c>
      <c r="I901" s="275">
        <v>50264049</v>
      </c>
      <c r="J901" s="277">
        <v>42654</v>
      </c>
      <c r="K901" s="277">
        <v>42660</v>
      </c>
      <c r="O901" s="236" t="str">
        <f>'Profits 2016'!T6114</f>
        <v>XPO LOGISTICS</v>
      </c>
      <c r="P901" s="284" t="str">
        <f>'Profits 2016'!U6114</f>
        <v>14203322103</v>
      </c>
      <c r="Q901" s="345"/>
      <c r="R901" s="342"/>
      <c r="S901" s="336"/>
      <c r="T901" s="341"/>
      <c r="U901" s="341"/>
      <c r="V901" s="341"/>
      <c r="W901" s="346"/>
      <c r="X901" s="344"/>
      <c r="AF901" s="276">
        <f t="shared" si="106"/>
        <v>944</v>
      </c>
      <c r="AG901" s="276">
        <f t="shared" si="107"/>
        <v>0</v>
      </c>
      <c r="AH901" s="276">
        <f t="shared" si="108"/>
        <v>2268.66</v>
      </c>
      <c r="AI901" s="283">
        <f t="shared" si="109"/>
        <v>2.4032415254237285</v>
      </c>
    </row>
    <row r="902" spans="1:35" ht="30" x14ac:dyDescent="0.25">
      <c r="A902" s="275">
        <f>'Profits 2016'!A6115</f>
        <v>3004808</v>
      </c>
      <c r="B902" s="279">
        <f>'Profits 2016'!B6115</f>
        <v>42650</v>
      </c>
      <c r="C902" s="276">
        <f>'Profits 2016'!H6115</f>
        <v>4058</v>
      </c>
      <c r="D902" s="280">
        <f>'Profits 2016'!K6115</f>
        <v>3925.8150000000001</v>
      </c>
      <c r="E902" s="276">
        <f>'Profits 2016'!L6115</f>
        <v>6500</v>
      </c>
      <c r="F902" s="275" t="str">
        <f>'Profits 2016'!P6115</f>
        <v>Priority</v>
      </c>
      <c r="G902" s="292">
        <f>'Profits 2016'!N6115-'Profits 2016'!M6115</f>
        <v>1950</v>
      </c>
      <c r="H902" s="292">
        <v>40</v>
      </c>
      <c r="I902" s="275">
        <v>1066611</v>
      </c>
      <c r="J902" s="277">
        <v>42660</v>
      </c>
      <c r="K902" s="277">
        <v>42667</v>
      </c>
      <c r="O902" s="236" t="str">
        <f>'Profits 2016'!T6115</f>
        <v>Committed</v>
      </c>
      <c r="P902" s="284">
        <f>'Profits 2016'!U6115</f>
        <v>0</v>
      </c>
      <c r="Q902" s="284" t="s">
        <v>15740</v>
      </c>
      <c r="R902" s="292">
        <v>120.5</v>
      </c>
      <c r="S902" s="275">
        <v>1066611</v>
      </c>
      <c r="T902" s="277">
        <v>42660</v>
      </c>
      <c r="U902" s="277">
        <v>42667</v>
      </c>
      <c r="AF902" s="276">
        <f t="shared" si="106"/>
        <v>2110.5</v>
      </c>
      <c r="AG902" s="276">
        <f t="shared" si="107"/>
        <v>120.5</v>
      </c>
      <c r="AH902" s="276">
        <f t="shared" si="108"/>
        <v>3805.3150000000001</v>
      </c>
      <c r="AI902" s="283">
        <f t="shared" si="109"/>
        <v>1.8030395640843402</v>
      </c>
    </row>
    <row r="903" spans="1:35" x14ac:dyDescent="0.25">
      <c r="A903" s="275">
        <f>'Profits 2016'!A6116</f>
        <v>0</v>
      </c>
      <c r="B903" s="279">
        <f>'Profits 2016'!B6116</f>
        <v>0</v>
      </c>
      <c r="C903" s="276">
        <f>'Profits 2016'!H6116</f>
        <v>0</v>
      </c>
      <c r="D903" s="280">
        <f>'Profits 2016'!K6116</f>
        <v>0</v>
      </c>
      <c r="E903" s="276">
        <f>'Profits 2016'!L6116</f>
        <v>3300</v>
      </c>
      <c r="F903" s="275" t="str">
        <f>'Profits 2016'!P6116</f>
        <v>Priority</v>
      </c>
      <c r="G903" s="292">
        <f>'Profits 2016'!N6116-'Profits 2016'!M6116</f>
        <v>1320</v>
      </c>
      <c r="H903" s="292">
        <v>40</v>
      </c>
      <c r="I903" s="275">
        <v>1066611</v>
      </c>
      <c r="J903" s="277">
        <v>42660</v>
      </c>
      <c r="K903" s="277">
        <v>42667</v>
      </c>
      <c r="O903" s="236">
        <f>'Profits 2016'!T6116</f>
        <v>0</v>
      </c>
      <c r="P903" s="284" t="str">
        <f>'Profits 2016'!U6116</f>
        <v>$40 cut charge</v>
      </c>
      <c r="Q903" s="284" t="s">
        <v>15740</v>
      </c>
      <c r="R903" s="292">
        <v>0</v>
      </c>
      <c r="S903" s="275">
        <v>1066611</v>
      </c>
      <c r="T903" s="277">
        <v>42660</v>
      </c>
      <c r="U903" s="277">
        <v>42667</v>
      </c>
      <c r="AF903" s="276">
        <f t="shared" si="106"/>
        <v>1320</v>
      </c>
      <c r="AG903" s="276">
        <f t="shared" si="107"/>
        <v>0</v>
      </c>
      <c r="AH903" s="276">
        <f t="shared" si="108"/>
        <v>0</v>
      </c>
      <c r="AI903" s="283">
        <f t="shared" si="109"/>
        <v>0</v>
      </c>
    </row>
    <row r="904" spans="1:35" x14ac:dyDescent="0.25">
      <c r="A904" s="275">
        <f>'Profits 2016'!A6117</f>
        <v>3004809</v>
      </c>
      <c r="B904" s="279">
        <f>'Profits 2016'!B6117</f>
        <v>42650</v>
      </c>
      <c r="C904" s="276">
        <f>'Profits 2016'!H6117</f>
        <v>574.45000000000005</v>
      </c>
      <c r="D904" s="280">
        <f>'Profits 2016'!K6117</f>
        <v>561.51210000000003</v>
      </c>
      <c r="E904" s="276">
        <f>'Profits 2016'!L6117</f>
        <v>400</v>
      </c>
      <c r="F904" s="275" t="str">
        <f>'Profits 2016'!P6117</f>
        <v>Nassau</v>
      </c>
      <c r="G904" s="292">
        <f>'Profits 2016'!N6117-'Profits 2016'!M6117</f>
        <v>110.00000000000001</v>
      </c>
      <c r="H904" s="319"/>
      <c r="I904" s="320"/>
      <c r="J904" s="321"/>
      <c r="K904" s="321"/>
      <c r="L904" s="321"/>
      <c r="M904" s="319"/>
      <c r="N904" s="322"/>
      <c r="O904" s="236" t="str">
        <f>'Profits 2016'!T6117</f>
        <v>R&amp;L/ECHO</v>
      </c>
      <c r="P904" s="284" t="str">
        <f>'Profits 2016'!U6117</f>
        <v>730507815</v>
      </c>
      <c r="Q904" s="284" t="s">
        <v>15767</v>
      </c>
      <c r="R904" s="276">
        <v>101.54</v>
      </c>
      <c r="S904" s="275" t="s">
        <v>15860</v>
      </c>
      <c r="T904" s="279">
        <v>42657</v>
      </c>
      <c r="U904" s="279">
        <v>42675</v>
      </c>
      <c r="AF904" s="276">
        <f t="shared" si="106"/>
        <v>211.54000000000002</v>
      </c>
      <c r="AG904" s="276">
        <f t="shared" si="107"/>
        <v>101.54</v>
      </c>
      <c r="AH904" s="276">
        <f t="shared" si="108"/>
        <v>459.97210000000001</v>
      </c>
      <c r="AI904" s="283">
        <f t="shared" si="109"/>
        <v>2.1743977498345464</v>
      </c>
    </row>
    <row r="905" spans="1:35" x14ac:dyDescent="0.25">
      <c r="A905" s="275">
        <f>'Profits 2016'!A6118</f>
        <v>3004810</v>
      </c>
      <c r="B905" s="279">
        <f>'Profits 2016'!B6118</f>
        <v>42650</v>
      </c>
      <c r="C905" s="276">
        <f>'Profits 2016'!H6118</f>
        <v>1628.75</v>
      </c>
      <c r="D905" s="280">
        <f>'Profits 2016'!K6118</f>
        <v>1592.6175000000001</v>
      </c>
      <c r="E905" s="276">
        <f>'Profits 2016'!L6118</f>
        <v>1785</v>
      </c>
      <c r="F905" s="275" t="str">
        <f>'Profits 2016'!P6118</f>
        <v>Wirexpress</v>
      </c>
      <c r="G905" s="292">
        <f>'Profits 2016'!N6118-'Profits 2016'!M6118</f>
        <v>892.5</v>
      </c>
      <c r="H905" s="292">
        <v>0</v>
      </c>
      <c r="I905" s="275" t="s">
        <v>15861</v>
      </c>
      <c r="J905" s="277">
        <v>42657</v>
      </c>
      <c r="K905" s="277">
        <v>42663</v>
      </c>
      <c r="O905" s="236" t="str">
        <f>'Profits 2016'!T6118</f>
        <v>YRC/ECHO</v>
      </c>
      <c r="P905" s="284" t="str">
        <f>'Profits 2016'!U6118</f>
        <v>5451115483</v>
      </c>
      <c r="Q905" s="345"/>
      <c r="R905" s="342"/>
      <c r="S905" s="336"/>
      <c r="T905" s="341"/>
      <c r="U905" s="341"/>
      <c r="V905" s="341"/>
      <c r="W905" s="346"/>
      <c r="X905" s="344"/>
      <c r="AF905" s="276">
        <f t="shared" si="106"/>
        <v>892.5</v>
      </c>
      <c r="AG905" s="276">
        <f t="shared" si="107"/>
        <v>0</v>
      </c>
      <c r="AH905" s="276">
        <f t="shared" si="108"/>
        <v>1592.6175000000001</v>
      </c>
      <c r="AI905" s="283">
        <f t="shared" si="109"/>
        <v>1.7844453781512606</v>
      </c>
    </row>
    <row r="906" spans="1:35" ht="30" x14ac:dyDescent="0.25">
      <c r="A906" s="275">
        <f>'Profits 2016'!A6119</f>
        <v>3004811</v>
      </c>
      <c r="B906" s="279">
        <f>'Profits 2016'!B6119</f>
        <v>42650</v>
      </c>
      <c r="C906" s="276">
        <f>'Profits 2016'!H6119</f>
        <v>375</v>
      </c>
      <c r="D906" s="280">
        <f>'Profits 2016'!K6119</f>
        <v>366.45</v>
      </c>
      <c r="E906" s="276">
        <f>'Profits 2016'!L6119</f>
        <v>1190</v>
      </c>
      <c r="F906" s="275" t="str">
        <f>'Profits 2016'!P6119</f>
        <v>Electrowire</v>
      </c>
      <c r="G906" s="292">
        <f>'Profits 2016'!N6119-'Profits 2016'!M6119</f>
        <v>178.5</v>
      </c>
      <c r="H906" s="292">
        <v>0</v>
      </c>
      <c r="I906" s="275">
        <v>3876116</v>
      </c>
      <c r="J906" s="277">
        <v>42653</v>
      </c>
      <c r="K906" s="277">
        <v>42657</v>
      </c>
      <c r="L906" s="277">
        <v>42678</v>
      </c>
      <c r="M906" s="292">
        <v>178.5</v>
      </c>
      <c r="N906" s="281">
        <v>9319</v>
      </c>
      <c r="O906" s="236" t="str">
        <f>'Profits 2016'!T6119</f>
        <v>UPS GROUND</v>
      </c>
      <c r="P906" s="284" t="str">
        <f>'Profits 2016'!U6119</f>
        <v>1z05r18f0356421532</v>
      </c>
      <c r="Q906" s="284" t="s">
        <v>15862</v>
      </c>
      <c r="R906" s="276">
        <v>12.36</v>
      </c>
      <c r="S906" s="275">
        <v>3876116</v>
      </c>
      <c r="T906" s="277">
        <v>42653</v>
      </c>
      <c r="U906" s="277">
        <v>42657</v>
      </c>
      <c r="V906" s="279">
        <v>42678</v>
      </c>
      <c r="W906" s="293">
        <v>12.36</v>
      </c>
      <c r="X906" s="236">
        <v>9319</v>
      </c>
      <c r="AF906" s="276">
        <f t="shared" si="106"/>
        <v>190.86</v>
      </c>
      <c r="AG906" s="276">
        <f t="shared" si="107"/>
        <v>190.86</v>
      </c>
      <c r="AH906" s="276">
        <f t="shared" si="108"/>
        <v>175.58999999999997</v>
      </c>
      <c r="AI906" s="283">
        <f t="shared" si="109"/>
        <v>0.91999371266897179</v>
      </c>
    </row>
    <row r="907" spans="1:35" x14ac:dyDescent="0.25">
      <c r="A907" s="275">
        <f>'Profits 2016'!A6120</f>
        <v>3004812</v>
      </c>
      <c r="B907" s="279">
        <f>'Profits 2016'!B6120</f>
        <v>42650</v>
      </c>
      <c r="C907" s="276">
        <f>'Profits 2016'!H6120</f>
        <v>483</v>
      </c>
      <c r="D907" s="280">
        <f>'Profits 2016'!K6120</f>
        <v>472.07400000000001</v>
      </c>
      <c r="E907" s="276">
        <f>'Profits 2016'!L6120</f>
        <v>1795</v>
      </c>
      <c r="F907" s="275" t="str">
        <f>'Profits 2016'!P6120</f>
        <v>Nassau</v>
      </c>
      <c r="G907" s="292">
        <f>'Profits 2016'!N6120-'Profits 2016'!M6120</f>
        <v>269.25</v>
      </c>
      <c r="H907" s="319"/>
      <c r="I907" s="320"/>
      <c r="J907" s="321"/>
      <c r="K907" s="321"/>
      <c r="L907" s="321"/>
      <c r="M907" s="319"/>
      <c r="N907" s="322"/>
      <c r="O907" s="236" t="str">
        <f>'Profits 2016'!T6120</f>
        <v>XPO/DLS</v>
      </c>
      <c r="P907" s="284" t="str">
        <f>'Profits 2016'!U6120</f>
        <v>284-722826</v>
      </c>
      <c r="Q907" s="284" t="s">
        <v>15804</v>
      </c>
      <c r="R907" s="276">
        <v>154.30000000000001</v>
      </c>
      <c r="S907" s="275">
        <v>636848817</v>
      </c>
      <c r="T907" s="279">
        <v>42661</v>
      </c>
      <c r="U907" s="279">
        <v>42667</v>
      </c>
      <c r="V907" s="279">
        <v>42671</v>
      </c>
      <c r="W907" s="293">
        <v>154.30000000000001</v>
      </c>
      <c r="X907" s="236">
        <v>9262</v>
      </c>
      <c r="AF907" s="276">
        <f t="shared" si="106"/>
        <v>423.55</v>
      </c>
      <c r="AG907" s="276">
        <f t="shared" si="107"/>
        <v>154.30000000000001</v>
      </c>
      <c r="AH907" s="276">
        <f t="shared" si="108"/>
        <v>317.774</v>
      </c>
      <c r="AI907" s="283">
        <f t="shared" si="109"/>
        <v>0.75026325109196079</v>
      </c>
    </row>
    <row r="908" spans="1:35" ht="30" x14ac:dyDescent="0.25">
      <c r="A908" s="275">
        <f>'Profits 2016'!A6121</f>
        <v>3004813</v>
      </c>
      <c r="B908" s="279">
        <f>'Profits 2016'!B6121</f>
        <v>42653</v>
      </c>
      <c r="C908" s="276">
        <f>'Profits 2016'!H6121</f>
        <v>412.5</v>
      </c>
      <c r="D908" s="280">
        <f>'Profits 2016'!K6121</f>
        <v>367.23750000000001</v>
      </c>
      <c r="E908" s="276">
        <f>'Profits 2016'!L6121</f>
        <v>448</v>
      </c>
      <c r="F908" s="275" t="str">
        <f>'Profits 2016'!P6121</f>
        <v>Commodity</v>
      </c>
      <c r="G908" s="292">
        <f>'Profits 2016'!N6121-'Profits 2016'!M6121</f>
        <v>201.6</v>
      </c>
      <c r="H908" s="335"/>
      <c r="I908" s="336"/>
      <c r="J908" s="337"/>
      <c r="K908" s="337"/>
      <c r="L908" s="337"/>
      <c r="M908" s="335"/>
      <c r="N908" s="338"/>
      <c r="O908" s="236" t="str">
        <f>'Profits 2016'!T6121</f>
        <v>FEDEX GROUND</v>
      </c>
      <c r="P908" s="284" t="str">
        <f>'Profits 2016'!U6121</f>
        <v>777436014546</v>
      </c>
      <c r="Q908" s="284" t="s">
        <v>314</v>
      </c>
      <c r="R908" s="276">
        <v>61.47</v>
      </c>
      <c r="S908" s="275" t="s">
        <v>15805</v>
      </c>
      <c r="T908" s="279">
        <v>42667</v>
      </c>
      <c r="U908" s="279">
        <v>42670</v>
      </c>
      <c r="V908" s="279">
        <v>42678</v>
      </c>
      <c r="W908" s="293">
        <v>0</v>
      </c>
      <c r="X908" s="236">
        <v>9301</v>
      </c>
      <c r="AF908" s="276">
        <f t="shared" si="106"/>
        <v>263.07</v>
      </c>
      <c r="AG908" s="276">
        <f t="shared" si="107"/>
        <v>61.47</v>
      </c>
      <c r="AH908" s="276">
        <f t="shared" si="108"/>
        <v>305.76750000000004</v>
      </c>
      <c r="AI908" s="283">
        <f t="shared" si="109"/>
        <v>1.1623047097730643</v>
      </c>
    </row>
    <row r="909" spans="1:35" ht="45" x14ac:dyDescent="0.25">
      <c r="A909" s="275">
        <f>'Profits 2016'!A6122</f>
        <v>3004814</v>
      </c>
      <c r="B909" s="279">
        <f>'Profits 2016'!B6122</f>
        <v>42653</v>
      </c>
      <c r="C909" s="276">
        <f>'Profits 2016'!H6122</f>
        <v>850</v>
      </c>
      <c r="D909" s="280">
        <f>'Profits 2016'!K6122</f>
        <v>822.07500000000005</v>
      </c>
      <c r="E909" s="276">
        <f>'Profits 2016'!L6122</f>
        <v>900</v>
      </c>
      <c r="F909" s="275" t="str">
        <f>'Profits 2016'!P6122</f>
        <v>Nassau</v>
      </c>
      <c r="G909" s="292">
        <f>'Profits 2016'!N6122-'Profits 2016'!M6122</f>
        <v>450</v>
      </c>
      <c r="H909" s="319"/>
      <c r="I909" s="320"/>
      <c r="J909" s="321"/>
      <c r="K909" s="321"/>
      <c r="L909" s="321"/>
      <c r="M909" s="319"/>
      <c r="N909" s="322"/>
      <c r="O909" s="236" t="str">
        <f>'Profits 2016'!T6122</f>
        <v>OLD DOMINION/ECHO</v>
      </c>
      <c r="P909" s="284" t="str">
        <f>'Profits 2016'!U6122</f>
        <v>06013280729</v>
      </c>
      <c r="Q909" s="284" t="s">
        <v>15767</v>
      </c>
      <c r="R909" s="276">
        <v>114</v>
      </c>
      <c r="S909" s="275" t="s">
        <v>15863</v>
      </c>
      <c r="T909" s="279">
        <v>42664</v>
      </c>
      <c r="U909" s="279">
        <v>42670</v>
      </c>
      <c r="V909" s="279">
        <v>42692</v>
      </c>
      <c r="W909" s="293">
        <v>114</v>
      </c>
      <c r="X909" s="236">
        <v>9441</v>
      </c>
      <c r="AF909" s="276">
        <f t="shared" si="106"/>
        <v>564</v>
      </c>
      <c r="AG909" s="276">
        <f t="shared" si="107"/>
        <v>114</v>
      </c>
      <c r="AH909" s="276">
        <f t="shared" si="108"/>
        <v>708.07500000000005</v>
      </c>
      <c r="AI909" s="283">
        <f t="shared" si="109"/>
        <v>1.2554521276595745</v>
      </c>
    </row>
    <row r="910" spans="1:35" ht="30" x14ac:dyDescent="0.25">
      <c r="A910" s="275">
        <f>'Profits 2016'!A6123</f>
        <v>3004815</v>
      </c>
      <c r="B910" s="279">
        <f>'Profits 2016'!B6123</f>
        <v>42653</v>
      </c>
      <c r="C910" s="276">
        <f>'Profits 2016'!H6123</f>
        <v>500</v>
      </c>
      <c r="D910" s="280">
        <f>'Profits 2016'!K6123</f>
        <v>490.2</v>
      </c>
      <c r="E910" s="276">
        <f>'Profits 2016'!L6123</f>
        <v>1100</v>
      </c>
      <c r="F910" s="275" t="str">
        <f>'Profits 2016'!P6123</f>
        <v>Nassau</v>
      </c>
      <c r="G910" s="292">
        <f>'Profits 2016'!N6123-'Profits 2016'!M6123</f>
        <v>275</v>
      </c>
      <c r="H910" s="319"/>
      <c r="I910" s="320"/>
      <c r="J910" s="321"/>
      <c r="K910" s="321"/>
      <c r="L910" s="321"/>
      <c r="M910" s="319"/>
      <c r="N910" s="322"/>
      <c r="O910" s="236" t="str">
        <f>'Profits 2016'!T6123</f>
        <v>FEDEX GROUND</v>
      </c>
      <c r="P910" s="284" t="str">
        <f>'Profits 2016'!U6123</f>
        <v>702723289458</v>
      </c>
      <c r="Q910" s="284" t="s">
        <v>314</v>
      </c>
      <c r="R910" s="276">
        <v>44.05</v>
      </c>
      <c r="S910" s="275" t="s">
        <v>15805</v>
      </c>
      <c r="T910" s="279">
        <v>42667</v>
      </c>
      <c r="U910" s="279">
        <v>42670</v>
      </c>
      <c r="V910" s="279">
        <v>42678</v>
      </c>
      <c r="W910" s="293">
        <v>0</v>
      </c>
      <c r="X910" s="236">
        <v>9301</v>
      </c>
      <c r="AF910" s="276">
        <f t="shared" si="106"/>
        <v>319.05</v>
      </c>
      <c r="AG910" s="276">
        <f t="shared" si="107"/>
        <v>44.05</v>
      </c>
      <c r="AH910" s="276">
        <f t="shared" si="108"/>
        <v>446.15</v>
      </c>
      <c r="AI910" s="283">
        <f t="shared" si="109"/>
        <v>1.3983701614167057</v>
      </c>
    </row>
    <row r="911" spans="1:35" ht="30" x14ac:dyDescent="0.25">
      <c r="A911" s="275">
        <f>'Profits 2016'!A6124</f>
        <v>3004816</v>
      </c>
      <c r="B911" s="279">
        <f>'Profits 2016'!B6124</f>
        <v>42653</v>
      </c>
      <c r="C911" s="276">
        <f>'Profits 2016'!H6124</f>
        <v>186.52</v>
      </c>
      <c r="D911" s="280">
        <f>'Profits 2016'!K6124</f>
        <v>165.88932</v>
      </c>
      <c r="E911" s="276">
        <f>'Profits 2016'!L6124</f>
        <v>810</v>
      </c>
      <c r="F911" s="275" t="str">
        <f>'Profits 2016'!P6124</f>
        <v>Priority</v>
      </c>
      <c r="G911" s="292">
        <f>'Profits 2016'!N6124-'Profits 2016'!M6124</f>
        <v>101.25</v>
      </c>
      <c r="H911" s="292">
        <v>0</v>
      </c>
      <c r="I911" s="275">
        <v>1064712</v>
      </c>
      <c r="J911" s="277">
        <v>42654</v>
      </c>
      <c r="K911" s="277">
        <v>42660</v>
      </c>
      <c r="O911" s="236" t="str">
        <f>'Profits 2016'!T6124</f>
        <v>FEDEX GROUND</v>
      </c>
      <c r="P911" s="284" t="str">
        <f>'Profits 2016'!U6124</f>
        <v>614697968172</v>
      </c>
      <c r="Q911" s="284" t="s">
        <v>15740</v>
      </c>
      <c r="R911" s="276">
        <v>28.66</v>
      </c>
      <c r="S911" s="275">
        <v>1064712</v>
      </c>
      <c r="T911" s="277">
        <v>42654</v>
      </c>
      <c r="U911" s="277">
        <v>42660</v>
      </c>
      <c r="AF911" s="276">
        <f t="shared" si="106"/>
        <v>129.91</v>
      </c>
      <c r="AG911" s="276">
        <f t="shared" si="107"/>
        <v>28.66</v>
      </c>
      <c r="AH911" s="276">
        <f t="shared" si="108"/>
        <v>137.22932</v>
      </c>
      <c r="AI911" s="283">
        <f t="shared" si="109"/>
        <v>1.056341467169579</v>
      </c>
    </row>
    <row r="912" spans="1:35" ht="30" x14ac:dyDescent="0.25">
      <c r="A912" s="275">
        <f>'Profits 2016'!A6125</f>
        <v>3004817</v>
      </c>
      <c r="B912" s="279">
        <f>'Profits 2016'!B6125</f>
        <v>42653</v>
      </c>
      <c r="C912" s="276">
        <f>'Profits 2016'!H6125</f>
        <v>826</v>
      </c>
      <c r="D912" s="280">
        <f>'Profits 2016'!K6125</f>
        <v>826</v>
      </c>
      <c r="E912" s="276">
        <f>'Profits 2016'!L6125</f>
        <v>840</v>
      </c>
      <c r="F912" s="275" t="str">
        <f>'Profits 2016'!P6125</f>
        <v>Priority</v>
      </c>
      <c r="G912" s="292">
        <f>'Profits 2016'!N6125-'Profits 2016'!M6125</f>
        <v>330.96000000000004</v>
      </c>
      <c r="H912" s="292">
        <v>0</v>
      </c>
      <c r="I912" s="275">
        <v>1064715</v>
      </c>
      <c r="J912" s="277">
        <v>42654</v>
      </c>
      <c r="K912" s="277">
        <v>42660</v>
      </c>
      <c r="O912" s="236" t="str">
        <f>'Profits 2016'!T6125</f>
        <v>FEDEX GROUND</v>
      </c>
      <c r="P912" s="284" t="str">
        <f>'Profits 2016'!U6125</f>
        <v>680993425618</v>
      </c>
      <c r="Q912" s="284" t="s">
        <v>15740</v>
      </c>
      <c r="R912" s="276">
        <v>77.36</v>
      </c>
      <c r="S912" s="275">
        <v>1064715</v>
      </c>
      <c r="T912" s="277">
        <v>42654</v>
      </c>
      <c r="U912" s="277">
        <v>42660</v>
      </c>
      <c r="AF912" s="276">
        <f t="shared" si="106"/>
        <v>408.32000000000005</v>
      </c>
      <c r="AG912" s="276">
        <f t="shared" si="107"/>
        <v>77.36</v>
      </c>
      <c r="AH912" s="276">
        <f t="shared" si="108"/>
        <v>748.64</v>
      </c>
      <c r="AI912" s="283">
        <f t="shared" si="109"/>
        <v>1.8334639498432599</v>
      </c>
    </row>
    <row r="913" spans="1:35" ht="30" x14ac:dyDescent="0.25">
      <c r="A913" s="275">
        <f>'Profits 2016'!A6126</f>
        <v>3004818</v>
      </c>
      <c r="B913" s="279">
        <f>'Profits 2016'!B6126</f>
        <v>42653</v>
      </c>
      <c r="C913" s="276">
        <f>'Profits 2016'!H6126</f>
        <v>215.87</v>
      </c>
      <c r="D913" s="280">
        <f>'Profits 2016'!K6126</f>
        <v>192.04016999999999</v>
      </c>
      <c r="E913" s="276">
        <f>'Profits 2016'!L6126</f>
        <v>720</v>
      </c>
      <c r="F913" s="275" t="str">
        <f>'Profits 2016'!P6126</f>
        <v>A-Z</v>
      </c>
      <c r="G913" s="292">
        <f>'Profits 2016'!N6126-'Profits 2016'!M6126</f>
        <v>144</v>
      </c>
      <c r="H913" s="331">
        <v>0</v>
      </c>
      <c r="I913" s="332">
        <v>405206</v>
      </c>
      <c r="J913" s="333">
        <v>42656</v>
      </c>
      <c r="K913" s="333">
        <v>42681</v>
      </c>
      <c r="L913" s="333">
        <v>42697</v>
      </c>
      <c r="M913" s="331">
        <v>144</v>
      </c>
      <c r="N913" s="334">
        <v>9462</v>
      </c>
      <c r="O913" s="236" t="str">
        <f>'Profits 2016'!T6126</f>
        <v>FEDEX GROUND</v>
      </c>
      <c r="P913" s="284" t="str">
        <f>'Profits 2016'!U6126</f>
        <v>667087326912</v>
      </c>
      <c r="Q913" s="284" t="s">
        <v>314</v>
      </c>
      <c r="R913" s="276">
        <v>36.53</v>
      </c>
      <c r="S913" s="275" t="s">
        <v>15805</v>
      </c>
      <c r="T913" s="279">
        <v>42667</v>
      </c>
      <c r="U913" s="279">
        <v>42670</v>
      </c>
      <c r="V913" s="279">
        <v>42678</v>
      </c>
      <c r="W913" s="293">
        <v>0</v>
      </c>
      <c r="X913" s="236">
        <v>9301</v>
      </c>
      <c r="AF913" s="276">
        <f t="shared" si="106"/>
        <v>180.53</v>
      </c>
      <c r="AG913" s="276">
        <f t="shared" si="107"/>
        <v>180.53</v>
      </c>
      <c r="AH913" s="276">
        <f t="shared" si="108"/>
        <v>11.510169999999988</v>
      </c>
      <c r="AI913" s="283">
        <f t="shared" si="109"/>
        <v>6.3757658006979384E-2</v>
      </c>
    </row>
    <row r="914" spans="1:35" ht="30" x14ac:dyDescent="0.25">
      <c r="A914" s="275">
        <f>'Profits 2016'!A6127</f>
        <v>3004819</v>
      </c>
      <c r="B914" s="279">
        <f>'Profits 2016'!B6127</f>
        <v>42653</v>
      </c>
      <c r="C914" s="276">
        <f>'Profits 2016'!H6127</f>
        <v>223.96</v>
      </c>
      <c r="D914" s="280">
        <f>'Profits 2016'!K6127</f>
        <v>199.24836000000002</v>
      </c>
      <c r="E914" s="276">
        <f>'Profits 2016'!L6127</f>
        <v>2065</v>
      </c>
      <c r="F914" s="275" t="str">
        <f>'Profits 2016'!P6127</f>
        <v>Priority</v>
      </c>
      <c r="G914" s="292">
        <f>'Profits 2016'!N6127-'Profits 2016'!M6127</f>
        <v>105.31500000000001</v>
      </c>
      <c r="H914" s="292">
        <v>0</v>
      </c>
      <c r="I914" s="275">
        <v>1065054</v>
      </c>
      <c r="J914" s="277">
        <v>42654</v>
      </c>
      <c r="K914" s="277">
        <v>42660</v>
      </c>
      <c r="O914" s="236" t="str">
        <f>'Profits 2016'!T6127</f>
        <v>FEDEX GROUND</v>
      </c>
      <c r="P914" s="284" t="str">
        <f>'Profits 2016'!U6127</f>
        <v>680993425629</v>
      </c>
      <c r="Q914" s="284" t="s">
        <v>15740</v>
      </c>
      <c r="R914" s="276">
        <v>70.39</v>
      </c>
      <c r="S914" s="275">
        <v>1065054</v>
      </c>
      <c r="T914" s="277">
        <v>42654</v>
      </c>
      <c r="U914" s="277">
        <v>42660</v>
      </c>
      <c r="AF914" s="276">
        <f t="shared" si="106"/>
        <v>175.70500000000001</v>
      </c>
      <c r="AG914" s="276">
        <f t="shared" si="107"/>
        <v>70.39</v>
      </c>
      <c r="AH914" s="276">
        <f t="shared" si="108"/>
        <v>128.85836</v>
      </c>
      <c r="AI914" s="283">
        <f t="shared" si="109"/>
        <v>0.73337901596425825</v>
      </c>
    </row>
    <row r="915" spans="1:35" ht="30" x14ac:dyDescent="0.25">
      <c r="A915" s="275">
        <f>'Profits 2016'!A6128</f>
        <v>3004820</v>
      </c>
      <c r="B915" s="279">
        <f>'Profits 2016'!B6128</f>
        <v>42653</v>
      </c>
      <c r="C915" s="276">
        <f>'Profits 2016'!H6128</f>
        <v>245</v>
      </c>
      <c r="D915" s="280">
        <f>'Profits 2016'!K6128</f>
        <v>217.99499999999998</v>
      </c>
      <c r="E915" s="276">
        <f>'Profits 2016'!L6128</f>
        <v>1322</v>
      </c>
      <c r="F915" s="275" t="str">
        <f>'Profits 2016'!P6128</f>
        <v>Nassau</v>
      </c>
      <c r="G915" s="292">
        <f>'Profits 2016'!N6128-'Profits 2016'!M6128</f>
        <v>132.20000000000005</v>
      </c>
      <c r="H915" s="319"/>
      <c r="I915" s="320"/>
      <c r="J915" s="321"/>
      <c r="K915" s="321"/>
      <c r="L915" s="321"/>
      <c r="M915" s="319"/>
      <c r="N915" s="322"/>
      <c r="O915" s="236" t="str">
        <f>'Profits 2016'!T6128</f>
        <v>FEDEX GROUND</v>
      </c>
      <c r="P915" s="284" t="str">
        <f>'Profits 2016'!U6128</f>
        <v>702723289436</v>
      </c>
      <c r="Q915" s="284" t="s">
        <v>314</v>
      </c>
      <c r="R915" s="276">
        <v>33.08</v>
      </c>
      <c r="S915" s="275" t="s">
        <v>15805</v>
      </c>
      <c r="T915" s="279">
        <v>42667</v>
      </c>
      <c r="U915" s="279">
        <v>42670</v>
      </c>
      <c r="V915" s="279">
        <v>42678</v>
      </c>
      <c r="W915" s="293">
        <v>0</v>
      </c>
      <c r="X915" s="236">
        <v>9301</v>
      </c>
      <c r="AF915" s="276">
        <f t="shared" si="106"/>
        <v>165.28000000000003</v>
      </c>
      <c r="AG915" s="276">
        <f t="shared" si="107"/>
        <v>33.08</v>
      </c>
      <c r="AH915" s="276">
        <f t="shared" si="108"/>
        <v>184.91499999999996</v>
      </c>
      <c r="AI915" s="283">
        <f t="shared" si="109"/>
        <v>1.1187984027105513</v>
      </c>
    </row>
    <row r="916" spans="1:35" ht="30" x14ac:dyDescent="0.25">
      <c r="A916" s="275">
        <f>'Profits 2016'!A6129</f>
        <v>3004821</v>
      </c>
      <c r="B916" s="279">
        <f>'Profits 2016'!B6129</f>
        <v>42653</v>
      </c>
      <c r="C916" s="276">
        <f>'Profits 2016'!H6129</f>
        <v>266.31</v>
      </c>
      <c r="D916" s="280">
        <f>'Profits 2016'!K6129</f>
        <v>236.98221000000001</v>
      </c>
      <c r="E916" s="276">
        <f>'Profits 2016'!L6129</f>
        <v>900</v>
      </c>
      <c r="F916" s="275" t="str">
        <f>'Profits 2016'!P6129</f>
        <v>Nassau</v>
      </c>
      <c r="G916" s="292">
        <f>'Profits 2016'!N6129-'Profits 2016'!M6129</f>
        <v>112.5</v>
      </c>
      <c r="H916" s="319"/>
      <c r="I916" s="320"/>
      <c r="J916" s="321"/>
      <c r="K916" s="321"/>
      <c r="L916" s="321"/>
      <c r="M916" s="319"/>
      <c r="N916" s="322"/>
      <c r="O916" s="236" t="str">
        <f>'Profits 2016'!T6129</f>
        <v>FEDEX GROUND</v>
      </c>
      <c r="P916" s="284" t="str">
        <f>'Profits 2016'!U6129</f>
        <v>702723289491</v>
      </c>
      <c r="Q916" s="284" t="s">
        <v>314</v>
      </c>
      <c r="R916" s="276">
        <v>33.01</v>
      </c>
      <c r="S916" s="275" t="s">
        <v>15805</v>
      </c>
      <c r="T916" s="279">
        <v>42667</v>
      </c>
      <c r="U916" s="279">
        <v>42670</v>
      </c>
      <c r="V916" s="279">
        <v>42678</v>
      </c>
      <c r="W916" s="293">
        <v>0</v>
      </c>
      <c r="X916" s="236">
        <v>9301</v>
      </c>
      <c r="AF916" s="276">
        <f t="shared" si="106"/>
        <v>145.51</v>
      </c>
      <c r="AG916" s="276">
        <f t="shared" si="107"/>
        <v>33.01</v>
      </c>
      <c r="AH916" s="276">
        <f t="shared" si="108"/>
        <v>203.97221000000002</v>
      </c>
      <c r="AI916" s="283">
        <f t="shared" si="109"/>
        <v>1.4017745172153118</v>
      </c>
    </row>
    <row r="917" spans="1:35" ht="30" x14ac:dyDescent="0.25">
      <c r="A917" s="275">
        <f>'Profits 2016'!A6130</f>
        <v>3004822</v>
      </c>
      <c r="B917" s="279">
        <f>'Profits 2016'!B6130</f>
        <v>42653</v>
      </c>
      <c r="C917" s="276">
        <f>'Profits 2016'!H6130</f>
        <v>128.25</v>
      </c>
      <c r="D917" s="280">
        <f>'Profits 2016'!K6130</f>
        <v>113.97075</v>
      </c>
      <c r="E917" s="276">
        <f>'Profits 2016'!L6130</f>
        <v>0</v>
      </c>
      <c r="F917" s="275" t="str">
        <f>'Profits 2016'!P6130</f>
        <v>Nassau</v>
      </c>
      <c r="G917" s="292">
        <f>'Profits 2016'!N6130-'Profits 2016'!M6130</f>
        <v>0</v>
      </c>
      <c r="H917" s="319"/>
      <c r="I917" s="320"/>
      <c r="J917" s="321"/>
      <c r="K917" s="321"/>
      <c r="L917" s="321"/>
      <c r="M917" s="319"/>
      <c r="N917" s="322"/>
      <c r="O917" s="236" t="str">
        <f>'Profits 2016'!T6130</f>
        <v>FEDEX GROUND</v>
      </c>
      <c r="P917" s="284" t="str">
        <f>'Profits 2016'!U6130</f>
        <v>702723289425</v>
      </c>
      <c r="Q917" s="284" t="s">
        <v>314</v>
      </c>
      <c r="R917" s="276">
        <v>18.38</v>
      </c>
      <c r="S917" s="275" t="s">
        <v>15805</v>
      </c>
      <c r="T917" s="279">
        <v>42667</v>
      </c>
      <c r="U917" s="279">
        <v>42670</v>
      </c>
      <c r="V917" s="279">
        <v>42678</v>
      </c>
      <c r="W917" s="293">
        <v>0</v>
      </c>
      <c r="X917" s="236">
        <v>9301</v>
      </c>
      <c r="AF917" s="276">
        <f t="shared" si="106"/>
        <v>18.38</v>
      </c>
      <c r="AG917" s="276">
        <f t="shared" si="107"/>
        <v>18.38</v>
      </c>
      <c r="AH917" s="276">
        <f t="shared" si="108"/>
        <v>95.59075</v>
      </c>
      <c r="AI917" s="283">
        <f t="shared" si="109"/>
        <v>5.2008025027203484</v>
      </c>
    </row>
    <row r="918" spans="1:35" ht="30" x14ac:dyDescent="0.25">
      <c r="A918" s="275">
        <f>'Profits 2016'!A6131</f>
        <v>3004823</v>
      </c>
      <c r="B918" s="279">
        <f>'Profits 2016'!B6131</f>
        <v>42653</v>
      </c>
      <c r="C918" s="276">
        <f>'Profits 2016'!H6131</f>
        <v>257.17</v>
      </c>
      <c r="D918" s="280">
        <f>'Profits 2016'!K6131</f>
        <v>228.83847000000003</v>
      </c>
      <c r="E918" s="276">
        <f>'Profits 2016'!L6131</f>
        <v>510</v>
      </c>
      <c r="F918" s="275" t="str">
        <f>'Profits 2016'!P6131</f>
        <v>Nassau</v>
      </c>
      <c r="G918" s="292">
        <f>'Profits 2016'!N6131-'Profits 2016'!M6131</f>
        <v>140.25</v>
      </c>
      <c r="H918" s="319"/>
      <c r="I918" s="320"/>
      <c r="J918" s="321"/>
      <c r="K918" s="321"/>
      <c r="L918" s="321"/>
      <c r="M918" s="319"/>
      <c r="N918" s="322"/>
      <c r="O918" s="236" t="str">
        <f>'Profits 2016'!T6131</f>
        <v>FEDEX GROUND</v>
      </c>
      <c r="P918" s="284" t="str">
        <f>'Profits 2016'!U6131</f>
        <v>702723289506</v>
      </c>
      <c r="Q918" s="284" t="s">
        <v>314</v>
      </c>
      <c r="R918" s="276">
        <v>36.42</v>
      </c>
      <c r="S918" s="275" t="s">
        <v>15805</v>
      </c>
      <c r="T918" s="279">
        <v>42667</v>
      </c>
      <c r="U918" s="279">
        <v>42670</v>
      </c>
      <c r="V918" s="279">
        <v>42678</v>
      </c>
      <c r="W918" s="293">
        <v>0</v>
      </c>
      <c r="X918" s="236">
        <v>9301</v>
      </c>
      <c r="AF918" s="276">
        <f t="shared" si="106"/>
        <v>176.67000000000002</v>
      </c>
      <c r="AG918" s="276">
        <f t="shared" si="107"/>
        <v>36.42</v>
      </c>
      <c r="AH918" s="276">
        <f t="shared" si="108"/>
        <v>192.41847000000001</v>
      </c>
      <c r="AI918" s="283">
        <f t="shared" si="109"/>
        <v>1.0891406011207336</v>
      </c>
    </row>
    <row r="919" spans="1:35" ht="45" x14ac:dyDescent="0.25">
      <c r="A919" s="275">
        <f>'Profits 2016'!A6132</f>
        <v>3004824</v>
      </c>
      <c r="B919" s="279">
        <f>'Profits 2016'!B6132</f>
        <v>42653</v>
      </c>
      <c r="C919" s="276">
        <f>'Profits 2016'!H6132</f>
        <v>799.42</v>
      </c>
      <c r="D919" s="280">
        <f>'Profits 2016'!K6132</f>
        <v>711.98321999999996</v>
      </c>
      <c r="E919" s="276">
        <f>'Profits 2016'!L6132</f>
        <v>1200</v>
      </c>
      <c r="F919" s="275" t="str">
        <f>'Profits 2016'!P6132</f>
        <v xml:space="preserve">Service </v>
      </c>
      <c r="G919" s="292">
        <f>'Profits 2016'!N6132-'Profits 2016'!M6132</f>
        <v>600</v>
      </c>
      <c r="H919" s="292">
        <v>0</v>
      </c>
      <c r="I919" s="275">
        <v>50264048</v>
      </c>
      <c r="J919" s="277">
        <v>42654</v>
      </c>
      <c r="K919" s="277">
        <v>42660</v>
      </c>
      <c r="O919" s="236" t="str">
        <f>'Profits 2016'!T6132</f>
        <v>OLD DOMINION</v>
      </c>
      <c r="P919" s="284" t="str">
        <f>'Profits 2016'!U6132</f>
        <v>10419072573</v>
      </c>
      <c r="Q919" s="345"/>
      <c r="R919" s="342"/>
      <c r="S919" s="336"/>
      <c r="T919" s="341"/>
      <c r="U919" s="341"/>
      <c r="V919" s="341"/>
      <c r="W919" s="346"/>
      <c r="X919" s="344"/>
      <c r="AF919" s="276">
        <f t="shared" si="106"/>
        <v>600</v>
      </c>
      <c r="AG919" s="276">
        <f t="shared" si="107"/>
        <v>0</v>
      </c>
      <c r="AH919" s="276">
        <f t="shared" si="108"/>
        <v>711.98321999999996</v>
      </c>
      <c r="AI919" s="283">
        <f t="shared" si="109"/>
        <v>1.1866386999999998</v>
      </c>
    </row>
    <row r="920" spans="1:35" ht="30" x14ac:dyDescent="0.25">
      <c r="A920" s="275">
        <f>'Profits 2016'!A6133</f>
        <v>3004825</v>
      </c>
      <c r="B920" s="279">
        <f>'Profits 2016'!B6133</f>
        <v>42653</v>
      </c>
      <c r="C920" s="276">
        <f>'Profits 2016'!H6133</f>
        <v>212.8</v>
      </c>
      <c r="D920" s="280">
        <f>'Profits 2016'!K6133</f>
        <v>189.30480000000003</v>
      </c>
      <c r="E920" s="276">
        <f>'Profits 2016'!L6133</f>
        <v>491</v>
      </c>
      <c r="F920" s="275" t="str">
        <f>'Profits 2016'!P6133</f>
        <v>Priority</v>
      </c>
      <c r="G920" s="292">
        <f>'Profits 2016'!N6133-'Profits 2016'!M6133</f>
        <v>106.056</v>
      </c>
      <c r="H920" s="292">
        <v>0</v>
      </c>
      <c r="I920" s="275">
        <v>1064627</v>
      </c>
      <c r="J920" s="277">
        <v>42653</v>
      </c>
      <c r="K920" s="277">
        <v>42660</v>
      </c>
      <c r="L920" s="277">
        <v>42678</v>
      </c>
      <c r="M920" s="292">
        <v>106.6</v>
      </c>
      <c r="N920" s="281">
        <v>9340</v>
      </c>
      <c r="O920" s="236" t="str">
        <f>'Profits 2016'!T6133</f>
        <v>FEDEX GROUND</v>
      </c>
      <c r="P920" s="284" t="str">
        <f>'Profits 2016'!U6133</f>
        <v>706898123105</v>
      </c>
      <c r="Q920" s="284" t="s">
        <v>15740</v>
      </c>
      <c r="R920" s="292">
        <v>33.950000000000003</v>
      </c>
      <c r="S920" s="275">
        <v>1064627</v>
      </c>
      <c r="T920" s="277">
        <v>42653</v>
      </c>
      <c r="U920" s="277">
        <v>42660</v>
      </c>
      <c r="V920" s="279">
        <v>42678</v>
      </c>
      <c r="W920" s="293">
        <v>33.950000000000003</v>
      </c>
      <c r="X920" s="236">
        <v>9340</v>
      </c>
      <c r="AF920" s="276">
        <f t="shared" si="106"/>
        <v>140.006</v>
      </c>
      <c r="AG920" s="276">
        <f t="shared" si="107"/>
        <v>140.55000000000001</v>
      </c>
      <c r="AH920" s="276">
        <f t="shared" si="108"/>
        <v>48.754800000000017</v>
      </c>
      <c r="AI920" s="283">
        <f t="shared" si="109"/>
        <v>0.34823364712940885</v>
      </c>
    </row>
    <row r="921" spans="1:35" ht="30" x14ac:dyDescent="0.25">
      <c r="A921" s="275">
        <f>'Profits 2016'!A6134</f>
        <v>3004826</v>
      </c>
      <c r="B921" s="279">
        <f>'Profits 2016'!B6134</f>
        <v>42653</v>
      </c>
      <c r="C921" s="276">
        <f>'Profits 2016'!H6134</f>
        <v>123.5</v>
      </c>
      <c r="D921" s="280">
        <f>'Profits 2016'!K6134</f>
        <v>109.7385</v>
      </c>
      <c r="E921" s="276">
        <f>'Profits 2016'!L6134</f>
        <v>400</v>
      </c>
      <c r="F921" s="275" t="str">
        <f>'Profits 2016'!P6134</f>
        <v>Nassau</v>
      </c>
      <c r="G921" s="292">
        <f>'Profits 2016'!N6134-'Profits 2016'!M6134</f>
        <v>40</v>
      </c>
      <c r="H921" s="319"/>
      <c r="I921" s="320"/>
      <c r="J921" s="321"/>
      <c r="K921" s="321"/>
      <c r="L921" s="321"/>
      <c r="M921" s="319"/>
      <c r="N921" s="322"/>
      <c r="O921" s="236" t="str">
        <f>'Profits 2016'!T6134</f>
        <v>FEDEX GROUND</v>
      </c>
      <c r="P921" s="284" t="str">
        <f>'Profits 2016'!U6134</f>
        <v>702723289470</v>
      </c>
      <c r="Q921" s="284" t="s">
        <v>314</v>
      </c>
      <c r="R921" s="276">
        <v>16.95</v>
      </c>
      <c r="S921" s="275" t="s">
        <v>15805</v>
      </c>
      <c r="T921" s="279">
        <v>42667</v>
      </c>
      <c r="U921" s="279">
        <v>42670</v>
      </c>
      <c r="V921" s="279">
        <v>42678</v>
      </c>
      <c r="W921" s="293">
        <v>0</v>
      </c>
      <c r="X921" s="236">
        <v>9301</v>
      </c>
      <c r="AF921" s="276">
        <f t="shared" si="106"/>
        <v>56.95</v>
      </c>
      <c r="AG921" s="276">
        <f t="shared" si="107"/>
        <v>16.95</v>
      </c>
      <c r="AH921" s="276">
        <f t="shared" si="108"/>
        <v>92.788499999999999</v>
      </c>
      <c r="AI921" s="283">
        <f t="shared" si="109"/>
        <v>1.6292976294995609</v>
      </c>
    </row>
    <row r="922" spans="1:35" ht="30" x14ac:dyDescent="0.25">
      <c r="A922" s="275">
        <f>'Profits 2016'!A6135</f>
        <v>3004827</v>
      </c>
      <c r="B922" s="279">
        <f>'Profits 2016'!B6135</f>
        <v>42653</v>
      </c>
      <c r="C922" s="276">
        <f>'Profits 2016'!H6135</f>
        <v>227.48</v>
      </c>
      <c r="D922" s="280">
        <f>'Profits 2016'!K6135</f>
        <v>202.38468</v>
      </c>
      <c r="E922" s="276">
        <f>'Profits 2016'!L6135</f>
        <v>990</v>
      </c>
      <c r="F922" s="275" t="str">
        <f>'Profits 2016'!P6135</f>
        <v>Nassau</v>
      </c>
      <c r="G922" s="292">
        <f>'Profits 2016'!N6135-'Profits 2016'!M6135</f>
        <v>99</v>
      </c>
      <c r="H922" s="319"/>
      <c r="I922" s="320"/>
      <c r="J922" s="321"/>
      <c r="K922" s="321"/>
      <c r="L922" s="321"/>
      <c r="M922" s="319"/>
      <c r="N922" s="322"/>
      <c r="O922" s="236" t="str">
        <f>'Profits 2016'!T6135</f>
        <v>FEDEX GROUND</v>
      </c>
      <c r="P922" s="284" t="str">
        <f>'Profits 2016'!U6135</f>
        <v>702723289469</v>
      </c>
      <c r="Q922" s="284" t="s">
        <v>314</v>
      </c>
      <c r="R922" s="276">
        <v>28.91</v>
      </c>
      <c r="S922" s="275" t="s">
        <v>15805</v>
      </c>
      <c r="T922" s="279">
        <v>42667</v>
      </c>
      <c r="U922" s="279">
        <v>42670</v>
      </c>
      <c r="V922" s="279">
        <v>42678</v>
      </c>
      <c r="W922" s="293">
        <v>0</v>
      </c>
      <c r="X922" s="236">
        <v>9301</v>
      </c>
      <c r="AF922" s="276">
        <f t="shared" si="106"/>
        <v>127.91</v>
      </c>
      <c r="AG922" s="276">
        <f t="shared" si="107"/>
        <v>28.91</v>
      </c>
      <c r="AH922" s="276">
        <f t="shared" si="108"/>
        <v>173.47468000000001</v>
      </c>
      <c r="AI922" s="283">
        <f t="shared" si="109"/>
        <v>1.3562245328746776</v>
      </c>
    </row>
    <row r="923" spans="1:35" ht="30" x14ac:dyDescent="0.25">
      <c r="A923" s="275">
        <f>'Profits 2016'!A6136</f>
        <v>3004828</v>
      </c>
      <c r="B923" s="279">
        <f>'Profits 2016'!B6136</f>
        <v>42653</v>
      </c>
      <c r="C923" s="276">
        <f>'Profits 2016'!H6136</f>
        <v>222</v>
      </c>
      <c r="D923" s="280">
        <f>'Profits 2016'!K6136</f>
        <v>197.50200000000001</v>
      </c>
      <c r="E923" s="276">
        <f>'Profits 2016'!L6136</f>
        <v>672</v>
      </c>
      <c r="F923" s="275" t="str">
        <f>'Profits 2016'!P6136</f>
        <v>Houston</v>
      </c>
      <c r="G923" s="292">
        <f>'Profits 2016'!N6136-'Profits 2016'!M6136</f>
        <v>134.4</v>
      </c>
      <c r="H923" s="292">
        <v>0</v>
      </c>
      <c r="I923" s="275">
        <v>30910997</v>
      </c>
      <c r="J923" s="277">
        <v>42656</v>
      </c>
      <c r="K923" s="277">
        <v>42660</v>
      </c>
      <c r="O923" s="236" t="str">
        <f>'Profits 2016'!T6136</f>
        <v>FEDEX GROUND</v>
      </c>
      <c r="P923" s="284" t="str">
        <f>'Profits 2016'!U6136</f>
        <v>701849703772</v>
      </c>
      <c r="Q923" s="284" t="s">
        <v>314</v>
      </c>
      <c r="R923" s="276">
        <v>31.12</v>
      </c>
      <c r="S923" s="275" t="s">
        <v>15805</v>
      </c>
      <c r="T923" s="279">
        <v>42667</v>
      </c>
      <c r="U923" s="279">
        <v>42670</v>
      </c>
      <c r="V923" s="279">
        <v>42678</v>
      </c>
      <c r="W923" s="293">
        <v>0</v>
      </c>
      <c r="X923" s="236">
        <v>9301</v>
      </c>
      <c r="Y923" s="276">
        <v>5</v>
      </c>
      <c r="Z923" s="236" t="s">
        <v>15793</v>
      </c>
      <c r="AA923" s="279">
        <v>42674</v>
      </c>
      <c r="AB923" s="279">
        <v>42681</v>
      </c>
      <c r="AF923" s="276">
        <f t="shared" si="106"/>
        <v>170.52</v>
      </c>
      <c r="AG923" s="276">
        <f t="shared" si="107"/>
        <v>36.120000000000005</v>
      </c>
      <c r="AH923" s="276">
        <f t="shared" si="108"/>
        <v>161.38200000000001</v>
      </c>
      <c r="AI923" s="283">
        <f t="shared" si="109"/>
        <v>0.94641097818437714</v>
      </c>
    </row>
    <row r="924" spans="1:35" ht="30" x14ac:dyDescent="0.25">
      <c r="A924" s="275">
        <f>'Profits 2016'!A6137</f>
        <v>3004829</v>
      </c>
      <c r="B924" s="279">
        <f>'Profits 2016'!B6137</f>
        <v>42653</v>
      </c>
      <c r="C924" s="276">
        <f>'Profits 2016'!H6137</f>
        <v>536.99</v>
      </c>
      <c r="D924" s="280">
        <f>'Profits 2016'!K6137</f>
        <v>478.15809000000002</v>
      </c>
      <c r="E924" s="276">
        <f>'Profits 2016'!L6137</f>
        <v>150</v>
      </c>
      <c r="F924" s="275" t="str">
        <f>'Profits 2016'!P6137</f>
        <v>Nassau</v>
      </c>
      <c r="G924" s="292">
        <f>'Profits 2016'!N6137-'Profits 2016'!M6137</f>
        <v>150</v>
      </c>
      <c r="H924" s="319"/>
      <c r="I924" s="320"/>
      <c r="J924" s="321"/>
      <c r="K924" s="321"/>
      <c r="L924" s="321"/>
      <c r="M924" s="319"/>
      <c r="N924" s="322"/>
      <c r="O924" s="236" t="str">
        <f>'Profits 2016'!T6137</f>
        <v>FEDEX GROUND</v>
      </c>
      <c r="P924" s="284" t="str">
        <f>'Profits 2016'!U6137</f>
        <v xml:space="preserve">  702723289447 </v>
      </c>
      <c r="Q924" s="284" t="s">
        <v>314</v>
      </c>
      <c r="R924" s="276">
        <v>50.14</v>
      </c>
      <c r="S924" s="275" t="s">
        <v>15805</v>
      </c>
      <c r="T924" s="279">
        <v>42667</v>
      </c>
      <c r="U924" s="279">
        <v>42670</v>
      </c>
      <c r="V924" s="279">
        <v>42678</v>
      </c>
      <c r="W924" s="293">
        <v>0</v>
      </c>
      <c r="X924" s="236">
        <v>9301</v>
      </c>
      <c r="AF924" s="276">
        <f t="shared" si="106"/>
        <v>200.14</v>
      </c>
      <c r="AG924" s="276">
        <f t="shared" si="107"/>
        <v>50.14</v>
      </c>
      <c r="AH924" s="276">
        <f t="shared" si="108"/>
        <v>428.01809000000003</v>
      </c>
      <c r="AI924" s="283">
        <f t="shared" si="109"/>
        <v>2.1385934345957831</v>
      </c>
    </row>
    <row r="925" spans="1:35" ht="30" x14ac:dyDescent="0.25">
      <c r="A925" s="275">
        <f>'Profits 2016'!A6138</f>
        <v>3004830</v>
      </c>
      <c r="B925" s="279">
        <f>'Profits 2016'!B6138</f>
        <v>42653</v>
      </c>
      <c r="C925" s="276">
        <f>'Profits 2016'!H6138</f>
        <v>185.9</v>
      </c>
      <c r="D925" s="280">
        <f>'Profits 2016'!K6138</f>
        <v>165.33690000000001</v>
      </c>
      <c r="E925" s="276">
        <f>'Profits 2016'!L6138</f>
        <v>672</v>
      </c>
      <c r="F925" s="275" t="str">
        <f>'Profits 2016'!P6138</f>
        <v>Houston</v>
      </c>
      <c r="G925" s="292">
        <f>'Profits 2016'!N6138-'Profits 2016'!M6138</f>
        <v>100.8</v>
      </c>
      <c r="H925" s="292">
        <v>0</v>
      </c>
      <c r="I925" s="275">
        <v>30911000</v>
      </c>
      <c r="J925" s="277">
        <v>42656</v>
      </c>
      <c r="K925" s="277">
        <v>42660</v>
      </c>
      <c r="O925" s="236" t="str">
        <f>'Profits 2016'!T6138</f>
        <v>FEDEX GROUND</v>
      </c>
      <c r="P925" s="284" t="str">
        <f>'Profits 2016'!U6138</f>
        <v>701849703783</v>
      </c>
      <c r="Q925" s="284" t="s">
        <v>314</v>
      </c>
      <c r="R925" s="276">
        <v>24.56</v>
      </c>
      <c r="S925" s="275" t="s">
        <v>15793</v>
      </c>
      <c r="T925" s="279">
        <v>42674</v>
      </c>
      <c r="U925" s="279">
        <v>42681</v>
      </c>
      <c r="V925" s="279">
        <v>42685</v>
      </c>
      <c r="W925" s="293">
        <v>0</v>
      </c>
      <c r="X925" s="236">
        <v>9399</v>
      </c>
      <c r="AF925" s="276">
        <f t="shared" si="106"/>
        <v>125.36</v>
      </c>
      <c r="AG925" s="276">
        <f t="shared" si="107"/>
        <v>24.56</v>
      </c>
      <c r="AH925" s="276">
        <f t="shared" si="108"/>
        <v>140.77690000000001</v>
      </c>
      <c r="AI925" s="283">
        <f t="shared" si="109"/>
        <v>1.1229810146777282</v>
      </c>
    </row>
    <row r="926" spans="1:35" ht="30" x14ac:dyDescent="0.25">
      <c r="A926" s="275">
        <f>'Profits 2016'!A6139</f>
        <v>3004831</v>
      </c>
      <c r="B926" s="279">
        <f>'Profits 2016'!B6139</f>
        <v>42653</v>
      </c>
      <c r="C926" s="276">
        <f>'Profits 2016'!H6139</f>
        <v>288.44</v>
      </c>
      <c r="D926" s="280">
        <f>'Profits 2016'!K6139</f>
        <v>256.70004</v>
      </c>
      <c r="E926" s="276">
        <f>'Profits 2016'!L6139</f>
        <v>1200</v>
      </c>
      <c r="F926" s="275" t="str">
        <f>'Profits 2016'!P6139</f>
        <v>Thea</v>
      </c>
      <c r="G926" s="292">
        <f>'Profits 2016'!N6139-'Profits 2016'!M6139</f>
        <v>120</v>
      </c>
      <c r="H926" s="319"/>
      <c r="I926" s="320"/>
      <c r="J926" s="321"/>
      <c r="K926" s="321"/>
      <c r="L926" s="321"/>
      <c r="M926" s="319"/>
      <c r="N926" s="322"/>
      <c r="O926" s="236" t="str">
        <f>'Profits 2016'!T6139</f>
        <v>FEDEX GROUND</v>
      </c>
      <c r="P926" s="284" t="str">
        <f>'Profits 2016'!U6139</f>
        <v>675157530746</v>
      </c>
      <c r="Q926" s="284" t="s">
        <v>314</v>
      </c>
      <c r="R926" s="276">
        <v>43.87</v>
      </c>
      <c r="S926" s="275" t="s">
        <v>15805</v>
      </c>
      <c r="T926" s="279">
        <v>42667</v>
      </c>
      <c r="U926" s="279">
        <v>42670</v>
      </c>
      <c r="V926" s="279">
        <v>42678</v>
      </c>
      <c r="W926" s="293">
        <v>0</v>
      </c>
      <c r="X926" s="236">
        <v>9301</v>
      </c>
      <c r="AF926" s="276">
        <f t="shared" si="106"/>
        <v>163.87</v>
      </c>
      <c r="AG926" s="276">
        <f t="shared" si="107"/>
        <v>43.87</v>
      </c>
      <c r="AH926" s="276">
        <f t="shared" si="108"/>
        <v>212.83004</v>
      </c>
      <c r="AI926" s="283">
        <f t="shared" si="109"/>
        <v>1.2987736620491852</v>
      </c>
    </row>
    <row r="927" spans="1:35" ht="30" x14ac:dyDescent="0.25">
      <c r="A927" s="275">
        <f>'Profits 2016'!A6140</f>
        <v>3004832</v>
      </c>
      <c r="B927" s="279">
        <f>'Profits 2016'!B6140</f>
        <v>42653</v>
      </c>
      <c r="C927" s="276">
        <f>'Profits 2016'!H6140</f>
        <v>693.38</v>
      </c>
      <c r="D927" s="280">
        <f>'Profits 2016'!K6140</f>
        <v>617.5015800000001</v>
      </c>
      <c r="E927" s="276">
        <f>'Profits 2016'!L6140</f>
        <v>1296</v>
      </c>
      <c r="F927" s="275" t="str">
        <f>'Profits 2016'!P6140</f>
        <v>Nassau</v>
      </c>
      <c r="G927" s="292">
        <f>'Profits 2016'!N6140-'Profits 2016'!M6140</f>
        <v>324</v>
      </c>
      <c r="H927" s="319"/>
      <c r="I927" s="320"/>
      <c r="J927" s="321"/>
      <c r="K927" s="321"/>
      <c r="L927" s="321"/>
      <c r="M927" s="319"/>
      <c r="N927" s="322"/>
      <c r="O927" s="236" t="str">
        <f>'Profits 2016'!T6140</f>
        <v xml:space="preserve">NEW PENN/DLS </v>
      </c>
      <c r="P927" s="284" t="str">
        <f>'Profits 2016'!U6140</f>
        <v>88756264-3</v>
      </c>
      <c r="Q927" s="284" t="s">
        <v>15804</v>
      </c>
      <c r="R927" s="276">
        <v>145.53</v>
      </c>
      <c r="S927" s="275">
        <v>636852779</v>
      </c>
      <c r="T927" s="279">
        <v>42662</v>
      </c>
      <c r="U927" s="279">
        <v>42667</v>
      </c>
      <c r="V927" s="279">
        <v>42671</v>
      </c>
      <c r="W927" s="293">
        <v>145.53</v>
      </c>
      <c r="X927" s="236">
        <v>9263</v>
      </c>
      <c r="AF927" s="276">
        <f t="shared" si="106"/>
        <v>469.53</v>
      </c>
      <c r="AG927" s="276">
        <f t="shared" si="107"/>
        <v>145.53</v>
      </c>
      <c r="AH927" s="276">
        <f t="shared" si="108"/>
        <v>471.97158000000013</v>
      </c>
      <c r="AI927" s="283">
        <f t="shared" si="109"/>
        <v>1.005200051114945</v>
      </c>
    </row>
    <row r="928" spans="1:35" ht="30" x14ac:dyDescent="0.25">
      <c r="A928" s="275">
        <f>'Profits 2016'!A6141</f>
        <v>3004833</v>
      </c>
      <c r="B928" s="279">
        <f>'Profits 2016'!B6141</f>
        <v>42653</v>
      </c>
      <c r="C928" s="276">
        <f>'Profits 2016'!H6141</f>
        <v>195.25</v>
      </c>
      <c r="D928" s="280">
        <f>'Profits 2016'!K6141</f>
        <v>173.66775000000001</v>
      </c>
      <c r="E928" s="276">
        <f>'Profits 2016'!L6141</f>
        <v>900</v>
      </c>
      <c r="F928" s="275" t="str">
        <f>'Profits 2016'!P6141</f>
        <v>Nassau</v>
      </c>
      <c r="G928" s="292">
        <f>'Profits 2016'!N6141-'Profits 2016'!M6141</f>
        <v>90</v>
      </c>
      <c r="H928" s="319"/>
      <c r="I928" s="320"/>
      <c r="J928" s="321"/>
      <c r="K928" s="321"/>
      <c r="L928" s="321"/>
      <c r="M928" s="319"/>
      <c r="N928" s="322"/>
      <c r="O928" s="236" t="str">
        <f>'Profits 2016'!T6141</f>
        <v>FEDEX GROUND</v>
      </c>
      <c r="P928" s="284" t="str">
        <f>'Profits 2016'!U6141</f>
        <v>702723289480</v>
      </c>
      <c r="Q928" s="284" t="s">
        <v>314</v>
      </c>
      <c r="R928" s="276">
        <v>19.440000000000001</v>
      </c>
      <c r="S928" s="275" t="s">
        <v>15805</v>
      </c>
      <c r="T928" s="279">
        <v>42667</v>
      </c>
      <c r="U928" s="279">
        <v>42670</v>
      </c>
      <c r="V928" s="279">
        <v>42678</v>
      </c>
      <c r="W928" s="293">
        <v>0</v>
      </c>
      <c r="X928" s="236">
        <v>9301</v>
      </c>
      <c r="AF928" s="276">
        <f t="shared" si="106"/>
        <v>109.44</v>
      </c>
      <c r="AG928" s="276">
        <f t="shared" si="107"/>
        <v>19.440000000000001</v>
      </c>
      <c r="AH928" s="276">
        <f t="shared" si="108"/>
        <v>154.22775000000001</v>
      </c>
      <c r="AI928" s="283">
        <f t="shared" si="109"/>
        <v>1.4092447916666668</v>
      </c>
    </row>
    <row r="929" spans="1:35" ht="30" x14ac:dyDescent="0.25">
      <c r="A929" s="275">
        <f>'Profits 2016'!A6142</f>
        <v>3004834</v>
      </c>
      <c r="B929" s="279">
        <f>'Profits 2016'!B6142</f>
        <v>42653</v>
      </c>
      <c r="C929" s="276">
        <f>'Profits 2016'!H6142</f>
        <v>138.9</v>
      </c>
      <c r="D929" s="280">
        <f>'Profits 2016'!K6142</f>
        <v>123.4599</v>
      </c>
      <c r="E929" s="276">
        <f>'Profits 2016'!L6142</f>
        <v>610.51</v>
      </c>
      <c r="F929" s="275" t="str">
        <f>'Profits 2016'!P6142</f>
        <v>Thea</v>
      </c>
      <c r="G929" s="292">
        <f>'Profits 2016'!N6142-'Profits 2016'!M6142</f>
        <v>61.051000000000002</v>
      </c>
      <c r="H929" s="319"/>
      <c r="I929" s="320"/>
      <c r="J929" s="321"/>
      <c r="K929" s="321"/>
      <c r="L929" s="321"/>
      <c r="M929" s="319"/>
      <c r="N929" s="322"/>
      <c r="O929" s="236" t="str">
        <f>'Profits 2016'!T6142</f>
        <v>FEDEX GROUND</v>
      </c>
      <c r="P929" s="284" t="str">
        <f>'Profits 2016'!U6142</f>
        <v>675157530643</v>
      </c>
      <c r="Q929" s="284" t="s">
        <v>314</v>
      </c>
      <c r="R929" s="276">
        <v>25.99</v>
      </c>
      <c r="S929" s="275" t="s">
        <v>15805</v>
      </c>
      <c r="T929" s="279">
        <v>42667</v>
      </c>
      <c r="U929" s="279">
        <v>42670</v>
      </c>
      <c r="V929" s="279">
        <v>42678</v>
      </c>
      <c r="W929" s="293">
        <v>0</v>
      </c>
      <c r="X929" s="236">
        <v>9301</v>
      </c>
      <c r="AF929" s="276">
        <f t="shared" si="106"/>
        <v>87.040999999999997</v>
      </c>
      <c r="AG929" s="276">
        <f t="shared" si="107"/>
        <v>25.99</v>
      </c>
      <c r="AH929" s="276">
        <f t="shared" si="108"/>
        <v>97.46990000000001</v>
      </c>
      <c r="AI929" s="283">
        <f t="shared" si="109"/>
        <v>1.1198159488057353</v>
      </c>
    </row>
    <row r="930" spans="1:35" ht="30" x14ac:dyDescent="0.25">
      <c r="A930" s="275">
        <f>'Profits 2016'!A6143</f>
        <v>3004835</v>
      </c>
      <c r="B930" s="279">
        <f>'Profits 2016'!B6143</f>
        <v>42653</v>
      </c>
      <c r="C930" s="276">
        <f>'Profits 2016'!H6143</f>
        <v>146.78</v>
      </c>
      <c r="D930" s="280">
        <f>'Profits 2016'!K6143</f>
        <v>130.48097999999999</v>
      </c>
      <c r="E930" s="276">
        <f>'Profits 2016'!L6143</f>
        <v>77</v>
      </c>
      <c r="F930" s="275" t="str">
        <f>'Profits 2016'!P6143</f>
        <v>Houston</v>
      </c>
      <c r="G930" s="292">
        <f>'Profits 2016'!N6143-'Profits 2016'!M6143</f>
        <v>77</v>
      </c>
      <c r="H930" s="292">
        <v>0</v>
      </c>
      <c r="I930" s="275">
        <v>30910534</v>
      </c>
      <c r="J930" s="277">
        <v>42655</v>
      </c>
      <c r="K930" s="277">
        <v>42660</v>
      </c>
      <c r="O930" s="236" t="str">
        <f>'Profits 2016'!T6143</f>
        <v>FEDEX GROUND</v>
      </c>
      <c r="P930" s="284" t="str">
        <f>'Profits 2016'!U6143</f>
        <v>736341816525</v>
      </c>
      <c r="Q930" s="284" t="s">
        <v>314</v>
      </c>
      <c r="R930" s="276">
        <v>17.04</v>
      </c>
      <c r="S930" s="275" t="s">
        <v>15805</v>
      </c>
      <c r="T930" s="279">
        <v>42667</v>
      </c>
      <c r="U930" s="279">
        <v>42670</v>
      </c>
      <c r="V930" s="279">
        <v>42678</v>
      </c>
      <c r="W930" s="293">
        <v>0</v>
      </c>
      <c r="X930" s="236">
        <v>9301</v>
      </c>
      <c r="AF930" s="276">
        <f t="shared" si="106"/>
        <v>94.039999999999992</v>
      </c>
      <c r="AG930" s="276">
        <f t="shared" si="107"/>
        <v>17.04</v>
      </c>
      <c r="AH930" s="276">
        <f t="shared" si="108"/>
        <v>113.44098</v>
      </c>
      <c r="AI930" s="283">
        <f t="shared" si="109"/>
        <v>1.2063056146320714</v>
      </c>
    </row>
    <row r="931" spans="1:35" ht="30" x14ac:dyDescent="0.25">
      <c r="A931" s="275">
        <f>'Profits 2016'!A6144</f>
        <v>3004836</v>
      </c>
      <c r="B931" s="279">
        <f>'Profits 2016'!B6144</f>
        <v>42653</v>
      </c>
      <c r="C931" s="276">
        <f>'Profits 2016'!H6144</f>
        <v>308.08999999999997</v>
      </c>
      <c r="D931" s="280">
        <f>'Profits 2016'!K6144</f>
        <v>274.20819</v>
      </c>
      <c r="E931" s="276">
        <f>'Profits 2016'!L6144</f>
        <v>375</v>
      </c>
      <c r="F931" s="275" t="str">
        <f>'Profits 2016'!P6144</f>
        <v>Nassau</v>
      </c>
      <c r="G931" s="292">
        <f>'Profits 2016'!N6144-'Profits 2016'!M6144</f>
        <v>112.5</v>
      </c>
      <c r="H931" s="319"/>
      <c r="I931" s="320"/>
      <c r="J931" s="321"/>
      <c r="K931" s="321"/>
      <c r="L931" s="321"/>
      <c r="M931" s="319"/>
      <c r="N931" s="322"/>
      <c r="O931" s="236" t="str">
        <f>'Profits 2016'!T6144</f>
        <v>FEDEX GROUND</v>
      </c>
      <c r="P931" s="284" t="str">
        <f>'Profits 2016'!U6144</f>
        <v>702723289540</v>
      </c>
      <c r="Q931" s="284" t="s">
        <v>314</v>
      </c>
      <c r="R931" s="276">
        <v>34.69</v>
      </c>
      <c r="S931" s="275" t="s">
        <v>15805</v>
      </c>
      <c r="T931" s="279">
        <v>42667</v>
      </c>
      <c r="U931" s="279">
        <v>42670</v>
      </c>
      <c r="V931" s="279">
        <v>42678</v>
      </c>
      <c r="W931" s="293">
        <v>0</v>
      </c>
      <c r="X931" s="236">
        <v>9301</v>
      </c>
      <c r="AF931" s="276">
        <f t="shared" si="106"/>
        <v>147.19</v>
      </c>
      <c r="AG931" s="276">
        <f t="shared" si="107"/>
        <v>34.69</v>
      </c>
      <c r="AH931" s="276">
        <f t="shared" si="108"/>
        <v>239.51819</v>
      </c>
      <c r="AI931" s="283">
        <f t="shared" si="109"/>
        <v>1.6272721652286162</v>
      </c>
    </row>
    <row r="932" spans="1:35" x14ac:dyDescent="0.25">
      <c r="A932" s="275">
        <f>'Profits 2016'!A6145</f>
        <v>3004837</v>
      </c>
      <c r="B932" s="279">
        <f>'Profits 2016'!B6145</f>
        <v>42653</v>
      </c>
      <c r="C932" s="276">
        <f>'Profits 2016'!H6145</f>
        <v>1425</v>
      </c>
      <c r="D932" s="280">
        <f>'Profits 2016'!K6145</f>
        <v>1269.375</v>
      </c>
      <c r="E932" s="276">
        <f>'Profits 2016'!L6145</f>
        <v>250</v>
      </c>
      <c r="F932" s="275" t="str">
        <f>'Profits 2016'!P6145</f>
        <v>Southwire</v>
      </c>
      <c r="G932" s="292">
        <f>'Profits 2016'!N6145-'Profits 2016'!M6145</f>
        <v>500</v>
      </c>
      <c r="H932" s="331">
        <v>0</v>
      </c>
      <c r="I932" s="332">
        <v>90988316</v>
      </c>
      <c r="J932" s="333">
        <v>42656</v>
      </c>
      <c r="K932" s="333">
        <v>42660</v>
      </c>
      <c r="L932" s="333">
        <v>42678</v>
      </c>
      <c r="M932" s="331">
        <v>813.4</v>
      </c>
      <c r="N932" s="334">
        <v>9350</v>
      </c>
      <c r="O932" s="236" t="str">
        <f>'Profits 2016'!T6145</f>
        <v>FEDEX</v>
      </c>
      <c r="P932" s="284" t="str">
        <f>'Profits 2016'!U6145</f>
        <v>4226681480</v>
      </c>
      <c r="Q932" s="345"/>
      <c r="R932" s="342"/>
      <c r="S932" s="336"/>
      <c r="T932" s="341"/>
      <c r="U932" s="341"/>
      <c r="V932" s="341"/>
      <c r="W932" s="346"/>
      <c r="X932" s="344"/>
      <c r="AF932" s="276">
        <f>G932+H934+R932+Y932</f>
        <v>500</v>
      </c>
      <c r="AG932" s="276">
        <f t="shared" si="107"/>
        <v>813.4</v>
      </c>
      <c r="AH932" s="276">
        <f t="shared" si="108"/>
        <v>455.97500000000002</v>
      </c>
      <c r="AI932" s="283">
        <f t="shared" si="109"/>
        <v>0.91195000000000004</v>
      </c>
    </row>
    <row r="933" spans="1:35" x14ac:dyDescent="0.25">
      <c r="A933" s="275">
        <f>'Profits 2016'!A6146</f>
        <v>0</v>
      </c>
      <c r="B933" s="279">
        <f>'Profits 2016'!B6146</f>
        <v>0</v>
      </c>
      <c r="C933" s="276">
        <f>'Profits 2016'!H6146</f>
        <v>0</v>
      </c>
      <c r="D933" s="280">
        <f>'Profits 2016'!K6146</f>
        <v>0</v>
      </c>
      <c r="E933" s="276">
        <f>'Profits 2016'!L6146</f>
        <v>330</v>
      </c>
      <c r="F933" s="275" t="str">
        <f>'Profits 2016'!P6146</f>
        <v>Southwire</v>
      </c>
      <c r="G933" s="292">
        <f>'Profits 2016'!N6146-'Profits 2016'!M6146</f>
        <v>330</v>
      </c>
      <c r="H933" s="331">
        <v>0</v>
      </c>
      <c r="I933" s="332">
        <v>90988316</v>
      </c>
      <c r="J933" s="333">
        <v>42656</v>
      </c>
      <c r="K933" s="333">
        <v>42660</v>
      </c>
      <c r="L933" s="333">
        <v>42678</v>
      </c>
      <c r="M933" s="331">
        <v>0</v>
      </c>
      <c r="N933" s="334">
        <v>9350</v>
      </c>
      <c r="O933" s="236">
        <f>'Profits 2016'!T6146</f>
        <v>0</v>
      </c>
      <c r="P933" s="284">
        <f>'Profits 2016'!U6146</f>
        <v>0</v>
      </c>
      <c r="Q933" s="345"/>
      <c r="R933" s="342"/>
      <c r="S933" s="336"/>
      <c r="T933" s="341"/>
      <c r="U933" s="341"/>
      <c r="V933" s="341"/>
      <c r="W933" s="346"/>
      <c r="X933" s="344"/>
      <c r="AF933" s="276">
        <f>G933+H935+R933+Y933</f>
        <v>330</v>
      </c>
      <c r="AG933" s="276">
        <f t="shared" ref="AG933" si="110">M933+R933+Y933</f>
        <v>0</v>
      </c>
      <c r="AH933" s="276">
        <f t="shared" ref="AH933" si="111">D933-AG933</f>
        <v>0</v>
      </c>
      <c r="AI933" s="283">
        <f t="shared" ref="AI933" si="112">AH933/AF933</f>
        <v>0</v>
      </c>
    </row>
    <row r="934" spans="1:35" ht="30" x14ac:dyDescent="0.25">
      <c r="A934" s="275">
        <f>'Profits 2016'!A6147</f>
        <v>3004838</v>
      </c>
      <c r="B934" s="279">
        <f>'Profits 2016'!B6147</f>
        <v>42653</v>
      </c>
      <c r="C934" s="276">
        <f>'Profits 2016'!H6147</f>
        <v>95</v>
      </c>
      <c r="D934" s="280">
        <f>'Profits 2016'!K6147</f>
        <v>84.344999999999999</v>
      </c>
      <c r="E934" s="276">
        <f>'Profits 2016'!L6147</f>
        <v>150</v>
      </c>
      <c r="F934" s="275" t="str">
        <f>'Profits 2016'!P6147</f>
        <v>Nassau</v>
      </c>
      <c r="G934" s="292">
        <f>'Profits 2016'!N6147-'Profits 2016'!M6147</f>
        <v>37.500000000000007</v>
      </c>
      <c r="H934" s="319"/>
      <c r="I934" s="320"/>
      <c r="J934" s="321"/>
      <c r="K934" s="321"/>
      <c r="L934" s="321"/>
      <c r="M934" s="319"/>
      <c r="N934" s="322"/>
      <c r="O934" s="236" t="str">
        <f>'Profits 2016'!T6147</f>
        <v>FEDEX GROUND</v>
      </c>
      <c r="P934" s="284" t="str">
        <f>'Profits 2016'!U6147</f>
        <v>702723289528</v>
      </c>
      <c r="Q934" s="284" t="s">
        <v>314</v>
      </c>
      <c r="R934" s="276">
        <v>30.15</v>
      </c>
      <c r="S934" s="275" t="s">
        <v>15793</v>
      </c>
      <c r="T934" s="279">
        <v>42674</v>
      </c>
      <c r="U934" s="279">
        <v>42681</v>
      </c>
      <c r="V934" s="279">
        <v>42685</v>
      </c>
      <c r="W934" s="293">
        <v>0</v>
      </c>
      <c r="X934" s="236">
        <v>9399</v>
      </c>
      <c r="AF934" s="276">
        <f t="shared" si="106"/>
        <v>67.650000000000006</v>
      </c>
      <c r="AG934" s="276">
        <f t="shared" si="107"/>
        <v>30.15</v>
      </c>
      <c r="AH934" s="276">
        <f t="shared" si="108"/>
        <v>54.195</v>
      </c>
      <c r="AI934" s="283">
        <f t="shared" si="109"/>
        <v>0.80110864745011079</v>
      </c>
    </row>
    <row r="935" spans="1:35" ht="30" x14ac:dyDescent="0.25">
      <c r="A935" s="275">
        <f>'Profits 2016'!A6148</f>
        <v>3004839</v>
      </c>
      <c r="B935" s="279">
        <f>'Profits 2016'!B6148</f>
        <v>42653</v>
      </c>
      <c r="C935" s="276">
        <f>'Profits 2016'!H6148</f>
        <v>328.95</v>
      </c>
      <c r="D935" s="280">
        <f>'Profits 2016'!K6148</f>
        <v>279.60750000000002</v>
      </c>
      <c r="E935" s="276">
        <f>'Profits 2016'!L6148</f>
        <v>266.70999999999998</v>
      </c>
      <c r="F935" s="275" t="str">
        <f>'Profits 2016'!P6148</f>
        <v>EBAY</v>
      </c>
      <c r="G935" s="292">
        <f>'Profits 2016'!N6148-'Profits 2016'!M6148</f>
        <v>266.70999999999998</v>
      </c>
      <c r="O935" s="236" t="str">
        <f>'Profits 2016'!T6148</f>
        <v>UPS GROUND</v>
      </c>
      <c r="P935" s="284" t="str">
        <f>'Profits 2016'!U6148</f>
        <v>1z3113054255867571</v>
      </c>
      <c r="Q935" s="345"/>
      <c r="R935" s="342"/>
      <c r="S935" s="336"/>
      <c r="T935" s="341"/>
      <c r="U935" s="341"/>
      <c r="V935" s="341"/>
      <c r="W935" s="346"/>
      <c r="X935" s="344"/>
      <c r="AF935" s="276">
        <f t="shared" si="106"/>
        <v>266.70999999999998</v>
      </c>
      <c r="AG935" s="276">
        <f t="shared" si="107"/>
        <v>0</v>
      </c>
      <c r="AH935" s="276">
        <f t="shared" si="108"/>
        <v>279.60750000000002</v>
      </c>
      <c r="AI935" s="283">
        <f t="shared" si="109"/>
        <v>1.048357766862885</v>
      </c>
    </row>
    <row r="936" spans="1:35" ht="30" x14ac:dyDescent="0.25">
      <c r="A936" s="275">
        <f>'Profits 2016'!A6149</f>
        <v>3004840</v>
      </c>
      <c r="B936" s="279">
        <f>'Profits 2016'!B6149</f>
        <v>42653</v>
      </c>
      <c r="C936" s="276">
        <f>'Profits 2016'!H6149</f>
        <v>197.35</v>
      </c>
      <c r="D936" s="280">
        <f>'Profits 2016'!K6149</f>
        <v>167.7475</v>
      </c>
      <c r="E936" s="276">
        <f>'Profits 2016'!L6149</f>
        <v>120</v>
      </c>
      <c r="F936" s="275" t="str">
        <f>'Profits 2016'!P6149</f>
        <v>Houston</v>
      </c>
      <c r="G936" s="292">
        <f>'Profits 2016'!N6149-'Profits 2016'!M6149</f>
        <v>60</v>
      </c>
      <c r="H936" s="292">
        <v>0</v>
      </c>
      <c r="I936" s="275">
        <v>30909496</v>
      </c>
      <c r="J936" s="277">
        <v>42653</v>
      </c>
      <c r="K936" s="277">
        <v>42657</v>
      </c>
      <c r="L936" s="277">
        <v>42678</v>
      </c>
      <c r="M936" s="292">
        <v>60</v>
      </c>
      <c r="N936" s="281">
        <v>9323</v>
      </c>
      <c r="O936" s="236" t="str">
        <f>'Profits 2016'!T6149</f>
        <v>FEDX GROUND</v>
      </c>
      <c r="P936" s="284" t="str">
        <f>'Profits 2016'!U6149</f>
        <v>707510673353</v>
      </c>
      <c r="Q936" s="284" t="s">
        <v>314</v>
      </c>
      <c r="R936" s="276">
        <v>22.24</v>
      </c>
      <c r="S936" s="275" t="s">
        <v>15805</v>
      </c>
      <c r="T936" s="279">
        <v>42667</v>
      </c>
      <c r="U936" s="279">
        <v>42670</v>
      </c>
      <c r="V936" s="279">
        <v>42678</v>
      </c>
      <c r="W936" s="293">
        <v>0</v>
      </c>
      <c r="X936" s="236">
        <v>9301</v>
      </c>
      <c r="AF936" s="276">
        <f t="shared" si="106"/>
        <v>82.24</v>
      </c>
      <c r="AG936" s="276">
        <f t="shared" si="107"/>
        <v>82.24</v>
      </c>
      <c r="AH936" s="276">
        <f t="shared" si="108"/>
        <v>85.507500000000007</v>
      </c>
      <c r="AI936" s="283">
        <f t="shared" si="109"/>
        <v>1.0397312743190663</v>
      </c>
    </row>
    <row r="937" spans="1:35" ht="30" x14ac:dyDescent="0.25">
      <c r="A937" s="275">
        <f>'Profits 2016'!A6150</f>
        <v>3004841</v>
      </c>
      <c r="B937" s="279">
        <f>'Profits 2016'!B6150</f>
        <v>42653</v>
      </c>
      <c r="C937" s="276">
        <f>'Profits 2016'!H6150</f>
        <v>193.04</v>
      </c>
      <c r="D937" s="280">
        <f>'Profits 2016'!K6150</f>
        <v>164.084</v>
      </c>
      <c r="E937" s="276">
        <f>'Profits 2016'!L6150</f>
        <v>900</v>
      </c>
      <c r="F937" s="275" t="str">
        <f>'Profits 2016'!P6150</f>
        <v>Nassau</v>
      </c>
      <c r="G937" s="292">
        <f>'Profits 2016'!N6150-'Profits 2016'!M6150</f>
        <v>90</v>
      </c>
      <c r="H937" s="319"/>
      <c r="I937" s="320"/>
      <c r="J937" s="321"/>
      <c r="K937" s="321"/>
      <c r="L937" s="321"/>
      <c r="M937" s="319"/>
      <c r="N937" s="322"/>
      <c r="O937" s="236" t="str">
        <f>'Profits 2016'!T6150</f>
        <v>FEDEX GROUND</v>
      </c>
      <c r="P937" s="284" t="str">
        <f>'Profits 2016'!U6150</f>
        <v>702723289550</v>
      </c>
      <c r="Q937" s="284" t="s">
        <v>314</v>
      </c>
      <c r="R937" s="276">
        <v>20.079999999999998</v>
      </c>
      <c r="S937" s="275" t="s">
        <v>15805</v>
      </c>
      <c r="T937" s="279">
        <v>42667</v>
      </c>
      <c r="U937" s="279">
        <v>42670</v>
      </c>
      <c r="V937" s="279">
        <v>42678</v>
      </c>
      <c r="W937" s="293">
        <v>0</v>
      </c>
      <c r="X937" s="236">
        <v>9301</v>
      </c>
      <c r="AF937" s="276">
        <f t="shared" ref="AF937:AF1000" si="113">G937+H938+R937+Y937</f>
        <v>110.08</v>
      </c>
      <c r="AG937" s="276">
        <f t="shared" si="107"/>
        <v>20.079999999999998</v>
      </c>
      <c r="AH937" s="276">
        <f t="shared" si="108"/>
        <v>144.00400000000002</v>
      </c>
      <c r="AI937" s="283">
        <f t="shared" si="109"/>
        <v>1.3081758720930234</v>
      </c>
    </row>
    <row r="938" spans="1:35" ht="30" x14ac:dyDescent="0.25">
      <c r="A938" s="275">
        <f>'Profits 2016'!A6151</f>
        <v>3004842</v>
      </c>
      <c r="B938" s="279">
        <f>'Profits 2016'!B6151</f>
        <v>42653</v>
      </c>
      <c r="C938" s="276">
        <f>'Profits 2016'!H6151</f>
        <v>193.04</v>
      </c>
      <c r="D938" s="280">
        <f>'Profits 2016'!K6151</f>
        <v>164.084</v>
      </c>
      <c r="E938" s="276">
        <f>'Profits 2016'!L6151</f>
        <v>900</v>
      </c>
      <c r="F938" s="275" t="str">
        <f>'Profits 2016'!P6151</f>
        <v>Nassau</v>
      </c>
      <c r="G938" s="292">
        <f>'Profits 2016'!N6151-'Profits 2016'!M6151</f>
        <v>90</v>
      </c>
      <c r="H938" s="319"/>
      <c r="I938" s="320"/>
      <c r="J938" s="321"/>
      <c r="K938" s="321"/>
      <c r="L938" s="321"/>
      <c r="M938" s="319"/>
      <c r="N938" s="322"/>
      <c r="O938" s="236" t="str">
        <f>'Profits 2016'!T6151</f>
        <v>FEDEX GROUND</v>
      </c>
      <c r="P938" s="284" t="str">
        <f>'Profits 2016'!U6151</f>
        <v>702723289572</v>
      </c>
      <c r="Q938" s="284" t="s">
        <v>314</v>
      </c>
      <c r="R938" s="276">
        <v>20.079999999999998</v>
      </c>
      <c r="S938" s="275" t="s">
        <v>15805</v>
      </c>
      <c r="T938" s="279">
        <v>42667</v>
      </c>
      <c r="U938" s="279">
        <v>42670</v>
      </c>
      <c r="V938" s="279">
        <v>42678</v>
      </c>
      <c r="W938" s="293">
        <v>0</v>
      </c>
      <c r="X938" s="236">
        <v>9301</v>
      </c>
      <c r="AF938" s="276">
        <f t="shared" si="113"/>
        <v>110.08</v>
      </c>
      <c r="AG938" s="276">
        <f t="shared" si="107"/>
        <v>20.079999999999998</v>
      </c>
      <c r="AH938" s="276">
        <f t="shared" si="108"/>
        <v>144.00400000000002</v>
      </c>
      <c r="AI938" s="283">
        <f t="shared" si="109"/>
        <v>1.3081758720930234</v>
      </c>
    </row>
    <row r="939" spans="1:35" ht="30" x14ac:dyDescent="0.25">
      <c r="A939" s="275">
        <f>'Profits 2016'!A6152</f>
        <v>3004843</v>
      </c>
      <c r="B939" s="279">
        <f>'Profits 2016'!B6152</f>
        <v>42653</v>
      </c>
      <c r="C939" s="276">
        <f>'Profits 2016'!H6152</f>
        <v>328.95</v>
      </c>
      <c r="D939" s="280">
        <f>'Profits 2016'!K6152</f>
        <v>279.60750000000002</v>
      </c>
      <c r="E939" s="276">
        <f>'Profits 2016'!L6152</f>
        <v>282.88</v>
      </c>
      <c r="F939" s="275" t="str">
        <f>'Profits 2016'!P6152</f>
        <v>EBAY</v>
      </c>
      <c r="G939" s="292">
        <f>'Profits 2016'!N6152-'Profits 2016'!M6152</f>
        <v>282.88</v>
      </c>
      <c r="H939" s="319"/>
      <c r="I939" s="320"/>
      <c r="J939" s="321"/>
      <c r="K939" s="321"/>
      <c r="L939" s="321"/>
      <c r="M939" s="319"/>
      <c r="N939" s="322"/>
      <c r="O939" s="236" t="str">
        <f>'Profits 2016'!T6152</f>
        <v>UPS GROUND</v>
      </c>
      <c r="P939" s="284" t="str">
        <f>'Profits 2016'!U6152</f>
        <v>1z3113054257118582</v>
      </c>
      <c r="Q939" s="345"/>
      <c r="R939" s="342"/>
      <c r="S939" s="336"/>
      <c r="T939" s="341"/>
      <c r="U939" s="341"/>
      <c r="V939" s="341"/>
      <c r="W939" s="346"/>
      <c r="X939" s="344"/>
      <c r="AF939" s="276">
        <f t="shared" si="113"/>
        <v>282.88</v>
      </c>
      <c r="AG939" s="276">
        <f t="shared" si="107"/>
        <v>0</v>
      </c>
      <c r="AH939" s="276">
        <f t="shared" si="108"/>
        <v>279.60750000000002</v>
      </c>
      <c r="AI939" s="283">
        <f t="shared" si="109"/>
        <v>0.98843149038461542</v>
      </c>
    </row>
    <row r="940" spans="1:35" ht="30" x14ac:dyDescent="0.25">
      <c r="A940" s="275">
        <f>'Profits 2016'!A6153</f>
        <v>3004844</v>
      </c>
      <c r="B940" s="279">
        <f>'Profits 2016'!B6153</f>
        <v>42653</v>
      </c>
      <c r="C940" s="276">
        <f>'Profits 2016'!H6153</f>
        <v>174.47</v>
      </c>
      <c r="D940" s="280">
        <f>'Profits 2016'!K6153</f>
        <v>148.29949999999999</v>
      </c>
      <c r="E940" s="276">
        <f>'Profits 2016'!L6153</f>
        <v>672</v>
      </c>
      <c r="F940" s="275" t="str">
        <f>'Profits 2016'!P6153</f>
        <v>Houston</v>
      </c>
      <c r="G940" s="292">
        <f>'Profits 2016'!N6153-'Profits 2016'!M6153</f>
        <v>100.80000000000001</v>
      </c>
      <c r="H940" s="292">
        <v>0</v>
      </c>
      <c r="I940" s="275">
        <v>30909562</v>
      </c>
      <c r="J940" s="277">
        <v>42653</v>
      </c>
      <c r="K940" s="277">
        <v>42657</v>
      </c>
      <c r="L940" s="277">
        <v>42678</v>
      </c>
      <c r="M940" s="292">
        <v>100.8</v>
      </c>
      <c r="N940" s="281">
        <v>9323</v>
      </c>
      <c r="O940" s="236" t="str">
        <f>'Profits 2016'!T6153</f>
        <v>FEDEX GROUND</v>
      </c>
      <c r="P940" s="284" t="str">
        <f>'Profits 2016'!U6153</f>
        <v>543369481929</v>
      </c>
      <c r="Q940" s="284" t="s">
        <v>314</v>
      </c>
      <c r="R940" s="276">
        <v>29.16</v>
      </c>
      <c r="S940" s="275" t="s">
        <v>15805</v>
      </c>
      <c r="T940" s="279">
        <v>42667</v>
      </c>
      <c r="U940" s="279">
        <v>42670</v>
      </c>
      <c r="V940" s="279">
        <v>42678</v>
      </c>
      <c r="W940" s="293">
        <v>0</v>
      </c>
      <c r="X940" s="236">
        <v>9301</v>
      </c>
      <c r="AF940" s="276">
        <f t="shared" si="113"/>
        <v>129.96</v>
      </c>
      <c r="AG940" s="276">
        <f t="shared" si="107"/>
        <v>129.96</v>
      </c>
      <c r="AH940" s="276">
        <f t="shared" si="108"/>
        <v>18.339499999999987</v>
      </c>
      <c r="AI940" s="283">
        <f t="shared" si="109"/>
        <v>0.1411164973838103</v>
      </c>
    </row>
    <row r="941" spans="1:35" ht="30" x14ac:dyDescent="0.25">
      <c r="A941" s="275">
        <f>'Profits 2016'!A6154</f>
        <v>3004845</v>
      </c>
      <c r="B941" s="279">
        <f>'Profits 2016'!B6154</f>
        <v>42653</v>
      </c>
      <c r="C941" s="276">
        <f>'Profits 2016'!H6154</f>
        <v>174.47</v>
      </c>
      <c r="D941" s="280">
        <f>'Profits 2016'!K6154</f>
        <v>148.29949999999999</v>
      </c>
      <c r="E941" s="276">
        <f>'Profits 2016'!L6154</f>
        <v>672</v>
      </c>
      <c r="F941" s="275" t="str">
        <f>'Profits 2016'!P6154</f>
        <v>Houston</v>
      </c>
      <c r="G941" s="292">
        <f>'Profits 2016'!N6154-'Profits 2016'!M6154</f>
        <v>100.8</v>
      </c>
      <c r="H941" s="292">
        <v>0</v>
      </c>
      <c r="I941" s="275">
        <v>30909518</v>
      </c>
      <c r="J941" s="277">
        <v>42653</v>
      </c>
      <c r="K941" s="277">
        <v>42657</v>
      </c>
      <c r="L941" s="277">
        <v>42678</v>
      </c>
      <c r="M941" s="292">
        <v>100.8</v>
      </c>
      <c r="N941" s="281">
        <v>9322</v>
      </c>
      <c r="O941" s="236" t="str">
        <f>'Profits 2016'!T6154</f>
        <v>FEDEX GROUND</v>
      </c>
      <c r="P941" s="284" t="str">
        <f>'Profits 2016'!U6154</f>
        <v>707510673364</v>
      </c>
      <c r="Q941" s="284" t="s">
        <v>314</v>
      </c>
      <c r="R941" s="276">
        <v>49.83</v>
      </c>
      <c r="S941" s="275" t="s">
        <v>15805</v>
      </c>
      <c r="T941" s="279">
        <v>42667</v>
      </c>
      <c r="U941" s="279">
        <v>42670</v>
      </c>
      <c r="V941" s="279">
        <v>42678</v>
      </c>
      <c r="W941" s="293">
        <v>0</v>
      </c>
      <c r="X941" s="236">
        <v>9301</v>
      </c>
      <c r="AF941" s="276">
        <f t="shared" si="113"/>
        <v>150.63</v>
      </c>
      <c r="AG941" s="276">
        <f t="shared" si="107"/>
        <v>150.63</v>
      </c>
      <c r="AH941" s="276">
        <f t="shared" si="108"/>
        <v>-2.3305000000000007</v>
      </c>
      <c r="AI941" s="283">
        <f t="shared" si="109"/>
        <v>-1.547168558720043E-2</v>
      </c>
    </row>
    <row r="942" spans="1:35" ht="30" x14ac:dyDescent="0.25">
      <c r="A942" s="275">
        <f>'Profits 2016'!A6155</f>
        <v>3004846</v>
      </c>
      <c r="B942" s="279">
        <f>'Profits 2016'!B6155</f>
        <v>42653</v>
      </c>
      <c r="C942" s="276">
        <f>'Profits 2016'!H6155</f>
        <v>224.9</v>
      </c>
      <c r="D942" s="280">
        <f>'Profits 2016'!K6155</f>
        <v>191.16500000000002</v>
      </c>
      <c r="E942" s="276">
        <f>'Profits 2016'!L6155</f>
        <v>1322</v>
      </c>
      <c r="F942" s="275" t="str">
        <f>'Profits 2016'!P6155</f>
        <v>Nassau</v>
      </c>
      <c r="G942" s="292">
        <f>'Profits 2016'!N6155-'Profits 2016'!M6155</f>
        <v>132.20000000000002</v>
      </c>
      <c r="H942" s="319"/>
      <c r="I942" s="320"/>
      <c r="J942" s="321"/>
      <c r="K942" s="321"/>
      <c r="L942" s="321"/>
      <c r="M942" s="319"/>
      <c r="N942" s="322"/>
      <c r="O942" s="236" t="str">
        <f>'Profits 2016'!T6155</f>
        <v>FEDEX GROUND</v>
      </c>
      <c r="P942" s="284" t="str">
        <f>'Profits 2016'!U6155</f>
        <v>702723289583</v>
      </c>
      <c r="Q942" s="284" t="s">
        <v>314</v>
      </c>
      <c r="R942" s="276">
        <v>26.87</v>
      </c>
      <c r="S942" s="275" t="s">
        <v>15805</v>
      </c>
      <c r="T942" s="279">
        <v>42667</v>
      </c>
      <c r="U942" s="279">
        <v>42670</v>
      </c>
      <c r="V942" s="279">
        <v>42678</v>
      </c>
      <c r="W942" s="293">
        <v>0</v>
      </c>
      <c r="X942" s="236">
        <v>9301</v>
      </c>
      <c r="AF942" s="276">
        <f t="shared" si="113"/>
        <v>159.07000000000002</v>
      </c>
      <c r="AG942" s="276">
        <f t="shared" si="107"/>
        <v>26.87</v>
      </c>
      <c r="AH942" s="276">
        <f t="shared" si="108"/>
        <v>164.29500000000002</v>
      </c>
      <c r="AI942" s="283">
        <f t="shared" si="109"/>
        <v>1.0328471742000376</v>
      </c>
    </row>
    <row r="943" spans="1:35" ht="30" x14ac:dyDescent="0.25">
      <c r="A943" s="275">
        <f>'Profits 2016'!A6156</f>
        <v>3004847</v>
      </c>
      <c r="B943" s="279">
        <f>'Profits 2016'!B6156</f>
        <v>42653</v>
      </c>
      <c r="C943" s="276">
        <f>'Profits 2016'!H6156</f>
        <v>174.47</v>
      </c>
      <c r="D943" s="280">
        <f>'Profits 2016'!K6156</f>
        <v>148.29949999999999</v>
      </c>
      <c r="E943" s="276">
        <f>'Profits 2016'!L6156</f>
        <v>672</v>
      </c>
      <c r="F943" s="275" t="str">
        <f>'Profits 2016'!P6156</f>
        <v>Houston</v>
      </c>
      <c r="G943" s="292">
        <f>'Profits 2016'!N6156-'Profits 2016'!M6156</f>
        <v>100.8</v>
      </c>
      <c r="H943" s="292">
        <v>0</v>
      </c>
      <c r="I943" s="275">
        <v>30910008</v>
      </c>
      <c r="J943" s="277">
        <v>42654</v>
      </c>
      <c r="K943" s="277">
        <v>42660</v>
      </c>
      <c r="O943" s="236" t="str">
        <f>'Profits 2016'!T6156</f>
        <v>FEDEX GROUND</v>
      </c>
      <c r="P943" s="284" t="str">
        <f>'Profits 2016'!U6156</f>
        <v>701849703670</v>
      </c>
      <c r="Q943" s="284" t="s">
        <v>314</v>
      </c>
      <c r="R943" s="276">
        <v>20.14</v>
      </c>
      <c r="S943" s="275" t="s">
        <v>15805</v>
      </c>
      <c r="T943" s="279">
        <v>42667</v>
      </c>
      <c r="U943" s="279">
        <v>42670</v>
      </c>
      <c r="V943" s="279">
        <v>42678</v>
      </c>
      <c r="W943" s="293">
        <v>0</v>
      </c>
      <c r="X943" s="236">
        <v>9301</v>
      </c>
      <c r="AF943" s="276">
        <f t="shared" si="113"/>
        <v>120.94</v>
      </c>
      <c r="AG943" s="276">
        <f t="shared" si="107"/>
        <v>20.14</v>
      </c>
      <c r="AH943" s="276">
        <f t="shared" si="108"/>
        <v>128.15949999999998</v>
      </c>
      <c r="AI943" s="283">
        <f t="shared" si="109"/>
        <v>1.0596948900281129</v>
      </c>
    </row>
    <row r="944" spans="1:35" ht="30" x14ac:dyDescent="0.25">
      <c r="A944" s="275">
        <f>'Profits 2016'!A6157</f>
        <v>3004848</v>
      </c>
      <c r="B944" s="279">
        <f>'Profits 2016'!B6157</f>
        <v>42653</v>
      </c>
      <c r="C944" s="276">
        <f>'Profits 2016'!H6157</f>
        <v>136.83000000000001</v>
      </c>
      <c r="D944" s="280">
        <f>'Profits 2016'!K6157</f>
        <v>116.30550000000001</v>
      </c>
      <c r="E944" s="276">
        <f>'Profits 2016'!L6157</f>
        <v>622.45000000000005</v>
      </c>
      <c r="F944" s="275" t="str">
        <f>'Profits 2016'!P6157</f>
        <v>Nassau</v>
      </c>
      <c r="G944" s="292">
        <f>'Profits 2016'!N6157-'Profits 2016'!M6157</f>
        <v>62.245000000000012</v>
      </c>
      <c r="H944" s="319"/>
      <c r="I944" s="320"/>
      <c r="J944" s="321"/>
      <c r="K944" s="321"/>
      <c r="L944" s="321"/>
      <c r="M944" s="319"/>
      <c r="N944" s="322"/>
      <c r="O944" s="236" t="str">
        <f>'Profits 2016'!T6157</f>
        <v>FEDEX GROUND</v>
      </c>
      <c r="P944" s="284" t="str">
        <f>'Profits 2016'!U6157</f>
        <v>702723289697</v>
      </c>
      <c r="Q944" s="284" t="s">
        <v>314</v>
      </c>
      <c r="R944" s="276">
        <v>38.619999999999997</v>
      </c>
      <c r="S944" s="275" t="s">
        <v>15793</v>
      </c>
      <c r="T944" s="279">
        <v>42674</v>
      </c>
      <c r="U944" s="279">
        <v>42681</v>
      </c>
      <c r="V944" s="279">
        <v>42685</v>
      </c>
      <c r="W944" s="293">
        <v>0</v>
      </c>
      <c r="X944" s="236">
        <v>9399</v>
      </c>
      <c r="AF944" s="276">
        <f t="shared" si="113"/>
        <v>100.86500000000001</v>
      </c>
      <c r="AG944" s="276">
        <f t="shared" si="107"/>
        <v>38.619999999999997</v>
      </c>
      <c r="AH944" s="276">
        <f t="shared" si="108"/>
        <v>77.685500000000019</v>
      </c>
      <c r="AI944" s="283">
        <f t="shared" si="109"/>
        <v>0.77019283200317268</v>
      </c>
    </row>
    <row r="945" spans="1:35" ht="30" x14ac:dyDescent="0.25">
      <c r="A945" s="275">
        <f>'Profits 2016'!A6158</f>
        <v>3004849</v>
      </c>
      <c r="B945" s="279">
        <f>'Profits 2016'!B6158</f>
        <v>42653</v>
      </c>
      <c r="C945" s="276">
        <f>'Profits 2016'!H6158</f>
        <v>204.82</v>
      </c>
      <c r="D945" s="280">
        <f>'Profits 2016'!K6158</f>
        <v>174.09699999999998</v>
      </c>
      <c r="E945" s="276">
        <f>'Profits 2016'!L6158</f>
        <v>409</v>
      </c>
      <c r="F945" s="275" t="str">
        <f>'Profits 2016'!P6158</f>
        <v>Nassau</v>
      </c>
      <c r="G945" s="292">
        <f>'Profits 2016'!N6158-'Profits 2016'!M6158</f>
        <v>102.25</v>
      </c>
      <c r="H945" s="319"/>
      <c r="I945" s="320"/>
      <c r="J945" s="321"/>
      <c r="K945" s="321"/>
      <c r="L945" s="321"/>
      <c r="M945" s="319"/>
      <c r="N945" s="322"/>
      <c r="O945" s="236" t="str">
        <f>'Profits 2016'!T6158</f>
        <v>FEDEX GROUND</v>
      </c>
      <c r="P945" s="284" t="str">
        <f>'Profits 2016'!U6158</f>
        <v>702723289539</v>
      </c>
      <c r="Q945" s="284" t="s">
        <v>314</v>
      </c>
      <c r="R945" s="276">
        <v>28.12</v>
      </c>
      <c r="S945" s="275" t="s">
        <v>15805</v>
      </c>
      <c r="T945" s="279">
        <v>42667</v>
      </c>
      <c r="U945" s="279">
        <v>42670</v>
      </c>
      <c r="V945" s="279">
        <v>42678</v>
      </c>
      <c r="W945" s="293">
        <v>0</v>
      </c>
      <c r="X945" s="236">
        <v>9301</v>
      </c>
      <c r="AF945" s="276">
        <f t="shared" si="113"/>
        <v>130.37</v>
      </c>
      <c r="AG945" s="276">
        <f t="shared" si="107"/>
        <v>28.12</v>
      </c>
      <c r="AH945" s="276">
        <f t="shared" si="108"/>
        <v>145.97699999999998</v>
      </c>
      <c r="AI945" s="283">
        <f t="shared" si="109"/>
        <v>1.1197131241850116</v>
      </c>
    </row>
    <row r="946" spans="1:35" ht="30" x14ac:dyDescent="0.25">
      <c r="A946" s="275">
        <f>'Profits 2016'!A6159</f>
        <v>3004850</v>
      </c>
      <c r="B946" s="279">
        <f>'Profits 2016'!B6159</f>
        <v>42653</v>
      </c>
      <c r="C946" s="276">
        <f>'Profits 2016'!H6159</f>
        <v>369.04</v>
      </c>
      <c r="D946" s="280">
        <f>'Profits 2016'!K6159</f>
        <v>313.68400000000003</v>
      </c>
      <c r="E946" s="276">
        <f>'Profits 2016'!L6159</f>
        <v>1000</v>
      </c>
      <c r="F946" s="275" t="str">
        <f>'Profits 2016'!P6159</f>
        <v>Priority</v>
      </c>
      <c r="G946" s="292">
        <f>'Profits 2016'!N6159-'Profits 2016'!M6159</f>
        <v>150</v>
      </c>
      <c r="H946" s="292">
        <v>0</v>
      </c>
      <c r="I946" s="275">
        <v>1064697</v>
      </c>
      <c r="J946" s="277">
        <v>42654</v>
      </c>
      <c r="K946" s="277">
        <v>42660</v>
      </c>
      <c r="O946" s="236" t="str">
        <f>'Profits 2016'!T6159</f>
        <v>FEDEX GROUND</v>
      </c>
      <c r="P946" s="284" t="str">
        <f>'Profits 2016'!U6159</f>
        <v>706898123116</v>
      </c>
      <c r="Q946" s="284" t="s">
        <v>15740</v>
      </c>
      <c r="R946" s="292">
        <v>38.729999999999997</v>
      </c>
      <c r="S946" s="275">
        <v>1064697</v>
      </c>
      <c r="T946" s="277">
        <v>42654</v>
      </c>
      <c r="U946" s="277">
        <v>42660</v>
      </c>
      <c r="AF946" s="276">
        <f t="shared" si="113"/>
        <v>188.73</v>
      </c>
      <c r="AG946" s="276">
        <f t="shared" si="107"/>
        <v>38.729999999999997</v>
      </c>
      <c r="AH946" s="276">
        <f t="shared" si="108"/>
        <v>274.95400000000001</v>
      </c>
      <c r="AI946" s="283">
        <f t="shared" si="109"/>
        <v>1.4568643035023581</v>
      </c>
    </row>
    <row r="947" spans="1:35" ht="30" customHeight="1" x14ac:dyDescent="0.25">
      <c r="A947" s="275">
        <f>'Profits 2016'!A6160</f>
        <v>3004851</v>
      </c>
      <c r="B947" s="279">
        <f>'Profits 2016'!B6160</f>
        <v>42653</v>
      </c>
      <c r="C947" s="276">
        <f>'Profits 2016'!H6160</f>
        <v>390.22</v>
      </c>
      <c r="D947" s="280">
        <f>'Profits 2016'!K6160</f>
        <v>331.68700000000001</v>
      </c>
      <c r="E947" s="276">
        <f>'Profits 2016'!L6160</f>
        <v>622.45000000000005</v>
      </c>
      <c r="F947" s="275" t="str">
        <f>'Profits 2016'!P6160</f>
        <v>Nassau</v>
      </c>
      <c r="G947" s="292">
        <f>'Profits 2016'!N6160-'Profits 2016'!M6160</f>
        <v>186.73500000000001</v>
      </c>
      <c r="H947" s="319"/>
      <c r="I947" s="320"/>
      <c r="J947" s="321"/>
      <c r="K947" s="321"/>
      <c r="L947" s="321"/>
      <c r="M947" s="319"/>
      <c r="N947" s="322"/>
      <c r="O947" s="236" t="str">
        <f>'Profits 2016'!T6160</f>
        <v>FEDEX GROUND</v>
      </c>
      <c r="P947" s="284" t="str">
        <f>'Profits 2016'!U6160</f>
        <v>702723289631, 702723289642</v>
      </c>
      <c r="Q947" s="284" t="s">
        <v>314</v>
      </c>
      <c r="R947" s="276">
        <f>20.52+20.52</f>
        <v>41.04</v>
      </c>
      <c r="S947" s="275" t="s">
        <v>15805</v>
      </c>
      <c r="T947" s="279">
        <v>42667</v>
      </c>
      <c r="U947" s="279">
        <v>42670</v>
      </c>
      <c r="V947" s="279">
        <v>42678</v>
      </c>
      <c r="W947" s="293">
        <v>0</v>
      </c>
      <c r="X947" s="236">
        <v>9301</v>
      </c>
      <c r="AF947" s="276">
        <f t="shared" si="113"/>
        <v>227.77500000000001</v>
      </c>
      <c r="AG947" s="276">
        <f t="shared" si="107"/>
        <v>41.04</v>
      </c>
      <c r="AH947" s="276">
        <f t="shared" si="108"/>
        <v>290.64699999999999</v>
      </c>
      <c r="AI947" s="283">
        <f t="shared" si="109"/>
        <v>1.2760267808144001</v>
      </c>
    </row>
    <row r="948" spans="1:35" ht="30" x14ac:dyDescent="0.25">
      <c r="A948" s="275">
        <f>'Profits 2016'!A6161</f>
        <v>3004852</v>
      </c>
      <c r="B948" s="279">
        <f>'Profits 2016'!B6161</f>
        <v>42653</v>
      </c>
      <c r="C948" s="276">
        <f>'Profits 2016'!H6161</f>
        <v>117.44</v>
      </c>
      <c r="D948" s="280">
        <f>'Profits 2016'!K6161</f>
        <v>99.823999999999998</v>
      </c>
      <c r="E948" s="276">
        <f>'Profits 2016'!L6161</f>
        <v>0</v>
      </c>
      <c r="F948" s="275" t="str">
        <f>'Profits 2016'!P6161</f>
        <v>Nassau</v>
      </c>
      <c r="G948" s="292">
        <f>'Profits 2016'!N6161-'Profits 2016'!M6161</f>
        <v>0</v>
      </c>
      <c r="H948" s="319"/>
      <c r="I948" s="320"/>
      <c r="J948" s="321"/>
      <c r="K948" s="321"/>
      <c r="L948" s="321"/>
      <c r="M948" s="319"/>
      <c r="N948" s="322"/>
      <c r="O948" s="236" t="str">
        <f>'Profits 2016'!T6161</f>
        <v>FEDEX GROUND</v>
      </c>
      <c r="P948" s="284" t="str">
        <f>'Profits 2016'!U6161</f>
        <v>702723289664</v>
      </c>
      <c r="Q948" s="284" t="s">
        <v>314</v>
      </c>
      <c r="R948" s="276">
        <v>23.37</v>
      </c>
      <c r="S948" s="275" t="s">
        <v>15805</v>
      </c>
      <c r="T948" s="279">
        <v>42667</v>
      </c>
      <c r="U948" s="279">
        <v>42670</v>
      </c>
      <c r="V948" s="279">
        <v>42678</v>
      </c>
      <c r="W948" s="293">
        <v>0</v>
      </c>
      <c r="X948" s="236">
        <v>9301</v>
      </c>
      <c r="AF948" s="276">
        <f t="shared" si="113"/>
        <v>23.37</v>
      </c>
      <c r="AG948" s="276">
        <f t="shared" si="107"/>
        <v>23.37</v>
      </c>
      <c r="AH948" s="276">
        <f t="shared" si="108"/>
        <v>76.453999999999994</v>
      </c>
      <c r="AI948" s="283">
        <f t="shared" si="109"/>
        <v>3.2714591356439877</v>
      </c>
    </row>
    <row r="949" spans="1:35" ht="30" x14ac:dyDescent="0.25">
      <c r="A949" s="275">
        <f>'Profits 2016'!A6162</f>
        <v>3004853</v>
      </c>
      <c r="B949" s="279">
        <f>'Profits 2016'!B6162</f>
        <v>42653</v>
      </c>
      <c r="C949" s="276">
        <f>'Profits 2016'!H6162</f>
        <v>108.9</v>
      </c>
      <c r="D949" s="280">
        <f>'Profits 2016'!K6162</f>
        <v>96.729900000000001</v>
      </c>
      <c r="E949" s="276">
        <f>'Profits 2016'!L6162</f>
        <v>900</v>
      </c>
      <c r="F949" s="275" t="str">
        <f>'Profits 2016'!P6162</f>
        <v>Nassau</v>
      </c>
      <c r="G949" s="292">
        <f>'Profits 2016'!N6162-'Profits 2016'!M6162</f>
        <v>45</v>
      </c>
      <c r="H949" s="319"/>
      <c r="I949" s="320"/>
      <c r="J949" s="321"/>
      <c r="K949" s="321"/>
      <c r="L949" s="321"/>
      <c r="M949" s="319"/>
      <c r="N949" s="322"/>
      <c r="O949" s="236" t="str">
        <f>'Profits 2016'!T6162</f>
        <v>FEDEX GROUND</v>
      </c>
      <c r="P949" s="284" t="str">
        <f>'Profits 2016'!U6162</f>
        <v>702723289561</v>
      </c>
      <c r="Q949" s="284" t="s">
        <v>314</v>
      </c>
      <c r="R949" s="276">
        <v>21.98</v>
      </c>
      <c r="S949" s="275" t="s">
        <v>15805</v>
      </c>
      <c r="T949" s="279">
        <v>42667</v>
      </c>
      <c r="U949" s="279">
        <v>42670</v>
      </c>
      <c r="V949" s="279">
        <v>42678</v>
      </c>
      <c r="W949" s="293">
        <v>0</v>
      </c>
      <c r="X949" s="236">
        <v>9301</v>
      </c>
      <c r="AF949" s="276">
        <f t="shared" si="113"/>
        <v>66.98</v>
      </c>
      <c r="AG949" s="276">
        <f t="shared" si="107"/>
        <v>21.98</v>
      </c>
      <c r="AH949" s="276">
        <f t="shared" si="108"/>
        <v>74.749899999999997</v>
      </c>
      <c r="AI949" s="283">
        <f t="shared" si="109"/>
        <v>1.1160032845625558</v>
      </c>
    </row>
    <row r="950" spans="1:35" ht="30" x14ac:dyDescent="0.25">
      <c r="A950" s="275">
        <f>'Profits 2016'!A6163</f>
        <v>3004854</v>
      </c>
      <c r="B950" s="279">
        <f>'Profits 2016'!B6163</f>
        <v>42653</v>
      </c>
      <c r="C950" s="276">
        <f>'Profits 2016'!H6163</f>
        <v>97.95</v>
      </c>
      <c r="D950" s="280">
        <f>'Profits 2016'!K6163</f>
        <v>86.97345</v>
      </c>
      <c r="E950" s="276">
        <f>'Profits 2016'!L6163</f>
        <v>0</v>
      </c>
      <c r="F950" s="275" t="str">
        <f>'Profits 2016'!P6163</f>
        <v>Nassau</v>
      </c>
      <c r="G950" s="292">
        <f>'Profits 2016'!N6163-'Profits 2016'!M6163</f>
        <v>0</v>
      </c>
      <c r="H950" s="319"/>
      <c r="I950" s="320"/>
      <c r="J950" s="321"/>
      <c r="K950" s="321"/>
      <c r="L950" s="321"/>
      <c r="M950" s="319"/>
      <c r="N950" s="322"/>
      <c r="O950" s="236" t="str">
        <f>'Profits 2016'!T6163</f>
        <v>FEDEX GROUND</v>
      </c>
      <c r="P950" s="284" t="str">
        <f>'Profits 2016'!U6163</f>
        <v>702723289517</v>
      </c>
      <c r="Q950" s="284" t="s">
        <v>314</v>
      </c>
      <c r="R950" s="276">
        <v>31.38</v>
      </c>
      <c r="S950" s="275" t="s">
        <v>15805</v>
      </c>
      <c r="T950" s="279">
        <v>42667</v>
      </c>
      <c r="U950" s="279">
        <v>42670</v>
      </c>
      <c r="V950" s="279">
        <v>42678</v>
      </c>
      <c r="W950" s="293">
        <v>0</v>
      </c>
      <c r="X950" s="236">
        <v>9301</v>
      </c>
      <c r="AF950" s="276">
        <f t="shared" si="113"/>
        <v>31.38</v>
      </c>
      <c r="AG950" s="276">
        <f t="shared" si="107"/>
        <v>31.38</v>
      </c>
      <c r="AH950" s="276">
        <f t="shared" si="108"/>
        <v>55.593450000000004</v>
      </c>
      <c r="AI950" s="283">
        <f t="shared" si="109"/>
        <v>1.7716204588910136</v>
      </c>
    </row>
    <row r="951" spans="1:35" ht="45" x14ac:dyDescent="0.25">
      <c r="A951" s="275">
        <f>'Profits 2016'!A6164</f>
        <v>3004855</v>
      </c>
      <c r="B951" s="279">
        <f>'Profits 2016'!B6164</f>
        <v>42654</v>
      </c>
      <c r="C951" s="276">
        <f>'Profits 2016'!H6164</f>
        <v>1528.29</v>
      </c>
      <c r="D951" s="280">
        <f>'Profits 2016'!K6164</f>
        <v>1494.36762</v>
      </c>
      <c r="E951" s="276">
        <f>'Profits 2016'!L6164</f>
        <v>1050</v>
      </c>
      <c r="F951" s="275" t="str">
        <f>'Profits 2016'!P6164</f>
        <v>Service</v>
      </c>
      <c r="G951" s="292">
        <f>'Profits 2016'!N6164-'Profits 2016'!M6164</f>
        <v>1050</v>
      </c>
      <c r="H951" s="292">
        <v>0</v>
      </c>
      <c r="I951" s="275">
        <v>50264072</v>
      </c>
      <c r="J951" s="277">
        <v>42654</v>
      </c>
      <c r="K951" s="277">
        <v>42660</v>
      </c>
      <c r="O951" s="236" t="str">
        <f>'Profits 2016'!T6164</f>
        <v>FEDEX FREIGHT PRIORITY</v>
      </c>
      <c r="P951" s="284" t="str">
        <f>'Profits 2016'!U6164</f>
        <v>3491450012</v>
      </c>
      <c r="AF951" s="276">
        <f t="shared" si="113"/>
        <v>1050</v>
      </c>
      <c r="AG951" s="276">
        <f t="shared" si="107"/>
        <v>0</v>
      </c>
      <c r="AH951" s="276">
        <f t="shared" si="108"/>
        <v>1494.36762</v>
      </c>
      <c r="AI951" s="283">
        <f t="shared" si="109"/>
        <v>1.4232072571428571</v>
      </c>
    </row>
    <row r="952" spans="1:35" ht="30" x14ac:dyDescent="0.25">
      <c r="A952" s="275">
        <f>'Profits 2016'!A6165</f>
        <v>3004856</v>
      </c>
      <c r="B952" s="279">
        <f>'Profits 2016'!B6165</f>
        <v>42654</v>
      </c>
      <c r="C952" s="276">
        <f>'Profits 2016'!H6165</f>
        <v>116.99</v>
      </c>
      <c r="D952" s="280">
        <f>'Profits 2016'!K6165</f>
        <v>114.11622</v>
      </c>
      <c r="E952" s="276">
        <f>'Profits 2016'!L6165</f>
        <v>800</v>
      </c>
      <c r="F952" s="275" t="str">
        <f>'Profits 2016'!P6165</f>
        <v>Priority</v>
      </c>
      <c r="G952" s="292">
        <f>'Profits 2016'!N6165-'Profits 2016'!M6165</f>
        <v>40</v>
      </c>
      <c r="H952" s="292">
        <v>0</v>
      </c>
      <c r="I952" s="275">
        <v>1065167</v>
      </c>
      <c r="J952" s="277">
        <v>42655</v>
      </c>
      <c r="K952" s="277">
        <v>42660</v>
      </c>
      <c r="O952" s="236" t="str">
        <f>'Profits 2016'!T6165</f>
        <v>FEDEX GROUND</v>
      </c>
      <c r="P952" s="284" t="str">
        <f>'Profits 2016'!U6165</f>
        <v xml:space="preserve">	614697968323</v>
      </c>
      <c r="Q952" s="284" t="s">
        <v>15740</v>
      </c>
      <c r="R952" s="292">
        <v>20.66</v>
      </c>
      <c r="S952" s="275">
        <v>1065167</v>
      </c>
      <c r="T952" s="277">
        <v>42655</v>
      </c>
      <c r="U952" s="277">
        <v>42660</v>
      </c>
      <c r="AF952" s="276">
        <f t="shared" si="113"/>
        <v>60.66</v>
      </c>
      <c r="AG952" s="276">
        <f t="shared" si="107"/>
        <v>20.66</v>
      </c>
      <c r="AH952" s="276">
        <f t="shared" si="108"/>
        <v>93.456220000000002</v>
      </c>
      <c r="AI952" s="283">
        <f t="shared" si="109"/>
        <v>1.5406564457632708</v>
      </c>
    </row>
    <row r="953" spans="1:35" ht="30" x14ac:dyDescent="0.25">
      <c r="A953" s="275">
        <f>'Profits 2016'!A6166</f>
        <v>3004857</v>
      </c>
      <c r="B953" s="279">
        <f>'Profits 2016'!B6166</f>
        <v>42654</v>
      </c>
      <c r="C953" s="276">
        <f>'Profits 2016'!H6166</f>
        <v>540</v>
      </c>
      <c r="D953" s="280">
        <f>'Profits 2016'!K6166</f>
        <v>540</v>
      </c>
      <c r="E953" s="276">
        <f>'Profits 2016'!L6166</f>
        <v>100</v>
      </c>
      <c r="F953" s="275" t="str">
        <f>'Profits 2016'!P6166</f>
        <v>Priority</v>
      </c>
      <c r="G953" s="292">
        <f>'Profits 2016'!N6166-'Profits 2016'!M6166</f>
        <v>200</v>
      </c>
      <c r="H953" s="292">
        <v>0</v>
      </c>
      <c r="I953" s="275">
        <v>1065082</v>
      </c>
      <c r="J953" s="277">
        <v>42654</v>
      </c>
      <c r="K953" s="277">
        <v>42660</v>
      </c>
      <c r="L953" s="277">
        <v>42678</v>
      </c>
      <c r="M953" s="292">
        <v>200</v>
      </c>
      <c r="N953" s="281">
        <v>9340</v>
      </c>
      <c r="O953" s="236" t="str">
        <f>'Profits 2016'!T6166</f>
        <v>FEDEX GROUND</v>
      </c>
      <c r="P953" s="284" t="str">
        <f>'Profits 2016'!U6166</f>
        <v>614697968220, 614697968231</v>
      </c>
      <c r="Q953" s="284" t="s">
        <v>15740</v>
      </c>
      <c r="R953" s="276">
        <v>73.64</v>
      </c>
      <c r="S953" s="275">
        <v>1065082</v>
      </c>
      <c r="T953" s="277">
        <v>42654</v>
      </c>
      <c r="U953" s="277">
        <v>42660</v>
      </c>
      <c r="V953" s="279">
        <v>42678</v>
      </c>
      <c r="W953" s="293">
        <v>73.64</v>
      </c>
      <c r="X953" s="236">
        <v>9340</v>
      </c>
      <c r="AF953" s="276">
        <f t="shared" si="113"/>
        <v>273.64</v>
      </c>
      <c r="AG953" s="276">
        <f t="shared" si="107"/>
        <v>273.64</v>
      </c>
      <c r="AH953" s="276">
        <f t="shared" si="108"/>
        <v>266.36</v>
      </c>
      <c r="AI953" s="283">
        <f t="shared" si="109"/>
        <v>0.97339570238269268</v>
      </c>
    </row>
    <row r="954" spans="1:35" ht="30" x14ac:dyDescent="0.25">
      <c r="A954" s="275">
        <f>'Profits 2016'!A6167</f>
        <v>0</v>
      </c>
      <c r="B954" s="279">
        <f>'Profits 2016'!B6167</f>
        <v>0</v>
      </c>
      <c r="C954" s="276">
        <f>'Profits 2016'!H6167</f>
        <v>0</v>
      </c>
      <c r="D954" s="280">
        <f>'Profits 2016'!K6167</f>
        <v>0</v>
      </c>
      <c r="E954" s="276">
        <f>'Profits 2016'!L6167</f>
        <v>100</v>
      </c>
      <c r="F954" s="275" t="str">
        <f>'Profits 2016'!P6167</f>
        <v>Priority</v>
      </c>
      <c r="G954" s="292">
        <f>'Profits 2016'!N6167-'Profits 2016'!M6167</f>
        <v>200</v>
      </c>
      <c r="H954" s="292">
        <v>0</v>
      </c>
      <c r="I954" s="275">
        <v>1065082</v>
      </c>
      <c r="J954" s="277">
        <v>42654</v>
      </c>
      <c r="K954" s="277">
        <v>42660</v>
      </c>
      <c r="L954" s="277">
        <v>42678</v>
      </c>
      <c r="M954" s="292">
        <v>200</v>
      </c>
      <c r="N954" s="281">
        <v>9340</v>
      </c>
      <c r="O954" s="236">
        <f>'Profits 2016'!T6167</f>
        <v>0</v>
      </c>
      <c r="P954" s="284" t="str">
        <f>'Profits 2016'!U6167</f>
        <v>614697968242, 614697968253</v>
      </c>
      <c r="Q954" s="284" t="s">
        <v>15740</v>
      </c>
      <c r="R954" s="276">
        <v>0</v>
      </c>
      <c r="S954" s="275">
        <v>1065082</v>
      </c>
      <c r="T954" s="277">
        <v>42654</v>
      </c>
      <c r="U954" s="277">
        <v>42660</v>
      </c>
      <c r="V954" s="279">
        <v>42678</v>
      </c>
      <c r="W954" s="293">
        <v>0</v>
      </c>
      <c r="X954" s="236">
        <v>9340</v>
      </c>
      <c r="AF954" s="276">
        <f t="shared" si="113"/>
        <v>200</v>
      </c>
      <c r="AG954" s="276">
        <f t="shared" si="107"/>
        <v>200</v>
      </c>
      <c r="AH954" s="276">
        <f t="shared" si="108"/>
        <v>-200</v>
      </c>
      <c r="AI954" s="283">
        <f t="shared" si="109"/>
        <v>-1</v>
      </c>
    </row>
    <row r="955" spans="1:35" ht="30" x14ac:dyDescent="0.25">
      <c r="A955" s="275">
        <f>'Profits 2016'!A6168</f>
        <v>3004858</v>
      </c>
      <c r="B955" s="279">
        <f>'Profits 2016'!B6168</f>
        <v>42654</v>
      </c>
      <c r="C955" s="276">
        <f>'Profits 2016'!H6168</f>
        <v>230</v>
      </c>
      <c r="D955" s="280">
        <f>'Profits 2016'!K6168</f>
        <v>204.63000000000002</v>
      </c>
      <c r="E955" s="276">
        <f>'Profits 2016'!L6168</f>
        <v>220</v>
      </c>
      <c r="F955" s="275" t="str">
        <f>'Profits 2016'!P6168</f>
        <v>Nassau</v>
      </c>
      <c r="G955" s="292">
        <f>'Profits 2016'!N6168-'Profits 2016'!M6168</f>
        <v>110</v>
      </c>
      <c r="H955" s="319"/>
      <c r="I955" s="320"/>
      <c r="J955" s="321"/>
      <c r="K955" s="321"/>
      <c r="L955" s="321"/>
      <c r="M955" s="319"/>
      <c r="N955" s="322"/>
      <c r="O955" s="236" t="str">
        <f>'Profits 2016'!T6168</f>
        <v>FEDEX GROUND</v>
      </c>
      <c r="P955" s="284" t="str">
        <f>'Profits 2016'!U6168</f>
        <v>702723289610</v>
      </c>
      <c r="Q955" s="284" t="s">
        <v>314</v>
      </c>
      <c r="R955" s="276">
        <v>16.43</v>
      </c>
      <c r="S955" s="275" t="s">
        <v>15805</v>
      </c>
      <c r="T955" s="279">
        <v>42667</v>
      </c>
      <c r="U955" s="279">
        <v>42670</v>
      </c>
      <c r="V955" s="279">
        <v>42678</v>
      </c>
      <c r="W955" s="293">
        <v>0</v>
      </c>
      <c r="X955" s="236">
        <v>9301</v>
      </c>
      <c r="AF955" s="276">
        <f t="shared" si="113"/>
        <v>126.43</v>
      </c>
      <c r="AG955" s="276">
        <f t="shared" si="107"/>
        <v>16.43</v>
      </c>
      <c r="AH955" s="276">
        <f t="shared" si="108"/>
        <v>188.20000000000002</v>
      </c>
      <c r="AI955" s="283">
        <f t="shared" si="109"/>
        <v>1.4885707506129875</v>
      </c>
    </row>
    <row r="956" spans="1:35" ht="30" x14ac:dyDescent="0.25">
      <c r="A956" s="275">
        <f>'Profits 2016'!A6169</f>
        <v>3004859</v>
      </c>
      <c r="B956" s="279">
        <f>'Profits 2016'!B6169</f>
        <v>42654</v>
      </c>
      <c r="C956" s="276">
        <f>'Profits 2016'!H6169</f>
        <v>460</v>
      </c>
      <c r="D956" s="280">
        <f>'Profits 2016'!K6169</f>
        <v>409.56</v>
      </c>
      <c r="E956" s="276">
        <f>'Profits 2016'!L6169</f>
        <v>1173</v>
      </c>
      <c r="F956" s="275" t="str">
        <f>'Profits 2016'!P6169</f>
        <v>Kalas</v>
      </c>
      <c r="G956" s="292">
        <f>'Profits 2016'!N6169-'Profits 2016'!M6169</f>
        <v>293.25</v>
      </c>
      <c r="H956" s="292">
        <v>0</v>
      </c>
      <c r="I956" s="275" t="s">
        <v>15864</v>
      </c>
      <c r="J956" s="277">
        <v>42655</v>
      </c>
      <c r="K956" s="277">
        <v>42662</v>
      </c>
      <c r="L956" s="277">
        <v>42664</v>
      </c>
      <c r="M956" s="292">
        <v>287.38</v>
      </c>
      <c r="N956" s="281">
        <v>9220</v>
      </c>
      <c r="O956" s="236" t="str">
        <f>'Profits 2016'!T6169</f>
        <v>UPS GROUND</v>
      </c>
      <c r="P956" s="284" t="str">
        <f>'Profits 2016'!U6169</f>
        <v>1Z16921X0399679163</v>
      </c>
      <c r="Q956" s="345"/>
      <c r="R956" s="342"/>
      <c r="S956" s="336"/>
      <c r="T956" s="341"/>
      <c r="U956" s="341"/>
      <c r="V956" s="341"/>
      <c r="W956" s="346"/>
      <c r="X956" s="344"/>
      <c r="AF956" s="276">
        <f t="shared" si="113"/>
        <v>293.25</v>
      </c>
      <c r="AG956" s="276">
        <f t="shared" si="107"/>
        <v>287.38</v>
      </c>
      <c r="AH956" s="276">
        <f t="shared" si="108"/>
        <v>122.18</v>
      </c>
      <c r="AI956" s="283">
        <f t="shared" si="109"/>
        <v>0.41664109121909637</v>
      </c>
    </row>
    <row r="957" spans="1:35" ht="30" x14ac:dyDescent="0.25">
      <c r="A957" s="275">
        <f>'Profits 2016'!A6170</f>
        <v>3004860</v>
      </c>
      <c r="B957" s="279">
        <f>'Profits 2016'!B6170</f>
        <v>42654</v>
      </c>
      <c r="C957" s="276">
        <f>'Profits 2016'!H6170</f>
        <v>227.7</v>
      </c>
      <c r="D957" s="280">
        <f>'Profits 2016'!K6170</f>
        <v>202.58070000000001</v>
      </c>
      <c r="E957" s="276">
        <f>'Profits 2016'!L6170</f>
        <v>0</v>
      </c>
      <c r="F957" s="275" t="str">
        <f>'Profits 2016'!P6170</f>
        <v>Nassau</v>
      </c>
      <c r="G957" s="292">
        <f>'Profits 2016'!N6170-'Profits 2016'!M6170</f>
        <v>0</v>
      </c>
      <c r="H957" s="319"/>
      <c r="I957" s="320"/>
      <c r="J957" s="321"/>
      <c r="K957" s="321"/>
      <c r="L957" s="321"/>
      <c r="M957" s="319"/>
      <c r="N957" s="322"/>
      <c r="O957" s="236" t="str">
        <f>'Profits 2016'!T6170</f>
        <v>FEDEX GROUND</v>
      </c>
      <c r="P957" s="284" t="str">
        <f>'Profits 2016'!U6170</f>
        <v>702723289653</v>
      </c>
      <c r="Q957" s="284" t="s">
        <v>314</v>
      </c>
      <c r="R957" s="276">
        <v>25.97</v>
      </c>
      <c r="S957" s="275" t="s">
        <v>15805</v>
      </c>
      <c r="T957" s="279">
        <v>42667</v>
      </c>
      <c r="U957" s="279">
        <v>42670</v>
      </c>
      <c r="V957" s="279">
        <v>42678</v>
      </c>
      <c r="W957" s="293">
        <v>0</v>
      </c>
      <c r="X957" s="236">
        <v>9301</v>
      </c>
      <c r="AF957" s="276">
        <f t="shared" si="113"/>
        <v>25.97</v>
      </c>
      <c r="AG957" s="276">
        <f t="shared" si="107"/>
        <v>25.97</v>
      </c>
      <c r="AH957" s="276">
        <f t="shared" si="108"/>
        <v>176.61070000000001</v>
      </c>
      <c r="AI957" s="283">
        <f t="shared" si="109"/>
        <v>6.8005660377358499</v>
      </c>
    </row>
    <row r="958" spans="1:35" ht="30" x14ac:dyDescent="0.25">
      <c r="A958" s="275">
        <f>'Profits 2016'!A6171</f>
        <v>3004861</v>
      </c>
      <c r="B958" s="279">
        <f>'Profits 2016'!B6171</f>
        <v>42654</v>
      </c>
      <c r="C958" s="276">
        <f>'Profits 2016'!H6171</f>
        <v>314.86</v>
      </c>
      <c r="D958" s="280">
        <f>'Profits 2016'!K6171</f>
        <v>280.24026000000003</v>
      </c>
      <c r="E958" s="276">
        <f>'Profits 2016'!L6171</f>
        <v>375</v>
      </c>
      <c r="F958" s="275" t="str">
        <f>'Profits 2016'!P6171</f>
        <v>Nassau</v>
      </c>
      <c r="G958" s="292">
        <f>'Profits 2016'!N6171-'Profits 2016'!M6171</f>
        <v>131.25</v>
      </c>
      <c r="H958" s="319"/>
      <c r="I958" s="320"/>
      <c r="J958" s="321"/>
      <c r="K958" s="321"/>
      <c r="L958" s="321"/>
      <c r="M958" s="319"/>
      <c r="N958" s="322"/>
      <c r="O958" s="236" t="str">
        <f>'Profits 2016'!T6171</f>
        <v>FEDEX GROUND</v>
      </c>
      <c r="P958" s="284" t="str">
        <f>'Profits 2016'!U6171</f>
        <v>702723289609</v>
      </c>
      <c r="Q958" s="284" t="s">
        <v>314</v>
      </c>
      <c r="R958" s="276">
        <v>41.94</v>
      </c>
      <c r="S958" s="275" t="s">
        <v>15805</v>
      </c>
      <c r="T958" s="279">
        <v>42667</v>
      </c>
      <c r="U958" s="279">
        <v>42670</v>
      </c>
      <c r="V958" s="279">
        <v>42678</v>
      </c>
      <c r="W958" s="293">
        <v>0</v>
      </c>
      <c r="X958" s="236">
        <v>9301</v>
      </c>
      <c r="AF958" s="276">
        <f t="shared" si="113"/>
        <v>173.19</v>
      </c>
      <c r="AG958" s="276">
        <f t="shared" si="107"/>
        <v>41.94</v>
      </c>
      <c r="AH958" s="276">
        <f t="shared" si="108"/>
        <v>238.30026000000004</v>
      </c>
      <c r="AI958" s="283">
        <f t="shared" si="109"/>
        <v>1.3759469946301752</v>
      </c>
    </row>
    <row r="959" spans="1:35" ht="30" x14ac:dyDescent="0.25">
      <c r="A959" s="275">
        <f>'Profits 2016'!A6172</f>
        <v>3004862</v>
      </c>
      <c r="B959" s="279">
        <f>'Profits 2016'!B6172</f>
        <v>42654</v>
      </c>
      <c r="C959" s="276">
        <f>'Profits 2016'!H6172</f>
        <v>120.54</v>
      </c>
      <c r="D959" s="280">
        <f>'Profits 2016'!K6172</f>
        <v>107.10114</v>
      </c>
      <c r="E959" s="276">
        <f>'Profits 2016'!L6172</f>
        <v>1180</v>
      </c>
      <c r="F959" s="275" t="str">
        <f>'Profits 2016'!P6172</f>
        <v>Direct</v>
      </c>
      <c r="G959" s="292">
        <f>'Profits 2016'!N6172-'Profits 2016'!M6172</f>
        <v>59.000000000000007</v>
      </c>
      <c r="H959" s="292">
        <v>0</v>
      </c>
      <c r="I959" s="275">
        <v>74349</v>
      </c>
      <c r="J959" s="277">
        <v>42656</v>
      </c>
      <c r="K959" s="277">
        <v>42670</v>
      </c>
      <c r="L959" s="277">
        <v>42671</v>
      </c>
      <c r="M959" s="292">
        <v>57.82</v>
      </c>
      <c r="N959" s="281">
        <v>9263</v>
      </c>
      <c r="O959" s="236" t="str">
        <f>'Profits 2016'!T6172</f>
        <v>FEDEX GROUND</v>
      </c>
      <c r="P959" s="284" t="str">
        <f>'Profits 2016'!U6172</f>
        <v>639794969783</v>
      </c>
      <c r="Q959" s="284" t="s">
        <v>314</v>
      </c>
      <c r="R959" s="276">
        <v>11.62</v>
      </c>
      <c r="S959" s="275" t="s">
        <v>15805</v>
      </c>
      <c r="T959" s="279">
        <v>42667</v>
      </c>
      <c r="U959" s="279">
        <v>42670</v>
      </c>
      <c r="V959" s="279">
        <v>42678</v>
      </c>
      <c r="W959" s="293">
        <v>0</v>
      </c>
      <c r="X959" s="236">
        <v>9301</v>
      </c>
      <c r="AF959" s="276">
        <f t="shared" si="113"/>
        <v>70.62</v>
      </c>
      <c r="AG959" s="276">
        <f t="shared" si="107"/>
        <v>69.44</v>
      </c>
      <c r="AH959" s="276">
        <f t="shared" si="108"/>
        <v>37.661140000000003</v>
      </c>
      <c r="AI959" s="283">
        <f t="shared" si="109"/>
        <v>0.53329283489096579</v>
      </c>
    </row>
    <row r="960" spans="1:35" ht="30" x14ac:dyDescent="0.25">
      <c r="A960" s="275">
        <f>'Profits 2016'!A6173</f>
        <v>3004863</v>
      </c>
      <c r="B960" s="279">
        <f>'Profits 2016'!B6173</f>
        <v>42654</v>
      </c>
      <c r="C960" s="276">
        <f>'Profits 2016'!H6173</f>
        <v>460.71</v>
      </c>
      <c r="D960" s="280">
        <f>'Profits 2016'!K6173</f>
        <v>410.19260999999995</v>
      </c>
      <c r="E960" s="276">
        <f>'Profits 2016'!L6173</f>
        <v>595</v>
      </c>
      <c r="F960" s="275" t="str">
        <f>'Profits 2016'!P6173</f>
        <v>Nassau</v>
      </c>
      <c r="G960" s="292">
        <f>'Profits 2016'!N6173-'Profits 2016'!M6173</f>
        <v>193.375</v>
      </c>
      <c r="H960" s="319"/>
      <c r="I960" s="320"/>
      <c r="J960" s="321"/>
      <c r="K960" s="321"/>
      <c r="L960" s="321"/>
      <c r="M960" s="319"/>
      <c r="N960" s="322"/>
      <c r="O960" s="236" t="str">
        <f>'Profits 2016'!T6173</f>
        <v>FEDEX GROUND</v>
      </c>
      <c r="P960" s="284" t="str">
        <f>'Profits 2016'!U6173</f>
        <v>702723289675</v>
      </c>
      <c r="Q960" s="284" t="s">
        <v>314</v>
      </c>
      <c r="R960" s="276">
        <v>54.9</v>
      </c>
      <c r="S960" s="275" t="s">
        <v>15805</v>
      </c>
      <c r="T960" s="279">
        <v>42667</v>
      </c>
      <c r="U960" s="279">
        <v>42670</v>
      </c>
      <c r="V960" s="279">
        <v>42678</v>
      </c>
      <c r="W960" s="293">
        <v>0</v>
      </c>
      <c r="X960" s="236">
        <v>9301</v>
      </c>
      <c r="AF960" s="276">
        <f t="shared" si="113"/>
        <v>248.27500000000001</v>
      </c>
      <c r="AG960" s="276">
        <f t="shared" si="107"/>
        <v>54.9</v>
      </c>
      <c r="AH960" s="276">
        <f t="shared" si="108"/>
        <v>355.29260999999997</v>
      </c>
      <c r="AI960" s="283">
        <f t="shared" si="109"/>
        <v>1.4310446480716945</v>
      </c>
    </row>
    <row r="961" spans="1:35" ht="30" x14ac:dyDescent="0.25">
      <c r="A961" s="275">
        <f>'Profits 2016'!A6174</f>
        <v>3004864</v>
      </c>
      <c r="B961" s="279">
        <f>'Profits 2016'!B6174</f>
        <v>42654</v>
      </c>
      <c r="C961" s="276">
        <f>'Profits 2016'!H6174</f>
        <v>351.9</v>
      </c>
      <c r="D961" s="280">
        <f>'Profits 2016'!K6174</f>
        <v>313.24289999999996</v>
      </c>
      <c r="E961" s="276">
        <f>'Profits 2016'!L6174</f>
        <v>375</v>
      </c>
      <c r="F961" s="275" t="str">
        <f>'Profits 2016'!P6174</f>
        <v>Nassau</v>
      </c>
      <c r="G961" s="292">
        <f>'Profits 2016'!N6174-'Profits 2016'!M6174</f>
        <v>123.75</v>
      </c>
      <c r="H961" s="319"/>
      <c r="I961" s="320"/>
      <c r="J961" s="321"/>
      <c r="K961" s="321"/>
      <c r="L961" s="321"/>
      <c r="M961" s="319"/>
      <c r="N961" s="322"/>
      <c r="O961" s="236" t="str">
        <f>'Profits 2016'!T6174</f>
        <v>FEDEX GROUND</v>
      </c>
      <c r="P961" s="284" t="str">
        <f>'Profits 2016'!U6174</f>
        <v>702723289594</v>
      </c>
      <c r="Q961" s="284" t="s">
        <v>314</v>
      </c>
      <c r="R961" s="276">
        <v>53.93</v>
      </c>
      <c r="S961" s="275" t="s">
        <v>15805</v>
      </c>
      <c r="T961" s="279">
        <v>42667</v>
      </c>
      <c r="U961" s="279">
        <v>42670</v>
      </c>
      <c r="V961" s="279">
        <v>42678</v>
      </c>
      <c r="W961" s="293">
        <v>0</v>
      </c>
      <c r="X961" s="236">
        <v>9301</v>
      </c>
      <c r="AF961" s="276">
        <f t="shared" si="113"/>
        <v>177.68</v>
      </c>
      <c r="AG961" s="276">
        <f t="shared" si="107"/>
        <v>53.93</v>
      </c>
      <c r="AH961" s="276">
        <f t="shared" si="108"/>
        <v>259.31289999999996</v>
      </c>
      <c r="AI961" s="283">
        <f t="shared" si="109"/>
        <v>1.459437753264295</v>
      </c>
    </row>
    <row r="962" spans="1:35" ht="30" x14ac:dyDescent="0.25">
      <c r="A962" s="275">
        <f>'Profits 2016'!A6175</f>
        <v>3004865</v>
      </c>
      <c r="B962" s="279">
        <f>'Profits 2016'!B6175</f>
        <v>42654</v>
      </c>
      <c r="C962" s="276">
        <f>'Profits 2016'!H6175</f>
        <v>460.85</v>
      </c>
      <c r="D962" s="280">
        <f>'Profits 2016'!K6175</f>
        <v>410.31735000000003</v>
      </c>
      <c r="E962" s="276">
        <f>'Profits 2016'!L6175</f>
        <v>695</v>
      </c>
      <c r="F962" s="275" t="str">
        <f>'Profits 2016'!P6175</f>
        <v>Nassau</v>
      </c>
      <c r="G962" s="292">
        <f>'Profits 2016'!N6175-'Profits 2016'!M6175</f>
        <v>173.75</v>
      </c>
      <c r="H962" s="319"/>
      <c r="I962" s="320"/>
      <c r="J962" s="321"/>
      <c r="K962" s="321"/>
      <c r="L962" s="321"/>
      <c r="M962" s="319"/>
      <c r="N962" s="322"/>
      <c r="O962" s="236" t="str">
        <f>'Profits 2016'!T6175</f>
        <v>FEDEX GROUND</v>
      </c>
      <c r="P962" s="284" t="str">
        <f>'Profits 2016'!U6175</f>
        <v>702723289620</v>
      </c>
      <c r="Q962" s="284" t="s">
        <v>314</v>
      </c>
      <c r="R962" s="276">
        <v>40.9</v>
      </c>
      <c r="S962" s="275" t="s">
        <v>15805</v>
      </c>
      <c r="T962" s="279">
        <v>42667</v>
      </c>
      <c r="U962" s="279">
        <v>42670</v>
      </c>
      <c r="V962" s="279">
        <v>42678</v>
      </c>
      <c r="W962" s="293">
        <v>0</v>
      </c>
      <c r="X962" s="236">
        <v>9301</v>
      </c>
      <c r="AF962" s="276">
        <f t="shared" si="113"/>
        <v>214.65</v>
      </c>
      <c r="AG962" s="276">
        <f t="shared" si="107"/>
        <v>40.9</v>
      </c>
      <c r="AH962" s="276">
        <f t="shared" si="108"/>
        <v>369.41735000000006</v>
      </c>
      <c r="AI962" s="283">
        <f t="shared" si="109"/>
        <v>1.7210218961099466</v>
      </c>
    </row>
    <row r="963" spans="1:35" ht="30" x14ac:dyDescent="0.25">
      <c r="A963" s="275">
        <f>'Profits 2016'!A6176</f>
        <v>3004866</v>
      </c>
      <c r="B963" s="279">
        <f>'Profits 2016'!B6176</f>
        <v>42654</v>
      </c>
      <c r="C963" s="276">
        <f>'Profits 2016'!H6176</f>
        <v>104.16</v>
      </c>
      <c r="D963" s="280">
        <f>'Profits 2016'!K6176</f>
        <v>92.506560000000007</v>
      </c>
      <c r="E963" s="276">
        <f>'Profits 2016'!L6176</f>
        <v>660</v>
      </c>
      <c r="F963" s="275" t="str">
        <f>'Profits 2016'!P6176</f>
        <v>Houston</v>
      </c>
      <c r="G963" s="292">
        <f>'Profits 2016'!N6176-'Profits 2016'!M6176</f>
        <v>66</v>
      </c>
      <c r="H963" s="292">
        <v>0</v>
      </c>
      <c r="I963" s="275">
        <v>30910025</v>
      </c>
      <c r="J963" s="277">
        <v>42654</v>
      </c>
      <c r="K963" s="277">
        <v>42660</v>
      </c>
      <c r="O963" s="236" t="str">
        <f>'Profits 2016'!T6176</f>
        <v>FEDEX GROUND</v>
      </c>
      <c r="P963" s="284" t="str">
        <f>'Profits 2016'!U6176</f>
        <v>543369481962</v>
      </c>
      <c r="Q963" s="284" t="s">
        <v>314</v>
      </c>
      <c r="R963" s="276">
        <v>31.09</v>
      </c>
      <c r="S963" s="275" t="s">
        <v>15805</v>
      </c>
      <c r="T963" s="279">
        <v>42667</v>
      </c>
      <c r="U963" s="279">
        <v>42670</v>
      </c>
      <c r="V963" s="279">
        <v>42678</v>
      </c>
      <c r="W963" s="293">
        <v>0</v>
      </c>
      <c r="X963" s="236">
        <v>9301</v>
      </c>
      <c r="AF963" s="276">
        <f t="shared" si="113"/>
        <v>97.09</v>
      </c>
      <c r="AG963" s="276">
        <f t="shared" si="107"/>
        <v>31.09</v>
      </c>
      <c r="AH963" s="276">
        <f t="shared" si="108"/>
        <v>61.416560000000004</v>
      </c>
      <c r="AI963" s="283">
        <f t="shared" si="109"/>
        <v>0.63257348851581008</v>
      </c>
    </row>
    <row r="964" spans="1:35" x14ac:dyDescent="0.25">
      <c r="A964" s="275">
        <f>'Profits 2016'!A6177</f>
        <v>3004867</v>
      </c>
      <c r="B964" s="279">
        <f>'Profits 2016'!B6177</f>
        <v>42654</v>
      </c>
      <c r="C964" s="276">
        <f>'Profits 2016'!H6177</f>
        <v>841.44</v>
      </c>
      <c r="D964" s="280">
        <f>'Profits 2016'!K6177</f>
        <v>715.22400000000005</v>
      </c>
      <c r="E964" s="276">
        <f>'Profits 2016'!L6177</f>
        <v>0</v>
      </c>
      <c r="F964" s="275" t="str">
        <f>'Profits 2016'!P6177</f>
        <v>Nassau</v>
      </c>
      <c r="G964" s="292">
        <f>'Profits 2016'!N6177-'Profits 2016'!M6177</f>
        <v>0</v>
      </c>
      <c r="H964" s="319"/>
      <c r="I964" s="320"/>
      <c r="J964" s="321"/>
      <c r="K964" s="321"/>
      <c r="L964" s="321"/>
      <c r="M964" s="319"/>
      <c r="N964" s="322"/>
      <c r="O964" s="236" t="str">
        <f>'Profits 2016'!T6177</f>
        <v>XPO/DLS</v>
      </c>
      <c r="P964" s="284" t="str">
        <f>'Profits 2016'!U6177</f>
        <v>284-722830</v>
      </c>
      <c r="Q964" s="284" t="s">
        <v>15804</v>
      </c>
      <c r="R964" s="276">
        <v>115.35</v>
      </c>
      <c r="S964" s="275">
        <v>636847025</v>
      </c>
      <c r="T964" s="279">
        <v>42660</v>
      </c>
      <c r="U964" s="279">
        <v>42667</v>
      </c>
      <c r="V964" s="279">
        <v>42671</v>
      </c>
      <c r="W964" s="293">
        <v>115.35</v>
      </c>
      <c r="X964" s="236">
        <v>9262</v>
      </c>
      <c r="AF964" s="276">
        <f t="shared" si="113"/>
        <v>115.35</v>
      </c>
      <c r="AG964" s="276">
        <f t="shared" si="107"/>
        <v>115.35</v>
      </c>
      <c r="AH964" s="276">
        <f t="shared" si="108"/>
        <v>599.87400000000002</v>
      </c>
      <c r="AI964" s="283">
        <f t="shared" si="109"/>
        <v>5.2004681404421333</v>
      </c>
    </row>
    <row r="965" spans="1:35" ht="30" x14ac:dyDescent="0.25">
      <c r="A965" s="275">
        <f>'Profits 2016'!A6178</f>
        <v>3004868</v>
      </c>
      <c r="B965" s="279">
        <f>'Profits 2016'!B6178</f>
        <v>42654</v>
      </c>
      <c r="C965" s="276">
        <f>'Profits 2016'!H6178</f>
        <v>313.60000000000002</v>
      </c>
      <c r="D965" s="280">
        <f>'Profits 2016'!K6178</f>
        <v>266.56</v>
      </c>
      <c r="E965" s="276">
        <f>'Profits 2016'!L6178</f>
        <v>450</v>
      </c>
      <c r="F965" s="275" t="str">
        <f>'Profits 2016'!P6178</f>
        <v>Direct</v>
      </c>
      <c r="G965" s="292">
        <f>'Profits 2016'!N6178-'Profits 2016'!M6178</f>
        <v>90</v>
      </c>
      <c r="H965" s="292">
        <v>0</v>
      </c>
      <c r="I965" s="275">
        <v>74350</v>
      </c>
      <c r="J965" s="277">
        <v>42656</v>
      </c>
      <c r="K965" s="277">
        <v>42670</v>
      </c>
      <c r="L965" s="277">
        <v>42671</v>
      </c>
      <c r="M965" s="292">
        <v>178.36</v>
      </c>
      <c r="N965" s="281">
        <v>9273</v>
      </c>
      <c r="O965" s="236" t="str">
        <f>'Profits 2016'!T6178</f>
        <v>FEDEX GROUND</v>
      </c>
      <c r="P965" s="284" t="str">
        <f>'Profits 2016'!U6178</f>
        <v>639794969809</v>
      </c>
      <c r="Q965" s="284" t="s">
        <v>314</v>
      </c>
      <c r="R965" s="276">
        <v>25.23</v>
      </c>
      <c r="S965" s="275" t="s">
        <v>15793</v>
      </c>
      <c r="T965" s="279">
        <v>42674</v>
      </c>
      <c r="U965" s="279">
        <v>42681</v>
      </c>
      <c r="V965" s="279">
        <v>42685</v>
      </c>
      <c r="W965" s="293">
        <v>0</v>
      </c>
      <c r="X965" s="236">
        <v>9399</v>
      </c>
      <c r="AF965" s="276">
        <f t="shared" si="113"/>
        <v>115.23</v>
      </c>
      <c r="AG965" s="276">
        <f t="shared" ref="AG965:AG1028" si="114">M965+R965+Y965</f>
        <v>203.59</v>
      </c>
      <c r="AH965" s="276">
        <f t="shared" ref="AH965:AH1028" si="115">D965-AG965</f>
        <v>62.97</v>
      </c>
      <c r="AI965" s="283">
        <f t="shared" ref="AI965:AI1028" si="116">AH965/AF965</f>
        <v>0.54647227284561306</v>
      </c>
    </row>
    <row r="966" spans="1:35" x14ac:dyDescent="0.25">
      <c r="A966" s="275">
        <f>'Profits 2016'!A6179</f>
        <v>0</v>
      </c>
      <c r="B966" s="279">
        <f>'Profits 2016'!B6179</f>
        <v>0</v>
      </c>
      <c r="C966" s="276">
        <f>'Profits 2016'!H6179</f>
        <v>0</v>
      </c>
      <c r="D966" s="280">
        <f>'Profits 2016'!K6179</f>
        <v>0</v>
      </c>
      <c r="E966" s="276">
        <f>'Profits 2016'!L6179</f>
        <v>460</v>
      </c>
      <c r="F966" s="275" t="str">
        <f>'Profits 2016'!P6179</f>
        <v>Direct</v>
      </c>
      <c r="G966" s="292">
        <f>'Profits 2016'!N6179-'Profits 2016'!M6179</f>
        <v>92</v>
      </c>
      <c r="H966" s="292">
        <v>0</v>
      </c>
      <c r="I966" s="275">
        <v>74350</v>
      </c>
      <c r="J966" s="277">
        <v>42656</v>
      </c>
      <c r="K966" s="277">
        <v>42670</v>
      </c>
      <c r="L966" s="277">
        <v>42671</v>
      </c>
      <c r="M966" s="292">
        <v>0</v>
      </c>
      <c r="N966" s="281">
        <v>9273</v>
      </c>
      <c r="O966" s="236">
        <f>'Profits 2016'!T6179</f>
        <v>0</v>
      </c>
      <c r="P966" s="284">
        <f>'Profits 2016'!U6179</f>
        <v>639794969810</v>
      </c>
      <c r="Q966" s="284" t="s">
        <v>314</v>
      </c>
      <c r="R966" s="276">
        <v>25.23</v>
      </c>
      <c r="S966" s="275" t="s">
        <v>15793</v>
      </c>
      <c r="T966" s="279">
        <v>42674</v>
      </c>
      <c r="U966" s="279">
        <v>42681</v>
      </c>
      <c r="V966" s="279">
        <v>42685</v>
      </c>
      <c r="W966" s="293">
        <v>0</v>
      </c>
      <c r="X966" s="236">
        <v>9399</v>
      </c>
      <c r="AF966" s="276">
        <f t="shared" si="113"/>
        <v>117.23</v>
      </c>
      <c r="AG966" s="276">
        <f t="shared" si="114"/>
        <v>25.23</v>
      </c>
      <c r="AH966" s="276">
        <f t="shared" si="115"/>
        <v>-25.23</v>
      </c>
      <c r="AI966" s="283">
        <f t="shared" si="116"/>
        <v>-0.21521794762432825</v>
      </c>
    </row>
    <row r="967" spans="1:35" ht="30" x14ac:dyDescent="0.25">
      <c r="A967" s="275">
        <f>'Profits 2016'!A6180</f>
        <v>3004869</v>
      </c>
      <c r="B967" s="279">
        <f>'Profits 2016'!B6180</f>
        <v>42654</v>
      </c>
      <c r="C967" s="276">
        <f>'Profits 2016'!H6180</f>
        <v>159</v>
      </c>
      <c r="D967" s="280">
        <f>'Profits 2016'!K6180</f>
        <v>135.15</v>
      </c>
      <c r="E967" s="276">
        <f>'Profits 2016'!L6180</f>
        <v>450</v>
      </c>
      <c r="F967" s="275" t="str">
        <f>'Profits 2016'!P6180</f>
        <v>Direct</v>
      </c>
      <c r="G967" s="292">
        <f>'Profits 2016'!N6180-'Profits 2016'!M6180</f>
        <v>45</v>
      </c>
      <c r="H967" s="292">
        <v>0</v>
      </c>
      <c r="I967" s="275">
        <v>74265</v>
      </c>
      <c r="J967" s="277">
        <v>42655</v>
      </c>
      <c r="K967" s="277">
        <v>42660</v>
      </c>
      <c r="L967" s="277">
        <v>42664</v>
      </c>
      <c r="M967" s="292">
        <v>89.18</v>
      </c>
      <c r="N967" s="281">
        <v>9212</v>
      </c>
      <c r="O967" s="236" t="str">
        <f>'Profits 2016'!T6180</f>
        <v>FEDEX GROUND</v>
      </c>
      <c r="P967" s="284" t="str">
        <f>'Profits 2016'!U6180</f>
        <v>642286529224</v>
      </c>
      <c r="Q967" s="284" t="s">
        <v>314</v>
      </c>
      <c r="R967" s="276">
        <v>23.28</v>
      </c>
      <c r="S967" s="275" t="s">
        <v>15793</v>
      </c>
      <c r="T967" s="279">
        <v>42674</v>
      </c>
      <c r="U967" s="279">
        <v>42681</v>
      </c>
      <c r="V967" s="279">
        <v>42685</v>
      </c>
      <c r="W967" s="293">
        <v>0</v>
      </c>
      <c r="X967" s="236">
        <v>9399</v>
      </c>
      <c r="AF967" s="276">
        <f t="shared" si="113"/>
        <v>68.28</v>
      </c>
      <c r="AG967" s="276">
        <f t="shared" si="114"/>
        <v>112.46000000000001</v>
      </c>
      <c r="AH967" s="276">
        <f t="shared" si="115"/>
        <v>22.689999999999998</v>
      </c>
      <c r="AI967" s="283">
        <f t="shared" si="116"/>
        <v>0.33230814294083183</v>
      </c>
    </row>
    <row r="968" spans="1:35" x14ac:dyDescent="0.25">
      <c r="A968" s="275">
        <f>'Profits 2016'!A6181</f>
        <v>0</v>
      </c>
      <c r="B968" s="279">
        <f>'Profits 2016'!B6181</f>
        <v>0</v>
      </c>
      <c r="C968" s="276">
        <f>'Profits 2016'!H6181</f>
        <v>0</v>
      </c>
      <c r="D968" s="280">
        <f>'Profits 2016'!K6181</f>
        <v>0</v>
      </c>
      <c r="E968" s="276">
        <f>'Profits 2016'!L6181</f>
        <v>460</v>
      </c>
      <c r="F968" s="275" t="str">
        <f>'Profits 2016'!P6181</f>
        <v>Direct</v>
      </c>
      <c r="G968" s="292">
        <f>'Profits 2016'!N6181-'Profits 2016'!M6181</f>
        <v>46</v>
      </c>
      <c r="H968" s="292">
        <v>0</v>
      </c>
      <c r="I968" s="275">
        <v>74265</v>
      </c>
      <c r="J968" s="277">
        <v>42655</v>
      </c>
      <c r="K968" s="277">
        <v>42660</v>
      </c>
      <c r="L968" s="277">
        <v>42664</v>
      </c>
      <c r="M968" s="292">
        <v>0</v>
      </c>
      <c r="N968" s="281">
        <v>9212</v>
      </c>
      <c r="O968" s="236">
        <f>'Profits 2016'!T6181</f>
        <v>0</v>
      </c>
      <c r="P968" s="284">
        <f>'Profits 2016'!U6181</f>
        <v>0</v>
      </c>
      <c r="Q968" s="284" t="s">
        <v>314</v>
      </c>
      <c r="R968" s="276">
        <v>0</v>
      </c>
      <c r="S968" s="275" t="s">
        <v>15793</v>
      </c>
      <c r="T968" s="279">
        <v>42674</v>
      </c>
      <c r="U968" s="279">
        <v>42681</v>
      </c>
      <c r="V968" s="279">
        <v>42685</v>
      </c>
      <c r="W968" s="293">
        <v>0</v>
      </c>
      <c r="X968" s="236">
        <v>9399</v>
      </c>
      <c r="AF968" s="276">
        <f t="shared" si="113"/>
        <v>46</v>
      </c>
      <c r="AG968" s="276">
        <f t="shared" si="114"/>
        <v>0</v>
      </c>
      <c r="AH968" s="276">
        <f t="shared" si="115"/>
        <v>0</v>
      </c>
      <c r="AI968" s="283">
        <f t="shared" si="116"/>
        <v>0</v>
      </c>
    </row>
    <row r="969" spans="1:35" ht="30" x14ac:dyDescent="0.25">
      <c r="A969" s="275">
        <f>'Profits 2016'!A6182</f>
        <v>3004870</v>
      </c>
      <c r="B969" s="279">
        <f>'Profits 2016'!B6182</f>
        <v>42654</v>
      </c>
      <c r="C969" s="276">
        <f>'Profits 2016'!H6182</f>
        <v>187.36</v>
      </c>
      <c r="D969" s="280">
        <f>'Profits 2016'!K6182</f>
        <v>159.256</v>
      </c>
      <c r="E969" s="276">
        <f>'Profits 2016'!L6182</f>
        <v>622.45000000000005</v>
      </c>
      <c r="F969" s="275" t="str">
        <f>'Profits 2016'!P6182</f>
        <v>Nassau</v>
      </c>
      <c r="G969" s="292">
        <f>'Profits 2016'!N6182-'Profits 2016'!M6182</f>
        <v>93.367500000000007</v>
      </c>
      <c r="H969" s="319"/>
      <c r="I969" s="320"/>
      <c r="J969" s="321"/>
      <c r="K969" s="321"/>
      <c r="L969" s="321"/>
      <c r="M969" s="319"/>
      <c r="N969" s="322"/>
      <c r="O969" s="236" t="str">
        <f>'Profits 2016'!T6182</f>
        <v>FEDEX GROUND</v>
      </c>
      <c r="P969" s="284" t="str">
        <f>'Profits 2016'!U6182</f>
        <v>702723289701</v>
      </c>
      <c r="Q969" s="284" t="s">
        <v>314</v>
      </c>
      <c r="R969" s="276">
        <v>33.11</v>
      </c>
      <c r="S969" s="275" t="s">
        <v>15805</v>
      </c>
      <c r="T969" s="279">
        <v>42667</v>
      </c>
      <c r="U969" s="279">
        <v>42670</v>
      </c>
      <c r="V969" s="279">
        <v>42678</v>
      </c>
      <c r="W969" s="293">
        <v>0</v>
      </c>
      <c r="X969" s="236">
        <v>9301</v>
      </c>
      <c r="AF969" s="276">
        <f t="shared" si="113"/>
        <v>126.47750000000001</v>
      </c>
      <c r="AG969" s="276">
        <f t="shared" si="114"/>
        <v>33.11</v>
      </c>
      <c r="AH969" s="276">
        <f t="shared" si="115"/>
        <v>126.146</v>
      </c>
      <c r="AI969" s="283">
        <f t="shared" si="116"/>
        <v>0.99737898045106832</v>
      </c>
    </row>
    <row r="970" spans="1:35" x14ac:dyDescent="0.25">
      <c r="A970" s="275">
        <f>'Profits 2016'!A6183</f>
        <v>3004871</v>
      </c>
      <c r="B970" s="279">
        <f>'Profits 2016'!B6183</f>
        <v>42654</v>
      </c>
      <c r="C970" s="276">
        <f>'Profits 2016'!H6183</f>
        <v>4202.5</v>
      </c>
      <c r="D970" s="280">
        <f>'Profits 2016'!K6183</f>
        <v>4109.7449999999999</v>
      </c>
      <c r="E970" s="276">
        <f>'Profits 2016'!L6183</f>
        <v>11300</v>
      </c>
      <c r="F970" s="275" t="str">
        <f>'Profits 2016'!P6183</f>
        <v>Southwire</v>
      </c>
      <c r="G970" s="292">
        <f>'Profits 2016'!N6183-'Profits 2016'!M6183</f>
        <v>2825</v>
      </c>
      <c r="H970" s="292">
        <v>0</v>
      </c>
      <c r="I970" s="275">
        <v>90997477</v>
      </c>
      <c r="J970" s="277">
        <v>42661</v>
      </c>
      <c r="K970" s="277">
        <v>42667</v>
      </c>
      <c r="L970" s="277">
        <v>42678</v>
      </c>
      <c r="M970" s="292">
        <v>2768.5</v>
      </c>
      <c r="N970" s="281">
        <v>9354</v>
      </c>
      <c r="O970" s="236" t="str">
        <f>'Profits 2016'!T6183</f>
        <v>YRC</v>
      </c>
      <c r="P970" s="284" t="str">
        <f>'Profits 2016'!U6183</f>
        <v>4958217990</v>
      </c>
      <c r="Q970" s="345"/>
      <c r="R970" s="342"/>
      <c r="S970" s="336"/>
      <c r="T970" s="341"/>
      <c r="U970" s="341"/>
      <c r="V970" s="341"/>
      <c r="W970" s="346"/>
      <c r="X970" s="344"/>
      <c r="AF970" s="276">
        <f t="shared" si="113"/>
        <v>2825</v>
      </c>
      <c r="AG970" s="276">
        <f t="shared" si="114"/>
        <v>2768.5</v>
      </c>
      <c r="AH970" s="276">
        <f t="shared" si="115"/>
        <v>1341.2449999999999</v>
      </c>
      <c r="AI970" s="283">
        <f t="shared" si="116"/>
        <v>0.47477699115044242</v>
      </c>
    </row>
    <row r="971" spans="1:35" x14ac:dyDescent="0.25">
      <c r="A971" s="275">
        <f>'Profits 2016'!A6184</f>
        <v>3004872</v>
      </c>
      <c r="B971" s="279">
        <f>'Profits 2016'!B6184</f>
        <v>42654</v>
      </c>
      <c r="C971" s="276">
        <f>'Profits 2016'!H6184</f>
        <v>363</v>
      </c>
      <c r="D971" s="280">
        <f>'Profits 2016'!K6184</f>
        <v>350.90249999999997</v>
      </c>
      <c r="E971" s="276">
        <f>'Profits 2016'!L6184</f>
        <v>0</v>
      </c>
      <c r="F971" s="275" t="str">
        <f>'Profits 2016'!P6184</f>
        <v>NA</v>
      </c>
      <c r="G971" s="292">
        <f>'Profits 2016'!N6184-'Profits 2016'!M6184</f>
        <v>0</v>
      </c>
      <c r="O971" s="236">
        <f>'Profits 2016'!T6184</f>
        <v>0</v>
      </c>
      <c r="P971" s="284">
        <f>'Profits 2016'!U6184</f>
        <v>0</v>
      </c>
      <c r="AF971" s="276">
        <f t="shared" si="113"/>
        <v>0</v>
      </c>
      <c r="AG971" s="276">
        <f t="shared" si="114"/>
        <v>0</v>
      </c>
      <c r="AH971" s="276">
        <f t="shared" si="115"/>
        <v>350.90249999999997</v>
      </c>
      <c r="AI971" s="283" t="e">
        <f t="shared" si="116"/>
        <v>#DIV/0!</v>
      </c>
    </row>
    <row r="972" spans="1:35" x14ac:dyDescent="0.25">
      <c r="A972" s="275">
        <f>'Profits 2016'!A6185</f>
        <v>3004873</v>
      </c>
      <c r="B972" s="279">
        <f>'Profits 2016'!B6185</f>
        <v>42654</v>
      </c>
      <c r="C972" s="276">
        <f>'Profits 2016'!H6185</f>
        <v>498</v>
      </c>
      <c r="D972" s="280">
        <f>'Profits 2016'!K6185</f>
        <v>486.74400000000003</v>
      </c>
      <c r="E972" s="276">
        <f>'Profits 2016'!L6185</f>
        <v>608</v>
      </c>
      <c r="F972" s="275" t="str">
        <f>'Profits 2016'!P6185</f>
        <v>Priority</v>
      </c>
      <c r="G972" s="292">
        <f>'Profits 2016'!N6185-'Profits 2016'!M6185</f>
        <v>304</v>
      </c>
      <c r="H972" s="335"/>
      <c r="I972" s="336"/>
      <c r="J972" s="337"/>
      <c r="K972" s="337"/>
      <c r="L972" s="337"/>
      <c r="M972" s="335"/>
      <c r="N972" s="338"/>
      <c r="O972" s="236" t="str">
        <f>'Profits 2016'!T6185</f>
        <v>PITT OHIO</v>
      </c>
      <c r="P972" s="284" t="str">
        <f>'Profits 2016'!U6185</f>
        <v>5010658861</v>
      </c>
      <c r="Q972" s="345"/>
      <c r="R972" s="342"/>
      <c r="S972" s="336"/>
      <c r="T972" s="341"/>
      <c r="U972" s="341"/>
      <c r="V972" s="341"/>
      <c r="W972" s="346"/>
      <c r="X972" s="344"/>
      <c r="AF972" s="276">
        <f t="shared" si="113"/>
        <v>304</v>
      </c>
      <c r="AG972" s="276">
        <f t="shared" si="114"/>
        <v>0</v>
      </c>
      <c r="AH972" s="276">
        <f t="shared" si="115"/>
        <v>486.74400000000003</v>
      </c>
      <c r="AI972" s="283">
        <f t="shared" si="116"/>
        <v>1.6011315789473686</v>
      </c>
    </row>
    <row r="973" spans="1:35" ht="30" x14ac:dyDescent="0.25">
      <c r="A973" s="275">
        <f>'Profits 2016'!A6186</f>
        <v>3004874</v>
      </c>
      <c r="B973" s="279">
        <f>'Profits 2016'!B6186</f>
        <v>42654</v>
      </c>
      <c r="C973" s="276">
        <f>'Profits 2016'!H6186</f>
        <v>310</v>
      </c>
      <c r="D973" s="280">
        <f>'Profits 2016'!K6186</f>
        <v>302.88</v>
      </c>
      <c r="E973" s="276">
        <f>'Profits 2016'!L6186</f>
        <v>2585</v>
      </c>
      <c r="F973" s="275" t="str">
        <f>'Profits 2016'!P6186</f>
        <v>Nassau</v>
      </c>
      <c r="G973" s="292">
        <f>'Profits 2016'!N6186-'Profits 2016'!M6186</f>
        <v>180.95000000000002</v>
      </c>
      <c r="H973" s="319"/>
      <c r="I973" s="320"/>
      <c r="J973" s="321"/>
      <c r="K973" s="321"/>
      <c r="L973" s="321"/>
      <c r="M973" s="319"/>
      <c r="N973" s="322"/>
      <c r="O973" s="236" t="str">
        <f>'Profits 2016'!T6186</f>
        <v>FEDEX GROUND</v>
      </c>
      <c r="P973" s="284" t="str">
        <f>'Profits 2016'!U6186</f>
        <v>665645047552</v>
      </c>
      <c r="Q973" s="284" t="s">
        <v>314</v>
      </c>
      <c r="R973" s="276">
        <v>54.44</v>
      </c>
      <c r="S973" s="275" t="s">
        <v>15793</v>
      </c>
      <c r="T973" s="279">
        <v>42674</v>
      </c>
      <c r="U973" s="279">
        <v>42681</v>
      </c>
      <c r="V973" s="279">
        <v>42685</v>
      </c>
      <c r="W973" s="293">
        <v>0</v>
      </c>
      <c r="X973" s="236">
        <v>9399</v>
      </c>
      <c r="AF973" s="276">
        <f t="shared" si="113"/>
        <v>235.39000000000001</v>
      </c>
      <c r="AG973" s="276">
        <f t="shared" si="114"/>
        <v>54.44</v>
      </c>
      <c r="AH973" s="276">
        <f t="shared" si="115"/>
        <v>248.44</v>
      </c>
      <c r="AI973" s="283">
        <f t="shared" si="116"/>
        <v>1.0554399082373931</v>
      </c>
    </row>
    <row r="974" spans="1:35" ht="45" x14ac:dyDescent="0.25">
      <c r="A974" s="275">
        <f>'Profits 2016'!A6187</f>
        <v>3004875</v>
      </c>
      <c r="B974" s="279">
        <f>'Profits 2016'!B6187</f>
        <v>42654</v>
      </c>
      <c r="C974" s="276">
        <f>'Profits 2016'!H6187</f>
        <v>16585</v>
      </c>
      <c r="D974" s="280">
        <f>'Profits 2016'!K6187</f>
        <v>16219.83</v>
      </c>
      <c r="E974" s="276">
        <f>'Profits 2016'!L6187</f>
        <v>5550</v>
      </c>
      <c r="F974" s="275" t="str">
        <f>'Profits 2016'!P6187</f>
        <v>Priority</v>
      </c>
      <c r="G974" s="292">
        <f>'Profits 2016'!N6187-'Profits 2016'!M6187</f>
        <v>11100</v>
      </c>
      <c r="H974" s="292">
        <v>0</v>
      </c>
      <c r="I974" s="275">
        <v>1065517</v>
      </c>
      <c r="J974" s="277">
        <v>42655</v>
      </c>
      <c r="K974" s="277">
        <v>42660</v>
      </c>
      <c r="O974" s="236" t="str">
        <f>'Profits 2016'!T6187</f>
        <v>FEDEX FREIGHT PRIORITY</v>
      </c>
      <c r="P974" s="284" t="str">
        <f>'Profits 2016'!U6187</f>
        <v xml:space="preserve">	3793896621</v>
      </c>
      <c r="Q974" s="284" t="s">
        <v>15740</v>
      </c>
      <c r="R974" s="276">
        <v>1363.61</v>
      </c>
      <c r="S974" s="275">
        <v>1065517</v>
      </c>
      <c r="T974" s="279">
        <v>42655</v>
      </c>
      <c r="U974" s="279">
        <v>42660</v>
      </c>
      <c r="AF974" s="276">
        <f t="shared" si="113"/>
        <v>12463.61</v>
      </c>
      <c r="AG974" s="276">
        <f t="shared" si="114"/>
        <v>1363.61</v>
      </c>
      <c r="AH974" s="276">
        <f t="shared" si="115"/>
        <v>14856.22</v>
      </c>
      <c r="AI974" s="283">
        <f t="shared" si="116"/>
        <v>1.1919676562408483</v>
      </c>
    </row>
    <row r="975" spans="1:35" x14ac:dyDescent="0.25">
      <c r="A975" s="275">
        <f>'Profits 2016'!A6188</f>
        <v>3004876</v>
      </c>
      <c r="B975" s="279">
        <f>'Profits 2016'!B6188</f>
        <v>42654</v>
      </c>
      <c r="C975" s="276">
        <f>'Profits 2016'!H6188</f>
        <v>2858.44</v>
      </c>
      <c r="D975" s="280">
        <f>'Profits 2016'!K6188</f>
        <v>2795.25432</v>
      </c>
      <c r="E975" s="276">
        <f>'Profits 2016'!L6188</f>
        <v>1830</v>
      </c>
      <c r="F975" s="275" t="str">
        <f>'Profits 2016'!P6188</f>
        <v>Service</v>
      </c>
      <c r="G975" s="292">
        <f>'Profits 2016'!N6188-'Profits 2016'!M6188</f>
        <v>457.5</v>
      </c>
      <c r="H975" s="292">
        <v>0</v>
      </c>
      <c r="I975" s="275">
        <v>50264187</v>
      </c>
      <c r="J975" s="277">
        <v>42655</v>
      </c>
      <c r="K975" s="277">
        <v>42660</v>
      </c>
      <c r="O975" s="236" t="str">
        <f>'Profits 2016'!T6188</f>
        <v>ESTES</v>
      </c>
      <c r="P975" s="284" t="str">
        <f>'Profits 2016'!U6188</f>
        <v>02308433751</v>
      </c>
      <c r="Q975" s="345"/>
      <c r="R975" s="342"/>
      <c r="S975" s="336"/>
      <c r="T975" s="341"/>
      <c r="U975" s="341"/>
      <c r="V975" s="341"/>
      <c r="W975" s="346"/>
      <c r="X975" s="344"/>
      <c r="AF975" s="276">
        <f t="shared" si="113"/>
        <v>457.5</v>
      </c>
      <c r="AG975" s="276">
        <f t="shared" si="114"/>
        <v>0</v>
      </c>
      <c r="AH975" s="276">
        <f t="shared" si="115"/>
        <v>2795.25432</v>
      </c>
      <c r="AI975" s="283">
        <f t="shared" si="116"/>
        <v>6.1098455081967211</v>
      </c>
    </row>
    <row r="976" spans="1:35" x14ac:dyDescent="0.25">
      <c r="A976" s="275">
        <f>'Profits 2016'!A6189</f>
        <v>0</v>
      </c>
      <c r="B976" s="279">
        <f>'Profits 2016'!B6189</f>
        <v>0</v>
      </c>
      <c r="C976" s="276">
        <f>'Profits 2016'!H6189</f>
        <v>0</v>
      </c>
      <c r="D976" s="280">
        <f>'Profits 2016'!K6189</f>
        <v>0</v>
      </c>
      <c r="E976" s="276">
        <f>'Profits 2016'!L6189</f>
        <v>1170</v>
      </c>
      <c r="F976" s="275" t="str">
        <f>'Profits 2016'!P6189</f>
        <v>Service</v>
      </c>
      <c r="G976" s="292">
        <f>'Profits 2016'!N6189-'Profits 2016'!M6189</f>
        <v>292.5</v>
      </c>
      <c r="H976" s="292">
        <v>0</v>
      </c>
      <c r="I976" s="275">
        <v>50264187</v>
      </c>
      <c r="J976" s="277">
        <v>42655</v>
      </c>
      <c r="K976" s="277">
        <v>42660</v>
      </c>
      <c r="O976" s="236">
        <f>'Profits 2016'!T6189</f>
        <v>0</v>
      </c>
      <c r="P976" s="284">
        <f>'Profits 2016'!U6189</f>
        <v>0</v>
      </c>
      <c r="Q976" s="345"/>
      <c r="R976" s="342"/>
      <c r="S976" s="336"/>
      <c r="T976" s="341"/>
      <c r="U976" s="341"/>
      <c r="V976" s="341"/>
      <c r="W976" s="346"/>
      <c r="X976" s="344"/>
      <c r="AF976" s="276">
        <f t="shared" si="113"/>
        <v>332.5</v>
      </c>
      <c r="AG976" s="276">
        <f t="shared" si="114"/>
        <v>0</v>
      </c>
      <c r="AH976" s="276">
        <f t="shared" si="115"/>
        <v>0</v>
      </c>
      <c r="AI976" s="283">
        <f t="shared" si="116"/>
        <v>0</v>
      </c>
    </row>
    <row r="977" spans="1:35" ht="30" x14ac:dyDescent="0.25">
      <c r="A977" s="275">
        <f>'Profits 2016'!A6190</f>
        <v>0</v>
      </c>
      <c r="B977" s="279">
        <f>'Profits 2016'!B6190</f>
        <v>0</v>
      </c>
      <c r="C977" s="276">
        <f>'Profits 2016'!H6190</f>
        <v>0</v>
      </c>
      <c r="D977" s="280">
        <f>'Profits 2016'!K6190</f>
        <v>0</v>
      </c>
      <c r="E977" s="276">
        <f>'Profits 2016'!L6190</f>
        <v>2200</v>
      </c>
      <c r="F977" s="275" t="str">
        <f>'Profits 2016'!P6190</f>
        <v>Priority</v>
      </c>
      <c r="G977" s="292">
        <f>'Profits 2016'!N6190-'Profits 2016'!M6190</f>
        <v>396</v>
      </c>
      <c r="H977" s="292">
        <v>40</v>
      </c>
      <c r="I977" s="275">
        <v>1065941</v>
      </c>
      <c r="J977" s="277">
        <v>42656</v>
      </c>
      <c r="K977" s="277">
        <v>42663</v>
      </c>
      <c r="O977" s="236" t="str">
        <f>'Profits 2016'!T6190</f>
        <v>R&amp;L CARRIERS</v>
      </c>
      <c r="P977" s="284" t="str">
        <f>'Profits 2016'!U6190</f>
        <v>704113092</v>
      </c>
      <c r="Q977" s="284" t="s">
        <v>15740</v>
      </c>
      <c r="R977" s="276">
        <v>105</v>
      </c>
      <c r="S977" s="275">
        <v>1065941</v>
      </c>
      <c r="T977" s="279">
        <v>42656</v>
      </c>
      <c r="U977" s="279">
        <v>42663</v>
      </c>
      <c r="AF977" s="276">
        <f t="shared" si="113"/>
        <v>541</v>
      </c>
      <c r="AG977" s="276">
        <f t="shared" si="114"/>
        <v>105</v>
      </c>
      <c r="AH977" s="276">
        <f t="shared" si="115"/>
        <v>-105</v>
      </c>
      <c r="AI977" s="283">
        <f t="shared" si="116"/>
        <v>-0.19408502772643252</v>
      </c>
    </row>
    <row r="978" spans="1:35" x14ac:dyDescent="0.25">
      <c r="A978" s="275">
        <f>'Profits 2016'!A6191</f>
        <v>0</v>
      </c>
      <c r="B978" s="279">
        <f>'Profits 2016'!B6191</f>
        <v>0</v>
      </c>
      <c r="C978" s="276">
        <f>'Profits 2016'!H6191</f>
        <v>0</v>
      </c>
      <c r="D978" s="280">
        <f>'Profits 2016'!K6191</f>
        <v>0</v>
      </c>
      <c r="E978" s="276">
        <f>'Profits 2016'!L6191</f>
        <v>3150</v>
      </c>
      <c r="F978" s="275" t="str">
        <f>'Profits 2016'!P6191</f>
        <v>Priority</v>
      </c>
      <c r="G978" s="292">
        <f>'Profits 2016'!N6191-'Profits 2016'!M6191</f>
        <v>567</v>
      </c>
      <c r="H978" s="292">
        <v>40</v>
      </c>
      <c r="I978" s="275">
        <v>1065941</v>
      </c>
      <c r="J978" s="277">
        <v>42656</v>
      </c>
      <c r="K978" s="277">
        <v>42663</v>
      </c>
      <c r="O978" s="236">
        <f>'Profits 2016'!T6191</f>
        <v>0</v>
      </c>
      <c r="P978" s="284">
        <f>'Profits 2016'!U6191</f>
        <v>0</v>
      </c>
      <c r="Q978" s="284" t="s">
        <v>15740</v>
      </c>
      <c r="R978" s="276">
        <v>0</v>
      </c>
      <c r="S978" s="275">
        <v>1065941</v>
      </c>
      <c r="T978" s="279">
        <v>42656</v>
      </c>
      <c r="U978" s="279">
        <v>42663</v>
      </c>
      <c r="AF978" s="276">
        <f t="shared" si="113"/>
        <v>607</v>
      </c>
      <c r="AG978" s="276">
        <f t="shared" si="114"/>
        <v>0</v>
      </c>
      <c r="AH978" s="276">
        <f t="shared" si="115"/>
        <v>0</v>
      </c>
      <c r="AI978" s="283">
        <f t="shared" si="116"/>
        <v>0</v>
      </c>
    </row>
    <row r="979" spans="1:35" x14ac:dyDescent="0.25">
      <c r="A979" s="275">
        <f>'Profits 2016'!A6192</f>
        <v>0</v>
      </c>
      <c r="B979" s="279">
        <f>'Profits 2016'!B6192</f>
        <v>0</v>
      </c>
      <c r="C979" s="276">
        <f>'Profits 2016'!H6192</f>
        <v>0</v>
      </c>
      <c r="D979" s="280">
        <f>'Profits 2016'!K6192</f>
        <v>0</v>
      </c>
      <c r="E979" s="276">
        <f>'Profits 2016'!L6192</f>
        <v>1730</v>
      </c>
      <c r="F979" s="275" t="str">
        <f>'Profits 2016'!P6192</f>
        <v>Priority</v>
      </c>
      <c r="G979" s="292">
        <f>'Profits 2016'!N6192-'Profits 2016'!M6192</f>
        <v>311.39999999999998</v>
      </c>
      <c r="H979" s="292">
        <v>40</v>
      </c>
      <c r="I979" s="275">
        <v>1065941</v>
      </c>
      <c r="J979" s="277">
        <v>42656</v>
      </c>
      <c r="K979" s="277">
        <v>42663</v>
      </c>
      <c r="O979" s="236">
        <f>'Profits 2016'!T6192</f>
        <v>0</v>
      </c>
      <c r="P979" s="284">
        <f>'Profits 2016'!U6192</f>
        <v>0</v>
      </c>
      <c r="Q979" s="284" t="s">
        <v>15740</v>
      </c>
      <c r="R979" s="276">
        <v>0</v>
      </c>
      <c r="S979" s="275">
        <v>1065941</v>
      </c>
      <c r="T979" s="279">
        <v>42656</v>
      </c>
      <c r="U979" s="279">
        <v>42663</v>
      </c>
      <c r="AF979" s="276">
        <f t="shared" si="113"/>
        <v>311.39999999999998</v>
      </c>
      <c r="AG979" s="276">
        <f t="shared" si="114"/>
        <v>0</v>
      </c>
      <c r="AH979" s="276">
        <f t="shared" si="115"/>
        <v>0</v>
      </c>
      <c r="AI979" s="283">
        <f t="shared" si="116"/>
        <v>0</v>
      </c>
    </row>
    <row r="980" spans="1:35" ht="30" x14ac:dyDescent="0.25">
      <c r="A980" s="275">
        <f>'Profits 2016'!A6193</f>
        <v>3004877</v>
      </c>
      <c r="B980" s="279">
        <f>'Profits 2016'!B6193</f>
        <v>42655</v>
      </c>
      <c r="C980" s="276">
        <f>'Profits 2016'!H6193</f>
        <v>649</v>
      </c>
      <c r="D980" s="280">
        <f>'Profits 2016'!K6193</f>
        <v>634.42200000000003</v>
      </c>
      <c r="E980" s="276">
        <f>'Profits 2016'!L6193</f>
        <v>2150</v>
      </c>
      <c r="F980" s="275" t="str">
        <f>'Profits 2016'!P6193</f>
        <v>Nassau</v>
      </c>
      <c r="G980" s="292">
        <f>'Profits 2016'!N6193-'Profits 2016'!M6193</f>
        <v>333.25</v>
      </c>
      <c r="H980" s="319"/>
      <c r="I980" s="320"/>
      <c r="J980" s="321"/>
      <c r="K980" s="321"/>
      <c r="L980" s="321"/>
      <c r="M980" s="319"/>
      <c r="N980" s="322"/>
      <c r="O980" s="236" t="str">
        <f>'Profits 2016'!T6193</f>
        <v>FEDEX GROUND</v>
      </c>
      <c r="P980" s="284" t="str">
        <f>'Profits 2016'!U6193</f>
        <v>702723289756</v>
      </c>
      <c r="Q980" s="284" t="s">
        <v>314</v>
      </c>
      <c r="R980" s="276">
        <v>68.23</v>
      </c>
      <c r="S980" s="275" t="s">
        <v>15793</v>
      </c>
      <c r="T980" s="279">
        <v>42674</v>
      </c>
      <c r="U980" s="279">
        <v>42681</v>
      </c>
      <c r="V980" s="279">
        <v>42685</v>
      </c>
      <c r="W980" s="293">
        <v>0</v>
      </c>
      <c r="X980" s="236">
        <v>9399</v>
      </c>
      <c r="AF980" s="276">
        <f t="shared" si="113"/>
        <v>401.48</v>
      </c>
      <c r="AG980" s="276">
        <f t="shared" si="114"/>
        <v>68.23</v>
      </c>
      <c r="AH980" s="276">
        <f t="shared" si="115"/>
        <v>566.19200000000001</v>
      </c>
      <c r="AI980" s="283">
        <f t="shared" si="116"/>
        <v>1.4102620304871973</v>
      </c>
    </row>
    <row r="981" spans="1:35" ht="45" x14ac:dyDescent="0.25">
      <c r="A981" s="275">
        <f>'Profits 2016'!A6194</f>
        <v>3004878</v>
      </c>
      <c r="B981" s="279">
        <f>'Profits 2016'!B6194</f>
        <v>42655</v>
      </c>
      <c r="C981" s="276">
        <f>'Profits 2016'!H6194</f>
        <v>10071.200000000001</v>
      </c>
      <c r="D981" s="280">
        <f>'Profits 2016'!K6194</f>
        <v>10071.200000000001</v>
      </c>
      <c r="E981" s="276">
        <f>'Profits 2016'!L6194</f>
        <v>149.99</v>
      </c>
      <c r="F981" s="275" t="str">
        <f>'Profits 2016'!P6194</f>
        <v>Nexans</v>
      </c>
      <c r="G981" s="292">
        <f>'Profits 2016'!N6194-'Profits 2016'!M6194</f>
        <v>449.97</v>
      </c>
      <c r="H981" s="292">
        <v>0</v>
      </c>
      <c r="I981" s="275">
        <v>47444302</v>
      </c>
      <c r="J981" s="277">
        <v>42657</v>
      </c>
      <c r="K981" s="277">
        <v>42664</v>
      </c>
      <c r="L981" s="277">
        <v>42678</v>
      </c>
      <c r="M981" s="292">
        <v>2890.97</v>
      </c>
      <c r="N981" s="281">
        <v>9335</v>
      </c>
      <c r="O981" s="236" t="str">
        <f>'Profits 2016'!T6194</f>
        <v>ROAD RUNNER/DLS</v>
      </c>
      <c r="P981" s="284" t="str">
        <f>'Profits 2016'!U6194</f>
        <v>309082774</v>
      </c>
      <c r="Q981" s="284" t="s">
        <v>15804</v>
      </c>
      <c r="R981" s="276">
        <v>292.72000000000003</v>
      </c>
      <c r="S981" s="275">
        <v>636875626</v>
      </c>
      <c r="T981" s="279">
        <v>42667</v>
      </c>
      <c r="U981" s="279">
        <v>42674</v>
      </c>
      <c r="V981" s="279">
        <v>42678</v>
      </c>
      <c r="W981" s="293">
        <v>292.72000000000003</v>
      </c>
      <c r="X981" s="236">
        <v>9343</v>
      </c>
      <c r="AF981" s="276">
        <f t="shared" si="113"/>
        <v>742.69</v>
      </c>
      <c r="AG981" s="276">
        <f t="shared" si="114"/>
        <v>3183.6899999999996</v>
      </c>
      <c r="AH981" s="276">
        <f t="shared" si="115"/>
        <v>6887.5100000000011</v>
      </c>
      <c r="AI981" s="283">
        <f t="shared" si="116"/>
        <v>9.2737346672232022</v>
      </c>
    </row>
    <row r="982" spans="1:35" x14ac:dyDescent="0.25">
      <c r="A982" s="275">
        <f>'Profits 2016'!A6195</f>
        <v>0</v>
      </c>
      <c r="B982" s="279">
        <f>'Profits 2016'!B6195</f>
        <v>0</v>
      </c>
      <c r="C982" s="276">
        <f>'Profits 2016'!H6195</f>
        <v>0</v>
      </c>
      <c r="D982" s="280">
        <f>'Profits 2016'!K6195</f>
        <v>0</v>
      </c>
      <c r="E982" s="276">
        <f>'Profits 2016'!L6195</f>
        <v>500</v>
      </c>
      <c r="F982" s="275" t="str">
        <f>'Profits 2016'!P6195</f>
        <v>Nexans</v>
      </c>
      <c r="G982" s="292">
        <f>'Profits 2016'!N6195-'Profits 2016'!M6195</f>
        <v>2500</v>
      </c>
      <c r="H982" s="292">
        <v>0</v>
      </c>
      <c r="I982" s="275">
        <v>47444302</v>
      </c>
      <c r="J982" s="277">
        <v>42657</v>
      </c>
      <c r="K982" s="277">
        <v>42664</v>
      </c>
      <c r="L982" s="277">
        <v>42678</v>
      </c>
      <c r="M982" s="292">
        <v>0</v>
      </c>
      <c r="N982" s="281">
        <v>9335</v>
      </c>
      <c r="O982" s="236">
        <f>'Profits 2016'!T6195</f>
        <v>0</v>
      </c>
      <c r="P982" s="284">
        <f>'Profits 2016'!U6195</f>
        <v>0</v>
      </c>
      <c r="Q982" s="284" t="s">
        <v>15804</v>
      </c>
      <c r="R982" s="276">
        <v>0</v>
      </c>
      <c r="S982" s="275">
        <v>636875626</v>
      </c>
      <c r="T982" s="279">
        <v>42667</v>
      </c>
      <c r="U982" s="279">
        <v>42674</v>
      </c>
      <c r="V982" s="279">
        <v>42678</v>
      </c>
      <c r="W982" s="293">
        <v>0</v>
      </c>
      <c r="X982" s="236">
        <v>9343</v>
      </c>
      <c r="AF982" s="276">
        <f t="shared" si="113"/>
        <v>2500</v>
      </c>
      <c r="AG982" s="276">
        <f t="shared" si="114"/>
        <v>0</v>
      </c>
      <c r="AH982" s="276">
        <f t="shared" si="115"/>
        <v>0</v>
      </c>
      <c r="AI982" s="283">
        <f t="shared" si="116"/>
        <v>0</v>
      </c>
    </row>
    <row r="983" spans="1:35" x14ac:dyDescent="0.25">
      <c r="A983" s="275">
        <f>'Profits 2016'!A6196</f>
        <v>0</v>
      </c>
      <c r="B983" s="279">
        <f>'Profits 2016'!B6196</f>
        <v>0</v>
      </c>
      <c r="C983" s="276">
        <f>'Profits 2016'!H6196</f>
        <v>0</v>
      </c>
      <c r="D983" s="280">
        <f>'Profits 2016'!K6196</f>
        <v>0</v>
      </c>
      <c r="E983" s="276">
        <f>'Profits 2016'!L6196</f>
        <v>289</v>
      </c>
      <c r="F983" s="275" t="str">
        <f>'Profits 2016'!P6196</f>
        <v>ADCable</v>
      </c>
      <c r="G983" s="292">
        <f>'Profits 2016'!N6196-'Profits 2016'!M6196</f>
        <v>1156</v>
      </c>
      <c r="H983" s="292">
        <v>0</v>
      </c>
      <c r="I983" s="275">
        <v>139515</v>
      </c>
      <c r="J983" s="277">
        <v>42660</v>
      </c>
      <c r="K983" s="277">
        <v>42667</v>
      </c>
      <c r="L983" s="277">
        <v>42671</v>
      </c>
      <c r="M983" s="292">
        <f>1156*0.98</f>
        <v>1132.8799999999999</v>
      </c>
      <c r="N983" s="281">
        <v>9242</v>
      </c>
      <c r="O983" s="236" t="str">
        <f>'Profits 2016'!T6196</f>
        <v>ESTES</v>
      </c>
      <c r="P983" s="284" t="str">
        <f>'Profits 2016'!U6196</f>
        <v>0542435648</v>
      </c>
      <c r="Q983" s="284" t="s">
        <v>2168</v>
      </c>
      <c r="R983" s="276">
        <v>102.64</v>
      </c>
      <c r="S983" s="275">
        <v>139515</v>
      </c>
      <c r="T983" s="279">
        <v>42660</v>
      </c>
      <c r="U983" s="279">
        <v>42667</v>
      </c>
      <c r="V983" s="279">
        <v>42671</v>
      </c>
      <c r="W983" s="293">
        <f>102.64*0.98</f>
        <v>100.5872</v>
      </c>
      <c r="X983" s="236">
        <v>9242</v>
      </c>
      <c r="AF983" s="276">
        <f t="shared" si="113"/>
        <v>1258.6400000000001</v>
      </c>
      <c r="AG983" s="276">
        <f t="shared" si="114"/>
        <v>1235.52</v>
      </c>
      <c r="AH983" s="276">
        <f t="shared" si="115"/>
        <v>-1235.52</v>
      </c>
      <c r="AI983" s="283">
        <f t="shared" si="116"/>
        <v>-0.98163096675777017</v>
      </c>
    </row>
    <row r="984" spans="1:35" ht="45" x14ac:dyDescent="0.25">
      <c r="A984" s="275">
        <f>'Profits 2016'!A6197</f>
        <v>0</v>
      </c>
      <c r="B984" s="279">
        <f>'Profits 2016'!B6197</f>
        <v>0</v>
      </c>
      <c r="C984" s="276">
        <f>'Profits 2016'!H6197</f>
        <v>0</v>
      </c>
      <c r="D984" s="280">
        <f>'Profits 2016'!K6197</f>
        <v>0</v>
      </c>
      <c r="E984" s="276">
        <f>'Profits 2016'!L6197</f>
        <v>129</v>
      </c>
      <c r="F984" s="275" t="str">
        <f>'Profits 2016'!P6197</f>
        <v>Nexans</v>
      </c>
      <c r="G984" s="292">
        <f>'Profits 2016'!N6197-'Profits 2016'!M6197</f>
        <v>258</v>
      </c>
      <c r="H984" s="292">
        <v>0</v>
      </c>
      <c r="I984" s="275">
        <v>47449002</v>
      </c>
      <c r="J984" s="277">
        <v>42657</v>
      </c>
      <c r="K984" s="277">
        <v>42664</v>
      </c>
      <c r="L984" s="277">
        <v>42678</v>
      </c>
      <c r="M984" s="292">
        <v>1468.04</v>
      </c>
      <c r="N984" s="281">
        <v>9334</v>
      </c>
      <c r="O984" s="236" t="str">
        <f>'Profits 2016'!T6197</f>
        <v>ROAD RUNNER/DLS</v>
      </c>
      <c r="P984" s="284" t="str">
        <f>'Profits 2016'!U6197</f>
        <v>309082774</v>
      </c>
      <c r="Q984" s="284" t="s">
        <v>15804</v>
      </c>
      <c r="R984" s="276">
        <v>0</v>
      </c>
      <c r="S984" s="275">
        <v>636875626</v>
      </c>
      <c r="T984" s="279">
        <v>42667</v>
      </c>
      <c r="U984" s="279">
        <v>42674</v>
      </c>
      <c r="V984" s="279">
        <v>42678</v>
      </c>
      <c r="W984" s="293">
        <v>0</v>
      </c>
      <c r="X984" s="236">
        <v>9343</v>
      </c>
      <c r="AF984" s="276">
        <f t="shared" si="113"/>
        <v>258</v>
      </c>
      <c r="AG984" s="276">
        <f t="shared" si="114"/>
        <v>1468.04</v>
      </c>
      <c r="AH984" s="276">
        <f t="shared" si="115"/>
        <v>-1468.04</v>
      </c>
      <c r="AI984" s="283">
        <f t="shared" si="116"/>
        <v>-5.6900775193798445</v>
      </c>
    </row>
    <row r="985" spans="1:35" ht="45" x14ac:dyDescent="0.25">
      <c r="A985" s="275">
        <f>'Profits 2016'!A6198</f>
        <v>0</v>
      </c>
      <c r="B985" s="279">
        <f>'Profits 2016'!B6198</f>
        <v>0</v>
      </c>
      <c r="C985" s="276">
        <f>'Profits 2016'!H6198</f>
        <v>0</v>
      </c>
      <c r="D985" s="280">
        <f>'Profits 2016'!K6198</f>
        <v>0</v>
      </c>
      <c r="E985" s="276">
        <f>'Profits 2016'!L6198</f>
        <v>650</v>
      </c>
      <c r="F985" s="275" t="str">
        <f>'Profits 2016'!P6198</f>
        <v>ERCO</v>
      </c>
      <c r="G985" s="292">
        <f>'Profits 2016'!N6198-'Profits 2016'!M6198</f>
        <v>325</v>
      </c>
      <c r="H985" s="292">
        <v>0</v>
      </c>
      <c r="I985" s="275">
        <v>152351</v>
      </c>
      <c r="J985" s="277">
        <v>42656</v>
      </c>
      <c r="K985" s="277">
        <v>42660</v>
      </c>
      <c r="O985" s="236" t="str">
        <f>'Profits 2016'!T6198</f>
        <v>SOUTH EASTERN/DLS</v>
      </c>
      <c r="P985" s="284" t="str">
        <f>'Profits 2016'!U6198</f>
        <v>776468553</v>
      </c>
      <c r="Q985" s="284" t="s">
        <v>15804</v>
      </c>
      <c r="R985" s="276">
        <v>102.59</v>
      </c>
      <c r="S985" s="275">
        <v>636859577</v>
      </c>
      <c r="T985" s="279">
        <v>42663</v>
      </c>
      <c r="U985" s="279">
        <v>42667</v>
      </c>
      <c r="V985" s="279">
        <v>42671</v>
      </c>
      <c r="W985" s="293">
        <v>102.59</v>
      </c>
      <c r="X985" s="236">
        <v>9263</v>
      </c>
      <c r="AF985" s="276">
        <f t="shared" si="113"/>
        <v>427.59000000000003</v>
      </c>
      <c r="AG985" s="276">
        <f t="shared" si="114"/>
        <v>102.59</v>
      </c>
      <c r="AH985" s="276">
        <f t="shared" si="115"/>
        <v>-102.59</v>
      </c>
      <c r="AI985" s="283">
        <f t="shared" si="116"/>
        <v>-0.23992609742978085</v>
      </c>
    </row>
    <row r="986" spans="1:35" ht="45" x14ac:dyDescent="0.25">
      <c r="A986" s="275">
        <f>'Profits 2016'!A6199</f>
        <v>0</v>
      </c>
      <c r="B986" s="279">
        <f>'Profits 2016'!B6199</f>
        <v>0</v>
      </c>
      <c r="C986" s="276">
        <f>'Profits 2016'!H6199</f>
        <v>0</v>
      </c>
      <c r="D986" s="280">
        <f>'Profits 2016'!K6199</f>
        <v>0</v>
      </c>
      <c r="E986" s="276">
        <f>'Profits 2016'!L6199</f>
        <v>620</v>
      </c>
      <c r="F986" s="275" t="str">
        <f>'Profits 2016'!P6199</f>
        <v>Nexans</v>
      </c>
      <c r="G986" s="292">
        <f>'Profits 2016'!N6199-'Profits 2016'!M6199</f>
        <v>1240</v>
      </c>
      <c r="H986" s="292">
        <v>0</v>
      </c>
      <c r="I986" s="275">
        <v>47449002</v>
      </c>
      <c r="J986" s="277">
        <v>42657</v>
      </c>
      <c r="K986" s="277">
        <v>42664</v>
      </c>
      <c r="L986" s="277">
        <v>42678</v>
      </c>
      <c r="M986" s="292">
        <v>0</v>
      </c>
      <c r="N986" s="281">
        <v>9334</v>
      </c>
      <c r="O986" s="236" t="str">
        <f>'Profits 2016'!T6199</f>
        <v>ROAD RUNNER/DLS</v>
      </c>
      <c r="P986" s="284" t="str">
        <f>'Profits 2016'!U6199</f>
        <v>309082774</v>
      </c>
      <c r="Q986" s="284" t="s">
        <v>15804</v>
      </c>
      <c r="R986" s="276">
        <v>0</v>
      </c>
      <c r="S986" s="275">
        <v>636875626</v>
      </c>
      <c r="T986" s="279">
        <v>42667</v>
      </c>
      <c r="U986" s="279">
        <v>42674</v>
      </c>
      <c r="V986" s="279">
        <v>42678</v>
      </c>
      <c r="W986" s="293">
        <v>0</v>
      </c>
      <c r="X986" s="236">
        <v>9343</v>
      </c>
      <c r="AF986" s="276">
        <f t="shared" si="113"/>
        <v>1258.8599999999999</v>
      </c>
      <c r="AG986" s="276">
        <f t="shared" si="114"/>
        <v>0</v>
      </c>
      <c r="AH986" s="276">
        <f t="shared" si="115"/>
        <v>0</v>
      </c>
      <c r="AI986" s="283">
        <f t="shared" si="116"/>
        <v>0</v>
      </c>
    </row>
    <row r="987" spans="1:35" ht="30" x14ac:dyDescent="0.25">
      <c r="A987" s="275">
        <f>'Profits 2016'!A6200</f>
        <v>3004879</v>
      </c>
      <c r="B987" s="279">
        <f>'Profits 2016'!B6200</f>
        <v>42655</v>
      </c>
      <c r="C987" s="276">
        <f>'Profits 2016'!H6200</f>
        <v>950</v>
      </c>
      <c r="D987" s="280">
        <f>'Profits 2016'!K6200</f>
        <v>950</v>
      </c>
      <c r="E987" s="276">
        <f>'Profits 2016'!L6200</f>
        <v>1619.18</v>
      </c>
      <c r="F987" s="275" t="str">
        <f>'Profits 2016'!P6200</f>
        <v>General</v>
      </c>
      <c r="G987" s="292">
        <f>'Profits 2016'!N6200-'Profits 2016'!M6200</f>
        <v>531.09104000000002</v>
      </c>
      <c r="H987" s="292">
        <f>25-6.14</f>
        <v>18.86</v>
      </c>
      <c r="I987" s="275">
        <v>3769278</v>
      </c>
      <c r="J987" s="277">
        <v>42662</v>
      </c>
      <c r="K987" s="277">
        <v>42668</v>
      </c>
      <c r="L987" s="277">
        <v>42678</v>
      </c>
      <c r="M987" s="292">
        <v>538.95000000000005</v>
      </c>
      <c r="N987" s="281">
        <v>9313</v>
      </c>
      <c r="O987" s="236" t="str">
        <f>'Profits 2016'!T6200</f>
        <v>CUSTOMER PICK UP</v>
      </c>
      <c r="P987" s="284" t="str">
        <f>'Profits 2016'!U6200</f>
        <v>CUSTOMER PICK UP</v>
      </c>
      <c r="AF987" s="276">
        <f t="shared" si="113"/>
        <v>531.09104000000002</v>
      </c>
      <c r="AG987" s="276">
        <f t="shared" si="114"/>
        <v>538.95000000000005</v>
      </c>
      <c r="AH987" s="276">
        <f t="shared" si="115"/>
        <v>411.04999999999995</v>
      </c>
      <c r="AI987" s="283">
        <f t="shared" si="116"/>
        <v>0.77397276369038337</v>
      </c>
    </row>
    <row r="988" spans="1:35" ht="30" x14ac:dyDescent="0.25">
      <c r="A988" s="275">
        <f>'Profits 2016'!A6201</f>
        <v>3004880</v>
      </c>
      <c r="B988" s="279">
        <f>'Profits 2016'!B6201</f>
        <v>42655</v>
      </c>
      <c r="C988" s="276">
        <f>'Profits 2016'!H6201</f>
        <v>227.48</v>
      </c>
      <c r="D988" s="280">
        <f>'Profits 2016'!K6201</f>
        <v>202.38468</v>
      </c>
      <c r="E988" s="276">
        <f>'Profits 2016'!L6201</f>
        <v>990</v>
      </c>
      <c r="F988" s="275" t="str">
        <f>'Profits 2016'!P6201</f>
        <v>Nassau</v>
      </c>
      <c r="G988" s="292">
        <f>'Profits 2016'!N6201-'Profits 2016'!M6201</f>
        <v>98.999999999999986</v>
      </c>
      <c r="H988" s="319"/>
      <c r="I988" s="320"/>
      <c r="J988" s="321"/>
      <c r="K988" s="321"/>
      <c r="L988" s="321"/>
      <c r="M988" s="319"/>
      <c r="N988" s="322"/>
      <c r="O988" s="236" t="str">
        <f>'Profits 2016'!T6201</f>
        <v>FEDEX GROUND</v>
      </c>
      <c r="P988" s="284" t="str">
        <f>'Profits 2016'!U6201</f>
        <v>702723289723</v>
      </c>
      <c r="Q988" s="284" t="s">
        <v>314</v>
      </c>
      <c r="R988" s="276">
        <v>37.89</v>
      </c>
      <c r="S988" s="275" t="s">
        <v>15805</v>
      </c>
      <c r="T988" s="279">
        <v>42667</v>
      </c>
      <c r="U988" s="279">
        <v>42670</v>
      </c>
      <c r="V988" s="279">
        <v>42678</v>
      </c>
      <c r="W988" s="293">
        <v>0</v>
      </c>
      <c r="X988" s="236">
        <v>9301</v>
      </c>
      <c r="AF988" s="276">
        <f t="shared" si="113"/>
        <v>136.88999999999999</v>
      </c>
      <c r="AG988" s="276">
        <f t="shared" si="114"/>
        <v>37.89</v>
      </c>
      <c r="AH988" s="276">
        <f t="shared" si="115"/>
        <v>164.49468000000002</v>
      </c>
      <c r="AI988" s="283">
        <f t="shared" si="116"/>
        <v>1.2016559281174668</v>
      </c>
    </row>
    <row r="989" spans="1:35" ht="30" x14ac:dyDescent="0.25">
      <c r="A989" s="275">
        <f>'Profits 2016'!A6202</f>
        <v>3004881</v>
      </c>
      <c r="B989" s="279">
        <f>'Profits 2016'!B6202</f>
        <v>42655</v>
      </c>
      <c r="C989" s="276">
        <f>'Profits 2016'!H6202</f>
        <v>179.86</v>
      </c>
      <c r="D989" s="280">
        <f>'Profits 2016'!K6202</f>
        <v>159.95526000000001</v>
      </c>
      <c r="E989" s="276">
        <f>'Profits 2016'!L6202</f>
        <v>290</v>
      </c>
      <c r="F989" s="275" t="str">
        <f>'Profits 2016'!P6202</f>
        <v>Priority</v>
      </c>
      <c r="G989" s="292">
        <f>'Profits 2016'!N6202-'Profits 2016'!M6202</f>
        <v>72.5</v>
      </c>
      <c r="H989" s="292">
        <v>0</v>
      </c>
      <c r="I989" s="275">
        <v>1065757</v>
      </c>
      <c r="J989" s="277">
        <v>42656</v>
      </c>
      <c r="K989" s="277">
        <v>42663</v>
      </c>
      <c r="O989" s="236" t="str">
        <f>'Profits 2016'!T6202</f>
        <v>FEDEX GROUND</v>
      </c>
      <c r="P989" s="284" t="str">
        <f>'Profits 2016'!U6202</f>
        <v>616712877284</v>
      </c>
      <c r="Q989" s="284" t="s">
        <v>15740</v>
      </c>
      <c r="R989" s="276">
        <v>19.57</v>
      </c>
      <c r="S989" s="275">
        <v>1065757</v>
      </c>
      <c r="T989" s="279">
        <v>42656</v>
      </c>
      <c r="U989" s="279">
        <v>42663</v>
      </c>
      <c r="AF989" s="276">
        <f t="shared" si="113"/>
        <v>92.07</v>
      </c>
      <c r="AG989" s="276">
        <f t="shared" si="114"/>
        <v>19.57</v>
      </c>
      <c r="AH989" s="276">
        <f t="shared" si="115"/>
        <v>140.38526000000002</v>
      </c>
      <c r="AI989" s="283">
        <f t="shared" si="116"/>
        <v>1.5247665906375587</v>
      </c>
    </row>
    <row r="990" spans="1:35" ht="30" x14ac:dyDescent="0.25">
      <c r="A990" s="275">
        <f>'Profits 2016'!A6203</f>
        <v>3004882</v>
      </c>
      <c r="B990" s="279">
        <f>'Profits 2016'!B6203</f>
        <v>42655</v>
      </c>
      <c r="C990" s="276">
        <f>'Profits 2016'!H6203</f>
        <v>334.39</v>
      </c>
      <c r="D990" s="280">
        <f>'Profits 2016'!K6203</f>
        <v>297.64148999999998</v>
      </c>
      <c r="E990" s="276">
        <f>'Profits 2016'!L6203</f>
        <v>375</v>
      </c>
      <c r="F990" s="275" t="str">
        <f>'Profits 2016'!P6203</f>
        <v>Nassau</v>
      </c>
      <c r="G990" s="292">
        <f>'Profits 2016'!N6203-'Profits 2016'!M6203</f>
        <v>117.375</v>
      </c>
      <c r="H990" s="319"/>
      <c r="I990" s="320"/>
      <c r="J990" s="321"/>
      <c r="K990" s="321"/>
      <c r="L990" s="321"/>
      <c r="M990" s="319"/>
      <c r="N990" s="322"/>
      <c r="O990" s="236" t="str">
        <f>'Profits 2016'!T6203</f>
        <v>FEDEX GROUND</v>
      </c>
      <c r="P990" s="284" t="str">
        <f>'Profits 2016'!U6203</f>
        <v>665645047574</v>
      </c>
      <c r="Q990" s="284" t="s">
        <v>314</v>
      </c>
      <c r="R990" s="276">
        <v>50.69</v>
      </c>
      <c r="S990" s="275" t="s">
        <v>15793</v>
      </c>
      <c r="T990" s="279">
        <v>42674</v>
      </c>
      <c r="U990" s="279">
        <v>42681</v>
      </c>
      <c r="V990" s="279">
        <v>42685</v>
      </c>
      <c r="W990" s="293">
        <v>0</v>
      </c>
      <c r="X990" s="236">
        <v>9399</v>
      </c>
      <c r="AF990" s="276">
        <f t="shared" si="113"/>
        <v>168.065</v>
      </c>
      <c r="AG990" s="276">
        <f t="shared" si="114"/>
        <v>50.69</v>
      </c>
      <c r="AH990" s="276">
        <f t="shared" si="115"/>
        <v>246.95148999999998</v>
      </c>
      <c r="AI990" s="283">
        <f t="shared" si="116"/>
        <v>1.4693808347960609</v>
      </c>
    </row>
    <row r="991" spans="1:35" ht="30" x14ac:dyDescent="0.25">
      <c r="A991" s="275">
        <f>'Profits 2016'!A6204</f>
        <v>3004883</v>
      </c>
      <c r="B991" s="279">
        <f>'Profits 2016'!B6204</f>
        <v>42655</v>
      </c>
      <c r="C991" s="276">
        <f>'Profits 2016'!H6204</f>
        <v>156.24</v>
      </c>
      <c r="D991" s="280">
        <f>'Profits 2016'!K6204</f>
        <v>138.90984</v>
      </c>
      <c r="E991" s="276">
        <f>'Profits 2016'!L6204</f>
        <v>660</v>
      </c>
      <c r="F991" s="275" t="str">
        <f>'Profits 2016'!P6204</f>
        <v>Houston</v>
      </c>
      <c r="G991" s="292">
        <f>'Profits 2016'!N6204-'Profits 2016'!M6204</f>
        <v>99</v>
      </c>
      <c r="H991" s="292">
        <v>0</v>
      </c>
      <c r="I991" s="275">
        <v>30911010</v>
      </c>
      <c r="J991" s="277">
        <v>42656</v>
      </c>
      <c r="K991" s="277">
        <v>42660</v>
      </c>
      <c r="O991" s="236" t="str">
        <f>'Profits 2016'!T6204</f>
        <v>FEDEX GROUND</v>
      </c>
      <c r="P991" s="284" t="str">
        <f>'Profits 2016'!U6204</f>
        <v>701849703809</v>
      </c>
      <c r="Q991" s="284" t="s">
        <v>314</v>
      </c>
      <c r="R991" s="276">
        <v>13.81</v>
      </c>
      <c r="S991" s="275" t="s">
        <v>15805</v>
      </c>
      <c r="T991" s="279">
        <v>42667</v>
      </c>
      <c r="U991" s="279">
        <v>42670</v>
      </c>
      <c r="V991" s="279">
        <v>42678</v>
      </c>
      <c r="W991" s="293">
        <v>0</v>
      </c>
      <c r="X991" s="236">
        <v>9301</v>
      </c>
      <c r="Y991" s="276">
        <v>5</v>
      </c>
      <c r="Z991" s="236" t="s">
        <v>15793</v>
      </c>
      <c r="AA991" s="279">
        <v>42674</v>
      </c>
      <c r="AB991" s="279">
        <v>42681</v>
      </c>
      <c r="AC991" s="279">
        <v>42685</v>
      </c>
      <c r="AD991" s="293">
        <v>0</v>
      </c>
      <c r="AE991" s="236">
        <v>9399</v>
      </c>
      <c r="AF991" s="276">
        <f t="shared" si="113"/>
        <v>117.81</v>
      </c>
      <c r="AG991" s="276">
        <f t="shared" si="114"/>
        <v>18.810000000000002</v>
      </c>
      <c r="AH991" s="276">
        <f t="shared" si="115"/>
        <v>120.09984</v>
      </c>
      <c r="AI991" s="283">
        <f t="shared" si="116"/>
        <v>1.0194367201426024</v>
      </c>
    </row>
    <row r="992" spans="1:35" ht="30" x14ac:dyDescent="0.25">
      <c r="A992" s="275">
        <f>'Profits 2016'!A6205</f>
        <v>3004884</v>
      </c>
      <c r="B992" s="279">
        <f>'Profits 2016'!B6205</f>
        <v>42655</v>
      </c>
      <c r="C992" s="276">
        <f>'Profits 2016'!H6205</f>
        <v>168.27</v>
      </c>
      <c r="D992" s="280">
        <f>'Profits 2016'!K6205</f>
        <v>149.62857</v>
      </c>
      <c r="E992" s="276">
        <f>'Profits 2016'!L6205</f>
        <v>300</v>
      </c>
      <c r="F992" s="275" t="str">
        <f>'Profits 2016'!P6205</f>
        <v>Nassau</v>
      </c>
      <c r="G992" s="292">
        <f>'Profits 2016'!N6205-'Profits 2016'!M6205</f>
        <v>75</v>
      </c>
      <c r="H992" s="319"/>
      <c r="I992" s="320"/>
      <c r="J992" s="321"/>
      <c r="K992" s="321"/>
      <c r="L992" s="321"/>
      <c r="M992" s="319"/>
      <c r="N992" s="322"/>
      <c r="O992" s="236" t="str">
        <f>'Profits 2016'!T6205</f>
        <v>FEDEX GROUND</v>
      </c>
      <c r="P992" s="284" t="str">
        <f>'Profits 2016'!U6205</f>
        <v>680483360440</v>
      </c>
      <c r="Q992" s="284" t="s">
        <v>314</v>
      </c>
      <c r="R992" s="276">
        <v>32.74</v>
      </c>
      <c r="S992" s="275" t="s">
        <v>15793</v>
      </c>
      <c r="T992" s="279">
        <v>42674</v>
      </c>
      <c r="U992" s="279">
        <v>42681</v>
      </c>
      <c r="V992" s="279">
        <v>42685</v>
      </c>
      <c r="W992" s="293">
        <v>0</v>
      </c>
      <c r="X992" s="236">
        <v>9399</v>
      </c>
      <c r="AF992" s="276">
        <f t="shared" si="113"/>
        <v>107.74000000000001</v>
      </c>
      <c r="AG992" s="276">
        <f t="shared" si="114"/>
        <v>32.74</v>
      </c>
      <c r="AH992" s="276">
        <f t="shared" si="115"/>
        <v>116.88856999999999</v>
      </c>
      <c r="AI992" s="283">
        <f t="shared" si="116"/>
        <v>1.0849134026359752</v>
      </c>
    </row>
    <row r="993" spans="1:35" ht="30" x14ac:dyDescent="0.25">
      <c r="A993" s="275">
        <f>'Profits 2016'!A6206</f>
        <v>3004885</v>
      </c>
      <c r="B993" s="279">
        <f>'Profits 2016'!B6206</f>
        <v>42655</v>
      </c>
      <c r="C993" s="276">
        <f>'Profits 2016'!H6206</f>
        <v>285.27</v>
      </c>
      <c r="D993" s="280">
        <f>'Profits 2016'!K6206</f>
        <v>253.87556999999995</v>
      </c>
      <c r="E993" s="276">
        <f>'Profits 2016'!L6206</f>
        <v>375</v>
      </c>
      <c r="F993" s="275" t="str">
        <f>'Profits 2016'!P6206</f>
        <v>Nassau</v>
      </c>
      <c r="G993" s="292">
        <f>'Profits 2016'!N6206-'Profits 2016'!M6206</f>
        <v>112.5</v>
      </c>
      <c r="H993" s="319"/>
      <c r="I993" s="320"/>
      <c r="J993" s="321"/>
      <c r="K993" s="321"/>
      <c r="L993" s="321"/>
      <c r="M993" s="319"/>
      <c r="N993" s="322"/>
      <c r="O993" s="236" t="str">
        <f>'Profits 2016'!T6206</f>
        <v>FEDEX GROUND</v>
      </c>
      <c r="P993" s="284" t="str">
        <f>'Profits 2016'!U6206</f>
        <v>665645047563</v>
      </c>
      <c r="Q993" s="284" t="s">
        <v>314</v>
      </c>
      <c r="R993" s="276">
        <v>32.35</v>
      </c>
      <c r="S993" s="275" t="s">
        <v>15805</v>
      </c>
      <c r="T993" s="279">
        <v>42667</v>
      </c>
      <c r="U993" s="279">
        <v>42670</v>
      </c>
      <c r="V993" s="279">
        <v>42678</v>
      </c>
      <c r="W993" s="293">
        <v>0</v>
      </c>
      <c r="X993" s="236">
        <v>9301</v>
      </c>
      <c r="AF993" s="276">
        <f t="shared" si="113"/>
        <v>144.85</v>
      </c>
      <c r="AG993" s="276">
        <f t="shared" si="114"/>
        <v>32.35</v>
      </c>
      <c r="AH993" s="276">
        <f t="shared" si="115"/>
        <v>221.52556999999996</v>
      </c>
      <c r="AI993" s="283">
        <f t="shared" si="116"/>
        <v>1.5293446323783222</v>
      </c>
    </row>
    <row r="994" spans="1:35" ht="30" x14ac:dyDescent="0.25">
      <c r="A994" s="275">
        <f>'Profits 2016'!A6207</f>
        <v>3004886</v>
      </c>
      <c r="B994" s="279">
        <f>'Profits 2016'!B6207</f>
        <v>42655</v>
      </c>
      <c r="C994" s="276">
        <f>'Profits 2016'!H6207</f>
        <v>264.60000000000002</v>
      </c>
      <c r="D994" s="280">
        <f>'Profits 2016'!K6207</f>
        <v>235.45860000000002</v>
      </c>
      <c r="E994" s="276">
        <f>'Profits 2016'!L6207</f>
        <v>1322</v>
      </c>
      <c r="F994" s="275" t="str">
        <f>'Profits 2016'!P6207</f>
        <v>Nassau</v>
      </c>
      <c r="G994" s="292">
        <f>'Profits 2016'!N6207-'Profits 2016'!M6207</f>
        <v>132.20000000000002</v>
      </c>
      <c r="H994" s="319"/>
      <c r="I994" s="320"/>
      <c r="J994" s="321"/>
      <c r="K994" s="321"/>
      <c r="L994" s="321"/>
      <c r="M994" s="319"/>
      <c r="N994" s="322"/>
      <c r="O994" s="236" t="str">
        <f>'Profits 2016'!T6207</f>
        <v>FEDEX GROUND</v>
      </c>
      <c r="P994" s="284" t="str">
        <f>'Profits 2016'!U6207</f>
        <v>702723289712</v>
      </c>
      <c r="Q994" s="284" t="s">
        <v>314</v>
      </c>
      <c r="R994" s="276">
        <v>20.79</v>
      </c>
      <c r="S994" s="275" t="s">
        <v>15805</v>
      </c>
      <c r="T994" s="279">
        <v>42667</v>
      </c>
      <c r="U994" s="279">
        <v>42670</v>
      </c>
      <c r="V994" s="279">
        <v>42678</v>
      </c>
      <c r="W994" s="293">
        <v>0</v>
      </c>
      <c r="X994" s="236">
        <v>9301</v>
      </c>
      <c r="AF994" s="276">
        <f t="shared" si="113"/>
        <v>152.99</v>
      </c>
      <c r="AG994" s="276">
        <f t="shared" si="114"/>
        <v>20.79</v>
      </c>
      <c r="AH994" s="276">
        <f t="shared" si="115"/>
        <v>214.66860000000003</v>
      </c>
      <c r="AI994" s="283">
        <f t="shared" si="116"/>
        <v>1.4031544545395125</v>
      </c>
    </row>
    <row r="995" spans="1:35" ht="30" x14ac:dyDescent="0.25">
      <c r="A995" s="275">
        <f>'Profits 2016'!A6208</f>
        <v>3004887</v>
      </c>
      <c r="B995" s="279">
        <f>'Profits 2016'!B6208</f>
        <v>42655</v>
      </c>
      <c r="C995" s="276">
        <f>'Profits 2016'!H6208</f>
        <v>314.82</v>
      </c>
      <c r="D995" s="280">
        <f>'Profits 2016'!K6208</f>
        <v>280.20461999999998</v>
      </c>
      <c r="E995" s="276">
        <f>'Profits 2016'!L6208</f>
        <v>2200</v>
      </c>
      <c r="F995" s="275" t="str">
        <f>'Profits 2016'!P6208</f>
        <v>Direct</v>
      </c>
      <c r="G995" s="292">
        <f>'Profits 2016'!N6208-'Profits 2016'!M6208</f>
        <v>220.00000000000003</v>
      </c>
      <c r="H995" s="292">
        <v>0</v>
      </c>
      <c r="I995" s="275">
        <v>74364</v>
      </c>
      <c r="J995" s="277">
        <v>42656</v>
      </c>
      <c r="K995" s="277">
        <v>42670</v>
      </c>
      <c r="L995" s="277">
        <v>42671</v>
      </c>
      <c r="M995" s="292">
        <v>215.6</v>
      </c>
      <c r="N995" s="281">
        <v>9273</v>
      </c>
      <c r="O995" s="236" t="str">
        <f>'Profits 2016'!T6208</f>
        <v>FEDEX GROUND</v>
      </c>
      <c r="P995" s="284" t="str">
        <f>'Profits 2016'!U6208</f>
        <v>639794969750</v>
      </c>
      <c r="Q995" s="284" t="s">
        <v>314</v>
      </c>
      <c r="R995" s="276">
        <v>48.34</v>
      </c>
      <c r="S995" s="275" t="s">
        <v>15793</v>
      </c>
      <c r="T995" s="279">
        <v>42674</v>
      </c>
      <c r="U995" s="279">
        <v>42681</v>
      </c>
      <c r="V995" s="279">
        <v>42685</v>
      </c>
      <c r="W995" s="293">
        <v>0</v>
      </c>
      <c r="X995" s="236">
        <v>9399</v>
      </c>
      <c r="AF995" s="276">
        <f t="shared" si="113"/>
        <v>268.34000000000003</v>
      </c>
      <c r="AG995" s="276">
        <f t="shared" si="114"/>
        <v>263.94</v>
      </c>
      <c r="AH995" s="276">
        <f t="shared" si="115"/>
        <v>16.264619999999979</v>
      </c>
      <c r="AI995" s="283">
        <f t="shared" si="116"/>
        <v>6.0611984795408726E-2</v>
      </c>
    </row>
    <row r="996" spans="1:35" ht="30" x14ac:dyDescent="0.25">
      <c r="A996" s="275">
        <f>'Profits 2016'!A6209</f>
        <v>3004888</v>
      </c>
      <c r="B996" s="279">
        <f>'Profits 2016'!B6209</f>
        <v>42655</v>
      </c>
      <c r="C996" s="276">
        <f>'Profits 2016'!H6209</f>
        <v>376.5</v>
      </c>
      <c r="D996" s="280">
        <f>'Profits 2016'!K6209</f>
        <v>335.16149999999999</v>
      </c>
      <c r="E996" s="276">
        <f>'Profits 2016'!L6209</f>
        <v>806</v>
      </c>
      <c r="F996" s="275" t="str">
        <f>'Profits 2016'!P6209</f>
        <v>Nassau</v>
      </c>
      <c r="G996" s="292">
        <f>'Profits 2016'!N6209-'Profits 2016'!M6209</f>
        <v>181.35</v>
      </c>
      <c r="H996" s="319"/>
      <c r="I996" s="320"/>
      <c r="J996" s="321"/>
      <c r="K996" s="321"/>
      <c r="L996" s="321"/>
      <c r="M996" s="319"/>
      <c r="N996" s="322"/>
      <c r="O996" s="236" t="str">
        <f>'Profits 2016'!T6209</f>
        <v>FEDEX GROUND</v>
      </c>
      <c r="P996" s="284" t="str">
        <f>'Profits 2016'!U6209</f>
        <v>665645047585</v>
      </c>
      <c r="Q996" s="284" t="s">
        <v>314</v>
      </c>
      <c r="R996" s="276">
        <v>51.72</v>
      </c>
      <c r="S996" s="275" t="s">
        <v>15805</v>
      </c>
      <c r="T996" s="279">
        <v>42667</v>
      </c>
      <c r="U996" s="279">
        <v>42670</v>
      </c>
      <c r="V996" s="279">
        <v>42678</v>
      </c>
      <c r="W996" s="293">
        <v>0</v>
      </c>
      <c r="X996" s="236">
        <v>9301</v>
      </c>
      <c r="AF996" s="276">
        <f t="shared" si="113"/>
        <v>233.07</v>
      </c>
      <c r="AG996" s="276">
        <f t="shared" si="114"/>
        <v>51.72</v>
      </c>
      <c r="AH996" s="276">
        <f t="shared" si="115"/>
        <v>283.44150000000002</v>
      </c>
      <c r="AI996" s="283">
        <f t="shared" si="116"/>
        <v>1.2161217659930494</v>
      </c>
    </row>
    <row r="997" spans="1:35" ht="30" x14ac:dyDescent="0.25">
      <c r="A997" s="275">
        <f>'Profits 2016'!A6210</f>
        <v>3004889</v>
      </c>
      <c r="B997" s="279">
        <f>'Profits 2016'!B6210</f>
        <v>42655</v>
      </c>
      <c r="C997" s="276">
        <f>'Profits 2016'!H6210</f>
        <v>156.97999999999999</v>
      </c>
      <c r="D997" s="280">
        <f>'Profits 2016'!K6210</f>
        <v>139.56917999999999</v>
      </c>
      <c r="E997" s="276">
        <f>'Profits 2016'!L6210</f>
        <v>622.45000000000005</v>
      </c>
      <c r="F997" s="275" t="str">
        <f>'Profits 2016'!P6210</f>
        <v>Nassau</v>
      </c>
      <c r="G997" s="292">
        <f>'Profits 2016'!N6210-'Profits 2016'!M6210</f>
        <v>62.244999999999997</v>
      </c>
      <c r="H997" s="319"/>
      <c r="I997" s="320"/>
      <c r="J997" s="321"/>
      <c r="K997" s="321"/>
      <c r="L997" s="321"/>
      <c r="M997" s="319"/>
      <c r="N997" s="322"/>
      <c r="O997" s="236" t="str">
        <f>'Profits 2016'!T6210</f>
        <v>FEDEX GROUND</v>
      </c>
      <c r="P997" s="284" t="str">
        <f>'Profits 2016'!U6210</f>
        <v>680483360450</v>
      </c>
      <c r="Q997" s="284" t="s">
        <v>314</v>
      </c>
      <c r="R997" s="276">
        <v>19.82</v>
      </c>
      <c r="S997" s="275" t="s">
        <v>15805</v>
      </c>
      <c r="T997" s="279">
        <v>42667</v>
      </c>
      <c r="U997" s="279">
        <v>42670</v>
      </c>
      <c r="V997" s="279">
        <v>42678</v>
      </c>
      <c r="W997" s="293">
        <v>0</v>
      </c>
      <c r="X997" s="236">
        <v>9301</v>
      </c>
      <c r="AF997" s="276">
        <f t="shared" si="113"/>
        <v>82.064999999999998</v>
      </c>
      <c r="AG997" s="276">
        <f t="shared" si="114"/>
        <v>19.82</v>
      </c>
      <c r="AH997" s="276">
        <f t="shared" si="115"/>
        <v>119.74918</v>
      </c>
      <c r="AI997" s="283">
        <f t="shared" si="116"/>
        <v>1.4591991713885335</v>
      </c>
    </row>
    <row r="998" spans="1:35" x14ac:dyDescent="0.25">
      <c r="A998" s="275">
        <f>'Profits 2016'!A6211</f>
        <v>3004890</v>
      </c>
      <c r="B998" s="279">
        <f>'Profits 2016'!B6211</f>
        <v>42655</v>
      </c>
      <c r="C998" s="276">
        <f>'Profits 2016'!H6211</f>
        <v>432</v>
      </c>
      <c r="D998" s="280">
        <f>'Profits 2016'!K6211</f>
        <v>384.61200000000002</v>
      </c>
      <c r="E998" s="276">
        <f>'Profits 2016'!L6211</f>
        <v>1200</v>
      </c>
      <c r="F998" s="275" t="str">
        <f>'Profits 2016'!P6211</f>
        <v>Priority</v>
      </c>
      <c r="G998" s="292">
        <f>'Profits 2016'!N6211-'Profits 2016'!M6211</f>
        <v>239.99999999999997</v>
      </c>
      <c r="H998" s="292">
        <v>0</v>
      </c>
      <c r="I998" s="275">
        <v>1065945</v>
      </c>
      <c r="J998" s="277">
        <v>42656</v>
      </c>
      <c r="K998" s="277">
        <v>42663</v>
      </c>
      <c r="O998" s="236" t="str">
        <f>'Profits 2016'!T6211</f>
        <v>DATS</v>
      </c>
      <c r="P998" s="284" t="str">
        <f>'Profits 2016'!U6211</f>
        <v>755015195</v>
      </c>
      <c r="Q998" s="284" t="s">
        <v>15740</v>
      </c>
      <c r="R998" s="276">
        <v>108.03</v>
      </c>
      <c r="S998" s="275">
        <v>1065945</v>
      </c>
      <c r="T998" s="279">
        <v>42656</v>
      </c>
      <c r="U998" s="279">
        <v>42663</v>
      </c>
      <c r="AF998" s="276">
        <f t="shared" si="113"/>
        <v>348.03</v>
      </c>
      <c r="AG998" s="276">
        <f t="shared" si="114"/>
        <v>108.03</v>
      </c>
      <c r="AH998" s="276">
        <f t="shared" si="115"/>
        <v>276.58199999999999</v>
      </c>
      <c r="AI998" s="283">
        <f t="shared" si="116"/>
        <v>0.79470735281441263</v>
      </c>
    </row>
    <row r="999" spans="1:35" ht="30" x14ac:dyDescent="0.25">
      <c r="A999" s="275">
        <f>'Profits 2016'!A6212</f>
        <v>3004891</v>
      </c>
      <c r="B999" s="279">
        <f>'Profits 2016'!B6212</f>
        <v>42655</v>
      </c>
      <c r="C999" s="276">
        <f>'Profits 2016'!H6212</f>
        <v>553.37</v>
      </c>
      <c r="D999" s="280">
        <f>'Profits 2016'!K6212</f>
        <v>492.75267000000002</v>
      </c>
      <c r="E999" s="276">
        <f>'Profits 2016'!L6212</f>
        <v>584</v>
      </c>
      <c r="F999" s="275" t="str">
        <f>'Profits 2016'!P6212</f>
        <v>Commodity</v>
      </c>
      <c r="G999" s="292">
        <f>'Profits 2016'!N6212-'Profits 2016'!M6212</f>
        <v>292</v>
      </c>
      <c r="H999" s="292">
        <v>0</v>
      </c>
      <c r="I999" s="275" t="s">
        <v>15865</v>
      </c>
      <c r="J999" s="277">
        <v>42660</v>
      </c>
      <c r="K999" s="277">
        <v>42664</v>
      </c>
      <c r="L999" s="277">
        <v>42671</v>
      </c>
      <c r="M999" s="292">
        <v>390.39</v>
      </c>
      <c r="N999" s="281">
        <v>9244</v>
      </c>
      <c r="O999" s="236" t="str">
        <f>'Profits 2016'!T6212</f>
        <v>R&amp;L CARRIERS</v>
      </c>
      <c r="P999" s="284" t="str">
        <f>'Profits 2016'!U6212</f>
        <v>734763744</v>
      </c>
      <c r="Q999" s="284" t="s">
        <v>15764</v>
      </c>
      <c r="R999" s="276">
        <v>106.36</v>
      </c>
      <c r="S999" s="275" t="s">
        <v>15865</v>
      </c>
      <c r="T999" s="279">
        <v>42660</v>
      </c>
      <c r="U999" s="279">
        <v>42664</v>
      </c>
      <c r="AF999" s="276">
        <f t="shared" si="113"/>
        <v>398.36</v>
      </c>
      <c r="AG999" s="276">
        <f t="shared" si="114"/>
        <v>496.75</v>
      </c>
      <c r="AH999" s="276">
        <f t="shared" si="115"/>
        <v>-3.9973299999999767</v>
      </c>
      <c r="AI999" s="283">
        <f t="shared" si="116"/>
        <v>-1.0034466311878643E-2</v>
      </c>
    </row>
    <row r="1000" spans="1:35" ht="30" x14ac:dyDescent="0.25">
      <c r="A1000" s="275">
        <f>'Profits 2016'!A6213</f>
        <v>3004892</v>
      </c>
      <c r="B1000" s="279">
        <f>'Profits 2016'!B6213</f>
        <v>42655</v>
      </c>
      <c r="C1000" s="276">
        <f>'Profits 2016'!H6213</f>
        <v>140</v>
      </c>
      <c r="D1000" s="280">
        <f>'Profits 2016'!K6213</f>
        <v>119</v>
      </c>
      <c r="E1000" s="276">
        <f>'Profits 2016'!L6213</f>
        <v>695</v>
      </c>
      <c r="F1000" s="275" t="str">
        <f>'Profits 2016'!P6213</f>
        <v>Nassau</v>
      </c>
      <c r="G1000" s="292">
        <f>'Profits 2016'!N6213-'Profits 2016'!M6213</f>
        <v>69.5</v>
      </c>
      <c r="H1000" s="319"/>
      <c r="I1000" s="320"/>
      <c r="J1000" s="321"/>
      <c r="K1000" s="321"/>
      <c r="L1000" s="321"/>
      <c r="M1000" s="319"/>
      <c r="N1000" s="322"/>
      <c r="O1000" s="236" t="str">
        <f>'Profits 2016'!T6213</f>
        <v>FEDEX GROUND</v>
      </c>
      <c r="P1000" s="284" t="str">
        <f>'Profits 2016'!U6213</f>
        <v>702723289745</v>
      </c>
      <c r="Q1000" s="284" t="s">
        <v>314</v>
      </c>
      <c r="R1000" s="276">
        <v>13.27</v>
      </c>
      <c r="S1000" s="275" t="s">
        <v>15805</v>
      </c>
      <c r="T1000" s="279">
        <v>42667</v>
      </c>
      <c r="U1000" s="279">
        <v>42670</v>
      </c>
      <c r="V1000" s="279">
        <v>42678</v>
      </c>
      <c r="W1000" s="293">
        <v>0</v>
      </c>
      <c r="X1000" s="236">
        <v>9301</v>
      </c>
      <c r="AF1000" s="276">
        <f t="shared" si="113"/>
        <v>82.77</v>
      </c>
      <c r="AG1000" s="276">
        <f t="shared" si="114"/>
        <v>13.27</v>
      </c>
      <c r="AH1000" s="276">
        <f t="shared" si="115"/>
        <v>105.73</v>
      </c>
      <c r="AI1000" s="283">
        <f t="shared" si="116"/>
        <v>1.277395191494503</v>
      </c>
    </row>
    <row r="1001" spans="1:35" ht="30" x14ac:dyDescent="0.25">
      <c r="A1001" s="275">
        <f>'Profits 2016'!A6214</f>
        <v>3004893</v>
      </c>
      <c r="B1001" s="279">
        <f>'Profits 2016'!B6214</f>
        <v>42655</v>
      </c>
      <c r="C1001" s="276">
        <f>'Profits 2016'!H6214</f>
        <v>113.43</v>
      </c>
      <c r="D1001" s="280">
        <f>'Profits 2016'!K6214</f>
        <v>96.415500000000009</v>
      </c>
      <c r="E1001" s="276">
        <f>'Profits 2016'!L6214</f>
        <v>900</v>
      </c>
      <c r="F1001" s="275" t="str">
        <f>'Profits 2016'!P6214</f>
        <v>Nassau</v>
      </c>
      <c r="G1001" s="292">
        <f>'Profits 2016'!N6214-'Profits 2016'!M6214</f>
        <v>45</v>
      </c>
      <c r="H1001" s="319"/>
      <c r="I1001" s="320"/>
      <c r="J1001" s="321"/>
      <c r="K1001" s="321"/>
      <c r="L1001" s="321"/>
      <c r="M1001" s="319"/>
      <c r="N1001" s="322"/>
      <c r="O1001" s="236" t="str">
        <f>'Profits 2016'!T6214</f>
        <v>FEDEX GROUND</v>
      </c>
      <c r="P1001" s="284" t="str">
        <f>'Profits 2016'!U6214</f>
        <v>680483360461</v>
      </c>
      <c r="Q1001" s="284" t="s">
        <v>314</v>
      </c>
      <c r="R1001" s="276">
        <v>21.2</v>
      </c>
      <c r="S1001" s="275" t="s">
        <v>15805</v>
      </c>
      <c r="T1001" s="279">
        <v>42667</v>
      </c>
      <c r="U1001" s="279">
        <v>42670</v>
      </c>
      <c r="V1001" s="279">
        <v>42678</v>
      </c>
      <c r="W1001" s="293">
        <v>0</v>
      </c>
      <c r="X1001" s="236">
        <v>9301</v>
      </c>
      <c r="AF1001" s="276">
        <f t="shared" ref="AF1001:AF1007" si="117">G1001+H1002+R1001+Y1001</f>
        <v>66.2</v>
      </c>
      <c r="AG1001" s="276">
        <f t="shared" si="114"/>
        <v>21.2</v>
      </c>
      <c r="AH1001" s="276">
        <f t="shared" si="115"/>
        <v>75.215500000000006</v>
      </c>
      <c r="AI1001" s="283">
        <f t="shared" si="116"/>
        <v>1.1361858006042296</v>
      </c>
    </row>
    <row r="1002" spans="1:35" ht="30" x14ac:dyDescent="0.25">
      <c r="A1002" s="275">
        <f>'Profits 2016'!A6215</f>
        <v>3004894</v>
      </c>
      <c r="B1002" s="279">
        <f>'Profits 2016'!B6215</f>
        <v>42655</v>
      </c>
      <c r="C1002" s="276">
        <f>'Profits 2016'!H6215</f>
        <v>192.58</v>
      </c>
      <c r="D1002" s="280">
        <f>'Profits 2016'!K6215</f>
        <v>163.69300000000001</v>
      </c>
      <c r="E1002" s="276">
        <f>'Profits 2016'!L6215</f>
        <v>990</v>
      </c>
      <c r="F1002" s="275" t="str">
        <f>'Profits 2016'!P6215</f>
        <v>Nassau</v>
      </c>
      <c r="G1002" s="292">
        <f>'Profits 2016'!N6215-'Profits 2016'!M6215</f>
        <v>74.25</v>
      </c>
      <c r="H1002" s="319"/>
      <c r="I1002" s="320"/>
      <c r="J1002" s="321"/>
      <c r="K1002" s="321"/>
      <c r="L1002" s="321"/>
      <c r="M1002" s="319"/>
      <c r="N1002" s="322"/>
      <c r="O1002" s="236" t="str">
        <f>'Profits 2016'!T6215</f>
        <v>FEDEX GROUND</v>
      </c>
      <c r="P1002" s="284" t="str">
        <f>'Profits 2016'!U6215</f>
        <v>702723289734</v>
      </c>
      <c r="Q1002" s="284" t="s">
        <v>314</v>
      </c>
      <c r="R1002" s="276">
        <v>36.6</v>
      </c>
      <c r="S1002" s="275" t="s">
        <v>15793</v>
      </c>
      <c r="T1002" s="279">
        <v>42674</v>
      </c>
      <c r="U1002" s="279">
        <v>42681</v>
      </c>
      <c r="V1002" s="279">
        <v>42685</v>
      </c>
      <c r="W1002" s="293">
        <v>0</v>
      </c>
      <c r="X1002" s="236">
        <v>9399</v>
      </c>
      <c r="AF1002" s="276">
        <f t="shared" si="117"/>
        <v>110.85</v>
      </c>
      <c r="AG1002" s="276">
        <f t="shared" si="114"/>
        <v>36.6</v>
      </c>
      <c r="AH1002" s="276">
        <f t="shared" si="115"/>
        <v>127.09300000000002</v>
      </c>
      <c r="AI1002" s="283">
        <f t="shared" si="116"/>
        <v>1.1465313486693733</v>
      </c>
    </row>
    <row r="1003" spans="1:35" ht="30" x14ac:dyDescent="0.25">
      <c r="A1003" s="275">
        <f>'Profits 2016'!A6216</f>
        <v>3004895</v>
      </c>
      <c r="B1003" s="279">
        <f>'Profits 2016'!B6216</f>
        <v>42655</v>
      </c>
      <c r="C1003" s="276">
        <f>'Profits 2016'!H6216</f>
        <v>127.4</v>
      </c>
      <c r="D1003" s="280">
        <f>'Profits 2016'!K6216</f>
        <v>108.29</v>
      </c>
      <c r="E1003" s="276">
        <f>'Profits 2016'!L6216</f>
        <v>1170</v>
      </c>
      <c r="F1003" s="275" t="str">
        <f>'Profits 2016'!P6216</f>
        <v>Direct</v>
      </c>
      <c r="G1003" s="292">
        <f>'Profits 2016'!N6216-'Profits 2016'!M6216</f>
        <v>76.049999999999983</v>
      </c>
      <c r="H1003" s="292">
        <v>0</v>
      </c>
      <c r="I1003" s="275">
        <v>74374</v>
      </c>
      <c r="J1003" s="277">
        <v>42656</v>
      </c>
      <c r="K1003" s="277">
        <v>42670</v>
      </c>
      <c r="L1003" s="277">
        <v>42671</v>
      </c>
      <c r="M1003" s="292">
        <v>74.53</v>
      </c>
      <c r="N1003" s="281">
        <v>9273</v>
      </c>
      <c r="O1003" s="236" t="str">
        <f>'Profits 2016'!T6216</f>
        <v>FEDEX GROUND</v>
      </c>
      <c r="P1003" s="284" t="str">
        <f>'Profits 2016'!U6216</f>
        <v>639794969761</v>
      </c>
      <c r="Q1003" s="284" t="s">
        <v>314</v>
      </c>
      <c r="R1003" s="276">
        <v>14.43</v>
      </c>
      <c r="S1003" s="275" t="s">
        <v>15793</v>
      </c>
      <c r="T1003" s="279">
        <v>42674</v>
      </c>
      <c r="U1003" s="279">
        <v>42681</v>
      </c>
      <c r="V1003" s="279">
        <v>42685</v>
      </c>
      <c r="W1003" s="293">
        <v>0</v>
      </c>
      <c r="X1003" s="236">
        <v>9399</v>
      </c>
      <c r="AF1003" s="276">
        <f t="shared" si="117"/>
        <v>90.47999999999999</v>
      </c>
      <c r="AG1003" s="276">
        <f t="shared" si="114"/>
        <v>88.960000000000008</v>
      </c>
      <c r="AH1003" s="276">
        <f t="shared" si="115"/>
        <v>19.329999999999998</v>
      </c>
      <c r="AI1003" s="283">
        <f t="shared" si="116"/>
        <v>0.21363837312113174</v>
      </c>
    </row>
    <row r="1004" spans="1:35" x14ac:dyDescent="0.25">
      <c r="A1004" s="275">
        <f>'Profits 2016'!A6217</f>
        <v>3004896</v>
      </c>
      <c r="B1004" s="279">
        <f>'Profits 2016'!B6217</f>
        <v>42655</v>
      </c>
      <c r="C1004" s="276">
        <f>'Profits 2016'!H6217</f>
        <v>42877.55</v>
      </c>
      <c r="D1004" s="280">
        <f>'Profits 2016'!K6217</f>
        <v>42877.55</v>
      </c>
      <c r="E1004" s="276">
        <f>'Profits 2016'!L6217</f>
        <v>1693</v>
      </c>
      <c r="F1004" s="275" t="str">
        <f>'Profits 2016'!P6217</f>
        <v>Nassau</v>
      </c>
      <c r="G1004" s="292">
        <f>'Profits 2016'!N6217-'Profits 2016'!M6217</f>
        <v>1693</v>
      </c>
      <c r="H1004" s="319"/>
      <c r="I1004" s="320"/>
      <c r="J1004" s="321"/>
      <c r="K1004" s="321"/>
      <c r="L1004" s="321"/>
      <c r="M1004" s="319"/>
      <c r="N1004" s="322"/>
      <c r="O1004" s="236" t="str">
        <f>'Profits 2016'!T6217</f>
        <v>FEDEX/DLS</v>
      </c>
      <c r="P1004" s="284" t="str">
        <f>'Profits 2016'!U6217</f>
        <v>342365153-4</v>
      </c>
      <c r="Q1004" s="284" t="s">
        <v>15804</v>
      </c>
      <c r="R1004" s="276">
        <v>659</v>
      </c>
      <c r="S1004" s="275">
        <v>636889102</v>
      </c>
      <c r="T1004" s="279">
        <v>42670</v>
      </c>
      <c r="U1004" s="279">
        <v>42675</v>
      </c>
      <c r="AF1004" s="276">
        <f t="shared" si="117"/>
        <v>2352</v>
      </c>
      <c r="AG1004" s="276">
        <f t="shared" si="114"/>
        <v>659</v>
      </c>
      <c r="AH1004" s="276">
        <f t="shared" si="115"/>
        <v>42218.55</v>
      </c>
      <c r="AI1004" s="283">
        <f t="shared" si="116"/>
        <v>17.950063775510205</v>
      </c>
    </row>
    <row r="1005" spans="1:35" x14ac:dyDescent="0.25">
      <c r="A1005" s="275">
        <f>'Profits 2016'!A6218</f>
        <v>0</v>
      </c>
      <c r="B1005" s="279">
        <f>'Profits 2016'!B6218</f>
        <v>0</v>
      </c>
      <c r="C1005" s="276">
        <f>'Profits 2016'!H6218</f>
        <v>0</v>
      </c>
      <c r="D1005" s="280">
        <f>'Profits 2016'!K6218</f>
        <v>0</v>
      </c>
      <c r="E1005" s="276">
        <f>'Profits 2016'!L6218</f>
        <v>616</v>
      </c>
      <c r="F1005" s="275" t="str">
        <f>'Profits 2016'!P6218</f>
        <v>Nassau</v>
      </c>
      <c r="G1005" s="292">
        <f>'Profits 2016'!N6218-'Profits 2016'!M6218</f>
        <v>1848</v>
      </c>
      <c r="H1005" s="319"/>
      <c r="I1005" s="320"/>
      <c r="J1005" s="321"/>
      <c r="K1005" s="321"/>
      <c r="L1005" s="321"/>
      <c r="M1005" s="319"/>
      <c r="N1005" s="322"/>
      <c r="O1005" s="236">
        <f>'Profits 2016'!T6218</f>
        <v>0</v>
      </c>
      <c r="P1005" s="284">
        <f>'Profits 2016'!U6218</f>
        <v>0</v>
      </c>
      <c r="Q1005" s="284" t="s">
        <v>15804</v>
      </c>
      <c r="R1005" s="276">
        <v>0</v>
      </c>
      <c r="S1005" s="275">
        <v>636889102</v>
      </c>
      <c r="T1005" s="279">
        <v>42670</v>
      </c>
      <c r="U1005" s="279">
        <v>42675</v>
      </c>
      <c r="AF1005" s="276">
        <f t="shared" si="117"/>
        <v>1848</v>
      </c>
      <c r="AG1005" s="276">
        <f t="shared" si="114"/>
        <v>0</v>
      </c>
      <c r="AH1005" s="276">
        <f t="shared" si="115"/>
        <v>0</v>
      </c>
      <c r="AI1005" s="283">
        <f t="shared" si="116"/>
        <v>0</v>
      </c>
    </row>
    <row r="1006" spans="1:35" x14ac:dyDescent="0.25">
      <c r="A1006" s="275">
        <f>'Profits 2016'!A6219</f>
        <v>0</v>
      </c>
      <c r="B1006" s="279">
        <f>'Profits 2016'!B6219</f>
        <v>0</v>
      </c>
      <c r="C1006" s="276">
        <f>'Profits 2016'!H6219</f>
        <v>0</v>
      </c>
      <c r="D1006" s="280">
        <f>'Profits 2016'!K6219</f>
        <v>0</v>
      </c>
      <c r="E1006" s="276">
        <f>'Profits 2016'!L6219</f>
        <v>3300</v>
      </c>
      <c r="F1006" s="275" t="str">
        <f>'Profits 2016'!P6219</f>
        <v>Nassau</v>
      </c>
      <c r="G1006" s="292">
        <f>'Profits 2016'!N6219-'Profits 2016'!M6219</f>
        <v>244.2</v>
      </c>
      <c r="H1006" s="319"/>
      <c r="I1006" s="320"/>
      <c r="J1006" s="321"/>
      <c r="K1006" s="321"/>
      <c r="L1006" s="321"/>
      <c r="M1006" s="319"/>
      <c r="N1006" s="322"/>
      <c r="O1006" s="236">
        <f>'Profits 2016'!T6219</f>
        <v>0</v>
      </c>
      <c r="P1006" s="284">
        <f>'Profits 2016'!U6219</f>
        <v>0</v>
      </c>
      <c r="Q1006" s="284" t="s">
        <v>15804</v>
      </c>
      <c r="R1006" s="276">
        <v>0</v>
      </c>
      <c r="S1006" s="275">
        <v>636889102</v>
      </c>
      <c r="T1006" s="279">
        <v>42670</v>
      </c>
      <c r="U1006" s="279">
        <v>42675</v>
      </c>
      <c r="AF1006" s="276">
        <f t="shared" si="117"/>
        <v>244.2</v>
      </c>
      <c r="AG1006" s="276">
        <f t="shared" si="114"/>
        <v>0</v>
      </c>
      <c r="AH1006" s="276">
        <f t="shared" si="115"/>
        <v>0</v>
      </c>
      <c r="AI1006" s="283">
        <f t="shared" si="116"/>
        <v>0</v>
      </c>
    </row>
    <row r="1007" spans="1:35" x14ac:dyDescent="0.25">
      <c r="A1007" s="275">
        <f>'Profits 2016'!A6220</f>
        <v>0</v>
      </c>
      <c r="B1007" s="279">
        <f>'Profits 2016'!B6220</f>
        <v>0</v>
      </c>
      <c r="C1007" s="276">
        <f>'Profits 2016'!H6220</f>
        <v>0</v>
      </c>
      <c r="D1007" s="280">
        <f>'Profits 2016'!K6220</f>
        <v>0</v>
      </c>
      <c r="E1007" s="276">
        <f>'Profits 2016'!L6220</f>
        <v>1322</v>
      </c>
      <c r="F1007" s="275" t="str">
        <f>'Profits 2016'!P6220</f>
        <v>Nassau</v>
      </c>
      <c r="G1007" s="292">
        <f>'Profits 2016'!N6220-'Profits 2016'!M6220</f>
        <v>1175.258</v>
      </c>
      <c r="H1007" s="319"/>
      <c r="I1007" s="320"/>
      <c r="J1007" s="321"/>
      <c r="K1007" s="321"/>
      <c r="L1007" s="321"/>
      <c r="M1007" s="319"/>
      <c r="N1007" s="322"/>
      <c r="O1007" s="236">
        <f>'Profits 2016'!T6220</f>
        <v>0</v>
      </c>
      <c r="P1007" s="284">
        <f>'Profits 2016'!U6220</f>
        <v>0</v>
      </c>
      <c r="Q1007" s="284" t="s">
        <v>15804</v>
      </c>
      <c r="R1007" s="276">
        <v>0</v>
      </c>
      <c r="S1007" s="275">
        <v>636889102</v>
      </c>
      <c r="T1007" s="279">
        <v>42670</v>
      </c>
      <c r="U1007" s="279">
        <v>42675</v>
      </c>
      <c r="AF1007" s="276">
        <f t="shared" si="117"/>
        <v>1175.258</v>
      </c>
      <c r="AG1007" s="276">
        <f t="shared" si="114"/>
        <v>0</v>
      </c>
      <c r="AH1007" s="276">
        <f t="shared" si="115"/>
        <v>0</v>
      </c>
      <c r="AI1007" s="283">
        <f t="shared" si="116"/>
        <v>0</v>
      </c>
    </row>
    <row r="1008" spans="1:35" x14ac:dyDescent="0.25">
      <c r="A1008" s="275">
        <f>'Profits 2016'!A6221</f>
        <v>0</v>
      </c>
      <c r="B1008" s="279">
        <f>'Profits 2016'!B6221</f>
        <v>0</v>
      </c>
      <c r="C1008" s="276">
        <f>'Profits 2016'!H6221</f>
        <v>0</v>
      </c>
      <c r="D1008" s="280">
        <f>'Profits 2016'!K6221</f>
        <v>0</v>
      </c>
      <c r="E1008" s="276">
        <f>'Profits 2016'!L6221</f>
        <v>990</v>
      </c>
      <c r="F1008" s="275" t="str">
        <f>'Profits 2016'!P6221</f>
        <v>Nassau</v>
      </c>
      <c r="G1008" s="292">
        <f>'Profits 2016'!N6221-'Profits 2016'!M6221</f>
        <v>694.98</v>
      </c>
      <c r="H1008" s="319"/>
      <c r="I1008" s="320"/>
      <c r="J1008" s="321"/>
      <c r="K1008" s="321"/>
      <c r="L1008" s="321"/>
      <c r="M1008" s="319"/>
      <c r="N1008" s="322"/>
      <c r="O1008" s="236">
        <f>'Profits 2016'!T6221</f>
        <v>0</v>
      </c>
      <c r="P1008" s="284">
        <f>'Profits 2016'!U6221</f>
        <v>0</v>
      </c>
      <c r="Q1008" s="284" t="s">
        <v>15804</v>
      </c>
      <c r="R1008" s="276">
        <v>0</v>
      </c>
      <c r="S1008" s="275">
        <v>636889102</v>
      </c>
      <c r="T1008" s="279">
        <v>42670</v>
      </c>
      <c r="U1008" s="279">
        <v>42675</v>
      </c>
      <c r="AF1008" s="276">
        <f t="shared" ref="AF1008:AF1072" si="118">G1008+H1009+R1008+Y1008</f>
        <v>694.98</v>
      </c>
      <c r="AG1008" s="276">
        <f t="shared" si="114"/>
        <v>0</v>
      </c>
      <c r="AH1008" s="276">
        <f t="shared" si="115"/>
        <v>0</v>
      </c>
      <c r="AI1008" s="283">
        <f t="shared" si="116"/>
        <v>0</v>
      </c>
    </row>
    <row r="1009" spans="1:35" x14ac:dyDescent="0.25">
      <c r="A1009" s="275">
        <f>'Profits 2016'!A6222</f>
        <v>0</v>
      </c>
      <c r="B1009" s="279">
        <f>'Profits 2016'!B6222</f>
        <v>0</v>
      </c>
      <c r="C1009" s="276">
        <f>'Profits 2016'!H6222</f>
        <v>0</v>
      </c>
      <c r="D1009" s="280">
        <f>'Profits 2016'!K6222</f>
        <v>0</v>
      </c>
      <c r="E1009" s="276">
        <f>'Profits 2016'!L6222</f>
        <v>695</v>
      </c>
      <c r="F1009" s="275" t="str">
        <f>'Profits 2016'!P6222</f>
        <v>Nassau</v>
      </c>
      <c r="G1009" s="292">
        <f>'Profits 2016'!N6222-'Profits 2016'!M6222</f>
        <v>156.375</v>
      </c>
      <c r="H1009" s="319"/>
      <c r="I1009" s="320"/>
      <c r="J1009" s="321"/>
      <c r="K1009" s="321"/>
      <c r="L1009" s="321"/>
      <c r="M1009" s="319"/>
      <c r="N1009" s="322"/>
      <c r="O1009" s="236">
        <f>'Profits 2016'!T6222</f>
        <v>0</v>
      </c>
      <c r="P1009" s="284">
        <f>'Profits 2016'!U6222</f>
        <v>0</v>
      </c>
      <c r="Q1009" s="284" t="s">
        <v>15804</v>
      </c>
      <c r="R1009" s="276">
        <v>0</v>
      </c>
      <c r="S1009" s="275">
        <v>636889102</v>
      </c>
      <c r="T1009" s="279">
        <v>42670</v>
      </c>
      <c r="U1009" s="279">
        <v>42675</v>
      </c>
      <c r="AF1009" s="276">
        <f t="shared" si="118"/>
        <v>156.375</v>
      </c>
      <c r="AG1009" s="276">
        <f t="shared" si="114"/>
        <v>0</v>
      </c>
      <c r="AH1009" s="276">
        <f t="shared" si="115"/>
        <v>0</v>
      </c>
      <c r="AI1009" s="283">
        <f t="shared" si="116"/>
        <v>0</v>
      </c>
    </row>
    <row r="1010" spans="1:35" x14ac:dyDescent="0.25">
      <c r="A1010" s="275">
        <f>'Profits 2016'!A6223</f>
        <v>0</v>
      </c>
      <c r="B1010" s="279">
        <f>'Profits 2016'!B6223</f>
        <v>0</v>
      </c>
      <c r="C1010" s="276">
        <f>'Profits 2016'!H6223</f>
        <v>0</v>
      </c>
      <c r="D1010" s="280">
        <f>'Profits 2016'!K6223</f>
        <v>0</v>
      </c>
      <c r="E1010" s="276">
        <f>'Profits 2016'!L6223</f>
        <v>900</v>
      </c>
      <c r="F1010" s="275" t="str">
        <f>'Profits 2016'!P6223</f>
        <v>Nassau</v>
      </c>
      <c r="G1010" s="292">
        <f>'Profits 2016'!N6223-'Profits 2016'!M6223</f>
        <v>330.3</v>
      </c>
      <c r="H1010" s="319"/>
      <c r="I1010" s="320"/>
      <c r="J1010" s="321"/>
      <c r="K1010" s="321"/>
      <c r="L1010" s="321"/>
      <c r="M1010" s="319"/>
      <c r="N1010" s="322"/>
      <c r="O1010" s="236">
        <f>'Profits 2016'!T6223</f>
        <v>0</v>
      </c>
      <c r="P1010" s="284">
        <f>'Profits 2016'!U6223</f>
        <v>0</v>
      </c>
      <c r="Q1010" s="284" t="s">
        <v>15804</v>
      </c>
      <c r="R1010" s="276">
        <v>0</v>
      </c>
      <c r="S1010" s="275">
        <v>636889102</v>
      </c>
      <c r="T1010" s="279">
        <v>42670</v>
      </c>
      <c r="U1010" s="279">
        <v>42675</v>
      </c>
      <c r="AF1010" s="276">
        <f t="shared" si="118"/>
        <v>330.3</v>
      </c>
      <c r="AG1010" s="276">
        <f t="shared" si="114"/>
        <v>0</v>
      </c>
      <c r="AH1010" s="276">
        <f t="shared" si="115"/>
        <v>0</v>
      </c>
      <c r="AI1010" s="283">
        <f t="shared" si="116"/>
        <v>0</v>
      </c>
    </row>
    <row r="1011" spans="1:35" x14ac:dyDescent="0.25">
      <c r="A1011" s="275">
        <f>'Profits 2016'!A6224</f>
        <v>0</v>
      </c>
      <c r="B1011" s="279">
        <f>'Profits 2016'!B6224</f>
        <v>0</v>
      </c>
      <c r="C1011" s="276">
        <f>'Profits 2016'!H6224</f>
        <v>0</v>
      </c>
      <c r="D1011" s="280">
        <f>'Profits 2016'!K6224</f>
        <v>0</v>
      </c>
      <c r="E1011" s="276">
        <f>'Profits 2016'!L6224</f>
        <v>622.45000000000005</v>
      </c>
      <c r="F1011" s="275" t="str">
        <f>'Profits 2016'!P6224</f>
        <v>Nassau</v>
      </c>
      <c r="G1011" s="292">
        <f>'Profits 2016'!N6224-'Profits 2016'!M6224</f>
        <v>155.61250000000001</v>
      </c>
      <c r="H1011" s="319"/>
      <c r="I1011" s="320"/>
      <c r="J1011" s="321"/>
      <c r="K1011" s="321"/>
      <c r="L1011" s="321"/>
      <c r="M1011" s="319"/>
      <c r="N1011" s="322"/>
      <c r="O1011" s="236">
        <f>'Profits 2016'!T6224</f>
        <v>0</v>
      </c>
      <c r="P1011" s="284">
        <f>'Profits 2016'!U6224</f>
        <v>0</v>
      </c>
      <c r="Q1011" s="284" t="s">
        <v>15804</v>
      </c>
      <c r="R1011" s="276">
        <v>0</v>
      </c>
      <c r="S1011" s="275">
        <v>636889102</v>
      </c>
      <c r="T1011" s="279">
        <v>42670</v>
      </c>
      <c r="U1011" s="279">
        <v>42675</v>
      </c>
      <c r="AF1011" s="276">
        <f t="shared" si="118"/>
        <v>155.61250000000001</v>
      </c>
      <c r="AG1011" s="276">
        <f t="shared" si="114"/>
        <v>0</v>
      </c>
      <c r="AH1011" s="276">
        <f t="shared" si="115"/>
        <v>0</v>
      </c>
      <c r="AI1011" s="283">
        <f t="shared" si="116"/>
        <v>0</v>
      </c>
    </row>
    <row r="1012" spans="1:35" x14ac:dyDescent="0.25">
      <c r="A1012" s="275">
        <f>'Profits 2016'!A6225</f>
        <v>0</v>
      </c>
      <c r="B1012" s="279">
        <f>'Profits 2016'!B6225</f>
        <v>0</v>
      </c>
      <c r="C1012" s="276">
        <f>'Profits 2016'!H6225</f>
        <v>0</v>
      </c>
      <c r="D1012" s="280">
        <f>'Profits 2016'!K6225</f>
        <v>0</v>
      </c>
      <c r="E1012" s="276">
        <f>'Profits 2016'!L6225</f>
        <v>220</v>
      </c>
      <c r="F1012" s="275" t="str">
        <f>'Profits 2016'!P6225</f>
        <v>Nassau</v>
      </c>
      <c r="G1012" s="292">
        <f>'Profits 2016'!N6225-'Profits 2016'!M6225</f>
        <v>440</v>
      </c>
      <c r="H1012" s="319"/>
      <c r="I1012" s="320"/>
      <c r="J1012" s="321"/>
      <c r="K1012" s="321"/>
      <c r="L1012" s="321"/>
      <c r="M1012" s="319"/>
      <c r="N1012" s="322"/>
      <c r="O1012" s="236">
        <f>'Profits 2016'!T6225</f>
        <v>0</v>
      </c>
      <c r="P1012" s="284">
        <f>'Profits 2016'!U6225</f>
        <v>0</v>
      </c>
      <c r="Q1012" s="284" t="s">
        <v>15804</v>
      </c>
      <c r="R1012" s="276">
        <v>0</v>
      </c>
      <c r="S1012" s="275">
        <v>636889102</v>
      </c>
      <c r="T1012" s="279">
        <v>42670</v>
      </c>
      <c r="U1012" s="279">
        <v>42675</v>
      </c>
      <c r="AF1012" s="276">
        <f t="shared" si="118"/>
        <v>440</v>
      </c>
      <c r="AG1012" s="276">
        <f t="shared" si="114"/>
        <v>0</v>
      </c>
      <c r="AH1012" s="276">
        <f t="shared" si="115"/>
        <v>0</v>
      </c>
      <c r="AI1012" s="283">
        <f t="shared" si="116"/>
        <v>0</v>
      </c>
    </row>
    <row r="1013" spans="1:35" x14ac:dyDescent="0.25">
      <c r="A1013" s="275">
        <f>'Profits 2016'!A6226</f>
        <v>0</v>
      </c>
      <c r="B1013" s="279">
        <f>'Profits 2016'!B6226</f>
        <v>0</v>
      </c>
      <c r="C1013" s="276">
        <f>'Profits 2016'!H6226</f>
        <v>0</v>
      </c>
      <c r="D1013" s="280">
        <f>'Profits 2016'!K6226</f>
        <v>0</v>
      </c>
      <c r="E1013" s="276">
        <f>'Profits 2016'!L6226</f>
        <v>395</v>
      </c>
      <c r="F1013" s="275" t="str">
        <f>'Profits 2016'!P6226</f>
        <v>Nassau</v>
      </c>
      <c r="G1013" s="292">
        <f>'Profits 2016'!N6226-'Profits 2016'!M6226</f>
        <v>790</v>
      </c>
      <c r="H1013" s="319"/>
      <c r="I1013" s="320"/>
      <c r="J1013" s="321"/>
      <c r="K1013" s="321"/>
      <c r="L1013" s="321"/>
      <c r="M1013" s="319"/>
      <c r="N1013" s="322"/>
      <c r="O1013" s="236">
        <f>'Profits 2016'!T6226</f>
        <v>0</v>
      </c>
      <c r="P1013" s="284">
        <f>'Profits 2016'!U6226</f>
        <v>0</v>
      </c>
      <c r="Q1013" s="284" t="s">
        <v>15804</v>
      </c>
      <c r="R1013" s="276">
        <v>0</v>
      </c>
      <c r="S1013" s="275">
        <v>636889102</v>
      </c>
      <c r="T1013" s="279">
        <v>42670</v>
      </c>
      <c r="U1013" s="279">
        <v>42675</v>
      </c>
      <c r="AF1013" s="276">
        <f t="shared" si="118"/>
        <v>790</v>
      </c>
      <c r="AG1013" s="276">
        <f t="shared" si="114"/>
        <v>0</v>
      </c>
      <c r="AH1013" s="276">
        <f t="shared" si="115"/>
        <v>0</v>
      </c>
      <c r="AI1013" s="283">
        <f t="shared" si="116"/>
        <v>0</v>
      </c>
    </row>
    <row r="1014" spans="1:35" x14ac:dyDescent="0.25">
      <c r="A1014" s="275">
        <f>'Profits 2016'!A6227</f>
        <v>0</v>
      </c>
      <c r="B1014" s="279">
        <f>'Profits 2016'!B6227</f>
        <v>0</v>
      </c>
      <c r="C1014" s="276">
        <f>'Profits 2016'!H6227</f>
        <v>0</v>
      </c>
      <c r="D1014" s="280">
        <f>'Profits 2016'!K6227</f>
        <v>0</v>
      </c>
      <c r="E1014" s="276">
        <f>'Profits 2016'!L6227</f>
        <v>210</v>
      </c>
      <c r="F1014" s="275" t="str">
        <f>'Profits 2016'!P6227</f>
        <v>Nassau</v>
      </c>
      <c r="G1014" s="292">
        <f>'Profits 2016'!N6227-'Profits 2016'!M6227</f>
        <v>420</v>
      </c>
      <c r="H1014" s="319"/>
      <c r="I1014" s="320"/>
      <c r="J1014" s="321"/>
      <c r="K1014" s="321"/>
      <c r="L1014" s="321"/>
      <c r="M1014" s="319"/>
      <c r="N1014" s="322"/>
      <c r="O1014" s="236">
        <f>'Profits 2016'!T6227</f>
        <v>0</v>
      </c>
      <c r="P1014" s="284">
        <f>'Profits 2016'!U6227</f>
        <v>0</v>
      </c>
      <c r="Q1014" s="284" t="s">
        <v>15804</v>
      </c>
      <c r="R1014" s="276">
        <v>0</v>
      </c>
      <c r="S1014" s="275">
        <v>636889102</v>
      </c>
      <c r="T1014" s="279">
        <v>42670</v>
      </c>
      <c r="U1014" s="279">
        <v>42675</v>
      </c>
      <c r="AF1014" s="276">
        <f t="shared" si="118"/>
        <v>420</v>
      </c>
      <c r="AG1014" s="276">
        <f t="shared" si="114"/>
        <v>0</v>
      </c>
      <c r="AH1014" s="276">
        <f t="shared" si="115"/>
        <v>0</v>
      </c>
      <c r="AI1014" s="283">
        <f t="shared" si="116"/>
        <v>0</v>
      </c>
    </row>
    <row r="1015" spans="1:35" x14ac:dyDescent="0.25">
      <c r="A1015" s="275">
        <f>'Profits 2016'!A6228</f>
        <v>0</v>
      </c>
      <c r="B1015" s="279">
        <f>'Profits 2016'!B6228</f>
        <v>0</v>
      </c>
      <c r="C1015" s="276">
        <f>'Profits 2016'!H6228</f>
        <v>0</v>
      </c>
      <c r="D1015" s="280">
        <f>'Profits 2016'!K6228</f>
        <v>0</v>
      </c>
      <c r="E1015" s="276">
        <f>'Profits 2016'!L6228</f>
        <v>205</v>
      </c>
      <c r="F1015" s="275" t="str">
        <f>'Profits 2016'!P6228</f>
        <v>Nassau</v>
      </c>
      <c r="G1015" s="292">
        <f>'Profits 2016'!N6228-'Profits 2016'!M6228</f>
        <v>252.15</v>
      </c>
      <c r="H1015" s="319"/>
      <c r="I1015" s="320"/>
      <c r="J1015" s="321"/>
      <c r="K1015" s="321"/>
      <c r="L1015" s="321"/>
      <c r="M1015" s="319"/>
      <c r="N1015" s="322"/>
      <c r="O1015" s="236">
        <f>'Profits 2016'!T6228</f>
        <v>0</v>
      </c>
      <c r="P1015" s="284">
        <f>'Profits 2016'!U6228</f>
        <v>0</v>
      </c>
      <c r="Q1015" s="284" t="s">
        <v>15804</v>
      </c>
      <c r="R1015" s="276">
        <v>0</v>
      </c>
      <c r="S1015" s="275">
        <v>636889102</v>
      </c>
      <c r="T1015" s="279">
        <v>42670</v>
      </c>
      <c r="U1015" s="279">
        <v>42675</v>
      </c>
      <c r="AF1015" s="276">
        <f t="shared" si="118"/>
        <v>252.15</v>
      </c>
      <c r="AG1015" s="276">
        <f t="shared" si="114"/>
        <v>0</v>
      </c>
      <c r="AH1015" s="276">
        <f t="shared" si="115"/>
        <v>0</v>
      </c>
      <c r="AI1015" s="283">
        <f t="shared" si="116"/>
        <v>0</v>
      </c>
    </row>
    <row r="1016" spans="1:35" ht="45" x14ac:dyDescent="0.25">
      <c r="A1016" s="275">
        <f>'Profits 2016'!A6229</f>
        <v>0</v>
      </c>
      <c r="B1016" s="279">
        <f>'Profits 2016'!B6229</f>
        <v>0</v>
      </c>
      <c r="C1016" s="276">
        <f>'Profits 2016'!H6229</f>
        <v>0</v>
      </c>
      <c r="D1016" s="280">
        <f>'Profits 2016'!K6229</f>
        <v>0</v>
      </c>
      <c r="E1016" s="276">
        <f>'Profits 2016'!L6229</f>
        <v>300</v>
      </c>
      <c r="F1016" s="275" t="str">
        <f>'Profits 2016'!P6229</f>
        <v>Southwire</v>
      </c>
      <c r="G1016" s="292">
        <f>'Profits 2016'!N6229-'Profits 2016'!M6229</f>
        <v>900</v>
      </c>
      <c r="H1016" s="292">
        <v>0</v>
      </c>
      <c r="I1016" s="275">
        <v>90997476</v>
      </c>
      <c r="J1016" s="277">
        <v>42661</v>
      </c>
      <c r="K1016" s="277">
        <v>42667</v>
      </c>
      <c r="L1016" s="277">
        <v>42678</v>
      </c>
      <c r="M1016" s="292">
        <v>3621.1</v>
      </c>
      <c r="N1016" s="281">
        <v>9354</v>
      </c>
      <c r="O1016" s="236" t="str">
        <f>'Profits 2016'!T6229</f>
        <v>OLD DOMINION</v>
      </c>
      <c r="P1016" s="284" t="str">
        <f>'Profits 2016'!U6229</f>
        <v>59654861786</v>
      </c>
      <c r="Q1016" s="345"/>
      <c r="R1016" s="342"/>
      <c r="S1016" s="336"/>
      <c r="T1016" s="341"/>
      <c r="U1016" s="341"/>
      <c r="V1016" s="341"/>
      <c r="W1016" s="346"/>
      <c r="X1016" s="344"/>
      <c r="AF1016" s="276">
        <f t="shared" si="118"/>
        <v>900</v>
      </c>
      <c r="AG1016" s="276">
        <f t="shared" si="114"/>
        <v>3621.1</v>
      </c>
      <c r="AH1016" s="276">
        <f t="shared" si="115"/>
        <v>-3621.1</v>
      </c>
      <c r="AI1016" s="283">
        <f t="shared" si="116"/>
        <v>-4.0234444444444444</v>
      </c>
    </row>
    <row r="1017" spans="1:35" x14ac:dyDescent="0.25">
      <c r="A1017" s="275">
        <f>'Profits 2016'!A6230</f>
        <v>0</v>
      </c>
      <c r="B1017" s="279">
        <f>'Profits 2016'!B6230</f>
        <v>0</v>
      </c>
      <c r="C1017" s="276">
        <f>'Profits 2016'!H6230</f>
        <v>0</v>
      </c>
      <c r="D1017" s="280">
        <f>'Profits 2016'!K6230</f>
        <v>0</v>
      </c>
      <c r="E1017" s="276">
        <f>'Profits 2016'!L6230</f>
        <v>409</v>
      </c>
      <c r="F1017" s="275" t="str">
        <f>'Profits 2016'!P6230</f>
        <v>Nassau</v>
      </c>
      <c r="G1017" s="292">
        <f>'Profits 2016'!N6230-'Profits 2016'!M6230</f>
        <v>1227</v>
      </c>
      <c r="H1017" s="319"/>
      <c r="I1017" s="320"/>
      <c r="J1017" s="321"/>
      <c r="K1017" s="321"/>
      <c r="L1017" s="321"/>
      <c r="M1017" s="319"/>
      <c r="N1017" s="322"/>
      <c r="O1017" s="236" t="str">
        <f>'Profits 2016'!T6230</f>
        <v>FEDEX/DLS</v>
      </c>
      <c r="P1017" s="284">
        <f>'Profits 2016'!U6230</f>
        <v>0</v>
      </c>
      <c r="Q1017" s="284" t="s">
        <v>15804</v>
      </c>
      <c r="R1017" s="276">
        <v>630</v>
      </c>
      <c r="S1017" s="275">
        <v>636972138</v>
      </c>
      <c r="T1017" s="279">
        <v>42690</v>
      </c>
      <c r="U1017" s="279">
        <v>42695</v>
      </c>
      <c r="AF1017" s="276">
        <f t="shared" si="118"/>
        <v>1857</v>
      </c>
      <c r="AG1017" s="276">
        <f t="shared" si="114"/>
        <v>630</v>
      </c>
      <c r="AH1017" s="276">
        <f t="shared" si="115"/>
        <v>-630</v>
      </c>
      <c r="AI1017" s="283">
        <f t="shared" si="116"/>
        <v>-0.3392568659127625</v>
      </c>
    </row>
    <row r="1018" spans="1:35" x14ac:dyDescent="0.25">
      <c r="A1018" s="275">
        <f>'Profits 2016'!A6231</f>
        <v>0</v>
      </c>
      <c r="B1018" s="279">
        <f>'Profits 2016'!B6231</f>
        <v>0</v>
      </c>
      <c r="C1018" s="276">
        <f>'Profits 2016'!H6231</f>
        <v>0</v>
      </c>
      <c r="D1018" s="280">
        <f>'Profits 2016'!K6231</f>
        <v>0</v>
      </c>
      <c r="E1018" s="276">
        <f>'Profits 2016'!L6231</f>
        <v>400</v>
      </c>
      <c r="F1018" s="275" t="str">
        <f>'Profits 2016'!P6231</f>
        <v>Nassau</v>
      </c>
      <c r="G1018" s="292">
        <f>'Profits 2016'!N6231-'Profits 2016'!M6231</f>
        <v>800</v>
      </c>
      <c r="H1018" s="319"/>
      <c r="I1018" s="320"/>
      <c r="J1018" s="321"/>
      <c r="K1018" s="321"/>
      <c r="L1018" s="321"/>
      <c r="M1018" s="319"/>
      <c r="N1018" s="322"/>
      <c r="O1018" s="236">
        <f>'Profits 2016'!T6231</f>
        <v>0</v>
      </c>
      <c r="P1018" s="284">
        <f>'Profits 2016'!U6231</f>
        <v>0</v>
      </c>
      <c r="Q1018" s="284" t="s">
        <v>15804</v>
      </c>
      <c r="R1018" s="276">
        <v>0</v>
      </c>
      <c r="S1018" s="275">
        <v>636972138</v>
      </c>
      <c r="T1018" s="279">
        <v>42690</v>
      </c>
      <c r="U1018" s="279">
        <v>42695</v>
      </c>
      <c r="AF1018" s="276">
        <f t="shared" si="118"/>
        <v>800</v>
      </c>
      <c r="AG1018" s="276">
        <f t="shared" si="114"/>
        <v>0</v>
      </c>
      <c r="AH1018" s="276">
        <f t="shared" si="115"/>
        <v>0</v>
      </c>
      <c r="AI1018" s="283">
        <f t="shared" si="116"/>
        <v>0</v>
      </c>
    </row>
    <row r="1019" spans="1:35" x14ac:dyDescent="0.25">
      <c r="A1019" s="275">
        <f>'Profits 2016'!A6232</f>
        <v>0</v>
      </c>
      <c r="B1019" s="279">
        <f>'Profits 2016'!B6232</f>
        <v>0</v>
      </c>
      <c r="C1019" s="276">
        <f>'Profits 2016'!H6232</f>
        <v>0</v>
      </c>
      <c r="D1019" s="280">
        <f>'Profits 2016'!K6232</f>
        <v>0</v>
      </c>
      <c r="E1019" s="276">
        <f>'Profits 2016'!L6232</f>
        <v>0</v>
      </c>
      <c r="F1019" s="275" t="str">
        <f>'Profits 2016'!P6232</f>
        <v>Nassau</v>
      </c>
      <c r="G1019" s="292">
        <f>'Profits 2016'!N6232-'Profits 2016'!M6232</f>
        <v>0</v>
      </c>
      <c r="H1019" s="319"/>
      <c r="I1019" s="320"/>
      <c r="J1019" s="321"/>
      <c r="K1019" s="321"/>
      <c r="L1019" s="321"/>
      <c r="M1019" s="319"/>
      <c r="N1019" s="322"/>
      <c r="O1019" s="236">
        <f>'Profits 2016'!T6232</f>
        <v>0</v>
      </c>
      <c r="P1019" s="284">
        <f>'Profits 2016'!U6232</f>
        <v>0</v>
      </c>
      <c r="Q1019" s="284" t="s">
        <v>15804</v>
      </c>
      <c r="R1019" s="276">
        <v>0</v>
      </c>
      <c r="S1019" s="275">
        <v>636972138</v>
      </c>
      <c r="T1019" s="279">
        <v>42690</v>
      </c>
      <c r="U1019" s="279">
        <v>42695</v>
      </c>
      <c r="AF1019" s="276">
        <f t="shared" si="118"/>
        <v>0</v>
      </c>
      <c r="AG1019" s="276">
        <f t="shared" si="114"/>
        <v>0</v>
      </c>
      <c r="AH1019" s="276">
        <f t="shared" si="115"/>
        <v>0</v>
      </c>
      <c r="AI1019" s="283" t="e">
        <f t="shared" si="116"/>
        <v>#DIV/0!</v>
      </c>
    </row>
    <row r="1020" spans="1:35" x14ac:dyDescent="0.25">
      <c r="A1020" s="275">
        <f>'Profits 2016'!A6233</f>
        <v>0</v>
      </c>
      <c r="B1020" s="279">
        <f>'Profits 2016'!B6233</f>
        <v>0</v>
      </c>
      <c r="C1020" s="276">
        <f>'Profits 2016'!H6233</f>
        <v>0</v>
      </c>
      <c r="D1020" s="280">
        <f>'Profits 2016'!K6233</f>
        <v>0</v>
      </c>
      <c r="E1020" s="276">
        <f>'Profits 2016'!L6233</f>
        <v>0</v>
      </c>
      <c r="F1020" s="275" t="str">
        <f>'Profits 2016'!P6233</f>
        <v>Nassau</v>
      </c>
      <c r="G1020" s="292">
        <f>'Profits 2016'!N6233-'Profits 2016'!M6233</f>
        <v>0</v>
      </c>
      <c r="H1020" s="319"/>
      <c r="I1020" s="320"/>
      <c r="J1020" s="321"/>
      <c r="K1020" s="321"/>
      <c r="L1020" s="321"/>
      <c r="M1020" s="319"/>
      <c r="N1020" s="322"/>
      <c r="O1020" s="236">
        <f>'Profits 2016'!T6233</f>
        <v>0</v>
      </c>
      <c r="P1020" s="284">
        <f>'Profits 2016'!U6233</f>
        <v>0</v>
      </c>
      <c r="Q1020" s="284" t="s">
        <v>15804</v>
      </c>
      <c r="R1020" s="276">
        <v>0</v>
      </c>
      <c r="S1020" s="275">
        <v>636972138</v>
      </c>
      <c r="T1020" s="279">
        <v>42690</v>
      </c>
      <c r="U1020" s="279">
        <v>42695</v>
      </c>
      <c r="AF1020" s="276">
        <f t="shared" si="118"/>
        <v>0</v>
      </c>
      <c r="AG1020" s="276">
        <f t="shared" si="114"/>
        <v>0</v>
      </c>
      <c r="AH1020" s="276">
        <f t="shared" si="115"/>
        <v>0</v>
      </c>
      <c r="AI1020" s="283" t="e">
        <f t="shared" si="116"/>
        <v>#DIV/0!</v>
      </c>
    </row>
    <row r="1021" spans="1:35" x14ac:dyDescent="0.25">
      <c r="A1021" s="275">
        <f>'Profits 2016'!A6234</f>
        <v>0</v>
      </c>
      <c r="B1021" s="279">
        <f>'Profits 2016'!B6234</f>
        <v>0</v>
      </c>
      <c r="C1021" s="276">
        <f>'Profits 2016'!H6234</f>
        <v>0</v>
      </c>
      <c r="D1021" s="280">
        <f>'Profits 2016'!K6234</f>
        <v>0</v>
      </c>
      <c r="E1021" s="276">
        <f>'Profits 2016'!L6234</f>
        <v>0</v>
      </c>
      <c r="F1021" s="275" t="str">
        <f>'Profits 2016'!P6234</f>
        <v>Nassau</v>
      </c>
      <c r="G1021" s="292">
        <f>'Profits 2016'!N6234-'Profits 2016'!M6234</f>
        <v>0</v>
      </c>
      <c r="H1021" s="319"/>
      <c r="I1021" s="320"/>
      <c r="J1021" s="321"/>
      <c r="K1021" s="321"/>
      <c r="L1021" s="321"/>
      <c r="M1021" s="319"/>
      <c r="N1021" s="322"/>
      <c r="O1021" s="236">
        <f>'Profits 2016'!T6234</f>
        <v>0</v>
      </c>
      <c r="P1021" s="284">
        <f>'Profits 2016'!U6234</f>
        <v>0</v>
      </c>
      <c r="Q1021" s="284" t="s">
        <v>15804</v>
      </c>
      <c r="R1021" s="276">
        <v>0</v>
      </c>
      <c r="S1021" s="275">
        <v>636972138</v>
      </c>
      <c r="T1021" s="279">
        <v>42690</v>
      </c>
      <c r="U1021" s="279">
        <v>42695</v>
      </c>
      <c r="AF1021" s="276">
        <f t="shared" si="118"/>
        <v>0</v>
      </c>
      <c r="AG1021" s="276">
        <f t="shared" si="114"/>
        <v>0</v>
      </c>
      <c r="AH1021" s="276">
        <f t="shared" si="115"/>
        <v>0</v>
      </c>
      <c r="AI1021" s="283" t="e">
        <f t="shared" si="116"/>
        <v>#DIV/0!</v>
      </c>
    </row>
    <row r="1022" spans="1:35" x14ac:dyDescent="0.25">
      <c r="A1022" s="275">
        <f>'Profits 2016'!A6235</f>
        <v>0</v>
      </c>
      <c r="B1022" s="279">
        <f>'Profits 2016'!B6235</f>
        <v>0</v>
      </c>
      <c r="C1022" s="276">
        <f>'Profits 2016'!H6235</f>
        <v>0</v>
      </c>
      <c r="D1022" s="280">
        <f>'Profits 2016'!K6235</f>
        <v>0</v>
      </c>
      <c r="E1022" s="276">
        <f>'Profits 2016'!L6235</f>
        <v>0</v>
      </c>
      <c r="F1022" s="275" t="str">
        <f>'Profits 2016'!P6235</f>
        <v>Nassau</v>
      </c>
      <c r="G1022" s="292">
        <f>'Profits 2016'!N6235-'Profits 2016'!M6235</f>
        <v>0</v>
      </c>
      <c r="H1022" s="319"/>
      <c r="I1022" s="320"/>
      <c r="J1022" s="321"/>
      <c r="K1022" s="321"/>
      <c r="L1022" s="321"/>
      <c r="M1022" s="319"/>
      <c r="N1022" s="322"/>
      <c r="O1022" s="236">
        <f>'Profits 2016'!T6235</f>
        <v>0</v>
      </c>
      <c r="P1022" s="284">
        <f>'Profits 2016'!U6235</f>
        <v>0</v>
      </c>
      <c r="Q1022" s="284" t="s">
        <v>15804</v>
      </c>
      <c r="R1022" s="276">
        <v>0</v>
      </c>
      <c r="S1022" s="275">
        <v>636972138</v>
      </c>
      <c r="T1022" s="279">
        <v>42690</v>
      </c>
      <c r="U1022" s="279">
        <v>42695</v>
      </c>
      <c r="AF1022" s="276">
        <f t="shared" si="118"/>
        <v>0</v>
      </c>
      <c r="AG1022" s="276">
        <f t="shared" si="114"/>
        <v>0</v>
      </c>
      <c r="AH1022" s="276">
        <f t="shared" si="115"/>
        <v>0</v>
      </c>
      <c r="AI1022" s="283" t="e">
        <f t="shared" si="116"/>
        <v>#DIV/0!</v>
      </c>
    </row>
    <row r="1023" spans="1:35" ht="45" x14ac:dyDescent="0.25">
      <c r="A1023" s="275">
        <f>'Profits 2016'!A6236</f>
        <v>0</v>
      </c>
      <c r="B1023" s="279">
        <f>'Profits 2016'!B6236</f>
        <v>0</v>
      </c>
      <c r="C1023" s="276">
        <f>'Profits 2016'!H6236</f>
        <v>0</v>
      </c>
      <c r="D1023" s="280">
        <f>'Profits 2016'!K6236</f>
        <v>0</v>
      </c>
      <c r="E1023" s="276">
        <f>'Profits 2016'!L6236</f>
        <v>560</v>
      </c>
      <c r="F1023" s="275" t="str">
        <f>'Profits 2016'!P6236</f>
        <v>Southwire</v>
      </c>
      <c r="G1023" s="292">
        <f>'Profits 2016'!N6236-'Profits 2016'!M6236</f>
        <v>1120</v>
      </c>
      <c r="H1023" s="292">
        <v>0</v>
      </c>
      <c r="I1023" s="275">
        <v>90997476</v>
      </c>
      <c r="J1023" s="277">
        <v>42661</v>
      </c>
      <c r="K1023" s="277">
        <v>42667</v>
      </c>
      <c r="L1023" s="277">
        <v>42678</v>
      </c>
      <c r="M1023" s="292">
        <v>0</v>
      </c>
      <c r="N1023" s="281">
        <v>9354</v>
      </c>
      <c r="O1023" s="236" t="str">
        <f>'Profits 2016'!T6236</f>
        <v>OLD DOMINION</v>
      </c>
      <c r="P1023" s="284" t="str">
        <f>'Profits 2016'!U6236</f>
        <v>59654861786</v>
      </c>
      <c r="Q1023" s="345"/>
      <c r="R1023" s="342"/>
      <c r="S1023" s="336"/>
      <c r="T1023" s="341"/>
      <c r="U1023" s="341"/>
      <c r="V1023" s="341"/>
      <c r="W1023" s="346"/>
      <c r="X1023" s="344"/>
      <c r="AF1023" s="276">
        <f t="shared" si="118"/>
        <v>1120</v>
      </c>
      <c r="AG1023" s="276">
        <f t="shared" si="114"/>
        <v>0</v>
      </c>
      <c r="AH1023" s="276">
        <f t="shared" si="115"/>
        <v>0</v>
      </c>
      <c r="AI1023" s="283">
        <f t="shared" si="116"/>
        <v>0</v>
      </c>
    </row>
    <row r="1024" spans="1:35" x14ac:dyDescent="0.25">
      <c r="A1024" s="275">
        <f>'Profits 2016'!A6237</f>
        <v>0</v>
      </c>
      <c r="B1024" s="279">
        <f>'Profits 2016'!B6237</f>
        <v>0</v>
      </c>
      <c r="C1024" s="276">
        <f>'Profits 2016'!H6237</f>
        <v>0</v>
      </c>
      <c r="D1024" s="280">
        <f>'Profits 2016'!K6237</f>
        <v>0</v>
      </c>
      <c r="E1024" s="276">
        <f>'Profits 2016'!L6237</f>
        <v>0</v>
      </c>
      <c r="F1024" s="275" t="str">
        <f>'Profits 2016'!P6237</f>
        <v>Nassau</v>
      </c>
      <c r="G1024" s="292">
        <f>'Profits 2016'!N6237-'Profits 2016'!M6237</f>
        <v>0</v>
      </c>
      <c r="H1024" s="319"/>
      <c r="I1024" s="320"/>
      <c r="J1024" s="321"/>
      <c r="K1024" s="321"/>
      <c r="L1024" s="321"/>
      <c r="M1024" s="319"/>
      <c r="N1024" s="322"/>
      <c r="O1024" s="236" t="str">
        <f>'Profits 2016'!T6237</f>
        <v>FEDEX/DLS</v>
      </c>
      <c r="P1024" s="284">
        <f>'Profits 2016'!U6237</f>
        <v>0</v>
      </c>
      <c r="Q1024" s="284" t="s">
        <v>15804</v>
      </c>
      <c r="R1024" s="276">
        <v>498</v>
      </c>
      <c r="S1024" s="275">
        <v>636946873</v>
      </c>
      <c r="T1024" s="279">
        <v>42684</v>
      </c>
      <c r="U1024" s="279">
        <v>42692</v>
      </c>
      <c r="V1024" s="279">
        <v>42697</v>
      </c>
      <c r="W1024" s="293">
        <v>498</v>
      </c>
      <c r="X1024" s="236">
        <v>9493</v>
      </c>
      <c r="AF1024" s="276">
        <f t="shared" si="118"/>
        <v>498</v>
      </c>
      <c r="AG1024" s="276">
        <f t="shared" si="114"/>
        <v>498</v>
      </c>
      <c r="AH1024" s="276">
        <f t="shared" si="115"/>
        <v>-498</v>
      </c>
      <c r="AI1024" s="283">
        <f t="shared" si="116"/>
        <v>-1</v>
      </c>
    </row>
    <row r="1025" spans="1:35" x14ac:dyDescent="0.25">
      <c r="A1025" s="275">
        <f>'Profits 2016'!A6238</f>
        <v>0</v>
      </c>
      <c r="B1025" s="279">
        <f>'Profits 2016'!B6238</f>
        <v>0</v>
      </c>
      <c r="C1025" s="276">
        <f>'Profits 2016'!H6238</f>
        <v>0</v>
      </c>
      <c r="D1025" s="280">
        <f>'Profits 2016'!K6238</f>
        <v>0</v>
      </c>
      <c r="E1025" s="276">
        <f>'Profits 2016'!L6238</f>
        <v>0</v>
      </c>
      <c r="F1025" s="275" t="str">
        <f>'Profits 2016'!P6238</f>
        <v>Nassau</v>
      </c>
      <c r="G1025" s="292">
        <f>'Profits 2016'!N6238-'Profits 2016'!M6238</f>
        <v>0</v>
      </c>
      <c r="H1025" s="319"/>
      <c r="I1025" s="320"/>
      <c r="J1025" s="321"/>
      <c r="K1025" s="321"/>
      <c r="L1025" s="321"/>
      <c r="M1025" s="319"/>
      <c r="N1025" s="322"/>
      <c r="O1025" s="236">
        <f>'Profits 2016'!T6238</f>
        <v>0</v>
      </c>
      <c r="P1025" s="284">
        <f>'Profits 2016'!U6238</f>
        <v>0</v>
      </c>
      <c r="Q1025" s="284" t="s">
        <v>15804</v>
      </c>
      <c r="R1025" s="276">
        <v>0</v>
      </c>
      <c r="S1025" s="275">
        <v>636946873</v>
      </c>
      <c r="T1025" s="279">
        <v>42684</v>
      </c>
      <c r="U1025" s="279">
        <v>42692</v>
      </c>
      <c r="V1025" s="279">
        <v>42697</v>
      </c>
      <c r="W1025" s="293">
        <v>0</v>
      </c>
      <c r="X1025" s="236">
        <v>9493</v>
      </c>
      <c r="AF1025" s="276">
        <f t="shared" si="118"/>
        <v>0</v>
      </c>
      <c r="AG1025" s="276">
        <f t="shared" si="114"/>
        <v>0</v>
      </c>
      <c r="AH1025" s="276">
        <f t="shared" si="115"/>
        <v>0</v>
      </c>
      <c r="AI1025" s="283" t="e">
        <f t="shared" si="116"/>
        <v>#DIV/0!</v>
      </c>
    </row>
    <row r="1026" spans="1:35" x14ac:dyDescent="0.25">
      <c r="A1026" s="275">
        <f>'Profits 2016'!A6239</f>
        <v>0</v>
      </c>
      <c r="B1026" s="279">
        <f>'Profits 2016'!B6239</f>
        <v>0</v>
      </c>
      <c r="C1026" s="276">
        <f>'Profits 2016'!H6239</f>
        <v>0</v>
      </c>
      <c r="D1026" s="280">
        <f>'Profits 2016'!K6239</f>
        <v>0</v>
      </c>
      <c r="E1026" s="276">
        <f>'Profits 2016'!L6239</f>
        <v>0</v>
      </c>
      <c r="F1026" s="275" t="str">
        <f>'Profits 2016'!P6239</f>
        <v>Nassau</v>
      </c>
      <c r="G1026" s="292">
        <f>'Profits 2016'!N6239-'Profits 2016'!M6239</f>
        <v>0</v>
      </c>
      <c r="H1026" s="319"/>
      <c r="I1026" s="320"/>
      <c r="J1026" s="321"/>
      <c r="K1026" s="321"/>
      <c r="L1026" s="321"/>
      <c r="M1026" s="319"/>
      <c r="N1026" s="322"/>
      <c r="O1026" s="236">
        <f>'Profits 2016'!T6239</f>
        <v>0</v>
      </c>
      <c r="P1026" s="284">
        <f>'Profits 2016'!U6239</f>
        <v>0</v>
      </c>
      <c r="Q1026" s="284" t="s">
        <v>15804</v>
      </c>
      <c r="R1026" s="276">
        <v>0</v>
      </c>
      <c r="S1026" s="275">
        <v>636946873</v>
      </c>
      <c r="T1026" s="279">
        <v>42684</v>
      </c>
      <c r="U1026" s="279">
        <v>42692</v>
      </c>
      <c r="V1026" s="279">
        <v>42697</v>
      </c>
      <c r="W1026" s="293">
        <v>0</v>
      </c>
      <c r="X1026" s="236">
        <v>9493</v>
      </c>
      <c r="AF1026" s="276">
        <f t="shared" si="118"/>
        <v>0</v>
      </c>
      <c r="AG1026" s="276">
        <f t="shared" si="114"/>
        <v>0</v>
      </c>
      <c r="AH1026" s="276">
        <f t="shared" si="115"/>
        <v>0</v>
      </c>
      <c r="AI1026" s="283" t="e">
        <f t="shared" si="116"/>
        <v>#DIV/0!</v>
      </c>
    </row>
    <row r="1027" spans="1:35" x14ac:dyDescent="0.25">
      <c r="A1027" s="275">
        <f>'Profits 2016'!A6240</f>
        <v>0</v>
      </c>
      <c r="B1027" s="279">
        <f>'Profits 2016'!B6240</f>
        <v>0</v>
      </c>
      <c r="C1027" s="276">
        <f>'Profits 2016'!H6240</f>
        <v>0</v>
      </c>
      <c r="D1027" s="280">
        <f>'Profits 2016'!K6240</f>
        <v>0</v>
      </c>
      <c r="E1027" s="276">
        <f>'Profits 2016'!L6240</f>
        <v>0</v>
      </c>
      <c r="F1027" s="275" t="str">
        <f>'Profits 2016'!P6240</f>
        <v>Nassau</v>
      </c>
      <c r="G1027" s="292">
        <f>'Profits 2016'!N6240-'Profits 2016'!M6240</f>
        <v>0</v>
      </c>
      <c r="H1027" s="319"/>
      <c r="I1027" s="320"/>
      <c r="J1027" s="321"/>
      <c r="K1027" s="321"/>
      <c r="L1027" s="321"/>
      <c r="M1027" s="319"/>
      <c r="N1027" s="322"/>
      <c r="O1027" s="236">
        <f>'Profits 2016'!T6240</f>
        <v>0</v>
      </c>
      <c r="P1027" s="284">
        <f>'Profits 2016'!U6240</f>
        <v>0</v>
      </c>
      <c r="Q1027" s="284" t="s">
        <v>15804</v>
      </c>
      <c r="R1027" s="276">
        <v>0</v>
      </c>
      <c r="S1027" s="275">
        <v>636946873</v>
      </c>
      <c r="T1027" s="279">
        <v>42684</v>
      </c>
      <c r="U1027" s="279">
        <v>42692</v>
      </c>
      <c r="V1027" s="279">
        <v>42697</v>
      </c>
      <c r="W1027" s="293">
        <v>0</v>
      </c>
      <c r="X1027" s="236">
        <v>9493</v>
      </c>
      <c r="AF1027" s="276">
        <f t="shared" si="118"/>
        <v>0</v>
      </c>
      <c r="AG1027" s="276">
        <f t="shared" si="114"/>
        <v>0</v>
      </c>
      <c r="AH1027" s="276">
        <f t="shared" si="115"/>
        <v>0</v>
      </c>
      <c r="AI1027" s="283" t="e">
        <f t="shared" si="116"/>
        <v>#DIV/0!</v>
      </c>
    </row>
    <row r="1028" spans="1:35" x14ac:dyDescent="0.25">
      <c r="A1028" s="275">
        <f>'Profits 2016'!A6241</f>
        <v>0</v>
      </c>
      <c r="B1028" s="279">
        <f>'Profits 2016'!B6241</f>
        <v>0</v>
      </c>
      <c r="C1028" s="276">
        <f>'Profits 2016'!H6241</f>
        <v>0</v>
      </c>
      <c r="D1028" s="280">
        <f>'Profits 2016'!K6241</f>
        <v>0</v>
      </c>
      <c r="E1028" s="276">
        <f>'Profits 2016'!L6241</f>
        <v>0</v>
      </c>
      <c r="F1028" s="275" t="str">
        <f>'Profits 2016'!P6241</f>
        <v>Nassau</v>
      </c>
      <c r="G1028" s="292">
        <f>'Profits 2016'!N6241-'Profits 2016'!M6241</f>
        <v>0</v>
      </c>
      <c r="H1028" s="319"/>
      <c r="I1028" s="320"/>
      <c r="J1028" s="321"/>
      <c r="K1028" s="321"/>
      <c r="L1028" s="321"/>
      <c r="M1028" s="319"/>
      <c r="N1028" s="322"/>
      <c r="O1028" s="236">
        <f>'Profits 2016'!T6241</f>
        <v>0</v>
      </c>
      <c r="P1028" s="284">
        <f>'Profits 2016'!U6241</f>
        <v>0</v>
      </c>
      <c r="Q1028" s="284" t="s">
        <v>15804</v>
      </c>
      <c r="R1028" s="276">
        <v>0</v>
      </c>
      <c r="S1028" s="275">
        <v>636946873</v>
      </c>
      <c r="T1028" s="279">
        <v>42684</v>
      </c>
      <c r="U1028" s="279">
        <v>42692</v>
      </c>
      <c r="V1028" s="279">
        <v>42697</v>
      </c>
      <c r="W1028" s="293">
        <v>0</v>
      </c>
      <c r="X1028" s="236">
        <v>9493</v>
      </c>
      <c r="AF1028" s="276">
        <f t="shared" si="118"/>
        <v>0</v>
      </c>
      <c r="AG1028" s="276">
        <f t="shared" si="114"/>
        <v>0</v>
      </c>
      <c r="AH1028" s="276">
        <f t="shared" si="115"/>
        <v>0</v>
      </c>
      <c r="AI1028" s="283" t="e">
        <f t="shared" si="116"/>
        <v>#DIV/0!</v>
      </c>
    </row>
    <row r="1029" spans="1:35" x14ac:dyDescent="0.25">
      <c r="A1029" s="275">
        <f>'Profits 2016'!A6242</f>
        <v>0</v>
      </c>
      <c r="B1029" s="279">
        <f>'Profits 2016'!B6242</f>
        <v>0</v>
      </c>
      <c r="C1029" s="276">
        <f>'Profits 2016'!H6242</f>
        <v>0</v>
      </c>
      <c r="D1029" s="280">
        <f>'Profits 2016'!K6242</f>
        <v>0</v>
      </c>
      <c r="E1029" s="276">
        <f>'Profits 2016'!L6242</f>
        <v>0</v>
      </c>
      <c r="F1029" s="275" t="str">
        <f>'Profits 2016'!P6242</f>
        <v>Nassau</v>
      </c>
      <c r="G1029" s="292">
        <f>'Profits 2016'!N6242-'Profits 2016'!M6242</f>
        <v>0</v>
      </c>
      <c r="H1029" s="319"/>
      <c r="I1029" s="320"/>
      <c r="J1029" s="321"/>
      <c r="K1029" s="321"/>
      <c r="L1029" s="321"/>
      <c r="M1029" s="319"/>
      <c r="N1029" s="322"/>
      <c r="O1029" s="236">
        <f>'Profits 2016'!T6242</f>
        <v>0</v>
      </c>
      <c r="P1029" s="284">
        <f>'Profits 2016'!U6242</f>
        <v>0</v>
      </c>
      <c r="Q1029" s="284" t="s">
        <v>15804</v>
      </c>
      <c r="R1029" s="276">
        <v>0</v>
      </c>
      <c r="S1029" s="275">
        <v>636946873</v>
      </c>
      <c r="T1029" s="279">
        <v>42684</v>
      </c>
      <c r="U1029" s="279">
        <v>42692</v>
      </c>
      <c r="V1029" s="279">
        <v>42697</v>
      </c>
      <c r="W1029" s="293">
        <v>0</v>
      </c>
      <c r="X1029" s="236">
        <v>9493</v>
      </c>
      <c r="AF1029" s="276">
        <f t="shared" si="118"/>
        <v>0</v>
      </c>
      <c r="AG1029" s="276">
        <f t="shared" ref="AG1029:AG1093" si="119">M1029+R1029+Y1029</f>
        <v>0</v>
      </c>
      <c r="AH1029" s="276">
        <f t="shared" ref="AH1029:AH1093" si="120">D1029-AG1029</f>
        <v>0</v>
      </c>
      <c r="AI1029" s="283" t="e">
        <f t="shared" ref="AI1029:AI1093" si="121">AH1029/AF1029</f>
        <v>#DIV/0!</v>
      </c>
    </row>
    <row r="1030" spans="1:35" x14ac:dyDescent="0.25">
      <c r="A1030" s="275">
        <f>'Profits 2016'!A6243</f>
        <v>0</v>
      </c>
      <c r="B1030" s="279">
        <f>'Profits 2016'!B6243</f>
        <v>0</v>
      </c>
      <c r="C1030" s="276">
        <f>'Profits 2016'!H6243</f>
        <v>0</v>
      </c>
      <c r="D1030" s="280">
        <f>'Profits 2016'!K6243</f>
        <v>0</v>
      </c>
      <c r="E1030" s="276">
        <f>'Profits 2016'!L6243</f>
        <v>0</v>
      </c>
      <c r="F1030" s="275" t="str">
        <f>'Profits 2016'!P6243</f>
        <v>Nassau</v>
      </c>
      <c r="G1030" s="292">
        <f>'Profits 2016'!N6243-'Profits 2016'!M6243</f>
        <v>0</v>
      </c>
      <c r="H1030" s="319"/>
      <c r="I1030" s="320"/>
      <c r="J1030" s="321"/>
      <c r="K1030" s="321"/>
      <c r="L1030" s="321"/>
      <c r="M1030" s="319"/>
      <c r="N1030" s="322"/>
      <c r="O1030" s="236">
        <f>'Profits 2016'!T6243</f>
        <v>0</v>
      </c>
      <c r="P1030" s="284">
        <f>'Profits 2016'!U6243</f>
        <v>0</v>
      </c>
      <c r="Q1030" s="284" t="s">
        <v>15804</v>
      </c>
      <c r="R1030" s="276">
        <v>0</v>
      </c>
      <c r="S1030" s="275">
        <v>636946873</v>
      </c>
      <c r="T1030" s="279">
        <v>42684</v>
      </c>
      <c r="U1030" s="279">
        <v>42692</v>
      </c>
      <c r="V1030" s="279">
        <v>42697</v>
      </c>
      <c r="W1030" s="293">
        <v>0</v>
      </c>
      <c r="X1030" s="236">
        <v>9493</v>
      </c>
      <c r="AF1030" s="276">
        <f t="shared" si="118"/>
        <v>0</v>
      </c>
      <c r="AG1030" s="276">
        <f t="shared" si="119"/>
        <v>0</v>
      </c>
      <c r="AH1030" s="276">
        <f t="shared" si="120"/>
        <v>0</v>
      </c>
      <c r="AI1030" s="283" t="e">
        <f t="shared" si="121"/>
        <v>#DIV/0!</v>
      </c>
    </row>
    <row r="1031" spans="1:35" x14ac:dyDescent="0.25">
      <c r="A1031" s="275">
        <f>'Profits 2016'!A6244</f>
        <v>0</v>
      </c>
      <c r="B1031" s="279">
        <f>'Profits 2016'!B6244</f>
        <v>0</v>
      </c>
      <c r="C1031" s="276">
        <f>'Profits 2016'!H6244</f>
        <v>0</v>
      </c>
      <c r="D1031" s="280">
        <f>'Profits 2016'!K6244</f>
        <v>0</v>
      </c>
      <c r="E1031" s="276">
        <f>'Profits 2016'!L6244</f>
        <v>0</v>
      </c>
      <c r="F1031" s="275" t="str">
        <f>'Profits 2016'!P6244</f>
        <v>Nassau</v>
      </c>
      <c r="G1031" s="292">
        <f>'Profits 2016'!N6244-'Profits 2016'!M6244</f>
        <v>0</v>
      </c>
      <c r="H1031" s="319"/>
      <c r="I1031" s="320"/>
      <c r="J1031" s="321"/>
      <c r="K1031" s="321"/>
      <c r="L1031" s="321"/>
      <c r="M1031" s="319"/>
      <c r="N1031" s="322"/>
      <c r="O1031" s="236">
        <f>'Profits 2016'!T6244</f>
        <v>0</v>
      </c>
      <c r="P1031" s="284">
        <f>'Profits 2016'!U6244</f>
        <v>0</v>
      </c>
      <c r="Q1031" s="284" t="s">
        <v>15804</v>
      </c>
      <c r="R1031" s="276">
        <v>0</v>
      </c>
      <c r="S1031" s="275">
        <v>636946873</v>
      </c>
      <c r="T1031" s="279">
        <v>42684</v>
      </c>
      <c r="U1031" s="279">
        <v>42692</v>
      </c>
      <c r="V1031" s="279">
        <v>42697</v>
      </c>
      <c r="W1031" s="293">
        <v>0</v>
      </c>
      <c r="X1031" s="236">
        <v>9493</v>
      </c>
      <c r="AF1031" s="276">
        <f t="shared" si="118"/>
        <v>0</v>
      </c>
      <c r="AG1031" s="276">
        <f t="shared" si="119"/>
        <v>0</v>
      </c>
      <c r="AH1031" s="276">
        <f t="shared" si="120"/>
        <v>0</v>
      </c>
      <c r="AI1031" s="283" t="e">
        <f t="shared" si="121"/>
        <v>#DIV/0!</v>
      </c>
    </row>
    <row r="1032" spans="1:35" x14ac:dyDescent="0.25">
      <c r="A1032" s="275">
        <f>'Profits 2016'!A6245</f>
        <v>0</v>
      </c>
      <c r="B1032" s="279">
        <f>'Profits 2016'!B6245</f>
        <v>0</v>
      </c>
      <c r="C1032" s="276">
        <f>'Profits 2016'!H6245</f>
        <v>0</v>
      </c>
      <c r="D1032" s="280">
        <f>'Profits 2016'!K6245</f>
        <v>0</v>
      </c>
      <c r="E1032" s="276">
        <f>'Profits 2016'!L6245</f>
        <v>0</v>
      </c>
      <c r="F1032" s="275" t="str">
        <f>'Profits 2016'!P6245</f>
        <v>Nassau</v>
      </c>
      <c r="G1032" s="292">
        <f>'Profits 2016'!N6245-'Profits 2016'!M6245</f>
        <v>0</v>
      </c>
      <c r="H1032" s="319"/>
      <c r="I1032" s="320"/>
      <c r="J1032" s="321"/>
      <c r="K1032" s="321"/>
      <c r="L1032" s="321"/>
      <c r="M1032" s="319"/>
      <c r="N1032" s="322"/>
      <c r="O1032" s="236">
        <f>'Profits 2016'!T6245</f>
        <v>0</v>
      </c>
      <c r="P1032" s="284">
        <f>'Profits 2016'!U6245</f>
        <v>0</v>
      </c>
      <c r="Q1032" s="284" t="s">
        <v>15804</v>
      </c>
      <c r="R1032" s="276">
        <v>0</v>
      </c>
      <c r="S1032" s="275">
        <v>636946873</v>
      </c>
      <c r="T1032" s="279">
        <v>42684</v>
      </c>
      <c r="U1032" s="279">
        <v>42692</v>
      </c>
      <c r="V1032" s="279">
        <v>42697</v>
      </c>
      <c r="W1032" s="293">
        <v>0</v>
      </c>
      <c r="X1032" s="236">
        <v>9493</v>
      </c>
      <c r="AF1032" s="276">
        <f t="shared" si="118"/>
        <v>0</v>
      </c>
      <c r="AG1032" s="276">
        <f t="shared" si="119"/>
        <v>0</v>
      </c>
      <c r="AH1032" s="276">
        <f t="shared" si="120"/>
        <v>0</v>
      </c>
      <c r="AI1032" s="283" t="e">
        <f t="shared" si="121"/>
        <v>#DIV/0!</v>
      </c>
    </row>
    <row r="1033" spans="1:35" x14ac:dyDescent="0.25">
      <c r="A1033" s="275">
        <f>'Profits 2016'!A6246</f>
        <v>0</v>
      </c>
      <c r="B1033" s="279">
        <f>'Profits 2016'!B6246</f>
        <v>0</v>
      </c>
      <c r="C1033" s="276">
        <f>'Profits 2016'!H6246</f>
        <v>0</v>
      </c>
      <c r="D1033" s="280">
        <f>'Profits 2016'!K6246</f>
        <v>0</v>
      </c>
      <c r="E1033" s="276">
        <f>'Profits 2016'!L6246</f>
        <v>0</v>
      </c>
      <c r="F1033" s="275" t="str">
        <f>'Profits 2016'!P6246</f>
        <v>Nassau</v>
      </c>
      <c r="G1033" s="292">
        <f>'Profits 2016'!N6246-'Profits 2016'!M6246</f>
        <v>0</v>
      </c>
      <c r="H1033" s="319"/>
      <c r="I1033" s="320"/>
      <c r="J1033" s="321"/>
      <c r="K1033" s="321"/>
      <c r="L1033" s="321"/>
      <c r="M1033" s="319"/>
      <c r="N1033" s="322"/>
      <c r="O1033" s="236">
        <f>'Profits 2016'!T6246</f>
        <v>0</v>
      </c>
      <c r="P1033" s="284">
        <f>'Profits 2016'!U6246</f>
        <v>0</v>
      </c>
      <c r="Q1033" s="284" t="s">
        <v>15804</v>
      </c>
      <c r="R1033" s="276">
        <v>0</v>
      </c>
      <c r="S1033" s="275">
        <v>636946873</v>
      </c>
      <c r="T1033" s="279">
        <v>42684</v>
      </c>
      <c r="U1033" s="279">
        <v>42692</v>
      </c>
      <c r="V1033" s="279">
        <v>42697</v>
      </c>
      <c r="W1033" s="293">
        <v>0</v>
      </c>
      <c r="X1033" s="236">
        <v>9493</v>
      </c>
      <c r="AF1033" s="276">
        <f t="shared" si="118"/>
        <v>0</v>
      </c>
      <c r="AG1033" s="276">
        <f t="shared" si="119"/>
        <v>0</v>
      </c>
      <c r="AH1033" s="276">
        <f t="shared" si="120"/>
        <v>0</v>
      </c>
      <c r="AI1033" s="283" t="e">
        <f t="shared" si="121"/>
        <v>#DIV/0!</v>
      </c>
    </row>
    <row r="1034" spans="1:35" x14ac:dyDescent="0.25">
      <c r="A1034" s="275">
        <f>'Profits 2016'!A6247</f>
        <v>0</v>
      </c>
      <c r="B1034" s="279">
        <f>'Profits 2016'!B6247</f>
        <v>0</v>
      </c>
      <c r="C1034" s="276">
        <f>'Profits 2016'!H6247</f>
        <v>0</v>
      </c>
      <c r="D1034" s="280">
        <f>'Profits 2016'!K6247</f>
        <v>0</v>
      </c>
      <c r="E1034" s="276">
        <f>'Profits 2016'!L6247</f>
        <v>0</v>
      </c>
      <c r="F1034" s="275" t="str">
        <f>'Profits 2016'!P6247</f>
        <v>Nassau</v>
      </c>
      <c r="G1034" s="292">
        <f>'Profits 2016'!N6247-'Profits 2016'!M6247</f>
        <v>0</v>
      </c>
      <c r="H1034" s="319"/>
      <c r="I1034" s="320"/>
      <c r="J1034" s="321"/>
      <c r="K1034" s="321"/>
      <c r="L1034" s="321"/>
      <c r="M1034" s="319"/>
      <c r="N1034" s="322"/>
      <c r="O1034" s="236">
        <f>'Profits 2016'!T6247</f>
        <v>0</v>
      </c>
      <c r="P1034" s="284">
        <f>'Profits 2016'!U6247</f>
        <v>0</v>
      </c>
      <c r="Q1034" s="284" t="s">
        <v>15804</v>
      </c>
      <c r="R1034" s="276">
        <v>0</v>
      </c>
      <c r="S1034" s="275">
        <v>636946873</v>
      </c>
      <c r="T1034" s="279">
        <v>42684</v>
      </c>
      <c r="U1034" s="279">
        <v>42692</v>
      </c>
      <c r="V1034" s="279">
        <v>42697</v>
      </c>
      <c r="W1034" s="293">
        <v>0</v>
      </c>
      <c r="X1034" s="236">
        <v>9493</v>
      </c>
      <c r="AF1034" s="276">
        <f t="shared" si="118"/>
        <v>0</v>
      </c>
      <c r="AG1034" s="276">
        <f t="shared" si="119"/>
        <v>0</v>
      </c>
      <c r="AH1034" s="276">
        <f t="shared" si="120"/>
        <v>0</v>
      </c>
      <c r="AI1034" s="283" t="e">
        <f t="shared" si="121"/>
        <v>#DIV/0!</v>
      </c>
    </row>
    <row r="1035" spans="1:35" ht="45" x14ac:dyDescent="0.25">
      <c r="A1035" s="275">
        <f>'Profits 2016'!A6248</f>
        <v>0</v>
      </c>
      <c r="B1035" s="279">
        <f>'Profits 2016'!B6248</f>
        <v>0</v>
      </c>
      <c r="C1035" s="276">
        <f>'Profits 2016'!H6248</f>
        <v>0</v>
      </c>
      <c r="D1035" s="280">
        <f>'Profits 2016'!K6248</f>
        <v>0</v>
      </c>
      <c r="E1035" s="276">
        <f>'Profits 2016'!L6248</f>
        <v>700</v>
      </c>
      <c r="F1035" s="275" t="str">
        <f>'Profits 2016'!P6248</f>
        <v>Southwire</v>
      </c>
      <c r="G1035" s="292">
        <f>'Profits 2016'!N6248-'Profits 2016'!M6248</f>
        <v>700</v>
      </c>
      <c r="H1035" s="292">
        <v>0</v>
      </c>
      <c r="I1035" s="275">
        <v>90997476</v>
      </c>
      <c r="J1035" s="277">
        <v>42661</v>
      </c>
      <c r="K1035" s="277">
        <v>42667</v>
      </c>
      <c r="L1035" s="277">
        <v>42678</v>
      </c>
      <c r="M1035" s="292">
        <v>0</v>
      </c>
      <c r="N1035" s="281">
        <v>9354</v>
      </c>
      <c r="O1035" s="236" t="str">
        <f>'Profits 2016'!T6248</f>
        <v>OLD DOMINION</v>
      </c>
      <c r="P1035" s="284" t="str">
        <f>'Profits 2016'!U6248</f>
        <v>59654861786</v>
      </c>
      <c r="Q1035" s="345"/>
      <c r="R1035" s="342"/>
      <c r="S1035" s="336"/>
      <c r="T1035" s="341"/>
      <c r="U1035" s="341"/>
      <c r="V1035" s="341"/>
      <c r="W1035" s="346"/>
      <c r="X1035" s="344"/>
      <c r="AF1035" s="276">
        <f t="shared" si="118"/>
        <v>700</v>
      </c>
      <c r="AG1035" s="276">
        <f t="shared" si="119"/>
        <v>0</v>
      </c>
      <c r="AH1035" s="276">
        <f t="shared" si="120"/>
        <v>0</v>
      </c>
      <c r="AI1035" s="283">
        <f t="shared" si="121"/>
        <v>0</v>
      </c>
    </row>
    <row r="1036" spans="1:35" x14ac:dyDescent="0.25">
      <c r="A1036" s="275">
        <f>'Profits 2016'!A6249</f>
        <v>0</v>
      </c>
      <c r="B1036" s="279">
        <f>'Profits 2016'!B6249</f>
        <v>0</v>
      </c>
      <c r="C1036" s="276">
        <f>'Profits 2016'!H6249</f>
        <v>0</v>
      </c>
      <c r="D1036" s="280">
        <f>'Profits 2016'!K6249</f>
        <v>0</v>
      </c>
      <c r="E1036" s="276">
        <f>'Profits 2016'!L6249</f>
        <v>900</v>
      </c>
      <c r="F1036" s="275" t="str">
        <f>'Profits 2016'!P6249</f>
        <v>Southwire</v>
      </c>
      <c r="G1036" s="292">
        <f>'Profits 2016'!N6249-'Profits 2016'!M6249</f>
        <v>450</v>
      </c>
      <c r="H1036" s="292">
        <v>0</v>
      </c>
      <c r="I1036" s="275">
        <v>90997476</v>
      </c>
      <c r="J1036" s="277">
        <v>42661</v>
      </c>
      <c r="K1036" s="277">
        <v>42667</v>
      </c>
      <c r="L1036" s="277">
        <v>42678</v>
      </c>
      <c r="M1036" s="292">
        <v>0</v>
      </c>
      <c r="N1036" s="281">
        <v>9354</v>
      </c>
      <c r="O1036" s="236">
        <f>'Profits 2016'!T6249</f>
        <v>0</v>
      </c>
      <c r="P1036" s="284">
        <f>'Profits 2016'!U6249</f>
        <v>0</v>
      </c>
      <c r="Q1036" s="345"/>
      <c r="R1036" s="342"/>
      <c r="S1036" s="336"/>
      <c r="T1036" s="341"/>
      <c r="U1036" s="341"/>
      <c r="V1036" s="341"/>
      <c r="W1036" s="346"/>
      <c r="X1036" s="344"/>
      <c r="AF1036" s="276">
        <f t="shared" si="118"/>
        <v>450</v>
      </c>
      <c r="AG1036" s="276">
        <f t="shared" si="119"/>
        <v>0</v>
      </c>
      <c r="AH1036" s="276">
        <f t="shared" si="120"/>
        <v>0</v>
      </c>
      <c r="AI1036" s="283">
        <f t="shared" si="121"/>
        <v>0</v>
      </c>
    </row>
    <row r="1037" spans="1:35" x14ac:dyDescent="0.25">
      <c r="A1037" s="275">
        <f>'Profits 2016'!A6250</f>
        <v>0</v>
      </c>
      <c r="B1037" s="279">
        <f>'Profits 2016'!B6250</f>
        <v>0</v>
      </c>
      <c r="C1037" s="276">
        <f>'Profits 2016'!H6250</f>
        <v>0</v>
      </c>
      <c r="D1037" s="280">
        <f>'Profits 2016'!K6250</f>
        <v>0</v>
      </c>
      <c r="E1037" s="276">
        <f>'Profits 2016'!L6250</f>
        <v>700</v>
      </c>
      <c r="F1037" s="275" t="str">
        <f>'Profits 2016'!P6250</f>
        <v>Southwire</v>
      </c>
      <c r="G1037" s="292">
        <f>'Profits 2016'!N6250-'Profits 2016'!M6250</f>
        <v>525</v>
      </c>
      <c r="H1037" s="292">
        <v>0</v>
      </c>
      <c r="I1037" s="275">
        <v>90997476</v>
      </c>
      <c r="J1037" s="277">
        <v>42661</v>
      </c>
      <c r="K1037" s="277">
        <v>42667</v>
      </c>
      <c r="L1037" s="277">
        <v>42678</v>
      </c>
      <c r="M1037" s="292">
        <v>0</v>
      </c>
      <c r="N1037" s="281">
        <v>9354</v>
      </c>
      <c r="O1037" s="236">
        <f>'Profits 2016'!T6250</f>
        <v>0</v>
      </c>
      <c r="P1037" s="284">
        <f>'Profits 2016'!U6250</f>
        <v>0</v>
      </c>
      <c r="Q1037" s="345"/>
      <c r="R1037" s="342"/>
      <c r="S1037" s="336"/>
      <c r="T1037" s="341"/>
      <c r="U1037" s="341"/>
      <c r="V1037" s="341"/>
      <c r="W1037" s="346"/>
      <c r="X1037" s="344"/>
      <c r="AF1037" s="276">
        <f t="shared" si="118"/>
        <v>525</v>
      </c>
      <c r="AG1037" s="276">
        <f t="shared" si="119"/>
        <v>0</v>
      </c>
      <c r="AH1037" s="276">
        <f t="shared" si="120"/>
        <v>0</v>
      </c>
      <c r="AI1037" s="283">
        <f t="shared" si="121"/>
        <v>0</v>
      </c>
    </row>
    <row r="1038" spans="1:35" ht="30" x14ac:dyDescent="0.25">
      <c r="A1038" s="275">
        <f>'Profits 2016'!A6251</f>
        <v>3004897</v>
      </c>
      <c r="B1038" s="279">
        <f>'Profits 2016'!B6251</f>
        <v>42655</v>
      </c>
      <c r="C1038" s="276">
        <f>'Profits 2016'!H6251</f>
        <v>1110.58</v>
      </c>
      <c r="D1038" s="280">
        <f>'Profits 2016'!K6251</f>
        <v>1110.58</v>
      </c>
      <c r="E1038" s="276">
        <f>'Profits 2016'!L6251</f>
        <v>900</v>
      </c>
      <c r="F1038" s="275" t="str">
        <f>'Profits 2016'!P6251</f>
        <v>Nassau</v>
      </c>
      <c r="G1038" s="292">
        <f>'Profits 2016'!N6251-'Profits 2016'!M6251</f>
        <v>270</v>
      </c>
      <c r="H1038" s="319"/>
      <c r="I1038" s="320"/>
      <c r="J1038" s="321"/>
      <c r="K1038" s="321"/>
      <c r="L1038" s="321"/>
      <c r="M1038" s="319"/>
      <c r="N1038" s="322"/>
      <c r="O1038" s="236" t="str">
        <f>'Profits 2016'!T6251</f>
        <v>FEDEX GROUND</v>
      </c>
      <c r="P1038" s="284" t="str">
        <f>'Profits 2016'!U6251</f>
        <v xml:space="preserve">702723289767  </v>
      </c>
      <c r="Q1038" s="284" t="s">
        <v>314</v>
      </c>
      <c r="R1038" s="276">
        <v>41.76</v>
      </c>
      <c r="S1038" s="275" t="s">
        <v>15805</v>
      </c>
      <c r="T1038" s="279">
        <v>42667</v>
      </c>
      <c r="U1038" s="279">
        <v>42670</v>
      </c>
      <c r="V1038" s="279">
        <v>42678</v>
      </c>
      <c r="W1038" s="293">
        <v>0</v>
      </c>
      <c r="X1038" s="236">
        <v>9301</v>
      </c>
      <c r="AF1038" s="276">
        <f t="shared" si="118"/>
        <v>311.76</v>
      </c>
      <c r="AG1038" s="276">
        <f t="shared" si="119"/>
        <v>41.76</v>
      </c>
      <c r="AH1038" s="276">
        <f t="shared" si="120"/>
        <v>1068.82</v>
      </c>
      <c r="AI1038" s="283">
        <f t="shared" si="121"/>
        <v>3.4283423146009748</v>
      </c>
    </row>
    <row r="1039" spans="1:35" x14ac:dyDescent="0.25">
      <c r="A1039" s="275">
        <f>'Profits 2016'!A6252</f>
        <v>0</v>
      </c>
      <c r="B1039" s="279">
        <f>'Profits 2016'!B6252</f>
        <v>0</v>
      </c>
      <c r="C1039" s="276">
        <f>'Profits 2016'!H6252</f>
        <v>0</v>
      </c>
      <c r="D1039" s="280">
        <f>'Profits 2016'!K6252</f>
        <v>0</v>
      </c>
      <c r="E1039" s="276">
        <f>'Profits 2016'!L6252</f>
        <v>2150</v>
      </c>
      <c r="F1039" s="275" t="str">
        <f>'Profits 2016'!P6252</f>
        <v>Nassau</v>
      </c>
      <c r="G1039" s="292">
        <f>'Profits 2016'!N6252-'Profits 2016'!M6252</f>
        <v>215</v>
      </c>
      <c r="H1039" s="319"/>
      <c r="I1039" s="320"/>
      <c r="J1039" s="321"/>
      <c r="K1039" s="321"/>
      <c r="L1039" s="321"/>
      <c r="M1039" s="319"/>
      <c r="N1039" s="322"/>
      <c r="O1039" s="236">
        <f>'Profits 2016'!T6252</f>
        <v>0</v>
      </c>
      <c r="P1039" s="284" t="str">
        <f>'Profits 2016'!U6252</f>
        <v xml:space="preserve">702723289778  </v>
      </c>
      <c r="Q1039" s="284" t="s">
        <v>314</v>
      </c>
      <c r="R1039" s="276">
        <v>27.17</v>
      </c>
      <c r="S1039" s="275" t="s">
        <v>15805</v>
      </c>
      <c r="T1039" s="279">
        <v>42667</v>
      </c>
      <c r="U1039" s="279">
        <v>42670</v>
      </c>
      <c r="V1039" s="279">
        <v>42678</v>
      </c>
      <c r="W1039" s="293">
        <v>0</v>
      </c>
      <c r="X1039" s="236">
        <v>9301</v>
      </c>
      <c r="AF1039" s="276">
        <f t="shared" si="118"/>
        <v>242.17000000000002</v>
      </c>
      <c r="AG1039" s="276">
        <f t="shared" si="119"/>
        <v>27.17</v>
      </c>
      <c r="AH1039" s="276">
        <f t="shared" si="120"/>
        <v>-27.17</v>
      </c>
      <c r="AI1039" s="283">
        <f t="shared" si="121"/>
        <v>-0.11219391336664326</v>
      </c>
    </row>
    <row r="1040" spans="1:35" ht="30" x14ac:dyDescent="0.25">
      <c r="A1040" s="275">
        <f>'Profits 2016'!A6253</f>
        <v>3004898</v>
      </c>
      <c r="B1040" s="279">
        <f>'Profits 2016'!B6253</f>
        <v>42655</v>
      </c>
      <c r="C1040" s="276">
        <f>'Profits 2016'!H6253</f>
        <v>153</v>
      </c>
      <c r="D1040" s="280">
        <f>'Profits 2016'!K6253</f>
        <v>136.023</v>
      </c>
      <c r="E1040" s="276">
        <f>'Profits 2016'!L6253</f>
        <v>620</v>
      </c>
      <c r="F1040" s="275" t="str">
        <f>'Profits 2016'!P6253</f>
        <v>Nassau</v>
      </c>
      <c r="G1040" s="292">
        <f>'Profits 2016'!N6253-'Profits 2016'!M6253</f>
        <v>62</v>
      </c>
      <c r="H1040" s="319"/>
      <c r="I1040" s="320"/>
      <c r="J1040" s="321"/>
      <c r="K1040" s="321"/>
      <c r="L1040" s="321"/>
      <c r="M1040" s="319"/>
      <c r="N1040" s="322"/>
      <c r="O1040" s="236" t="str">
        <f>'Profits 2016'!T6253</f>
        <v>FEDEX GROUND</v>
      </c>
      <c r="P1040" s="284" t="str">
        <f>'Profits 2016'!U6253</f>
        <v>702723289790</v>
      </c>
      <c r="Q1040" s="284" t="s">
        <v>314</v>
      </c>
      <c r="R1040" s="276">
        <v>25.75</v>
      </c>
      <c r="S1040" s="275" t="s">
        <v>15793</v>
      </c>
      <c r="T1040" s="279">
        <v>42674</v>
      </c>
      <c r="U1040" s="279">
        <v>42681</v>
      </c>
      <c r="V1040" s="279">
        <v>42685</v>
      </c>
      <c r="W1040" s="293">
        <v>0</v>
      </c>
      <c r="X1040" s="236">
        <v>9399</v>
      </c>
      <c r="AF1040" s="276">
        <f t="shared" si="118"/>
        <v>87.75</v>
      </c>
      <c r="AG1040" s="276">
        <f t="shared" si="119"/>
        <v>25.75</v>
      </c>
      <c r="AH1040" s="276">
        <f t="shared" si="120"/>
        <v>110.273</v>
      </c>
      <c r="AI1040" s="283">
        <f t="shared" si="121"/>
        <v>1.2566723646723645</v>
      </c>
    </row>
    <row r="1041" spans="1:35" ht="30" x14ac:dyDescent="0.25">
      <c r="A1041" s="275">
        <f>'Profits 2016'!A6254</f>
        <v>3004899</v>
      </c>
      <c r="B1041" s="279">
        <f>'Profits 2016'!B6254</f>
        <v>42655</v>
      </c>
      <c r="C1041" s="276">
        <f>'Profits 2016'!H6254</f>
        <v>119.44</v>
      </c>
      <c r="D1041" s="280">
        <f>'Profits 2016'!K6254</f>
        <v>106.12103999999999</v>
      </c>
      <c r="E1041" s="276">
        <f>'Profits 2016'!L6254</f>
        <v>400</v>
      </c>
      <c r="F1041" s="275" t="str">
        <f>'Profits 2016'!P6254</f>
        <v>Nassau</v>
      </c>
      <c r="G1041" s="292">
        <f>'Profits 2016'!N6254-'Profits 2016'!M6254</f>
        <v>40</v>
      </c>
      <c r="H1041" s="319"/>
      <c r="I1041" s="320"/>
      <c r="J1041" s="321"/>
      <c r="K1041" s="321"/>
      <c r="L1041" s="321"/>
      <c r="M1041" s="319"/>
      <c r="N1041" s="322"/>
      <c r="O1041" s="236" t="str">
        <f>'Profits 2016'!T6254</f>
        <v>FEDEX GROUND</v>
      </c>
      <c r="P1041" s="284" t="str">
        <f>'Profits 2016'!U6254</f>
        <v>702723289815</v>
      </c>
      <c r="Q1041" s="284" t="s">
        <v>314</v>
      </c>
      <c r="R1041" s="276">
        <v>34.61</v>
      </c>
      <c r="S1041" s="275" t="s">
        <v>15793</v>
      </c>
      <c r="T1041" s="279">
        <v>42674</v>
      </c>
      <c r="U1041" s="279">
        <v>42681</v>
      </c>
      <c r="V1041" s="279">
        <v>42685</v>
      </c>
      <c r="W1041" s="293">
        <v>0</v>
      </c>
      <c r="X1041" s="236">
        <v>9399</v>
      </c>
      <c r="AF1041" s="276">
        <f t="shared" si="118"/>
        <v>74.61</v>
      </c>
      <c r="AG1041" s="276">
        <f t="shared" si="119"/>
        <v>34.61</v>
      </c>
      <c r="AH1041" s="276">
        <f t="shared" si="120"/>
        <v>71.511039999999994</v>
      </c>
      <c r="AI1041" s="283">
        <f t="shared" si="121"/>
        <v>0.95846454898807121</v>
      </c>
    </row>
    <row r="1042" spans="1:35" ht="30" x14ac:dyDescent="0.25">
      <c r="A1042" s="275">
        <f>'Profits 2016'!A6255</f>
        <v>3004900</v>
      </c>
      <c r="B1042" s="279">
        <f>'Profits 2016'!B6255</f>
        <v>42655</v>
      </c>
      <c r="C1042" s="276">
        <f>'Profits 2016'!H6255</f>
        <v>182.27</v>
      </c>
      <c r="D1042" s="280">
        <f>'Profits 2016'!K6255</f>
        <v>162.10257000000001</v>
      </c>
      <c r="E1042" s="276">
        <f>'Profits 2016'!L6255</f>
        <v>510</v>
      </c>
      <c r="F1042" s="275" t="str">
        <f>'Profits 2016'!P6255</f>
        <v>Nassau</v>
      </c>
      <c r="G1042" s="292">
        <f>'Profits 2016'!N6255-'Profits 2016'!M6255</f>
        <v>89.250000000000014</v>
      </c>
      <c r="H1042" s="319"/>
      <c r="I1042" s="320"/>
      <c r="J1042" s="321"/>
      <c r="K1042" s="321"/>
      <c r="L1042" s="321"/>
      <c r="M1042" s="319"/>
      <c r="N1042" s="322"/>
      <c r="O1042" s="236" t="str">
        <f>'Profits 2016'!T6255</f>
        <v>FEDEX GROUND</v>
      </c>
      <c r="P1042" s="284" t="str">
        <f>'Profits 2016'!U6255</f>
        <v>702723289804</v>
      </c>
      <c r="Q1042" s="284" t="s">
        <v>314</v>
      </c>
      <c r="R1042" s="276">
        <v>31.83</v>
      </c>
      <c r="S1042" s="275" t="s">
        <v>15793</v>
      </c>
      <c r="T1042" s="279">
        <v>42674</v>
      </c>
      <c r="U1042" s="279">
        <v>42681</v>
      </c>
      <c r="V1042" s="279">
        <v>42685</v>
      </c>
      <c r="W1042" s="293">
        <v>0</v>
      </c>
      <c r="X1042" s="236">
        <v>9399</v>
      </c>
      <c r="AF1042" s="276">
        <f t="shared" si="118"/>
        <v>121.08000000000001</v>
      </c>
      <c r="AG1042" s="276">
        <f t="shared" si="119"/>
        <v>31.83</v>
      </c>
      <c r="AH1042" s="276">
        <f t="shared" si="120"/>
        <v>130.27257000000003</v>
      </c>
      <c r="AI1042" s="283">
        <f t="shared" si="121"/>
        <v>1.075921456888008</v>
      </c>
    </row>
    <row r="1043" spans="1:35" ht="30" x14ac:dyDescent="0.25">
      <c r="A1043" s="275">
        <f>'Profits 2016'!A6256</f>
        <v>3004901</v>
      </c>
      <c r="B1043" s="279">
        <f>'Profits 2016'!B6256</f>
        <v>42656</v>
      </c>
      <c r="C1043" s="276">
        <f>'Profits 2016'!H6256</f>
        <v>227.5</v>
      </c>
      <c r="D1043" s="280">
        <f>'Profits 2016'!K6256</f>
        <v>219.80625000000001</v>
      </c>
      <c r="E1043" s="276">
        <f>'Profits 2016'!L6256</f>
        <v>390</v>
      </c>
      <c r="F1043" s="275" t="str">
        <f>'Profits 2016'!P6256</f>
        <v>Houston</v>
      </c>
      <c r="G1043" s="292">
        <f>'Profits 2016'!N6256-'Profits 2016'!M6256</f>
        <v>136.5</v>
      </c>
      <c r="H1043" s="292">
        <v>0</v>
      </c>
      <c r="I1043" s="275">
        <v>30912186</v>
      </c>
      <c r="J1043" s="277">
        <v>42660</v>
      </c>
      <c r="K1043" s="277">
        <v>42664</v>
      </c>
      <c r="O1043" s="236" t="str">
        <f>'Profits 2016'!T6256</f>
        <v>FEDEX GROUND</v>
      </c>
      <c r="P1043" s="284" t="str">
        <f>'Profits 2016'!U6256</f>
        <v>543369482053</v>
      </c>
      <c r="Q1043" s="284" t="s">
        <v>314</v>
      </c>
      <c r="R1043" s="276">
        <v>42.13</v>
      </c>
      <c r="S1043" s="275" t="s">
        <v>15793</v>
      </c>
      <c r="T1043" s="279">
        <v>42674</v>
      </c>
      <c r="U1043" s="279">
        <v>42681</v>
      </c>
      <c r="V1043" s="279">
        <v>42685</v>
      </c>
      <c r="W1043" s="293">
        <v>0</v>
      </c>
      <c r="X1043" s="236">
        <v>9399</v>
      </c>
      <c r="AF1043" s="276">
        <f t="shared" si="118"/>
        <v>178.63</v>
      </c>
      <c r="AG1043" s="276">
        <f t="shared" si="119"/>
        <v>42.13</v>
      </c>
      <c r="AH1043" s="276">
        <f t="shared" si="120"/>
        <v>177.67625000000001</v>
      </c>
      <c r="AI1043" s="283">
        <f t="shared" si="121"/>
        <v>0.99466075127358233</v>
      </c>
    </row>
    <row r="1044" spans="1:35" x14ac:dyDescent="0.25">
      <c r="A1044" s="275">
        <f>'Profits 2016'!A6257</f>
        <v>3004902</v>
      </c>
      <c r="B1044" s="279">
        <f>'Profits 2016'!B6257</f>
        <v>42656</v>
      </c>
      <c r="C1044" s="276">
        <f>'Profits 2016'!H6257</f>
        <v>12176</v>
      </c>
      <c r="D1044" s="280">
        <f>'Profits 2016'!K6257</f>
        <v>12176</v>
      </c>
      <c r="E1044" s="276">
        <f>'Profits 2016'!L6257</f>
        <v>0</v>
      </c>
      <c r="F1044" s="275" t="str">
        <f>'Profits 2016'!P6257</f>
        <v>Nassau</v>
      </c>
      <c r="G1044" s="292">
        <f>'Profits 2016'!N6257-'Profits 2016'!M6257</f>
        <v>0</v>
      </c>
      <c r="H1044" s="319"/>
      <c r="I1044" s="320"/>
      <c r="J1044" s="321"/>
      <c r="K1044" s="321"/>
      <c r="L1044" s="321"/>
      <c r="M1044" s="319"/>
      <c r="N1044" s="322"/>
      <c r="O1044" s="236" t="str">
        <f>'Profits 2016'!T6257</f>
        <v>FEDEX/DLS</v>
      </c>
      <c r="P1044" s="284" t="str">
        <f>'Profits 2016'!U6257</f>
        <v>3423651405</v>
      </c>
      <c r="Q1044" s="284" t="s">
        <v>15804</v>
      </c>
      <c r="R1044" s="276">
        <v>400</v>
      </c>
      <c r="S1044" s="275">
        <v>636872491</v>
      </c>
      <c r="T1044" s="279">
        <v>42667</v>
      </c>
      <c r="U1044" s="279">
        <v>42674</v>
      </c>
      <c r="V1044" s="279">
        <v>42678</v>
      </c>
      <c r="W1044" s="293">
        <v>400</v>
      </c>
      <c r="X1044" s="236">
        <v>9342</v>
      </c>
      <c r="AF1044" s="276">
        <f t="shared" si="118"/>
        <v>400</v>
      </c>
      <c r="AG1044" s="276">
        <f t="shared" si="119"/>
        <v>400</v>
      </c>
      <c r="AH1044" s="276">
        <f t="shared" si="120"/>
        <v>11776</v>
      </c>
      <c r="AI1044" s="283">
        <f t="shared" si="121"/>
        <v>29.44</v>
      </c>
    </row>
    <row r="1045" spans="1:35" x14ac:dyDescent="0.25">
      <c r="A1045" s="275">
        <f>'Profits 2016'!A6258</f>
        <v>0</v>
      </c>
      <c r="B1045" s="279">
        <f>'Profits 2016'!B6258</f>
        <v>0</v>
      </c>
      <c r="C1045" s="276">
        <f>'Profits 2016'!H6258</f>
        <v>0</v>
      </c>
      <c r="D1045" s="280">
        <f>'Profits 2016'!K6258</f>
        <v>0</v>
      </c>
      <c r="E1045" s="276">
        <f>'Profits 2016'!L6258</f>
        <v>0</v>
      </c>
      <c r="F1045" s="275" t="str">
        <f>'Profits 2016'!P6258</f>
        <v>Nassau</v>
      </c>
      <c r="G1045" s="292">
        <f>'Profits 2016'!N6258-'Profits 2016'!M6258</f>
        <v>0</v>
      </c>
      <c r="H1045" s="319"/>
      <c r="I1045" s="320"/>
      <c r="J1045" s="321"/>
      <c r="K1045" s="321"/>
      <c r="L1045" s="321"/>
      <c r="M1045" s="319"/>
      <c r="N1045" s="322"/>
      <c r="O1045" s="236">
        <f>'Profits 2016'!T6258</f>
        <v>0</v>
      </c>
      <c r="P1045" s="284">
        <f>'Profits 2016'!U6258</f>
        <v>0</v>
      </c>
      <c r="Q1045" s="284" t="s">
        <v>15804</v>
      </c>
      <c r="R1045" s="276">
        <v>0</v>
      </c>
      <c r="S1045" s="275">
        <v>636872491</v>
      </c>
      <c r="T1045" s="279">
        <v>42667</v>
      </c>
      <c r="U1045" s="279">
        <v>42674</v>
      </c>
      <c r="V1045" s="279">
        <v>42678</v>
      </c>
      <c r="W1045" s="293">
        <v>0</v>
      </c>
      <c r="X1045" s="236">
        <v>9342</v>
      </c>
      <c r="AF1045" s="276">
        <f t="shared" si="118"/>
        <v>0</v>
      </c>
      <c r="AG1045" s="276">
        <f t="shared" si="119"/>
        <v>0</v>
      </c>
      <c r="AH1045" s="276">
        <f t="shared" si="120"/>
        <v>0</v>
      </c>
      <c r="AI1045" s="283" t="e">
        <f t="shared" si="121"/>
        <v>#DIV/0!</v>
      </c>
    </row>
    <row r="1046" spans="1:35" x14ac:dyDescent="0.25">
      <c r="A1046" s="275">
        <f>'Profits 2016'!A6259</f>
        <v>0</v>
      </c>
      <c r="B1046" s="279">
        <f>'Profits 2016'!B6259</f>
        <v>0</v>
      </c>
      <c r="C1046" s="276">
        <f>'Profits 2016'!H6259</f>
        <v>0</v>
      </c>
      <c r="D1046" s="280">
        <f>'Profits 2016'!K6259</f>
        <v>0</v>
      </c>
      <c r="E1046" s="276">
        <f>'Profits 2016'!L6259</f>
        <v>0</v>
      </c>
      <c r="F1046" s="275" t="str">
        <f>'Profits 2016'!P6259</f>
        <v>Nassau</v>
      </c>
      <c r="G1046" s="292">
        <f>'Profits 2016'!N6259-'Profits 2016'!M6259</f>
        <v>0</v>
      </c>
      <c r="H1046" s="319"/>
      <c r="I1046" s="320"/>
      <c r="J1046" s="321"/>
      <c r="K1046" s="321"/>
      <c r="L1046" s="321"/>
      <c r="M1046" s="319"/>
      <c r="N1046" s="322"/>
      <c r="O1046" s="236">
        <f>'Profits 2016'!T6259</f>
        <v>0</v>
      </c>
      <c r="P1046" s="284">
        <f>'Profits 2016'!U6259</f>
        <v>0</v>
      </c>
      <c r="Q1046" s="284" t="s">
        <v>15804</v>
      </c>
      <c r="R1046" s="276">
        <v>0</v>
      </c>
      <c r="S1046" s="275">
        <v>636872491</v>
      </c>
      <c r="T1046" s="279">
        <v>42667</v>
      </c>
      <c r="U1046" s="279">
        <v>42674</v>
      </c>
      <c r="V1046" s="279">
        <v>42678</v>
      </c>
      <c r="W1046" s="293">
        <v>0</v>
      </c>
      <c r="X1046" s="236">
        <v>9342</v>
      </c>
      <c r="AF1046" s="276">
        <f t="shared" si="118"/>
        <v>0</v>
      </c>
      <c r="AG1046" s="276">
        <f t="shared" si="119"/>
        <v>0</v>
      </c>
      <c r="AH1046" s="276">
        <f t="shared" si="120"/>
        <v>0</v>
      </c>
      <c r="AI1046" s="283" t="e">
        <f t="shared" si="121"/>
        <v>#DIV/0!</v>
      </c>
    </row>
    <row r="1047" spans="1:35" x14ac:dyDescent="0.25">
      <c r="A1047" s="275">
        <f>'Profits 2016'!A6260</f>
        <v>0</v>
      </c>
      <c r="B1047" s="279">
        <f>'Profits 2016'!B6260</f>
        <v>0</v>
      </c>
      <c r="C1047" s="276">
        <f>'Profits 2016'!H6260</f>
        <v>0</v>
      </c>
      <c r="D1047" s="280">
        <f>'Profits 2016'!K6260</f>
        <v>0</v>
      </c>
      <c r="E1047" s="276">
        <f>'Profits 2016'!L6260</f>
        <v>0</v>
      </c>
      <c r="F1047" s="275" t="str">
        <f>'Profits 2016'!P6260</f>
        <v>Nassau</v>
      </c>
      <c r="G1047" s="292">
        <f>'Profits 2016'!N6260-'Profits 2016'!M6260</f>
        <v>0</v>
      </c>
      <c r="H1047" s="319"/>
      <c r="I1047" s="320"/>
      <c r="J1047" s="321"/>
      <c r="K1047" s="321"/>
      <c r="L1047" s="321"/>
      <c r="M1047" s="319"/>
      <c r="N1047" s="322"/>
      <c r="O1047" s="236">
        <f>'Profits 2016'!T6260</f>
        <v>0</v>
      </c>
      <c r="P1047" s="284">
        <f>'Profits 2016'!U6260</f>
        <v>0</v>
      </c>
      <c r="Q1047" s="284" t="s">
        <v>15804</v>
      </c>
      <c r="R1047" s="276">
        <v>0</v>
      </c>
      <c r="S1047" s="275">
        <v>636872491</v>
      </c>
      <c r="T1047" s="279">
        <v>42667</v>
      </c>
      <c r="U1047" s="279">
        <v>42674</v>
      </c>
      <c r="V1047" s="279">
        <v>42678</v>
      </c>
      <c r="W1047" s="293">
        <v>0</v>
      </c>
      <c r="X1047" s="236">
        <v>9342</v>
      </c>
      <c r="AF1047" s="276">
        <f t="shared" si="118"/>
        <v>0</v>
      </c>
      <c r="AG1047" s="276">
        <f t="shared" si="119"/>
        <v>0</v>
      </c>
      <c r="AH1047" s="276">
        <f t="shared" si="120"/>
        <v>0</v>
      </c>
      <c r="AI1047" s="283" t="e">
        <f t="shared" si="121"/>
        <v>#DIV/0!</v>
      </c>
    </row>
    <row r="1048" spans="1:35" x14ac:dyDescent="0.25">
      <c r="A1048" s="275">
        <f>'Profits 2016'!A6261</f>
        <v>0</v>
      </c>
      <c r="B1048" s="279">
        <f>'Profits 2016'!B6261</f>
        <v>0</v>
      </c>
      <c r="C1048" s="276">
        <f>'Profits 2016'!H6261</f>
        <v>0</v>
      </c>
      <c r="D1048" s="280">
        <f>'Profits 2016'!K6261</f>
        <v>0</v>
      </c>
      <c r="E1048" s="276">
        <f>'Profits 2016'!L6261</f>
        <v>0</v>
      </c>
      <c r="F1048" s="275" t="str">
        <f>'Profits 2016'!P6261</f>
        <v>Nassau</v>
      </c>
      <c r="G1048" s="292">
        <f>'Profits 2016'!N6261-'Profits 2016'!M6261</f>
        <v>0</v>
      </c>
      <c r="H1048" s="319"/>
      <c r="I1048" s="320"/>
      <c r="J1048" s="321"/>
      <c r="K1048" s="321"/>
      <c r="L1048" s="321"/>
      <c r="M1048" s="319"/>
      <c r="N1048" s="322"/>
      <c r="O1048" s="236">
        <f>'Profits 2016'!T6261</f>
        <v>0</v>
      </c>
      <c r="P1048" s="284">
        <f>'Profits 2016'!U6261</f>
        <v>0</v>
      </c>
      <c r="Q1048" s="284" t="s">
        <v>15804</v>
      </c>
      <c r="R1048" s="276">
        <v>0</v>
      </c>
      <c r="S1048" s="275">
        <v>636872491</v>
      </c>
      <c r="T1048" s="279">
        <v>42667</v>
      </c>
      <c r="U1048" s="279">
        <v>42674</v>
      </c>
      <c r="V1048" s="279">
        <v>42678</v>
      </c>
      <c r="W1048" s="293">
        <v>0</v>
      </c>
      <c r="X1048" s="236">
        <v>9342</v>
      </c>
      <c r="AF1048" s="276">
        <f t="shared" si="118"/>
        <v>0</v>
      </c>
      <c r="AG1048" s="276">
        <f t="shared" si="119"/>
        <v>0</v>
      </c>
      <c r="AH1048" s="276">
        <f t="shared" si="120"/>
        <v>0</v>
      </c>
      <c r="AI1048" s="283" t="e">
        <f t="shared" si="121"/>
        <v>#DIV/0!</v>
      </c>
    </row>
    <row r="1049" spans="1:35" x14ac:dyDescent="0.25">
      <c r="A1049" s="275">
        <f>'Profits 2016'!A6262</f>
        <v>0</v>
      </c>
      <c r="B1049" s="279">
        <f>'Profits 2016'!B6262</f>
        <v>0</v>
      </c>
      <c r="C1049" s="276">
        <f>'Profits 2016'!H6262</f>
        <v>0</v>
      </c>
      <c r="D1049" s="280">
        <f>'Profits 2016'!K6262</f>
        <v>0</v>
      </c>
      <c r="E1049" s="276">
        <f>'Profits 2016'!L6262</f>
        <v>0</v>
      </c>
      <c r="F1049" s="275" t="str">
        <f>'Profits 2016'!P6262</f>
        <v>Nassau</v>
      </c>
      <c r="G1049" s="292">
        <f>'Profits 2016'!N6262-'Profits 2016'!M6262</f>
        <v>0</v>
      </c>
      <c r="H1049" s="319"/>
      <c r="I1049" s="320"/>
      <c r="J1049" s="321"/>
      <c r="K1049" s="321"/>
      <c r="L1049" s="321"/>
      <c r="M1049" s="319"/>
      <c r="N1049" s="322"/>
      <c r="O1049" s="236">
        <f>'Profits 2016'!T6262</f>
        <v>0</v>
      </c>
      <c r="P1049" s="284">
        <f>'Profits 2016'!U6262</f>
        <v>0</v>
      </c>
      <c r="Q1049" s="284" t="s">
        <v>15804</v>
      </c>
      <c r="R1049" s="276">
        <v>0</v>
      </c>
      <c r="S1049" s="275">
        <v>636872491</v>
      </c>
      <c r="T1049" s="279">
        <v>42667</v>
      </c>
      <c r="U1049" s="279">
        <v>42674</v>
      </c>
      <c r="V1049" s="279">
        <v>42678</v>
      </c>
      <c r="W1049" s="293">
        <v>0</v>
      </c>
      <c r="X1049" s="236">
        <v>9342</v>
      </c>
      <c r="AF1049" s="276">
        <f t="shared" si="118"/>
        <v>0</v>
      </c>
      <c r="AG1049" s="276">
        <f t="shared" si="119"/>
        <v>0</v>
      </c>
      <c r="AH1049" s="276">
        <f t="shared" si="120"/>
        <v>0</v>
      </c>
      <c r="AI1049" s="283" t="e">
        <f t="shared" si="121"/>
        <v>#DIV/0!</v>
      </c>
    </row>
    <row r="1050" spans="1:35" x14ac:dyDescent="0.25">
      <c r="A1050" s="275">
        <f>'Profits 2016'!A6263</f>
        <v>0</v>
      </c>
      <c r="B1050" s="279">
        <f>'Profits 2016'!B6263</f>
        <v>0</v>
      </c>
      <c r="C1050" s="276">
        <f>'Profits 2016'!H6263</f>
        <v>0</v>
      </c>
      <c r="D1050" s="280">
        <f>'Profits 2016'!K6263</f>
        <v>0</v>
      </c>
      <c r="E1050" s="276">
        <f>'Profits 2016'!L6263</f>
        <v>0</v>
      </c>
      <c r="F1050" s="275" t="str">
        <f>'Profits 2016'!P6263</f>
        <v>Nassau</v>
      </c>
      <c r="G1050" s="292">
        <f>'Profits 2016'!N6263-'Profits 2016'!M6263</f>
        <v>0</v>
      </c>
      <c r="H1050" s="319"/>
      <c r="I1050" s="320"/>
      <c r="J1050" s="321"/>
      <c r="K1050" s="321"/>
      <c r="L1050" s="321"/>
      <c r="M1050" s="319"/>
      <c r="N1050" s="322"/>
      <c r="O1050" s="236">
        <f>'Profits 2016'!T6263</f>
        <v>0</v>
      </c>
      <c r="P1050" s="284">
        <f>'Profits 2016'!U6263</f>
        <v>0</v>
      </c>
      <c r="Q1050" s="284" t="s">
        <v>15804</v>
      </c>
      <c r="R1050" s="276">
        <v>0</v>
      </c>
      <c r="S1050" s="275">
        <v>636872491</v>
      </c>
      <c r="T1050" s="279">
        <v>42667</v>
      </c>
      <c r="U1050" s="279">
        <v>42674</v>
      </c>
      <c r="V1050" s="279">
        <v>42678</v>
      </c>
      <c r="W1050" s="293">
        <v>0</v>
      </c>
      <c r="X1050" s="236">
        <v>9342</v>
      </c>
      <c r="AF1050" s="276">
        <f t="shared" si="118"/>
        <v>0</v>
      </c>
      <c r="AG1050" s="276">
        <f t="shared" si="119"/>
        <v>0</v>
      </c>
      <c r="AH1050" s="276">
        <f t="shared" si="120"/>
        <v>0</v>
      </c>
      <c r="AI1050" s="283" t="e">
        <f t="shared" si="121"/>
        <v>#DIV/0!</v>
      </c>
    </row>
    <row r="1051" spans="1:35" x14ac:dyDescent="0.25">
      <c r="A1051" s="275">
        <f>'Profits 2016'!A6264</f>
        <v>0</v>
      </c>
      <c r="B1051" s="279">
        <f>'Profits 2016'!B6264</f>
        <v>0</v>
      </c>
      <c r="C1051" s="276">
        <f>'Profits 2016'!H6264</f>
        <v>0</v>
      </c>
      <c r="D1051" s="280">
        <f>'Profits 2016'!K6264</f>
        <v>0</v>
      </c>
      <c r="E1051" s="276">
        <f>'Profits 2016'!L6264</f>
        <v>64</v>
      </c>
      <c r="F1051" s="275" t="str">
        <f>'Profits 2016'!P6264</f>
        <v>Nassau</v>
      </c>
      <c r="G1051" s="292">
        <f>'Profits 2016'!N6264-'Profits 2016'!M6264</f>
        <v>1600</v>
      </c>
      <c r="H1051" s="319"/>
      <c r="I1051" s="320"/>
      <c r="J1051" s="321"/>
      <c r="K1051" s="321"/>
      <c r="L1051" s="321"/>
      <c r="M1051" s="319"/>
      <c r="N1051" s="322"/>
      <c r="O1051" s="236">
        <f>'Profits 2016'!T6264</f>
        <v>0</v>
      </c>
      <c r="P1051" s="284">
        <f>'Profits 2016'!U6264</f>
        <v>0</v>
      </c>
      <c r="Q1051" s="284" t="s">
        <v>15804</v>
      </c>
      <c r="R1051" s="276">
        <v>0</v>
      </c>
      <c r="S1051" s="275">
        <v>636872491</v>
      </c>
      <c r="T1051" s="279">
        <v>42667</v>
      </c>
      <c r="U1051" s="279">
        <v>42674</v>
      </c>
      <c r="V1051" s="279">
        <v>42678</v>
      </c>
      <c r="W1051" s="293">
        <v>0</v>
      </c>
      <c r="X1051" s="236">
        <v>9342</v>
      </c>
      <c r="AF1051" s="276">
        <f t="shared" si="118"/>
        <v>1600</v>
      </c>
      <c r="AG1051" s="276">
        <f t="shared" si="119"/>
        <v>0</v>
      </c>
      <c r="AH1051" s="276">
        <f t="shared" si="120"/>
        <v>0</v>
      </c>
      <c r="AI1051" s="283">
        <f t="shared" si="121"/>
        <v>0</v>
      </c>
    </row>
    <row r="1052" spans="1:35" ht="62.25" customHeight="1" x14ac:dyDescent="0.25">
      <c r="A1052" s="275">
        <f>'Profits 2016'!A6265</f>
        <v>3004903</v>
      </c>
      <c r="B1052" s="279">
        <f>'Profits 2016'!B6265</f>
        <v>42656</v>
      </c>
      <c r="C1052" s="276">
        <f>'Profits 2016'!H6265</f>
        <v>1120</v>
      </c>
      <c r="D1052" s="280">
        <f>'Profits 2016'!K6265</f>
        <v>1120</v>
      </c>
      <c r="E1052" s="276">
        <f>'Profits 2016'!L6265</f>
        <v>280</v>
      </c>
      <c r="F1052" s="275" t="str">
        <f>'Profits 2016'!P6265</f>
        <v>A-Z</v>
      </c>
      <c r="G1052" s="292">
        <f>'Profits 2016'!N6265-'Profits 2016'!M6265</f>
        <v>560</v>
      </c>
      <c r="H1052" s="292">
        <v>0</v>
      </c>
      <c r="I1052" s="275">
        <v>405460</v>
      </c>
      <c r="J1052" s="277">
        <v>42657</v>
      </c>
      <c r="K1052" s="277">
        <v>42664</v>
      </c>
      <c r="L1052" s="277">
        <v>42697</v>
      </c>
      <c r="M1052" s="292">
        <v>560</v>
      </c>
      <c r="N1052" s="281">
        <v>9462</v>
      </c>
      <c r="O1052" s="236" t="str">
        <f>'Profits 2016'!T6265</f>
        <v>FEDEX GROUND</v>
      </c>
      <c r="P1052" s="284" t="str">
        <f>'Profits 2016'!U6265</f>
        <v>707060226509, 707060226510, 707060226520, 707060226531, 707060226542</v>
      </c>
      <c r="Q1052" s="284" t="s">
        <v>314</v>
      </c>
      <c r="R1052" s="276">
        <f>14.98+14.98+25.48+14.98</f>
        <v>70.42</v>
      </c>
      <c r="S1052" s="275" t="s">
        <v>15793</v>
      </c>
      <c r="T1052" s="279">
        <v>42674</v>
      </c>
      <c r="U1052" s="279">
        <v>42681</v>
      </c>
      <c r="V1052" s="279">
        <v>42685</v>
      </c>
      <c r="W1052" s="293">
        <v>0</v>
      </c>
      <c r="X1052" s="236">
        <v>9399</v>
      </c>
      <c r="AF1052" s="276">
        <f t="shared" si="118"/>
        <v>630.41999999999996</v>
      </c>
      <c r="AG1052" s="276">
        <f t="shared" si="119"/>
        <v>630.41999999999996</v>
      </c>
      <c r="AH1052" s="276">
        <f t="shared" si="120"/>
        <v>489.58000000000004</v>
      </c>
      <c r="AI1052" s="283">
        <f t="shared" si="121"/>
        <v>0.77659338218965146</v>
      </c>
    </row>
    <row r="1053" spans="1:35" ht="30" x14ac:dyDescent="0.25">
      <c r="A1053" s="275">
        <f>'Profits 2016'!A6266</f>
        <v>3004904</v>
      </c>
      <c r="B1053" s="279">
        <f>'Profits 2016'!B6266</f>
        <v>42656</v>
      </c>
      <c r="C1053" s="276">
        <f>'Profits 2016'!H6266</f>
        <v>2145</v>
      </c>
      <c r="D1053" s="280">
        <f>'Profits 2016'!K6266</f>
        <v>2145</v>
      </c>
      <c r="E1053" s="276">
        <f>'Profits 2016'!L6266</f>
        <v>795</v>
      </c>
      <c r="F1053" s="275" t="str">
        <f>'Profits 2016'!P6266</f>
        <v>Brazil</v>
      </c>
      <c r="G1053" s="292">
        <f>'Profits 2016'!N6266-'Profits 2016'!M6266</f>
        <v>397.5</v>
      </c>
      <c r="H1053" s="292">
        <v>0</v>
      </c>
      <c r="I1053" s="275">
        <v>90996860</v>
      </c>
      <c r="J1053" s="277">
        <v>42661</v>
      </c>
      <c r="K1053" s="277">
        <v>42667</v>
      </c>
      <c r="L1053" s="277">
        <v>42678</v>
      </c>
      <c r="M1053" s="292">
        <v>627.20000000000005</v>
      </c>
      <c r="N1053" s="281">
        <v>9353</v>
      </c>
      <c r="O1053" s="236" t="str">
        <f>'Profits 2016'!T6266</f>
        <v>DELIVERED TODAY</v>
      </c>
      <c r="P1053" s="284" t="str">
        <f>'Profits 2016'!U6266</f>
        <v>VIA BRAZIL TRUCK</v>
      </c>
      <c r="AF1053" s="276">
        <f t="shared" si="118"/>
        <v>397.5</v>
      </c>
      <c r="AG1053" s="276">
        <f t="shared" si="119"/>
        <v>627.20000000000005</v>
      </c>
      <c r="AH1053" s="276">
        <f t="shared" si="120"/>
        <v>1517.8</v>
      </c>
      <c r="AI1053" s="283">
        <f t="shared" si="121"/>
        <v>3.8183647798742135</v>
      </c>
    </row>
    <row r="1054" spans="1:35" ht="30" x14ac:dyDescent="0.25">
      <c r="A1054" s="275">
        <f>'Profits 2016'!A6267</f>
        <v>0</v>
      </c>
      <c r="B1054" s="279">
        <f>'Profits 2016'!B6267</f>
        <v>0</v>
      </c>
      <c r="C1054" s="276">
        <f>'Profits 2016'!H6267</f>
        <v>0</v>
      </c>
      <c r="D1054" s="280">
        <f>'Profits 2016'!K6267</f>
        <v>0</v>
      </c>
      <c r="E1054" s="276">
        <f>'Profits 2016'!L6267</f>
        <v>485</v>
      </c>
      <c r="F1054" s="275" t="str">
        <f>'Profits 2016'!P6267</f>
        <v>Brazil</v>
      </c>
      <c r="G1054" s="292">
        <f>'Profits 2016'!N6267-'Profits 2016'!M6267</f>
        <v>242.5</v>
      </c>
      <c r="H1054" s="292">
        <v>0</v>
      </c>
      <c r="I1054" s="275">
        <v>90996860</v>
      </c>
      <c r="J1054" s="277">
        <v>42661</v>
      </c>
      <c r="K1054" s="277">
        <v>42667</v>
      </c>
      <c r="L1054" s="277">
        <v>42678</v>
      </c>
      <c r="M1054" s="292">
        <v>0</v>
      </c>
      <c r="N1054" s="281">
        <v>9353</v>
      </c>
      <c r="O1054" s="236" t="str">
        <f>'Profits 2016'!T6267</f>
        <v>UPS GROUND</v>
      </c>
      <c r="P1054" s="284" t="str">
        <f>'Profits 2016'!U6267</f>
        <v>1z00051f0351866604</v>
      </c>
      <c r="Q1054" s="284" t="s">
        <v>15866</v>
      </c>
      <c r="R1054" s="276">
        <v>136.01</v>
      </c>
      <c r="S1054" s="275">
        <v>91010333</v>
      </c>
      <c r="T1054" s="279">
        <v>42675</v>
      </c>
      <c r="U1054" s="279">
        <v>42675</v>
      </c>
      <c r="V1054" s="279">
        <v>42678</v>
      </c>
      <c r="W1054" s="293">
        <v>136.01</v>
      </c>
      <c r="X1054" s="236">
        <v>9359</v>
      </c>
      <c r="AF1054" s="276">
        <f t="shared" si="118"/>
        <v>408.51</v>
      </c>
      <c r="AG1054" s="276">
        <f t="shared" si="119"/>
        <v>136.01</v>
      </c>
      <c r="AH1054" s="276">
        <f t="shared" si="120"/>
        <v>-136.01</v>
      </c>
      <c r="AI1054" s="283">
        <f t="shared" si="121"/>
        <v>-0.3329416660546865</v>
      </c>
    </row>
    <row r="1055" spans="1:35" x14ac:dyDescent="0.25">
      <c r="A1055" s="275">
        <f>'Profits 2016'!A6268</f>
        <v>0</v>
      </c>
      <c r="B1055" s="279">
        <f>'Profits 2016'!B6268</f>
        <v>0</v>
      </c>
      <c r="C1055" s="276">
        <f>'Profits 2016'!H6268</f>
        <v>0</v>
      </c>
      <c r="D1055" s="280">
        <f>'Profits 2016'!K6268</f>
        <v>0</v>
      </c>
      <c r="E1055" s="276">
        <f>'Profits 2016'!L6268</f>
        <v>7008</v>
      </c>
      <c r="F1055" s="275" t="str">
        <f>'Profits 2016'!P6268</f>
        <v>Brazil</v>
      </c>
      <c r="G1055" s="292">
        <f>'Profits 2016'!N6268-'Profits 2016'!M6268</f>
        <v>700.80000000000007</v>
      </c>
      <c r="H1055" s="292">
        <v>30</v>
      </c>
      <c r="I1055" s="275">
        <v>91010333</v>
      </c>
      <c r="J1055" s="277">
        <v>42668</v>
      </c>
      <c r="K1055" s="277">
        <v>42675</v>
      </c>
      <c r="L1055" s="277">
        <v>42678</v>
      </c>
      <c r="M1055" s="292">
        <v>716.18</v>
      </c>
      <c r="N1055" s="281">
        <v>9359</v>
      </c>
      <c r="O1055" s="236">
        <f>'Profits 2016'!T6268</f>
        <v>0</v>
      </c>
      <c r="P1055" s="284">
        <f>'Profits 2016'!U6268</f>
        <v>0</v>
      </c>
      <c r="Q1055" s="284" t="s">
        <v>15866</v>
      </c>
      <c r="R1055" s="276">
        <v>0</v>
      </c>
      <c r="S1055" s="275">
        <v>91010333</v>
      </c>
      <c r="T1055" s="279">
        <v>42675</v>
      </c>
      <c r="U1055" s="279">
        <v>42675</v>
      </c>
      <c r="V1055" s="279">
        <v>42678</v>
      </c>
      <c r="W1055" s="293">
        <v>0</v>
      </c>
      <c r="X1055" s="236">
        <v>9359</v>
      </c>
      <c r="AF1055" s="276">
        <f t="shared" si="118"/>
        <v>699.97</v>
      </c>
      <c r="AG1055" s="276">
        <f t="shared" si="119"/>
        <v>716.18</v>
      </c>
      <c r="AH1055" s="276">
        <f t="shared" si="120"/>
        <v>-716.18</v>
      </c>
      <c r="AI1055" s="283">
        <f t="shared" si="121"/>
        <v>-1.0231581353486576</v>
      </c>
    </row>
    <row r="1056" spans="1:35" ht="30" x14ac:dyDescent="0.25">
      <c r="A1056" s="275">
        <f>'Profits 2016'!A6269</f>
        <v>3004905</v>
      </c>
      <c r="B1056" s="279">
        <f>'Profits 2016'!B6269</f>
        <v>42656</v>
      </c>
      <c r="C1056" s="276">
        <f>'Profits 2016'!H6269</f>
        <v>285.11</v>
      </c>
      <c r="D1056" s="280">
        <f>'Profits 2016'!K6269</f>
        <v>253.73301000000001</v>
      </c>
      <c r="E1056" s="276">
        <f>'Profits 2016'!L6269</f>
        <v>190.99</v>
      </c>
      <c r="F1056" s="275" t="str">
        <f>'Profits 2016'!P6269</f>
        <v>General</v>
      </c>
      <c r="G1056" s="292">
        <f>'Profits 2016'!N6269-'Profits 2016'!M6269</f>
        <v>190.99</v>
      </c>
      <c r="H1056" s="292">
        <v>-0.83</v>
      </c>
      <c r="I1056" s="275">
        <v>3767956</v>
      </c>
      <c r="J1056" s="277">
        <v>42661</v>
      </c>
      <c r="K1056" s="277">
        <v>42667</v>
      </c>
      <c r="L1056" s="277">
        <v>42678</v>
      </c>
      <c r="M1056" s="292">
        <f>190.16*0.98</f>
        <v>186.35679999999999</v>
      </c>
      <c r="N1056" s="281">
        <v>9311</v>
      </c>
      <c r="O1056" s="236" t="str">
        <f>'Profits 2016'!T6269</f>
        <v>UPS GROUND</v>
      </c>
      <c r="P1056" s="284" t="str">
        <f>'Profits 2016'!U6269</f>
        <v>1ZE412720301758534</v>
      </c>
      <c r="Q1056" s="284" t="s">
        <v>15741</v>
      </c>
      <c r="R1056" s="276">
        <v>16.829999999999998</v>
      </c>
      <c r="S1056" s="275">
        <v>3767956</v>
      </c>
      <c r="T1056" s="279">
        <v>42661</v>
      </c>
      <c r="U1056" s="279">
        <v>42667</v>
      </c>
      <c r="V1056" s="279">
        <v>42678</v>
      </c>
      <c r="W1056" s="293">
        <v>16.829999999999998</v>
      </c>
      <c r="X1056" s="236">
        <v>9311</v>
      </c>
      <c r="AF1056" s="276">
        <f t="shared" si="118"/>
        <v>207.82</v>
      </c>
      <c r="AG1056" s="276">
        <f t="shared" si="119"/>
        <v>203.18680000000001</v>
      </c>
      <c r="AH1056" s="276">
        <f t="shared" si="120"/>
        <v>50.546210000000002</v>
      </c>
      <c r="AI1056" s="283">
        <f t="shared" si="121"/>
        <v>0.24322110480223272</v>
      </c>
    </row>
    <row r="1057" spans="1:35" ht="30" x14ac:dyDescent="0.25">
      <c r="A1057" s="275">
        <f>'Profits 2016'!A6270</f>
        <v>3004906</v>
      </c>
      <c r="B1057" s="279">
        <f>'Profits 2016'!B6270</f>
        <v>42656</v>
      </c>
      <c r="C1057" s="276">
        <f>'Profits 2016'!H6270</f>
        <v>227.48</v>
      </c>
      <c r="D1057" s="280">
        <f>'Profits 2016'!K6270</f>
        <v>202.38468</v>
      </c>
      <c r="E1057" s="276">
        <f>'Profits 2016'!L6270</f>
        <v>990</v>
      </c>
      <c r="F1057" s="275" t="str">
        <f>'Profits 2016'!P6270</f>
        <v>Nassau</v>
      </c>
      <c r="G1057" s="292">
        <f>'Profits 2016'!N6270-'Profits 2016'!M6270</f>
        <v>99</v>
      </c>
      <c r="H1057" s="319"/>
      <c r="I1057" s="320"/>
      <c r="J1057" s="321"/>
      <c r="K1057" s="321"/>
      <c r="L1057" s="321"/>
      <c r="M1057" s="319"/>
      <c r="N1057" s="322"/>
      <c r="O1057" s="236" t="str">
        <f>'Profits 2016'!T6270</f>
        <v>FEDEX GROUND</v>
      </c>
      <c r="P1057" s="284" t="str">
        <f>'Profits 2016'!U6270</f>
        <v>702723289860</v>
      </c>
      <c r="Q1057" s="284" t="s">
        <v>314</v>
      </c>
      <c r="R1057" s="276">
        <v>33.69</v>
      </c>
      <c r="S1057" s="275" t="s">
        <v>15793</v>
      </c>
      <c r="T1057" s="279">
        <v>42674</v>
      </c>
      <c r="U1057" s="279">
        <v>42681</v>
      </c>
      <c r="V1057" s="279">
        <v>42685</v>
      </c>
      <c r="W1057" s="293">
        <v>0</v>
      </c>
      <c r="X1057" s="236">
        <v>9399</v>
      </c>
      <c r="AF1057" s="276">
        <f t="shared" si="118"/>
        <v>132.69</v>
      </c>
      <c r="AG1057" s="276">
        <f t="shared" si="119"/>
        <v>33.69</v>
      </c>
      <c r="AH1057" s="276">
        <f t="shared" si="120"/>
        <v>168.69468000000001</v>
      </c>
      <c r="AI1057" s="283">
        <f t="shared" si="121"/>
        <v>1.2713443364232422</v>
      </c>
    </row>
    <row r="1058" spans="1:35" ht="30" x14ac:dyDescent="0.25">
      <c r="A1058" s="275">
        <f>'Profits 2016'!A6271</f>
        <v>3004907</v>
      </c>
      <c r="B1058" s="279">
        <f>'Profits 2016'!B6271</f>
        <v>42656</v>
      </c>
      <c r="C1058" s="276">
        <f>'Profits 2016'!H6271</f>
        <v>168.27</v>
      </c>
      <c r="D1058" s="280">
        <f>'Profits 2016'!K6271</f>
        <v>149.62857</v>
      </c>
      <c r="E1058" s="276">
        <f>'Profits 2016'!L6271</f>
        <v>300</v>
      </c>
      <c r="F1058" s="275" t="str">
        <f>'Profits 2016'!P6271</f>
        <v>Nassau</v>
      </c>
      <c r="G1058" s="292">
        <f>'Profits 2016'!N6271-'Profits 2016'!M6271</f>
        <v>75</v>
      </c>
      <c r="H1058" s="319"/>
      <c r="I1058" s="320"/>
      <c r="J1058" s="321"/>
      <c r="K1058" s="321"/>
      <c r="L1058" s="321"/>
      <c r="M1058" s="319"/>
      <c r="N1058" s="322"/>
      <c r="O1058" s="236" t="str">
        <f>'Profits 2016'!T6271</f>
        <v>FEDEX GROUND</v>
      </c>
      <c r="P1058" s="284" t="str">
        <f>'Profits 2016'!U6271</f>
        <v>702723289907</v>
      </c>
      <c r="Q1058" s="284" t="s">
        <v>314</v>
      </c>
      <c r="R1058" s="276">
        <v>20.22</v>
      </c>
      <c r="S1058" s="275" t="s">
        <v>15793</v>
      </c>
      <c r="T1058" s="279">
        <v>42674</v>
      </c>
      <c r="U1058" s="279">
        <v>42681</v>
      </c>
      <c r="V1058" s="279">
        <v>42685</v>
      </c>
      <c r="W1058" s="293">
        <v>0</v>
      </c>
      <c r="X1058" s="236">
        <v>9399</v>
      </c>
      <c r="AF1058" s="276">
        <f t="shared" si="118"/>
        <v>95.22</v>
      </c>
      <c r="AG1058" s="276">
        <f t="shared" si="119"/>
        <v>20.22</v>
      </c>
      <c r="AH1058" s="276">
        <f t="shared" si="120"/>
        <v>129.40857</v>
      </c>
      <c r="AI1058" s="283">
        <f t="shared" si="121"/>
        <v>1.3590482041587901</v>
      </c>
    </row>
    <row r="1059" spans="1:35" ht="30" x14ac:dyDescent="0.25">
      <c r="A1059" s="275">
        <f>'Profits 2016'!A6272</f>
        <v>3004908</v>
      </c>
      <c r="B1059" s="279">
        <f>'Profits 2016'!B6272</f>
        <v>42656</v>
      </c>
      <c r="C1059" s="276">
        <f>'Profits 2016'!H6272</f>
        <v>225</v>
      </c>
      <c r="D1059" s="280">
        <f>'Profits 2016'!K6272</f>
        <v>200.17500000000001</v>
      </c>
      <c r="E1059" s="276">
        <f>'Profits 2016'!L6272</f>
        <v>409</v>
      </c>
      <c r="F1059" s="275" t="str">
        <f>'Profits 2016'!P6272</f>
        <v>Nassau</v>
      </c>
      <c r="G1059" s="292">
        <f>'Profits 2016'!N6272-'Profits 2016'!M6272</f>
        <v>102.25000000000001</v>
      </c>
      <c r="H1059" s="319"/>
      <c r="I1059" s="320"/>
      <c r="J1059" s="321"/>
      <c r="K1059" s="321"/>
      <c r="L1059" s="321"/>
      <c r="M1059" s="319"/>
      <c r="N1059" s="322"/>
      <c r="O1059" s="236" t="str">
        <f>'Profits 2016'!T6272</f>
        <v>FEDEX GROUND</v>
      </c>
      <c r="P1059" s="284" t="str">
        <f>'Profits 2016'!U6272</f>
        <v>702723289870</v>
      </c>
      <c r="Q1059" s="284" t="s">
        <v>314</v>
      </c>
      <c r="R1059" s="276">
        <v>33.42</v>
      </c>
      <c r="S1059" s="275" t="s">
        <v>15793</v>
      </c>
      <c r="T1059" s="279">
        <v>42674</v>
      </c>
      <c r="U1059" s="279">
        <v>42681</v>
      </c>
      <c r="V1059" s="279">
        <v>42685</v>
      </c>
      <c r="W1059" s="293">
        <v>0</v>
      </c>
      <c r="X1059" s="236">
        <v>9399</v>
      </c>
      <c r="AF1059" s="276">
        <f t="shared" si="118"/>
        <v>135.67000000000002</v>
      </c>
      <c r="AG1059" s="276">
        <f t="shared" si="119"/>
        <v>33.42</v>
      </c>
      <c r="AH1059" s="276">
        <f t="shared" si="120"/>
        <v>166.755</v>
      </c>
      <c r="AI1059" s="283">
        <f t="shared" si="121"/>
        <v>1.2291221345912875</v>
      </c>
    </row>
    <row r="1060" spans="1:35" ht="30" x14ac:dyDescent="0.25">
      <c r="A1060" s="275">
        <f>'Profits 2016'!A6273</f>
        <v>3004909</v>
      </c>
      <c r="B1060" s="279">
        <f>'Profits 2016'!B6273</f>
        <v>42656</v>
      </c>
      <c r="C1060" s="276">
        <f>'Profits 2016'!H6273</f>
        <v>760.38</v>
      </c>
      <c r="D1060" s="280">
        <f>'Profits 2016'!K6273</f>
        <v>646.32299999999998</v>
      </c>
      <c r="E1060" s="276">
        <f>'Profits 2016'!L6273</f>
        <v>1693</v>
      </c>
      <c r="F1060" s="275" t="str">
        <f>'Profits 2016'!P6273</f>
        <v>Nassau</v>
      </c>
      <c r="G1060" s="292">
        <f>'Profits 2016'!N6273-'Profits 2016'!M6273</f>
        <v>507.9</v>
      </c>
      <c r="H1060" s="319"/>
      <c r="I1060" s="320"/>
      <c r="J1060" s="321"/>
      <c r="K1060" s="321"/>
      <c r="L1060" s="321"/>
      <c r="M1060" s="319"/>
      <c r="N1060" s="322"/>
      <c r="O1060" s="236" t="str">
        <f>'Profits 2016'!T6273</f>
        <v>NEW PENN/DLS</v>
      </c>
      <c r="P1060" s="284" t="str">
        <f>'Profits 2016'!U6273</f>
        <v>87956905</v>
      </c>
      <c r="Q1060" s="284" t="s">
        <v>15804</v>
      </c>
      <c r="R1060" s="276">
        <v>145.53</v>
      </c>
      <c r="S1060" s="275">
        <v>636864950</v>
      </c>
      <c r="T1060" s="279">
        <v>42664</v>
      </c>
      <c r="U1060" s="279">
        <v>42667</v>
      </c>
      <c r="V1060" s="279">
        <v>42671</v>
      </c>
      <c r="W1060" s="293">
        <v>145.53</v>
      </c>
      <c r="X1060" s="236">
        <v>9263</v>
      </c>
      <c r="AF1060" s="276">
        <f t="shared" si="118"/>
        <v>653.42999999999995</v>
      </c>
      <c r="AG1060" s="276">
        <f t="shared" si="119"/>
        <v>145.53</v>
      </c>
      <c r="AH1060" s="276">
        <f t="shared" si="120"/>
        <v>500.79300000000001</v>
      </c>
      <c r="AI1060" s="283">
        <f t="shared" si="121"/>
        <v>0.76640650107892205</v>
      </c>
    </row>
    <row r="1061" spans="1:35" ht="30" customHeight="1" x14ac:dyDescent="0.25">
      <c r="A1061" s="275">
        <f>'Profits 2016'!A6274</f>
        <v>3004910</v>
      </c>
      <c r="B1061" s="279">
        <f>'Profits 2016'!B6274</f>
        <v>42656</v>
      </c>
      <c r="C1061" s="276">
        <f>'Profits 2016'!H6274</f>
        <v>367.42</v>
      </c>
      <c r="D1061" s="280">
        <f>'Profits 2016'!K6274</f>
        <v>312.30700000000002</v>
      </c>
      <c r="E1061" s="276">
        <f>'Profits 2016'!L6274</f>
        <v>220</v>
      </c>
      <c r="F1061" s="275" t="str">
        <f>'Profits 2016'!P6274</f>
        <v>Nassau</v>
      </c>
      <c r="G1061" s="292">
        <f>'Profits 2016'!N6274-'Profits 2016'!M6274</f>
        <v>220.00000000000003</v>
      </c>
      <c r="H1061" s="319"/>
      <c r="I1061" s="320"/>
      <c r="J1061" s="321"/>
      <c r="K1061" s="321"/>
      <c r="L1061" s="321"/>
      <c r="M1061" s="319"/>
      <c r="N1061" s="322"/>
      <c r="O1061" s="236" t="str">
        <f>'Profits 2016'!T6274</f>
        <v>FEDEX GROUND</v>
      </c>
      <c r="P1061" s="284" t="str">
        <f>'Profits 2016'!U6274</f>
        <v xml:space="preserve">702723289859, '702723289848  </v>
      </c>
      <c r="Q1061" s="284" t="s">
        <v>314</v>
      </c>
      <c r="R1061" s="276">
        <v>58.09</v>
      </c>
      <c r="S1061" s="275" t="s">
        <v>15793</v>
      </c>
      <c r="T1061" s="279">
        <v>42674</v>
      </c>
      <c r="U1061" s="279">
        <v>42681</v>
      </c>
      <c r="V1061" s="279">
        <v>42685</v>
      </c>
      <c r="W1061" s="293">
        <v>0</v>
      </c>
      <c r="X1061" s="236">
        <v>9399</v>
      </c>
      <c r="AF1061" s="276">
        <f t="shared" si="118"/>
        <v>278.09000000000003</v>
      </c>
      <c r="AG1061" s="276">
        <f t="shared" si="119"/>
        <v>58.09</v>
      </c>
      <c r="AH1061" s="276">
        <f t="shared" si="120"/>
        <v>254.21700000000001</v>
      </c>
      <c r="AI1061" s="283">
        <f t="shared" si="121"/>
        <v>0.91415369125103374</v>
      </c>
    </row>
    <row r="1062" spans="1:35" ht="30" x14ac:dyDescent="0.25">
      <c r="A1062" s="275">
        <f>'Profits 2016'!A6275</f>
        <v>3004911</v>
      </c>
      <c r="B1062" s="279">
        <f>'Profits 2016'!B6275</f>
        <v>42656</v>
      </c>
      <c r="C1062" s="276">
        <f>'Profits 2016'!H6275</f>
        <v>113.43</v>
      </c>
      <c r="D1062" s="280">
        <f>'Profits 2016'!K6275</f>
        <v>96.415500000000009</v>
      </c>
      <c r="E1062" s="276">
        <f>'Profits 2016'!L6275</f>
        <v>900</v>
      </c>
      <c r="F1062" s="275" t="str">
        <f>'Profits 2016'!P6275</f>
        <v>Nassau</v>
      </c>
      <c r="G1062" s="292">
        <f>'Profits 2016'!N6275-'Profits 2016'!M6275</f>
        <v>45</v>
      </c>
      <c r="H1062" s="319"/>
      <c r="I1062" s="320"/>
      <c r="J1062" s="321"/>
      <c r="K1062" s="321"/>
      <c r="L1062" s="321"/>
      <c r="M1062" s="319"/>
      <c r="N1062" s="322"/>
      <c r="O1062" s="236" t="str">
        <f>'Profits 2016'!T6275</f>
        <v>FEDEX GROUND</v>
      </c>
      <c r="P1062" s="284" t="str">
        <f>'Profits 2016'!U6275</f>
        <v>702723289837</v>
      </c>
      <c r="Q1062" s="284" t="s">
        <v>314</v>
      </c>
      <c r="R1062" s="276">
        <v>16.649999999999999</v>
      </c>
      <c r="S1062" s="275" t="s">
        <v>15805</v>
      </c>
      <c r="T1062" s="279">
        <v>42667</v>
      </c>
      <c r="U1062" s="279">
        <v>42670</v>
      </c>
      <c r="V1062" s="279">
        <v>42678</v>
      </c>
      <c r="W1062" s="293">
        <v>0</v>
      </c>
      <c r="X1062" s="236">
        <v>9301</v>
      </c>
      <c r="AF1062" s="276">
        <f t="shared" si="118"/>
        <v>61.65</v>
      </c>
      <c r="AG1062" s="276">
        <f t="shared" si="119"/>
        <v>16.649999999999999</v>
      </c>
      <c r="AH1062" s="276">
        <f t="shared" si="120"/>
        <v>79.765500000000003</v>
      </c>
      <c r="AI1062" s="283">
        <f t="shared" si="121"/>
        <v>1.2938442822384428</v>
      </c>
    </row>
    <row r="1063" spans="1:35" ht="30" x14ac:dyDescent="0.25">
      <c r="A1063" s="275">
        <f>'Profits 2016'!A6276</f>
        <v>3004912</v>
      </c>
      <c r="B1063" s="279">
        <f>'Profits 2016'!B6276</f>
        <v>42656</v>
      </c>
      <c r="C1063" s="276">
        <f>'Profits 2016'!H6276</f>
        <v>170</v>
      </c>
      <c r="D1063" s="280">
        <f>'Profits 2016'!K6276</f>
        <v>144.5</v>
      </c>
      <c r="E1063" s="276">
        <f>'Profits 2016'!L6276</f>
        <v>672</v>
      </c>
      <c r="F1063" s="275" t="str">
        <f>'Profits 2016'!P6276</f>
        <v>Houston</v>
      </c>
      <c r="G1063" s="292">
        <f>'Profits 2016'!N6276-'Profits 2016'!M6276</f>
        <v>100.8</v>
      </c>
      <c r="H1063" s="292">
        <v>0</v>
      </c>
      <c r="I1063" s="275">
        <v>30912272</v>
      </c>
      <c r="J1063" s="277">
        <v>42660</v>
      </c>
      <c r="K1063" s="277">
        <v>42659</v>
      </c>
      <c r="O1063" s="236" t="str">
        <f>'Profits 2016'!T6276</f>
        <v>FEDEX GROUND</v>
      </c>
      <c r="P1063" s="284" t="str">
        <f>'Profits 2016'!U6276</f>
        <v>679301397587</v>
      </c>
      <c r="Q1063" s="284" t="s">
        <v>314</v>
      </c>
      <c r="R1063" s="276">
        <v>30.64</v>
      </c>
      <c r="S1063" s="275" t="s">
        <v>15793</v>
      </c>
      <c r="T1063" s="279">
        <v>42674</v>
      </c>
      <c r="U1063" s="279">
        <v>42681</v>
      </c>
      <c r="V1063" s="279">
        <v>42685</v>
      </c>
      <c r="W1063" s="293">
        <v>0</v>
      </c>
      <c r="X1063" s="236">
        <v>9399</v>
      </c>
      <c r="AF1063" s="276">
        <f t="shared" si="118"/>
        <v>131.44</v>
      </c>
      <c r="AG1063" s="276">
        <f t="shared" si="119"/>
        <v>30.64</v>
      </c>
      <c r="AH1063" s="276">
        <f t="shared" si="120"/>
        <v>113.86</v>
      </c>
      <c r="AI1063" s="283">
        <f t="shared" si="121"/>
        <v>0.86625076080340846</v>
      </c>
    </row>
    <row r="1064" spans="1:35" ht="30" x14ac:dyDescent="0.25">
      <c r="A1064" s="275">
        <f>'Profits 2016'!A6277</f>
        <v>3004913</v>
      </c>
      <c r="B1064" s="279">
        <f>'Profits 2016'!B6277</f>
        <v>42656</v>
      </c>
      <c r="C1064" s="276">
        <f>'Profits 2016'!H6277</f>
        <v>1872</v>
      </c>
      <c r="D1064" s="280">
        <f>'Profits 2016'!K6277</f>
        <v>1872</v>
      </c>
      <c r="E1064" s="276">
        <f>'Profits 2016'!L6277</f>
        <v>1650</v>
      </c>
      <c r="F1064" s="275" t="str">
        <f>'Profits 2016'!P6277</f>
        <v>Priority</v>
      </c>
      <c r="G1064" s="292">
        <f>'Profits 2016'!N6277-'Profits 2016'!M6277</f>
        <v>1407.45</v>
      </c>
      <c r="H1064" s="292">
        <v>0</v>
      </c>
      <c r="I1064" s="275">
        <v>1066742</v>
      </c>
      <c r="J1064" s="277">
        <v>42660</v>
      </c>
      <c r="K1064" s="277">
        <v>42667</v>
      </c>
      <c r="O1064" s="236" t="str">
        <f>'Profits 2016'!T6277</f>
        <v>CUSTOMER PICK UP</v>
      </c>
      <c r="P1064" s="284" t="str">
        <f>'Profits 2016'!U6277</f>
        <v>CUSTOMER PICK UP</v>
      </c>
      <c r="AF1064" s="276">
        <f t="shared" si="118"/>
        <v>1407.45</v>
      </c>
      <c r="AG1064" s="276">
        <f t="shared" si="119"/>
        <v>0</v>
      </c>
      <c r="AH1064" s="276">
        <f t="shared" si="120"/>
        <v>1872</v>
      </c>
      <c r="AI1064" s="283">
        <f t="shared" si="121"/>
        <v>1.3300650111904508</v>
      </c>
    </row>
    <row r="1065" spans="1:35" ht="45" x14ac:dyDescent="0.25">
      <c r="A1065" s="275">
        <f>'Profits 2016'!A6278</f>
        <v>3004914</v>
      </c>
      <c r="B1065" s="279">
        <f>'Profits 2016'!B6278</f>
        <v>42656</v>
      </c>
      <c r="C1065" s="276">
        <f>'Profits 2016'!H6278</f>
        <v>6400</v>
      </c>
      <c r="D1065" s="280">
        <f>'Profits 2016'!K6278</f>
        <v>6400</v>
      </c>
      <c r="E1065" s="276">
        <f>'Profits 2016'!L6278</f>
        <v>141.80000000000001</v>
      </c>
      <c r="F1065" s="275" t="str">
        <f>'Profits 2016'!P6278</f>
        <v>Tucker</v>
      </c>
      <c r="G1065" s="292">
        <f>'Profits 2016'!N6278-'Profits 2016'!M6278</f>
        <v>709</v>
      </c>
      <c r="H1065" s="292">
        <v>0</v>
      </c>
      <c r="I1065" s="275">
        <v>40093</v>
      </c>
      <c r="J1065" s="277">
        <v>42657</v>
      </c>
      <c r="K1065" s="277">
        <v>42657</v>
      </c>
      <c r="L1065" s="277">
        <v>42678</v>
      </c>
      <c r="M1065" s="292">
        <v>709</v>
      </c>
      <c r="N1065" s="281">
        <v>9360</v>
      </c>
      <c r="O1065" s="236" t="str">
        <f>'Profits 2016'!T6278</f>
        <v>ROAD RUNNER/ECHO</v>
      </c>
      <c r="P1065" s="284" t="str">
        <f>'Profits 2016'!U6278</f>
        <v xml:space="preserve">	342282167</v>
      </c>
      <c r="Q1065" s="284" t="s">
        <v>15767</v>
      </c>
      <c r="R1065" s="276">
        <v>150.02000000000001</v>
      </c>
      <c r="S1065" s="275" t="s">
        <v>15867</v>
      </c>
      <c r="T1065" s="279">
        <v>42669</v>
      </c>
      <c r="U1065" s="279">
        <v>42675</v>
      </c>
      <c r="V1065" s="279">
        <v>42697</v>
      </c>
      <c r="W1065" s="293">
        <v>150.02000000000001</v>
      </c>
      <c r="X1065" s="236">
        <v>9469</v>
      </c>
      <c r="AF1065" s="276">
        <f t="shared" si="118"/>
        <v>859.02</v>
      </c>
      <c r="AG1065" s="276">
        <f t="shared" si="119"/>
        <v>859.02</v>
      </c>
      <c r="AH1065" s="276">
        <f t="shared" si="120"/>
        <v>5540.98</v>
      </c>
      <c r="AI1065" s="283">
        <f t="shared" si="121"/>
        <v>6.4503503992922164</v>
      </c>
    </row>
    <row r="1066" spans="1:35" x14ac:dyDescent="0.25">
      <c r="A1066" s="275">
        <f>'Profits 2016'!A6279</f>
        <v>0</v>
      </c>
      <c r="B1066" s="279">
        <f>'Profits 2016'!B6279</f>
        <v>0</v>
      </c>
      <c r="C1066" s="276">
        <f>'Profits 2016'!H6279</f>
        <v>0</v>
      </c>
      <c r="D1066" s="280">
        <f>'Profits 2016'!K6279</f>
        <v>0</v>
      </c>
      <c r="E1066" s="276">
        <f>'Profits 2016'!L6279</f>
        <v>113.52</v>
      </c>
      <c r="F1066" s="275" t="str">
        <f>'Profits 2016'!P6279</f>
        <v>Tucker</v>
      </c>
      <c r="G1066" s="292">
        <f>'Profits 2016'!N6279-'Profits 2016'!M6279</f>
        <v>567.6</v>
      </c>
      <c r="H1066" s="292">
        <v>0</v>
      </c>
      <c r="I1066" s="275">
        <v>40093</v>
      </c>
      <c r="J1066" s="277">
        <v>42657</v>
      </c>
      <c r="K1066" s="277">
        <v>42657</v>
      </c>
      <c r="L1066" s="277">
        <v>42678</v>
      </c>
      <c r="M1066" s="292">
        <v>567.6</v>
      </c>
      <c r="N1066" s="281">
        <v>9360</v>
      </c>
      <c r="O1066" s="236">
        <f>'Profits 2016'!T6279</f>
        <v>0</v>
      </c>
      <c r="P1066" s="284">
        <f>'Profits 2016'!U6279</f>
        <v>0</v>
      </c>
      <c r="Q1066" s="284" t="s">
        <v>15767</v>
      </c>
      <c r="R1066" s="276">
        <v>0</v>
      </c>
      <c r="S1066" s="275" t="s">
        <v>15867</v>
      </c>
      <c r="T1066" s="279">
        <v>42669</v>
      </c>
      <c r="U1066" s="279">
        <v>42675</v>
      </c>
      <c r="V1066" s="279">
        <v>42697</v>
      </c>
      <c r="W1066" s="293">
        <v>0</v>
      </c>
      <c r="X1066" s="236">
        <v>9469</v>
      </c>
      <c r="AF1066" s="276">
        <f t="shared" si="118"/>
        <v>567.6</v>
      </c>
      <c r="AG1066" s="276">
        <f t="shared" si="119"/>
        <v>567.6</v>
      </c>
      <c r="AH1066" s="276">
        <f t="shared" si="120"/>
        <v>-567.6</v>
      </c>
      <c r="AI1066" s="283">
        <f t="shared" si="121"/>
        <v>-1</v>
      </c>
    </row>
    <row r="1067" spans="1:35" x14ac:dyDescent="0.25">
      <c r="A1067" s="275">
        <f>'Profits 2016'!A6280</f>
        <v>0</v>
      </c>
      <c r="B1067" s="279">
        <f>'Profits 2016'!B6280</f>
        <v>0</v>
      </c>
      <c r="C1067" s="276">
        <f>'Profits 2016'!H6280</f>
        <v>0</v>
      </c>
      <c r="D1067" s="280">
        <f>'Profits 2016'!K6280</f>
        <v>0</v>
      </c>
      <c r="E1067" s="276">
        <f>'Profits 2016'!L6280</f>
        <v>310</v>
      </c>
      <c r="F1067" s="275" t="str">
        <f>'Profits 2016'!P6280</f>
        <v>Tucker</v>
      </c>
      <c r="G1067" s="292">
        <f>'Profits 2016'!N6280-'Profits 2016'!M6280</f>
        <v>155</v>
      </c>
      <c r="H1067" s="292">
        <v>0</v>
      </c>
      <c r="I1067" s="275">
        <v>40093</v>
      </c>
      <c r="J1067" s="277">
        <v>42657</v>
      </c>
      <c r="K1067" s="277">
        <v>42657</v>
      </c>
      <c r="L1067" s="277">
        <v>42678</v>
      </c>
      <c r="M1067" s="292">
        <v>155</v>
      </c>
      <c r="N1067" s="281">
        <v>9360</v>
      </c>
      <c r="O1067" s="236">
        <f>'Profits 2016'!T6280</f>
        <v>0</v>
      </c>
      <c r="P1067" s="284">
        <f>'Profits 2016'!U6280</f>
        <v>0</v>
      </c>
      <c r="Q1067" s="284" t="s">
        <v>15767</v>
      </c>
      <c r="R1067" s="276">
        <v>0</v>
      </c>
      <c r="S1067" s="275" t="s">
        <v>15867</v>
      </c>
      <c r="T1067" s="279">
        <v>42669</v>
      </c>
      <c r="U1067" s="279">
        <v>42675</v>
      </c>
      <c r="V1067" s="279">
        <v>42697</v>
      </c>
      <c r="W1067" s="293">
        <v>0</v>
      </c>
      <c r="X1067" s="236">
        <v>9469</v>
      </c>
      <c r="AF1067" s="276">
        <f t="shared" ref="AF1067:AF1071" si="122">G1067+H1068+R1067+Y1067</f>
        <v>155</v>
      </c>
      <c r="AG1067" s="276">
        <f t="shared" ref="AG1067:AG1071" si="123">M1067+R1067+Y1067</f>
        <v>155</v>
      </c>
      <c r="AH1067" s="276">
        <f t="shared" ref="AH1067:AH1071" si="124">D1067-AG1067</f>
        <v>-155</v>
      </c>
      <c r="AI1067" s="283">
        <f t="shared" ref="AI1067:AI1071" si="125">AH1067/AF1067</f>
        <v>-1</v>
      </c>
    </row>
    <row r="1068" spans="1:35" x14ac:dyDescent="0.25">
      <c r="A1068" s="275">
        <f>'Profits 2016'!A6281</f>
        <v>0</v>
      </c>
      <c r="B1068" s="279">
        <f>'Profits 2016'!B6281</f>
        <v>0</v>
      </c>
      <c r="C1068" s="276">
        <f>'Profits 2016'!H6281</f>
        <v>0</v>
      </c>
      <c r="D1068" s="280">
        <f>'Profits 2016'!K6281</f>
        <v>0</v>
      </c>
      <c r="E1068" s="276">
        <f>'Profits 2016'!L6281</f>
        <v>310</v>
      </c>
      <c r="F1068" s="275" t="str">
        <f>'Profits 2016'!P6281</f>
        <v>Tucker</v>
      </c>
      <c r="G1068" s="292">
        <f>'Profits 2016'!N6281-'Profits 2016'!M6281</f>
        <v>155</v>
      </c>
      <c r="H1068" s="292">
        <v>0</v>
      </c>
      <c r="I1068" s="275">
        <v>40093</v>
      </c>
      <c r="J1068" s="277">
        <v>42657</v>
      </c>
      <c r="K1068" s="277">
        <v>42657</v>
      </c>
      <c r="L1068" s="277">
        <v>42678</v>
      </c>
      <c r="M1068" s="292">
        <v>155</v>
      </c>
      <c r="N1068" s="281">
        <v>9360</v>
      </c>
      <c r="O1068" s="236">
        <f>'Profits 2016'!T6281</f>
        <v>0</v>
      </c>
      <c r="P1068" s="284">
        <f>'Profits 2016'!U6281</f>
        <v>0</v>
      </c>
      <c r="Q1068" s="284" t="s">
        <v>15767</v>
      </c>
      <c r="R1068" s="276">
        <v>0</v>
      </c>
      <c r="S1068" s="275" t="s">
        <v>15867</v>
      </c>
      <c r="T1068" s="279">
        <v>42669</v>
      </c>
      <c r="U1068" s="279">
        <v>42675</v>
      </c>
      <c r="V1068" s="279">
        <v>42697</v>
      </c>
      <c r="W1068" s="293">
        <v>0</v>
      </c>
      <c r="X1068" s="236">
        <v>9469</v>
      </c>
      <c r="AF1068" s="276">
        <f t="shared" si="122"/>
        <v>154.08000000000001</v>
      </c>
      <c r="AG1068" s="276">
        <f t="shared" si="123"/>
        <v>155</v>
      </c>
      <c r="AH1068" s="276">
        <f t="shared" si="124"/>
        <v>-155</v>
      </c>
      <c r="AI1068" s="283">
        <f t="shared" si="125"/>
        <v>-1.0059709241952233</v>
      </c>
    </row>
    <row r="1069" spans="1:35" ht="30" x14ac:dyDescent="0.25">
      <c r="A1069" s="275">
        <f>'Profits 2016'!A6282</f>
        <v>0</v>
      </c>
      <c r="B1069" s="279">
        <f>'Profits 2016'!B6282</f>
        <v>0</v>
      </c>
      <c r="C1069" s="276">
        <f>'Profits 2016'!H6282</f>
        <v>0</v>
      </c>
      <c r="D1069" s="280">
        <f>'Profits 2016'!K6282</f>
        <v>0</v>
      </c>
      <c r="E1069" s="276">
        <f>'Profits 2016'!L6282</f>
        <v>409</v>
      </c>
      <c r="F1069" s="275" t="str">
        <f>'Profits 2016'!P6282</f>
        <v>General</v>
      </c>
      <c r="G1069" s="292">
        <f>'Profits 2016'!N6282-'Profits 2016'!M6282</f>
        <v>1227</v>
      </c>
      <c r="H1069" s="292">
        <v>-0.92</v>
      </c>
      <c r="I1069" s="275">
        <v>3770316</v>
      </c>
      <c r="J1069" s="277">
        <v>42663</v>
      </c>
      <c r="K1069" s="277">
        <v>42668</v>
      </c>
      <c r="L1069" s="277">
        <v>42678</v>
      </c>
      <c r="M1069" s="292">
        <v>2198.87</v>
      </c>
      <c r="N1069" s="281">
        <v>9314</v>
      </c>
      <c r="O1069" s="236" t="str">
        <f>'Profits 2016'!T6282</f>
        <v>XPO LOGISTICS</v>
      </c>
      <c r="P1069" s="284" t="str">
        <f>'Profits 2016'!U6282</f>
        <v xml:space="preserve">	942292212</v>
      </c>
      <c r="AF1069" s="276">
        <f t="shared" si="122"/>
        <v>1226.6099999999999</v>
      </c>
      <c r="AG1069" s="276">
        <f t="shared" si="123"/>
        <v>2198.87</v>
      </c>
      <c r="AH1069" s="276">
        <f t="shared" si="124"/>
        <v>-2198.87</v>
      </c>
      <c r="AI1069" s="283">
        <f t="shared" si="125"/>
        <v>-1.7926398773856402</v>
      </c>
    </row>
    <row r="1070" spans="1:35" x14ac:dyDescent="0.25">
      <c r="A1070" s="275">
        <f>'Profits 2016'!A6283</f>
        <v>0</v>
      </c>
      <c r="B1070" s="279">
        <f>'Profits 2016'!B6283</f>
        <v>0</v>
      </c>
      <c r="C1070" s="276">
        <f>'Profits 2016'!H6283</f>
        <v>0</v>
      </c>
      <c r="D1070" s="280">
        <f>'Profits 2016'!K6283</f>
        <v>0</v>
      </c>
      <c r="E1070" s="276">
        <f>'Profits 2016'!L6283</f>
        <v>781.34</v>
      </c>
      <c r="F1070" s="275" t="str">
        <f>'Profits 2016'!P6283</f>
        <v>General</v>
      </c>
      <c r="G1070" s="292">
        <f>'Profits 2016'!N6283-'Profits 2016'!M6283</f>
        <v>390.67</v>
      </c>
      <c r="H1070" s="292">
        <v>-0.39</v>
      </c>
      <c r="I1070" s="275">
        <v>3770316</v>
      </c>
      <c r="J1070" s="277">
        <v>42663</v>
      </c>
      <c r="K1070" s="277">
        <v>42668</v>
      </c>
      <c r="L1070" s="277">
        <v>42678</v>
      </c>
      <c r="M1070" s="292">
        <v>0</v>
      </c>
      <c r="N1070" s="281">
        <v>9314</v>
      </c>
      <c r="O1070" s="236">
        <f>'Profits 2016'!T6283</f>
        <v>0</v>
      </c>
      <c r="P1070" s="284">
        <f>'Profits 2016'!U6283</f>
        <v>0</v>
      </c>
      <c r="AF1070" s="276">
        <f t="shared" si="122"/>
        <v>390.05</v>
      </c>
      <c r="AG1070" s="276">
        <f t="shared" si="123"/>
        <v>0</v>
      </c>
      <c r="AH1070" s="276">
        <f t="shared" si="124"/>
        <v>0</v>
      </c>
      <c r="AI1070" s="283">
        <f t="shared" si="125"/>
        <v>0</v>
      </c>
    </row>
    <row r="1071" spans="1:35" x14ac:dyDescent="0.25">
      <c r="A1071" s="275">
        <f>'Profits 2016'!A6284</f>
        <v>0</v>
      </c>
      <c r="B1071" s="279">
        <f>'Profits 2016'!B6284</f>
        <v>0</v>
      </c>
      <c r="C1071" s="276">
        <f>'Profits 2016'!H6284</f>
        <v>0</v>
      </c>
      <c r="D1071" s="280">
        <f>'Profits 2016'!K6284</f>
        <v>0</v>
      </c>
      <c r="E1071" s="276">
        <f>'Profits 2016'!L6284</f>
        <v>628.01</v>
      </c>
      <c r="F1071" s="275" t="str">
        <f>'Profits 2016'!P6284</f>
        <v>General</v>
      </c>
      <c r="G1071" s="292">
        <f>'Profits 2016'!N6284-'Profits 2016'!M6284</f>
        <v>628.01</v>
      </c>
      <c r="H1071" s="292">
        <v>-0.62</v>
      </c>
      <c r="I1071" s="275">
        <v>3770316</v>
      </c>
      <c r="J1071" s="277">
        <v>42663</v>
      </c>
      <c r="K1071" s="277">
        <v>42668</v>
      </c>
      <c r="L1071" s="277">
        <v>42678</v>
      </c>
      <c r="M1071" s="292">
        <v>0</v>
      </c>
      <c r="N1071" s="281">
        <v>9314</v>
      </c>
      <c r="O1071" s="236">
        <f>'Profits 2016'!T6284</f>
        <v>0</v>
      </c>
      <c r="P1071" s="284">
        <f>'Profits 2016'!U6284</f>
        <v>0</v>
      </c>
      <c r="AF1071" s="276">
        <f t="shared" si="122"/>
        <v>628.01</v>
      </c>
      <c r="AG1071" s="276">
        <f t="shared" si="123"/>
        <v>0</v>
      </c>
      <c r="AH1071" s="276">
        <f t="shared" si="124"/>
        <v>0</v>
      </c>
      <c r="AI1071" s="283">
        <f t="shared" si="125"/>
        <v>0</v>
      </c>
    </row>
    <row r="1072" spans="1:35" ht="30" x14ac:dyDescent="0.25">
      <c r="A1072" s="275">
        <f>'Profits 2016'!A6285</f>
        <v>3004915</v>
      </c>
      <c r="B1072" s="279">
        <f>'Profits 2016'!B6285</f>
        <v>42656</v>
      </c>
      <c r="C1072" s="276">
        <f>'Profits 2016'!H6285</f>
        <v>255</v>
      </c>
      <c r="D1072" s="280">
        <f>'Profits 2016'!K6285</f>
        <v>249.09</v>
      </c>
      <c r="E1072" s="276">
        <f>'Profits 2016'!L6285</f>
        <v>750</v>
      </c>
      <c r="F1072" s="275" t="str">
        <f>'Profits 2016'!P6285</f>
        <v>Nassau</v>
      </c>
      <c r="G1072" s="292">
        <f>'Profits 2016'!N6285-'Profits 2016'!M6285</f>
        <v>168.75</v>
      </c>
      <c r="H1072" s="319"/>
      <c r="I1072" s="320"/>
      <c r="J1072" s="321"/>
      <c r="K1072" s="321"/>
      <c r="L1072" s="321"/>
      <c r="M1072" s="319"/>
      <c r="N1072" s="322"/>
      <c r="O1072" s="236" t="str">
        <f>'Profits 2016'!T6285</f>
        <v>FEDEX GROUND</v>
      </c>
      <c r="P1072" s="284" t="str">
        <f>'Profits 2016'!U6285</f>
        <v>702723289940</v>
      </c>
      <c r="Q1072" s="284" t="s">
        <v>314</v>
      </c>
      <c r="R1072" s="276">
        <v>34.92</v>
      </c>
      <c r="S1072" s="275" t="s">
        <v>15793</v>
      </c>
      <c r="T1072" s="279">
        <v>42674</v>
      </c>
      <c r="U1072" s="279">
        <v>42681</v>
      </c>
      <c r="V1072" s="279">
        <v>42685</v>
      </c>
      <c r="W1072" s="293">
        <v>0</v>
      </c>
      <c r="X1072" s="236">
        <v>9399</v>
      </c>
      <c r="AF1072" s="276">
        <f t="shared" si="118"/>
        <v>203.67000000000002</v>
      </c>
      <c r="AG1072" s="276">
        <f t="shared" si="119"/>
        <v>34.92</v>
      </c>
      <c r="AH1072" s="276">
        <f t="shared" si="120"/>
        <v>214.17000000000002</v>
      </c>
      <c r="AI1072" s="283">
        <f t="shared" si="121"/>
        <v>1.0515539843865076</v>
      </c>
    </row>
    <row r="1073" spans="1:35" ht="30" x14ac:dyDescent="0.25">
      <c r="A1073" s="275">
        <f>'Profits 2016'!A6286</f>
        <v>3004916</v>
      </c>
      <c r="B1073" s="279">
        <f>'Profits 2016'!B6286</f>
        <v>42656</v>
      </c>
      <c r="C1073" s="276">
        <f>'Profits 2016'!H6286</f>
        <v>280</v>
      </c>
      <c r="D1073" s="280">
        <f>'Profits 2016'!K6286</f>
        <v>273.54000000000002</v>
      </c>
      <c r="E1073" s="276">
        <f>'Profits 2016'!L6286</f>
        <v>170</v>
      </c>
      <c r="F1073" s="275" t="str">
        <f>'Profits 2016'!P6286</f>
        <v>Priority</v>
      </c>
      <c r="G1073" s="292">
        <f>'Profits 2016'!N6286-'Profits 2016'!M6286</f>
        <v>170</v>
      </c>
      <c r="H1073" s="292">
        <v>0</v>
      </c>
      <c r="I1073" s="275">
        <v>1066120</v>
      </c>
      <c r="J1073" s="277">
        <v>42656</v>
      </c>
      <c r="K1073" s="277">
        <v>42663</v>
      </c>
      <c r="O1073" s="236" t="str">
        <f>'Profits 2016'!T6286</f>
        <v>UPS GROUND</v>
      </c>
      <c r="P1073" s="284" t="str">
        <f>'Profits 2016'!U6286</f>
        <v>1ZA6253X0340292438</v>
      </c>
      <c r="Q1073" s="284" t="s">
        <v>15740</v>
      </c>
      <c r="R1073" s="276">
        <v>24.22</v>
      </c>
      <c r="S1073" s="275">
        <v>1066120</v>
      </c>
      <c r="T1073" s="279">
        <v>42656</v>
      </c>
      <c r="U1073" s="279">
        <v>42663</v>
      </c>
      <c r="AF1073" s="276">
        <f t="shared" ref="AF1073:AF1111" si="126">G1073+H1074+R1073+Y1073</f>
        <v>194.22</v>
      </c>
      <c r="AG1073" s="276">
        <f t="shared" si="119"/>
        <v>24.22</v>
      </c>
      <c r="AH1073" s="276">
        <f t="shared" si="120"/>
        <v>249.32000000000002</v>
      </c>
      <c r="AI1073" s="283">
        <f t="shared" si="121"/>
        <v>1.2836988981567297</v>
      </c>
    </row>
    <row r="1074" spans="1:35" ht="30" x14ac:dyDescent="0.25">
      <c r="A1074" s="275">
        <f>'Profits 2016'!A6287</f>
        <v>3004917</v>
      </c>
      <c r="B1074" s="279">
        <f>'Profits 2016'!B6287</f>
        <v>42656</v>
      </c>
      <c r="C1074" s="276">
        <f>'Profits 2016'!H6287</f>
        <v>210</v>
      </c>
      <c r="D1074" s="280">
        <f>'Profits 2016'!K6287</f>
        <v>205.08</v>
      </c>
      <c r="E1074" s="276">
        <f>'Profits 2016'!L6287</f>
        <v>584</v>
      </c>
      <c r="F1074" s="275" t="str">
        <f>'Profits 2016'!P6287</f>
        <v>Commodity</v>
      </c>
      <c r="G1074" s="292">
        <f>'Profits 2016'!N6287-'Profits 2016'!M6287</f>
        <v>102.19999999999999</v>
      </c>
      <c r="H1074" s="292">
        <v>0</v>
      </c>
      <c r="I1074" s="275" t="s">
        <v>15868</v>
      </c>
      <c r="J1074" s="277">
        <v>42660</v>
      </c>
      <c r="K1074" s="277">
        <v>42664</v>
      </c>
      <c r="L1074" s="277">
        <v>42671</v>
      </c>
      <c r="M1074" s="292">
        <v>100.18</v>
      </c>
      <c r="N1074" s="281">
        <v>9244</v>
      </c>
      <c r="O1074" s="236" t="str">
        <f>'Profits 2016'!T6287</f>
        <v>FEDEX GROUND</v>
      </c>
      <c r="P1074" s="284" t="str">
        <f>'Profits 2016'!U6287</f>
        <v>777481031162</v>
      </c>
      <c r="Q1074" s="284" t="s">
        <v>314</v>
      </c>
      <c r="R1074" s="276">
        <v>48</v>
      </c>
      <c r="S1074" s="275" t="s">
        <v>15793</v>
      </c>
      <c r="T1074" s="279">
        <v>42674</v>
      </c>
      <c r="U1074" s="279">
        <v>42681</v>
      </c>
      <c r="V1074" s="279">
        <v>42685</v>
      </c>
      <c r="W1074" s="293">
        <v>0</v>
      </c>
      <c r="X1074" s="236">
        <v>9399</v>
      </c>
      <c r="AF1074" s="276">
        <f t="shared" si="126"/>
        <v>150.19999999999999</v>
      </c>
      <c r="AG1074" s="276">
        <f t="shared" si="119"/>
        <v>148.18</v>
      </c>
      <c r="AH1074" s="276">
        <f t="shared" si="120"/>
        <v>56.900000000000006</v>
      </c>
      <c r="AI1074" s="283">
        <f t="shared" si="121"/>
        <v>0.37882822902796276</v>
      </c>
    </row>
    <row r="1075" spans="1:35" ht="30" x14ac:dyDescent="0.25">
      <c r="A1075" s="275">
        <f>'Profits 2016'!A6288</f>
        <v>3004918</v>
      </c>
      <c r="B1075" s="279">
        <f>'Profits 2016'!B6288</f>
        <v>42656</v>
      </c>
      <c r="C1075" s="276">
        <f>'Profits 2016'!H6288</f>
        <v>245</v>
      </c>
      <c r="D1075" s="280">
        <f>'Profits 2016'!K6288</f>
        <v>240.04499999999999</v>
      </c>
      <c r="E1075" s="276">
        <f>'Profits 2016'!L6288</f>
        <v>1322</v>
      </c>
      <c r="F1075" s="275" t="str">
        <f>'Profits 2016'!P6288</f>
        <v>Nassau</v>
      </c>
      <c r="G1075" s="292">
        <f>'Profits 2016'!N6288-'Profits 2016'!M6288</f>
        <v>132.20000000000002</v>
      </c>
      <c r="H1075" s="319"/>
      <c r="I1075" s="320"/>
      <c r="J1075" s="321"/>
      <c r="K1075" s="321"/>
      <c r="L1075" s="321"/>
      <c r="M1075" s="319"/>
      <c r="N1075" s="322"/>
      <c r="O1075" s="236" t="str">
        <f>'Profits 2016'!T6288</f>
        <v>FEDEX GROUND</v>
      </c>
      <c r="P1075" s="284" t="str">
        <f>'Profits 2016'!U6288</f>
        <v>702723289930</v>
      </c>
      <c r="Q1075" s="284" t="s">
        <v>314</v>
      </c>
      <c r="R1075" s="276">
        <v>26.69</v>
      </c>
      <c r="S1075" s="275" t="s">
        <v>15793</v>
      </c>
      <c r="T1075" s="279">
        <v>42674</v>
      </c>
      <c r="U1075" s="279">
        <v>42681</v>
      </c>
      <c r="V1075" s="279">
        <v>42685</v>
      </c>
      <c r="W1075" s="293">
        <v>0</v>
      </c>
      <c r="X1075" s="236">
        <v>9399</v>
      </c>
      <c r="AF1075" s="276">
        <f t="shared" si="126"/>
        <v>158.89000000000001</v>
      </c>
      <c r="AG1075" s="276">
        <f t="shared" si="119"/>
        <v>26.69</v>
      </c>
      <c r="AH1075" s="276">
        <f t="shared" si="120"/>
        <v>213.35499999999999</v>
      </c>
      <c r="AI1075" s="283">
        <f t="shared" si="121"/>
        <v>1.3427843161935928</v>
      </c>
    </row>
    <row r="1076" spans="1:35" ht="30" x14ac:dyDescent="0.25">
      <c r="A1076" s="275">
        <f>'Profits 2016'!A6289</f>
        <v>3004919</v>
      </c>
      <c r="B1076" s="279">
        <f>'Profits 2016'!B6289</f>
        <v>42656</v>
      </c>
      <c r="C1076" s="276">
        <f>'Profits 2016'!H6289</f>
        <v>112.63</v>
      </c>
      <c r="D1076" s="280">
        <f>'Profits 2016'!K6289</f>
        <v>100.05332999999999</v>
      </c>
      <c r="E1076" s="276">
        <f>'Profits 2016'!L6289</f>
        <v>510</v>
      </c>
      <c r="F1076" s="275" t="str">
        <f>'Profits 2016'!P6289</f>
        <v>Nassau</v>
      </c>
      <c r="G1076" s="292">
        <f>'Profits 2016'!N6289-'Profits 2016'!M6289</f>
        <v>50.999999999999993</v>
      </c>
      <c r="H1076" s="319"/>
      <c r="I1076" s="320"/>
      <c r="J1076" s="321"/>
      <c r="K1076" s="321"/>
      <c r="L1076" s="321"/>
      <c r="M1076" s="319"/>
      <c r="N1076" s="322"/>
      <c r="O1076" s="236" t="str">
        <f>'Profits 2016'!T6289</f>
        <v>FEDEX GROUND</v>
      </c>
      <c r="P1076" s="284" t="str">
        <f>'Profits 2016'!U6289</f>
        <v>702723289918</v>
      </c>
      <c r="Q1076" s="284" t="s">
        <v>314</v>
      </c>
      <c r="R1076" s="276">
        <v>19.29</v>
      </c>
      <c r="S1076" s="275" t="s">
        <v>15793</v>
      </c>
      <c r="T1076" s="279">
        <v>42674</v>
      </c>
      <c r="U1076" s="279">
        <v>42681</v>
      </c>
      <c r="V1076" s="279">
        <v>42685</v>
      </c>
      <c r="W1076" s="293">
        <v>0</v>
      </c>
      <c r="X1076" s="236">
        <v>9399</v>
      </c>
      <c r="AF1076" s="276">
        <f t="shared" si="126"/>
        <v>70.289999999999992</v>
      </c>
      <c r="AG1076" s="276">
        <f t="shared" si="119"/>
        <v>19.29</v>
      </c>
      <c r="AH1076" s="276">
        <f t="shared" si="120"/>
        <v>80.763329999999996</v>
      </c>
      <c r="AI1076" s="283">
        <f t="shared" si="121"/>
        <v>1.1490017072129748</v>
      </c>
    </row>
    <row r="1077" spans="1:35" x14ac:dyDescent="0.25">
      <c r="A1077" s="275">
        <f>'Profits 2016'!A6290</f>
        <v>3004920</v>
      </c>
      <c r="B1077" s="279">
        <f>'Profits 2016'!B6290</f>
        <v>42656</v>
      </c>
      <c r="C1077" s="276">
        <f>'Profits 2016'!H6290</f>
        <v>876.1</v>
      </c>
      <c r="D1077" s="280">
        <f>'Profits 2016'!K6290</f>
        <v>780.30509999999992</v>
      </c>
      <c r="E1077" s="276">
        <f>'Profits 2016'!L6290</f>
        <v>0</v>
      </c>
      <c r="F1077" s="275" t="str">
        <f>'Profits 2016'!P6290</f>
        <v>Nassau</v>
      </c>
      <c r="G1077" s="292">
        <f>'Profits 2016'!N6290-'Profits 2016'!M6290</f>
        <v>0</v>
      </c>
      <c r="H1077" s="319"/>
      <c r="I1077" s="320"/>
      <c r="J1077" s="321"/>
      <c r="K1077" s="321"/>
      <c r="L1077" s="321"/>
      <c r="M1077" s="319"/>
      <c r="N1077" s="322"/>
      <c r="O1077" s="236" t="str">
        <f>'Profits 2016'!T6290</f>
        <v>XPO/DLS</v>
      </c>
      <c r="P1077" s="284" t="str">
        <f>'Profits 2016'!U6290</f>
        <v>284-715756</v>
      </c>
      <c r="Q1077" s="284" t="s">
        <v>15804</v>
      </c>
      <c r="R1077" s="276">
        <v>212.79</v>
      </c>
      <c r="S1077" s="275">
        <v>636878897</v>
      </c>
      <c r="T1077" s="279">
        <v>42668</v>
      </c>
      <c r="U1077" s="279">
        <v>42675</v>
      </c>
      <c r="V1077" s="279">
        <v>42678</v>
      </c>
      <c r="W1077" s="293">
        <v>212.79</v>
      </c>
      <c r="X1077" s="236">
        <v>9345</v>
      </c>
      <c r="AF1077" s="276">
        <f t="shared" si="126"/>
        <v>212.79</v>
      </c>
      <c r="AG1077" s="276">
        <f t="shared" si="119"/>
        <v>212.79</v>
      </c>
      <c r="AH1077" s="276">
        <f t="shared" si="120"/>
        <v>567.51509999999996</v>
      </c>
      <c r="AI1077" s="283">
        <f t="shared" si="121"/>
        <v>2.667019596785563</v>
      </c>
    </row>
    <row r="1078" spans="1:35" x14ac:dyDescent="0.25">
      <c r="A1078" s="275">
        <f>'Profits 2016'!A6291</f>
        <v>3004921</v>
      </c>
      <c r="B1078" s="279">
        <f>'Profits 2016'!B6291</f>
        <v>42656</v>
      </c>
      <c r="C1078" s="276">
        <f>'Profits 2016'!H6291</f>
        <v>741</v>
      </c>
      <c r="D1078" s="280">
        <f>'Profits 2016'!K6291</f>
        <v>659.93099999999993</v>
      </c>
      <c r="E1078" s="276">
        <f>'Profits 2016'!L6291</f>
        <v>1200</v>
      </c>
      <c r="F1078" s="275" t="str">
        <f>'Profits 2016'!P6291</f>
        <v>Thea</v>
      </c>
      <c r="G1078" s="292">
        <f>'Profits 2016'!N6291-'Profits 2016'!M6291</f>
        <v>300</v>
      </c>
      <c r="H1078" s="319"/>
      <c r="I1078" s="320"/>
      <c r="J1078" s="321"/>
      <c r="K1078" s="321"/>
      <c r="L1078" s="321"/>
      <c r="M1078" s="319"/>
      <c r="N1078" s="322"/>
      <c r="O1078" s="236" t="str">
        <f>'Profits 2016'!T6291</f>
        <v>FEDEX/DLS</v>
      </c>
      <c r="P1078" s="284" t="str">
        <f>'Profits 2016'!U6291</f>
        <v>371700278-5</v>
      </c>
      <c r="Q1078" s="284" t="s">
        <v>15804</v>
      </c>
      <c r="R1078" s="276">
        <v>176.52</v>
      </c>
      <c r="S1078" s="275">
        <v>636872490</v>
      </c>
      <c r="T1078" s="279">
        <v>42667</v>
      </c>
      <c r="U1078" s="279">
        <v>42674</v>
      </c>
      <c r="V1078" s="279">
        <v>42678</v>
      </c>
      <c r="W1078" s="293">
        <v>176.52</v>
      </c>
      <c r="X1078" s="236">
        <v>9342</v>
      </c>
      <c r="AF1078" s="276">
        <f t="shared" si="126"/>
        <v>476.52</v>
      </c>
      <c r="AG1078" s="276">
        <f t="shared" si="119"/>
        <v>176.52</v>
      </c>
      <c r="AH1078" s="276">
        <f t="shared" si="120"/>
        <v>483.41099999999994</v>
      </c>
      <c r="AI1078" s="283">
        <f t="shared" si="121"/>
        <v>1.0144610929236968</v>
      </c>
    </row>
    <row r="1079" spans="1:35" ht="30" x14ac:dyDescent="0.25">
      <c r="A1079" s="275">
        <f>'Profits 2016'!A6292</f>
        <v>3004922</v>
      </c>
      <c r="B1079" s="279">
        <f>'Profits 2016'!B6292</f>
        <v>42656</v>
      </c>
      <c r="C1079" s="276">
        <f>'Profits 2016'!H6292</f>
        <v>159</v>
      </c>
      <c r="D1079" s="280">
        <f>'Profits 2016'!K6292</f>
        <v>135.15</v>
      </c>
      <c r="E1079" s="276">
        <f>'Profits 2016'!L6292</f>
        <v>461</v>
      </c>
      <c r="F1079" s="275" t="str">
        <f>'Profits 2016'!P6292</f>
        <v>Direct</v>
      </c>
      <c r="G1079" s="292">
        <f>'Profits 2016'!N6292-'Profits 2016'!M6292</f>
        <v>46.100000000000009</v>
      </c>
      <c r="H1079" s="292">
        <v>0</v>
      </c>
      <c r="I1079" s="275">
        <v>74580</v>
      </c>
      <c r="J1079" s="277">
        <v>42660</v>
      </c>
      <c r="K1079" s="277">
        <v>42663</v>
      </c>
      <c r="L1079" s="277">
        <v>42664</v>
      </c>
      <c r="M1079" s="292">
        <f>46.1*0.98</f>
        <v>45.177999999999997</v>
      </c>
      <c r="N1079" s="281">
        <v>91.34</v>
      </c>
      <c r="O1079" s="236" t="str">
        <f>'Profits 2016'!T6292</f>
        <v>FEDEX GROUND</v>
      </c>
      <c r="P1079" s="284" t="str">
        <f>'Profits 2016'!U6292</f>
        <v>630512245340</v>
      </c>
      <c r="Q1079" s="284" t="s">
        <v>314</v>
      </c>
      <c r="R1079" s="276">
        <v>13.27</v>
      </c>
      <c r="S1079" s="275" t="s">
        <v>15793</v>
      </c>
      <c r="T1079" s="279">
        <v>42674</v>
      </c>
      <c r="U1079" s="279">
        <v>42681</v>
      </c>
      <c r="V1079" s="279">
        <v>42685</v>
      </c>
      <c r="W1079" s="293">
        <v>0</v>
      </c>
      <c r="X1079" s="236">
        <v>9399</v>
      </c>
      <c r="AF1079" s="276">
        <f t="shared" si="126"/>
        <v>59.370000000000005</v>
      </c>
      <c r="AG1079" s="276">
        <f t="shared" si="119"/>
        <v>58.447999999999993</v>
      </c>
      <c r="AH1079" s="276">
        <f t="shared" si="120"/>
        <v>76.702000000000012</v>
      </c>
      <c r="AI1079" s="283">
        <f t="shared" si="121"/>
        <v>1.2919319521643928</v>
      </c>
    </row>
    <row r="1080" spans="1:35" x14ac:dyDescent="0.25">
      <c r="A1080" s="275">
        <f>'Profits 2016'!A6293</f>
        <v>0</v>
      </c>
      <c r="B1080" s="279">
        <f>'Profits 2016'!B6293</f>
        <v>0</v>
      </c>
      <c r="C1080" s="276">
        <f>'Profits 2016'!H6293</f>
        <v>0</v>
      </c>
      <c r="D1080" s="280">
        <f>'Profits 2016'!K6293</f>
        <v>0</v>
      </c>
      <c r="E1080" s="276">
        <f>'Profits 2016'!L6293</f>
        <v>471</v>
      </c>
      <c r="F1080" s="275" t="str">
        <f>'Profits 2016'!P6293</f>
        <v>Direct</v>
      </c>
      <c r="G1080" s="292">
        <f>'Profits 2016'!N6293-'Profits 2016'!M6293</f>
        <v>47.1</v>
      </c>
      <c r="H1080" s="292">
        <v>0</v>
      </c>
      <c r="I1080" s="275">
        <v>74580</v>
      </c>
      <c r="J1080" s="277">
        <v>42660</v>
      </c>
      <c r="K1080" s="277">
        <v>42663</v>
      </c>
      <c r="L1080" s="277">
        <v>42664</v>
      </c>
      <c r="M1080" s="292">
        <f>47.1*0.98</f>
        <v>46.158000000000001</v>
      </c>
      <c r="N1080" s="281">
        <v>91.34</v>
      </c>
      <c r="O1080" s="236">
        <f>'Profits 2016'!T6293</f>
        <v>0</v>
      </c>
      <c r="P1080" s="284">
        <f>'Profits 2016'!U6293</f>
        <v>0</v>
      </c>
      <c r="AF1080" s="276">
        <f t="shared" si="126"/>
        <v>47.1</v>
      </c>
      <c r="AG1080" s="276">
        <f t="shared" si="119"/>
        <v>46.158000000000001</v>
      </c>
      <c r="AH1080" s="276">
        <f t="shared" si="120"/>
        <v>-46.158000000000001</v>
      </c>
      <c r="AI1080" s="283">
        <f t="shared" si="121"/>
        <v>-0.98</v>
      </c>
    </row>
    <row r="1081" spans="1:35" ht="30" x14ac:dyDescent="0.25">
      <c r="A1081" s="275">
        <f>'Profits 2016'!A6294</f>
        <v>3004923</v>
      </c>
      <c r="B1081" s="279">
        <f>'Profits 2016'!B6294</f>
        <v>42656</v>
      </c>
      <c r="C1081" s="276">
        <f>'Profits 2016'!H6294</f>
        <v>190</v>
      </c>
      <c r="D1081" s="280">
        <f>'Profits 2016'!K6294</f>
        <v>185.52</v>
      </c>
      <c r="E1081" s="276">
        <f>'Profits 2016'!L6294</f>
        <v>424</v>
      </c>
      <c r="F1081" s="275" t="str">
        <f>'Profits 2016'!P6294</f>
        <v>Nassau</v>
      </c>
      <c r="G1081" s="292">
        <f>'Profits 2016'!N6294-'Profits 2016'!M6294</f>
        <v>65.72</v>
      </c>
      <c r="H1081" s="319"/>
      <c r="I1081" s="320"/>
      <c r="J1081" s="321"/>
      <c r="K1081" s="321"/>
      <c r="L1081" s="321"/>
      <c r="M1081" s="319"/>
      <c r="N1081" s="322"/>
      <c r="O1081" s="236" t="str">
        <f>'Profits 2016'!T6294</f>
        <v>FEDEX GROUND</v>
      </c>
      <c r="P1081" s="284" t="str">
        <f>'Profits 2016'!U6294</f>
        <v>702723290164</v>
      </c>
      <c r="Q1081" s="284" t="s">
        <v>314</v>
      </c>
      <c r="R1081" s="276">
        <v>45.7</v>
      </c>
      <c r="S1081" s="275" t="s">
        <v>15793</v>
      </c>
      <c r="T1081" s="279">
        <v>42674</v>
      </c>
      <c r="U1081" s="279">
        <v>42681</v>
      </c>
      <c r="V1081" s="279">
        <v>42685</v>
      </c>
      <c r="W1081" s="293">
        <v>0</v>
      </c>
      <c r="X1081" s="236">
        <v>9399</v>
      </c>
      <c r="AF1081" s="276">
        <f t="shared" si="126"/>
        <v>111.42</v>
      </c>
      <c r="AG1081" s="276">
        <f t="shared" si="119"/>
        <v>45.7</v>
      </c>
      <c r="AH1081" s="276">
        <f t="shared" si="120"/>
        <v>139.82</v>
      </c>
      <c r="AI1081" s="283">
        <f t="shared" si="121"/>
        <v>1.2548914019027104</v>
      </c>
    </row>
    <row r="1082" spans="1:35" ht="45" x14ac:dyDescent="0.25">
      <c r="A1082" s="275">
        <f>'Profits 2016'!A6295</f>
        <v>3004924</v>
      </c>
      <c r="B1082" s="279">
        <f>'Profits 2016'!B6295</f>
        <v>42656</v>
      </c>
      <c r="C1082" s="276">
        <f>'Profits 2016'!H6295</f>
        <v>6875</v>
      </c>
      <c r="D1082" s="280">
        <f>'Profits 2016'!K6295</f>
        <v>6723.45</v>
      </c>
      <c r="E1082" s="276">
        <f>'Profits 2016'!L6295</f>
        <v>10600</v>
      </c>
      <c r="F1082" s="275" t="str">
        <f>'Profits 2016'!P6295</f>
        <v>Priority</v>
      </c>
      <c r="G1082" s="292">
        <f>'Profits 2016'!N6295-'Profits 2016'!M6295</f>
        <v>5300</v>
      </c>
      <c r="H1082" s="292">
        <v>0</v>
      </c>
      <c r="I1082" s="275">
        <v>1066222</v>
      </c>
      <c r="J1082" s="277">
        <v>42657</v>
      </c>
      <c r="K1082" s="277">
        <v>42664</v>
      </c>
      <c r="O1082" s="236" t="str">
        <f>'Profits 2016'!T6295</f>
        <v>USF REDDAWAY</v>
      </c>
      <c r="P1082" s="284" t="str">
        <f>'Profits 2016'!U6295</f>
        <v>57817817202</v>
      </c>
      <c r="Q1082" s="284" t="s">
        <v>15740</v>
      </c>
      <c r="R1082" s="276">
        <v>149.33000000000001</v>
      </c>
      <c r="S1082" s="275">
        <v>1066222</v>
      </c>
      <c r="T1082" s="279">
        <v>42657</v>
      </c>
      <c r="U1082" s="279">
        <v>42664</v>
      </c>
      <c r="AF1082" s="276">
        <f t="shared" si="126"/>
        <v>5449.33</v>
      </c>
      <c r="AG1082" s="276">
        <f t="shared" si="119"/>
        <v>149.33000000000001</v>
      </c>
      <c r="AH1082" s="276">
        <f t="shared" si="120"/>
        <v>6574.12</v>
      </c>
      <c r="AI1082" s="283">
        <f t="shared" si="121"/>
        <v>1.2064088612728536</v>
      </c>
    </row>
    <row r="1083" spans="1:35" ht="30" x14ac:dyDescent="0.25">
      <c r="A1083" s="275">
        <f>'Profits 2016'!A6296</f>
        <v>3004925</v>
      </c>
      <c r="B1083" s="279">
        <f>'Profits 2016'!B6296</f>
        <v>42657</v>
      </c>
      <c r="C1083" s="276">
        <f>'Profits 2016'!H6296</f>
        <v>330</v>
      </c>
      <c r="D1083" s="280">
        <f>'Profits 2016'!K6296</f>
        <v>293.73</v>
      </c>
      <c r="E1083" s="276">
        <f>'Profits 2016'!L6296</f>
        <v>806</v>
      </c>
      <c r="F1083" s="275" t="str">
        <f>'Profits 2016'!P6296</f>
        <v>Nassau</v>
      </c>
      <c r="G1083" s="292">
        <f>'Profits 2016'!N6296-'Profits 2016'!M6296</f>
        <v>161.20000000000002</v>
      </c>
      <c r="H1083" s="319"/>
      <c r="I1083" s="320"/>
      <c r="J1083" s="321"/>
      <c r="K1083" s="321"/>
      <c r="L1083" s="321"/>
      <c r="M1083" s="319"/>
      <c r="N1083" s="322"/>
      <c r="O1083" s="236" t="str">
        <f>'Profits 2016'!T6296</f>
        <v>FEDEX GROUND</v>
      </c>
      <c r="P1083" s="284" t="str">
        <f>'Profits 2016'!U6296</f>
        <v>702723290039</v>
      </c>
      <c r="Q1083" s="284" t="s">
        <v>314</v>
      </c>
      <c r="R1083" s="276">
        <v>63.94</v>
      </c>
      <c r="S1083" s="275" t="s">
        <v>15869</v>
      </c>
      <c r="T1083" s="279">
        <v>42681</v>
      </c>
      <c r="U1083" s="279">
        <v>42678</v>
      </c>
      <c r="V1083" s="279">
        <v>42692</v>
      </c>
      <c r="W1083" s="293">
        <f>R1083</f>
        <v>63.94</v>
      </c>
      <c r="X1083" s="236">
        <v>9444</v>
      </c>
      <c r="AF1083" s="276">
        <f t="shared" si="126"/>
        <v>225.14000000000001</v>
      </c>
      <c r="AG1083" s="276">
        <f t="shared" si="119"/>
        <v>63.94</v>
      </c>
      <c r="AH1083" s="276">
        <f t="shared" si="120"/>
        <v>229.79000000000002</v>
      </c>
      <c r="AI1083" s="283">
        <f t="shared" si="121"/>
        <v>1.0206538154037488</v>
      </c>
    </row>
    <row r="1084" spans="1:35" ht="30" x14ac:dyDescent="0.25">
      <c r="A1084" s="275">
        <f>'Profits 2016'!A6297</f>
        <v>3004926</v>
      </c>
      <c r="B1084" s="279">
        <f>'Profits 2016'!B6297</f>
        <v>42657</v>
      </c>
      <c r="C1084" s="276">
        <f>'Profits 2016'!H6297</f>
        <v>468.71</v>
      </c>
      <c r="D1084" s="280">
        <f>'Profits 2016'!K6297</f>
        <v>458.09837999999996</v>
      </c>
      <c r="E1084" s="276">
        <f>'Profits 2016'!L6297</f>
        <v>480</v>
      </c>
      <c r="F1084" s="275" t="str">
        <f>'Profits 2016'!P6297</f>
        <v>Nassau</v>
      </c>
      <c r="G1084" s="292">
        <f>'Profits 2016'!N6297-'Profits 2016'!M6297</f>
        <v>180</v>
      </c>
      <c r="H1084" s="319"/>
      <c r="I1084" s="320"/>
      <c r="J1084" s="321"/>
      <c r="K1084" s="321"/>
      <c r="L1084" s="321"/>
      <c r="M1084" s="319"/>
      <c r="N1084" s="322"/>
      <c r="O1084" s="236" t="str">
        <f>'Profits 2016'!T6297</f>
        <v>FEDEX GROUND</v>
      </c>
      <c r="P1084" s="284" t="str">
        <f>'Profits 2016'!U6297</f>
        <v>702723289951</v>
      </c>
      <c r="Q1084" s="284" t="s">
        <v>314</v>
      </c>
      <c r="R1084" s="276">
        <v>51.56</v>
      </c>
      <c r="S1084" s="275" t="s">
        <v>15793</v>
      </c>
      <c r="T1084" s="279">
        <v>42674</v>
      </c>
      <c r="U1084" s="279">
        <v>42681</v>
      </c>
      <c r="V1084" s="279">
        <v>42685</v>
      </c>
      <c r="W1084" s="293">
        <v>0</v>
      </c>
      <c r="X1084" s="236">
        <v>9399</v>
      </c>
      <c r="AF1084" s="276">
        <f t="shared" si="126"/>
        <v>231.56</v>
      </c>
      <c r="AG1084" s="276">
        <f t="shared" si="119"/>
        <v>51.56</v>
      </c>
      <c r="AH1084" s="276">
        <f t="shared" si="120"/>
        <v>406.53837999999996</v>
      </c>
      <c r="AI1084" s="283">
        <f t="shared" si="121"/>
        <v>1.75565028502332</v>
      </c>
    </row>
    <row r="1085" spans="1:35" ht="30" x14ac:dyDescent="0.25">
      <c r="A1085" s="275">
        <f>'Profits 2016'!A6298</f>
        <v>3004927</v>
      </c>
      <c r="B1085" s="279">
        <f>'Profits 2016'!B6298</f>
        <v>42657</v>
      </c>
      <c r="C1085" s="276">
        <f>'Profits 2016'!H6298</f>
        <v>950</v>
      </c>
      <c r="D1085" s="280">
        <f>'Profits 2016'!K6298</f>
        <v>928.8</v>
      </c>
      <c r="E1085" s="276">
        <f>'Profits 2016'!L6298</f>
        <v>2567</v>
      </c>
      <c r="F1085" s="275" t="str">
        <f>'Profits 2016'!P6298</f>
        <v>Nassau</v>
      </c>
      <c r="G1085" s="292">
        <f>'Profits 2016'!N6298-'Profits 2016'!M6298</f>
        <v>513.4</v>
      </c>
      <c r="H1085" s="319"/>
      <c r="I1085" s="320"/>
      <c r="J1085" s="321"/>
      <c r="K1085" s="321"/>
      <c r="L1085" s="321"/>
      <c r="M1085" s="319"/>
      <c r="N1085" s="322"/>
      <c r="O1085" s="236" t="str">
        <f>'Profits 2016'!T6298</f>
        <v>NEW PENN/DLS</v>
      </c>
      <c r="P1085" s="284" t="str">
        <f>'Profits 2016'!U6298</f>
        <v>88737635</v>
      </c>
      <c r="Q1085" s="284" t="s">
        <v>15804</v>
      </c>
      <c r="R1085" s="276">
        <v>154.77000000000001</v>
      </c>
      <c r="S1085" s="275">
        <v>636872489</v>
      </c>
      <c r="T1085" s="279">
        <v>42667</v>
      </c>
      <c r="U1085" s="279">
        <v>42674</v>
      </c>
      <c r="V1085" s="279">
        <v>42678</v>
      </c>
      <c r="W1085" s="293">
        <v>154.77000000000001</v>
      </c>
      <c r="X1085" s="236">
        <v>9343</v>
      </c>
      <c r="AF1085" s="276">
        <f t="shared" si="126"/>
        <v>668.17</v>
      </c>
      <c r="AG1085" s="276">
        <f t="shared" si="119"/>
        <v>154.77000000000001</v>
      </c>
      <c r="AH1085" s="276">
        <f t="shared" si="120"/>
        <v>774.03</v>
      </c>
      <c r="AI1085" s="283">
        <f t="shared" si="121"/>
        <v>1.1584327341844143</v>
      </c>
    </row>
    <row r="1086" spans="1:35" ht="30" x14ac:dyDescent="0.25">
      <c r="A1086" s="275">
        <f>'Profits 2016'!A6299</f>
        <v>3004928</v>
      </c>
      <c r="B1086" s="279">
        <f>'Profits 2016'!B6299</f>
        <v>42657</v>
      </c>
      <c r="C1086" s="276">
        <f>'Profits 2016'!H6299</f>
        <v>585</v>
      </c>
      <c r="D1086" s="280">
        <f>'Profits 2016'!K6299</f>
        <v>520.93500000000006</v>
      </c>
      <c r="E1086" s="276">
        <f>'Profits 2016'!L6299</f>
        <v>300</v>
      </c>
      <c r="F1086" s="275" t="str">
        <f>'Profits 2016'!P6299</f>
        <v>Nassau</v>
      </c>
      <c r="G1086" s="292">
        <f>'Profits 2016'!N6299-'Profits 2016'!M6299</f>
        <v>300</v>
      </c>
      <c r="H1086" s="319"/>
      <c r="I1086" s="320"/>
      <c r="J1086" s="321"/>
      <c r="K1086" s="321"/>
      <c r="L1086" s="321"/>
      <c r="M1086" s="319"/>
      <c r="N1086" s="322"/>
      <c r="O1086" s="236" t="str">
        <f>'Profits 2016'!T6299</f>
        <v>FEDEX GROUND</v>
      </c>
      <c r="P1086" s="284" t="str">
        <f>'Profits 2016'!U6299</f>
        <v>702723289984</v>
      </c>
      <c r="Q1086" s="284" t="s">
        <v>314</v>
      </c>
      <c r="R1086" s="276">
        <v>73.47</v>
      </c>
      <c r="S1086" s="275" t="s">
        <v>15793</v>
      </c>
      <c r="T1086" s="279">
        <v>42674</v>
      </c>
      <c r="U1086" s="279">
        <v>42681</v>
      </c>
      <c r="V1086" s="279">
        <v>42685</v>
      </c>
      <c r="W1086" s="293">
        <v>0</v>
      </c>
      <c r="X1086" s="236">
        <v>9399</v>
      </c>
      <c r="AF1086" s="276">
        <f t="shared" si="126"/>
        <v>373.47</v>
      </c>
      <c r="AG1086" s="276">
        <f t="shared" si="119"/>
        <v>73.47</v>
      </c>
      <c r="AH1086" s="276">
        <f t="shared" si="120"/>
        <v>447.46500000000003</v>
      </c>
      <c r="AI1086" s="283">
        <f t="shared" si="121"/>
        <v>1.1981283637239939</v>
      </c>
    </row>
    <row r="1087" spans="1:35" ht="30" x14ac:dyDescent="0.25">
      <c r="A1087" s="275">
        <f>'Profits 2016'!A6300</f>
        <v>3004929</v>
      </c>
      <c r="B1087" s="279">
        <f>'Profits 2016'!B6300</f>
        <v>42657</v>
      </c>
      <c r="C1087" s="276">
        <f>'Profits 2016'!H6300</f>
        <v>399.71</v>
      </c>
      <c r="D1087" s="280">
        <f>'Profits 2016'!K6300</f>
        <v>355.84160999999995</v>
      </c>
      <c r="E1087" s="276">
        <f>'Profits 2016'!L6300</f>
        <v>1373</v>
      </c>
      <c r="F1087" s="275" t="str">
        <f>'Profits 2016'!P6300</f>
        <v>Priority</v>
      </c>
      <c r="G1087" s="292">
        <f>'Profits 2016'!N6300-'Profits 2016'!M6300</f>
        <v>343.25</v>
      </c>
      <c r="H1087" s="292">
        <v>0</v>
      </c>
      <c r="I1087" s="275">
        <v>1067118</v>
      </c>
      <c r="J1087" s="277">
        <v>42661</v>
      </c>
      <c r="K1087" s="277">
        <v>42667</v>
      </c>
      <c r="O1087" s="236" t="str">
        <f>'Profits 2016'!T6300</f>
        <v>FEDEX GROUND</v>
      </c>
      <c r="P1087" s="284" t="str">
        <f>'Profits 2016'!U6300</f>
        <v xml:space="preserve">	614697968530</v>
      </c>
      <c r="Q1087" s="284" t="s">
        <v>15740</v>
      </c>
      <c r="R1087" s="276">
        <v>59</v>
      </c>
      <c r="S1087" s="275">
        <v>1067118</v>
      </c>
      <c r="T1087" s="279">
        <v>42661</v>
      </c>
      <c r="U1087" s="279">
        <v>42667</v>
      </c>
      <c r="AF1087" s="276">
        <f t="shared" si="126"/>
        <v>402.25</v>
      </c>
      <c r="AG1087" s="276">
        <f t="shared" si="119"/>
        <v>59</v>
      </c>
      <c r="AH1087" s="276">
        <f t="shared" si="120"/>
        <v>296.84160999999995</v>
      </c>
      <c r="AI1087" s="283">
        <f t="shared" si="121"/>
        <v>0.73795303915475441</v>
      </c>
    </row>
    <row r="1088" spans="1:35" ht="30" x14ac:dyDescent="0.25">
      <c r="A1088" s="275">
        <f>'Profits 2016'!A6301</f>
        <v>3004930</v>
      </c>
      <c r="B1088" s="279">
        <f>'Profits 2016'!B6301</f>
        <v>42657</v>
      </c>
      <c r="C1088" s="276">
        <f>'Profits 2016'!H6301</f>
        <v>227.48</v>
      </c>
      <c r="D1088" s="280">
        <f>'Profits 2016'!K6301</f>
        <v>202.38468</v>
      </c>
      <c r="E1088" s="276">
        <f>'Profits 2016'!L6301</f>
        <v>990</v>
      </c>
      <c r="F1088" s="275" t="str">
        <f>'Profits 2016'!P6301</f>
        <v>Nassau</v>
      </c>
      <c r="G1088" s="292">
        <f>'Profits 2016'!N6301-'Profits 2016'!M6301</f>
        <v>99</v>
      </c>
      <c r="H1088" s="319"/>
      <c r="I1088" s="320"/>
      <c r="J1088" s="321"/>
      <c r="K1088" s="321"/>
      <c r="L1088" s="321"/>
      <c r="M1088" s="319"/>
      <c r="N1088" s="322"/>
      <c r="O1088" s="236" t="str">
        <f>'Profits 2016'!T6301</f>
        <v>FEDEX GROUND</v>
      </c>
      <c r="P1088" s="284" t="str">
        <f>'Profits 2016'!U6301</f>
        <v>702723289973</v>
      </c>
      <c r="Q1088" s="284" t="s">
        <v>314</v>
      </c>
      <c r="R1088" s="276">
        <v>45.22</v>
      </c>
      <c r="S1088" s="275" t="s">
        <v>15793</v>
      </c>
      <c r="T1088" s="279">
        <v>42674</v>
      </c>
      <c r="U1088" s="279">
        <v>42681</v>
      </c>
      <c r="V1088" s="279">
        <v>42685</v>
      </c>
      <c r="W1088" s="293">
        <v>0</v>
      </c>
      <c r="X1088" s="236">
        <v>9399</v>
      </c>
      <c r="AF1088" s="276">
        <f t="shared" si="126"/>
        <v>144.22</v>
      </c>
      <c r="AG1088" s="276">
        <f t="shared" si="119"/>
        <v>45.22</v>
      </c>
      <c r="AH1088" s="276">
        <f t="shared" si="120"/>
        <v>157.16468</v>
      </c>
      <c r="AI1088" s="283">
        <f t="shared" si="121"/>
        <v>1.089756483150742</v>
      </c>
    </row>
    <row r="1089" spans="1:35" ht="30" x14ac:dyDescent="0.25">
      <c r="A1089" s="275">
        <f>'Profits 2016'!A6302</f>
        <v>3004931</v>
      </c>
      <c r="B1089" s="279">
        <f>'Profits 2016'!B6302</f>
        <v>42657</v>
      </c>
      <c r="C1089" s="276">
        <f>'Profits 2016'!H6302</f>
        <v>122.14</v>
      </c>
      <c r="D1089" s="280">
        <f>'Profits 2016'!K6302</f>
        <v>108.52674</v>
      </c>
      <c r="E1089" s="276">
        <f>'Profits 2016'!L6302</f>
        <v>445</v>
      </c>
      <c r="F1089" s="275" t="str">
        <f>'Profits 2016'!P6302</f>
        <v>Nassau</v>
      </c>
      <c r="G1089" s="292">
        <f>'Profits 2016'!N6302-'Profits 2016'!M6302</f>
        <v>44.499999999999993</v>
      </c>
      <c r="H1089" s="319"/>
      <c r="I1089" s="320"/>
      <c r="J1089" s="321"/>
      <c r="K1089" s="321"/>
      <c r="L1089" s="321"/>
      <c r="M1089" s="319"/>
      <c r="N1089" s="322"/>
      <c r="O1089" s="236" t="str">
        <f>'Profits 2016'!T6302</f>
        <v>FEDEX GROUND</v>
      </c>
      <c r="P1089" s="284" t="str">
        <f>'Profits 2016'!U6302</f>
        <v>680483360472</v>
      </c>
      <c r="Q1089" s="284" t="s">
        <v>15740</v>
      </c>
      <c r="R1089" s="276">
        <v>23.32</v>
      </c>
      <c r="S1089" s="275">
        <v>1066120</v>
      </c>
      <c r="T1089" s="279">
        <v>42656</v>
      </c>
      <c r="U1089" s="279">
        <v>42663</v>
      </c>
      <c r="AF1089" s="276">
        <f t="shared" si="126"/>
        <v>67.819999999999993</v>
      </c>
      <c r="AG1089" s="276">
        <f t="shared" si="119"/>
        <v>23.32</v>
      </c>
      <c r="AH1089" s="276">
        <f t="shared" si="120"/>
        <v>85.206739999999996</v>
      </c>
      <c r="AI1089" s="283">
        <f t="shared" si="121"/>
        <v>1.2563659687407844</v>
      </c>
    </row>
    <row r="1090" spans="1:35" ht="30" x14ac:dyDescent="0.25">
      <c r="A1090" s="275">
        <f>'Profits 2016'!A6303</f>
        <v>3004932</v>
      </c>
      <c r="B1090" s="279">
        <f>'Profits 2016'!B6303</f>
        <v>42657</v>
      </c>
      <c r="C1090" s="276">
        <f>'Profits 2016'!H6303</f>
        <v>147.12</v>
      </c>
      <c r="D1090" s="280">
        <f>'Profits 2016'!K6303</f>
        <v>130.78391999999999</v>
      </c>
      <c r="E1090" s="276">
        <f>'Profits 2016'!L6303</f>
        <v>235</v>
      </c>
      <c r="F1090" s="275" t="str">
        <f>'Profits 2016'!P6303</f>
        <v>Nassau</v>
      </c>
      <c r="G1090" s="292">
        <f>'Profits 2016'!N6303-'Profits 2016'!M6303</f>
        <v>47</v>
      </c>
      <c r="H1090" s="319"/>
      <c r="I1090" s="320"/>
      <c r="J1090" s="321"/>
      <c r="K1090" s="321"/>
      <c r="L1090" s="321"/>
      <c r="M1090" s="319"/>
      <c r="N1090" s="322"/>
      <c r="O1090" s="236" t="str">
        <f>'Profits 2016'!T6303</f>
        <v>FEDEX GROUND</v>
      </c>
      <c r="P1090" s="284" t="str">
        <f>'Profits 2016'!U6303</f>
        <v>680483360483</v>
      </c>
      <c r="Q1090" s="284" t="s">
        <v>314</v>
      </c>
      <c r="R1090" s="276">
        <v>23.59</v>
      </c>
      <c r="S1090" s="275" t="s">
        <v>15793</v>
      </c>
      <c r="T1090" s="279">
        <v>42674</v>
      </c>
      <c r="U1090" s="279">
        <v>42681</v>
      </c>
      <c r="V1090" s="279">
        <v>42685</v>
      </c>
      <c r="W1090" s="293">
        <v>0</v>
      </c>
      <c r="X1090" s="236">
        <v>9399</v>
      </c>
      <c r="AF1090" s="276">
        <f t="shared" si="126"/>
        <v>70.59</v>
      </c>
      <c r="AG1090" s="276">
        <f t="shared" si="119"/>
        <v>23.59</v>
      </c>
      <c r="AH1090" s="276">
        <f t="shared" si="120"/>
        <v>107.19391999999999</v>
      </c>
      <c r="AI1090" s="283">
        <f t="shared" si="121"/>
        <v>1.5185425697690889</v>
      </c>
    </row>
    <row r="1091" spans="1:35" ht="30" x14ac:dyDescent="0.25">
      <c r="A1091" s="275">
        <f>'Profits 2016'!A6304</f>
        <v>3004933</v>
      </c>
      <c r="B1091" s="279">
        <f>'Profits 2016'!B6304</f>
        <v>42657</v>
      </c>
      <c r="C1091" s="276">
        <f>'Profits 2016'!H6304</f>
        <v>162.44</v>
      </c>
      <c r="D1091" s="280">
        <f>'Profits 2016'!K6304</f>
        <v>138.07400000000001</v>
      </c>
      <c r="E1091" s="276">
        <f>'Profits 2016'!L6304</f>
        <v>205</v>
      </c>
      <c r="F1091" s="275" t="str">
        <f>'Profits 2016'!P6304</f>
        <v>Nassau</v>
      </c>
      <c r="G1091" s="292">
        <f>'Profits 2016'!N6304-'Profits 2016'!M6304</f>
        <v>102.5</v>
      </c>
      <c r="H1091" s="319"/>
      <c r="I1091" s="320"/>
      <c r="J1091" s="321"/>
      <c r="K1091" s="321"/>
      <c r="L1091" s="321"/>
      <c r="M1091" s="319"/>
      <c r="N1091" s="322"/>
      <c r="O1091" s="236" t="str">
        <f>'Profits 2016'!T6304</f>
        <v>FEDEX GROUND</v>
      </c>
      <c r="P1091" s="284" t="str">
        <f>'Profits 2016'!U6304</f>
        <v>702723289962</v>
      </c>
      <c r="Q1091" s="284" t="s">
        <v>314</v>
      </c>
      <c r="R1091" s="276">
        <v>18.850000000000001</v>
      </c>
      <c r="S1091" s="275" t="s">
        <v>15793</v>
      </c>
      <c r="T1091" s="279">
        <v>42674</v>
      </c>
      <c r="U1091" s="279">
        <v>42681</v>
      </c>
      <c r="V1091" s="279">
        <v>42685</v>
      </c>
      <c r="W1091" s="293">
        <v>0</v>
      </c>
      <c r="X1091" s="236">
        <v>9399</v>
      </c>
      <c r="AF1091" s="276">
        <f t="shared" si="126"/>
        <v>121.35</v>
      </c>
      <c r="AG1091" s="276">
        <f t="shared" si="119"/>
        <v>18.850000000000001</v>
      </c>
      <c r="AH1091" s="276">
        <f t="shared" si="120"/>
        <v>119.22400000000002</v>
      </c>
      <c r="AI1091" s="283">
        <f t="shared" si="121"/>
        <v>0.98248042851256712</v>
      </c>
    </row>
    <row r="1092" spans="1:35" ht="30" x14ac:dyDescent="0.25">
      <c r="A1092" s="275">
        <f>'Profits 2016'!A6305</f>
        <v>3004934</v>
      </c>
      <c r="B1092" s="279">
        <f>'Profits 2016'!B6305</f>
        <v>42657</v>
      </c>
      <c r="C1092" s="276">
        <f>'Profits 2016'!H6305</f>
        <v>419.58</v>
      </c>
      <c r="D1092" s="280">
        <f>'Profits 2016'!K6305</f>
        <v>410.04924</v>
      </c>
      <c r="E1092" s="276">
        <f>'Profits 2016'!L6305</f>
        <v>1021</v>
      </c>
      <c r="F1092" s="275" t="str">
        <f>'Profits 2016'!P6305</f>
        <v>Nassau</v>
      </c>
      <c r="G1092" s="292">
        <f>'Profits 2016'!N6305-'Profits 2016'!M6305</f>
        <v>178.67500000000001</v>
      </c>
      <c r="H1092" s="319"/>
      <c r="I1092" s="320"/>
      <c r="J1092" s="321"/>
      <c r="K1092" s="321"/>
      <c r="L1092" s="321"/>
      <c r="M1092" s="319"/>
      <c r="N1092" s="322"/>
      <c r="O1092" s="236" t="str">
        <f>'Profits 2016'!T6305</f>
        <v>FEDEX GROUND</v>
      </c>
      <c r="P1092" s="284" t="str">
        <f>'Profits 2016'!U6305</f>
        <v>702723280006</v>
      </c>
      <c r="Q1092" s="284" t="s">
        <v>314</v>
      </c>
      <c r="R1092" s="276">
        <v>49.74</v>
      </c>
      <c r="S1092" s="275" t="s">
        <v>15793</v>
      </c>
      <c r="T1092" s="279">
        <v>42674</v>
      </c>
      <c r="U1092" s="279">
        <v>42681</v>
      </c>
      <c r="V1092" s="279">
        <v>42685</v>
      </c>
      <c r="W1092" s="293">
        <v>0</v>
      </c>
      <c r="X1092" s="236">
        <v>9399</v>
      </c>
      <c r="AF1092" s="276">
        <f t="shared" si="126"/>
        <v>228.41500000000002</v>
      </c>
      <c r="AG1092" s="276">
        <f t="shared" si="119"/>
        <v>49.74</v>
      </c>
      <c r="AH1092" s="276">
        <f t="shared" si="120"/>
        <v>360.30923999999999</v>
      </c>
      <c r="AI1092" s="283">
        <f t="shared" si="121"/>
        <v>1.5774324803537418</v>
      </c>
    </row>
    <row r="1093" spans="1:35" ht="30" x14ac:dyDescent="0.25">
      <c r="A1093" s="275">
        <f>'Profits 2016'!A6306</f>
        <v>3004935</v>
      </c>
      <c r="B1093" s="279">
        <f>'Profits 2016'!B6306</f>
        <v>42657</v>
      </c>
      <c r="C1093" s="276">
        <f>'Profits 2016'!H6306</f>
        <v>723</v>
      </c>
      <c r="D1093" s="280">
        <f>'Profits 2016'!K6306</f>
        <v>706.79399999999998</v>
      </c>
      <c r="E1093" s="276">
        <f>'Profits 2016'!L6306</f>
        <v>1693</v>
      </c>
      <c r="F1093" s="275" t="str">
        <f>'Profits 2016'!P6306</f>
        <v>Nassau</v>
      </c>
      <c r="G1093" s="292">
        <f>'Profits 2016'!N6306-'Profits 2016'!M6306</f>
        <v>338.6</v>
      </c>
      <c r="H1093" s="319"/>
      <c r="I1093" s="320"/>
      <c r="J1093" s="321"/>
      <c r="K1093" s="321"/>
      <c r="L1093" s="321"/>
      <c r="M1093" s="319"/>
      <c r="N1093" s="322"/>
      <c r="O1093" s="236" t="str">
        <f>'Profits 2016'!T6306</f>
        <v>NEW PENN/DLS</v>
      </c>
      <c r="P1093" s="284" t="str">
        <f>'Profits 2016'!U6306</f>
        <v>88737634</v>
      </c>
      <c r="Q1093" s="284" t="s">
        <v>15804</v>
      </c>
      <c r="R1093" s="276">
        <v>154.78</v>
      </c>
      <c r="S1093" s="275">
        <v>636864830</v>
      </c>
      <c r="T1093" s="279">
        <v>42664</v>
      </c>
      <c r="U1093" s="279">
        <v>42667</v>
      </c>
      <c r="V1093" s="279">
        <v>42671</v>
      </c>
      <c r="W1093" s="293">
        <v>154.78</v>
      </c>
      <c r="X1093" s="236">
        <v>9264</v>
      </c>
      <c r="AF1093" s="276">
        <f t="shared" si="126"/>
        <v>493.38</v>
      </c>
      <c r="AG1093" s="276">
        <f t="shared" si="119"/>
        <v>154.78</v>
      </c>
      <c r="AH1093" s="276">
        <f t="shared" si="120"/>
        <v>552.01400000000001</v>
      </c>
      <c r="AI1093" s="283">
        <f t="shared" si="121"/>
        <v>1.1188414609428838</v>
      </c>
    </row>
    <row r="1094" spans="1:35" x14ac:dyDescent="0.25">
      <c r="A1094" s="275">
        <f>'Profits 2016'!A6307</f>
        <v>0</v>
      </c>
      <c r="B1094" s="279">
        <f>'Profits 2016'!B6307</f>
        <v>0</v>
      </c>
      <c r="C1094" s="276">
        <f>'Profits 2016'!H6307</f>
        <v>0</v>
      </c>
      <c r="D1094" s="280">
        <f>'Profits 2016'!K6307</f>
        <v>0</v>
      </c>
      <c r="E1094" s="276">
        <f>'Profits 2016'!L6307</f>
        <v>595</v>
      </c>
      <c r="F1094" s="275" t="str">
        <f>'Profits 2016'!P6307</f>
        <v>Nassau</v>
      </c>
      <c r="G1094" s="292">
        <f>'Profits 2016'!N6307-'Profits 2016'!M6307</f>
        <v>35.699999999999996</v>
      </c>
      <c r="H1094" s="319"/>
      <c r="I1094" s="320"/>
      <c r="J1094" s="321"/>
      <c r="K1094" s="321"/>
      <c r="L1094" s="321"/>
      <c r="M1094" s="319"/>
      <c r="N1094" s="322"/>
      <c r="O1094" s="236">
        <f>'Profits 2016'!T6307</f>
        <v>0</v>
      </c>
      <c r="P1094" s="284">
        <f>'Profits 2016'!U6307</f>
        <v>0</v>
      </c>
      <c r="Q1094" s="284" t="s">
        <v>15804</v>
      </c>
      <c r="R1094" s="276">
        <v>0</v>
      </c>
      <c r="S1094" s="275">
        <v>636864830</v>
      </c>
      <c r="T1094" s="279">
        <v>42664</v>
      </c>
      <c r="U1094" s="279">
        <v>42667</v>
      </c>
      <c r="V1094" s="279">
        <v>42671</v>
      </c>
      <c r="W1094" s="293">
        <v>0</v>
      </c>
      <c r="X1094" s="236">
        <v>9264</v>
      </c>
      <c r="AF1094" s="276">
        <f t="shared" si="126"/>
        <v>35.699999999999996</v>
      </c>
      <c r="AG1094" s="276">
        <f t="shared" ref="AG1094:AG1111" si="127">M1094+R1094+Y1094</f>
        <v>0</v>
      </c>
      <c r="AH1094" s="276">
        <f t="shared" ref="AH1094:AH1097" si="128">D1094-AG1094</f>
        <v>0</v>
      </c>
      <c r="AI1094" s="283">
        <f t="shared" ref="AI1094:AI1097" si="129">AH1094/AF1094</f>
        <v>0</v>
      </c>
    </row>
    <row r="1095" spans="1:35" ht="30" x14ac:dyDescent="0.25">
      <c r="A1095" s="275">
        <f>'Profits 2016'!A6308</f>
        <v>3004936</v>
      </c>
      <c r="B1095" s="279">
        <f>'Profits 2016'!B6308</f>
        <v>42657</v>
      </c>
      <c r="C1095" s="276">
        <f>'Profits 2016'!H6308</f>
        <v>205</v>
      </c>
      <c r="D1095" s="280">
        <f>'Profits 2016'!K6308</f>
        <v>174.25</v>
      </c>
      <c r="E1095" s="276">
        <f>'Profits 2016'!L6308</f>
        <v>0</v>
      </c>
      <c r="F1095" s="275" t="str">
        <f>'Profits 2016'!P6308</f>
        <v>Nassau</v>
      </c>
      <c r="G1095" s="292">
        <f>'Profits 2016'!N6308-'Profits 2016'!M6308</f>
        <v>0</v>
      </c>
      <c r="H1095" s="319"/>
      <c r="I1095" s="320"/>
      <c r="J1095" s="321"/>
      <c r="K1095" s="321"/>
      <c r="L1095" s="321"/>
      <c r="M1095" s="319"/>
      <c r="N1095" s="322"/>
      <c r="O1095" s="236" t="str">
        <f>'Profits 2016'!T6308</f>
        <v>FEDEX GROUND</v>
      </c>
      <c r="P1095" s="284" t="str">
        <f>'Profits 2016'!U6308</f>
        <v>702723290175</v>
      </c>
      <c r="Q1095" s="284" t="s">
        <v>314</v>
      </c>
      <c r="R1095" s="276">
        <v>20.16</v>
      </c>
      <c r="S1095" s="275" t="s">
        <v>15793</v>
      </c>
      <c r="T1095" s="279">
        <v>42674</v>
      </c>
      <c r="U1095" s="279">
        <v>42681</v>
      </c>
      <c r="V1095" s="279">
        <v>42685</v>
      </c>
      <c r="W1095" s="293">
        <v>0</v>
      </c>
      <c r="X1095" s="236">
        <v>9399</v>
      </c>
      <c r="AF1095" s="276">
        <f t="shared" si="126"/>
        <v>20.16</v>
      </c>
      <c r="AG1095" s="276">
        <f t="shared" si="127"/>
        <v>20.16</v>
      </c>
      <c r="AH1095" s="276">
        <f t="shared" si="128"/>
        <v>154.09</v>
      </c>
      <c r="AI1095" s="283">
        <f t="shared" si="129"/>
        <v>7.6433531746031749</v>
      </c>
    </row>
    <row r="1096" spans="1:35" ht="30" x14ac:dyDescent="0.25">
      <c r="A1096" s="275">
        <f>'Profits 2016'!A6309</f>
        <v>3004937</v>
      </c>
      <c r="B1096" s="279">
        <f>'Profits 2016'!B6309</f>
        <v>42657</v>
      </c>
      <c r="C1096" s="276">
        <f>'Profits 2016'!H6309</f>
        <v>201.39</v>
      </c>
      <c r="D1096" s="280">
        <f>'Profits 2016'!K6309</f>
        <v>171.1815</v>
      </c>
      <c r="E1096" s="276">
        <f>'Profits 2016'!L6309</f>
        <v>120</v>
      </c>
      <c r="F1096" s="275" t="str">
        <f>'Profits 2016'!P6309</f>
        <v>A-Z</v>
      </c>
      <c r="G1096" s="292">
        <f>'Profits 2016'!N6309-'Profits 2016'!M6309</f>
        <v>120</v>
      </c>
      <c r="H1096" s="292">
        <v>0</v>
      </c>
      <c r="I1096" s="275">
        <v>405581</v>
      </c>
      <c r="J1096" s="277">
        <v>42660</v>
      </c>
      <c r="K1096" s="277">
        <v>42664</v>
      </c>
      <c r="O1096" s="236" t="str">
        <f>'Profits 2016'!T6309</f>
        <v>FEDEX GROUND</v>
      </c>
      <c r="P1096" s="284" t="str">
        <f>'Profits 2016'!U6309</f>
        <v>707060226807</v>
      </c>
      <c r="Q1096" s="284" t="s">
        <v>314</v>
      </c>
      <c r="R1096" s="276">
        <v>35.04</v>
      </c>
      <c r="S1096" s="275" t="s">
        <v>15793</v>
      </c>
      <c r="T1096" s="279">
        <v>42674</v>
      </c>
      <c r="U1096" s="279">
        <v>42681</v>
      </c>
      <c r="V1096" s="279">
        <v>42685</v>
      </c>
      <c r="W1096" s="293">
        <v>0</v>
      </c>
      <c r="X1096" s="236">
        <v>9399</v>
      </c>
      <c r="AF1096" s="276">
        <f t="shared" si="126"/>
        <v>155.04</v>
      </c>
      <c r="AG1096" s="276">
        <f t="shared" si="127"/>
        <v>35.04</v>
      </c>
      <c r="AH1096" s="276">
        <f t="shared" si="128"/>
        <v>136.14150000000001</v>
      </c>
      <c r="AI1096" s="283">
        <f t="shared" si="129"/>
        <v>0.87810565015479891</v>
      </c>
    </row>
    <row r="1097" spans="1:35" x14ac:dyDescent="0.25">
      <c r="A1097" s="275">
        <f>'Profits 2016'!A6310</f>
        <v>3004938</v>
      </c>
      <c r="B1097" s="279">
        <f>'Profits 2016'!B6310</f>
        <v>42657</v>
      </c>
      <c r="C1097" s="276">
        <f>'Profits 2016'!H6310</f>
        <v>320</v>
      </c>
      <c r="D1097" s="280">
        <f>'Profits 2016'!K6310</f>
        <v>272</v>
      </c>
      <c r="E1097" s="276">
        <f>'Profits 2016'!L6310</f>
        <v>0</v>
      </c>
      <c r="F1097" s="275" t="str">
        <f>'Profits 2016'!P6310</f>
        <v>IRVIN</v>
      </c>
      <c r="G1097" s="292">
        <f>'Profits 2016'!N6310-'Profits 2016'!M6310</f>
        <v>0</v>
      </c>
      <c r="O1097" s="236" t="str">
        <f>'Profits 2016'!T6310</f>
        <v>UPS</v>
      </c>
      <c r="P1097" s="284">
        <f>'Profits 2016'!U6310</f>
        <v>3666131486</v>
      </c>
      <c r="AF1097" s="276">
        <f t="shared" si="126"/>
        <v>0</v>
      </c>
      <c r="AG1097" s="276">
        <f t="shared" si="127"/>
        <v>0</v>
      </c>
      <c r="AH1097" s="276">
        <f t="shared" si="128"/>
        <v>272</v>
      </c>
      <c r="AI1097" s="283" t="e">
        <f t="shared" si="129"/>
        <v>#DIV/0!</v>
      </c>
    </row>
    <row r="1098" spans="1:35" ht="30" x14ac:dyDescent="0.25">
      <c r="A1098" s="275">
        <f>'Profits 2016'!A6311</f>
        <v>3004939</v>
      </c>
      <c r="B1098" s="279">
        <f>'Profits 2016'!B6311</f>
        <v>42657</v>
      </c>
      <c r="C1098" s="276">
        <f>'Profits 2016'!H6311</f>
        <v>143.88</v>
      </c>
      <c r="D1098" s="280">
        <f>'Profits 2016'!K6311</f>
        <v>122.298</v>
      </c>
      <c r="E1098" s="276">
        <f>'Profits 2016'!L6311</f>
        <v>1322</v>
      </c>
      <c r="F1098" s="275" t="str">
        <f>'Profits 2016'!P6311</f>
        <v>Nassau</v>
      </c>
      <c r="G1098" s="292">
        <f>'Profits 2016'!N6311-'Profits 2016'!M6311</f>
        <v>66.100000000000009</v>
      </c>
      <c r="H1098" s="319"/>
      <c r="I1098" s="320"/>
      <c r="J1098" s="321"/>
      <c r="K1098" s="321"/>
      <c r="L1098" s="321"/>
      <c r="M1098" s="319"/>
      <c r="N1098" s="322"/>
      <c r="O1098" s="236" t="str">
        <f>'Profits 2016'!T6311</f>
        <v>FEDEX GROUND</v>
      </c>
      <c r="P1098" s="284" t="str">
        <f>'Profits 2016'!U6311</f>
        <v>702723290028</v>
      </c>
      <c r="Q1098" s="284" t="s">
        <v>314</v>
      </c>
      <c r="R1098" s="276">
        <v>9.33</v>
      </c>
      <c r="S1098" s="275" t="s">
        <v>15793</v>
      </c>
      <c r="T1098" s="279">
        <v>42674</v>
      </c>
      <c r="U1098" s="279">
        <v>42681</v>
      </c>
      <c r="V1098" s="279">
        <v>42685</v>
      </c>
      <c r="W1098" s="293">
        <v>0</v>
      </c>
      <c r="X1098" s="236">
        <v>9399</v>
      </c>
      <c r="AF1098" s="276">
        <f t="shared" si="126"/>
        <v>75.430000000000007</v>
      </c>
      <c r="AG1098" s="276">
        <f t="shared" si="127"/>
        <v>9.33</v>
      </c>
      <c r="AH1098" s="276">
        <f t="shared" ref="AH1098:AH1111" si="130">D1098-AG1098</f>
        <v>112.968</v>
      </c>
      <c r="AI1098" s="283">
        <f t="shared" ref="AI1098:AI1111" si="131">AH1098/AF1098</f>
        <v>1.497653453533077</v>
      </c>
    </row>
    <row r="1099" spans="1:35" ht="30" x14ac:dyDescent="0.25">
      <c r="A1099" s="275">
        <f>'Profits 2016'!A6312</f>
        <v>3004940</v>
      </c>
      <c r="B1099" s="279">
        <f>'Profits 2016'!B6312</f>
        <v>42657</v>
      </c>
      <c r="C1099" s="276">
        <f>'Profits 2016'!H6312</f>
        <v>2124.63</v>
      </c>
      <c r="D1099" s="280">
        <f>'Profits 2016'!K6312</f>
        <v>1805.9355</v>
      </c>
      <c r="E1099" s="276">
        <f>'Profits 2016'!L6312</f>
        <v>1633</v>
      </c>
      <c r="F1099" s="275" t="str">
        <f>'Profits 2016'!P6312</f>
        <v>WireExpress</v>
      </c>
      <c r="G1099" s="292">
        <f>'Profits 2016'!N6312-'Profits 2016'!M6312</f>
        <v>1224.75</v>
      </c>
      <c r="H1099" s="292">
        <v>0</v>
      </c>
      <c r="I1099" s="275" t="s">
        <v>15870</v>
      </c>
      <c r="J1099" s="277">
        <v>42662</v>
      </c>
      <c r="K1099" s="277">
        <v>42667</v>
      </c>
      <c r="L1099" s="277">
        <v>42692</v>
      </c>
      <c r="M1099" s="292">
        <v>1224.75</v>
      </c>
      <c r="N1099" s="281">
        <v>9458</v>
      </c>
      <c r="O1099" s="236" t="str">
        <f>'Profits 2016'!T6312</f>
        <v>R&amp;L/DLS</v>
      </c>
      <c r="P1099" s="284" t="str">
        <f>'Profits 2016'!U6312</f>
        <v>I739538424</v>
      </c>
      <c r="Q1099" s="284" t="s">
        <v>15804</v>
      </c>
      <c r="R1099" s="276">
        <v>102.97</v>
      </c>
      <c r="S1099" s="275">
        <v>636864511</v>
      </c>
      <c r="T1099" s="279">
        <v>42664</v>
      </c>
      <c r="U1099" s="279">
        <v>42667</v>
      </c>
      <c r="V1099" s="279">
        <v>42671</v>
      </c>
      <c r="W1099" s="293">
        <v>102.97</v>
      </c>
      <c r="X1099" s="236">
        <v>9264</v>
      </c>
      <c r="AF1099" s="276">
        <f t="shared" si="126"/>
        <v>1327.72</v>
      </c>
      <c r="AG1099" s="276">
        <f t="shared" si="127"/>
        <v>1327.72</v>
      </c>
      <c r="AH1099" s="276">
        <f t="shared" si="130"/>
        <v>478.21550000000002</v>
      </c>
      <c r="AI1099" s="283">
        <f t="shared" si="131"/>
        <v>0.3601779742716838</v>
      </c>
    </row>
    <row r="1100" spans="1:35" ht="30" x14ac:dyDescent="0.25">
      <c r="A1100" s="275">
        <f>'Profits 2016'!A6313</f>
        <v>3004941</v>
      </c>
      <c r="B1100" s="279">
        <f>'Profits 2016'!B6313</f>
        <v>42657</v>
      </c>
      <c r="C1100" s="276">
        <f>'Profits 2016'!H6313</f>
        <v>133</v>
      </c>
      <c r="D1100" s="280">
        <f>'Profits 2016'!K6313</f>
        <v>118.203</v>
      </c>
      <c r="E1100" s="276">
        <f>'Profits 2016'!L6313</f>
        <v>220</v>
      </c>
      <c r="F1100" s="275" t="str">
        <f>'Profits 2016'!P6313</f>
        <v>Nassau</v>
      </c>
      <c r="G1100" s="292">
        <f>'Profits 2016'!N6313-'Profits 2016'!M6313</f>
        <v>55</v>
      </c>
      <c r="H1100" s="319"/>
      <c r="I1100" s="320"/>
      <c r="J1100" s="321"/>
      <c r="K1100" s="321"/>
      <c r="L1100" s="321"/>
      <c r="M1100" s="319"/>
      <c r="N1100" s="322"/>
      <c r="O1100" s="236" t="str">
        <f>'Profits 2016'!T6313</f>
        <v>FEDEX GROUND</v>
      </c>
      <c r="P1100" s="284" t="str">
        <f>'Profits 2016'!U6313</f>
        <v>680483360494</v>
      </c>
      <c r="Q1100" s="284" t="s">
        <v>314</v>
      </c>
      <c r="R1100" s="276">
        <v>27.8</v>
      </c>
      <c r="S1100" s="275" t="s">
        <v>15793</v>
      </c>
      <c r="T1100" s="279">
        <v>42674</v>
      </c>
      <c r="U1100" s="279">
        <v>42681</v>
      </c>
      <c r="V1100" s="279">
        <v>42685</v>
      </c>
      <c r="W1100" s="293">
        <v>0</v>
      </c>
      <c r="X1100" s="236">
        <v>9399</v>
      </c>
      <c r="AF1100" s="276">
        <f t="shared" si="126"/>
        <v>82.8</v>
      </c>
      <c r="AG1100" s="276">
        <f t="shared" si="127"/>
        <v>27.8</v>
      </c>
      <c r="AH1100" s="276">
        <f t="shared" si="130"/>
        <v>90.403000000000006</v>
      </c>
      <c r="AI1100" s="283">
        <f t="shared" si="131"/>
        <v>1.0918236714975846</v>
      </c>
    </row>
    <row r="1101" spans="1:35" ht="45" x14ac:dyDescent="0.25">
      <c r="A1101" s="275">
        <f>'Profits 2016'!A6314</f>
        <v>3004942</v>
      </c>
      <c r="B1101" s="279">
        <f>'Profits 2016'!B6314</f>
        <v>42657</v>
      </c>
      <c r="C1101" s="276">
        <f>'Profits 2016'!H6314</f>
        <v>1067</v>
      </c>
      <c r="D1101" s="280">
        <f>'Profits 2016'!K6314</f>
        <v>1043.2260000000001</v>
      </c>
      <c r="E1101" s="276">
        <f>'Profits 2016'!L6314</f>
        <v>560</v>
      </c>
      <c r="F1101" s="275" t="str">
        <f>'Profits 2016'!P6314</f>
        <v>Nassau</v>
      </c>
      <c r="G1101" s="292">
        <f>'Profits 2016'!N6314-'Profits 2016'!M6314</f>
        <v>624.4</v>
      </c>
      <c r="H1101" s="319"/>
      <c r="I1101" s="320"/>
      <c r="J1101" s="321"/>
      <c r="K1101" s="321"/>
      <c r="L1101" s="321"/>
      <c r="M1101" s="319"/>
      <c r="N1101" s="322"/>
      <c r="O1101" s="236" t="str">
        <f>'Profits 2016'!T6314</f>
        <v>PITT OHIO/ECHO</v>
      </c>
      <c r="P1101" s="284" t="str">
        <f>'Profits 2016'!U6314</f>
        <v>5014093028</v>
      </c>
      <c r="Q1101" s="284" t="s">
        <v>15767</v>
      </c>
      <c r="R1101" s="276">
        <v>79.42</v>
      </c>
      <c r="S1101" s="275" t="s">
        <v>15871</v>
      </c>
      <c r="T1101" s="279">
        <v>42669</v>
      </c>
      <c r="U1101" s="279">
        <v>42675</v>
      </c>
      <c r="V1101" s="279">
        <v>42697</v>
      </c>
      <c r="W1101" s="293">
        <v>79.42</v>
      </c>
      <c r="X1101" s="236">
        <v>9469</v>
      </c>
      <c r="AF1101" s="276">
        <f t="shared" si="126"/>
        <v>703.81999999999994</v>
      </c>
      <c r="AG1101" s="276">
        <f t="shared" si="127"/>
        <v>79.42</v>
      </c>
      <c r="AH1101" s="276">
        <f t="shared" si="130"/>
        <v>963.80600000000015</v>
      </c>
      <c r="AI1101" s="283">
        <f t="shared" si="131"/>
        <v>1.3693927424625618</v>
      </c>
    </row>
    <row r="1102" spans="1:35" ht="30" x14ac:dyDescent="0.25">
      <c r="A1102" s="275">
        <f>'Profits 2016'!A6315</f>
        <v>3004943</v>
      </c>
      <c r="B1102" s="279">
        <f>'Profits 2016'!B6315</f>
        <v>42657</v>
      </c>
      <c r="C1102" s="276">
        <f>'Profits 2016'!H6315</f>
        <v>188</v>
      </c>
      <c r="D1102" s="280">
        <f>'Profits 2016'!K6315</f>
        <v>167.20800000000003</v>
      </c>
      <c r="E1102" s="276">
        <f>'Profits 2016'!L6315</f>
        <v>0</v>
      </c>
      <c r="F1102" s="275" t="str">
        <f>'Profits 2016'!P6315</f>
        <v>Nassau</v>
      </c>
      <c r="G1102" s="292">
        <f>'Profits 2016'!N6315-'Profits 2016'!M6315</f>
        <v>0</v>
      </c>
      <c r="H1102" s="319"/>
      <c r="I1102" s="320"/>
      <c r="J1102" s="321"/>
      <c r="K1102" s="321"/>
      <c r="L1102" s="321"/>
      <c r="M1102" s="319"/>
      <c r="N1102" s="322"/>
      <c r="O1102" s="236" t="str">
        <f>'Profits 2016'!T6315</f>
        <v>FEDEX GROUND</v>
      </c>
      <c r="P1102" s="284" t="str">
        <f>'Profits 2016'!U6315</f>
        <v>702723290040</v>
      </c>
      <c r="Q1102" s="284" t="s">
        <v>314</v>
      </c>
      <c r="R1102" s="276">
        <v>41.29</v>
      </c>
      <c r="S1102" s="275" t="s">
        <v>15793</v>
      </c>
      <c r="T1102" s="279">
        <v>42674</v>
      </c>
      <c r="U1102" s="279">
        <v>42681</v>
      </c>
      <c r="V1102" s="279">
        <v>42685</v>
      </c>
      <c r="W1102" s="293">
        <v>0</v>
      </c>
      <c r="X1102" s="236">
        <v>9399</v>
      </c>
      <c r="AF1102" s="276">
        <f t="shared" si="126"/>
        <v>41.29</v>
      </c>
      <c r="AG1102" s="276">
        <f t="shared" si="127"/>
        <v>41.29</v>
      </c>
      <c r="AH1102" s="276">
        <f t="shared" si="130"/>
        <v>125.91800000000003</v>
      </c>
      <c r="AI1102" s="283">
        <f t="shared" si="131"/>
        <v>3.0496003875030282</v>
      </c>
    </row>
    <row r="1103" spans="1:35" ht="30" x14ac:dyDescent="0.25">
      <c r="A1103" s="275">
        <f>'Profits 2016'!A6316</f>
        <v>3004944</v>
      </c>
      <c r="B1103" s="279">
        <f>'Profits 2016'!B6316</f>
        <v>42657</v>
      </c>
      <c r="C1103" s="276">
        <f>'Profits 2016'!H6316</f>
        <v>165.06</v>
      </c>
      <c r="D1103" s="280">
        <f>'Profits 2016'!K6316</f>
        <v>146.76846</v>
      </c>
      <c r="E1103" s="276">
        <f>'Profits 2016'!L6316</f>
        <v>280</v>
      </c>
      <c r="F1103" s="275" t="str">
        <f>'Profits 2016'!P6316</f>
        <v>A-Z</v>
      </c>
      <c r="G1103" s="292">
        <f>'Profits 2016'!N6316-'Profits 2016'!M6316</f>
        <v>70</v>
      </c>
      <c r="H1103" s="292">
        <v>0</v>
      </c>
      <c r="I1103" s="275">
        <v>405999</v>
      </c>
      <c r="J1103" s="277">
        <v>42662</v>
      </c>
      <c r="K1103" s="277">
        <v>42667</v>
      </c>
      <c r="O1103" s="236" t="str">
        <f>'Profits 2016'!T6316</f>
        <v>FEDEX GROUND</v>
      </c>
      <c r="P1103" s="284" t="str">
        <f>'Profits 2016'!U6316</f>
        <v>707060227160</v>
      </c>
      <c r="Q1103" s="284" t="s">
        <v>314</v>
      </c>
      <c r="R1103" s="276">
        <v>19.62</v>
      </c>
      <c r="S1103" s="275" t="s">
        <v>15793</v>
      </c>
      <c r="T1103" s="279">
        <v>42674</v>
      </c>
      <c r="U1103" s="279">
        <v>42681</v>
      </c>
      <c r="V1103" s="279">
        <v>42685</v>
      </c>
      <c r="W1103" s="293">
        <v>0</v>
      </c>
      <c r="X1103" s="236">
        <v>9399</v>
      </c>
      <c r="AF1103" s="276">
        <f t="shared" si="126"/>
        <v>89.62</v>
      </c>
      <c r="AG1103" s="276">
        <f t="shared" si="127"/>
        <v>19.62</v>
      </c>
      <c r="AH1103" s="276">
        <f t="shared" si="130"/>
        <v>127.14846</v>
      </c>
      <c r="AI1103" s="283">
        <f t="shared" si="131"/>
        <v>1.4187509484490068</v>
      </c>
    </row>
    <row r="1104" spans="1:35" ht="30" x14ac:dyDescent="0.25">
      <c r="A1104" s="275">
        <f>'Profits 2016'!A6317</f>
        <v>3004945</v>
      </c>
      <c r="B1104" s="279">
        <f>'Profits 2016'!B6317</f>
        <v>42657</v>
      </c>
      <c r="C1104" s="276">
        <f>'Profits 2016'!H6317</f>
        <v>128.80000000000001</v>
      </c>
      <c r="D1104" s="280">
        <f>'Profits 2016'!K6317</f>
        <v>114.46080000000001</v>
      </c>
      <c r="E1104" s="276">
        <f>'Profits 2016'!L6317</f>
        <v>990</v>
      </c>
      <c r="F1104" s="275" t="str">
        <f>'Profits 2016'!P6317</f>
        <v>Nassau</v>
      </c>
      <c r="G1104" s="292">
        <f>'Profits 2016'!N6317-'Profits 2016'!M6317</f>
        <v>49.5</v>
      </c>
      <c r="H1104" s="319"/>
      <c r="I1104" s="320"/>
      <c r="J1104" s="321"/>
      <c r="K1104" s="321"/>
      <c r="L1104" s="321"/>
      <c r="M1104" s="319"/>
      <c r="N1104" s="322"/>
      <c r="O1104" s="236" t="str">
        <f>'Profits 2016'!T6317</f>
        <v>FEDEX GROUND</v>
      </c>
      <c r="P1104" s="284" t="str">
        <f>'Profits 2016'!U6317</f>
        <v>702723290061</v>
      </c>
      <c r="Q1104" s="284" t="s">
        <v>314</v>
      </c>
      <c r="R1104" s="276">
        <v>28.52</v>
      </c>
      <c r="S1104" s="275" t="s">
        <v>15793</v>
      </c>
      <c r="T1104" s="279">
        <v>42674</v>
      </c>
      <c r="U1104" s="279">
        <v>42681</v>
      </c>
      <c r="V1104" s="279">
        <v>42685</v>
      </c>
      <c r="W1104" s="293">
        <v>0</v>
      </c>
      <c r="X1104" s="236">
        <v>9399</v>
      </c>
      <c r="AF1104" s="276">
        <f t="shared" si="126"/>
        <v>78.02</v>
      </c>
      <c r="AG1104" s="276">
        <f t="shared" si="127"/>
        <v>28.52</v>
      </c>
      <c r="AH1104" s="276">
        <f t="shared" si="130"/>
        <v>85.94080000000001</v>
      </c>
      <c r="AI1104" s="283">
        <f t="shared" si="131"/>
        <v>1.1015226864906436</v>
      </c>
    </row>
    <row r="1105" spans="1:35" ht="30" x14ac:dyDescent="0.25">
      <c r="A1105" s="275">
        <f>'Profits 2016'!A6318</f>
        <v>3004946</v>
      </c>
      <c r="B1105" s="279">
        <f>'Profits 2016'!B6318</f>
        <v>42657</v>
      </c>
      <c r="C1105" s="276">
        <f>'Profits 2016'!H6318</f>
        <v>145</v>
      </c>
      <c r="D1105" s="280">
        <f>'Profits 2016'!K6318</f>
        <v>128.89499999999998</v>
      </c>
      <c r="E1105" s="276">
        <f>'Profits 2016'!L6318</f>
        <v>375</v>
      </c>
      <c r="F1105" s="275" t="str">
        <f>'Profits 2016'!P6318</f>
        <v>Nassau</v>
      </c>
      <c r="G1105" s="292">
        <f>'Profits 2016'!N6318-'Profits 2016'!M6318</f>
        <v>52.5</v>
      </c>
      <c r="H1105" s="319"/>
      <c r="I1105" s="320"/>
      <c r="J1105" s="321"/>
      <c r="K1105" s="321"/>
      <c r="L1105" s="321"/>
      <c r="M1105" s="319"/>
      <c r="N1105" s="322"/>
      <c r="O1105" s="236" t="str">
        <f>'Profits 2016'!T6318</f>
        <v>FEDEX GROUND</v>
      </c>
      <c r="P1105" s="284" t="str">
        <f>'Profits 2016'!U6318</f>
        <v>702723290072</v>
      </c>
      <c r="Q1105" s="284" t="s">
        <v>314</v>
      </c>
      <c r="R1105" s="276">
        <v>29.22</v>
      </c>
      <c r="S1105" s="275" t="s">
        <v>15793</v>
      </c>
      <c r="T1105" s="279">
        <v>42674</v>
      </c>
      <c r="U1105" s="279">
        <v>42681</v>
      </c>
      <c r="V1105" s="279">
        <v>42685</v>
      </c>
      <c r="W1105" s="293">
        <v>0</v>
      </c>
      <c r="X1105" s="236">
        <v>9399</v>
      </c>
      <c r="AF1105" s="276">
        <f t="shared" si="126"/>
        <v>81.72</v>
      </c>
      <c r="AG1105" s="276">
        <f t="shared" si="127"/>
        <v>29.22</v>
      </c>
      <c r="AH1105" s="276">
        <f t="shared" si="130"/>
        <v>99.674999999999983</v>
      </c>
      <c r="AI1105" s="283">
        <f t="shared" si="131"/>
        <v>1.2197136563876649</v>
      </c>
    </row>
    <row r="1106" spans="1:35" ht="30" x14ac:dyDescent="0.25">
      <c r="A1106" s="275">
        <f>'Profits 2016'!A6319</f>
        <v>3004947</v>
      </c>
      <c r="B1106" s="279">
        <f>'Profits 2016'!B6319</f>
        <v>42657</v>
      </c>
      <c r="C1106" s="276">
        <f>'Profits 2016'!H6319</f>
        <v>970</v>
      </c>
      <c r="D1106" s="280">
        <f>'Profits 2016'!K6319</f>
        <v>951.27</v>
      </c>
      <c r="E1106" s="276">
        <f>'Profits 2016'!L6319</f>
        <v>570</v>
      </c>
      <c r="F1106" s="275" t="str">
        <f>'Profits 2016'!P6319</f>
        <v>Nassau</v>
      </c>
      <c r="G1106" s="292">
        <f>'Profits 2016'!N6319-'Profits 2016'!M6319</f>
        <v>570</v>
      </c>
      <c r="H1106" s="319"/>
      <c r="I1106" s="320"/>
      <c r="J1106" s="321"/>
      <c r="K1106" s="321"/>
      <c r="L1106" s="321"/>
      <c r="M1106" s="319"/>
      <c r="N1106" s="322"/>
      <c r="O1106" s="236" t="str">
        <f>'Profits 2016'!T6319</f>
        <v>NEW PENN</v>
      </c>
      <c r="P1106" s="284" t="str">
        <f>'Profits 2016'!U6319</f>
        <v>88737633-3</v>
      </c>
      <c r="Q1106" s="284" t="s">
        <v>15751</v>
      </c>
      <c r="R1106" s="276">
        <v>127.98</v>
      </c>
      <c r="S1106" s="275">
        <v>10045837</v>
      </c>
      <c r="T1106" s="279">
        <v>42660</v>
      </c>
      <c r="U1106" s="279">
        <v>42664</v>
      </c>
      <c r="V1106" s="279">
        <v>42671</v>
      </c>
      <c r="W1106" s="293">
        <v>127.98</v>
      </c>
      <c r="X1106" s="236">
        <v>9245</v>
      </c>
      <c r="AF1106" s="276">
        <f t="shared" si="126"/>
        <v>697.98</v>
      </c>
      <c r="AG1106" s="276">
        <f t="shared" si="127"/>
        <v>127.98</v>
      </c>
      <c r="AH1106" s="276">
        <f t="shared" si="130"/>
        <v>823.29</v>
      </c>
      <c r="AI1106" s="283">
        <f t="shared" si="131"/>
        <v>1.1795323648242069</v>
      </c>
    </row>
    <row r="1107" spans="1:35" ht="30" x14ac:dyDescent="0.25">
      <c r="A1107" s="275">
        <f>'Profits 2016'!A6320</f>
        <v>3004948</v>
      </c>
      <c r="B1107" s="279">
        <f>'Profits 2016'!B6320</f>
        <v>42660</v>
      </c>
      <c r="C1107" s="276">
        <f>'Profits 2016'!H6320</f>
        <v>126.86</v>
      </c>
      <c r="D1107" s="280">
        <f>'Profits 2016'!K6320</f>
        <v>112.73226</v>
      </c>
      <c r="E1107" s="276">
        <f>'Profits 2016'!L6320</f>
        <v>510</v>
      </c>
      <c r="F1107" s="275" t="str">
        <f>'Profits 2016'!P6320</f>
        <v>Nassau</v>
      </c>
      <c r="G1107" s="292">
        <f>'Profits 2016'!N6320-'Profits 2016'!M6320</f>
        <v>51.000000000000007</v>
      </c>
      <c r="H1107" s="319"/>
      <c r="I1107" s="320"/>
      <c r="J1107" s="321"/>
      <c r="K1107" s="321"/>
      <c r="L1107" s="321"/>
      <c r="M1107" s="319"/>
      <c r="N1107" s="322"/>
      <c r="O1107" s="236" t="str">
        <f>'Profits 2016'!T6320</f>
        <v>FEDEX GROUND</v>
      </c>
      <c r="P1107" s="284" t="str">
        <f>'Profits 2016'!U6320</f>
        <v>702723290109</v>
      </c>
      <c r="Q1107" s="284" t="s">
        <v>314</v>
      </c>
      <c r="R1107" s="276">
        <v>32.270000000000003</v>
      </c>
      <c r="S1107" s="275" t="s">
        <v>15793</v>
      </c>
      <c r="T1107" s="279">
        <v>42674</v>
      </c>
      <c r="U1107" s="279">
        <v>42681</v>
      </c>
      <c r="V1107" s="279">
        <v>42685</v>
      </c>
      <c r="W1107" s="293">
        <v>0</v>
      </c>
      <c r="X1107" s="236">
        <v>9399</v>
      </c>
      <c r="AF1107" s="276">
        <f t="shared" si="126"/>
        <v>83.27000000000001</v>
      </c>
      <c r="AG1107" s="276">
        <f t="shared" si="127"/>
        <v>32.270000000000003</v>
      </c>
      <c r="AH1107" s="276">
        <f t="shared" si="130"/>
        <v>80.462259999999986</v>
      </c>
      <c r="AI1107" s="283">
        <f t="shared" si="131"/>
        <v>0.96628149393539065</v>
      </c>
    </row>
    <row r="1108" spans="1:35" ht="30" x14ac:dyDescent="0.25">
      <c r="A1108" s="275">
        <f>'Profits 2016'!A6321</f>
        <v>3004949</v>
      </c>
      <c r="B1108" s="279">
        <f>'Profits 2016'!B6321</f>
        <v>42660</v>
      </c>
      <c r="C1108" s="276">
        <f>'Profits 2016'!H6321</f>
        <v>1001</v>
      </c>
      <c r="D1108" s="280">
        <f>'Profits 2016'!K6321</f>
        <v>978.678</v>
      </c>
      <c r="E1108" s="276">
        <f>'Profits 2016'!L6321</f>
        <v>527</v>
      </c>
      <c r="F1108" s="275" t="str">
        <f>'Profits 2016'!P6321</f>
        <v>Priority</v>
      </c>
      <c r="G1108" s="292">
        <f>'Profits 2016'!N6321-'Profits 2016'!M6321</f>
        <v>434.77499999999998</v>
      </c>
      <c r="H1108" s="292">
        <v>0</v>
      </c>
      <c r="I1108" s="275">
        <v>1067428</v>
      </c>
      <c r="J1108" s="277">
        <v>42661</v>
      </c>
      <c r="K1108" s="277">
        <v>42667</v>
      </c>
      <c r="O1108" s="236" t="str">
        <f>'Profits 2016'!T6321</f>
        <v>FEDEX PRIORITY</v>
      </c>
      <c r="P1108" s="284" t="str">
        <f>'Profits 2016'!U6321</f>
        <v xml:space="preserve">	3932804971</v>
      </c>
      <c r="Q1108" s="284" t="s">
        <v>15740</v>
      </c>
      <c r="R1108" s="276">
        <v>207.08</v>
      </c>
      <c r="S1108" s="275">
        <v>1067428</v>
      </c>
      <c r="T1108" s="279">
        <v>42661</v>
      </c>
      <c r="U1108" s="279">
        <v>42667</v>
      </c>
      <c r="AF1108" s="276">
        <f t="shared" si="126"/>
        <v>641.85500000000002</v>
      </c>
      <c r="AG1108" s="276">
        <f t="shared" si="127"/>
        <v>207.08</v>
      </c>
      <c r="AH1108" s="276">
        <f t="shared" si="130"/>
        <v>771.59799999999996</v>
      </c>
      <c r="AI1108" s="283">
        <f t="shared" si="131"/>
        <v>1.2021375544320756</v>
      </c>
    </row>
    <row r="1109" spans="1:35" x14ac:dyDescent="0.25">
      <c r="A1109" s="275">
        <f>'Profits 2016'!A6322</f>
        <v>0</v>
      </c>
      <c r="B1109" s="279">
        <f>'Profits 2016'!B6322</f>
        <v>0</v>
      </c>
      <c r="C1109" s="276">
        <f>'Profits 2016'!H6322</f>
        <v>0</v>
      </c>
      <c r="D1109" s="280">
        <f>'Profits 2016'!K6322</f>
        <v>0</v>
      </c>
      <c r="E1109" s="276">
        <f>'Profits 2016'!L6322</f>
        <v>390</v>
      </c>
      <c r="F1109" s="275" t="str">
        <f>'Profits 2016'!P6322</f>
        <v>Priority</v>
      </c>
      <c r="G1109" s="292">
        <f>'Profits 2016'!N6322-'Profits 2016'!M6322</f>
        <v>245.7</v>
      </c>
      <c r="H1109" s="292">
        <v>0</v>
      </c>
      <c r="I1109" s="275">
        <v>1067428</v>
      </c>
      <c r="J1109" s="277">
        <v>42661</v>
      </c>
      <c r="K1109" s="277">
        <v>42667</v>
      </c>
      <c r="O1109" s="236">
        <f>'Profits 2016'!T6322</f>
        <v>0</v>
      </c>
      <c r="P1109" s="284">
        <f>'Profits 2016'!U6322</f>
        <v>0</v>
      </c>
      <c r="Q1109" s="284" t="s">
        <v>15740</v>
      </c>
      <c r="R1109" s="276">
        <v>0</v>
      </c>
      <c r="S1109" s="275">
        <v>1067428</v>
      </c>
      <c r="T1109" s="279">
        <v>42661</v>
      </c>
      <c r="U1109" s="279">
        <v>42667</v>
      </c>
      <c r="AF1109" s="276">
        <f t="shared" si="126"/>
        <v>245.7</v>
      </c>
      <c r="AG1109" s="276">
        <f t="shared" si="127"/>
        <v>0</v>
      </c>
      <c r="AH1109" s="276">
        <f t="shared" si="130"/>
        <v>0</v>
      </c>
      <c r="AI1109" s="283">
        <f t="shared" si="131"/>
        <v>0</v>
      </c>
    </row>
    <row r="1110" spans="1:35" ht="30" x14ac:dyDescent="0.25">
      <c r="A1110" s="275">
        <f>'Profits 2016'!A6323</f>
        <v>3004950</v>
      </c>
      <c r="B1110" s="279">
        <f>'Profits 2016'!B6323</f>
        <v>42660</v>
      </c>
      <c r="C1110" s="276">
        <f>'Profits 2016'!H6323</f>
        <v>152.38</v>
      </c>
      <c r="D1110" s="280">
        <f>'Profits 2016'!K6323</f>
        <v>135.47057999999998</v>
      </c>
      <c r="E1110" s="276">
        <f>'Profits 2016'!L6323</f>
        <v>424</v>
      </c>
      <c r="F1110" s="275" t="str">
        <f>'Profits 2016'!P6323</f>
        <v>Nassau</v>
      </c>
      <c r="G1110" s="292">
        <f>'Profits 2016'!N6323-'Profits 2016'!M6323</f>
        <v>53</v>
      </c>
      <c r="H1110" s="319"/>
      <c r="I1110" s="320"/>
      <c r="J1110" s="321"/>
      <c r="K1110" s="321"/>
      <c r="L1110" s="321"/>
      <c r="M1110" s="319"/>
      <c r="N1110" s="322"/>
      <c r="O1110" s="236" t="str">
        <f>'Profits 2016'!T6323</f>
        <v>FEDEX GROUND</v>
      </c>
      <c r="P1110" s="284" t="str">
        <f>'Profits 2016'!U6323</f>
        <v>702723290186</v>
      </c>
      <c r="Q1110" s="284" t="s">
        <v>314</v>
      </c>
      <c r="R1110" s="276">
        <v>24.16</v>
      </c>
      <c r="S1110" s="275" t="s">
        <v>15793</v>
      </c>
      <c r="T1110" s="279">
        <v>42674</v>
      </c>
      <c r="U1110" s="279">
        <v>42681</v>
      </c>
      <c r="V1110" s="279">
        <v>42685</v>
      </c>
      <c r="W1110" s="293">
        <v>0</v>
      </c>
      <c r="X1110" s="236">
        <v>9399</v>
      </c>
      <c r="AF1110" s="276">
        <f t="shared" si="126"/>
        <v>77.16</v>
      </c>
      <c r="AG1110" s="276">
        <f t="shared" si="127"/>
        <v>24.16</v>
      </c>
      <c r="AH1110" s="276">
        <f t="shared" si="130"/>
        <v>111.31057999999999</v>
      </c>
      <c r="AI1110" s="283">
        <f t="shared" si="131"/>
        <v>1.442594349403836</v>
      </c>
    </row>
    <row r="1111" spans="1:35" ht="30" x14ac:dyDescent="0.25">
      <c r="A1111" s="275">
        <f>'Profits 2016'!A6324</f>
        <v>3004951</v>
      </c>
      <c r="B1111" s="279">
        <f>'Profits 2016'!B6324</f>
        <v>42660</v>
      </c>
      <c r="C1111" s="276">
        <f>'Profits 2016'!H6324</f>
        <v>112.63</v>
      </c>
      <c r="D1111" s="280">
        <f>'Profits 2016'!K6324</f>
        <v>100.05332999999999</v>
      </c>
      <c r="E1111" s="276">
        <f>'Profits 2016'!L6324</f>
        <v>510</v>
      </c>
      <c r="F1111" s="275" t="str">
        <f>'Profits 2016'!P6324</f>
        <v>Nassau</v>
      </c>
      <c r="G1111" s="292">
        <f>'Profits 2016'!N6324-'Profits 2016'!M6324</f>
        <v>50.999999999999993</v>
      </c>
      <c r="H1111" s="319"/>
      <c r="I1111" s="320"/>
      <c r="J1111" s="321"/>
      <c r="K1111" s="321"/>
      <c r="L1111" s="321"/>
      <c r="M1111" s="319"/>
      <c r="N1111" s="322"/>
      <c r="O1111" s="236" t="str">
        <f>'Profits 2016'!T6324</f>
        <v>FEDEX GROUND</v>
      </c>
      <c r="P1111" s="284" t="str">
        <f>'Profits 2016'!U6324</f>
        <v>702723290083</v>
      </c>
      <c r="Q1111" s="284" t="s">
        <v>314</v>
      </c>
      <c r="R1111" s="276">
        <v>35.6</v>
      </c>
      <c r="S1111" s="275" t="s">
        <v>15793</v>
      </c>
      <c r="T1111" s="279">
        <v>42674</v>
      </c>
      <c r="U1111" s="279">
        <v>42681</v>
      </c>
      <c r="V1111" s="279">
        <v>42685</v>
      </c>
      <c r="W1111" s="293">
        <v>0</v>
      </c>
      <c r="X1111" s="236">
        <v>9399</v>
      </c>
      <c r="AF1111" s="276">
        <f t="shared" si="126"/>
        <v>86.6</v>
      </c>
      <c r="AG1111" s="276">
        <f t="shared" si="127"/>
        <v>35.6</v>
      </c>
      <c r="AH1111" s="276">
        <f t="shared" si="130"/>
        <v>64.453329999999994</v>
      </c>
      <c r="AI1111" s="283">
        <f t="shared" si="131"/>
        <v>0.74426478060046186</v>
      </c>
    </row>
    <row r="1112" spans="1:35" x14ac:dyDescent="0.25">
      <c r="A1112" s="275">
        <f>'Profits 2016'!A6325</f>
        <v>3004952</v>
      </c>
      <c r="B1112" s="279">
        <f>'Profits 2016'!B6325</f>
        <v>42660</v>
      </c>
      <c r="C1112" s="276">
        <f>'Profits 2016'!H6325</f>
        <v>700</v>
      </c>
      <c r="D1112" s="280">
        <f>'Profits 2016'!K6325</f>
        <v>623.4</v>
      </c>
      <c r="E1112" s="276">
        <f>'Profits 2016'!L6325</f>
        <v>300</v>
      </c>
      <c r="F1112" s="275" t="str">
        <f>'Profits 2016'!P6325</f>
        <v>Thea</v>
      </c>
      <c r="G1112" s="292">
        <f>'Profits 2016'!N6325-'Profits 2016'!M6325</f>
        <v>300</v>
      </c>
      <c r="H1112" s="319"/>
      <c r="I1112" s="320"/>
      <c r="J1112" s="321"/>
      <c r="K1112" s="321"/>
      <c r="L1112" s="321"/>
      <c r="M1112" s="319"/>
      <c r="N1112" s="322"/>
      <c r="O1112" s="236" t="str">
        <f>'Profits 2016'!T6325</f>
        <v>FEDEX/DLS</v>
      </c>
      <c r="P1112" s="284" t="str">
        <f>'Profits 2016'!U6325</f>
        <v>371700280-0</v>
      </c>
      <c r="Q1112" s="284" t="s">
        <v>15804</v>
      </c>
      <c r="R1112" s="276">
        <v>176.73</v>
      </c>
      <c r="S1112" s="275">
        <v>636872359</v>
      </c>
      <c r="T1112" s="279">
        <v>42667</v>
      </c>
      <c r="U1112" s="279">
        <v>42671</v>
      </c>
      <c r="V1112" s="279">
        <v>42678</v>
      </c>
      <c r="W1112" s="293">
        <v>176.73</v>
      </c>
      <c r="X1112" s="236">
        <v>9341</v>
      </c>
      <c r="AF1112" s="276">
        <f t="shared" ref="AF1112:AF1128" si="132">G1112+H1113+R1112+Y1112</f>
        <v>476.73</v>
      </c>
      <c r="AG1112" s="276">
        <f t="shared" ref="AG1112:AG1128" si="133">M1112+R1112+Y1112</f>
        <v>176.73</v>
      </c>
      <c r="AH1112" s="276">
        <f t="shared" ref="AH1112:AH1128" si="134">D1112-AG1112</f>
        <v>446.66999999999996</v>
      </c>
      <c r="AI1112" s="283">
        <f t="shared" ref="AI1112:AI1128" si="135">AH1112/AF1112</f>
        <v>0.93694544081555586</v>
      </c>
    </row>
    <row r="1113" spans="1:35" ht="30" x14ac:dyDescent="0.25">
      <c r="A1113" s="275">
        <f>'Profits 2016'!A6326</f>
        <v>3004953</v>
      </c>
      <c r="B1113" s="279">
        <f>'Profits 2016'!B6326</f>
        <v>42660</v>
      </c>
      <c r="C1113" s="276">
        <f>'Profits 2016'!H6326</f>
        <v>156.13</v>
      </c>
      <c r="D1113" s="280">
        <f>'Profits 2016'!K6326</f>
        <v>138.81182999999999</v>
      </c>
      <c r="E1113" s="276">
        <f>'Profits 2016'!L6326</f>
        <v>510</v>
      </c>
      <c r="F1113" s="275" t="str">
        <f>'Profits 2016'!P6326</f>
        <v>Nassau</v>
      </c>
      <c r="G1113" s="292">
        <f>'Profits 2016'!N6326-'Profits 2016'!M6326</f>
        <v>76.5</v>
      </c>
      <c r="H1113" s="319"/>
      <c r="I1113" s="320"/>
      <c r="J1113" s="321"/>
      <c r="K1113" s="321"/>
      <c r="L1113" s="321"/>
      <c r="M1113" s="319"/>
      <c r="N1113" s="322"/>
      <c r="O1113" s="236" t="str">
        <f>'Profits 2016'!T6326</f>
        <v>FEDEX GROUND</v>
      </c>
      <c r="P1113" s="284" t="str">
        <f>'Profits 2016'!U6326</f>
        <v>702723290094</v>
      </c>
      <c r="Q1113" s="284" t="s">
        <v>314</v>
      </c>
      <c r="R1113" s="276">
        <v>26.72</v>
      </c>
      <c r="S1113" s="275" t="s">
        <v>15793</v>
      </c>
      <c r="T1113" s="279">
        <v>42674</v>
      </c>
      <c r="U1113" s="279">
        <v>42681</v>
      </c>
      <c r="V1113" s="279">
        <v>42685</v>
      </c>
      <c r="W1113" s="293">
        <v>0</v>
      </c>
      <c r="X1113" s="236">
        <v>9399</v>
      </c>
      <c r="AF1113" s="276">
        <f t="shared" si="132"/>
        <v>103.22</v>
      </c>
      <c r="AG1113" s="276">
        <f t="shared" si="133"/>
        <v>26.72</v>
      </c>
      <c r="AH1113" s="276">
        <f t="shared" si="134"/>
        <v>112.09182999999999</v>
      </c>
      <c r="AI1113" s="283">
        <f t="shared" si="135"/>
        <v>1.0859506878511915</v>
      </c>
    </row>
    <row r="1114" spans="1:35" x14ac:dyDescent="0.25">
      <c r="A1114" s="275">
        <f>'Profits 2016'!A6327</f>
        <v>3004954</v>
      </c>
      <c r="B1114" s="279">
        <f>'Profits 2016'!B6327</f>
        <v>42660</v>
      </c>
      <c r="C1114" s="276">
        <f>'Profits 2016'!H6327</f>
        <v>818.61</v>
      </c>
      <c r="D1114" s="280">
        <f>'Profits 2016'!K6327</f>
        <v>729.08150999999998</v>
      </c>
      <c r="E1114" s="276">
        <f>'Profits 2016'!L6327</f>
        <v>424</v>
      </c>
      <c r="F1114" s="275" t="str">
        <f>'Profits 2016'!P6327</f>
        <v>Nassau</v>
      </c>
      <c r="G1114" s="292">
        <f>'Profits 2016'!N6327-'Profits 2016'!M6327</f>
        <v>339.20000000000005</v>
      </c>
      <c r="H1114" s="319"/>
      <c r="I1114" s="320"/>
      <c r="J1114" s="321"/>
      <c r="K1114" s="321"/>
      <c r="L1114" s="321"/>
      <c r="M1114" s="319"/>
      <c r="N1114" s="322"/>
      <c r="O1114" s="236" t="str">
        <f>'Profits 2016'!T6327</f>
        <v>R&amp;L/ECHO</v>
      </c>
      <c r="P1114" s="284" t="str">
        <f>'Profits 2016'!U6327</f>
        <v>68564875-5</v>
      </c>
      <c r="Q1114" s="284" t="s">
        <v>15767</v>
      </c>
      <c r="R1114" s="276">
        <v>114.51</v>
      </c>
      <c r="S1114" s="275" t="s">
        <v>15872</v>
      </c>
      <c r="T1114" s="279">
        <v>42669</v>
      </c>
      <c r="U1114" s="279">
        <v>42675</v>
      </c>
      <c r="V1114" s="279">
        <v>42697</v>
      </c>
      <c r="W1114" s="293">
        <v>114.51</v>
      </c>
      <c r="X1114" s="236">
        <v>9468</v>
      </c>
      <c r="AF1114" s="276">
        <f t="shared" si="132"/>
        <v>453.71000000000004</v>
      </c>
      <c r="AG1114" s="276">
        <f t="shared" si="133"/>
        <v>114.51</v>
      </c>
      <c r="AH1114" s="276">
        <f t="shared" si="134"/>
        <v>614.57150999999999</v>
      </c>
      <c r="AI1114" s="283">
        <f t="shared" si="135"/>
        <v>1.3545469793480416</v>
      </c>
    </row>
    <row r="1115" spans="1:35" ht="30" x14ac:dyDescent="0.25">
      <c r="A1115" s="275">
        <f>'Profits 2016'!A6328</f>
        <v>3004955</v>
      </c>
      <c r="B1115" s="279">
        <f>'Profits 2016'!B6328</f>
        <v>42660</v>
      </c>
      <c r="C1115" s="276">
        <f>'Profits 2016'!H6328</f>
        <v>85.15</v>
      </c>
      <c r="D1115" s="280">
        <f>'Profits 2016'!K6328</f>
        <v>75.568650000000005</v>
      </c>
      <c r="E1115" s="276">
        <f>'Profits 2016'!L6328</f>
        <v>1092</v>
      </c>
      <c r="F1115" s="275" t="str">
        <f>'Profits 2016'!P6328</f>
        <v>Priority</v>
      </c>
      <c r="G1115" s="292">
        <f>'Profits 2016'!N6328-'Profits 2016'!M6328</f>
        <v>48.047999999999988</v>
      </c>
      <c r="H1115" s="331">
        <v>0</v>
      </c>
      <c r="I1115" s="332">
        <v>1067054</v>
      </c>
      <c r="J1115" s="333">
        <v>42661</v>
      </c>
      <c r="K1115" s="333">
        <v>42667</v>
      </c>
      <c r="L1115" s="333"/>
      <c r="M1115" s="331"/>
      <c r="N1115" s="334"/>
      <c r="O1115" s="236" t="str">
        <f>'Profits 2016'!T6328</f>
        <v>FEDEX GROUND</v>
      </c>
      <c r="P1115" s="284" t="str">
        <f>'Profits 2016'!U6328</f>
        <v>706898123540</v>
      </c>
      <c r="Q1115" s="284" t="s">
        <v>15740</v>
      </c>
      <c r="R1115" s="276">
        <v>34.17</v>
      </c>
      <c r="S1115" s="275">
        <v>1067054</v>
      </c>
      <c r="T1115" s="279">
        <v>42661</v>
      </c>
      <c r="U1115" s="279">
        <v>42667</v>
      </c>
      <c r="AF1115" s="276">
        <f t="shared" si="132"/>
        <v>82.217999999999989</v>
      </c>
      <c r="AG1115" s="276">
        <f t="shared" si="133"/>
        <v>34.17</v>
      </c>
      <c r="AH1115" s="276">
        <f t="shared" si="134"/>
        <v>41.398650000000004</v>
      </c>
      <c r="AI1115" s="283">
        <f t="shared" si="135"/>
        <v>0.50352295117857415</v>
      </c>
    </row>
    <row r="1116" spans="1:35" ht="30" x14ac:dyDescent="0.25">
      <c r="A1116" s="275">
        <f>'Profits 2016'!A6329</f>
        <v>3004956</v>
      </c>
      <c r="B1116" s="279">
        <f>'Profits 2016'!B6329</f>
        <v>42660</v>
      </c>
      <c r="C1116" s="276">
        <f>'Profits 2016'!H6329</f>
        <v>454.77</v>
      </c>
      <c r="D1116" s="280">
        <f>'Profits 2016'!K6329</f>
        <v>404.90006999999997</v>
      </c>
      <c r="E1116" s="276">
        <f>'Profits 2016'!L6329</f>
        <v>300</v>
      </c>
      <c r="F1116" s="275" t="str">
        <f>'Profits 2016'!P6329</f>
        <v>Thea</v>
      </c>
      <c r="G1116" s="292">
        <f>'Profits 2016'!N6329-'Profits 2016'!M6329</f>
        <v>142.5</v>
      </c>
      <c r="H1116" s="319"/>
      <c r="I1116" s="320"/>
      <c r="J1116" s="321"/>
      <c r="K1116" s="321"/>
      <c r="L1116" s="321"/>
      <c r="M1116" s="319"/>
      <c r="N1116" s="322"/>
      <c r="O1116" s="236" t="str">
        <f>'Profits 2016'!T6329</f>
        <v>FEDEX GROUND</v>
      </c>
      <c r="P1116" s="284" t="str">
        <f>'Profits 2016'!U6329</f>
        <v>675157530893</v>
      </c>
      <c r="Q1116" s="284" t="s">
        <v>314</v>
      </c>
      <c r="R1116" s="276">
        <v>38.71</v>
      </c>
      <c r="S1116" s="275" t="s">
        <v>15793</v>
      </c>
      <c r="T1116" s="279">
        <v>42674</v>
      </c>
      <c r="U1116" s="279">
        <v>42681</v>
      </c>
      <c r="V1116" s="279">
        <v>42685</v>
      </c>
      <c r="W1116" s="293">
        <v>0</v>
      </c>
      <c r="X1116" s="236">
        <v>9399</v>
      </c>
      <c r="AF1116" s="276">
        <f t="shared" si="132"/>
        <v>181.21</v>
      </c>
      <c r="AG1116" s="276">
        <f t="shared" si="133"/>
        <v>38.71</v>
      </c>
      <c r="AH1116" s="276">
        <f t="shared" si="134"/>
        <v>366.19006999999999</v>
      </c>
      <c r="AI1116" s="283">
        <f t="shared" si="135"/>
        <v>2.0208049776502399</v>
      </c>
    </row>
    <row r="1117" spans="1:35" ht="30" x14ac:dyDescent="0.25">
      <c r="A1117" s="275">
        <f>'Profits 2016'!A6330</f>
        <v>3004957</v>
      </c>
      <c r="B1117" s="279">
        <f>'Profits 2016'!B6330</f>
        <v>42660</v>
      </c>
      <c r="C1117" s="276">
        <f>'Profits 2016'!H6330</f>
        <v>483.77</v>
      </c>
      <c r="D1117" s="280">
        <f>'Profits 2016'!K6330</f>
        <v>430.73906999999997</v>
      </c>
      <c r="E1117" s="276">
        <f>'Profits 2016'!L6330</f>
        <v>2150</v>
      </c>
      <c r="F1117" s="275" t="str">
        <f>'Profits 2016'!P6330</f>
        <v>Nassau</v>
      </c>
      <c r="G1117" s="292">
        <f>'Profits 2016'!N6330-'Profits 2016'!M6330</f>
        <v>150.50000000000003</v>
      </c>
      <c r="H1117" s="319"/>
      <c r="I1117" s="320"/>
      <c r="J1117" s="321"/>
      <c r="K1117" s="321"/>
      <c r="L1117" s="321"/>
      <c r="M1117" s="319"/>
      <c r="N1117" s="322"/>
      <c r="O1117" s="236" t="str">
        <f>'Profits 2016'!T6330</f>
        <v>FEDEX GROUND</v>
      </c>
      <c r="P1117" s="284" t="str">
        <f>'Profits 2016'!U6330</f>
        <v>680483360542</v>
      </c>
      <c r="AF1117" s="276">
        <f t="shared" si="132"/>
        <v>150.50000000000003</v>
      </c>
      <c r="AG1117" s="276">
        <f t="shared" si="133"/>
        <v>0</v>
      </c>
      <c r="AH1117" s="276">
        <f t="shared" si="134"/>
        <v>430.73906999999997</v>
      </c>
      <c r="AI1117" s="283">
        <f t="shared" si="135"/>
        <v>2.8620536212624579</v>
      </c>
    </row>
    <row r="1118" spans="1:35" x14ac:dyDescent="0.25">
      <c r="A1118" s="275">
        <f>'Profits 2016'!A6331</f>
        <v>0</v>
      </c>
      <c r="B1118" s="279">
        <f>'Profits 2016'!B6331</f>
        <v>0</v>
      </c>
      <c r="C1118" s="276">
        <f>'Profits 2016'!H6331</f>
        <v>0</v>
      </c>
      <c r="D1118" s="280">
        <f>'Profits 2016'!K6331</f>
        <v>0</v>
      </c>
      <c r="E1118" s="276">
        <f>'Profits 2016'!L6331</f>
        <v>900</v>
      </c>
      <c r="F1118" s="275" t="str">
        <f>'Profits 2016'!P6331</f>
        <v>Nassau</v>
      </c>
      <c r="G1118" s="292">
        <f>'Profits 2016'!N6331-'Profits 2016'!M6331</f>
        <v>67.5</v>
      </c>
      <c r="H1118" s="319"/>
      <c r="I1118" s="320"/>
      <c r="J1118" s="321"/>
      <c r="K1118" s="321"/>
      <c r="L1118" s="321"/>
      <c r="M1118" s="319"/>
      <c r="N1118" s="322"/>
      <c r="O1118" s="236">
        <f>'Profits 2016'!T6331</f>
        <v>0</v>
      </c>
      <c r="P1118" s="284" t="str">
        <f>'Profits 2016'!U6331</f>
        <v>680483360553</v>
      </c>
      <c r="Q1118" s="284" t="s">
        <v>314</v>
      </c>
      <c r="R1118" s="276">
        <v>38.17</v>
      </c>
      <c r="S1118" s="275" t="s">
        <v>15793</v>
      </c>
      <c r="T1118" s="279">
        <v>42674</v>
      </c>
      <c r="U1118" s="279">
        <v>42681</v>
      </c>
      <c r="V1118" s="279">
        <v>42685</v>
      </c>
      <c r="W1118" s="293">
        <v>0</v>
      </c>
      <c r="X1118" s="236">
        <v>9399</v>
      </c>
      <c r="AF1118" s="276">
        <f t="shared" si="132"/>
        <v>105.67</v>
      </c>
      <c r="AG1118" s="276">
        <f t="shared" si="133"/>
        <v>38.17</v>
      </c>
      <c r="AH1118" s="276">
        <f t="shared" si="134"/>
        <v>-38.17</v>
      </c>
      <c r="AI1118" s="283">
        <f t="shared" si="135"/>
        <v>-0.36121888899403803</v>
      </c>
    </row>
    <row r="1119" spans="1:35" ht="30" x14ac:dyDescent="0.25">
      <c r="A1119" s="275">
        <f>'Profits 2016'!A6332</f>
        <v>3004958</v>
      </c>
      <c r="B1119" s="279">
        <f>'Profits 2016'!B6332</f>
        <v>42660</v>
      </c>
      <c r="C1119" s="276">
        <f>'Profits 2016'!H6332</f>
        <v>314.5</v>
      </c>
      <c r="D1119" s="280">
        <f>'Profits 2016'!K6332</f>
        <v>279.91949999999997</v>
      </c>
      <c r="E1119" s="276">
        <f>'Profits 2016'!L6332</f>
        <v>424</v>
      </c>
      <c r="F1119" s="275" t="str">
        <f>'Profits 2016'!P6332</f>
        <v>Nassau</v>
      </c>
      <c r="G1119" s="292">
        <f>'Profits 2016'!N6332-'Profits 2016'!M6332</f>
        <v>116.60000000000002</v>
      </c>
      <c r="H1119" s="319"/>
      <c r="I1119" s="320"/>
      <c r="J1119" s="321"/>
      <c r="K1119" s="321"/>
      <c r="L1119" s="321"/>
      <c r="M1119" s="319"/>
      <c r="N1119" s="322"/>
      <c r="O1119" s="236" t="str">
        <f>'Profits 2016'!T6332</f>
        <v>FEDEX GROUND</v>
      </c>
      <c r="P1119" s="284" t="str">
        <f>'Profits 2016'!U6332</f>
        <v>702723290153</v>
      </c>
      <c r="Q1119" s="284" t="s">
        <v>314</v>
      </c>
      <c r="R1119" s="276">
        <v>54.75</v>
      </c>
      <c r="S1119" s="275" t="s">
        <v>15869</v>
      </c>
      <c r="T1119" s="279">
        <v>42681</v>
      </c>
      <c r="U1119" s="279">
        <v>42688</v>
      </c>
      <c r="V1119" s="279">
        <v>42692</v>
      </c>
      <c r="W1119" s="293">
        <f>R1119</f>
        <v>54.75</v>
      </c>
      <c r="X1119" s="236">
        <v>9444</v>
      </c>
      <c r="AF1119" s="276">
        <f t="shared" si="132"/>
        <v>171.35000000000002</v>
      </c>
      <c r="AG1119" s="276">
        <f t="shared" si="133"/>
        <v>54.75</v>
      </c>
      <c r="AH1119" s="276">
        <f t="shared" si="134"/>
        <v>225.16949999999997</v>
      </c>
      <c r="AI1119" s="283">
        <f t="shared" si="135"/>
        <v>1.3140910417274581</v>
      </c>
    </row>
    <row r="1120" spans="1:35" ht="30" x14ac:dyDescent="0.25">
      <c r="A1120" s="275">
        <f>'Profits 2016'!A6333</f>
        <v>3004959</v>
      </c>
      <c r="B1120" s="279">
        <f>'Profits 2016'!B6333</f>
        <v>42660</v>
      </c>
      <c r="C1120" s="276">
        <f>'Profits 2016'!H6333</f>
        <v>188.1</v>
      </c>
      <c r="D1120" s="280">
        <f>'Profits 2016'!K6333</f>
        <v>167.2971</v>
      </c>
      <c r="E1120" s="276">
        <f>'Profits 2016'!L6333</f>
        <v>2150</v>
      </c>
      <c r="F1120" s="275" t="str">
        <f>'Profits 2016'!P6333</f>
        <v>Nassau</v>
      </c>
      <c r="G1120" s="292">
        <f>'Profits 2016'!N6333-'Profits 2016'!M6333</f>
        <v>86</v>
      </c>
      <c r="H1120" s="319"/>
      <c r="I1120" s="320"/>
      <c r="J1120" s="321"/>
      <c r="K1120" s="321"/>
      <c r="L1120" s="321"/>
      <c r="M1120" s="319"/>
      <c r="N1120" s="322"/>
      <c r="O1120" s="236" t="str">
        <f>'Profits 2016'!T6333</f>
        <v>FEDEX GROUND</v>
      </c>
      <c r="P1120" s="284" t="str">
        <f>'Profits 2016'!U6333</f>
        <v>680483360520</v>
      </c>
      <c r="Q1120" s="284" t="s">
        <v>314</v>
      </c>
      <c r="R1120" s="276">
        <v>14.45</v>
      </c>
      <c r="S1120" s="275" t="s">
        <v>15793</v>
      </c>
      <c r="T1120" s="279">
        <v>42674</v>
      </c>
      <c r="U1120" s="279">
        <v>42681</v>
      </c>
      <c r="V1120" s="279">
        <v>42685</v>
      </c>
      <c r="W1120" s="293">
        <v>0</v>
      </c>
      <c r="X1120" s="236">
        <v>9399</v>
      </c>
      <c r="AF1120" s="276">
        <f t="shared" si="132"/>
        <v>100.45</v>
      </c>
      <c r="AG1120" s="276">
        <f t="shared" si="133"/>
        <v>14.45</v>
      </c>
      <c r="AH1120" s="276">
        <f t="shared" si="134"/>
        <v>152.84710000000001</v>
      </c>
      <c r="AI1120" s="283">
        <f t="shared" si="135"/>
        <v>1.5216236933797911</v>
      </c>
    </row>
    <row r="1121" spans="1:35" ht="30" x14ac:dyDescent="0.25">
      <c r="A1121" s="275">
        <f>'Profits 2016'!A6334</f>
        <v>3004960</v>
      </c>
      <c r="B1121" s="279">
        <f>'Profits 2016'!B6334</f>
        <v>42660</v>
      </c>
      <c r="C1121" s="276">
        <f>'Profits 2016'!H6334</f>
        <v>245</v>
      </c>
      <c r="D1121" s="280">
        <f>'Profits 2016'!K6334</f>
        <v>217.99499999999998</v>
      </c>
      <c r="E1121" s="276">
        <f>'Profits 2016'!L6334</f>
        <v>1322</v>
      </c>
      <c r="F1121" s="275" t="str">
        <f>'Profits 2016'!P6334</f>
        <v>Nassau</v>
      </c>
      <c r="G1121" s="292">
        <f>'Profits 2016'!N6334-'Profits 2016'!M6334</f>
        <v>132.19999999999999</v>
      </c>
      <c r="H1121" s="319"/>
      <c r="I1121" s="320"/>
      <c r="J1121" s="321"/>
      <c r="K1121" s="321"/>
      <c r="L1121" s="321"/>
      <c r="M1121" s="319"/>
      <c r="N1121" s="322"/>
      <c r="O1121" s="236" t="str">
        <f>'Profits 2016'!T6334</f>
        <v>FEDEX GROUND</v>
      </c>
      <c r="P1121" s="284" t="str">
        <f>'Profits 2016'!U6334</f>
        <v>680483360509</v>
      </c>
      <c r="Q1121" s="284" t="s">
        <v>314</v>
      </c>
      <c r="R1121" s="276">
        <v>26.67</v>
      </c>
      <c r="S1121" s="275" t="s">
        <v>15793</v>
      </c>
      <c r="T1121" s="279">
        <v>42674</v>
      </c>
      <c r="U1121" s="279">
        <v>42681</v>
      </c>
      <c r="V1121" s="279">
        <v>42685</v>
      </c>
      <c r="W1121" s="293">
        <v>0</v>
      </c>
      <c r="X1121" s="236">
        <v>9399</v>
      </c>
      <c r="AF1121" s="276">
        <f t="shared" si="132"/>
        <v>158.87</v>
      </c>
      <c r="AG1121" s="276">
        <f t="shared" si="133"/>
        <v>26.67</v>
      </c>
      <c r="AH1121" s="276">
        <f t="shared" si="134"/>
        <v>191.32499999999999</v>
      </c>
      <c r="AI1121" s="283">
        <f t="shared" si="135"/>
        <v>1.2042865235727322</v>
      </c>
    </row>
    <row r="1122" spans="1:35" ht="30" x14ac:dyDescent="0.25">
      <c r="A1122" s="275">
        <f>'Profits 2016'!A6335</f>
        <v>3004961</v>
      </c>
      <c r="B1122" s="279">
        <f>'Profits 2016'!B6335</f>
        <v>42660</v>
      </c>
      <c r="C1122" s="276">
        <f>'Profits 2016'!H6335</f>
        <v>117.02</v>
      </c>
      <c r="D1122" s="280">
        <f>'Profits 2016'!K6335</f>
        <v>103.96481999999999</v>
      </c>
      <c r="E1122" s="276">
        <f>'Profits 2016'!L6335</f>
        <v>2230</v>
      </c>
      <c r="F1122" s="275" t="str">
        <f>'Profits 2016'!P6335</f>
        <v>Nassau</v>
      </c>
      <c r="G1122" s="292">
        <f>'Profits 2016'!N6335-'Profits 2016'!M6335</f>
        <v>55.75</v>
      </c>
      <c r="H1122" s="319"/>
      <c r="I1122" s="320"/>
      <c r="J1122" s="321"/>
      <c r="K1122" s="321"/>
      <c r="L1122" s="321"/>
      <c r="M1122" s="319"/>
      <c r="N1122" s="322"/>
      <c r="O1122" s="236" t="str">
        <f>'Profits 2016'!T6335</f>
        <v>FEDEX GROUND</v>
      </c>
      <c r="P1122" s="284" t="str">
        <f>'Profits 2016'!U6335</f>
        <v>680483360531</v>
      </c>
      <c r="Q1122" s="284" t="s">
        <v>314</v>
      </c>
      <c r="R1122" s="276">
        <v>12.48</v>
      </c>
      <c r="S1122" s="275" t="s">
        <v>15793</v>
      </c>
      <c r="T1122" s="279">
        <v>42674</v>
      </c>
      <c r="U1122" s="279">
        <v>42681</v>
      </c>
      <c r="V1122" s="279">
        <v>42685</v>
      </c>
      <c r="W1122" s="293">
        <v>0</v>
      </c>
      <c r="X1122" s="236">
        <v>9399</v>
      </c>
      <c r="AF1122" s="276">
        <f t="shared" si="132"/>
        <v>68.23</v>
      </c>
      <c r="AG1122" s="276">
        <f t="shared" si="133"/>
        <v>12.48</v>
      </c>
      <c r="AH1122" s="276">
        <f t="shared" si="134"/>
        <v>91.484819999999985</v>
      </c>
      <c r="AI1122" s="283">
        <f t="shared" si="135"/>
        <v>1.3408298402462258</v>
      </c>
    </row>
    <row r="1123" spans="1:35" ht="30" x14ac:dyDescent="0.25">
      <c r="A1123" s="275">
        <f>'Profits 2016'!A6336</f>
        <v>3004962</v>
      </c>
      <c r="B1123" s="279">
        <f>'Profits 2016'!B6336</f>
        <v>42660</v>
      </c>
      <c r="C1123" s="276">
        <f>'Profits 2016'!H6336</f>
        <v>307.8</v>
      </c>
      <c r="D1123" s="280">
        <f>'Profits 2016'!K6336</f>
        <v>273.94980000000004</v>
      </c>
      <c r="E1123" s="276">
        <f>'Profits 2016'!L6336</f>
        <v>750</v>
      </c>
      <c r="F1123" s="275" t="str">
        <f>'Profits 2016'!P6336</f>
        <v>Nassau</v>
      </c>
      <c r="G1123" s="292">
        <f>'Profits 2016'!N6336-'Profits 2016'!M6336</f>
        <v>150</v>
      </c>
      <c r="H1123" s="319"/>
      <c r="I1123" s="320"/>
      <c r="J1123" s="321"/>
      <c r="K1123" s="321"/>
      <c r="L1123" s="321"/>
      <c r="M1123" s="319"/>
      <c r="N1123" s="322"/>
      <c r="O1123" s="236" t="str">
        <f>'Profits 2016'!T6336</f>
        <v>FEDEX GROUND</v>
      </c>
      <c r="P1123" s="284" t="str">
        <f>'Profits 2016'!U6336</f>
        <v>702723290050</v>
      </c>
      <c r="Q1123" s="284" t="s">
        <v>314</v>
      </c>
      <c r="R1123" s="276">
        <v>16.62</v>
      </c>
      <c r="S1123" s="275" t="s">
        <v>15793</v>
      </c>
      <c r="T1123" s="279">
        <v>42674</v>
      </c>
      <c r="U1123" s="279">
        <v>42681</v>
      </c>
      <c r="V1123" s="279">
        <v>42685</v>
      </c>
      <c r="W1123" s="293">
        <v>0</v>
      </c>
      <c r="X1123" s="236">
        <v>9399</v>
      </c>
      <c r="AF1123" s="276">
        <f t="shared" si="132"/>
        <v>166.62</v>
      </c>
      <c r="AG1123" s="276">
        <f t="shared" si="133"/>
        <v>16.62</v>
      </c>
      <c r="AH1123" s="276">
        <f t="shared" si="134"/>
        <v>257.32980000000003</v>
      </c>
      <c r="AI1123" s="283">
        <f t="shared" si="135"/>
        <v>1.544411235145841</v>
      </c>
    </row>
    <row r="1124" spans="1:35" ht="30" x14ac:dyDescent="0.25">
      <c r="A1124" s="275">
        <f>'Profits 2016'!A6337</f>
        <v>3004963</v>
      </c>
      <c r="B1124" s="279">
        <f>'Profits 2016'!B6337</f>
        <v>42660</v>
      </c>
      <c r="C1124" s="276">
        <f>'Profits 2016'!H6337</f>
        <v>119.49</v>
      </c>
      <c r="D1124" s="280">
        <f>'Profits 2016'!K6337</f>
        <v>106.16558999999999</v>
      </c>
      <c r="E1124" s="276">
        <f>'Profits 2016'!L6337</f>
        <v>300</v>
      </c>
      <c r="F1124" s="275" t="str">
        <f>'Profits 2016'!P6337</f>
        <v>Thea</v>
      </c>
      <c r="G1124" s="292">
        <f>'Profits 2016'!N6337-'Profits 2016'!M6337</f>
        <v>30.000000000000004</v>
      </c>
      <c r="H1124" s="319"/>
      <c r="I1124" s="320"/>
      <c r="J1124" s="321"/>
      <c r="K1124" s="321"/>
      <c r="L1124" s="321"/>
      <c r="M1124" s="319"/>
      <c r="N1124" s="322"/>
      <c r="O1124" s="236" t="str">
        <f>'Profits 2016'!T6337</f>
        <v>FEDEX GROUND</v>
      </c>
      <c r="P1124" s="284" t="str">
        <f>'Profits 2016'!U6337</f>
        <v>675157530882</v>
      </c>
      <c r="Q1124" s="284" t="s">
        <v>314</v>
      </c>
      <c r="R1124" s="276">
        <v>20.56</v>
      </c>
      <c r="S1124" s="275" t="s">
        <v>15873</v>
      </c>
      <c r="T1124" s="279">
        <v>42688</v>
      </c>
      <c r="U1124" s="279">
        <v>42691</v>
      </c>
      <c r="V1124" s="279">
        <v>42697</v>
      </c>
      <c r="W1124" s="293">
        <v>20.56</v>
      </c>
      <c r="X1124" s="236">
        <v>9494</v>
      </c>
      <c r="AF1124" s="276">
        <f t="shared" si="132"/>
        <v>50.56</v>
      </c>
      <c r="AG1124" s="276">
        <f t="shared" si="133"/>
        <v>20.56</v>
      </c>
      <c r="AH1124" s="276">
        <f t="shared" si="134"/>
        <v>85.605589999999992</v>
      </c>
      <c r="AI1124" s="283">
        <f t="shared" si="135"/>
        <v>1.6931485363924048</v>
      </c>
    </row>
    <row r="1125" spans="1:35" ht="30" x14ac:dyDescent="0.25">
      <c r="A1125" s="275">
        <f>'Profits 2016'!A6338</f>
        <v>3004964</v>
      </c>
      <c r="B1125" s="279">
        <f>'Profits 2016'!B6338</f>
        <v>42660</v>
      </c>
      <c r="C1125" s="276">
        <f>'Profits 2016'!H6338</f>
        <v>233.14</v>
      </c>
      <c r="D1125" s="280">
        <f>'Profits 2016'!K6338</f>
        <v>207.42774</v>
      </c>
      <c r="E1125" s="276">
        <f>'Profits 2016'!L6338</f>
        <v>0</v>
      </c>
      <c r="F1125" s="275" t="str">
        <f>'Profits 2016'!P6338</f>
        <v>Thea</v>
      </c>
      <c r="G1125" s="292">
        <f>'Profits 2016'!N6338-'Profits 2016'!M6338</f>
        <v>0</v>
      </c>
      <c r="H1125" s="319"/>
      <c r="I1125" s="320"/>
      <c r="J1125" s="321"/>
      <c r="K1125" s="321"/>
      <c r="L1125" s="321"/>
      <c r="M1125" s="319"/>
      <c r="N1125" s="322"/>
      <c r="O1125" s="236" t="str">
        <f>'Profits 2016'!T6338</f>
        <v>FEDEX GROUND</v>
      </c>
      <c r="P1125" s="284" t="str">
        <f>'Profits 2016'!U6338</f>
        <v>675157531065</v>
      </c>
      <c r="Q1125" s="284" t="s">
        <v>314</v>
      </c>
      <c r="R1125" s="276">
        <v>14.67</v>
      </c>
      <c r="S1125" s="275" t="s">
        <v>15869</v>
      </c>
      <c r="T1125" s="279">
        <v>42681</v>
      </c>
      <c r="U1125" s="279">
        <v>42688</v>
      </c>
      <c r="V1125" s="279">
        <v>42692</v>
      </c>
      <c r="W1125" s="293">
        <f>R1125</f>
        <v>14.67</v>
      </c>
      <c r="X1125" s="236">
        <v>9444</v>
      </c>
      <c r="AF1125" s="276">
        <f t="shared" si="132"/>
        <v>14.67</v>
      </c>
      <c r="AG1125" s="276">
        <f t="shared" si="133"/>
        <v>14.67</v>
      </c>
      <c r="AH1125" s="276">
        <f t="shared" si="134"/>
        <v>192.75774000000001</v>
      </c>
      <c r="AI1125" s="283">
        <f t="shared" si="135"/>
        <v>13.139586912065441</v>
      </c>
    </row>
    <row r="1126" spans="1:35" ht="30" x14ac:dyDescent="0.25">
      <c r="A1126" s="275">
        <f>'Profits 2016'!A6339</f>
        <v>3004965</v>
      </c>
      <c r="B1126" s="279">
        <f>'Profits 2016'!B6339</f>
        <v>42660</v>
      </c>
      <c r="C1126" s="276">
        <f>'Profits 2016'!H6339</f>
        <v>213.77</v>
      </c>
      <c r="D1126" s="280">
        <f>'Profits 2016'!K6339</f>
        <v>190.16907000000003</v>
      </c>
      <c r="E1126" s="276">
        <f>'Profits 2016'!L6339</f>
        <v>2150</v>
      </c>
      <c r="F1126" s="275" t="str">
        <f>'Profits 2016'!P6339</f>
        <v>Nassau</v>
      </c>
      <c r="G1126" s="292">
        <f>'Profits 2016'!N6339-'Profits 2016'!M6339</f>
        <v>107.50000000000001</v>
      </c>
      <c r="H1126" s="319"/>
      <c r="I1126" s="320"/>
      <c r="J1126" s="321"/>
      <c r="K1126" s="321"/>
      <c r="L1126" s="321"/>
      <c r="M1126" s="319"/>
      <c r="N1126" s="322"/>
      <c r="O1126" s="236" t="str">
        <f>'Profits 2016'!T6339</f>
        <v>FEDEX GROUND</v>
      </c>
      <c r="P1126" s="284" t="str">
        <f>'Profits 2016'!U6339</f>
        <v>702723290110</v>
      </c>
      <c r="Q1126" s="284" t="s">
        <v>314</v>
      </c>
      <c r="R1126" s="276">
        <v>13.27</v>
      </c>
      <c r="S1126" s="275" t="s">
        <v>15793</v>
      </c>
      <c r="T1126" s="279">
        <v>42674</v>
      </c>
      <c r="U1126" s="279">
        <v>42681</v>
      </c>
      <c r="V1126" s="279">
        <v>42685</v>
      </c>
      <c r="W1126" s="293">
        <v>0</v>
      </c>
      <c r="X1126" s="236">
        <v>9399</v>
      </c>
      <c r="AF1126" s="276">
        <f t="shared" si="132"/>
        <v>120.77000000000001</v>
      </c>
      <c r="AG1126" s="276">
        <f t="shared" si="133"/>
        <v>13.27</v>
      </c>
      <c r="AH1126" s="276">
        <f t="shared" si="134"/>
        <v>176.89907000000002</v>
      </c>
      <c r="AI1126" s="283">
        <f t="shared" si="135"/>
        <v>1.4647600397449698</v>
      </c>
    </row>
    <row r="1127" spans="1:35" x14ac:dyDescent="0.25">
      <c r="A1127" s="275">
        <f>'Profits 2016'!A6340</f>
        <v>3004966</v>
      </c>
      <c r="B1127" s="279">
        <f>'Profits 2016'!B6340</f>
        <v>42660</v>
      </c>
      <c r="C1127" s="276">
        <f>'Profits 2016'!H6340</f>
        <v>346.5</v>
      </c>
      <c r="D1127" s="280">
        <f>'Profits 2016'!K6340</f>
        <v>294.52499999999998</v>
      </c>
      <c r="E1127" s="276">
        <f>'Profits 2016'!L6340</f>
        <v>1015</v>
      </c>
      <c r="F1127" s="275" t="str">
        <f>'Profits 2016'!P6340</f>
        <v>Nassau</v>
      </c>
      <c r="G1127" s="292">
        <f>'Profits 2016'!N6340-'Profits 2016'!M6340</f>
        <v>203.00000000000003</v>
      </c>
      <c r="H1127" s="319"/>
      <c r="I1127" s="320"/>
      <c r="J1127" s="321"/>
      <c r="K1127" s="321"/>
      <c r="L1127" s="321"/>
      <c r="M1127" s="319"/>
      <c r="N1127" s="322"/>
      <c r="O1127" s="236" t="str">
        <f>'Profits 2016'!T6340</f>
        <v>R&amp;L/DLS</v>
      </c>
      <c r="P1127" s="284" t="str">
        <f>'Profits 2016'!U6340</f>
        <v>68564874-6</v>
      </c>
      <c r="Q1127" s="284" t="s">
        <v>15767</v>
      </c>
      <c r="R1127" s="276">
        <v>181.97</v>
      </c>
      <c r="S1127" s="275" t="s">
        <v>15874</v>
      </c>
      <c r="T1127" s="279">
        <v>42669</v>
      </c>
      <c r="U1127" s="279">
        <v>42675</v>
      </c>
      <c r="V1127" s="279">
        <v>42697</v>
      </c>
      <c r="W1127" s="293">
        <v>181.97</v>
      </c>
      <c r="X1127" s="236">
        <v>9468</v>
      </c>
      <c r="AF1127" s="276">
        <f t="shared" si="132"/>
        <v>384.97</v>
      </c>
      <c r="AG1127" s="276">
        <f t="shared" si="133"/>
        <v>181.97</v>
      </c>
      <c r="AH1127" s="276">
        <f t="shared" si="134"/>
        <v>112.55499999999998</v>
      </c>
      <c r="AI1127" s="283">
        <f t="shared" si="135"/>
        <v>0.29237343169597624</v>
      </c>
    </row>
    <row r="1128" spans="1:35" ht="30" x14ac:dyDescent="0.25">
      <c r="A1128" s="275">
        <f>'Profits 2016'!A6341</f>
        <v>3004967</v>
      </c>
      <c r="B1128" s="279">
        <f>'Profits 2016'!B6341</f>
        <v>42660</v>
      </c>
      <c r="C1128" s="276">
        <f>'Profits 2016'!H6341</f>
        <v>242.74</v>
      </c>
      <c r="D1128" s="280">
        <f>'Profits 2016'!K6341</f>
        <v>206.32900000000001</v>
      </c>
      <c r="E1128" s="276">
        <f>'Profits 2016'!L6341</f>
        <v>245</v>
      </c>
      <c r="F1128" s="275" t="str">
        <f>'Profits 2016'!P6341</f>
        <v>Omni</v>
      </c>
      <c r="G1128" s="292">
        <f>'Profits 2016'!N6341-'Profits 2016'!M6341</f>
        <v>122.49999999999999</v>
      </c>
      <c r="H1128" s="331">
        <v>0</v>
      </c>
      <c r="I1128" s="332">
        <v>3272948</v>
      </c>
      <c r="J1128" s="333">
        <v>42661</v>
      </c>
      <c r="K1128" s="333">
        <v>42667</v>
      </c>
      <c r="L1128" s="333"/>
      <c r="M1128" s="331"/>
      <c r="N1128" s="334"/>
      <c r="O1128" s="236" t="str">
        <f>'Profits 2016'!T6341</f>
        <v>FEDEX GROUND</v>
      </c>
      <c r="P1128" s="284" t="str">
        <f>'Profits 2016'!U6341</f>
        <v>664439934788</v>
      </c>
      <c r="Q1128" s="284" t="s">
        <v>314</v>
      </c>
      <c r="R1128" s="276">
        <v>12.14</v>
      </c>
      <c r="S1128" s="275" t="s">
        <v>15793</v>
      </c>
      <c r="T1128" s="279">
        <v>42674</v>
      </c>
      <c r="U1128" s="279">
        <v>42681</v>
      </c>
      <c r="V1128" s="279">
        <v>42685</v>
      </c>
      <c r="W1128" s="293">
        <v>0</v>
      </c>
      <c r="X1128" s="236">
        <v>9399</v>
      </c>
      <c r="AF1128" s="276">
        <f t="shared" si="132"/>
        <v>134.63999999999999</v>
      </c>
      <c r="AG1128" s="276">
        <f t="shared" si="133"/>
        <v>12.14</v>
      </c>
      <c r="AH1128" s="276">
        <f t="shared" si="134"/>
        <v>194.18900000000002</v>
      </c>
      <c r="AI1128" s="283">
        <f t="shared" si="135"/>
        <v>1.4422831253713611</v>
      </c>
    </row>
    <row r="1129" spans="1:35" ht="30" x14ac:dyDescent="0.25">
      <c r="A1129" s="275">
        <f>'Profits 2016'!A6342</f>
        <v>3004968</v>
      </c>
      <c r="B1129" s="279">
        <f>'Profits 2016'!B6342</f>
        <v>42660</v>
      </c>
      <c r="C1129" s="276">
        <f>'Profits 2016'!H6342</f>
        <v>322.94</v>
      </c>
      <c r="D1129" s="280">
        <f>'Profits 2016'!K6342</f>
        <v>274.49900000000002</v>
      </c>
      <c r="E1129" s="276">
        <f>'Profits 2016'!L6342</f>
        <v>1170</v>
      </c>
      <c r="F1129" s="275" t="str">
        <f>'Profits 2016'!P6342</f>
        <v>Nassau</v>
      </c>
      <c r="G1129" s="292">
        <f>'Profits 2016'!N6342-'Profits 2016'!M6342</f>
        <v>234</v>
      </c>
      <c r="H1129" s="319"/>
      <c r="I1129" s="320"/>
      <c r="J1129" s="321"/>
      <c r="K1129" s="321"/>
      <c r="L1129" s="321"/>
      <c r="M1129" s="319"/>
      <c r="N1129" s="322"/>
      <c r="O1129" s="236" t="str">
        <f>'Profits 2016'!T6342</f>
        <v>FEDEX GROUND</v>
      </c>
      <c r="P1129" s="284" t="str">
        <f>'Profits 2016'!U6342</f>
        <v>702723290245</v>
      </c>
      <c r="Q1129" s="284" t="s">
        <v>314</v>
      </c>
      <c r="R1129" s="276">
        <v>58.67</v>
      </c>
      <c r="S1129" s="275" t="s">
        <v>15793</v>
      </c>
      <c r="T1129" s="279">
        <v>42674</v>
      </c>
      <c r="U1129" s="279">
        <v>42681</v>
      </c>
      <c r="V1129" s="279">
        <v>42685</v>
      </c>
      <c r="W1129" s="293">
        <v>0</v>
      </c>
      <c r="X1129" s="236">
        <v>9399</v>
      </c>
      <c r="AF1129" s="276">
        <f t="shared" ref="AF1129:AF1168" si="136">G1129+H1130+R1129+Y1129</f>
        <v>292.67</v>
      </c>
      <c r="AG1129" s="276">
        <f t="shared" ref="AG1129:AG1168" si="137">M1129+R1129+Y1129</f>
        <v>58.67</v>
      </c>
      <c r="AH1129" s="276">
        <f t="shared" ref="AH1129:AH1168" si="138">D1129-AG1129</f>
        <v>215.82900000000001</v>
      </c>
      <c r="AI1129" s="283">
        <f t="shared" ref="AI1129:AI1168" si="139">AH1129/AF1129</f>
        <v>0.73744832063416133</v>
      </c>
    </row>
    <row r="1130" spans="1:35" ht="30" x14ac:dyDescent="0.25">
      <c r="A1130" s="275">
        <f>'Profits 2016'!A6343</f>
        <v>3004969</v>
      </c>
      <c r="B1130" s="279">
        <f>'Profits 2016'!B6343</f>
        <v>42660</v>
      </c>
      <c r="C1130" s="276">
        <f>'Profits 2016'!H6343</f>
        <v>114.6</v>
      </c>
      <c r="D1130" s="280">
        <f>'Profits 2016'!K6343</f>
        <v>97.41</v>
      </c>
      <c r="E1130" s="276">
        <f>'Profits 2016'!L6343</f>
        <v>900</v>
      </c>
      <c r="F1130" s="275" t="str">
        <f>'Profits 2016'!P6343</f>
        <v>Nassau</v>
      </c>
      <c r="G1130" s="292">
        <f>'Profits 2016'!N6343-'Profits 2016'!M6343</f>
        <v>45.000000000000007</v>
      </c>
      <c r="H1130" s="319"/>
      <c r="I1130" s="320"/>
      <c r="J1130" s="321"/>
      <c r="K1130" s="321"/>
      <c r="L1130" s="321"/>
      <c r="M1130" s="319"/>
      <c r="N1130" s="322"/>
      <c r="O1130" s="236" t="str">
        <f>'Profits 2016'!T6343</f>
        <v>FEDEX GROUND</v>
      </c>
      <c r="P1130" s="284" t="str">
        <f>'Profits 2016'!U6343</f>
        <v>702723290120</v>
      </c>
      <c r="Q1130" s="284" t="s">
        <v>314</v>
      </c>
      <c r="R1130" s="276">
        <v>27.46</v>
      </c>
      <c r="S1130" s="275" t="s">
        <v>15793</v>
      </c>
      <c r="T1130" s="279">
        <v>42674</v>
      </c>
      <c r="U1130" s="279">
        <v>42681</v>
      </c>
      <c r="V1130" s="279">
        <v>42685</v>
      </c>
      <c r="W1130" s="293">
        <v>0</v>
      </c>
      <c r="X1130" s="236">
        <v>9399</v>
      </c>
      <c r="AF1130" s="276">
        <f t="shared" si="136"/>
        <v>72.460000000000008</v>
      </c>
      <c r="AG1130" s="276">
        <f t="shared" si="137"/>
        <v>27.46</v>
      </c>
      <c r="AH1130" s="276">
        <f t="shared" si="138"/>
        <v>69.949999999999989</v>
      </c>
      <c r="AI1130" s="283">
        <f t="shared" si="139"/>
        <v>0.96536019873033374</v>
      </c>
    </row>
    <row r="1131" spans="1:35" ht="30" x14ac:dyDescent="0.25">
      <c r="A1131" s="275">
        <f>'Profits 2016'!A6344</f>
        <v>3004970</v>
      </c>
      <c r="B1131" s="279">
        <f>'Profits 2016'!B6344</f>
        <v>42660</v>
      </c>
      <c r="C1131" s="276">
        <f>'Profits 2016'!H6344</f>
        <v>126.71</v>
      </c>
      <c r="D1131" s="280">
        <f>'Profits 2016'!K6344</f>
        <v>107.70349999999999</v>
      </c>
      <c r="E1131" s="276">
        <f>'Profits 2016'!L6344</f>
        <v>695</v>
      </c>
      <c r="F1131" s="275" t="str">
        <f>'Profits 2016'!P6344</f>
        <v>Nassau</v>
      </c>
      <c r="G1131" s="292">
        <f>'Profits 2016'!N6344-'Profits 2016'!M6344</f>
        <v>52.125</v>
      </c>
      <c r="H1131" s="319"/>
      <c r="I1131" s="320"/>
      <c r="J1131" s="321"/>
      <c r="K1131" s="321"/>
      <c r="L1131" s="321"/>
      <c r="M1131" s="319"/>
      <c r="N1131" s="322"/>
      <c r="O1131" s="236" t="str">
        <f>'Profits 2016'!T6344</f>
        <v>FEDEX GROUND</v>
      </c>
      <c r="P1131" s="284" t="str">
        <f>'Profits 2016'!U6344</f>
        <v>702723290131</v>
      </c>
      <c r="Q1131" s="284" t="s">
        <v>314</v>
      </c>
      <c r="R1131" s="276">
        <v>24.37</v>
      </c>
      <c r="S1131" s="275" t="s">
        <v>15793</v>
      </c>
      <c r="T1131" s="279">
        <v>42674</v>
      </c>
      <c r="U1131" s="279">
        <v>42681</v>
      </c>
      <c r="V1131" s="279">
        <v>42685</v>
      </c>
      <c r="W1131" s="293">
        <v>0</v>
      </c>
      <c r="X1131" s="236">
        <v>9399</v>
      </c>
      <c r="AF1131" s="276">
        <f t="shared" si="136"/>
        <v>76.495000000000005</v>
      </c>
      <c r="AG1131" s="276">
        <f t="shared" si="137"/>
        <v>24.37</v>
      </c>
      <c r="AH1131" s="276">
        <f t="shared" si="138"/>
        <v>83.333499999999987</v>
      </c>
      <c r="AI1131" s="283">
        <f t="shared" si="139"/>
        <v>1.0893979998692722</v>
      </c>
    </row>
    <row r="1132" spans="1:35" ht="30" x14ac:dyDescent="0.25">
      <c r="A1132" s="275">
        <f>'Profits 2016'!A6345</f>
        <v>3004971</v>
      </c>
      <c r="B1132" s="279">
        <f>'Profits 2016'!B6345</f>
        <v>42660</v>
      </c>
      <c r="C1132" s="276">
        <f>'Profits 2016'!H6345</f>
        <v>200</v>
      </c>
      <c r="D1132" s="280">
        <f>'Profits 2016'!K6345</f>
        <v>170</v>
      </c>
      <c r="E1132" s="276">
        <f>'Profits 2016'!L6345</f>
        <v>424</v>
      </c>
      <c r="F1132" s="275" t="str">
        <f>'Profits 2016'!P6345</f>
        <v>Nassau</v>
      </c>
      <c r="G1132" s="292">
        <f>'Profits 2016'!N6345-'Profits 2016'!M6345</f>
        <v>95.399999999999991</v>
      </c>
      <c r="H1132" s="319"/>
      <c r="I1132" s="320"/>
      <c r="J1132" s="321"/>
      <c r="K1132" s="321"/>
      <c r="L1132" s="321"/>
      <c r="M1132" s="319"/>
      <c r="N1132" s="322"/>
      <c r="O1132" s="236" t="str">
        <f>'Profits 2016'!T6345</f>
        <v>FEDEX GROUND</v>
      </c>
      <c r="P1132" s="284" t="str">
        <f>'Profits 2016'!U6345</f>
        <v>702723290201</v>
      </c>
      <c r="Q1132" s="284" t="s">
        <v>314</v>
      </c>
      <c r="R1132" s="276">
        <v>34.42</v>
      </c>
      <c r="S1132" s="275" t="s">
        <v>15869</v>
      </c>
      <c r="T1132" s="279">
        <v>42681</v>
      </c>
      <c r="U1132" s="279">
        <v>42688</v>
      </c>
      <c r="V1132" s="279">
        <v>42692</v>
      </c>
      <c r="W1132" s="293">
        <f>R1132</f>
        <v>34.42</v>
      </c>
      <c r="X1132" s="236">
        <v>9444</v>
      </c>
      <c r="AF1132" s="276">
        <f t="shared" si="136"/>
        <v>129.82</v>
      </c>
      <c r="AG1132" s="276">
        <f t="shared" si="137"/>
        <v>34.42</v>
      </c>
      <c r="AH1132" s="276">
        <f t="shared" si="138"/>
        <v>135.57999999999998</v>
      </c>
      <c r="AI1132" s="283">
        <f t="shared" si="139"/>
        <v>1.0443691264828223</v>
      </c>
    </row>
    <row r="1133" spans="1:35" ht="30" x14ac:dyDescent="0.25">
      <c r="A1133" s="275">
        <f>'Profits 2016'!A6346</f>
        <v>3004972</v>
      </c>
      <c r="B1133" s="279">
        <f>'Profits 2016'!B6346</f>
        <v>42660</v>
      </c>
      <c r="C1133" s="276">
        <f>'Profits 2016'!H6346</f>
        <v>110</v>
      </c>
      <c r="D1133" s="280">
        <f>'Profits 2016'!K6346</f>
        <v>93.5</v>
      </c>
      <c r="E1133" s="276">
        <f>'Profits 2016'!L6346</f>
        <v>424</v>
      </c>
      <c r="F1133" s="275" t="str">
        <f>'Profits 2016'!P6346</f>
        <v>Nassau</v>
      </c>
      <c r="G1133" s="292">
        <f>'Profits 2016'!N6346-'Profits 2016'!M6346</f>
        <v>42.400000000000013</v>
      </c>
      <c r="H1133" s="319"/>
      <c r="I1133" s="320"/>
      <c r="J1133" s="321"/>
      <c r="K1133" s="321"/>
      <c r="L1133" s="321"/>
      <c r="M1133" s="319"/>
      <c r="N1133" s="322"/>
      <c r="O1133" s="236" t="str">
        <f>'Profits 2016'!T6346</f>
        <v>FEDEX GROUND</v>
      </c>
      <c r="P1133" s="284" t="str">
        <f>'Profits 2016'!U6346</f>
        <v>702723290197</v>
      </c>
      <c r="Q1133" s="284" t="s">
        <v>314</v>
      </c>
      <c r="R1133" s="276">
        <v>38.619999999999997</v>
      </c>
      <c r="S1133" s="275" t="s">
        <v>15793</v>
      </c>
      <c r="T1133" s="279">
        <v>42674</v>
      </c>
      <c r="U1133" s="279">
        <v>42681</v>
      </c>
      <c r="V1133" s="279">
        <v>42685</v>
      </c>
      <c r="W1133" s="293">
        <v>0</v>
      </c>
      <c r="X1133" s="236">
        <v>9399</v>
      </c>
      <c r="AF1133" s="276">
        <f t="shared" si="136"/>
        <v>81.02000000000001</v>
      </c>
      <c r="AG1133" s="276">
        <f t="shared" si="137"/>
        <v>38.619999999999997</v>
      </c>
      <c r="AH1133" s="276">
        <f t="shared" si="138"/>
        <v>54.88</v>
      </c>
      <c r="AI1133" s="283">
        <f t="shared" si="139"/>
        <v>0.67736361392248823</v>
      </c>
    </row>
    <row r="1134" spans="1:35" ht="30" x14ac:dyDescent="0.25">
      <c r="A1134" s="275">
        <f>'Profits 2016'!A6347</f>
        <v>3004973</v>
      </c>
      <c r="B1134" s="279">
        <f>'Profits 2016'!B6347</f>
        <v>42660</v>
      </c>
      <c r="C1134" s="276">
        <f>'Profits 2016'!H6347</f>
        <v>120.78</v>
      </c>
      <c r="D1134" s="280">
        <f>'Profits 2016'!K6347</f>
        <v>102.663</v>
      </c>
      <c r="E1134" s="276">
        <f>'Profits 2016'!L6347</f>
        <v>1450</v>
      </c>
      <c r="F1134" s="275" t="str">
        <f>'Profits 2016'!P6347</f>
        <v>Direct</v>
      </c>
      <c r="G1134" s="292">
        <f>'Profits 2016'!N6347-'Profits 2016'!M6347</f>
        <v>36.25</v>
      </c>
      <c r="H1134" s="331">
        <v>0</v>
      </c>
      <c r="I1134" s="332">
        <v>74734</v>
      </c>
      <c r="J1134" s="333">
        <v>42660</v>
      </c>
      <c r="K1134" s="333">
        <v>42667</v>
      </c>
      <c r="L1134" s="333">
        <v>42671</v>
      </c>
      <c r="M1134" s="331">
        <v>71.06</v>
      </c>
      <c r="N1134" s="334">
        <v>9246</v>
      </c>
      <c r="O1134" s="236" t="str">
        <f>'Profits 2016'!T6347</f>
        <v>FEDEX GROUND</v>
      </c>
      <c r="P1134" s="284" t="str">
        <f>'Profits 2016'!U6347</f>
        <v>642286529257</v>
      </c>
      <c r="Q1134" s="284" t="s">
        <v>314</v>
      </c>
      <c r="R1134" s="276">
        <v>10.08</v>
      </c>
      <c r="S1134" s="275" t="s">
        <v>15793</v>
      </c>
      <c r="T1134" s="279">
        <v>42674</v>
      </c>
      <c r="U1134" s="279">
        <v>42681</v>
      </c>
      <c r="V1134" s="279">
        <v>42685</v>
      </c>
      <c r="W1134" s="293">
        <v>0</v>
      </c>
      <c r="X1134" s="236">
        <v>9399</v>
      </c>
      <c r="AF1134" s="276">
        <f t="shared" si="136"/>
        <v>46.33</v>
      </c>
      <c r="AG1134" s="276">
        <f t="shared" si="137"/>
        <v>81.14</v>
      </c>
      <c r="AH1134" s="276">
        <f t="shared" si="138"/>
        <v>21.522999999999996</v>
      </c>
      <c r="AI1134" s="283">
        <f t="shared" si="139"/>
        <v>0.46455860133822569</v>
      </c>
    </row>
    <row r="1135" spans="1:35" x14ac:dyDescent="0.25">
      <c r="A1135" s="275">
        <f>'Profits 2016'!A6348</f>
        <v>0</v>
      </c>
      <c r="B1135" s="279">
        <f>'Profits 2016'!B6348</f>
        <v>0</v>
      </c>
      <c r="C1135" s="276">
        <f>'Profits 2016'!H6348</f>
        <v>0</v>
      </c>
      <c r="D1135" s="280">
        <f>'Profits 2016'!K6348</f>
        <v>0</v>
      </c>
      <c r="E1135" s="276">
        <f>'Profits 2016'!L6348</f>
        <v>1450</v>
      </c>
      <c r="F1135" s="275" t="str">
        <f>'Profits 2016'!P6348</f>
        <v>Direct</v>
      </c>
      <c r="G1135" s="292">
        <f>'Profits 2016'!N6348-'Profits 2016'!M6348</f>
        <v>36.25</v>
      </c>
      <c r="H1135" s="331">
        <v>0</v>
      </c>
      <c r="I1135" s="332">
        <v>74734</v>
      </c>
      <c r="J1135" s="333">
        <v>42660</v>
      </c>
      <c r="K1135" s="333">
        <v>42667</v>
      </c>
      <c r="L1135" s="333">
        <v>42671</v>
      </c>
      <c r="M1135" s="331">
        <v>0</v>
      </c>
      <c r="N1135" s="334">
        <v>9246</v>
      </c>
      <c r="O1135" s="236">
        <f>'Profits 2016'!T6348</f>
        <v>0</v>
      </c>
      <c r="P1135" s="284">
        <f>'Profits 2016'!U6348</f>
        <v>0</v>
      </c>
      <c r="AF1135" s="276">
        <f t="shared" si="136"/>
        <v>36.25</v>
      </c>
      <c r="AG1135" s="276">
        <f t="shared" si="137"/>
        <v>0</v>
      </c>
      <c r="AH1135" s="276">
        <f t="shared" si="138"/>
        <v>0</v>
      </c>
      <c r="AI1135" s="283">
        <f t="shared" si="139"/>
        <v>0</v>
      </c>
    </row>
    <row r="1136" spans="1:35" ht="30" x14ac:dyDescent="0.25">
      <c r="A1136" s="275">
        <f>'Profits 2016'!A6349</f>
        <v>3004974</v>
      </c>
      <c r="B1136" s="279">
        <f>'Profits 2016'!B6349</f>
        <v>42660</v>
      </c>
      <c r="C1136" s="276">
        <f>'Profits 2016'!H6349</f>
        <v>180</v>
      </c>
      <c r="D1136" s="280">
        <f>'Profits 2016'!K6349</f>
        <v>153</v>
      </c>
      <c r="E1136" s="276">
        <f>'Profits 2016'!L6349</f>
        <v>480</v>
      </c>
      <c r="F1136" s="275" t="str">
        <f>'Profits 2016'!P6349</f>
        <v>Nassau</v>
      </c>
      <c r="G1136" s="292">
        <f>'Profits 2016'!N6349-'Profits 2016'!M6349</f>
        <v>84.000000000000014</v>
      </c>
      <c r="H1136" s="319"/>
      <c r="I1136" s="320"/>
      <c r="J1136" s="321"/>
      <c r="K1136" s="321"/>
      <c r="L1136" s="321"/>
      <c r="M1136" s="319"/>
      <c r="N1136" s="322"/>
      <c r="O1136" s="236" t="str">
        <f>'Profits 2016'!T6349</f>
        <v>FEDEX GROUND</v>
      </c>
      <c r="P1136" s="284" t="str">
        <f>'Profits 2016'!U6349</f>
        <v>702723290212</v>
      </c>
      <c r="Q1136" s="284" t="s">
        <v>314</v>
      </c>
      <c r="R1136" s="276">
        <v>14.08</v>
      </c>
      <c r="S1136" s="275" t="s">
        <v>15793</v>
      </c>
      <c r="T1136" s="279">
        <v>42674</v>
      </c>
      <c r="U1136" s="279">
        <v>42681</v>
      </c>
      <c r="V1136" s="279">
        <v>42685</v>
      </c>
      <c r="W1136" s="293">
        <v>0</v>
      </c>
      <c r="X1136" s="236">
        <v>9399</v>
      </c>
      <c r="AF1136" s="276">
        <f t="shared" si="136"/>
        <v>98.080000000000013</v>
      </c>
      <c r="AG1136" s="276">
        <f t="shared" si="137"/>
        <v>14.08</v>
      </c>
      <c r="AH1136" s="276">
        <f t="shared" si="138"/>
        <v>138.91999999999999</v>
      </c>
      <c r="AI1136" s="283">
        <f t="shared" si="139"/>
        <v>1.4163947797716148</v>
      </c>
    </row>
    <row r="1137" spans="1:35" x14ac:dyDescent="0.25">
      <c r="A1137" s="275">
        <f>'Profits 2016'!A6350</f>
        <v>3004975</v>
      </c>
      <c r="B1137" s="279">
        <f>'Profits 2016'!B6350</f>
        <v>42660</v>
      </c>
      <c r="C1137" s="276">
        <f>'Profits 2016'!H6350</f>
        <v>1608.96</v>
      </c>
      <c r="D1137" s="280">
        <f>'Profits 2016'!K6350</f>
        <v>1367.616</v>
      </c>
      <c r="E1137" s="276">
        <f>'Profits 2016'!L6350</f>
        <v>800</v>
      </c>
      <c r="F1137" s="275" t="str">
        <f>'Profits 2016'!P6350</f>
        <v>Priority</v>
      </c>
      <c r="G1137" s="292">
        <f>'Profits 2016'!N6350-'Profits 2016'!M6350</f>
        <v>1200</v>
      </c>
      <c r="H1137" s="331">
        <v>0</v>
      </c>
      <c r="I1137" s="332">
        <v>1067147</v>
      </c>
      <c r="J1137" s="333">
        <v>42661</v>
      </c>
      <c r="K1137" s="333">
        <v>42667</v>
      </c>
      <c r="L1137" s="333"/>
      <c r="M1137" s="331"/>
      <c r="N1137" s="334"/>
      <c r="O1137" s="236" t="str">
        <f>'Profits 2016'!T6350</f>
        <v>NEMF</v>
      </c>
      <c r="P1137" s="284" t="str">
        <f>'Profits 2016'!U6350</f>
        <v xml:space="preserve">	23941031</v>
      </c>
      <c r="Q1137" s="284" t="s">
        <v>15740</v>
      </c>
      <c r="R1137" s="276">
        <v>105</v>
      </c>
      <c r="S1137" s="275">
        <v>1067147</v>
      </c>
      <c r="T1137" s="279">
        <v>42661</v>
      </c>
      <c r="U1137" s="279">
        <v>42667</v>
      </c>
      <c r="AF1137" s="276">
        <f t="shared" si="136"/>
        <v>1305</v>
      </c>
      <c r="AG1137" s="276">
        <f t="shared" si="137"/>
        <v>105</v>
      </c>
      <c r="AH1137" s="276">
        <f t="shared" si="138"/>
        <v>1262.616</v>
      </c>
      <c r="AI1137" s="283">
        <f t="shared" si="139"/>
        <v>0.96752183908045974</v>
      </c>
    </row>
    <row r="1138" spans="1:35" ht="32.25" customHeight="1" x14ac:dyDescent="0.25">
      <c r="A1138" s="275">
        <f>'Profits 2016'!A6351</f>
        <v>3004976</v>
      </c>
      <c r="B1138" s="279">
        <f>'Profits 2016'!B6351</f>
        <v>42660</v>
      </c>
      <c r="C1138" s="276">
        <f>'Profits 2016'!H6351</f>
        <v>695.56</v>
      </c>
      <c r="D1138" s="280">
        <f>'Profits 2016'!K6351</f>
        <v>695.56</v>
      </c>
      <c r="E1138" s="276">
        <f>'Profits 2016'!L6351</f>
        <v>442.44</v>
      </c>
      <c r="F1138" s="275" t="str">
        <f>'Profits 2016'!P6351</f>
        <v>General</v>
      </c>
      <c r="G1138" s="292" t="e">
        <f>'Profits 2016'!N6351-'Profits 2016'!M6351</f>
        <v>#VALUE!</v>
      </c>
      <c r="H1138" s="331">
        <v>0</v>
      </c>
      <c r="I1138" s="332">
        <v>3767957</v>
      </c>
      <c r="J1138" s="333">
        <v>42661</v>
      </c>
      <c r="K1138" s="333">
        <v>42667</v>
      </c>
      <c r="L1138" s="333">
        <v>42678</v>
      </c>
      <c r="M1138" s="331">
        <v>216.8</v>
      </c>
      <c r="N1138" s="334">
        <v>9312</v>
      </c>
      <c r="O1138" s="236" t="str">
        <f>'Profits 2016'!T6351</f>
        <v>FEDEX GROUND</v>
      </c>
      <c r="P1138" s="284" t="str">
        <f>'Profits 2016'!U6351</f>
        <v>675157530838
675157530849</v>
      </c>
      <c r="Q1138" s="284" t="s">
        <v>314</v>
      </c>
      <c r="R1138" s="276">
        <f>23.44+23.44</f>
        <v>46.88</v>
      </c>
      <c r="S1138" s="275" t="s">
        <v>15869</v>
      </c>
      <c r="T1138" s="279">
        <v>42681</v>
      </c>
      <c r="U1138" s="279">
        <v>42688</v>
      </c>
      <c r="V1138" s="279">
        <v>42692</v>
      </c>
      <c r="W1138" s="293">
        <f>R1138</f>
        <v>46.88</v>
      </c>
      <c r="X1138" s="236">
        <v>9444</v>
      </c>
      <c r="AF1138" s="276" t="e">
        <f t="shared" si="136"/>
        <v>#VALUE!</v>
      </c>
      <c r="AG1138" s="276">
        <f t="shared" si="137"/>
        <v>263.68</v>
      </c>
      <c r="AH1138" s="276">
        <f t="shared" si="138"/>
        <v>431.87999999999994</v>
      </c>
      <c r="AI1138" s="283" t="e">
        <f t="shared" si="139"/>
        <v>#VALUE!</v>
      </c>
    </row>
    <row r="1139" spans="1:35" ht="30" x14ac:dyDescent="0.25">
      <c r="A1139" s="275">
        <f>'Profits 2016'!A6352</f>
        <v>0</v>
      </c>
      <c r="B1139" s="279">
        <f>'Profits 2016'!B6352</f>
        <v>0</v>
      </c>
      <c r="C1139" s="276">
        <f>'Profits 2016'!H6352</f>
        <v>0</v>
      </c>
      <c r="D1139" s="280">
        <f>'Profits 2016'!K6352</f>
        <v>0</v>
      </c>
      <c r="E1139" s="276">
        <f>'Profits 2016'!L6352</f>
        <v>80</v>
      </c>
      <c r="F1139" s="275" t="str">
        <f>'Profits 2016'!P6352</f>
        <v>A-Z</v>
      </c>
      <c r="G1139" s="292">
        <f>'Profits 2016'!N6352-'Profits 2016'!M6352</f>
        <v>80</v>
      </c>
      <c r="H1139" s="331">
        <v>0</v>
      </c>
      <c r="I1139" s="332">
        <v>405701</v>
      </c>
      <c r="J1139" s="333">
        <v>42661</v>
      </c>
      <c r="K1139" s="333">
        <v>42667</v>
      </c>
      <c r="L1139" s="333"/>
      <c r="M1139" s="331"/>
      <c r="N1139" s="334"/>
      <c r="O1139" s="236" t="str">
        <f>'Profits 2016'!T6352</f>
        <v>FEDEX GROUND</v>
      </c>
      <c r="P1139" s="284" t="str">
        <f>'Profits 2016'!U6352</f>
        <v>705687156406</v>
      </c>
      <c r="Q1139" s="284" t="s">
        <v>314</v>
      </c>
      <c r="R1139" s="276">
        <v>19</v>
      </c>
      <c r="S1139" s="275" t="s">
        <v>15793</v>
      </c>
      <c r="T1139" s="279">
        <v>42674</v>
      </c>
      <c r="U1139" s="279">
        <v>42681</v>
      </c>
      <c r="V1139" s="279">
        <v>42685</v>
      </c>
      <c r="W1139" s="293">
        <v>0</v>
      </c>
      <c r="X1139" s="236">
        <v>9399</v>
      </c>
      <c r="AF1139" s="276">
        <f t="shared" si="136"/>
        <v>99</v>
      </c>
      <c r="AG1139" s="276">
        <f t="shared" si="137"/>
        <v>19</v>
      </c>
      <c r="AH1139" s="276">
        <f t="shared" si="138"/>
        <v>-19</v>
      </c>
      <c r="AI1139" s="283">
        <f t="shared" si="139"/>
        <v>-0.19191919191919191</v>
      </c>
    </row>
    <row r="1140" spans="1:35" x14ac:dyDescent="0.25">
      <c r="A1140" s="275">
        <f>'Profits 2016'!A6353</f>
        <v>0</v>
      </c>
      <c r="B1140" s="279">
        <f>'Profits 2016'!B6353</f>
        <v>0</v>
      </c>
      <c r="C1140" s="276">
        <f>'Profits 2016'!H6353</f>
        <v>0</v>
      </c>
      <c r="D1140" s="280">
        <f>'Profits 2016'!K6353</f>
        <v>0</v>
      </c>
      <c r="E1140" s="276">
        <f>'Profits 2016'!L6353</f>
        <v>55</v>
      </c>
      <c r="F1140" s="275" t="str">
        <f>'Profits 2016'!P6353</f>
        <v>A-Z</v>
      </c>
      <c r="G1140" s="292">
        <f>'Profits 2016'!N6353-'Profits 2016'!M6353</f>
        <v>165</v>
      </c>
      <c r="H1140" s="331">
        <v>0</v>
      </c>
      <c r="I1140" s="332">
        <v>405701</v>
      </c>
      <c r="J1140" s="333">
        <v>42661</v>
      </c>
      <c r="K1140" s="333">
        <v>42667</v>
      </c>
      <c r="L1140" s="333"/>
      <c r="M1140" s="331"/>
      <c r="N1140" s="334"/>
      <c r="O1140" s="236">
        <f>'Profits 2016'!T6353</f>
        <v>0</v>
      </c>
      <c r="P1140" s="284" t="str">
        <f>'Profits 2016'!U6353</f>
        <v>705687156417</v>
      </c>
      <c r="Q1140" s="284" t="s">
        <v>314</v>
      </c>
      <c r="R1140" s="276">
        <v>22.2</v>
      </c>
      <c r="S1140" s="275" t="s">
        <v>15793</v>
      </c>
      <c r="T1140" s="279">
        <v>42674</v>
      </c>
      <c r="U1140" s="279">
        <v>42681</v>
      </c>
      <c r="V1140" s="279">
        <v>42685</v>
      </c>
      <c r="W1140" s="293">
        <v>0</v>
      </c>
      <c r="X1140" s="236">
        <v>9399</v>
      </c>
      <c r="AF1140" s="276">
        <f t="shared" si="136"/>
        <v>187.2</v>
      </c>
      <c r="AG1140" s="276">
        <f t="shared" si="137"/>
        <v>22.2</v>
      </c>
      <c r="AH1140" s="276">
        <f t="shared" si="138"/>
        <v>-22.2</v>
      </c>
      <c r="AI1140" s="283">
        <f t="shared" si="139"/>
        <v>-0.1185897435897436</v>
      </c>
    </row>
    <row r="1141" spans="1:35" x14ac:dyDescent="0.25">
      <c r="A1141" s="275">
        <f>'Profits 2016'!A6354</f>
        <v>3004977</v>
      </c>
      <c r="B1141" s="279">
        <f>'Profits 2016'!B6354</f>
        <v>42660</v>
      </c>
      <c r="C1141" s="276">
        <f>'Profits 2016'!H6354</f>
        <v>1000.01</v>
      </c>
      <c r="D1141" s="280">
        <f>'Profits 2016'!K6354</f>
        <v>967.20967499999995</v>
      </c>
      <c r="E1141" s="276">
        <f>'Profits 2016'!L6354</f>
        <v>4300</v>
      </c>
      <c r="F1141" s="275" t="str">
        <f>'Profits 2016'!P6354</f>
        <v>Priority</v>
      </c>
      <c r="G1141" s="292">
        <f>'Profits 2016'!N6354-'Profits 2016'!M6354</f>
        <v>688</v>
      </c>
      <c r="H1141" s="331">
        <v>0</v>
      </c>
      <c r="I1141" s="332">
        <v>1067149</v>
      </c>
      <c r="J1141" s="333">
        <v>42661</v>
      </c>
      <c r="K1141" s="333">
        <v>42667</v>
      </c>
      <c r="L1141" s="333"/>
      <c r="M1141" s="331"/>
      <c r="N1141" s="334"/>
      <c r="O1141" s="236" t="str">
        <f>'Profits 2016'!T6354</f>
        <v>VOLPE</v>
      </c>
      <c r="P1141" s="284" t="str">
        <f>'Profits 2016'!U6354</f>
        <v xml:space="preserve">	33282222</v>
      </c>
      <c r="Q1141" s="284" t="s">
        <v>15740</v>
      </c>
      <c r="R1141" s="276">
        <v>105</v>
      </c>
      <c r="S1141" s="275">
        <v>10167149</v>
      </c>
      <c r="T1141" s="279">
        <v>42661</v>
      </c>
      <c r="U1141" s="279">
        <v>42667</v>
      </c>
      <c r="AF1141" s="276">
        <f t="shared" si="136"/>
        <v>793</v>
      </c>
      <c r="AG1141" s="276">
        <f t="shared" si="137"/>
        <v>105</v>
      </c>
      <c r="AH1141" s="276">
        <f t="shared" si="138"/>
        <v>862.20967499999995</v>
      </c>
      <c r="AI1141" s="283">
        <f t="shared" si="139"/>
        <v>1.0872757566204287</v>
      </c>
    </row>
    <row r="1142" spans="1:35" ht="30" x14ac:dyDescent="0.25">
      <c r="A1142" s="275">
        <f>'Profits 2016'!A6355</f>
        <v>3004978</v>
      </c>
      <c r="B1142" s="279">
        <f>'Profits 2016'!B6355</f>
        <v>42660</v>
      </c>
      <c r="C1142" s="276">
        <f>'Profits 2016'!H6355</f>
        <v>2712</v>
      </c>
      <c r="D1142" s="280">
        <f>'Profits 2016'!K6355</f>
        <v>2652.0360000000001</v>
      </c>
      <c r="E1142" s="276">
        <f>'Profits 2016'!L6355</f>
        <v>654.78</v>
      </c>
      <c r="F1142" s="275" t="str">
        <f>'Profits 2016'!P6355</f>
        <v>Colonial</v>
      </c>
      <c r="G1142" s="292">
        <f>'Profits 2016'!N6355-'Profits 2016'!M6355</f>
        <v>163.69499999999999</v>
      </c>
      <c r="H1142" s="331">
        <v>0</v>
      </c>
      <c r="I1142" s="332" t="s">
        <v>15875</v>
      </c>
      <c r="J1142" s="333">
        <v>42662</v>
      </c>
      <c r="K1142" s="333">
        <v>42667</v>
      </c>
      <c r="L1142" s="333">
        <v>42678</v>
      </c>
      <c r="M1142" s="331">
        <v>692.06</v>
      </c>
      <c r="N1142" s="334">
        <v>9288</v>
      </c>
      <c r="O1142" s="236" t="str">
        <f>'Profits 2016'!T6355</f>
        <v>FEDEX GROUND</v>
      </c>
      <c r="P1142" s="284" t="str">
        <f>'Profits 2016'!U6355</f>
        <v>675157530871</v>
      </c>
      <c r="Q1142" s="284" t="s">
        <v>314</v>
      </c>
      <c r="R1142" s="276">
        <v>64.77</v>
      </c>
      <c r="S1142" s="275" t="s">
        <v>15793</v>
      </c>
      <c r="T1142" s="279">
        <v>42674</v>
      </c>
      <c r="U1142" s="279">
        <v>42681</v>
      </c>
      <c r="V1142" s="279">
        <v>42685</v>
      </c>
      <c r="W1142" s="293">
        <v>0</v>
      </c>
      <c r="X1142" s="236">
        <v>9399</v>
      </c>
      <c r="AF1142" s="276">
        <f t="shared" si="136"/>
        <v>228.46499999999997</v>
      </c>
      <c r="AG1142" s="276">
        <f t="shared" si="137"/>
        <v>756.82999999999993</v>
      </c>
      <c r="AH1142" s="276">
        <f t="shared" si="138"/>
        <v>1895.2060000000001</v>
      </c>
      <c r="AI1142" s="283">
        <f t="shared" si="139"/>
        <v>8.2953887904055339</v>
      </c>
    </row>
    <row r="1143" spans="1:35" x14ac:dyDescent="0.25">
      <c r="A1143" s="275">
        <f>'Profits 2016'!A6356</f>
        <v>0</v>
      </c>
      <c r="B1143" s="279">
        <f>'Profits 2016'!B6356</f>
        <v>0</v>
      </c>
      <c r="C1143" s="276">
        <f>'Profits 2016'!H6356</f>
        <v>0</v>
      </c>
      <c r="D1143" s="280">
        <f>'Profits 2016'!K6356</f>
        <v>0</v>
      </c>
      <c r="E1143" s="276">
        <f>'Profits 2016'!L6356</f>
        <v>1001.9</v>
      </c>
      <c r="F1143" s="275" t="str">
        <f>'Profits 2016'!P6356</f>
        <v>Colonial</v>
      </c>
      <c r="G1143" s="292">
        <f>'Profits 2016'!N6356-'Profits 2016'!M6356</f>
        <v>250.47499999999997</v>
      </c>
      <c r="H1143" s="331">
        <v>0</v>
      </c>
      <c r="I1143" s="332" t="s">
        <v>15875</v>
      </c>
      <c r="J1143" s="333">
        <v>42662</v>
      </c>
      <c r="K1143" s="333">
        <v>42667</v>
      </c>
      <c r="L1143" s="333">
        <v>42678</v>
      </c>
      <c r="M1143" s="331">
        <v>0</v>
      </c>
      <c r="N1143" s="334">
        <v>9288</v>
      </c>
      <c r="O1143" s="236">
        <f>'Profits 2016'!T6356</f>
        <v>0</v>
      </c>
      <c r="P1143" s="284" t="str">
        <f>'Profits 2016'!U6356</f>
        <v>675157530860</v>
      </c>
      <c r="Q1143" s="284" t="s">
        <v>314</v>
      </c>
      <c r="R1143" s="276">
        <v>46.81</v>
      </c>
      <c r="S1143" s="275" t="s">
        <v>15793</v>
      </c>
      <c r="T1143" s="279">
        <v>42674</v>
      </c>
      <c r="U1143" s="279">
        <v>42681</v>
      </c>
      <c r="V1143" s="279">
        <v>42685</v>
      </c>
      <c r="W1143" s="293">
        <v>0</v>
      </c>
      <c r="X1143" s="236">
        <v>9399</v>
      </c>
      <c r="AF1143" s="276">
        <f t="shared" si="136"/>
        <v>297.28499999999997</v>
      </c>
      <c r="AG1143" s="276">
        <f t="shared" si="137"/>
        <v>46.81</v>
      </c>
      <c r="AH1143" s="276">
        <f t="shared" si="138"/>
        <v>-46.81</v>
      </c>
      <c r="AI1143" s="283">
        <f t="shared" si="139"/>
        <v>-0.15745833123097366</v>
      </c>
    </row>
    <row r="1144" spans="1:35" x14ac:dyDescent="0.25">
      <c r="A1144" s="275">
        <f>'Profits 2016'!A6357</f>
        <v>0</v>
      </c>
      <c r="B1144" s="279">
        <f>'Profits 2016'!B6357</f>
        <v>0</v>
      </c>
      <c r="C1144" s="276">
        <f>'Profits 2016'!H6357</f>
        <v>0</v>
      </c>
      <c r="D1144" s="280">
        <f>'Profits 2016'!K6357</f>
        <v>0</v>
      </c>
      <c r="E1144" s="276">
        <f>'Profits 2016'!L6357</f>
        <v>292</v>
      </c>
      <c r="F1144" s="275" t="str">
        <f>'Profits 2016'!P6357</f>
        <v>Colonial</v>
      </c>
      <c r="G1144" s="292">
        <f>'Profits 2016'!N6357-'Profits 2016'!M6357</f>
        <v>292</v>
      </c>
      <c r="H1144" s="331">
        <v>0</v>
      </c>
      <c r="I1144" s="332" t="s">
        <v>15875</v>
      </c>
      <c r="J1144" s="333">
        <v>42662</v>
      </c>
      <c r="K1144" s="333">
        <v>42667</v>
      </c>
      <c r="L1144" s="333">
        <v>42678</v>
      </c>
      <c r="M1144" s="331">
        <v>0</v>
      </c>
      <c r="N1144" s="334">
        <v>9288</v>
      </c>
      <c r="O1144" s="236">
        <f>'Profits 2016'!T6357</f>
        <v>0</v>
      </c>
      <c r="P1144" s="284" t="str">
        <f>'Profits 2016'!U6357</f>
        <v>675157530850</v>
      </c>
      <c r="Q1144" s="284" t="s">
        <v>314</v>
      </c>
      <c r="R1144" s="276">
        <v>45.99</v>
      </c>
      <c r="S1144" s="275" t="s">
        <v>15793</v>
      </c>
      <c r="T1144" s="279">
        <v>42674</v>
      </c>
      <c r="U1144" s="279">
        <v>42681</v>
      </c>
      <c r="V1144" s="279">
        <v>42685</v>
      </c>
      <c r="W1144" s="293">
        <v>0</v>
      </c>
      <c r="X1144" s="236">
        <v>9399</v>
      </c>
      <c r="AF1144" s="276">
        <f t="shared" si="136"/>
        <v>337.99</v>
      </c>
      <c r="AG1144" s="276">
        <f t="shared" si="137"/>
        <v>45.99</v>
      </c>
      <c r="AH1144" s="276">
        <f t="shared" si="138"/>
        <v>-45.99</v>
      </c>
      <c r="AI1144" s="283">
        <f t="shared" si="139"/>
        <v>-0.13606911447084233</v>
      </c>
    </row>
    <row r="1145" spans="1:35" ht="30" x14ac:dyDescent="0.25">
      <c r="A1145" s="275">
        <f>'Profits 2016'!A6358</f>
        <v>0</v>
      </c>
      <c r="B1145" s="279">
        <f>'Profits 2016'!B6358</f>
        <v>0</v>
      </c>
      <c r="C1145" s="276">
        <f>'Profits 2016'!H6358</f>
        <v>0</v>
      </c>
      <c r="D1145" s="280">
        <f>'Profits 2016'!K6358</f>
        <v>0</v>
      </c>
      <c r="E1145" s="276">
        <f>'Profits 2016'!L6358</f>
        <v>909</v>
      </c>
      <c r="F1145" s="275" t="str">
        <f>'Profits 2016'!P6358</f>
        <v>Nassau</v>
      </c>
      <c r="G1145" s="292">
        <f>'Profits 2016'!N6358-'Profits 2016'!M6358</f>
        <v>909.00000000000011</v>
      </c>
      <c r="H1145" s="319"/>
      <c r="I1145" s="320"/>
      <c r="J1145" s="321"/>
      <c r="K1145" s="321"/>
      <c r="L1145" s="321"/>
      <c r="M1145" s="319"/>
      <c r="N1145" s="322"/>
      <c r="O1145" s="236" t="str">
        <f>'Profits 2016'!T6358</f>
        <v>PITT OHIO/DLS</v>
      </c>
      <c r="P1145" s="284" t="str">
        <f>'Profits 2016'!U6358</f>
        <v>5014093029</v>
      </c>
      <c r="Q1145" s="284" t="s">
        <v>15804</v>
      </c>
      <c r="R1145" s="276">
        <v>234.42</v>
      </c>
      <c r="S1145" s="275">
        <v>636883253</v>
      </c>
      <c r="T1145" s="279">
        <v>42669</v>
      </c>
      <c r="U1145" s="279">
        <v>42675</v>
      </c>
      <c r="V1145" s="279">
        <v>42678</v>
      </c>
      <c r="W1145" s="293">
        <v>234.42</v>
      </c>
      <c r="X1145" s="236">
        <v>9344</v>
      </c>
      <c r="AF1145" s="276">
        <f t="shared" si="136"/>
        <v>1143.42</v>
      </c>
      <c r="AG1145" s="276">
        <f t="shared" si="137"/>
        <v>234.42</v>
      </c>
      <c r="AH1145" s="276">
        <f t="shared" si="138"/>
        <v>-234.42</v>
      </c>
      <c r="AI1145" s="283">
        <f t="shared" si="139"/>
        <v>-0.20501652935929052</v>
      </c>
    </row>
    <row r="1146" spans="1:35" x14ac:dyDescent="0.25">
      <c r="A1146" s="275">
        <f>'Profits 2016'!A6359</f>
        <v>0</v>
      </c>
      <c r="B1146" s="279">
        <f>'Profits 2016'!B6359</f>
        <v>0</v>
      </c>
      <c r="C1146" s="276">
        <f>'Profits 2016'!H6359</f>
        <v>0</v>
      </c>
      <c r="D1146" s="280">
        <f>'Profits 2016'!K6359</f>
        <v>0</v>
      </c>
      <c r="E1146" s="276">
        <f>'Profits 2016'!L6359</f>
        <v>180</v>
      </c>
      <c r="F1146" s="275" t="str">
        <f>'Profits 2016'!P6359</f>
        <v>Nassau</v>
      </c>
      <c r="G1146" s="292">
        <f>'Profits 2016'!N6359-'Profits 2016'!M6359</f>
        <v>180</v>
      </c>
      <c r="H1146" s="319"/>
      <c r="I1146" s="320"/>
      <c r="J1146" s="321"/>
      <c r="K1146" s="321"/>
      <c r="L1146" s="321"/>
      <c r="M1146" s="319"/>
      <c r="N1146" s="322"/>
      <c r="O1146" s="236">
        <f>'Profits 2016'!T6359</f>
        <v>0</v>
      </c>
      <c r="P1146" s="284">
        <f>'Profits 2016'!U6359</f>
        <v>0</v>
      </c>
      <c r="Q1146" s="284" t="s">
        <v>15804</v>
      </c>
      <c r="R1146" s="276">
        <v>0</v>
      </c>
      <c r="S1146" s="275">
        <v>636883253</v>
      </c>
      <c r="T1146" s="279">
        <v>42669</v>
      </c>
      <c r="U1146" s="279">
        <v>42675</v>
      </c>
      <c r="V1146" s="279">
        <v>42678</v>
      </c>
      <c r="W1146" s="293">
        <v>0</v>
      </c>
      <c r="X1146" s="236">
        <v>9344</v>
      </c>
      <c r="AF1146" s="276">
        <f t="shared" si="136"/>
        <v>180</v>
      </c>
      <c r="AG1146" s="276">
        <f t="shared" si="137"/>
        <v>0</v>
      </c>
      <c r="AH1146" s="276">
        <f t="shared" si="138"/>
        <v>0</v>
      </c>
      <c r="AI1146" s="283">
        <f t="shared" si="139"/>
        <v>0</v>
      </c>
    </row>
    <row r="1147" spans="1:35" ht="30" x14ac:dyDescent="0.25">
      <c r="A1147" s="275">
        <f>'Profits 2016'!A6360</f>
        <v>3004979</v>
      </c>
      <c r="B1147" s="279">
        <f>'Profits 2016'!B6360</f>
        <v>42660</v>
      </c>
      <c r="C1147" s="276">
        <f>'Profits 2016'!H6360</f>
        <v>248</v>
      </c>
      <c r="D1147" s="280">
        <f>'Profits 2016'!K6360</f>
        <v>242.988</v>
      </c>
      <c r="E1147" s="276">
        <f>'Profits 2016'!L6360</f>
        <v>806</v>
      </c>
      <c r="F1147" s="275" t="str">
        <f>'Profits 2016'!P6360</f>
        <v>Nassau</v>
      </c>
      <c r="G1147" s="292">
        <f>'Profits 2016'!N6360-'Profits 2016'!M6360</f>
        <v>128.96</v>
      </c>
      <c r="H1147" s="319"/>
      <c r="I1147" s="320"/>
      <c r="J1147" s="321"/>
      <c r="K1147" s="321"/>
      <c r="L1147" s="321"/>
      <c r="M1147" s="319"/>
      <c r="N1147" s="322"/>
      <c r="O1147" s="236" t="str">
        <f>'Profits 2016'!T6360</f>
        <v>FEDEX GROUND</v>
      </c>
      <c r="P1147" s="284" t="str">
        <f>'Profits 2016'!U6360</f>
        <v>702723290142</v>
      </c>
      <c r="Q1147" s="284" t="s">
        <v>314</v>
      </c>
      <c r="R1147" s="276">
        <v>40.19</v>
      </c>
      <c r="S1147" s="275" t="s">
        <v>15793</v>
      </c>
      <c r="T1147" s="279">
        <v>42674</v>
      </c>
      <c r="U1147" s="279">
        <v>42681</v>
      </c>
      <c r="V1147" s="279">
        <v>42685</v>
      </c>
      <c r="W1147" s="293">
        <v>0</v>
      </c>
      <c r="X1147" s="236">
        <v>9399</v>
      </c>
      <c r="AF1147" s="276">
        <f t="shared" si="136"/>
        <v>169.15</v>
      </c>
      <c r="AG1147" s="276">
        <f t="shared" si="137"/>
        <v>40.19</v>
      </c>
      <c r="AH1147" s="276">
        <f t="shared" si="138"/>
        <v>202.798</v>
      </c>
      <c r="AI1147" s="283">
        <f t="shared" si="139"/>
        <v>1.1989240319243275</v>
      </c>
    </row>
    <row r="1148" spans="1:35" x14ac:dyDescent="0.25">
      <c r="A1148" s="275">
        <f>'Profits 2016'!A6361</f>
        <v>3004980</v>
      </c>
      <c r="B1148" s="279">
        <f>'Profits 2016'!B6361</f>
        <v>42660</v>
      </c>
      <c r="C1148" s="276">
        <f>'Profits 2016'!H6361</f>
        <v>252</v>
      </c>
      <c r="D1148" s="280">
        <f>'Profits 2016'!K6361</f>
        <v>224.232</v>
      </c>
      <c r="E1148" s="276">
        <f>'Profits 2016'!L6361</f>
        <v>0</v>
      </c>
      <c r="F1148" s="275" t="str">
        <f>'Profits 2016'!P6361</f>
        <v>NA</v>
      </c>
      <c r="G1148" s="292">
        <f>'Profits 2016'!N6361-'Profits 2016'!M6361</f>
        <v>0</v>
      </c>
      <c r="H1148" s="331"/>
      <c r="I1148" s="332"/>
      <c r="J1148" s="333"/>
      <c r="K1148" s="333"/>
      <c r="L1148" s="333"/>
      <c r="M1148" s="331"/>
      <c r="N1148" s="334"/>
      <c r="O1148" s="236">
        <f>'Profits 2016'!T6361</f>
        <v>0</v>
      </c>
      <c r="P1148" s="284">
        <f>'Profits 2016'!U6361</f>
        <v>0</v>
      </c>
      <c r="AF1148" s="276">
        <f t="shared" si="136"/>
        <v>0</v>
      </c>
      <c r="AG1148" s="276">
        <f t="shared" si="137"/>
        <v>0</v>
      </c>
      <c r="AH1148" s="276">
        <f t="shared" si="138"/>
        <v>224.232</v>
      </c>
      <c r="AI1148" s="283" t="e">
        <f t="shared" si="139"/>
        <v>#DIV/0!</v>
      </c>
    </row>
    <row r="1149" spans="1:35" ht="30" customHeight="1" x14ac:dyDescent="0.25">
      <c r="A1149" s="275">
        <f>'Profits 2016'!A6362</f>
        <v>3004981</v>
      </c>
      <c r="B1149" s="279">
        <f>'Profits 2016'!B6362</f>
        <v>42660</v>
      </c>
      <c r="C1149" s="276">
        <f>'Profits 2016'!H6362</f>
        <v>277.8</v>
      </c>
      <c r="D1149" s="280">
        <f>'Profits 2016'!K6362</f>
        <v>247.21979999999999</v>
      </c>
      <c r="E1149" s="276">
        <f>'Profits 2016'!L6362</f>
        <v>610.51</v>
      </c>
      <c r="F1149" s="275" t="str">
        <f>'Profits 2016'!P6362</f>
        <v>Thea</v>
      </c>
      <c r="G1149" s="292">
        <f>'Profits 2016'!N6362-'Profits 2016'!M6362</f>
        <v>122.102</v>
      </c>
      <c r="H1149" s="319"/>
      <c r="I1149" s="320"/>
      <c r="J1149" s="321"/>
      <c r="K1149" s="321"/>
      <c r="L1149" s="321"/>
      <c r="M1149" s="319"/>
      <c r="N1149" s="322"/>
      <c r="O1149" s="236" t="str">
        <f>'Profits 2016'!T6362</f>
        <v>FEDEX GROUND</v>
      </c>
      <c r="P1149" s="284" t="str">
        <f>'Profits 2016'!U6362</f>
        <v>675157530941, 675157530952</v>
      </c>
      <c r="Q1149" s="284" t="s">
        <v>314</v>
      </c>
      <c r="R1149" s="276">
        <f>20.06+20.06</f>
        <v>40.119999999999997</v>
      </c>
      <c r="S1149" s="275" t="s">
        <v>15793</v>
      </c>
      <c r="T1149" s="279">
        <v>42674</v>
      </c>
      <c r="U1149" s="279">
        <v>42681</v>
      </c>
      <c r="V1149" s="279">
        <v>42685</v>
      </c>
      <c r="W1149" s="293">
        <v>0</v>
      </c>
      <c r="X1149" s="236">
        <v>9399</v>
      </c>
      <c r="AF1149" s="276">
        <f t="shared" si="136"/>
        <v>162.22200000000001</v>
      </c>
      <c r="AG1149" s="276">
        <f t="shared" si="137"/>
        <v>40.119999999999997</v>
      </c>
      <c r="AH1149" s="276">
        <f t="shared" si="138"/>
        <v>207.09979999999999</v>
      </c>
      <c r="AI1149" s="283">
        <f t="shared" si="139"/>
        <v>1.2766443515676047</v>
      </c>
    </row>
    <row r="1150" spans="1:35" ht="30" x14ac:dyDescent="0.25">
      <c r="A1150" s="275">
        <f>'Profits 2016'!A6363</f>
        <v>3004982</v>
      </c>
      <c r="B1150" s="279">
        <f>'Profits 2016'!B6363</f>
        <v>42660</v>
      </c>
      <c r="C1150" s="276">
        <f>'Profits 2016'!H6363</f>
        <v>357.5</v>
      </c>
      <c r="D1150" s="280">
        <f>'Profits 2016'!K6363</f>
        <v>350.40750000000003</v>
      </c>
      <c r="E1150" s="276">
        <f>'Profits 2016'!L6363</f>
        <v>245</v>
      </c>
      <c r="F1150" s="275" t="str">
        <f>'Profits 2016'!P6363</f>
        <v>Priority</v>
      </c>
      <c r="G1150" s="292">
        <f>'Profits 2016'!N6363-'Profits 2016'!M6363</f>
        <v>245</v>
      </c>
      <c r="H1150" s="331">
        <v>0</v>
      </c>
      <c r="I1150" s="332">
        <v>1067567</v>
      </c>
      <c r="J1150" s="333">
        <v>42662</v>
      </c>
      <c r="K1150" s="333">
        <v>42670</v>
      </c>
      <c r="L1150" s="333">
        <v>42692</v>
      </c>
      <c r="M1150" s="331">
        <v>286.38</v>
      </c>
      <c r="N1150" s="334">
        <v>9448</v>
      </c>
      <c r="O1150" s="236" t="str">
        <f>'Profits 2016'!T6363</f>
        <v>FEDEX GROUND</v>
      </c>
      <c r="P1150" s="284" t="str">
        <f>'Profits 2016'!U6363</f>
        <v xml:space="preserve">	614697968610</v>
      </c>
      <c r="Q1150" s="284" t="s">
        <v>15740</v>
      </c>
      <c r="R1150" s="276">
        <v>41.38</v>
      </c>
      <c r="S1150" s="275">
        <v>1067567</v>
      </c>
      <c r="T1150" s="279">
        <v>42662</v>
      </c>
      <c r="U1150" s="279">
        <v>42670</v>
      </c>
      <c r="AF1150" s="276">
        <f t="shared" si="136"/>
        <v>286.38</v>
      </c>
      <c r="AG1150" s="276">
        <f t="shared" si="137"/>
        <v>327.76</v>
      </c>
      <c r="AH1150" s="276">
        <f t="shared" si="138"/>
        <v>22.647500000000036</v>
      </c>
      <c r="AI1150" s="283">
        <f t="shared" si="139"/>
        <v>7.9081988965710018E-2</v>
      </c>
    </row>
    <row r="1151" spans="1:35" x14ac:dyDescent="0.25">
      <c r="A1151" s="275">
        <f>'Profits 2016'!A6364</f>
        <v>3004983</v>
      </c>
      <c r="B1151" s="279">
        <f>'Profits 2016'!B6364</f>
        <v>42660</v>
      </c>
      <c r="C1151" s="276">
        <f>'Profits 2016'!H6364</f>
        <v>2225</v>
      </c>
      <c r="D1151" s="280">
        <f>'Profits 2016'!K6364</f>
        <v>2225</v>
      </c>
      <c r="E1151" s="276">
        <f>'Profits 2016'!L6364</f>
        <v>909</v>
      </c>
      <c r="F1151" s="275" t="str">
        <f>'Profits 2016'!P6364</f>
        <v>Nassau</v>
      </c>
      <c r="G1151" s="292">
        <f>'Profits 2016'!N6364-'Profits 2016'!M6364</f>
        <v>909</v>
      </c>
      <c r="H1151" s="319"/>
      <c r="I1151" s="320"/>
      <c r="J1151" s="321"/>
      <c r="K1151" s="321"/>
      <c r="L1151" s="321"/>
      <c r="M1151" s="319"/>
      <c r="N1151" s="322"/>
      <c r="O1151" s="236" t="str">
        <f>'Profits 2016'!T6364</f>
        <v>NEMF/DLS</v>
      </c>
      <c r="P1151" s="284" t="str">
        <f>'Profits 2016'!U6364</f>
        <v>24114092</v>
      </c>
      <c r="Q1151" s="284" t="s">
        <v>15804</v>
      </c>
      <c r="R1151" s="276">
        <v>152.52000000000001</v>
      </c>
      <c r="S1151" s="275">
        <v>636883252</v>
      </c>
      <c r="T1151" s="279">
        <v>42669</v>
      </c>
      <c r="U1151" s="279">
        <v>42675</v>
      </c>
      <c r="V1151" s="279">
        <v>42678</v>
      </c>
      <c r="W1151" s="293">
        <v>152.52000000000001</v>
      </c>
      <c r="X1151" s="236">
        <v>9344</v>
      </c>
      <c r="AF1151" s="276">
        <f t="shared" si="136"/>
        <v>1061.52</v>
      </c>
      <c r="AG1151" s="276">
        <f t="shared" si="137"/>
        <v>152.52000000000001</v>
      </c>
      <c r="AH1151" s="276">
        <f t="shared" si="138"/>
        <v>2072.48</v>
      </c>
      <c r="AI1151" s="283">
        <f t="shared" si="139"/>
        <v>1.952370186148165</v>
      </c>
    </row>
    <row r="1152" spans="1:35" x14ac:dyDescent="0.25">
      <c r="A1152" s="275">
        <f>'Profits 2016'!A6365</f>
        <v>0</v>
      </c>
      <c r="B1152" s="279">
        <f>'Profits 2016'!B6365</f>
        <v>0</v>
      </c>
      <c r="C1152" s="276">
        <f>'Profits 2016'!H6365</f>
        <v>0</v>
      </c>
      <c r="D1152" s="280">
        <f>'Profits 2016'!K6365</f>
        <v>0</v>
      </c>
      <c r="E1152" s="276">
        <f>'Profits 2016'!L6365</f>
        <v>1569</v>
      </c>
      <c r="F1152" s="275" t="str">
        <f>'Profits 2016'!P6365</f>
        <v>Nassau</v>
      </c>
      <c r="G1152" s="292">
        <f>'Profits 2016'!N6365-'Profits 2016'!M6365</f>
        <v>784.5</v>
      </c>
      <c r="H1152" s="319"/>
      <c r="I1152" s="320"/>
      <c r="J1152" s="321"/>
      <c r="K1152" s="321"/>
      <c r="L1152" s="321"/>
      <c r="M1152" s="319"/>
      <c r="N1152" s="322"/>
      <c r="O1152" s="236">
        <f>'Profits 2016'!T6365</f>
        <v>0</v>
      </c>
      <c r="P1152" s="284">
        <f>'Profits 2016'!U6365</f>
        <v>0</v>
      </c>
      <c r="Q1152" s="284" t="s">
        <v>15804</v>
      </c>
      <c r="R1152" s="276">
        <v>0</v>
      </c>
      <c r="S1152" s="275">
        <v>636883252</v>
      </c>
      <c r="T1152" s="279">
        <v>42669</v>
      </c>
      <c r="U1152" s="279">
        <v>42675</v>
      </c>
      <c r="V1152" s="279">
        <v>42678</v>
      </c>
      <c r="W1152" s="293">
        <v>0</v>
      </c>
      <c r="X1152" s="236">
        <v>9344</v>
      </c>
      <c r="AF1152" s="276">
        <f t="shared" si="136"/>
        <v>784.5</v>
      </c>
      <c r="AG1152" s="276">
        <f t="shared" si="137"/>
        <v>0</v>
      </c>
      <c r="AH1152" s="276">
        <f t="shared" si="138"/>
        <v>0</v>
      </c>
      <c r="AI1152" s="283">
        <f t="shared" si="139"/>
        <v>0</v>
      </c>
    </row>
    <row r="1153" spans="1:35" ht="30" x14ac:dyDescent="0.25">
      <c r="A1153" s="275">
        <f>'Profits 2016'!A6366</f>
        <v>3004984</v>
      </c>
      <c r="B1153" s="279">
        <f>'Profits 2016'!B6366</f>
        <v>42661</v>
      </c>
      <c r="C1153" s="276">
        <f>'Profits 2016'!H6366</f>
        <v>240</v>
      </c>
      <c r="D1153" s="280">
        <f>'Profits 2016'!K6366</f>
        <v>234.42</v>
      </c>
      <c r="E1153" s="276">
        <f>'Profits 2016'!L6366</f>
        <v>1322</v>
      </c>
      <c r="F1153" s="275" t="str">
        <f>'Profits 2016'!P6366</f>
        <v>Nassau</v>
      </c>
      <c r="G1153" s="292">
        <f>'Profits 2016'!N6366-'Profits 2016'!M6366</f>
        <v>132.20000000000002</v>
      </c>
      <c r="H1153" s="319"/>
      <c r="I1153" s="320"/>
      <c r="J1153" s="321"/>
      <c r="K1153" s="321"/>
      <c r="L1153" s="321"/>
      <c r="M1153" s="319"/>
      <c r="N1153" s="322"/>
      <c r="O1153" s="236" t="str">
        <f>'Profits 2016'!T6366</f>
        <v>FEDEX GROUND</v>
      </c>
      <c r="P1153" s="284" t="str">
        <f>'Profits 2016'!U6366</f>
        <v>702723290289</v>
      </c>
      <c r="Q1153" s="284" t="s">
        <v>314</v>
      </c>
      <c r="R1153" s="276">
        <v>37.76</v>
      </c>
      <c r="S1153" s="275" t="s">
        <v>15869</v>
      </c>
      <c r="T1153" s="279">
        <v>42681</v>
      </c>
      <c r="U1153" s="279">
        <v>42688</v>
      </c>
      <c r="V1153" s="279">
        <v>42692</v>
      </c>
      <c r="W1153" s="293">
        <f>R1153</f>
        <v>37.76</v>
      </c>
      <c r="X1153" s="236">
        <v>9444</v>
      </c>
      <c r="AF1153" s="276">
        <f t="shared" si="136"/>
        <v>169.96</v>
      </c>
      <c r="AG1153" s="276">
        <f t="shared" si="137"/>
        <v>37.76</v>
      </c>
      <c r="AH1153" s="276">
        <f t="shared" si="138"/>
        <v>196.66</v>
      </c>
      <c r="AI1153" s="283">
        <f t="shared" si="139"/>
        <v>1.1570957872440573</v>
      </c>
    </row>
    <row r="1154" spans="1:35" x14ac:dyDescent="0.25">
      <c r="A1154" s="275">
        <f>'Profits 2016'!A6367</f>
        <v>3004985</v>
      </c>
      <c r="B1154" s="279">
        <f>'Profits 2016'!B6367</f>
        <v>42661</v>
      </c>
      <c r="C1154" s="276">
        <f>'Profits 2016'!H6367</f>
        <v>2280</v>
      </c>
      <c r="D1154" s="280">
        <f>'Profits 2016'!K6367</f>
        <v>2205.6</v>
      </c>
      <c r="E1154" s="276">
        <f>'Profits 2016'!L6367</f>
        <v>1710</v>
      </c>
      <c r="F1154" s="275" t="str">
        <f>'Profits 2016'!P6367</f>
        <v>Houston</v>
      </c>
      <c r="G1154" s="292">
        <f>'Profits 2016'!N6367-'Profits 2016'!M6367</f>
        <v>1368</v>
      </c>
      <c r="H1154" s="331">
        <v>0</v>
      </c>
      <c r="I1154" s="332">
        <v>30913367</v>
      </c>
      <c r="J1154" s="333">
        <v>42662</v>
      </c>
      <c r="K1154" s="333">
        <v>42667</v>
      </c>
      <c r="L1154" s="333">
        <v>42692</v>
      </c>
      <c r="M1154" s="331">
        <v>1368</v>
      </c>
      <c r="N1154" s="334">
        <v>9445</v>
      </c>
      <c r="O1154" s="236" t="str">
        <f>'Profits 2016'!T6367</f>
        <v>R&amp;L/DLS</v>
      </c>
      <c r="P1154" s="284" t="str">
        <f>'Profits 2016'!U6367</f>
        <v>I694093977</v>
      </c>
      <c r="Q1154" s="284" t="s">
        <v>15804</v>
      </c>
      <c r="R1154" s="276">
        <v>110.82</v>
      </c>
      <c r="S1154" s="275">
        <v>636859376</v>
      </c>
      <c r="T1154" s="279">
        <v>42663</v>
      </c>
      <c r="U1154" s="279">
        <v>42667</v>
      </c>
      <c r="V1154" s="279">
        <v>42671</v>
      </c>
      <c r="W1154" s="293">
        <v>110.82</v>
      </c>
      <c r="X1154" s="236">
        <v>9264</v>
      </c>
      <c r="AF1154" s="276">
        <f t="shared" si="136"/>
        <v>1478.82</v>
      </c>
      <c r="AG1154" s="276">
        <f t="shared" si="137"/>
        <v>1478.82</v>
      </c>
      <c r="AH1154" s="276">
        <f t="shared" si="138"/>
        <v>726.78</v>
      </c>
      <c r="AI1154" s="283">
        <f t="shared" si="139"/>
        <v>0.49145940682435996</v>
      </c>
    </row>
    <row r="1155" spans="1:35" ht="30" x14ac:dyDescent="0.25">
      <c r="A1155" s="275">
        <f>'Profits 2016'!A6368</f>
        <v>3004986</v>
      </c>
      <c r="B1155" s="279">
        <f>'Profits 2016'!B6368</f>
        <v>42661</v>
      </c>
      <c r="C1155" s="276">
        <f>'Profits 2016'!H6368</f>
        <v>1170</v>
      </c>
      <c r="D1155" s="280">
        <f>'Profits 2016'!K6368</f>
        <v>1143.96</v>
      </c>
      <c r="E1155" s="276">
        <f>'Profits 2016'!L6368</f>
        <v>1693</v>
      </c>
      <c r="F1155" s="275" t="str">
        <f>'Profits 2016'!P6368</f>
        <v>Nassau</v>
      </c>
      <c r="G1155" s="292">
        <f>'Profits 2016'!N6368-'Profits 2016'!M6368</f>
        <v>761.85000000000014</v>
      </c>
      <c r="H1155" s="319"/>
      <c r="I1155" s="320"/>
      <c r="J1155" s="321"/>
      <c r="K1155" s="321"/>
      <c r="L1155" s="321"/>
      <c r="M1155" s="319"/>
      <c r="N1155" s="322"/>
      <c r="O1155" s="236" t="str">
        <f>'Profits 2016'!T6368</f>
        <v>NEW PENN/DLS</v>
      </c>
      <c r="P1155" s="284" t="str">
        <f>'Profits 2016'!U6368</f>
        <v>88951935-1</v>
      </c>
      <c r="Q1155" s="284" t="s">
        <v>15876</v>
      </c>
      <c r="R1155" s="276">
        <v>108.07</v>
      </c>
      <c r="S1155" s="275">
        <v>636904238</v>
      </c>
      <c r="T1155" s="279">
        <v>42674</v>
      </c>
      <c r="U1155" s="279">
        <v>42691</v>
      </c>
      <c r="V1155" s="279">
        <v>42692</v>
      </c>
      <c r="W1155" s="293">
        <v>108.07</v>
      </c>
      <c r="X1155" s="236">
        <v>9455</v>
      </c>
      <c r="AF1155" s="276">
        <f t="shared" si="136"/>
        <v>869.92000000000007</v>
      </c>
      <c r="AG1155" s="276">
        <f t="shared" si="137"/>
        <v>108.07</v>
      </c>
      <c r="AH1155" s="276">
        <f t="shared" si="138"/>
        <v>1035.8900000000001</v>
      </c>
      <c r="AI1155" s="283">
        <f t="shared" si="139"/>
        <v>1.1907876586352768</v>
      </c>
    </row>
    <row r="1156" spans="1:35" ht="30" x14ac:dyDescent="0.25">
      <c r="A1156" s="275">
        <f>'Profits 2016'!A6369</f>
        <v>3004987</v>
      </c>
      <c r="B1156" s="279">
        <f>'Profits 2016'!B6369</f>
        <v>42661</v>
      </c>
      <c r="C1156" s="276">
        <f>'Profits 2016'!H6369</f>
        <v>90</v>
      </c>
      <c r="D1156" s="280">
        <f>'Profits 2016'!K6369</f>
        <v>79.89</v>
      </c>
      <c r="E1156" s="276">
        <f>'Profits 2016'!L6369</f>
        <v>106</v>
      </c>
      <c r="F1156" s="275" t="str">
        <f>'Profits 2016'!P6369</f>
        <v>Priority</v>
      </c>
      <c r="G1156" s="292">
        <f>'Profits 2016'!N6369-'Profits 2016'!M6369</f>
        <v>26.5</v>
      </c>
      <c r="H1156" s="331">
        <v>0</v>
      </c>
      <c r="I1156" s="332">
        <v>1067592</v>
      </c>
      <c r="J1156" s="333">
        <v>42662</v>
      </c>
      <c r="K1156" s="333">
        <v>42670</v>
      </c>
      <c r="L1156" s="333">
        <v>42692</v>
      </c>
      <c r="M1156" s="331">
        <v>43.35</v>
      </c>
      <c r="N1156" s="334">
        <v>9449</v>
      </c>
      <c r="O1156" s="236" t="str">
        <f>'Profits 2016'!T6369</f>
        <v>FEDEX GROUND</v>
      </c>
      <c r="P1156" s="284" t="str">
        <f>'Profits 2016'!U6369</f>
        <v xml:space="preserve">	703688861290</v>
      </c>
      <c r="Q1156" s="284" t="s">
        <v>15740</v>
      </c>
      <c r="R1156" s="276">
        <v>16.850000000000001</v>
      </c>
      <c r="S1156" s="275">
        <v>1067592</v>
      </c>
      <c r="T1156" s="279">
        <v>42662</v>
      </c>
      <c r="U1156" s="279">
        <v>42670</v>
      </c>
      <c r="AF1156" s="276">
        <f t="shared" si="136"/>
        <v>43.35</v>
      </c>
      <c r="AG1156" s="276">
        <f t="shared" si="137"/>
        <v>60.2</v>
      </c>
      <c r="AH1156" s="276">
        <f t="shared" si="138"/>
        <v>19.689999999999998</v>
      </c>
      <c r="AI1156" s="283">
        <f t="shared" si="139"/>
        <v>0.4542099192618223</v>
      </c>
    </row>
    <row r="1157" spans="1:35" ht="30" x14ac:dyDescent="0.25">
      <c r="A1157" s="275">
        <f>'Profits 2016'!A6370</f>
        <v>3004988</v>
      </c>
      <c r="B1157" s="279">
        <f>'Profits 2016'!B6370</f>
        <v>42661</v>
      </c>
      <c r="C1157" s="276">
        <f>'Profits 2016'!H6370</f>
        <v>143.63999999999999</v>
      </c>
      <c r="D1157" s="280">
        <f>'Profits 2016'!K6370</f>
        <v>127.68324</v>
      </c>
      <c r="E1157" s="276">
        <f>'Profits 2016'!L6370</f>
        <v>220</v>
      </c>
      <c r="F1157" s="275" t="str">
        <f>'Profits 2016'!P6370</f>
        <v>Nassau</v>
      </c>
      <c r="G1157" s="292">
        <f>'Profits 2016'!N6370-'Profits 2016'!M6370</f>
        <v>55</v>
      </c>
      <c r="H1157" s="319"/>
      <c r="I1157" s="320"/>
      <c r="J1157" s="321"/>
      <c r="K1157" s="321"/>
      <c r="L1157" s="321"/>
      <c r="M1157" s="319"/>
      <c r="N1157" s="322"/>
      <c r="O1157" s="236" t="str">
        <f>'Profits 2016'!T6370</f>
        <v>FEDEX GROUND</v>
      </c>
      <c r="P1157" s="284" t="str">
        <f>'Profits 2016'!U6370</f>
        <v>702723290304</v>
      </c>
      <c r="Q1157" s="284" t="s">
        <v>314</v>
      </c>
      <c r="R1157" s="276">
        <v>19.53</v>
      </c>
      <c r="S1157" s="275" t="s">
        <v>15793</v>
      </c>
      <c r="T1157" s="279">
        <v>42674</v>
      </c>
      <c r="U1157" s="279">
        <v>42681</v>
      </c>
      <c r="V1157" s="279">
        <v>42685</v>
      </c>
      <c r="W1157" s="293">
        <v>0</v>
      </c>
      <c r="X1157" s="236">
        <v>9399</v>
      </c>
      <c r="AF1157" s="276">
        <f t="shared" si="136"/>
        <v>74.53</v>
      </c>
      <c r="AG1157" s="276">
        <f t="shared" si="137"/>
        <v>19.53</v>
      </c>
      <c r="AH1157" s="276">
        <f t="shared" si="138"/>
        <v>108.15324</v>
      </c>
      <c r="AI1157" s="283">
        <f t="shared" si="139"/>
        <v>1.4511369918153763</v>
      </c>
    </row>
    <row r="1158" spans="1:35" ht="30" x14ac:dyDescent="0.25">
      <c r="A1158" s="275">
        <f>'Profits 2016'!A6371</f>
        <v>3004989</v>
      </c>
      <c r="B1158" s="279">
        <f>'Profits 2016'!B6371</f>
        <v>42661</v>
      </c>
      <c r="C1158" s="276">
        <f>'Profits 2016'!H6371</f>
        <v>151.52000000000001</v>
      </c>
      <c r="D1158" s="280">
        <f>'Profits 2016'!K6371</f>
        <v>134.70432000000002</v>
      </c>
      <c r="E1158" s="276">
        <f>'Profits 2016'!L6371</f>
        <v>300</v>
      </c>
      <c r="F1158" s="275" t="str">
        <f>'Profits 2016'!P6371</f>
        <v>Nassau</v>
      </c>
      <c r="G1158" s="292">
        <f>'Profits 2016'!N6371-'Profits 2016'!M6371</f>
        <v>59.999999999999993</v>
      </c>
      <c r="H1158" s="319"/>
      <c r="I1158" s="320"/>
      <c r="J1158" s="321"/>
      <c r="K1158" s="321"/>
      <c r="L1158" s="321"/>
      <c r="M1158" s="319"/>
      <c r="N1158" s="322"/>
      <c r="O1158" s="236" t="str">
        <f>'Profits 2016'!T6371</f>
        <v>FEDEX GROUND</v>
      </c>
      <c r="P1158" s="284" t="str">
        <f>'Profits 2016'!U6371</f>
        <v>702723290278</v>
      </c>
      <c r="Q1158" s="284" t="s">
        <v>314</v>
      </c>
      <c r="R1158" s="276">
        <v>23.32</v>
      </c>
      <c r="S1158" s="275" t="s">
        <v>15793</v>
      </c>
      <c r="T1158" s="279">
        <v>42674</v>
      </c>
      <c r="U1158" s="279">
        <v>42681</v>
      </c>
      <c r="V1158" s="279">
        <v>42685</v>
      </c>
      <c r="W1158" s="293">
        <v>0</v>
      </c>
      <c r="X1158" s="236">
        <v>9399</v>
      </c>
      <c r="AF1158" s="276">
        <f t="shared" si="136"/>
        <v>83.32</v>
      </c>
      <c r="AG1158" s="276">
        <f t="shared" si="137"/>
        <v>23.32</v>
      </c>
      <c r="AH1158" s="276">
        <f t="shared" si="138"/>
        <v>111.38432000000003</v>
      </c>
      <c r="AI1158" s="283">
        <f t="shared" si="139"/>
        <v>1.3368257321171393</v>
      </c>
    </row>
    <row r="1159" spans="1:35" ht="30" x14ac:dyDescent="0.25">
      <c r="A1159" s="275">
        <f>'Profits 2016'!A6372</f>
        <v>3004990</v>
      </c>
      <c r="B1159" s="279">
        <f>'Profits 2016'!B6372</f>
        <v>42661</v>
      </c>
      <c r="C1159" s="276">
        <f>'Profits 2016'!H6372</f>
        <v>425.28</v>
      </c>
      <c r="D1159" s="280">
        <f>'Profits 2016'!K6372</f>
        <v>378.62448000000001</v>
      </c>
      <c r="E1159" s="276">
        <f>'Profits 2016'!L6372</f>
        <v>595</v>
      </c>
      <c r="F1159" s="275" t="str">
        <f>'Profits 2016'!P6372</f>
        <v>Nassau</v>
      </c>
      <c r="G1159" s="292">
        <f>'Profits 2016'!N6372-'Profits 2016'!M6372</f>
        <v>178.5</v>
      </c>
      <c r="H1159" s="319"/>
      <c r="I1159" s="320"/>
      <c r="J1159" s="321"/>
      <c r="K1159" s="321"/>
      <c r="L1159" s="321"/>
      <c r="M1159" s="319"/>
      <c r="N1159" s="322"/>
      <c r="O1159" s="236" t="str">
        <f>'Profits 2016'!T6372</f>
        <v>FEDEX GROUND</v>
      </c>
      <c r="P1159" s="284" t="str">
        <f>'Profits 2016'!U6372</f>
        <v>702723290315</v>
      </c>
      <c r="Q1159" s="284" t="s">
        <v>314</v>
      </c>
      <c r="R1159" s="276">
        <v>65.7</v>
      </c>
      <c r="S1159" s="275" t="s">
        <v>15869</v>
      </c>
      <c r="T1159" s="279">
        <v>42681</v>
      </c>
      <c r="U1159" s="279">
        <v>42688</v>
      </c>
      <c r="V1159" s="279">
        <v>42692</v>
      </c>
      <c r="W1159" s="293">
        <f t="shared" ref="W1159:W1160" si="140">R1159</f>
        <v>65.7</v>
      </c>
      <c r="X1159" s="236">
        <v>9444</v>
      </c>
      <c r="AF1159" s="276">
        <f t="shared" si="136"/>
        <v>244.2</v>
      </c>
      <c r="AG1159" s="276">
        <f t="shared" si="137"/>
        <v>65.7</v>
      </c>
      <c r="AH1159" s="276">
        <f t="shared" si="138"/>
        <v>312.92448000000002</v>
      </c>
      <c r="AI1159" s="283">
        <f t="shared" si="139"/>
        <v>1.2814270270270272</v>
      </c>
    </row>
    <row r="1160" spans="1:35" ht="30" x14ac:dyDescent="0.25">
      <c r="A1160" s="275">
        <f>'Profits 2016'!A6373</f>
        <v>3004991</v>
      </c>
      <c r="B1160" s="279">
        <f>'Profits 2016'!B6373</f>
        <v>42661</v>
      </c>
      <c r="C1160" s="276">
        <f>'Profits 2016'!H6373</f>
        <v>230</v>
      </c>
      <c r="D1160" s="280">
        <f>'Profits 2016'!K6373</f>
        <v>204.63000000000002</v>
      </c>
      <c r="E1160" s="276">
        <f>'Profits 2016'!L6373</f>
        <v>1322</v>
      </c>
      <c r="F1160" s="275" t="str">
        <f>'Profits 2016'!P6373</f>
        <v>Nassau</v>
      </c>
      <c r="G1160" s="292">
        <f>'Profits 2016'!N6373-'Profits 2016'!M6373</f>
        <v>99.149999999999991</v>
      </c>
      <c r="H1160" s="319"/>
      <c r="I1160" s="320"/>
      <c r="J1160" s="321"/>
      <c r="K1160" s="321"/>
      <c r="L1160" s="321"/>
      <c r="M1160" s="319"/>
      <c r="N1160" s="322"/>
      <c r="O1160" s="236" t="str">
        <f>'Profits 2016'!T6373</f>
        <v>FEDEX GROUND</v>
      </c>
      <c r="P1160" s="284" t="str">
        <f>'Profits 2016'!U6373</f>
        <v>702723290290</v>
      </c>
      <c r="Q1160" s="284" t="s">
        <v>314</v>
      </c>
      <c r="R1160" s="276">
        <v>20.51</v>
      </c>
      <c r="S1160" s="275" t="s">
        <v>15869</v>
      </c>
      <c r="T1160" s="279">
        <v>42681</v>
      </c>
      <c r="U1160" s="279">
        <v>42688</v>
      </c>
      <c r="V1160" s="279">
        <v>42692</v>
      </c>
      <c r="W1160" s="293">
        <f t="shared" si="140"/>
        <v>20.51</v>
      </c>
      <c r="X1160" s="236">
        <v>9444</v>
      </c>
      <c r="AF1160" s="276">
        <f t="shared" si="136"/>
        <v>119.66</v>
      </c>
      <c r="AG1160" s="276">
        <f t="shared" si="137"/>
        <v>20.51</v>
      </c>
      <c r="AH1160" s="276">
        <f t="shared" si="138"/>
        <v>184.12000000000003</v>
      </c>
      <c r="AI1160" s="283">
        <f t="shared" si="139"/>
        <v>1.5386929633962898</v>
      </c>
    </row>
    <row r="1161" spans="1:35" ht="30" x14ac:dyDescent="0.25">
      <c r="A1161" s="275">
        <f>'Profits 2016'!A6374</f>
        <v>3004992</v>
      </c>
      <c r="B1161" s="279">
        <f>'Profits 2016'!B6374</f>
        <v>42661</v>
      </c>
      <c r="C1161" s="276">
        <f>'Profits 2016'!H6374</f>
        <v>308.8</v>
      </c>
      <c r="D1161" s="280">
        <f>'Profits 2016'!K6374</f>
        <v>274.84080000000006</v>
      </c>
      <c r="E1161" s="276">
        <f>'Profits 2016'!L6374</f>
        <v>510</v>
      </c>
      <c r="F1161" s="275" t="str">
        <f>'Profits 2016'!P6374</f>
        <v>Nassau</v>
      </c>
      <c r="G1161" s="292">
        <f>'Profits 2016'!N6374-'Profits 2016'!M6374</f>
        <v>165.75</v>
      </c>
      <c r="H1161" s="319"/>
      <c r="I1161" s="320"/>
      <c r="J1161" s="321"/>
      <c r="K1161" s="321"/>
      <c r="L1161" s="321"/>
      <c r="M1161" s="319"/>
      <c r="N1161" s="322"/>
      <c r="O1161" s="236" t="str">
        <f>'Profits 2016'!T6374</f>
        <v>FEDEX GROUND</v>
      </c>
      <c r="P1161" s="284" t="str">
        <f>'Profits 2016'!U6374</f>
        <v>702723290326</v>
      </c>
      <c r="Q1161" s="284" t="s">
        <v>314</v>
      </c>
      <c r="R1161" s="276">
        <v>46.3</v>
      </c>
      <c r="S1161" s="275" t="s">
        <v>15793</v>
      </c>
      <c r="T1161" s="279">
        <v>42674</v>
      </c>
      <c r="U1161" s="279">
        <v>42681</v>
      </c>
      <c r="V1161" s="279">
        <v>42685</v>
      </c>
      <c r="W1161" s="293">
        <v>0</v>
      </c>
      <c r="X1161" s="236">
        <v>9399</v>
      </c>
      <c r="AF1161" s="276">
        <f t="shared" si="136"/>
        <v>212.05</v>
      </c>
      <c r="AG1161" s="276">
        <f t="shared" si="137"/>
        <v>46.3</v>
      </c>
      <c r="AH1161" s="276">
        <f t="shared" si="138"/>
        <v>228.54080000000005</v>
      </c>
      <c r="AI1161" s="283">
        <f t="shared" si="139"/>
        <v>1.0777684508370668</v>
      </c>
    </row>
    <row r="1162" spans="1:35" ht="30" x14ac:dyDescent="0.25">
      <c r="A1162" s="275">
        <f>'Profits 2016'!A6375</f>
        <v>3004993</v>
      </c>
      <c r="B1162" s="279">
        <f>'Profits 2016'!B6375</f>
        <v>42661</v>
      </c>
      <c r="C1162" s="276">
        <f>'Profits 2016'!H6375</f>
        <v>227.48</v>
      </c>
      <c r="D1162" s="280">
        <f>'Profits 2016'!K6375</f>
        <v>202.38468</v>
      </c>
      <c r="E1162" s="276">
        <f>'Profits 2016'!L6375</f>
        <v>990</v>
      </c>
      <c r="F1162" s="275" t="str">
        <f>'Profits 2016'!P6375</f>
        <v>Nassau</v>
      </c>
      <c r="G1162" s="292">
        <f>'Profits 2016'!N6375-'Profits 2016'!M6375</f>
        <v>99</v>
      </c>
      <c r="H1162" s="319"/>
      <c r="I1162" s="320"/>
      <c r="J1162" s="321"/>
      <c r="K1162" s="321"/>
      <c r="L1162" s="321"/>
      <c r="M1162" s="319"/>
      <c r="N1162" s="322"/>
      <c r="O1162" s="236" t="str">
        <f>'Profits 2016'!T6375</f>
        <v>FEDEX GROUND</v>
      </c>
      <c r="P1162" s="284" t="str">
        <f>'Profits 2016'!U6375</f>
        <v>702723290267</v>
      </c>
      <c r="Q1162" s="284" t="s">
        <v>314</v>
      </c>
      <c r="R1162" s="276">
        <v>42.4</v>
      </c>
      <c r="S1162" s="275" t="s">
        <v>15793</v>
      </c>
      <c r="T1162" s="279">
        <v>42674</v>
      </c>
      <c r="U1162" s="279">
        <v>42681</v>
      </c>
      <c r="V1162" s="279">
        <v>42685</v>
      </c>
      <c r="W1162" s="293">
        <v>0</v>
      </c>
      <c r="X1162" s="236">
        <v>9399</v>
      </c>
      <c r="AF1162" s="276">
        <f t="shared" si="136"/>
        <v>141.4</v>
      </c>
      <c r="AG1162" s="276">
        <f t="shared" si="137"/>
        <v>42.4</v>
      </c>
      <c r="AH1162" s="276">
        <f t="shared" si="138"/>
        <v>159.98468</v>
      </c>
      <c r="AI1162" s="283">
        <f t="shared" si="139"/>
        <v>1.1314333804809051</v>
      </c>
    </row>
    <row r="1163" spans="1:35" ht="30" x14ac:dyDescent="0.25">
      <c r="A1163" s="275">
        <f>'Profits 2016'!A6376</f>
        <v>3004994</v>
      </c>
      <c r="B1163" s="279">
        <f>'Profits 2016'!B6376</f>
        <v>42661</v>
      </c>
      <c r="C1163" s="276">
        <f>'Profits 2016'!H6376</f>
        <v>167.59</v>
      </c>
      <c r="D1163" s="280">
        <f>'Profits 2016'!K6376</f>
        <v>149.02269000000001</v>
      </c>
      <c r="E1163" s="276">
        <f>'Profits 2016'!L6376</f>
        <v>100</v>
      </c>
      <c r="F1163" s="275" t="str">
        <f>'Profits 2016'!P6376</f>
        <v>Priority</v>
      </c>
      <c r="G1163" s="292">
        <f>'Profits 2016'!N6376-'Profits 2016'!M6376</f>
        <v>100</v>
      </c>
      <c r="H1163" s="331">
        <v>0</v>
      </c>
      <c r="I1163" s="332">
        <v>1067849</v>
      </c>
      <c r="J1163" s="333">
        <v>42662</v>
      </c>
      <c r="K1163" s="333">
        <v>42670</v>
      </c>
      <c r="L1163" s="333">
        <v>42692</v>
      </c>
      <c r="M1163" s="331">
        <v>114.53</v>
      </c>
      <c r="N1163" s="334">
        <v>9449</v>
      </c>
      <c r="O1163" s="236" t="str">
        <f>'Profits 2016'!T6376</f>
        <v>FEDEX GROUND</v>
      </c>
      <c r="P1163" s="284" t="str">
        <f>'Profits 2016'!U6376</f>
        <v xml:space="preserve">	616712877387</v>
      </c>
      <c r="Q1163" s="284" t="s">
        <v>15740</v>
      </c>
      <c r="R1163" s="276">
        <v>14.53</v>
      </c>
      <c r="S1163" s="275">
        <v>1067849</v>
      </c>
      <c r="T1163" s="279">
        <v>42662</v>
      </c>
      <c r="U1163" s="279">
        <v>42670</v>
      </c>
      <c r="AF1163" s="276">
        <f t="shared" si="136"/>
        <v>114.53</v>
      </c>
      <c r="AG1163" s="276">
        <f t="shared" si="137"/>
        <v>129.06</v>
      </c>
      <c r="AH1163" s="276">
        <f t="shared" si="138"/>
        <v>19.962690000000009</v>
      </c>
      <c r="AI1163" s="283">
        <f t="shared" si="139"/>
        <v>0.17430096917838128</v>
      </c>
    </row>
    <row r="1164" spans="1:35" x14ac:dyDescent="0.25">
      <c r="A1164" s="275">
        <f>'Profits 2016'!A6377</f>
        <v>3004995</v>
      </c>
      <c r="B1164" s="279">
        <f>'Profits 2016'!B6377</f>
        <v>42661</v>
      </c>
      <c r="C1164" s="276">
        <f>'Profits 2016'!H6377</f>
        <v>1000</v>
      </c>
      <c r="D1164" s="280">
        <f>'Profits 2016'!K6377</f>
        <v>890.7</v>
      </c>
      <c r="E1164" s="276">
        <f>'Profits 2016'!L6377</f>
        <v>424</v>
      </c>
      <c r="F1164" s="275" t="str">
        <f>'Profits 2016'!P6377</f>
        <v>Nassau</v>
      </c>
      <c r="G1164" s="292">
        <f>'Profits 2016'!N6377-'Profits 2016'!M6377</f>
        <v>424</v>
      </c>
      <c r="H1164" s="319"/>
      <c r="I1164" s="320"/>
      <c r="J1164" s="321"/>
      <c r="K1164" s="321"/>
      <c r="L1164" s="321"/>
      <c r="M1164" s="319"/>
      <c r="N1164" s="322"/>
      <c r="O1164" s="236" t="str">
        <f>'Profits 2016'!T6377</f>
        <v>XPO/DLS</v>
      </c>
      <c r="P1164" s="284" t="str">
        <f>'Profits 2016'!U6377</f>
        <v>284-722944</v>
      </c>
      <c r="Q1164" s="284" t="s">
        <v>15804</v>
      </c>
      <c r="R1164" s="276">
        <v>156.36000000000001</v>
      </c>
      <c r="S1164" s="275">
        <v>636878896</v>
      </c>
      <c r="T1164" s="279">
        <v>42668</v>
      </c>
      <c r="U1164" s="279">
        <v>42675</v>
      </c>
      <c r="V1164" s="279">
        <v>42678</v>
      </c>
      <c r="W1164" s="293">
        <v>156.36000000000001</v>
      </c>
      <c r="X1164" s="236">
        <v>9345</v>
      </c>
      <c r="AF1164" s="276">
        <f t="shared" si="136"/>
        <v>580.36</v>
      </c>
      <c r="AG1164" s="276">
        <f t="shared" si="137"/>
        <v>156.36000000000001</v>
      </c>
      <c r="AH1164" s="276">
        <f t="shared" si="138"/>
        <v>734.34</v>
      </c>
      <c r="AI1164" s="283">
        <f t="shared" si="139"/>
        <v>1.2653180784340754</v>
      </c>
    </row>
    <row r="1165" spans="1:35" x14ac:dyDescent="0.25">
      <c r="A1165" s="275">
        <f>'Profits 2016'!A6378</f>
        <v>3004996</v>
      </c>
      <c r="B1165" s="279">
        <f>'Profits 2016'!B6378</f>
        <v>42661</v>
      </c>
      <c r="C1165" s="276">
        <f>'Profits 2016'!H6378</f>
        <v>772.85</v>
      </c>
      <c r="D1165" s="280">
        <f>'Profits 2016'!K6378</f>
        <v>688.30934999999999</v>
      </c>
      <c r="E1165" s="276">
        <f>'Profits 2016'!L6378</f>
        <v>1100</v>
      </c>
      <c r="F1165" s="275" t="str">
        <f>'Profits 2016'!P6378</f>
        <v>Service</v>
      </c>
      <c r="G1165" s="292">
        <f>'Profits 2016'!N6378-'Profits 2016'!M6378</f>
        <v>550</v>
      </c>
      <c r="H1165" s="331">
        <v>0</v>
      </c>
      <c r="I1165" s="332">
        <v>50264720</v>
      </c>
      <c r="J1165" s="333">
        <v>42661</v>
      </c>
      <c r="K1165" s="333">
        <v>42667</v>
      </c>
      <c r="L1165" s="333"/>
      <c r="M1165" s="331"/>
      <c r="N1165" s="334"/>
      <c r="O1165" s="236" t="str">
        <f>'Profits 2016'!T6378</f>
        <v>PITT OHIO</v>
      </c>
      <c r="P1165" s="284" t="str">
        <f>'Profits 2016'!U6378</f>
        <v>5008302486</v>
      </c>
      <c r="AF1165" s="276">
        <f t="shared" si="136"/>
        <v>550</v>
      </c>
      <c r="AG1165" s="276">
        <f t="shared" si="137"/>
        <v>0</v>
      </c>
      <c r="AH1165" s="276">
        <f t="shared" si="138"/>
        <v>688.30934999999999</v>
      </c>
      <c r="AI1165" s="283">
        <f t="shared" si="139"/>
        <v>1.2514715454545455</v>
      </c>
    </row>
    <row r="1166" spans="1:35" ht="30" x14ac:dyDescent="0.25">
      <c r="A1166" s="275">
        <f>'Profits 2016'!A6379</f>
        <v>3004997</v>
      </c>
      <c r="B1166" s="279">
        <f>'Profits 2016'!B6379</f>
        <v>42661</v>
      </c>
      <c r="C1166" s="276">
        <f>'Profits 2016'!H6379</f>
        <v>145</v>
      </c>
      <c r="D1166" s="280">
        <f>'Profits 2016'!K6379</f>
        <v>123.25</v>
      </c>
      <c r="E1166" s="276">
        <f>'Profits 2016'!L6379</f>
        <v>424</v>
      </c>
      <c r="F1166" s="275" t="str">
        <f>'Profits 2016'!P6379</f>
        <v>Nassau</v>
      </c>
      <c r="G1166" s="292">
        <f>'Profits 2016'!N6379-'Profits 2016'!M6379</f>
        <v>63.599999999999994</v>
      </c>
      <c r="H1166" s="319"/>
      <c r="I1166" s="320"/>
      <c r="J1166" s="321"/>
      <c r="K1166" s="321"/>
      <c r="L1166" s="321"/>
      <c r="M1166" s="319"/>
      <c r="N1166" s="322"/>
      <c r="O1166" s="236" t="str">
        <f>'Profits 2016'!T6379</f>
        <v>FEDEX GROUND</v>
      </c>
      <c r="P1166" s="284" t="str">
        <f>'Profits 2016'!U6379</f>
        <v>702723290337</v>
      </c>
      <c r="Q1166" s="284" t="s">
        <v>314</v>
      </c>
      <c r="R1166" s="276">
        <v>17.670000000000002</v>
      </c>
      <c r="S1166" s="275" t="s">
        <v>15793</v>
      </c>
      <c r="T1166" s="279">
        <v>42674</v>
      </c>
      <c r="U1166" s="279">
        <v>42681</v>
      </c>
      <c r="V1166" s="279">
        <v>42685</v>
      </c>
      <c r="W1166" s="293">
        <v>0</v>
      </c>
      <c r="X1166" s="236">
        <v>9399</v>
      </c>
      <c r="AF1166" s="276">
        <f t="shared" si="136"/>
        <v>81.27</v>
      </c>
      <c r="AG1166" s="276">
        <f t="shared" si="137"/>
        <v>17.670000000000002</v>
      </c>
      <c r="AH1166" s="276">
        <f t="shared" si="138"/>
        <v>105.58</v>
      </c>
      <c r="AI1166" s="283">
        <f t="shared" si="139"/>
        <v>1.2991263688938108</v>
      </c>
    </row>
    <row r="1167" spans="1:35" ht="30" x14ac:dyDescent="0.25">
      <c r="A1167" s="275">
        <f>'Profits 2016'!A6380</f>
        <v>3004998</v>
      </c>
      <c r="B1167" s="279">
        <f>'Profits 2016'!B6380</f>
        <v>42661</v>
      </c>
      <c r="C1167" s="276">
        <f>'Profits 2016'!H6380</f>
        <v>178.36</v>
      </c>
      <c r="D1167" s="280">
        <f>'Profits 2016'!K6380</f>
        <v>151.60600000000002</v>
      </c>
      <c r="E1167" s="276">
        <f>'Profits 2016'!L6380</f>
        <v>1180</v>
      </c>
      <c r="F1167" s="275" t="str">
        <f>'Profits 2016'!P6380</f>
        <v>Direct</v>
      </c>
      <c r="G1167" s="292">
        <f>'Profits 2016'!N6380-'Profits 2016'!M6380</f>
        <v>59</v>
      </c>
      <c r="H1167" s="331">
        <v>0</v>
      </c>
      <c r="I1167" s="332">
        <v>74753</v>
      </c>
      <c r="J1167" s="333">
        <v>42661</v>
      </c>
      <c r="K1167" s="333">
        <v>42667</v>
      </c>
      <c r="L1167" s="333">
        <v>42671</v>
      </c>
      <c r="M1167" s="331">
        <v>115.64</v>
      </c>
      <c r="N1167" s="334">
        <v>9246</v>
      </c>
      <c r="O1167" s="236" t="str">
        <f>'Profits 2016'!T6380</f>
        <v>FEDEX GROUND</v>
      </c>
      <c r="P1167" s="284" t="str">
        <f>'Profits 2016'!U6380</f>
        <v>639564016515</v>
      </c>
      <c r="Q1167" s="284" t="s">
        <v>314</v>
      </c>
      <c r="R1167" s="276">
        <v>23.63</v>
      </c>
      <c r="S1167" s="275" t="s">
        <v>15793</v>
      </c>
      <c r="T1167" s="279">
        <v>42674</v>
      </c>
      <c r="U1167" s="279">
        <v>42681</v>
      </c>
      <c r="V1167" s="279">
        <v>42685</v>
      </c>
      <c r="W1167" s="293">
        <v>0</v>
      </c>
      <c r="X1167" s="236">
        <v>9399</v>
      </c>
      <c r="AF1167" s="276">
        <f t="shared" si="136"/>
        <v>82.63</v>
      </c>
      <c r="AG1167" s="276">
        <f t="shared" si="137"/>
        <v>139.27000000000001</v>
      </c>
      <c r="AH1167" s="276">
        <f t="shared" si="138"/>
        <v>12.336000000000013</v>
      </c>
      <c r="AI1167" s="283">
        <f t="shared" si="139"/>
        <v>0.14929202468837</v>
      </c>
    </row>
    <row r="1168" spans="1:35" x14ac:dyDescent="0.25">
      <c r="A1168" s="275">
        <f>'Profits 2016'!A6381</f>
        <v>0</v>
      </c>
      <c r="B1168" s="279">
        <f>'Profits 2016'!B6381</f>
        <v>0</v>
      </c>
      <c r="C1168" s="276">
        <f>'Profits 2016'!H6381</f>
        <v>0</v>
      </c>
      <c r="D1168" s="280">
        <f>'Profits 2016'!K6381</f>
        <v>0</v>
      </c>
      <c r="E1168" s="276">
        <f>'Profits 2016'!L6381</f>
        <v>1180</v>
      </c>
      <c r="F1168" s="275" t="str">
        <f>'Profits 2016'!P6381</f>
        <v>Direct</v>
      </c>
      <c r="G1168" s="292">
        <f>'Profits 2016'!N6381-'Profits 2016'!M6381</f>
        <v>59</v>
      </c>
      <c r="H1168" s="331">
        <v>0</v>
      </c>
      <c r="I1168" s="332">
        <v>74753</v>
      </c>
      <c r="J1168" s="333">
        <v>42661</v>
      </c>
      <c r="K1168" s="333">
        <v>42667</v>
      </c>
      <c r="L1168" s="333">
        <v>42671</v>
      </c>
      <c r="M1168" s="331">
        <v>0</v>
      </c>
      <c r="N1168" s="334">
        <v>9246</v>
      </c>
      <c r="O1168" s="236">
        <f>'Profits 2016'!T6381</f>
        <v>0</v>
      </c>
      <c r="P1168" s="284">
        <f>'Profits 2016'!U6381</f>
        <v>0</v>
      </c>
      <c r="Q1168" s="284" t="s">
        <v>314</v>
      </c>
      <c r="R1168" s="276">
        <v>31.22</v>
      </c>
      <c r="S1168" s="275" t="s">
        <v>15869</v>
      </c>
      <c r="T1168" s="279">
        <v>42681</v>
      </c>
      <c r="U1168" s="279">
        <v>42688</v>
      </c>
      <c r="V1168" s="279">
        <v>42692</v>
      </c>
      <c r="W1168" s="293">
        <f>R1168</f>
        <v>31.22</v>
      </c>
      <c r="X1168" s="236">
        <v>9444</v>
      </c>
      <c r="AF1168" s="276">
        <f t="shared" si="136"/>
        <v>90.22</v>
      </c>
      <c r="AG1168" s="276">
        <f t="shared" si="137"/>
        <v>31.22</v>
      </c>
      <c r="AH1168" s="276">
        <f t="shared" si="138"/>
        <v>-31.22</v>
      </c>
      <c r="AI1168" s="283">
        <f t="shared" si="139"/>
        <v>-0.34604300598536908</v>
      </c>
    </row>
    <row r="1169" spans="1:35" ht="30" x14ac:dyDescent="0.25">
      <c r="A1169" s="275">
        <f>'Profits 2016'!A6382</f>
        <v>3004999</v>
      </c>
      <c r="B1169" s="279">
        <f>'Profits 2016'!B6382</f>
        <v>42661</v>
      </c>
      <c r="C1169" s="276">
        <f>'Profits 2016'!H6382</f>
        <v>113.6</v>
      </c>
      <c r="D1169" s="280">
        <f>'Profits 2016'!K6382</f>
        <v>96.56</v>
      </c>
      <c r="E1169" s="276">
        <f>'Profits 2016'!L6382</f>
        <v>424</v>
      </c>
      <c r="F1169" s="275" t="str">
        <f>'Profits 2016'!P6382</f>
        <v>Nassau</v>
      </c>
      <c r="G1169" s="292">
        <f>'Profits 2016'!N6382-'Profits 2016'!M6382</f>
        <v>42.400000000000006</v>
      </c>
      <c r="H1169" s="319"/>
      <c r="I1169" s="320"/>
      <c r="J1169" s="321"/>
      <c r="K1169" s="321"/>
      <c r="L1169" s="321"/>
      <c r="M1169" s="319"/>
      <c r="N1169" s="322"/>
      <c r="O1169" s="236" t="str">
        <f>'Profits 2016'!T6382</f>
        <v>FEDEX GROUND</v>
      </c>
      <c r="P1169" s="284" t="str">
        <f>'Profits 2016'!U6382</f>
        <v>702723290348</v>
      </c>
      <c r="Q1169" s="284" t="s">
        <v>314</v>
      </c>
      <c r="R1169" s="276">
        <v>33.39</v>
      </c>
      <c r="S1169" s="275" t="s">
        <v>15793</v>
      </c>
      <c r="T1169" s="279">
        <v>42674</v>
      </c>
      <c r="U1169" s="279">
        <v>42681</v>
      </c>
      <c r="V1169" s="279">
        <v>42685</v>
      </c>
      <c r="W1169" s="293">
        <v>0</v>
      </c>
      <c r="X1169" s="236">
        <v>9399</v>
      </c>
      <c r="AF1169" s="276">
        <f t="shared" ref="AF1169:AF1232" si="141">G1169+H1170+R1169+Y1169</f>
        <v>75.790000000000006</v>
      </c>
      <c r="AG1169" s="276">
        <f t="shared" ref="AG1169:AG1232" si="142">M1169+R1169+Y1169</f>
        <v>33.39</v>
      </c>
      <c r="AH1169" s="276">
        <f t="shared" ref="AH1169:AH1232" si="143">D1169-AG1169</f>
        <v>63.17</v>
      </c>
      <c r="AI1169" s="283">
        <f t="shared" ref="AI1169:AI1232" si="144">AH1169/AF1169</f>
        <v>0.8334872674495315</v>
      </c>
    </row>
    <row r="1170" spans="1:35" ht="30" x14ac:dyDescent="0.25">
      <c r="A1170" s="275">
        <f>'Profits 2016'!A6383</f>
        <v>3005000</v>
      </c>
      <c r="B1170" s="279">
        <f>'Profits 2016'!B6383</f>
        <v>42661</v>
      </c>
      <c r="C1170" s="276">
        <f>'Profits 2016'!H6383</f>
        <v>159</v>
      </c>
      <c r="D1170" s="280">
        <f>'Profits 2016'!K6383</f>
        <v>135.15</v>
      </c>
      <c r="E1170" s="276">
        <f>'Profits 2016'!L6383</f>
        <v>460</v>
      </c>
      <c r="F1170" s="275" t="str">
        <f>'Profits 2016'!P6383</f>
        <v>Direct</v>
      </c>
      <c r="G1170" s="292">
        <f>'Profits 2016'!N6383-'Profits 2016'!M6383</f>
        <v>46</v>
      </c>
      <c r="H1170" s="331">
        <v>0</v>
      </c>
      <c r="I1170" s="332">
        <v>74838</v>
      </c>
      <c r="J1170" s="333">
        <v>42662</v>
      </c>
      <c r="K1170" s="333">
        <v>42667</v>
      </c>
      <c r="L1170" s="333">
        <v>42671</v>
      </c>
      <c r="M1170" s="331">
        <v>90.16</v>
      </c>
      <c r="N1170" s="334">
        <v>9246</v>
      </c>
      <c r="O1170" s="236" t="str">
        <f>'Profits 2016'!T6383</f>
        <v>FEDEX GROUND</v>
      </c>
      <c r="P1170" s="284" t="str">
        <f>'Profits 2016'!U6383</f>
        <v>639794969934</v>
      </c>
      <c r="AF1170" s="276">
        <f t="shared" si="141"/>
        <v>46</v>
      </c>
      <c r="AG1170" s="276">
        <f t="shared" si="142"/>
        <v>90.16</v>
      </c>
      <c r="AH1170" s="276">
        <f t="shared" si="143"/>
        <v>44.990000000000009</v>
      </c>
      <c r="AI1170" s="283">
        <f t="shared" si="144"/>
        <v>0.97804347826086979</v>
      </c>
    </row>
    <row r="1171" spans="1:35" x14ac:dyDescent="0.25">
      <c r="A1171" s="275">
        <f>'Profits 2016'!A6384</f>
        <v>0</v>
      </c>
      <c r="B1171" s="279">
        <f>'Profits 2016'!B6384</f>
        <v>0</v>
      </c>
      <c r="C1171" s="276">
        <f>'Profits 2016'!H6384</f>
        <v>0</v>
      </c>
      <c r="D1171" s="280">
        <f>'Profits 2016'!K6384</f>
        <v>0</v>
      </c>
      <c r="E1171" s="276">
        <f>'Profits 2016'!L6384</f>
        <v>460</v>
      </c>
      <c r="F1171" s="275" t="str">
        <f>'Profits 2016'!P6384</f>
        <v>Direct</v>
      </c>
      <c r="G1171" s="292">
        <f>'Profits 2016'!N6384-'Profits 2016'!M6384</f>
        <v>46</v>
      </c>
      <c r="H1171" s="331">
        <v>0</v>
      </c>
      <c r="I1171" s="332">
        <v>74838</v>
      </c>
      <c r="J1171" s="333">
        <v>42662</v>
      </c>
      <c r="K1171" s="333">
        <v>42667</v>
      </c>
      <c r="L1171" s="333">
        <v>42671</v>
      </c>
      <c r="M1171" s="331">
        <v>0</v>
      </c>
      <c r="N1171" s="334">
        <v>9246</v>
      </c>
      <c r="O1171" s="236">
        <f>'Profits 2016'!T6384</f>
        <v>0</v>
      </c>
      <c r="P1171" s="284">
        <f>'Profits 2016'!U6384</f>
        <v>0</v>
      </c>
      <c r="AF1171" s="276">
        <f t="shared" si="141"/>
        <v>46</v>
      </c>
      <c r="AG1171" s="276">
        <f t="shared" si="142"/>
        <v>0</v>
      </c>
      <c r="AH1171" s="276">
        <f t="shared" si="143"/>
        <v>0</v>
      </c>
      <c r="AI1171" s="283">
        <f t="shared" si="144"/>
        <v>0</v>
      </c>
    </row>
    <row r="1172" spans="1:35" x14ac:dyDescent="0.25">
      <c r="A1172" s="275">
        <f>'Profits 2016'!A6385</f>
        <v>3005001</v>
      </c>
      <c r="B1172" s="279">
        <f>'Profits 2016'!B6385</f>
        <v>42661</v>
      </c>
      <c r="C1172" s="276">
        <f>'Profits 2016'!H6385</f>
        <v>1080</v>
      </c>
      <c r="D1172" s="280">
        <f>'Profits 2016'!K6385</f>
        <v>1080</v>
      </c>
      <c r="E1172" s="276">
        <f>'Profits 2016'!L6385</f>
        <v>650</v>
      </c>
      <c r="F1172" s="275" t="str">
        <f>'Profits 2016'!P6385</f>
        <v>Priority</v>
      </c>
      <c r="G1172" s="292">
        <f>'Profits 2016'!N6385-'Profits 2016'!M6385</f>
        <v>650</v>
      </c>
      <c r="H1172" s="331">
        <v>0</v>
      </c>
      <c r="I1172" s="332">
        <v>1067772</v>
      </c>
      <c r="J1172" s="333">
        <v>42662</v>
      </c>
      <c r="K1172" s="333">
        <v>42670</v>
      </c>
      <c r="L1172" s="333">
        <v>42692</v>
      </c>
      <c r="M1172" s="331">
        <v>716</v>
      </c>
      <c r="N1172" s="334">
        <v>9448</v>
      </c>
      <c r="O1172" s="236" t="str">
        <f>'Profits 2016'!T6385</f>
        <v>VICTORY</v>
      </c>
      <c r="P1172" s="284" t="str">
        <f>'Profits 2016'!U6385</f>
        <v xml:space="preserve">	869267</v>
      </c>
      <c r="Q1172" s="284" t="s">
        <v>15740</v>
      </c>
      <c r="R1172" s="276">
        <v>66</v>
      </c>
      <c r="S1172" s="275">
        <v>1067772</v>
      </c>
      <c r="T1172" s="279">
        <v>42662</v>
      </c>
      <c r="U1172" s="279">
        <v>42670</v>
      </c>
      <c r="AF1172" s="276">
        <f t="shared" si="141"/>
        <v>715.44</v>
      </c>
      <c r="AG1172" s="276">
        <f t="shared" si="142"/>
        <v>782</v>
      </c>
      <c r="AH1172" s="276">
        <f t="shared" si="143"/>
        <v>298</v>
      </c>
      <c r="AI1172" s="283">
        <f t="shared" si="144"/>
        <v>0.41652689254165265</v>
      </c>
    </row>
    <row r="1173" spans="1:35" ht="30" x14ac:dyDescent="0.25">
      <c r="A1173" s="275">
        <f>'Profits 2016'!A6386</f>
        <v>3005002</v>
      </c>
      <c r="B1173" s="279">
        <f>'Profits 2016'!B6386</f>
        <v>42661</v>
      </c>
      <c r="C1173" s="276">
        <f>'Profits 2016'!H6386</f>
        <v>1806.25</v>
      </c>
      <c r="D1173" s="280">
        <f>'Profits 2016'!K6386</f>
        <v>1747.246875</v>
      </c>
      <c r="E1173" s="276">
        <f>'Profits 2016'!L6386</f>
        <v>2679.11</v>
      </c>
      <c r="F1173" s="275" t="str">
        <f>'Profits 2016'!P6386</f>
        <v>General</v>
      </c>
      <c r="G1173" s="292">
        <f>'Profits 2016'!N6386-'Profits 2016'!M6386</f>
        <v>1138.62175</v>
      </c>
      <c r="H1173" s="331">
        <v>-0.56000000000000005</v>
      </c>
      <c r="I1173" s="332">
        <v>3771558</v>
      </c>
      <c r="J1173" s="333">
        <v>42664</v>
      </c>
      <c r="K1173" s="333">
        <v>42670</v>
      </c>
      <c r="L1173" s="333">
        <v>42678</v>
      </c>
      <c r="M1173" s="331">
        <v>1115.3</v>
      </c>
      <c r="N1173" s="334">
        <v>9317</v>
      </c>
      <c r="O1173" s="236" t="str">
        <f>'Profits 2016'!T6386</f>
        <v>FEDEX/ECHO</v>
      </c>
      <c r="P1173" s="284" t="str">
        <f>'Profits 2016'!U6386</f>
        <v>3720047435</v>
      </c>
      <c r="Q1173" s="284" t="s">
        <v>15767</v>
      </c>
      <c r="R1173" s="276">
        <v>164</v>
      </c>
      <c r="S1173" s="275" t="s">
        <v>15877</v>
      </c>
      <c r="T1173" s="279">
        <v>42669</v>
      </c>
      <c r="U1173" s="279">
        <v>42675</v>
      </c>
      <c r="V1173" s="279">
        <v>42697</v>
      </c>
      <c r="W1173" s="293">
        <v>164</v>
      </c>
      <c r="X1173" s="236">
        <v>9468</v>
      </c>
      <c r="AF1173" s="276">
        <f t="shared" si="141"/>
        <v>1302.62175</v>
      </c>
      <c r="AG1173" s="276">
        <f t="shared" si="142"/>
        <v>1279.3</v>
      </c>
      <c r="AH1173" s="276">
        <f t="shared" si="143"/>
        <v>467.94687500000009</v>
      </c>
      <c r="AI1173" s="283">
        <f t="shared" si="144"/>
        <v>0.35923465503320523</v>
      </c>
    </row>
    <row r="1174" spans="1:35" ht="45" x14ac:dyDescent="0.25">
      <c r="A1174" s="275">
        <f>'Profits 2016'!A6387</f>
        <v>3005003</v>
      </c>
      <c r="B1174" s="279">
        <f>'Profits 2016'!B6387</f>
        <v>42661</v>
      </c>
      <c r="C1174" s="276">
        <f>'Profits 2016'!H6387</f>
        <v>18770</v>
      </c>
      <c r="D1174" s="280">
        <f>'Profits 2016'!K6387</f>
        <v>18770</v>
      </c>
      <c r="E1174" s="276">
        <f>'Profits 2016'!L6387</f>
        <v>65</v>
      </c>
      <c r="F1174" s="275" t="str">
        <f>'Profits 2016'!P6387</f>
        <v>Atlanta</v>
      </c>
      <c r="G1174" s="292">
        <f>'Profits 2016'!N6387-'Profits 2016'!M6387</f>
        <v>390</v>
      </c>
      <c r="H1174" s="331"/>
      <c r="I1174" s="332"/>
      <c r="J1174" s="333"/>
      <c r="K1174" s="333"/>
      <c r="L1174" s="333"/>
      <c r="M1174" s="331"/>
      <c r="N1174" s="334"/>
      <c r="O1174" s="236" t="str">
        <f>'Profits 2016'!T6387</f>
        <v>ROAD RUNNER/ECHO</v>
      </c>
      <c r="P1174" s="284" t="str">
        <f>'Profits 2016'!U6387</f>
        <v xml:space="preserve">343711990 </v>
      </c>
      <c r="Q1174" s="284" t="s">
        <v>15767</v>
      </c>
      <c r="R1174" s="276">
        <v>274.61</v>
      </c>
      <c r="S1174" s="275" t="s">
        <v>15878</v>
      </c>
      <c r="T1174" s="279">
        <v>42671</v>
      </c>
      <c r="U1174" s="279">
        <v>42681</v>
      </c>
      <c r="V1174" s="279">
        <v>42697</v>
      </c>
      <c r="W1174" s="293">
        <v>274.61</v>
      </c>
      <c r="X1174" s="236">
        <v>9470</v>
      </c>
      <c r="AF1174" s="276">
        <f t="shared" si="141"/>
        <v>664.61</v>
      </c>
      <c r="AG1174" s="276">
        <f t="shared" si="142"/>
        <v>274.61</v>
      </c>
      <c r="AH1174" s="276">
        <f t="shared" si="143"/>
        <v>18495.39</v>
      </c>
      <c r="AI1174" s="283">
        <f t="shared" si="144"/>
        <v>27.828937271482523</v>
      </c>
    </row>
    <row r="1175" spans="1:35" x14ac:dyDescent="0.25">
      <c r="A1175" s="275">
        <f>'Profits 2016'!A6388</f>
        <v>0</v>
      </c>
      <c r="B1175" s="279">
        <f>'Profits 2016'!B6388</f>
        <v>0</v>
      </c>
      <c r="C1175" s="276">
        <f>'Profits 2016'!H6388</f>
        <v>0</v>
      </c>
      <c r="D1175" s="280">
        <f>'Profits 2016'!K6388</f>
        <v>0</v>
      </c>
      <c r="E1175" s="276">
        <f>'Profits 2016'!L6388</f>
        <v>65</v>
      </c>
      <c r="F1175" s="275" t="str">
        <f>'Profits 2016'!P6388</f>
        <v>Atlanta</v>
      </c>
      <c r="G1175" s="292">
        <f>'Profits 2016'!N6388-'Profits 2016'!M6388</f>
        <v>1625</v>
      </c>
      <c r="H1175" s="331"/>
      <c r="I1175" s="332"/>
      <c r="J1175" s="333"/>
      <c r="K1175" s="333"/>
      <c r="L1175" s="333"/>
      <c r="M1175" s="331"/>
      <c r="N1175" s="334"/>
      <c r="O1175" s="236">
        <f>'Profits 2016'!T6388</f>
        <v>0</v>
      </c>
      <c r="P1175" s="284">
        <f>'Profits 2016'!U6388</f>
        <v>0</v>
      </c>
      <c r="Q1175" s="284" t="s">
        <v>15767</v>
      </c>
      <c r="R1175" s="276">
        <v>0</v>
      </c>
      <c r="S1175" s="275" t="s">
        <v>15878</v>
      </c>
      <c r="T1175" s="279">
        <v>42671</v>
      </c>
      <c r="U1175" s="279">
        <v>42681</v>
      </c>
      <c r="V1175" s="279">
        <v>42697</v>
      </c>
      <c r="W1175" s="293">
        <v>0</v>
      </c>
      <c r="X1175" s="236">
        <v>9470</v>
      </c>
      <c r="AF1175" s="276">
        <f t="shared" si="141"/>
        <v>1625</v>
      </c>
      <c r="AG1175" s="276">
        <f t="shared" si="142"/>
        <v>0</v>
      </c>
      <c r="AH1175" s="276">
        <f t="shared" si="143"/>
        <v>0</v>
      </c>
      <c r="AI1175" s="283">
        <f t="shared" si="144"/>
        <v>0</v>
      </c>
    </row>
    <row r="1176" spans="1:35" x14ac:dyDescent="0.25">
      <c r="A1176" s="275">
        <f>'Profits 2016'!A6389</f>
        <v>0</v>
      </c>
      <c r="B1176" s="279">
        <f>'Profits 2016'!B6389</f>
        <v>0</v>
      </c>
      <c r="C1176" s="276">
        <f>'Profits 2016'!H6389</f>
        <v>0</v>
      </c>
      <c r="D1176" s="280">
        <f>'Profits 2016'!K6389</f>
        <v>0</v>
      </c>
      <c r="E1176" s="276">
        <f>'Profits 2016'!L6389</f>
        <v>65</v>
      </c>
      <c r="F1176" s="275" t="str">
        <f>'Profits 2016'!P6389</f>
        <v>Atlanta</v>
      </c>
      <c r="G1176" s="292">
        <f>'Profits 2016'!N6389-'Profits 2016'!M6389</f>
        <v>3510</v>
      </c>
      <c r="H1176" s="331"/>
      <c r="I1176" s="332"/>
      <c r="J1176" s="333"/>
      <c r="K1176" s="333"/>
      <c r="L1176" s="333"/>
      <c r="M1176" s="331"/>
      <c r="N1176" s="334"/>
      <c r="O1176" s="236">
        <f>'Profits 2016'!T6389</f>
        <v>0</v>
      </c>
      <c r="P1176" s="284">
        <f>'Profits 2016'!U6389</f>
        <v>0</v>
      </c>
      <c r="Q1176" s="284" t="s">
        <v>15767</v>
      </c>
      <c r="R1176" s="276">
        <v>0</v>
      </c>
      <c r="S1176" s="275" t="s">
        <v>15878</v>
      </c>
      <c r="T1176" s="279">
        <v>42671</v>
      </c>
      <c r="U1176" s="279">
        <v>42681</v>
      </c>
      <c r="V1176" s="279">
        <v>42697</v>
      </c>
      <c r="W1176" s="293">
        <v>0</v>
      </c>
      <c r="X1176" s="236">
        <v>9470</v>
      </c>
      <c r="AF1176" s="276">
        <f t="shared" si="141"/>
        <v>3510</v>
      </c>
      <c r="AG1176" s="276">
        <f t="shared" si="142"/>
        <v>0</v>
      </c>
      <c r="AH1176" s="276">
        <f t="shared" si="143"/>
        <v>0</v>
      </c>
      <c r="AI1176" s="283">
        <f t="shared" si="144"/>
        <v>0</v>
      </c>
    </row>
    <row r="1177" spans="1:35" x14ac:dyDescent="0.25">
      <c r="A1177" s="275">
        <f>'Profits 2016'!A6390</f>
        <v>0</v>
      </c>
      <c r="B1177" s="279">
        <f>'Profits 2016'!B6390</f>
        <v>0</v>
      </c>
      <c r="C1177" s="276">
        <f>'Profits 2016'!H6390</f>
        <v>0</v>
      </c>
      <c r="D1177" s="280">
        <f>'Profits 2016'!K6390</f>
        <v>0</v>
      </c>
      <c r="E1177" s="276">
        <f>'Profits 2016'!L6390</f>
        <v>65</v>
      </c>
      <c r="F1177" s="275" t="str">
        <f>'Profits 2016'!P6390</f>
        <v>Atlanta</v>
      </c>
      <c r="G1177" s="292">
        <f>'Profits 2016'!N6390-'Profits 2016'!M6390</f>
        <v>2210</v>
      </c>
      <c r="H1177" s="331"/>
      <c r="I1177" s="332"/>
      <c r="J1177" s="333"/>
      <c r="K1177" s="333"/>
      <c r="L1177" s="333"/>
      <c r="M1177" s="331"/>
      <c r="N1177" s="334"/>
      <c r="O1177" s="236">
        <f>'Profits 2016'!T6390</f>
        <v>0</v>
      </c>
      <c r="P1177" s="284">
        <f>'Profits 2016'!U6390</f>
        <v>0</v>
      </c>
      <c r="Q1177" s="284" t="s">
        <v>15767</v>
      </c>
      <c r="R1177" s="276">
        <v>0</v>
      </c>
      <c r="S1177" s="275" t="s">
        <v>15878</v>
      </c>
      <c r="T1177" s="279">
        <v>42671</v>
      </c>
      <c r="U1177" s="279">
        <v>42681</v>
      </c>
      <c r="V1177" s="279">
        <v>42697</v>
      </c>
      <c r="W1177" s="293">
        <v>0</v>
      </c>
      <c r="X1177" s="236">
        <v>9470</v>
      </c>
      <c r="AF1177" s="276">
        <f t="shared" si="141"/>
        <v>2210</v>
      </c>
      <c r="AG1177" s="276">
        <f t="shared" si="142"/>
        <v>0</v>
      </c>
      <c r="AH1177" s="276">
        <f t="shared" si="143"/>
        <v>0</v>
      </c>
      <c r="AI1177" s="283">
        <f t="shared" si="144"/>
        <v>0</v>
      </c>
    </row>
    <row r="1178" spans="1:35" x14ac:dyDescent="0.25">
      <c r="A1178" s="275">
        <f>'Profits 2016'!A6391</f>
        <v>0</v>
      </c>
      <c r="B1178" s="279">
        <f>'Profits 2016'!B6391</f>
        <v>0</v>
      </c>
      <c r="C1178" s="276">
        <f>'Profits 2016'!H6391</f>
        <v>0</v>
      </c>
      <c r="D1178" s="280">
        <f>'Profits 2016'!K6391</f>
        <v>0</v>
      </c>
      <c r="E1178" s="276">
        <f>'Profits 2016'!L6391</f>
        <v>120</v>
      </c>
      <c r="F1178" s="275" t="str">
        <f>'Profits 2016'!P6391</f>
        <v>Atlanta</v>
      </c>
      <c r="G1178" s="292">
        <f>'Profits 2016'!N6391-'Profits 2016'!M6391</f>
        <v>2640</v>
      </c>
      <c r="H1178" s="331"/>
      <c r="I1178" s="332"/>
      <c r="J1178" s="333"/>
      <c r="K1178" s="333"/>
      <c r="L1178" s="333"/>
      <c r="M1178" s="331"/>
      <c r="N1178" s="334"/>
      <c r="O1178" s="236">
        <f>'Profits 2016'!T6391</f>
        <v>0</v>
      </c>
      <c r="P1178" s="284">
        <f>'Profits 2016'!U6391</f>
        <v>0</v>
      </c>
      <c r="Q1178" s="284" t="s">
        <v>15767</v>
      </c>
      <c r="R1178" s="276">
        <v>0</v>
      </c>
      <c r="S1178" s="275" t="s">
        <v>15878</v>
      </c>
      <c r="T1178" s="279">
        <v>42671</v>
      </c>
      <c r="U1178" s="279">
        <v>42681</v>
      </c>
      <c r="V1178" s="279">
        <v>42697</v>
      </c>
      <c r="W1178" s="293">
        <v>0</v>
      </c>
      <c r="X1178" s="236">
        <v>9470</v>
      </c>
      <c r="AF1178" s="276">
        <f t="shared" si="141"/>
        <v>2640</v>
      </c>
      <c r="AG1178" s="276">
        <f t="shared" si="142"/>
        <v>0</v>
      </c>
      <c r="AH1178" s="276">
        <f t="shared" si="143"/>
        <v>0</v>
      </c>
      <c r="AI1178" s="283">
        <f t="shared" si="144"/>
        <v>0</v>
      </c>
    </row>
    <row r="1179" spans="1:35" x14ac:dyDescent="0.25">
      <c r="A1179" s="275">
        <f>'Profits 2016'!A6392</f>
        <v>0</v>
      </c>
      <c r="B1179" s="279">
        <f>'Profits 2016'!B6392</f>
        <v>0</v>
      </c>
      <c r="C1179" s="276">
        <f>'Profits 2016'!H6392</f>
        <v>0</v>
      </c>
      <c r="D1179" s="280">
        <f>'Profits 2016'!K6392</f>
        <v>0</v>
      </c>
      <c r="E1179" s="276">
        <f>'Profits 2016'!L6392</f>
        <v>120</v>
      </c>
      <c r="F1179" s="275" t="str">
        <f>'Profits 2016'!P6392</f>
        <v>Atlanta</v>
      </c>
      <c r="G1179" s="292">
        <f>'Profits 2016'!N6392-'Profits 2016'!M6392</f>
        <v>1560</v>
      </c>
      <c r="H1179" s="331"/>
      <c r="I1179" s="332"/>
      <c r="J1179" s="333"/>
      <c r="K1179" s="333"/>
      <c r="L1179" s="333"/>
      <c r="M1179" s="331"/>
      <c r="N1179" s="334"/>
      <c r="O1179" s="236">
        <f>'Profits 2016'!T6392</f>
        <v>0</v>
      </c>
      <c r="P1179" s="284">
        <f>'Profits 2016'!U6392</f>
        <v>0</v>
      </c>
      <c r="Q1179" s="284" t="s">
        <v>15767</v>
      </c>
      <c r="R1179" s="276">
        <v>0</v>
      </c>
      <c r="S1179" s="275" t="s">
        <v>15878</v>
      </c>
      <c r="T1179" s="279">
        <v>42671</v>
      </c>
      <c r="U1179" s="279">
        <v>42681</v>
      </c>
      <c r="V1179" s="279">
        <v>42697</v>
      </c>
      <c r="W1179" s="293">
        <v>0</v>
      </c>
      <c r="X1179" s="236">
        <v>9470</v>
      </c>
      <c r="AF1179" s="276">
        <f t="shared" si="141"/>
        <v>1565</v>
      </c>
      <c r="AG1179" s="276">
        <f t="shared" si="142"/>
        <v>0</v>
      </c>
      <c r="AH1179" s="276">
        <f t="shared" si="143"/>
        <v>0</v>
      </c>
      <c r="AI1179" s="283">
        <f t="shared" si="144"/>
        <v>0</v>
      </c>
    </row>
    <row r="1180" spans="1:35" ht="60" x14ac:dyDescent="0.25">
      <c r="A1180" s="275">
        <f>'Profits 2016'!A6393</f>
        <v>3005004</v>
      </c>
      <c r="B1180" s="279">
        <f>'Profits 2016'!B6393</f>
        <v>42661</v>
      </c>
      <c r="C1180" s="276">
        <f>'Profits 2016'!H6393</f>
        <v>578.04</v>
      </c>
      <c r="D1180" s="280">
        <f>'Profits 2016'!K6393</f>
        <v>578.04</v>
      </c>
      <c r="E1180" s="276">
        <f>'Profits 2016'!L6393</f>
        <v>4629.6499999999996</v>
      </c>
      <c r="F1180" s="275" t="str">
        <f>'Profits 2016'!P6393</f>
        <v>Colonial</v>
      </c>
      <c r="G1180" s="292">
        <f>'Profits 2016'!N6393-'Profits 2016'!M6393</f>
        <v>92.592999999999989</v>
      </c>
      <c r="H1180" s="331">
        <v>5</v>
      </c>
      <c r="I1180" s="332" t="s">
        <v>15879</v>
      </c>
      <c r="J1180" s="333" t="s">
        <v>15880</v>
      </c>
      <c r="K1180" s="333" t="s">
        <v>15881</v>
      </c>
      <c r="L1180" s="333" t="s">
        <v>15882</v>
      </c>
      <c r="M1180" s="331">
        <f>90.74+4.9</f>
        <v>95.64</v>
      </c>
      <c r="N1180" s="334" t="s">
        <v>15883</v>
      </c>
      <c r="O1180" s="236" t="str">
        <f>'Profits 2016'!T6393</f>
        <v>FEDEX GROUND</v>
      </c>
      <c r="P1180" s="284" t="str">
        <f>'Profits 2016'!U6393</f>
        <v>675157530996</v>
      </c>
      <c r="AF1180" s="276">
        <f t="shared" si="141"/>
        <v>92.592999999999989</v>
      </c>
      <c r="AG1180" s="276">
        <f t="shared" si="142"/>
        <v>95.64</v>
      </c>
      <c r="AH1180" s="276">
        <f t="shared" si="143"/>
        <v>482.4</v>
      </c>
      <c r="AI1180" s="283">
        <f t="shared" si="144"/>
        <v>5.2098970764528643</v>
      </c>
    </row>
    <row r="1181" spans="1:35" ht="30" x14ac:dyDescent="0.25">
      <c r="A1181" s="275">
        <f>'Profits 2016'!A6394</f>
        <v>0</v>
      </c>
      <c r="B1181" s="279">
        <f>'Profits 2016'!B6394</f>
        <v>0</v>
      </c>
      <c r="C1181" s="276">
        <f>'Profits 2016'!H6394</f>
        <v>0</v>
      </c>
      <c r="D1181" s="280">
        <f>'Profits 2016'!K6394</f>
        <v>0</v>
      </c>
      <c r="E1181" s="276">
        <f>'Profits 2016'!L6394</f>
        <v>5000</v>
      </c>
      <c r="F1181" s="275" t="str">
        <f>'Profits 2016'!P6394</f>
        <v>A-Z</v>
      </c>
      <c r="G1181" s="292">
        <f>'Profits 2016'!N6394-'Profits 2016'!M6394</f>
        <v>100</v>
      </c>
      <c r="H1181" s="331">
        <v>0</v>
      </c>
      <c r="I1181" s="332">
        <v>406269</v>
      </c>
      <c r="J1181" s="333">
        <v>42663</v>
      </c>
      <c r="K1181" s="333">
        <v>42667</v>
      </c>
      <c r="L1181" s="333"/>
      <c r="M1181" s="331"/>
      <c r="N1181" s="334"/>
      <c r="O1181" s="236" t="str">
        <f>'Profits 2016'!T6394</f>
        <v>FEDEX GROUND</v>
      </c>
      <c r="P1181" s="284" t="str">
        <f>'Profits 2016'!U6394</f>
        <v>655044322954</v>
      </c>
      <c r="Q1181" s="284" t="s">
        <v>314</v>
      </c>
      <c r="R1181" s="276">
        <v>9.32</v>
      </c>
      <c r="S1181" s="275" t="s">
        <v>15793</v>
      </c>
      <c r="T1181" s="279">
        <v>42674</v>
      </c>
      <c r="U1181" s="279">
        <v>42681</v>
      </c>
      <c r="V1181" s="279">
        <v>42685</v>
      </c>
      <c r="W1181" s="293">
        <v>0</v>
      </c>
      <c r="X1181" s="236">
        <v>9399</v>
      </c>
      <c r="AF1181" s="276">
        <f t="shared" si="141"/>
        <v>109.32</v>
      </c>
      <c r="AG1181" s="276">
        <f t="shared" si="142"/>
        <v>9.32</v>
      </c>
      <c r="AH1181" s="276">
        <f t="shared" si="143"/>
        <v>-9.32</v>
      </c>
      <c r="AI1181" s="283">
        <f t="shared" si="144"/>
        <v>-8.525429930479328E-2</v>
      </c>
    </row>
    <row r="1182" spans="1:35" ht="30" x14ac:dyDescent="0.25">
      <c r="A1182" s="275">
        <f>'Profits 2016'!A6395</f>
        <v>3005005</v>
      </c>
      <c r="B1182" s="279">
        <f>'Profits 2016'!B6395</f>
        <v>42661</v>
      </c>
      <c r="C1182" s="276">
        <f>'Profits 2016'!H6395</f>
        <v>330</v>
      </c>
      <c r="D1182" s="280">
        <f>'Profits 2016'!K6395</f>
        <v>322.44</v>
      </c>
      <c r="E1182" s="276">
        <f>'Profits 2016'!L6395</f>
        <v>36</v>
      </c>
      <c r="F1182" s="275" t="str">
        <f>'Profits 2016'!P6395</f>
        <v>Allied</v>
      </c>
      <c r="G1182" s="292">
        <f>'Profits 2016'!N6395-'Profits 2016'!M6395</f>
        <v>180</v>
      </c>
      <c r="H1182" s="331">
        <v>0</v>
      </c>
      <c r="I1182" s="332">
        <v>352671</v>
      </c>
      <c r="J1182" s="333">
        <v>42663</v>
      </c>
      <c r="K1182" s="333">
        <v>42667</v>
      </c>
      <c r="L1182" s="333">
        <v>42692</v>
      </c>
      <c r="M1182" s="331">
        <v>180</v>
      </c>
      <c r="N1182" s="334">
        <v>9432</v>
      </c>
      <c r="O1182" s="236" t="str">
        <f>'Profits 2016'!T6395</f>
        <v>FEDEX GROUND</v>
      </c>
      <c r="P1182" s="284" t="str">
        <f>'Profits 2016'!U6395</f>
        <v>705501230801</v>
      </c>
      <c r="Q1182" s="284" t="s">
        <v>314</v>
      </c>
      <c r="R1182" s="276">
        <v>13.83</v>
      </c>
      <c r="S1182" s="275" t="s">
        <v>15793</v>
      </c>
      <c r="T1182" s="279">
        <v>42674</v>
      </c>
      <c r="U1182" s="279">
        <v>42681</v>
      </c>
      <c r="V1182" s="279">
        <v>42685</v>
      </c>
      <c r="W1182" s="293">
        <v>0</v>
      </c>
      <c r="X1182" s="236">
        <v>9399</v>
      </c>
      <c r="AF1182" s="276">
        <f t="shared" si="141"/>
        <v>193.83</v>
      </c>
      <c r="AG1182" s="276">
        <f t="shared" si="142"/>
        <v>193.83</v>
      </c>
      <c r="AH1182" s="276">
        <f t="shared" si="143"/>
        <v>128.60999999999999</v>
      </c>
      <c r="AI1182" s="283">
        <f t="shared" si="144"/>
        <v>0.66351957901253666</v>
      </c>
    </row>
    <row r="1183" spans="1:35" ht="30" x14ac:dyDescent="0.25">
      <c r="A1183" s="275">
        <f>'Profits 2016'!A6396</f>
        <v>3005006</v>
      </c>
      <c r="B1183" s="279">
        <f>'Profits 2016'!B6396</f>
        <v>42661</v>
      </c>
      <c r="C1183" s="276">
        <f>'Profits 2016'!H6396</f>
        <v>10736.2</v>
      </c>
      <c r="D1183" s="280">
        <f>'Profits 2016'!K6396</f>
        <v>10736.2</v>
      </c>
      <c r="E1183" s="276">
        <f>'Profits 2016'!L6396</f>
        <v>267.05</v>
      </c>
      <c r="F1183" s="275" t="str">
        <f>'Profits 2016'!P6396</f>
        <v>Colonial</v>
      </c>
      <c r="G1183" s="292">
        <f>'Profits 2016'!N6396-'Profits 2016'!M6396</f>
        <v>400.57500000000005</v>
      </c>
      <c r="H1183" s="331">
        <v>0</v>
      </c>
      <c r="I1183" s="332" t="s">
        <v>15884</v>
      </c>
      <c r="J1183" s="333">
        <v>42663</v>
      </c>
      <c r="K1183" s="333">
        <v>42669</v>
      </c>
      <c r="L1183" s="333">
        <v>42678</v>
      </c>
      <c r="M1183" s="331">
        <v>4184.47</v>
      </c>
      <c r="N1183" s="334">
        <v>9289</v>
      </c>
      <c r="O1183" s="236" t="str">
        <f>'Profits 2016'!T6396</f>
        <v>UPS GROUND</v>
      </c>
      <c r="P1183" s="284" t="str">
        <f>'Profits 2016'!U6396</f>
        <v>1Z0811790370604487</v>
      </c>
      <c r="AF1183" s="276">
        <f t="shared" si="141"/>
        <v>400.57500000000005</v>
      </c>
      <c r="AG1183" s="276">
        <f t="shared" si="142"/>
        <v>4184.47</v>
      </c>
      <c r="AH1183" s="276">
        <f t="shared" si="143"/>
        <v>6551.7300000000005</v>
      </c>
      <c r="AI1183" s="283">
        <f t="shared" si="144"/>
        <v>16.355813518067777</v>
      </c>
    </row>
    <row r="1184" spans="1:35" x14ac:dyDescent="0.25">
      <c r="A1184" s="275">
        <f>'Profits 2016'!A6397</f>
        <v>0</v>
      </c>
      <c r="B1184" s="279">
        <f>'Profits 2016'!B6397</f>
        <v>0</v>
      </c>
      <c r="C1184" s="276">
        <f>'Profits 2016'!H6397</f>
        <v>0</v>
      </c>
      <c r="D1184" s="280">
        <f>'Profits 2016'!K6397</f>
        <v>0</v>
      </c>
      <c r="E1184" s="276">
        <f>'Profits 2016'!L6397</f>
        <v>173.57</v>
      </c>
      <c r="F1184" s="275" t="str">
        <f>'Profits 2016'!P6397</f>
        <v>Colonial</v>
      </c>
      <c r="G1184" s="292">
        <f>'Profits 2016'!N6397-'Profits 2016'!M6397</f>
        <v>173.57</v>
      </c>
      <c r="H1184" s="331">
        <v>0</v>
      </c>
      <c r="I1184" s="332" t="s">
        <v>15884</v>
      </c>
      <c r="J1184" s="333">
        <v>42663</v>
      </c>
      <c r="K1184" s="333">
        <v>42669</v>
      </c>
      <c r="L1184" s="333">
        <v>42678</v>
      </c>
      <c r="M1184" s="331">
        <v>0</v>
      </c>
      <c r="N1184" s="334">
        <v>9289</v>
      </c>
      <c r="O1184" s="236">
        <f>'Profits 2016'!T6397</f>
        <v>0</v>
      </c>
      <c r="P1184" s="284" t="str">
        <f>'Profits 2016'!U6397</f>
        <v>1Z0811790370964437</v>
      </c>
      <c r="AF1184" s="276">
        <f t="shared" si="141"/>
        <v>173.57</v>
      </c>
      <c r="AG1184" s="276">
        <f t="shared" si="142"/>
        <v>0</v>
      </c>
      <c r="AH1184" s="276">
        <f t="shared" si="143"/>
        <v>0</v>
      </c>
      <c r="AI1184" s="283">
        <f t="shared" si="144"/>
        <v>0</v>
      </c>
    </row>
    <row r="1185" spans="1:35" x14ac:dyDescent="0.25">
      <c r="A1185" s="275">
        <f>'Profits 2016'!A6398</f>
        <v>0</v>
      </c>
      <c r="B1185" s="279">
        <f>'Profits 2016'!B6398</f>
        <v>0</v>
      </c>
      <c r="C1185" s="276">
        <f>'Profits 2016'!H6398</f>
        <v>0</v>
      </c>
      <c r="D1185" s="280">
        <f>'Profits 2016'!K6398</f>
        <v>0</v>
      </c>
      <c r="E1185" s="276">
        <f>'Profits 2016'!L6398</f>
        <v>267.05</v>
      </c>
      <c r="F1185" s="275" t="str">
        <f>'Profits 2016'!P6398</f>
        <v>Colonial</v>
      </c>
      <c r="G1185" s="292">
        <f>'Profits 2016'!N6398-'Profits 2016'!M6398</f>
        <v>400.57500000000005</v>
      </c>
      <c r="H1185" s="331">
        <v>0</v>
      </c>
      <c r="I1185" s="332" t="s">
        <v>15884</v>
      </c>
      <c r="J1185" s="333">
        <v>42663</v>
      </c>
      <c r="K1185" s="333">
        <v>42669</v>
      </c>
      <c r="L1185" s="333">
        <v>42678</v>
      </c>
      <c r="M1185" s="331">
        <v>0</v>
      </c>
      <c r="N1185" s="334">
        <v>9289</v>
      </c>
      <c r="O1185" s="236">
        <f>'Profits 2016'!T6398</f>
        <v>0</v>
      </c>
      <c r="P1185" s="284">
        <f>'Profits 2016'!U6398</f>
        <v>0</v>
      </c>
      <c r="AF1185" s="276">
        <f t="shared" si="141"/>
        <v>399.06500000000005</v>
      </c>
      <c r="AG1185" s="276">
        <f t="shared" si="142"/>
        <v>0</v>
      </c>
      <c r="AH1185" s="276">
        <f t="shared" si="143"/>
        <v>0</v>
      </c>
      <c r="AI1185" s="283">
        <f t="shared" si="144"/>
        <v>0</v>
      </c>
    </row>
    <row r="1186" spans="1:35" ht="30" x14ac:dyDescent="0.25">
      <c r="A1186" s="275">
        <f>'Profits 2016'!A6399</f>
        <v>0</v>
      </c>
      <c r="B1186" s="279">
        <f>'Profits 2016'!B6399</f>
        <v>0</v>
      </c>
      <c r="C1186" s="276">
        <f>'Profits 2016'!H6399</f>
        <v>0</v>
      </c>
      <c r="D1186" s="280">
        <f>'Profits 2016'!K6399</f>
        <v>0</v>
      </c>
      <c r="E1186" s="276">
        <f>'Profits 2016'!L6399</f>
        <v>656.96</v>
      </c>
      <c r="F1186" s="275" t="str">
        <f>'Profits 2016'!P6399</f>
        <v>General</v>
      </c>
      <c r="G1186" s="292">
        <f>'Profits 2016'!N6399-'Profits 2016'!M6399</f>
        <v>3284.8</v>
      </c>
      <c r="H1186" s="331">
        <v>-1.51</v>
      </c>
      <c r="I1186" s="332">
        <v>3770317</v>
      </c>
      <c r="J1186" s="333">
        <v>42663</v>
      </c>
      <c r="K1186" s="333">
        <v>42668</v>
      </c>
      <c r="L1186" s="333">
        <v>42678</v>
      </c>
      <c r="M1186" s="331">
        <v>3217.62</v>
      </c>
      <c r="N1186" s="334">
        <v>9315</v>
      </c>
      <c r="O1186" s="236" t="str">
        <f>'Profits 2016'!T6399</f>
        <v>NEW PENN</v>
      </c>
      <c r="P1186" s="284" t="str">
        <f>'Profits 2016'!U6399</f>
        <v>47681812</v>
      </c>
      <c r="AF1186" s="276">
        <f t="shared" si="141"/>
        <v>3284.8</v>
      </c>
      <c r="AG1186" s="276">
        <f t="shared" si="142"/>
        <v>3217.62</v>
      </c>
      <c r="AH1186" s="276">
        <f t="shared" si="143"/>
        <v>-3217.62</v>
      </c>
      <c r="AI1186" s="283">
        <f t="shared" si="144"/>
        <v>-0.97954822211397941</v>
      </c>
    </row>
    <row r="1187" spans="1:35" ht="30" x14ac:dyDescent="0.25">
      <c r="A1187" s="275">
        <f>'Profits 2016'!A6400</f>
        <v>0</v>
      </c>
      <c r="B1187" s="279">
        <f>'Profits 2016'!B6400</f>
        <v>0</v>
      </c>
      <c r="C1187" s="276">
        <f>'Profits 2016'!H6400</f>
        <v>0</v>
      </c>
      <c r="D1187" s="280">
        <f>'Profits 2016'!K6400</f>
        <v>0</v>
      </c>
      <c r="E1187" s="276">
        <f>'Profits 2016'!L6400</f>
        <v>69.650000000000006</v>
      </c>
      <c r="F1187" s="275" t="str">
        <f>'Profits 2016'!P6400</f>
        <v>Colonial</v>
      </c>
      <c r="G1187" s="292">
        <f>'Profits 2016'!N6400-'Profits 2016'!M6400</f>
        <v>2089.5</v>
      </c>
      <c r="H1187" s="331">
        <v>0</v>
      </c>
      <c r="I1187" s="332" t="s">
        <v>15884</v>
      </c>
      <c r="J1187" s="333">
        <v>42663</v>
      </c>
      <c r="K1187" s="333">
        <v>42669</v>
      </c>
      <c r="L1187" s="333">
        <v>42678</v>
      </c>
      <c r="M1187" s="331">
        <v>0</v>
      </c>
      <c r="N1187" s="334">
        <v>9289</v>
      </c>
      <c r="O1187" s="236" t="str">
        <f>'Profits 2016'!T6400</f>
        <v>UPS GROUND</v>
      </c>
      <c r="P1187" s="284" t="str">
        <f>'Profits 2016'!U6400</f>
        <v>1Z0811790372629537</v>
      </c>
      <c r="AF1187" s="276">
        <f t="shared" si="141"/>
        <v>2089.5</v>
      </c>
      <c r="AG1187" s="276">
        <f t="shared" si="142"/>
        <v>0</v>
      </c>
      <c r="AH1187" s="276">
        <f t="shared" si="143"/>
        <v>0</v>
      </c>
      <c r="AI1187" s="283">
        <f t="shared" si="144"/>
        <v>0</v>
      </c>
    </row>
    <row r="1188" spans="1:35" x14ac:dyDescent="0.25">
      <c r="A1188" s="275">
        <f>'Profits 2016'!A6401</f>
        <v>0</v>
      </c>
      <c r="B1188" s="279">
        <f>'Profits 2016'!B6401</f>
        <v>0</v>
      </c>
      <c r="C1188" s="276">
        <f>'Profits 2016'!H6401</f>
        <v>0</v>
      </c>
      <c r="D1188" s="280">
        <f>'Profits 2016'!K6401</f>
        <v>0</v>
      </c>
      <c r="E1188" s="276">
        <f>'Profits 2016'!L6401</f>
        <v>33.49</v>
      </c>
      <c r="F1188" s="275" t="str">
        <f>'Profits 2016'!P6401</f>
        <v>Colonial</v>
      </c>
      <c r="G1188" s="292">
        <f>'Profits 2016'!N6401-'Profits 2016'!M6401</f>
        <v>334.90000000000003</v>
      </c>
      <c r="H1188" s="331">
        <v>0</v>
      </c>
      <c r="I1188" s="332" t="s">
        <v>15884</v>
      </c>
      <c r="J1188" s="333">
        <v>42663</v>
      </c>
      <c r="K1188" s="333">
        <v>42669</v>
      </c>
      <c r="L1188" s="333">
        <v>42678</v>
      </c>
      <c r="M1188" s="331">
        <v>0</v>
      </c>
      <c r="N1188" s="334">
        <v>9289</v>
      </c>
      <c r="O1188" s="236">
        <f>'Profits 2016'!T6401</f>
        <v>0</v>
      </c>
      <c r="P1188" s="284" t="str">
        <f>'Profits 2016'!U6401</f>
        <v>1Z0811790371947169</v>
      </c>
      <c r="AF1188" s="276">
        <f t="shared" si="141"/>
        <v>334.90000000000003</v>
      </c>
      <c r="AG1188" s="276">
        <f t="shared" si="142"/>
        <v>0</v>
      </c>
      <c r="AH1188" s="276">
        <f t="shared" si="143"/>
        <v>0</v>
      </c>
      <c r="AI1188" s="283">
        <f t="shared" si="144"/>
        <v>0</v>
      </c>
    </row>
    <row r="1189" spans="1:35" x14ac:dyDescent="0.25">
      <c r="A1189" s="275">
        <f>'Profits 2016'!A6402</f>
        <v>0</v>
      </c>
      <c r="B1189" s="279">
        <f>'Profits 2016'!B6402</f>
        <v>0</v>
      </c>
      <c r="C1189" s="276">
        <f>'Profits 2016'!H6402</f>
        <v>0</v>
      </c>
      <c r="D1189" s="280">
        <f>'Profits 2016'!K6402</f>
        <v>0</v>
      </c>
      <c r="E1189" s="276">
        <f>'Profits 2016'!L6402</f>
        <v>33.49</v>
      </c>
      <c r="F1189" s="275" t="str">
        <f>'Profits 2016'!P6402</f>
        <v>Colonial</v>
      </c>
      <c r="G1189" s="292">
        <f>'Profits 2016'!N6402-'Profits 2016'!M6402</f>
        <v>334.90000000000003</v>
      </c>
      <c r="H1189" s="331">
        <v>0</v>
      </c>
      <c r="I1189" s="332" t="s">
        <v>15884</v>
      </c>
      <c r="J1189" s="333">
        <v>42663</v>
      </c>
      <c r="K1189" s="333">
        <v>42669</v>
      </c>
      <c r="L1189" s="333">
        <v>42678</v>
      </c>
      <c r="M1189" s="331">
        <v>0</v>
      </c>
      <c r="N1189" s="334">
        <v>9289</v>
      </c>
      <c r="O1189" s="236">
        <f>'Profits 2016'!T6402</f>
        <v>0</v>
      </c>
      <c r="P1189" s="284" t="str">
        <f>'Profits 2016'!U6402</f>
        <v>1Z0811790372871113</v>
      </c>
      <c r="AF1189" s="276">
        <f t="shared" si="141"/>
        <v>334.90000000000003</v>
      </c>
      <c r="AG1189" s="276">
        <f t="shared" si="142"/>
        <v>0</v>
      </c>
      <c r="AH1189" s="276">
        <f t="shared" si="143"/>
        <v>0</v>
      </c>
      <c r="AI1189" s="283">
        <f t="shared" si="144"/>
        <v>0</v>
      </c>
    </row>
    <row r="1190" spans="1:35" x14ac:dyDescent="0.25">
      <c r="A1190" s="275">
        <f>'Profits 2016'!A6403</f>
        <v>0</v>
      </c>
      <c r="B1190" s="279">
        <f>'Profits 2016'!B6403</f>
        <v>0</v>
      </c>
      <c r="C1190" s="276">
        <f>'Profits 2016'!H6403</f>
        <v>0</v>
      </c>
      <c r="D1190" s="280">
        <f>'Profits 2016'!K6403</f>
        <v>0</v>
      </c>
      <c r="E1190" s="276">
        <f>'Profits 2016'!L6403</f>
        <v>33.49</v>
      </c>
      <c r="F1190" s="275" t="str">
        <f>'Profits 2016'!P6403</f>
        <v>Colonial</v>
      </c>
      <c r="G1190" s="292">
        <f>'Profits 2016'!N6403-'Profits 2016'!M6403</f>
        <v>334.90000000000003</v>
      </c>
      <c r="H1190" s="331">
        <v>0</v>
      </c>
      <c r="I1190" s="332" t="s">
        <v>15884</v>
      </c>
      <c r="J1190" s="333">
        <v>42663</v>
      </c>
      <c r="K1190" s="333">
        <v>42669</v>
      </c>
      <c r="L1190" s="333">
        <v>42678</v>
      </c>
      <c r="M1190" s="331">
        <v>0</v>
      </c>
      <c r="N1190" s="334">
        <v>9289</v>
      </c>
      <c r="O1190" s="236">
        <f>'Profits 2016'!T6403</f>
        <v>0</v>
      </c>
      <c r="P1190" s="284" t="str">
        <f>'Profits 2016'!U6403</f>
        <v>1Z0811790372667004</v>
      </c>
      <c r="AF1190" s="276">
        <f t="shared" si="141"/>
        <v>334.90000000000003</v>
      </c>
      <c r="AG1190" s="276">
        <f t="shared" si="142"/>
        <v>0</v>
      </c>
      <c r="AH1190" s="276">
        <f t="shared" si="143"/>
        <v>0</v>
      </c>
      <c r="AI1190" s="283">
        <f t="shared" si="144"/>
        <v>0</v>
      </c>
    </row>
    <row r="1191" spans="1:35" x14ac:dyDescent="0.25">
      <c r="A1191" s="275">
        <f>'Profits 2016'!A6404</f>
        <v>0</v>
      </c>
      <c r="B1191" s="279">
        <f>'Profits 2016'!B6404</f>
        <v>0</v>
      </c>
      <c r="C1191" s="276">
        <f>'Profits 2016'!H6404</f>
        <v>0</v>
      </c>
      <c r="D1191" s="280">
        <f>'Profits 2016'!K6404</f>
        <v>0</v>
      </c>
      <c r="E1191" s="276">
        <f>'Profits 2016'!L6404</f>
        <v>33.49</v>
      </c>
      <c r="F1191" s="275" t="str">
        <f>'Profits 2016'!P6404</f>
        <v>Colonial</v>
      </c>
      <c r="G1191" s="292">
        <f>'Profits 2016'!N6404-'Profits 2016'!M6404</f>
        <v>334.90000000000003</v>
      </c>
      <c r="H1191" s="331">
        <v>0</v>
      </c>
      <c r="I1191" s="332" t="s">
        <v>15885</v>
      </c>
      <c r="J1191" s="333">
        <v>42664</v>
      </c>
      <c r="K1191" s="333">
        <v>42670</v>
      </c>
      <c r="L1191" s="333">
        <v>42678</v>
      </c>
      <c r="M1191" s="331">
        <v>393.84</v>
      </c>
      <c r="N1191" s="334">
        <v>9290</v>
      </c>
      <c r="O1191" s="236">
        <f>'Profits 2016'!T6404</f>
        <v>0</v>
      </c>
      <c r="P1191" s="284" t="str">
        <f>'Profits 2016'!U6404</f>
        <v>1Z0811790372880069</v>
      </c>
      <c r="AF1191" s="276">
        <f t="shared" si="141"/>
        <v>334.90000000000003</v>
      </c>
      <c r="AG1191" s="276">
        <f t="shared" si="142"/>
        <v>393.84</v>
      </c>
      <c r="AH1191" s="276">
        <f t="shared" si="143"/>
        <v>-393.84</v>
      </c>
      <c r="AI1191" s="283">
        <f t="shared" si="144"/>
        <v>-1.1759928336816958</v>
      </c>
    </row>
    <row r="1192" spans="1:35" ht="90" x14ac:dyDescent="0.25">
      <c r="A1192" s="275">
        <f>'Profits 2016'!A6405</f>
        <v>0</v>
      </c>
      <c r="B1192" s="279">
        <f>'Profits 2016'!B6405</f>
        <v>0</v>
      </c>
      <c r="C1192" s="276">
        <f>'Profits 2016'!H6405</f>
        <v>0</v>
      </c>
      <c r="D1192" s="280">
        <f>'Profits 2016'!K6405</f>
        <v>0</v>
      </c>
      <c r="E1192" s="276">
        <f>'Profits 2016'!L6405</f>
        <v>33.49</v>
      </c>
      <c r="F1192" s="275" t="str">
        <f>'Profits 2016'!P6405</f>
        <v>Colonial</v>
      </c>
      <c r="G1192" s="292">
        <f>'Profits 2016'!N6405-'Profits 2016'!M6405</f>
        <v>334.90000000000003</v>
      </c>
      <c r="H1192" s="331">
        <v>0</v>
      </c>
      <c r="I1192" s="332" t="s">
        <v>15886</v>
      </c>
      <c r="J1192" s="333" t="s">
        <v>15887</v>
      </c>
      <c r="K1192" s="333" t="s">
        <v>15888</v>
      </c>
      <c r="L1192" s="333">
        <v>42678</v>
      </c>
      <c r="M1192" s="331">
        <v>0</v>
      </c>
      <c r="N1192" s="334" t="s">
        <v>15889</v>
      </c>
      <c r="O1192" s="236">
        <f>'Profits 2016'!T6405</f>
        <v>0</v>
      </c>
      <c r="P1192" s="284" t="str">
        <f>'Profits 2016'!U6405</f>
        <v>1Z0811790371106371</v>
      </c>
      <c r="AF1192" s="276">
        <f t="shared" si="141"/>
        <v>334.90000000000003</v>
      </c>
      <c r="AG1192" s="276">
        <f t="shared" si="142"/>
        <v>0</v>
      </c>
      <c r="AH1192" s="276">
        <f t="shared" si="143"/>
        <v>0</v>
      </c>
      <c r="AI1192" s="283">
        <f t="shared" si="144"/>
        <v>0</v>
      </c>
    </row>
    <row r="1193" spans="1:35" x14ac:dyDescent="0.25">
      <c r="A1193" s="275">
        <f>'Profits 2016'!A6406</f>
        <v>0</v>
      </c>
      <c r="B1193" s="279">
        <f>'Profits 2016'!B6406</f>
        <v>0</v>
      </c>
      <c r="C1193" s="276">
        <f>'Profits 2016'!H6406</f>
        <v>0</v>
      </c>
      <c r="D1193" s="280">
        <f>'Profits 2016'!K6406</f>
        <v>0</v>
      </c>
      <c r="E1193" s="276">
        <f>'Profits 2016'!L6406</f>
        <v>33.49</v>
      </c>
      <c r="F1193" s="275" t="str">
        <f>'Profits 2016'!P6406</f>
        <v>Colonial</v>
      </c>
      <c r="G1193" s="292">
        <f>'Profits 2016'!N6406-'Profits 2016'!M6406</f>
        <v>334.90000000000003</v>
      </c>
      <c r="H1193" s="331">
        <v>0</v>
      </c>
      <c r="I1193" s="332" t="s">
        <v>15890</v>
      </c>
      <c r="J1193" s="333">
        <v>42675</v>
      </c>
      <c r="K1193" s="333">
        <v>42681</v>
      </c>
      <c r="L1193" s="333"/>
      <c r="M1193" s="331"/>
      <c r="N1193" s="334"/>
      <c r="O1193" s="236">
        <f>'Profits 2016'!T6406</f>
        <v>0</v>
      </c>
      <c r="P1193" s="284" t="str">
        <f>'Profits 2016'!U6406</f>
        <v>1Z0811790371106371</v>
      </c>
      <c r="AF1193" s="276">
        <f t="shared" si="141"/>
        <v>334.90000000000003</v>
      </c>
      <c r="AG1193" s="276">
        <f t="shared" si="142"/>
        <v>0</v>
      </c>
      <c r="AH1193" s="276">
        <f t="shared" si="143"/>
        <v>0</v>
      </c>
      <c r="AI1193" s="283">
        <f t="shared" si="144"/>
        <v>0</v>
      </c>
    </row>
    <row r="1194" spans="1:35" ht="30" x14ac:dyDescent="0.25">
      <c r="A1194" s="275">
        <f>'Profits 2016'!A6407</f>
        <v>3005007</v>
      </c>
      <c r="B1194" s="279">
        <f>'Profits 2016'!B6407</f>
        <v>42662</v>
      </c>
      <c r="C1194" s="276">
        <f>'Profits 2016'!H6407</f>
        <v>240</v>
      </c>
      <c r="D1194" s="280">
        <f>'Profits 2016'!K6407</f>
        <v>235.14</v>
      </c>
      <c r="E1194" s="276">
        <f>'Profits 2016'!L6407</f>
        <v>424</v>
      </c>
      <c r="F1194" s="275" t="str">
        <f>'Profits 2016'!P6407</f>
        <v>Nassau</v>
      </c>
      <c r="G1194" s="292">
        <f>'Profits 2016'!N6407-'Profits 2016'!M6407</f>
        <v>91.159999999999982</v>
      </c>
      <c r="H1194" s="319"/>
      <c r="I1194" s="320"/>
      <c r="J1194" s="321"/>
      <c r="K1194" s="321"/>
      <c r="L1194" s="321"/>
      <c r="M1194" s="319"/>
      <c r="N1194" s="322"/>
      <c r="O1194" s="236" t="str">
        <f>'Profits 2016'!T6407</f>
        <v>UPS GROUND</v>
      </c>
      <c r="P1194" s="284" t="str">
        <f>'Profits 2016'!U6407</f>
        <v>K2479851355</v>
      </c>
      <c r="Q1194" s="284" t="s">
        <v>15751</v>
      </c>
      <c r="R1194" s="276">
        <v>20</v>
      </c>
      <c r="S1194" s="275">
        <v>10045888</v>
      </c>
      <c r="T1194" s="279">
        <v>42663</v>
      </c>
      <c r="U1194" s="279">
        <v>42670</v>
      </c>
      <c r="V1194" s="279">
        <v>42671</v>
      </c>
      <c r="W1194" s="293">
        <v>20</v>
      </c>
      <c r="X1194" s="236">
        <v>9272</v>
      </c>
      <c r="Y1194" s="276">
        <v>55.92</v>
      </c>
      <c r="Z1194" s="236" t="s">
        <v>15891</v>
      </c>
      <c r="AA1194" s="279">
        <v>42686</v>
      </c>
      <c r="AB1194" s="279">
        <v>42691</v>
      </c>
      <c r="AC1194" s="279">
        <v>42697</v>
      </c>
      <c r="AD1194" s="293">
        <v>55.92</v>
      </c>
      <c r="AE1194" s="282">
        <v>9482</v>
      </c>
      <c r="AF1194" s="276">
        <f t="shared" si="141"/>
        <v>167.07999999999998</v>
      </c>
      <c r="AG1194" s="276">
        <f t="shared" si="142"/>
        <v>75.92</v>
      </c>
      <c r="AH1194" s="276">
        <f t="shared" si="143"/>
        <v>159.21999999999997</v>
      </c>
      <c r="AI1194" s="283">
        <f t="shared" si="144"/>
        <v>0.95295666746468743</v>
      </c>
    </row>
    <row r="1195" spans="1:35" x14ac:dyDescent="0.25">
      <c r="A1195" s="275">
        <f>'Profits 2016'!A6408</f>
        <v>3005008</v>
      </c>
      <c r="B1195" s="279">
        <f>'Profits 2016'!B6408</f>
        <v>42662</v>
      </c>
      <c r="C1195" s="276">
        <f>'Profits 2016'!H6408</f>
        <v>837.9</v>
      </c>
      <c r="D1195" s="280">
        <f>'Profits 2016'!K6408</f>
        <v>819.1662</v>
      </c>
      <c r="E1195" s="276">
        <f>'Profits 2016'!L6408</f>
        <v>640</v>
      </c>
      <c r="F1195" s="275" t="str">
        <f>'Profits 2016'!P6408</f>
        <v>Nassau</v>
      </c>
      <c r="G1195" s="292">
        <f>'Profits 2016'!N6408-'Profits 2016'!M6408</f>
        <v>384</v>
      </c>
      <c r="H1195" s="319"/>
      <c r="I1195" s="320"/>
      <c r="J1195" s="321"/>
      <c r="K1195" s="321"/>
      <c r="L1195" s="321"/>
      <c r="M1195" s="319"/>
      <c r="N1195" s="322"/>
      <c r="O1195" s="236" t="str">
        <f>'Profits 2016'!T6408</f>
        <v>FEDEX/DLS</v>
      </c>
      <c r="P1195" s="284" t="str">
        <f>'Profits 2016'!U6408</f>
        <v>3423651560</v>
      </c>
      <c r="Q1195" s="284" t="s">
        <v>15804</v>
      </c>
      <c r="R1195" s="276">
        <v>228.36</v>
      </c>
      <c r="S1195" s="275">
        <v>636902479</v>
      </c>
      <c r="T1195" s="279">
        <v>42674</v>
      </c>
      <c r="U1195" s="279">
        <v>42681</v>
      </c>
      <c r="AF1195" s="276">
        <f t="shared" si="141"/>
        <v>612.36</v>
      </c>
      <c r="AG1195" s="276">
        <f t="shared" si="142"/>
        <v>228.36</v>
      </c>
      <c r="AH1195" s="276">
        <f t="shared" si="143"/>
        <v>590.80619999999999</v>
      </c>
      <c r="AI1195" s="283">
        <f t="shared" si="144"/>
        <v>0.96480207720948463</v>
      </c>
    </row>
    <row r="1196" spans="1:35" ht="30" x14ac:dyDescent="0.25">
      <c r="A1196" s="275">
        <f>'Profits 2016'!A6409</f>
        <v>3005009</v>
      </c>
      <c r="B1196" s="279">
        <f>'Profits 2016'!B6409</f>
        <v>42662</v>
      </c>
      <c r="C1196" s="276">
        <f>'Profits 2016'!H6409</f>
        <v>468.6</v>
      </c>
      <c r="D1196" s="280">
        <f>'Profits 2016'!K6409</f>
        <v>457.99080000000004</v>
      </c>
      <c r="E1196" s="276">
        <f>'Profits 2016'!L6409</f>
        <v>2150</v>
      </c>
      <c r="F1196" s="275" t="str">
        <f>'Profits 2016'!P6409</f>
        <v>Nassau</v>
      </c>
      <c r="G1196" s="292">
        <f>'Profits 2016'!N6409-'Profits 2016'!M6409</f>
        <v>236.49999999999997</v>
      </c>
      <c r="H1196" s="319"/>
      <c r="I1196" s="320"/>
      <c r="J1196" s="321"/>
      <c r="K1196" s="321"/>
      <c r="L1196" s="321"/>
      <c r="M1196" s="319"/>
      <c r="N1196" s="322"/>
      <c r="O1196" s="236" t="str">
        <f>'Profits 2016'!T6409</f>
        <v>FEDEX GROUND</v>
      </c>
      <c r="P1196" s="284" t="str">
        <f>'Profits 2016'!U6409</f>
        <v>702723290418, 702723290429</v>
      </c>
      <c r="Q1196" s="284" t="s">
        <v>314</v>
      </c>
      <c r="R1196" s="276">
        <f>21.81+32.98</f>
        <v>54.789999999999992</v>
      </c>
      <c r="S1196" s="275" t="s">
        <v>15869</v>
      </c>
      <c r="T1196" s="279">
        <v>42681</v>
      </c>
      <c r="U1196" s="279">
        <v>42688</v>
      </c>
      <c r="V1196" s="279">
        <v>42692</v>
      </c>
      <c r="W1196" s="293">
        <f t="shared" ref="W1196:W1198" si="145">R1196</f>
        <v>54.789999999999992</v>
      </c>
      <c r="X1196" s="236">
        <v>9444</v>
      </c>
      <c r="AF1196" s="276">
        <f t="shared" si="141"/>
        <v>291.28999999999996</v>
      </c>
      <c r="AG1196" s="276">
        <f t="shared" si="142"/>
        <v>54.789999999999992</v>
      </c>
      <c r="AH1196" s="276">
        <f t="shared" si="143"/>
        <v>403.20080000000007</v>
      </c>
      <c r="AI1196" s="283">
        <f t="shared" si="144"/>
        <v>1.3841903257921664</v>
      </c>
    </row>
    <row r="1197" spans="1:35" ht="30" x14ac:dyDescent="0.25">
      <c r="A1197" s="275">
        <f>'Profits 2016'!A6410</f>
        <v>3005010</v>
      </c>
      <c r="B1197" s="279">
        <f>'Profits 2016'!B6410</f>
        <v>42662</v>
      </c>
      <c r="C1197" s="276">
        <f>'Profits 2016'!H6410</f>
        <v>119.49</v>
      </c>
      <c r="D1197" s="280">
        <f>'Profits 2016'!K6410</f>
        <v>106.16558999999999</v>
      </c>
      <c r="E1197" s="276">
        <f>'Profits 2016'!L6410</f>
        <v>375</v>
      </c>
      <c r="F1197" s="275" t="str">
        <f>'Profits 2016'!P6410</f>
        <v>Nassau</v>
      </c>
      <c r="G1197" s="292">
        <f>'Profits 2016'!N6410-'Profits 2016'!M6410</f>
        <v>37.500000000000007</v>
      </c>
      <c r="H1197" s="319"/>
      <c r="I1197" s="320"/>
      <c r="J1197" s="321"/>
      <c r="K1197" s="321"/>
      <c r="L1197" s="321"/>
      <c r="M1197" s="319"/>
      <c r="N1197" s="322"/>
      <c r="O1197" s="236" t="str">
        <f>'Profits 2016'!T6410</f>
        <v>FEDEX GROUND</v>
      </c>
      <c r="P1197" s="284" t="str">
        <f>'Profits 2016'!U6410</f>
        <v>702723290360</v>
      </c>
      <c r="Q1197" s="284" t="s">
        <v>314</v>
      </c>
      <c r="R1197" s="276">
        <v>36.21</v>
      </c>
      <c r="S1197" s="275" t="s">
        <v>15869</v>
      </c>
      <c r="T1197" s="279">
        <v>42681</v>
      </c>
      <c r="U1197" s="279">
        <v>42688</v>
      </c>
      <c r="V1197" s="279">
        <v>42692</v>
      </c>
      <c r="W1197" s="293">
        <f t="shared" si="145"/>
        <v>36.21</v>
      </c>
      <c r="X1197" s="236">
        <v>9444</v>
      </c>
      <c r="AF1197" s="276">
        <f t="shared" si="141"/>
        <v>73.710000000000008</v>
      </c>
      <c r="AG1197" s="276">
        <f t="shared" si="142"/>
        <v>36.21</v>
      </c>
      <c r="AH1197" s="276">
        <f t="shared" si="143"/>
        <v>69.955590000000001</v>
      </c>
      <c r="AI1197" s="283">
        <f t="shared" si="144"/>
        <v>0.94906512006512</v>
      </c>
    </row>
    <row r="1198" spans="1:35" ht="30" x14ac:dyDescent="0.25">
      <c r="A1198" s="275">
        <f>'Profits 2016'!A6411</f>
        <v>3005011</v>
      </c>
      <c r="B1198" s="279">
        <f>'Profits 2016'!B6411</f>
        <v>42662</v>
      </c>
      <c r="C1198" s="276">
        <f>'Profits 2016'!H6411</f>
        <v>147.12</v>
      </c>
      <c r="D1198" s="280">
        <f>'Profits 2016'!K6411</f>
        <v>130.78391999999999</v>
      </c>
      <c r="E1198" s="276">
        <f>'Profits 2016'!L6411</f>
        <v>235</v>
      </c>
      <c r="F1198" s="275" t="str">
        <f>'Profits 2016'!P6411</f>
        <v>Nassau</v>
      </c>
      <c r="G1198" s="292">
        <f>'Profits 2016'!N6411-'Profits 2016'!M6411</f>
        <v>47</v>
      </c>
      <c r="H1198" s="319"/>
      <c r="I1198" s="320"/>
      <c r="J1198" s="321"/>
      <c r="K1198" s="321"/>
      <c r="L1198" s="321"/>
      <c r="M1198" s="319"/>
      <c r="N1198" s="322"/>
      <c r="O1198" s="236" t="str">
        <f>'Profits 2016'!T6411</f>
        <v>FEDEX GROUND</v>
      </c>
      <c r="P1198" s="284" t="str">
        <f>'Profits 2016'!U6411</f>
        <v>702723290430</v>
      </c>
      <c r="Q1198" s="284" t="s">
        <v>314</v>
      </c>
      <c r="R1198" s="276">
        <v>19.86</v>
      </c>
      <c r="S1198" s="275" t="s">
        <v>15869</v>
      </c>
      <c r="T1198" s="279">
        <v>42681</v>
      </c>
      <c r="U1198" s="279">
        <v>42688</v>
      </c>
      <c r="V1198" s="279">
        <v>42692</v>
      </c>
      <c r="W1198" s="293">
        <f t="shared" si="145"/>
        <v>19.86</v>
      </c>
      <c r="X1198" s="236">
        <v>9444</v>
      </c>
      <c r="AF1198" s="276">
        <f t="shared" si="141"/>
        <v>66.86</v>
      </c>
      <c r="AG1198" s="276">
        <f t="shared" si="142"/>
        <v>19.86</v>
      </c>
      <c r="AH1198" s="276">
        <f t="shared" si="143"/>
        <v>110.92392</v>
      </c>
      <c r="AI1198" s="283">
        <f t="shared" si="144"/>
        <v>1.6590475620699969</v>
      </c>
    </row>
    <row r="1199" spans="1:35" ht="30" x14ac:dyDescent="0.25">
      <c r="A1199" s="275">
        <f>'Profits 2016'!A6412</f>
        <v>3005012</v>
      </c>
      <c r="B1199" s="279">
        <f>'Profits 2016'!B6412</f>
        <v>42662</v>
      </c>
      <c r="C1199" s="276">
        <f>'Profits 2016'!H6412</f>
        <v>139.1</v>
      </c>
      <c r="D1199" s="280">
        <f>'Profits 2016'!K6412</f>
        <v>123.63809999999999</v>
      </c>
      <c r="E1199" s="276">
        <f>'Profits 2016'!L6412</f>
        <v>990</v>
      </c>
      <c r="F1199" s="275" t="str">
        <f>'Profits 2016'!P6412</f>
        <v>Nassau</v>
      </c>
      <c r="G1199" s="292">
        <f>'Profits 2016'!N6412-'Profits 2016'!M6412</f>
        <v>49.5</v>
      </c>
      <c r="H1199" s="319"/>
      <c r="I1199" s="320"/>
      <c r="J1199" s="321"/>
      <c r="K1199" s="321"/>
      <c r="L1199" s="321"/>
      <c r="M1199" s="319"/>
      <c r="N1199" s="322"/>
      <c r="O1199" s="236" t="str">
        <f>'Profits 2016'!T6412</f>
        <v>FEDEX GROUND</v>
      </c>
      <c r="P1199" s="284" t="str">
        <f>'Profits 2016'!U6412</f>
        <v>702723290381</v>
      </c>
      <c r="Q1199" s="284" t="s">
        <v>314</v>
      </c>
      <c r="R1199" s="276">
        <v>17.47</v>
      </c>
      <c r="S1199" s="275" t="s">
        <v>15793</v>
      </c>
      <c r="T1199" s="279">
        <v>42674</v>
      </c>
      <c r="U1199" s="279">
        <v>42681</v>
      </c>
      <c r="V1199" s="279">
        <v>42685</v>
      </c>
      <c r="W1199" s="293">
        <v>0</v>
      </c>
      <c r="X1199" s="236">
        <v>9399</v>
      </c>
      <c r="AF1199" s="276">
        <f t="shared" si="141"/>
        <v>66.97</v>
      </c>
      <c r="AG1199" s="276">
        <f t="shared" si="142"/>
        <v>17.47</v>
      </c>
      <c r="AH1199" s="276">
        <f t="shared" si="143"/>
        <v>106.1681</v>
      </c>
      <c r="AI1199" s="283">
        <f t="shared" si="144"/>
        <v>1.5853083470210541</v>
      </c>
    </row>
    <row r="1200" spans="1:35" ht="30" x14ac:dyDescent="0.25">
      <c r="A1200" s="275">
        <f>'Profits 2016'!A6413</f>
        <v>3005013</v>
      </c>
      <c r="B1200" s="279">
        <f>'Profits 2016'!B6413</f>
        <v>42662</v>
      </c>
      <c r="C1200" s="276">
        <f>'Profits 2016'!H6413</f>
        <v>677.16</v>
      </c>
      <c r="D1200" s="280">
        <f>'Profits 2016'!K6413</f>
        <v>603.04956000000004</v>
      </c>
      <c r="E1200" s="276">
        <f>'Profits 2016'!L6413</f>
        <v>1648</v>
      </c>
      <c r="F1200" s="275" t="str">
        <f>'Profits 2016'!P6413</f>
        <v>Kalas</v>
      </c>
      <c r="G1200" s="292">
        <f>'Profits 2016'!N6413-'Profits 2016'!M6413</f>
        <v>329.6</v>
      </c>
      <c r="H1200" s="331">
        <v>0</v>
      </c>
      <c r="I1200" s="332" t="s">
        <v>15892</v>
      </c>
      <c r="J1200" s="333">
        <v>42664</v>
      </c>
      <c r="K1200" s="333">
        <v>42667</v>
      </c>
      <c r="L1200" s="333">
        <v>42671</v>
      </c>
      <c r="M1200" s="331">
        <v>323.01</v>
      </c>
      <c r="N1200" s="334">
        <v>9254</v>
      </c>
      <c r="O1200" s="236" t="str">
        <f>'Profits 2016'!T6413</f>
        <v>FEDEX GROUND</v>
      </c>
      <c r="P1200" s="284" t="str">
        <f>'Profits 2016'!U6413</f>
        <v>777525574275</v>
      </c>
      <c r="AF1200" s="276">
        <f t="shared" si="141"/>
        <v>329.6</v>
      </c>
      <c r="AG1200" s="276">
        <f t="shared" si="142"/>
        <v>323.01</v>
      </c>
      <c r="AH1200" s="276">
        <f t="shared" si="143"/>
        <v>280.03956000000005</v>
      </c>
      <c r="AI1200" s="283">
        <f t="shared" si="144"/>
        <v>0.84963458737864084</v>
      </c>
    </row>
    <row r="1201" spans="1:35" ht="30" x14ac:dyDescent="0.25">
      <c r="A1201" s="275">
        <f>'Profits 2016'!A6414</f>
        <v>3005014</v>
      </c>
      <c r="B1201" s="279">
        <f>'Profits 2016'!B6414</f>
        <v>42662</v>
      </c>
      <c r="C1201" s="276">
        <f>'Profits 2016'!H6414</f>
        <v>107.91</v>
      </c>
      <c r="D1201" s="280">
        <f>'Profits 2016'!K6414</f>
        <v>91.723500000000001</v>
      </c>
      <c r="E1201" s="276">
        <f>'Profits 2016'!L6414</f>
        <v>754</v>
      </c>
      <c r="F1201" s="275" t="str">
        <f>'Profits 2016'!P6414</f>
        <v>Direct</v>
      </c>
      <c r="G1201" s="292">
        <f>'Profits 2016'!N6414-'Profits 2016'!M6414</f>
        <v>37.700000000000003</v>
      </c>
      <c r="H1201" s="292">
        <v>0</v>
      </c>
      <c r="I1201" s="275">
        <v>74915</v>
      </c>
      <c r="J1201" s="277">
        <v>42664</v>
      </c>
      <c r="K1201" s="277">
        <v>42670</v>
      </c>
      <c r="L1201" s="333">
        <v>42671</v>
      </c>
      <c r="M1201" s="331">
        <v>73.89</v>
      </c>
      <c r="N1201" s="334">
        <v>9274</v>
      </c>
      <c r="O1201" s="236" t="str">
        <f>'Profits 2016'!T6414</f>
        <v>FEDEX GROUND</v>
      </c>
      <c r="P1201" s="284" t="str">
        <f>'Profits 2016'!U6414</f>
        <v>630512245410</v>
      </c>
      <c r="Q1201" s="284" t="s">
        <v>314</v>
      </c>
      <c r="R1201" s="276">
        <v>20.170000000000002</v>
      </c>
      <c r="S1201" s="275" t="s">
        <v>15869</v>
      </c>
      <c r="T1201" s="279">
        <v>42681</v>
      </c>
      <c r="U1201" s="279">
        <v>42688</v>
      </c>
      <c r="V1201" s="279">
        <v>42692</v>
      </c>
      <c r="W1201" s="293">
        <f>R1201</f>
        <v>20.170000000000002</v>
      </c>
      <c r="X1201" s="236">
        <v>9444</v>
      </c>
      <c r="AF1201" s="276">
        <f t="shared" si="141"/>
        <v>57.870000000000005</v>
      </c>
      <c r="AG1201" s="276">
        <f t="shared" si="142"/>
        <v>94.06</v>
      </c>
      <c r="AH1201" s="276">
        <f t="shared" si="143"/>
        <v>-2.3365000000000009</v>
      </c>
      <c r="AI1201" s="283">
        <f t="shared" si="144"/>
        <v>-4.0374978399861775E-2</v>
      </c>
    </row>
    <row r="1202" spans="1:35" x14ac:dyDescent="0.25">
      <c r="A1202" s="275">
        <f>'Profits 2016'!A6415</f>
        <v>0</v>
      </c>
      <c r="B1202" s="279">
        <f>'Profits 2016'!B6415</f>
        <v>0</v>
      </c>
      <c r="C1202" s="276">
        <f>'Profits 2016'!H6415</f>
        <v>0</v>
      </c>
      <c r="D1202" s="280">
        <f>'Profits 2016'!K6415</f>
        <v>0</v>
      </c>
      <c r="E1202" s="276">
        <f>'Profits 2016'!L6415</f>
        <v>754</v>
      </c>
      <c r="F1202" s="275" t="str">
        <f>'Profits 2016'!P6415</f>
        <v>Direct</v>
      </c>
      <c r="G1202" s="292">
        <f>'Profits 2016'!N6415-'Profits 2016'!M6415</f>
        <v>37.700000000000003</v>
      </c>
      <c r="H1202" s="292">
        <v>0</v>
      </c>
      <c r="I1202" s="275">
        <v>74915</v>
      </c>
      <c r="J1202" s="277">
        <v>42664</v>
      </c>
      <c r="K1202" s="277">
        <v>42670</v>
      </c>
      <c r="L1202" s="333">
        <v>42671</v>
      </c>
      <c r="M1202" s="331">
        <v>0</v>
      </c>
      <c r="N1202" s="334">
        <v>9274</v>
      </c>
      <c r="O1202" s="236">
        <f>'Profits 2016'!T6415</f>
        <v>0</v>
      </c>
      <c r="P1202" s="284">
        <f>'Profits 2016'!U6415</f>
        <v>0</v>
      </c>
      <c r="AF1202" s="276">
        <f t="shared" si="141"/>
        <v>37.700000000000003</v>
      </c>
      <c r="AG1202" s="276">
        <f t="shared" si="142"/>
        <v>0</v>
      </c>
      <c r="AH1202" s="276">
        <f t="shared" si="143"/>
        <v>0</v>
      </c>
      <c r="AI1202" s="283">
        <f t="shared" si="144"/>
        <v>0</v>
      </c>
    </row>
    <row r="1203" spans="1:35" ht="30" x14ac:dyDescent="0.25">
      <c r="A1203" s="275">
        <f>'Profits 2016'!A6416</f>
        <v>3005015</v>
      </c>
      <c r="B1203" s="279">
        <f>'Profits 2016'!B6416</f>
        <v>42662</v>
      </c>
      <c r="C1203" s="276">
        <f>'Profits 2016'!H6416</f>
        <v>126.71</v>
      </c>
      <c r="D1203" s="280">
        <f>'Profits 2016'!K6416</f>
        <v>107.70349999999999</v>
      </c>
      <c r="E1203" s="276">
        <f>'Profits 2016'!L6416</f>
        <v>695</v>
      </c>
      <c r="F1203" s="275" t="str">
        <f>'Profits 2016'!P6416</f>
        <v>Nassau</v>
      </c>
      <c r="G1203" s="292">
        <f>'Profits 2016'!N6416-'Profits 2016'!M6416</f>
        <v>52.124999999999993</v>
      </c>
      <c r="H1203" s="319"/>
      <c r="I1203" s="320"/>
      <c r="J1203" s="321"/>
      <c r="K1203" s="321"/>
      <c r="L1203" s="321"/>
      <c r="M1203" s="319"/>
      <c r="N1203" s="322"/>
      <c r="O1203" s="236" t="str">
        <f>'Profits 2016'!T6416</f>
        <v>FEDEX GROUND</v>
      </c>
      <c r="P1203" s="284" t="str">
        <f>'Profits 2016'!U6416</f>
        <v>702723290370</v>
      </c>
      <c r="Q1203" s="284" t="s">
        <v>314</v>
      </c>
      <c r="R1203" s="276">
        <v>19.79</v>
      </c>
      <c r="S1203" s="275" t="s">
        <v>15793</v>
      </c>
      <c r="T1203" s="279">
        <v>42674</v>
      </c>
      <c r="U1203" s="279">
        <v>42681</v>
      </c>
      <c r="V1203" s="279">
        <v>42685</v>
      </c>
      <c r="W1203" s="293">
        <v>0</v>
      </c>
      <c r="X1203" s="236">
        <v>9399</v>
      </c>
      <c r="AF1203" s="276">
        <f t="shared" si="141"/>
        <v>71.914999999999992</v>
      </c>
      <c r="AG1203" s="276">
        <f t="shared" si="142"/>
        <v>19.79</v>
      </c>
      <c r="AH1203" s="276">
        <f t="shared" si="143"/>
        <v>87.913499999999999</v>
      </c>
      <c r="AI1203" s="283">
        <f t="shared" si="144"/>
        <v>1.2224640200236392</v>
      </c>
    </row>
    <row r="1204" spans="1:35" ht="30" x14ac:dyDescent="0.25">
      <c r="A1204" s="275">
        <f>'Profits 2016'!A6417</f>
        <v>3005016</v>
      </c>
      <c r="B1204" s="279">
        <f>'Profits 2016'!B6417</f>
        <v>42662</v>
      </c>
      <c r="C1204" s="276">
        <f>'Profits 2016'!H6417</f>
        <v>115</v>
      </c>
      <c r="D1204" s="280">
        <f>'Profits 2016'!K6417</f>
        <v>97.75</v>
      </c>
      <c r="E1204" s="276">
        <f>'Profits 2016'!L6417</f>
        <v>341</v>
      </c>
      <c r="F1204" s="275" t="str">
        <f>'Profits 2016'!P6417</f>
        <v>Direct</v>
      </c>
      <c r="G1204" s="292">
        <f>'Profits 2016'!N6417-'Profits 2016'!M6417</f>
        <v>34.099999999999994</v>
      </c>
      <c r="H1204" s="292">
        <v>0</v>
      </c>
      <c r="I1204" s="275">
        <v>74993</v>
      </c>
      <c r="J1204" s="277">
        <v>42667</v>
      </c>
      <c r="K1204" s="277">
        <v>42670</v>
      </c>
      <c r="L1204" s="333">
        <v>42671</v>
      </c>
      <c r="M1204" s="331">
        <v>67.62</v>
      </c>
      <c r="N1204" s="334">
        <v>9276</v>
      </c>
      <c r="O1204" s="236" t="str">
        <f>'Profits 2016'!T6417</f>
        <v>FEDEX GROUND</v>
      </c>
      <c r="P1204" s="284" t="str">
        <f>'Profits 2016'!U6417</f>
        <v>630512245453</v>
      </c>
      <c r="Q1204" s="284" t="s">
        <v>314</v>
      </c>
      <c r="R1204" s="276">
        <v>21.56</v>
      </c>
      <c r="S1204" s="275" t="s">
        <v>15869</v>
      </c>
      <c r="T1204" s="279">
        <v>42681</v>
      </c>
      <c r="U1204" s="279">
        <v>42688</v>
      </c>
      <c r="V1204" s="279">
        <v>42692</v>
      </c>
      <c r="W1204" s="293">
        <f>R1204</f>
        <v>21.56</v>
      </c>
      <c r="X1204" s="236">
        <v>9444</v>
      </c>
      <c r="AF1204" s="276">
        <f t="shared" si="141"/>
        <v>55.66</v>
      </c>
      <c r="AG1204" s="276">
        <f t="shared" si="142"/>
        <v>89.18</v>
      </c>
      <c r="AH1204" s="276">
        <f t="shared" si="143"/>
        <v>8.5699999999999932</v>
      </c>
      <c r="AI1204" s="283">
        <f t="shared" si="144"/>
        <v>0.15397053539346017</v>
      </c>
    </row>
    <row r="1205" spans="1:35" x14ac:dyDescent="0.25">
      <c r="A1205" s="275">
        <f>'Profits 2016'!A6418</f>
        <v>0</v>
      </c>
      <c r="B1205" s="279">
        <f>'Profits 2016'!B6418</f>
        <v>0</v>
      </c>
      <c r="C1205" s="276">
        <f>'Profits 2016'!H6418</f>
        <v>0</v>
      </c>
      <c r="D1205" s="280">
        <f>'Profits 2016'!K6418</f>
        <v>0</v>
      </c>
      <c r="E1205" s="276">
        <f>'Profits 2016'!L6418</f>
        <v>349</v>
      </c>
      <c r="F1205" s="275" t="str">
        <f>'Profits 2016'!P6418</f>
        <v>Direct</v>
      </c>
      <c r="G1205" s="292">
        <f>'Profits 2016'!N6418-'Profits 2016'!M6418</f>
        <v>34.9</v>
      </c>
      <c r="H1205" s="292">
        <v>0</v>
      </c>
      <c r="I1205" s="275">
        <v>74993</v>
      </c>
      <c r="J1205" s="277">
        <v>42667</v>
      </c>
      <c r="K1205" s="277">
        <v>42670</v>
      </c>
      <c r="L1205" s="333">
        <v>42671</v>
      </c>
      <c r="M1205" s="331">
        <v>0</v>
      </c>
      <c r="N1205" s="334">
        <v>9276</v>
      </c>
      <c r="O1205" s="236">
        <f>'Profits 2016'!T6418</f>
        <v>0</v>
      </c>
      <c r="P1205" s="284">
        <f>'Profits 2016'!U6418</f>
        <v>0</v>
      </c>
      <c r="AF1205" s="276">
        <f t="shared" si="141"/>
        <v>34.9</v>
      </c>
      <c r="AG1205" s="276">
        <f t="shared" si="142"/>
        <v>0</v>
      </c>
      <c r="AH1205" s="276">
        <f t="shared" si="143"/>
        <v>0</v>
      </c>
      <c r="AI1205" s="283">
        <f t="shared" si="144"/>
        <v>0</v>
      </c>
    </row>
    <row r="1206" spans="1:35" ht="30" x14ac:dyDescent="0.25">
      <c r="A1206" s="275">
        <f>'Profits 2016'!A6419</f>
        <v>3005017</v>
      </c>
      <c r="B1206" s="279">
        <f>'Profits 2016'!B6419</f>
        <v>42662</v>
      </c>
      <c r="C1206" s="276">
        <f>'Profits 2016'!H6419</f>
        <v>250.83</v>
      </c>
      <c r="D1206" s="280">
        <f>'Profits 2016'!K6419</f>
        <v>213.20550000000003</v>
      </c>
      <c r="E1206" s="276">
        <f>'Profits 2016'!L6419</f>
        <v>900</v>
      </c>
      <c r="F1206" s="275" t="str">
        <f>'Profits 2016'!P6419</f>
        <v>Nassau</v>
      </c>
      <c r="G1206" s="292">
        <f>'Profits 2016'!N6419-'Profits 2016'!M6419</f>
        <v>90</v>
      </c>
      <c r="H1206" s="319"/>
      <c r="I1206" s="320"/>
      <c r="J1206" s="321"/>
      <c r="K1206" s="321"/>
      <c r="L1206" s="321"/>
      <c r="M1206" s="319"/>
      <c r="N1206" s="322"/>
      <c r="O1206" s="236" t="str">
        <f>'Profits 2016'!T6419</f>
        <v>FEDEX GROUND</v>
      </c>
      <c r="P1206" s="284" t="str">
        <f>'Profits 2016'!U6419</f>
        <v>702723290392</v>
      </c>
      <c r="Q1206" s="284" t="s">
        <v>314</v>
      </c>
      <c r="R1206" s="276">
        <v>19.239999999999998</v>
      </c>
      <c r="S1206" s="275" t="s">
        <v>15793</v>
      </c>
      <c r="T1206" s="279">
        <v>42674</v>
      </c>
      <c r="U1206" s="279">
        <v>42681</v>
      </c>
      <c r="V1206" s="279">
        <v>42685</v>
      </c>
      <c r="W1206" s="293">
        <v>0</v>
      </c>
      <c r="X1206" s="236">
        <v>9399</v>
      </c>
      <c r="AF1206" s="276">
        <f t="shared" si="141"/>
        <v>109.24</v>
      </c>
      <c r="AG1206" s="276">
        <f t="shared" si="142"/>
        <v>19.239999999999998</v>
      </c>
      <c r="AH1206" s="276">
        <f t="shared" si="143"/>
        <v>193.96550000000002</v>
      </c>
      <c r="AI1206" s="283">
        <f t="shared" si="144"/>
        <v>1.77559044306115</v>
      </c>
    </row>
    <row r="1207" spans="1:35" ht="30" x14ac:dyDescent="0.25">
      <c r="A1207" s="275">
        <f>'Profits 2016'!A6420</f>
        <v>3005018</v>
      </c>
      <c r="B1207" s="279">
        <f>'Profits 2016'!B6420</f>
        <v>42662</v>
      </c>
      <c r="C1207" s="276">
        <f>'Profits 2016'!H6420</f>
        <v>220.5</v>
      </c>
      <c r="D1207" s="280">
        <f>'Profits 2016'!K6420</f>
        <v>187.42500000000001</v>
      </c>
      <c r="E1207" s="276">
        <f>'Profits 2016'!L6420</f>
        <v>754</v>
      </c>
      <c r="F1207" s="275" t="str">
        <f>'Profits 2016'!P6420</f>
        <v>Direct</v>
      </c>
      <c r="G1207" s="292">
        <f>'Profits 2016'!N6420-'Profits 2016'!M6420</f>
        <v>75.400000000000006</v>
      </c>
      <c r="H1207" s="292">
        <v>0</v>
      </c>
      <c r="I1207" s="275">
        <v>74913</v>
      </c>
      <c r="J1207" s="277">
        <v>42664</v>
      </c>
      <c r="K1207" s="277">
        <v>42670</v>
      </c>
      <c r="L1207" s="333">
        <v>42671</v>
      </c>
      <c r="M1207" s="331">
        <v>147.78</v>
      </c>
      <c r="N1207" s="334">
        <v>9274</v>
      </c>
      <c r="O1207" s="236" t="str">
        <f>'Profits 2016'!T6420</f>
        <v>FEDEX GROUND</v>
      </c>
      <c r="P1207" s="284" t="str">
        <f>'Profits 2016'!U6420</f>
        <v>642286529268</v>
      </c>
      <c r="Q1207" s="284" t="s">
        <v>314</v>
      </c>
      <c r="R1207" s="276">
        <v>18.91</v>
      </c>
      <c r="S1207" s="275" t="s">
        <v>15869</v>
      </c>
      <c r="T1207" s="279">
        <v>42681</v>
      </c>
      <c r="U1207" s="279">
        <v>42688</v>
      </c>
      <c r="V1207" s="279">
        <v>42692</v>
      </c>
      <c r="W1207" s="293">
        <f>R1207</f>
        <v>18.91</v>
      </c>
      <c r="X1207" s="236">
        <v>9444</v>
      </c>
      <c r="AF1207" s="276">
        <f t="shared" si="141"/>
        <v>94.31</v>
      </c>
      <c r="AG1207" s="276">
        <f t="shared" si="142"/>
        <v>166.69</v>
      </c>
      <c r="AH1207" s="276">
        <f t="shared" si="143"/>
        <v>20.735000000000014</v>
      </c>
      <c r="AI1207" s="283">
        <f t="shared" si="144"/>
        <v>0.21986003605132026</v>
      </c>
    </row>
    <row r="1208" spans="1:35" x14ac:dyDescent="0.25">
      <c r="A1208" s="275">
        <f>'Profits 2016'!A6421</f>
        <v>0</v>
      </c>
      <c r="B1208" s="279">
        <f>'Profits 2016'!B6421</f>
        <v>0</v>
      </c>
      <c r="C1208" s="276">
        <f>'Profits 2016'!H6421</f>
        <v>0</v>
      </c>
      <c r="D1208" s="280">
        <f>'Profits 2016'!K6421</f>
        <v>0</v>
      </c>
      <c r="E1208" s="276">
        <f>'Profits 2016'!L6421</f>
        <v>754</v>
      </c>
      <c r="F1208" s="275" t="str">
        <f>'Profits 2016'!P6421</f>
        <v>Direct</v>
      </c>
      <c r="G1208" s="292">
        <f>'Profits 2016'!N6421-'Profits 2016'!M6421</f>
        <v>75.400000000000006</v>
      </c>
      <c r="H1208" s="292">
        <v>0</v>
      </c>
      <c r="I1208" s="275">
        <v>74913</v>
      </c>
      <c r="J1208" s="277">
        <v>42664</v>
      </c>
      <c r="K1208" s="277">
        <v>42670</v>
      </c>
      <c r="L1208" s="333">
        <v>42671</v>
      </c>
      <c r="M1208" s="331">
        <v>0</v>
      </c>
      <c r="N1208" s="334">
        <v>9274</v>
      </c>
      <c r="O1208" s="236">
        <f>'Profits 2016'!T6421</f>
        <v>0</v>
      </c>
      <c r="P1208" s="284">
        <f>'Profits 2016'!U6421</f>
        <v>0</v>
      </c>
      <c r="AF1208" s="276">
        <f t="shared" si="141"/>
        <v>75.400000000000006</v>
      </c>
      <c r="AG1208" s="276">
        <f t="shared" si="142"/>
        <v>0</v>
      </c>
      <c r="AH1208" s="276">
        <f t="shared" si="143"/>
        <v>0</v>
      </c>
      <c r="AI1208" s="283">
        <f t="shared" si="144"/>
        <v>0</v>
      </c>
    </row>
    <row r="1209" spans="1:35" ht="30" x14ac:dyDescent="0.25">
      <c r="A1209" s="275">
        <f>'Profits 2016'!A6422</f>
        <v>3005019</v>
      </c>
      <c r="B1209" s="279">
        <f>'Profits 2016'!B6422</f>
        <v>42662</v>
      </c>
      <c r="C1209" s="276">
        <f>'Profits 2016'!H6422</f>
        <v>175</v>
      </c>
      <c r="D1209" s="280">
        <f>'Profits 2016'!K6422</f>
        <v>170.85</v>
      </c>
      <c r="E1209" s="276">
        <f>'Profits 2016'!L6422</f>
        <v>760</v>
      </c>
      <c r="F1209" s="275" t="str">
        <f>'Profits 2016'!P6422</f>
        <v>Priority</v>
      </c>
      <c r="G1209" s="292">
        <f>'Profits 2016'!N6422-'Profits 2016'!M6422</f>
        <v>41.8</v>
      </c>
      <c r="H1209" s="331">
        <v>0</v>
      </c>
      <c r="I1209" s="332">
        <v>1068087</v>
      </c>
      <c r="J1209" s="333">
        <v>42663</v>
      </c>
      <c r="K1209" s="333">
        <v>42670</v>
      </c>
      <c r="L1209" s="333">
        <v>42692</v>
      </c>
      <c r="M1209" s="331">
        <v>60.22</v>
      </c>
      <c r="N1209" s="334">
        <v>9450</v>
      </c>
      <c r="O1209" s="236" t="str">
        <f>'Profits 2016'!T6422</f>
        <v>FEDEX GROUND</v>
      </c>
      <c r="P1209" s="284" t="str">
        <f>'Profits 2016'!U6422</f>
        <v xml:space="preserve">	703688861338</v>
      </c>
      <c r="Q1209" s="284" t="s">
        <v>15740</v>
      </c>
      <c r="R1209" s="276">
        <v>18.420000000000002</v>
      </c>
      <c r="S1209" s="275">
        <v>1068087</v>
      </c>
      <c r="T1209" s="279">
        <v>42663</v>
      </c>
      <c r="U1209" s="279">
        <v>42670</v>
      </c>
      <c r="AF1209" s="276">
        <f t="shared" si="141"/>
        <v>60.22</v>
      </c>
      <c r="AG1209" s="276">
        <f t="shared" si="142"/>
        <v>78.64</v>
      </c>
      <c r="AH1209" s="276">
        <f t="shared" si="143"/>
        <v>92.21</v>
      </c>
      <c r="AI1209" s="283">
        <f t="shared" si="144"/>
        <v>1.5312188641647293</v>
      </c>
    </row>
    <row r="1210" spans="1:35" x14ac:dyDescent="0.25">
      <c r="A1210" s="275">
        <f>'Profits 2016'!A6423</f>
        <v>3005020</v>
      </c>
      <c r="B1210" s="279">
        <f>'Profits 2016'!B6423</f>
        <v>42662</v>
      </c>
      <c r="C1210" s="276">
        <f>'Profits 2016'!H6423</f>
        <v>4478.3999999999996</v>
      </c>
      <c r="D1210" s="280">
        <f>'Profits 2016'!K6423</f>
        <v>4332.5519999999997</v>
      </c>
      <c r="E1210" s="276">
        <f>'Profits 2016'!L6423</f>
        <v>18000</v>
      </c>
      <c r="F1210" s="275" t="str">
        <f>'Profits 2016'!P6423</f>
        <v>Service</v>
      </c>
      <c r="G1210" s="292">
        <f>'Profits 2016'!N6423-'Profits 2016'!M6423</f>
        <v>3240</v>
      </c>
      <c r="H1210" s="331">
        <v>0</v>
      </c>
      <c r="I1210" s="332">
        <v>50264855</v>
      </c>
      <c r="J1210" s="333">
        <v>42663</v>
      </c>
      <c r="K1210" s="333">
        <v>42667</v>
      </c>
      <c r="L1210" s="333">
        <v>42692</v>
      </c>
      <c r="M1210" s="331">
        <v>3405</v>
      </c>
      <c r="N1210" s="334">
        <v>9456</v>
      </c>
      <c r="O1210" s="236" t="str">
        <f>'Profits 2016'!T6423</f>
        <v>PITT OHIO</v>
      </c>
      <c r="P1210" s="284" t="str">
        <f>'Profits 2016'!U6423</f>
        <v>5008302749</v>
      </c>
      <c r="Q1210" s="284" t="s">
        <v>15853</v>
      </c>
      <c r="R1210" s="276">
        <v>165</v>
      </c>
      <c r="S1210" s="275">
        <v>50264855</v>
      </c>
      <c r="T1210" s="279">
        <v>42663</v>
      </c>
      <c r="U1210" s="279">
        <v>42667</v>
      </c>
      <c r="AF1210" s="276">
        <f t="shared" si="141"/>
        <v>3405</v>
      </c>
      <c r="AG1210" s="276">
        <f t="shared" si="142"/>
        <v>3570</v>
      </c>
      <c r="AH1210" s="276">
        <f t="shared" si="143"/>
        <v>762.55199999999968</v>
      </c>
      <c r="AI1210" s="283">
        <f t="shared" si="144"/>
        <v>0.22395066079295145</v>
      </c>
    </row>
    <row r="1211" spans="1:35" x14ac:dyDescent="0.25">
      <c r="A1211" s="275">
        <f>'Profits 2016'!A6424</f>
        <v>3005021</v>
      </c>
      <c r="B1211" s="279">
        <f>'Profits 2016'!B6424</f>
        <v>42662</v>
      </c>
      <c r="C1211" s="276">
        <f>'Profits 2016'!H6424</f>
        <v>2492.44</v>
      </c>
      <c r="D1211" s="280">
        <f>'Profits 2016'!K6424</f>
        <v>2492.44</v>
      </c>
      <c r="E1211" s="276">
        <f>'Profits 2016'!L6424</f>
        <v>120</v>
      </c>
      <c r="F1211" s="275" t="str">
        <f>'Profits 2016'!P6424</f>
        <v>Nassau</v>
      </c>
      <c r="G1211" s="292">
        <f>'Profits 2016'!N6424-'Profits 2016'!M6424</f>
        <v>480</v>
      </c>
      <c r="H1211" s="319"/>
      <c r="I1211" s="320"/>
      <c r="J1211" s="321"/>
      <c r="K1211" s="321"/>
      <c r="L1211" s="321"/>
      <c r="M1211" s="319"/>
      <c r="N1211" s="322"/>
      <c r="O1211" s="236" t="e">
        <f>'Profits 2016'!#REF!</f>
        <v>#REF!</v>
      </c>
      <c r="P1211" s="284" t="e">
        <f>'Profits 2016'!#REF!</f>
        <v>#REF!</v>
      </c>
      <c r="Q1211" s="284" t="s">
        <v>15751</v>
      </c>
      <c r="R1211" s="276">
        <v>75</v>
      </c>
      <c r="S1211" s="275">
        <v>10045887</v>
      </c>
      <c r="T1211" s="279">
        <v>42663</v>
      </c>
      <c r="U1211" s="279">
        <v>42667</v>
      </c>
      <c r="V1211" s="279">
        <v>42671</v>
      </c>
      <c r="W1211" s="293">
        <v>75</v>
      </c>
      <c r="X1211" s="236">
        <v>9245</v>
      </c>
      <c r="AF1211" s="276">
        <f t="shared" si="141"/>
        <v>555</v>
      </c>
      <c r="AG1211" s="276">
        <f t="shared" si="142"/>
        <v>75</v>
      </c>
      <c r="AH1211" s="276">
        <f t="shared" si="143"/>
        <v>2417.44</v>
      </c>
      <c r="AI1211" s="283">
        <f t="shared" si="144"/>
        <v>4.3557477477477482</v>
      </c>
    </row>
    <row r="1212" spans="1:35" x14ac:dyDescent="0.25">
      <c r="A1212" s="275">
        <f>'Profits 2016'!A6425</f>
        <v>0</v>
      </c>
      <c r="B1212" s="279">
        <f>'Profits 2016'!B6425</f>
        <v>0</v>
      </c>
      <c r="C1212" s="276">
        <f>'Profits 2016'!H6425</f>
        <v>0</v>
      </c>
      <c r="D1212" s="280">
        <f>'Profits 2016'!K6425</f>
        <v>0</v>
      </c>
      <c r="E1212" s="276">
        <f>'Profits 2016'!L6425</f>
        <v>909</v>
      </c>
      <c r="F1212" s="275" t="str">
        <f>'Profits 2016'!P6425</f>
        <v>Nassau</v>
      </c>
      <c r="G1212" s="292">
        <f>'Profits 2016'!N6425-'Profits 2016'!M6425</f>
        <v>869.91300000000001</v>
      </c>
      <c r="H1212" s="319"/>
      <c r="I1212" s="320"/>
      <c r="J1212" s="321"/>
      <c r="K1212" s="321"/>
      <c r="L1212" s="321"/>
      <c r="M1212" s="319"/>
      <c r="N1212" s="322"/>
      <c r="O1212" s="236">
        <f>'Profits 2016'!T6425</f>
        <v>0</v>
      </c>
      <c r="P1212" s="284">
        <f>'Profits 2016'!U6425</f>
        <v>0</v>
      </c>
      <c r="Q1212" s="284" t="s">
        <v>15751</v>
      </c>
      <c r="R1212" s="276">
        <v>0</v>
      </c>
      <c r="S1212" s="275">
        <v>10045887</v>
      </c>
      <c r="T1212" s="279">
        <v>42663</v>
      </c>
      <c r="U1212" s="279">
        <v>42667</v>
      </c>
      <c r="V1212" s="279">
        <v>42671</v>
      </c>
      <c r="W1212" s="293">
        <v>0</v>
      </c>
      <c r="X1212" s="236">
        <v>9245</v>
      </c>
      <c r="AF1212" s="276">
        <f t="shared" si="141"/>
        <v>869.91300000000001</v>
      </c>
      <c r="AG1212" s="276">
        <f t="shared" si="142"/>
        <v>0</v>
      </c>
      <c r="AH1212" s="276">
        <f t="shared" si="143"/>
        <v>0</v>
      </c>
      <c r="AI1212" s="283">
        <f t="shared" si="144"/>
        <v>0</v>
      </c>
    </row>
    <row r="1213" spans="1:35" ht="30" x14ac:dyDescent="0.25">
      <c r="A1213" s="275">
        <f>'Profits 2016'!A6426</f>
        <v>0</v>
      </c>
      <c r="B1213" s="279">
        <f>'Profits 2016'!B6426</f>
        <v>0</v>
      </c>
      <c r="C1213" s="276">
        <f>'Profits 2016'!H6426</f>
        <v>0</v>
      </c>
      <c r="D1213" s="280">
        <f>'Profits 2016'!K6426</f>
        <v>0</v>
      </c>
      <c r="E1213" s="276">
        <f>'Profits 2016'!L6426</f>
        <v>616</v>
      </c>
      <c r="F1213" s="275" t="str">
        <f>'Profits 2016'!P6426</f>
        <v>Nassau</v>
      </c>
      <c r="G1213" s="292">
        <f>'Profits 2016'!N6426-'Profits 2016'!M6426</f>
        <v>616</v>
      </c>
      <c r="H1213" s="319"/>
      <c r="I1213" s="320"/>
      <c r="J1213" s="321"/>
      <c r="K1213" s="321"/>
      <c r="L1213" s="321"/>
      <c r="M1213" s="319"/>
      <c r="N1213" s="322"/>
      <c r="O1213" s="236" t="str">
        <f>'Profits 2016'!T6424</f>
        <v>CROWN TRUCK</v>
      </c>
      <c r="P1213" s="284" t="str">
        <f>'Profits 2016'!U6424</f>
        <v>CROWN TRUCK</v>
      </c>
      <c r="Q1213" s="284" t="s">
        <v>15751</v>
      </c>
      <c r="R1213" s="276">
        <v>0</v>
      </c>
      <c r="S1213" s="275">
        <v>10045887</v>
      </c>
      <c r="T1213" s="279">
        <v>42663</v>
      </c>
      <c r="U1213" s="279">
        <v>42667</v>
      </c>
      <c r="V1213" s="279">
        <v>42671</v>
      </c>
      <c r="W1213" s="293">
        <v>0</v>
      </c>
      <c r="X1213" s="236">
        <v>9245</v>
      </c>
      <c r="AF1213" s="276">
        <f t="shared" si="141"/>
        <v>616</v>
      </c>
      <c r="AG1213" s="276">
        <f t="shared" si="142"/>
        <v>0</v>
      </c>
      <c r="AH1213" s="276">
        <f t="shared" si="143"/>
        <v>0</v>
      </c>
      <c r="AI1213" s="283">
        <f t="shared" si="144"/>
        <v>0</v>
      </c>
    </row>
    <row r="1214" spans="1:35" ht="30" x14ac:dyDescent="0.25">
      <c r="A1214" s="275">
        <f>'Profits 2016'!A6427</f>
        <v>3005022</v>
      </c>
      <c r="B1214" s="279">
        <f>'Profits 2016'!B6427</f>
        <v>42662</v>
      </c>
      <c r="C1214" s="276">
        <f>'Profits 2016'!H6427</f>
        <v>345.9</v>
      </c>
      <c r="D1214" s="280">
        <f>'Profits 2016'!K6427</f>
        <v>337.99019999999996</v>
      </c>
      <c r="E1214" s="276">
        <f>'Profits 2016'!L6427</f>
        <v>300</v>
      </c>
      <c r="F1214" s="275" t="str">
        <f>'Profits 2016'!P6427</f>
        <v>Thea</v>
      </c>
      <c r="G1214" s="292">
        <f>'Profits 2016'!N6427-'Profits 2016'!M6427</f>
        <v>112.49999999999999</v>
      </c>
      <c r="H1214" s="319"/>
      <c r="I1214" s="320"/>
      <c r="J1214" s="321"/>
      <c r="K1214" s="321"/>
      <c r="L1214" s="321"/>
      <c r="M1214" s="319"/>
      <c r="N1214" s="322"/>
      <c r="O1214" s="236" t="str">
        <f>'Profits 2016'!T6427</f>
        <v>FEDEX GROUND</v>
      </c>
      <c r="P1214" s="284" t="str">
        <f>'Profits 2016'!U6427</f>
        <v>675157531087</v>
      </c>
      <c r="Q1214" s="284" t="s">
        <v>314</v>
      </c>
      <c r="R1214" s="276">
        <v>55.7</v>
      </c>
      <c r="S1214" s="275" t="s">
        <v>15869</v>
      </c>
      <c r="T1214" s="279">
        <v>42681</v>
      </c>
      <c r="U1214" s="279">
        <v>42688</v>
      </c>
      <c r="V1214" s="279">
        <v>42692</v>
      </c>
      <c r="W1214" s="293">
        <f t="shared" ref="W1214:W1215" si="146">R1214</f>
        <v>55.7</v>
      </c>
      <c r="X1214" s="236">
        <v>9444</v>
      </c>
      <c r="AF1214" s="276">
        <f t="shared" si="141"/>
        <v>168.2</v>
      </c>
      <c r="AG1214" s="276">
        <f t="shared" si="142"/>
        <v>55.7</v>
      </c>
      <c r="AH1214" s="276">
        <f t="shared" si="143"/>
        <v>282.29019999999997</v>
      </c>
      <c r="AI1214" s="283">
        <f t="shared" si="144"/>
        <v>1.6783008323424493</v>
      </c>
    </row>
    <row r="1215" spans="1:35" ht="30" x14ac:dyDescent="0.25">
      <c r="A1215" s="275">
        <f>'Profits 2016'!A6428</f>
        <v>3005023</v>
      </c>
      <c r="B1215" s="279">
        <f>'Profits 2016'!B6428</f>
        <v>42662</v>
      </c>
      <c r="C1215" s="276">
        <f>'Profits 2016'!H6428</f>
        <v>530</v>
      </c>
      <c r="D1215" s="280">
        <f>'Profits 2016'!K6428</f>
        <v>518.04</v>
      </c>
      <c r="E1215" s="276">
        <f>'Profits 2016'!L6428</f>
        <v>0</v>
      </c>
      <c r="F1215" s="275" t="str">
        <f>'Profits 2016'!P6428</f>
        <v>Nassau</v>
      </c>
      <c r="G1215" s="292">
        <f>'Profits 2016'!N6428-'Profits 2016'!M6428</f>
        <v>0</v>
      </c>
      <c r="H1215" s="319"/>
      <c r="I1215" s="320"/>
      <c r="J1215" s="321"/>
      <c r="K1215" s="321"/>
      <c r="L1215" s="321"/>
      <c r="M1215" s="319"/>
      <c r="N1215" s="322"/>
      <c r="O1215" s="236" t="str">
        <f>'Profits 2016'!T6428</f>
        <v>FEDEX GROUND</v>
      </c>
      <c r="P1215" s="284" t="str">
        <f>'Profits 2016'!U6428</f>
        <v>702723290440</v>
      </c>
      <c r="Q1215" s="284" t="s">
        <v>314</v>
      </c>
      <c r="R1215" s="276">
        <v>46.71</v>
      </c>
      <c r="S1215" s="275" t="s">
        <v>15869</v>
      </c>
      <c r="T1215" s="279">
        <v>42681</v>
      </c>
      <c r="U1215" s="279">
        <v>42688</v>
      </c>
      <c r="V1215" s="279">
        <v>42692</v>
      </c>
      <c r="W1215" s="293">
        <f t="shared" si="146"/>
        <v>46.71</v>
      </c>
      <c r="X1215" s="236">
        <v>9444</v>
      </c>
      <c r="AF1215" s="276">
        <f t="shared" si="141"/>
        <v>46.71</v>
      </c>
      <c r="AG1215" s="276">
        <f t="shared" si="142"/>
        <v>46.71</v>
      </c>
      <c r="AH1215" s="276">
        <f t="shared" si="143"/>
        <v>471.33</v>
      </c>
      <c r="AI1215" s="283">
        <f t="shared" si="144"/>
        <v>10.090558766859344</v>
      </c>
    </row>
    <row r="1216" spans="1:35" ht="30" x14ac:dyDescent="0.25">
      <c r="A1216" s="275">
        <f>'Profits 2016'!A6429</f>
        <v>3005024</v>
      </c>
      <c r="B1216" s="279">
        <f>'Profits 2016'!B6429</f>
        <v>42662</v>
      </c>
      <c r="C1216" s="276">
        <f>'Profits 2016'!H6429</f>
        <v>675</v>
      </c>
      <c r="D1216" s="280">
        <f>'Profits 2016'!K6429</f>
        <v>601.125</v>
      </c>
      <c r="E1216" s="276">
        <f>'Profits 2016'!L6429</f>
        <v>4640</v>
      </c>
      <c r="F1216" s="275" t="str">
        <f>'Profits 2016'!P6429</f>
        <v>Service</v>
      </c>
      <c r="G1216" s="292">
        <f>'Profits 2016'!N6429-'Profits 2016'!M6429</f>
        <v>464</v>
      </c>
      <c r="H1216" s="331">
        <v>0</v>
      </c>
      <c r="I1216" s="332">
        <v>50264945</v>
      </c>
      <c r="J1216" s="333">
        <v>42663</v>
      </c>
      <c r="K1216" s="333">
        <v>42667</v>
      </c>
      <c r="L1216" s="333">
        <v>42692</v>
      </c>
      <c r="M1216" s="331">
        <v>464</v>
      </c>
      <c r="N1216" s="334">
        <v>9456</v>
      </c>
      <c r="O1216" s="236" t="str">
        <f>'Profits 2016'!T6429</f>
        <v>FEDEX PRIORITY</v>
      </c>
      <c r="P1216" s="284" t="str">
        <f>'Profits 2016'!U6429</f>
        <v>3992887006</v>
      </c>
      <c r="AF1216" s="276">
        <f t="shared" si="141"/>
        <v>464</v>
      </c>
      <c r="AG1216" s="276">
        <f t="shared" si="142"/>
        <v>464</v>
      </c>
      <c r="AH1216" s="276">
        <f t="shared" si="143"/>
        <v>137.125</v>
      </c>
      <c r="AI1216" s="283">
        <f t="shared" si="144"/>
        <v>0.29552801724137934</v>
      </c>
    </row>
    <row r="1217" spans="1:35" ht="30" x14ac:dyDescent="0.25">
      <c r="A1217" s="275">
        <f>'Profits 2016'!A6430</f>
        <v>3005025</v>
      </c>
      <c r="B1217" s="279">
        <f>'Profits 2016'!B6430</f>
        <v>42662</v>
      </c>
      <c r="C1217" s="276">
        <f>'Profits 2016'!H6430</f>
        <v>121.98</v>
      </c>
      <c r="D1217" s="280">
        <f>'Profits 2016'!K6430</f>
        <v>103.68300000000001</v>
      </c>
      <c r="E1217" s="276">
        <f>'Profits 2016'!L6430</f>
        <v>1322</v>
      </c>
      <c r="F1217" s="275" t="str">
        <f>'Profits 2016'!P6430</f>
        <v>Nassau</v>
      </c>
      <c r="G1217" s="292">
        <f>'Profits 2016'!N6430-'Profits 2016'!M6430</f>
        <v>66.100000000000009</v>
      </c>
      <c r="H1217" s="319"/>
      <c r="I1217" s="320"/>
      <c r="J1217" s="321"/>
      <c r="K1217" s="321"/>
      <c r="L1217" s="321"/>
      <c r="M1217" s="319"/>
      <c r="N1217" s="322"/>
      <c r="O1217" s="236" t="str">
        <f>'Profits 2016'!T6430</f>
        <v>FEDEX GROUND</v>
      </c>
      <c r="P1217" s="284" t="str">
        <f>'Profits 2016'!U6430</f>
        <v>702723290407</v>
      </c>
      <c r="Q1217" s="284" t="s">
        <v>314</v>
      </c>
      <c r="R1217" s="276">
        <v>22.26</v>
      </c>
      <c r="S1217" s="275" t="s">
        <v>15869</v>
      </c>
      <c r="T1217" s="279">
        <v>42681</v>
      </c>
      <c r="U1217" s="279">
        <v>42688</v>
      </c>
      <c r="V1217" s="279">
        <v>42692</v>
      </c>
      <c r="W1217" s="293">
        <f t="shared" ref="W1217:W1218" si="147">R1217</f>
        <v>22.26</v>
      </c>
      <c r="X1217" s="236">
        <v>9444</v>
      </c>
      <c r="AF1217" s="276">
        <f t="shared" si="141"/>
        <v>88.360000000000014</v>
      </c>
      <c r="AG1217" s="276">
        <f t="shared" si="142"/>
        <v>22.26</v>
      </c>
      <c r="AH1217" s="276">
        <f t="shared" si="143"/>
        <v>81.423000000000002</v>
      </c>
      <c r="AI1217" s="283">
        <f t="shared" si="144"/>
        <v>0.92149162516975991</v>
      </c>
    </row>
    <row r="1218" spans="1:35" ht="30" x14ac:dyDescent="0.25">
      <c r="A1218" s="275">
        <f>'Profits 2016'!A6431</f>
        <v>3005026</v>
      </c>
      <c r="B1218" s="279">
        <f>'Profits 2016'!B6431</f>
        <v>42662</v>
      </c>
      <c r="C1218" s="276">
        <f>'Profits 2016'!H6431</f>
        <v>107.91</v>
      </c>
      <c r="D1218" s="280">
        <f>'Profits 2016'!K6431</f>
        <v>91.723500000000001</v>
      </c>
      <c r="E1218" s="276">
        <f>'Profits 2016'!L6431</f>
        <v>754</v>
      </c>
      <c r="F1218" s="275" t="str">
        <f>'Profits 2016'!P6431</f>
        <v>Direct</v>
      </c>
      <c r="G1218" s="292">
        <f>'Profits 2016'!N6431-'Profits 2016'!M6431</f>
        <v>37.700000000000003</v>
      </c>
      <c r="H1218" s="292">
        <v>0</v>
      </c>
      <c r="I1218" s="275">
        <v>74916</v>
      </c>
      <c r="J1218" s="277">
        <v>42664</v>
      </c>
      <c r="K1218" s="277">
        <v>42670</v>
      </c>
      <c r="L1218" s="333">
        <v>42671</v>
      </c>
      <c r="M1218" s="331">
        <v>73.89</v>
      </c>
      <c r="N1218" s="334">
        <v>9274</v>
      </c>
      <c r="O1218" s="236" t="str">
        <f>'Profits 2016'!T6431</f>
        <v>FEDEX GROUND</v>
      </c>
      <c r="P1218" s="284" t="str">
        <f>'Profits 2016'!U6431</f>
        <v>630512245420</v>
      </c>
      <c r="Q1218" s="284" t="s">
        <v>314</v>
      </c>
      <c r="R1218" s="276">
        <v>18.149999999999999</v>
      </c>
      <c r="S1218" s="275" t="s">
        <v>15869</v>
      </c>
      <c r="T1218" s="279">
        <v>42681</v>
      </c>
      <c r="U1218" s="279">
        <v>42688</v>
      </c>
      <c r="V1218" s="279">
        <v>42692</v>
      </c>
      <c r="W1218" s="293">
        <f t="shared" si="147"/>
        <v>18.149999999999999</v>
      </c>
      <c r="X1218" s="236">
        <v>9444</v>
      </c>
      <c r="AF1218" s="276">
        <f t="shared" si="141"/>
        <v>55.85</v>
      </c>
      <c r="AG1218" s="276">
        <f t="shared" si="142"/>
        <v>92.039999999999992</v>
      </c>
      <c r="AH1218" s="276">
        <f t="shared" si="143"/>
        <v>-0.31649999999999068</v>
      </c>
      <c r="AI1218" s="283">
        <f t="shared" si="144"/>
        <v>-5.6669650850490723E-3</v>
      </c>
    </row>
    <row r="1219" spans="1:35" x14ac:dyDescent="0.25">
      <c r="A1219" s="275">
        <f>'Profits 2016'!A6432</f>
        <v>0</v>
      </c>
      <c r="B1219" s="279">
        <f>'Profits 2016'!B6432</f>
        <v>0</v>
      </c>
      <c r="C1219" s="276">
        <f>'Profits 2016'!H6432</f>
        <v>0</v>
      </c>
      <c r="D1219" s="280">
        <f>'Profits 2016'!K6432</f>
        <v>0</v>
      </c>
      <c r="E1219" s="276">
        <f>'Profits 2016'!L6432</f>
        <v>754</v>
      </c>
      <c r="F1219" s="275" t="str">
        <f>'Profits 2016'!P6432</f>
        <v>Direct</v>
      </c>
      <c r="G1219" s="292">
        <f>'Profits 2016'!N6432-'Profits 2016'!M6432</f>
        <v>37.700000000000003</v>
      </c>
      <c r="H1219" s="292">
        <v>0</v>
      </c>
      <c r="I1219" s="275">
        <v>74916</v>
      </c>
      <c r="J1219" s="277">
        <v>42664</v>
      </c>
      <c r="K1219" s="277">
        <v>42670</v>
      </c>
      <c r="L1219" s="333">
        <v>42671</v>
      </c>
      <c r="M1219" s="331">
        <v>0</v>
      </c>
      <c r="N1219" s="334">
        <v>9274</v>
      </c>
      <c r="O1219" s="236">
        <f>'Profits 2016'!T6432</f>
        <v>0</v>
      </c>
      <c r="P1219" s="284">
        <f>'Profits 2016'!U6432</f>
        <v>0</v>
      </c>
      <c r="AF1219" s="276">
        <f t="shared" si="141"/>
        <v>37.700000000000003</v>
      </c>
      <c r="AG1219" s="276">
        <f t="shared" si="142"/>
        <v>0</v>
      </c>
      <c r="AH1219" s="276">
        <f t="shared" si="143"/>
        <v>0</v>
      </c>
      <c r="AI1219" s="283">
        <f t="shared" si="144"/>
        <v>0</v>
      </c>
    </row>
    <row r="1220" spans="1:35" ht="30" x14ac:dyDescent="0.25">
      <c r="A1220" s="275">
        <f>'Profits 2016'!A6433</f>
        <v>3005027</v>
      </c>
      <c r="B1220" s="279">
        <f>'Profits 2016'!B6433</f>
        <v>42662</v>
      </c>
      <c r="C1220" s="276">
        <f>'Profits 2016'!H6433</f>
        <v>310.49</v>
      </c>
      <c r="D1220" s="280">
        <f>'Profits 2016'!K6433</f>
        <v>276.34658999999999</v>
      </c>
      <c r="E1220" s="276">
        <f>'Profits 2016'!L6433</f>
        <v>610.51</v>
      </c>
      <c r="F1220" s="275" t="str">
        <f>'Profits 2016'!P6433</f>
        <v>Thea</v>
      </c>
      <c r="G1220" s="292">
        <f>'Profits 2016'!N6433-'Profits 2016'!M6433</f>
        <v>152.6275</v>
      </c>
      <c r="H1220" s="319"/>
      <c r="I1220" s="320"/>
      <c r="J1220" s="321"/>
      <c r="K1220" s="321"/>
      <c r="L1220" s="321"/>
      <c r="M1220" s="319"/>
      <c r="N1220" s="322"/>
      <c r="O1220" s="236" t="str">
        <f>'Profits 2016'!T6433</f>
        <v>FEDEX GROUND</v>
      </c>
      <c r="P1220" s="284" t="str">
        <f>'Profits 2016'!U6433</f>
        <v>675157531054</v>
      </c>
      <c r="Q1220" s="284" t="s">
        <v>314</v>
      </c>
      <c r="R1220" s="276">
        <v>50.53</v>
      </c>
      <c r="S1220" s="275" t="s">
        <v>15869</v>
      </c>
      <c r="T1220" s="279">
        <v>42681</v>
      </c>
      <c r="U1220" s="279">
        <v>42688</v>
      </c>
      <c r="V1220" s="279">
        <v>42692</v>
      </c>
      <c r="W1220" s="293">
        <f t="shared" ref="W1220" si="148">R1220</f>
        <v>50.53</v>
      </c>
      <c r="X1220" s="236">
        <v>9444</v>
      </c>
      <c r="AF1220" s="276">
        <f t="shared" si="141"/>
        <v>203.1575</v>
      </c>
      <c r="AG1220" s="276">
        <f t="shared" si="142"/>
        <v>50.53</v>
      </c>
      <c r="AH1220" s="276">
        <f t="shared" si="143"/>
        <v>225.81658999999999</v>
      </c>
      <c r="AI1220" s="283">
        <f t="shared" si="144"/>
        <v>1.1115345975413164</v>
      </c>
    </row>
    <row r="1221" spans="1:35" x14ac:dyDescent="0.25">
      <c r="A1221" s="275">
        <f>'Profits 2016'!A6434</f>
        <v>3005028</v>
      </c>
      <c r="B1221" s="279">
        <f>'Profits 2016'!B6434</f>
        <v>42662</v>
      </c>
      <c r="C1221" s="276">
        <f>'Profits 2016'!H6434</f>
        <v>1717.71</v>
      </c>
      <c r="D1221" s="280">
        <f>'Profits 2016'!K6434</f>
        <v>1679.6203800000001</v>
      </c>
      <c r="E1221" s="276">
        <f>'Profits 2016'!L6434</f>
        <v>1795</v>
      </c>
      <c r="F1221" s="275" t="str">
        <f>'Profits 2016'!P6434</f>
        <v>Nassau</v>
      </c>
      <c r="G1221" s="292">
        <f>'Profits 2016'!N6434-'Profits 2016'!M6434</f>
        <v>538.5</v>
      </c>
      <c r="H1221" s="319"/>
      <c r="I1221" s="320"/>
      <c r="J1221" s="321"/>
      <c r="K1221" s="321"/>
      <c r="L1221" s="321"/>
      <c r="M1221" s="319"/>
      <c r="N1221" s="322"/>
      <c r="O1221" s="236" t="str">
        <f>'Profits 2016'!T6434</f>
        <v>FEDEX/DLS</v>
      </c>
      <c r="P1221" s="284" t="str">
        <f>'Profits 2016'!U6434</f>
        <v>3423651674</v>
      </c>
      <c r="Q1221" s="284" t="s">
        <v>15804</v>
      </c>
      <c r="R1221" s="276">
        <v>191.54</v>
      </c>
      <c r="S1221" s="275">
        <v>636912590</v>
      </c>
      <c r="T1221" s="279">
        <v>42676</v>
      </c>
      <c r="U1221" s="279">
        <v>42685</v>
      </c>
      <c r="V1221" s="279">
        <v>42692</v>
      </c>
      <c r="W1221" s="293">
        <v>191.54</v>
      </c>
      <c r="X1221" s="236">
        <v>9451</v>
      </c>
      <c r="AF1221" s="276">
        <f t="shared" si="141"/>
        <v>730.04</v>
      </c>
      <c r="AG1221" s="276">
        <f t="shared" si="142"/>
        <v>191.54</v>
      </c>
      <c r="AH1221" s="276">
        <f t="shared" si="143"/>
        <v>1488.0803800000001</v>
      </c>
      <c r="AI1221" s="283">
        <f t="shared" si="144"/>
        <v>2.0383545833105039</v>
      </c>
    </row>
    <row r="1222" spans="1:35" ht="30" x14ac:dyDescent="0.25">
      <c r="A1222" s="275">
        <f>'Profits 2016'!A6435</f>
        <v>3005029</v>
      </c>
      <c r="B1222" s="279">
        <f>'Profits 2016'!B6435</f>
        <v>42662</v>
      </c>
      <c r="C1222" s="276">
        <f>'Profits 2016'!H6435</f>
        <v>347</v>
      </c>
      <c r="D1222" s="280">
        <f>'Profits 2016'!K6435</f>
        <v>339.06599999999997</v>
      </c>
      <c r="E1222" s="276">
        <f>'Profits 2016'!L6435</f>
        <v>1200</v>
      </c>
      <c r="F1222" s="275" t="str">
        <f>'Profits 2016'!P6435</f>
        <v>Nassau</v>
      </c>
      <c r="G1222" s="292">
        <f>'Profits 2016'!N6435-'Profits 2016'!M6435</f>
        <v>119.99999999999999</v>
      </c>
      <c r="H1222" s="319"/>
      <c r="I1222" s="320"/>
      <c r="J1222" s="321"/>
      <c r="K1222" s="321"/>
      <c r="L1222" s="321"/>
      <c r="M1222" s="319"/>
      <c r="N1222" s="322"/>
      <c r="O1222" s="236" t="str">
        <f>'Profits 2016'!T6435</f>
        <v>FEDEX GROUND</v>
      </c>
      <c r="P1222" s="284" t="str">
        <f>'Profits 2016'!U6435</f>
        <v>702723290500</v>
      </c>
      <c r="Q1222" s="284" t="s">
        <v>314</v>
      </c>
      <c r="R1222" s="276">
        <v>36.33</v>
      </c>
      <c r="S1222" s="275" t="s">
        <v>15793</v>
      </c>
      <c r="T1222" s="279">
        <v>42674</v>
      </c>
      <c r="U1222" s="279">
        <v>42681</v>
      </c>
      <c r="V1222" s="279">
        <v>42685</v>
      </c>
      <c r="W1222" s="293">
        <v>0</v>
      </c>
      <c r="X1222" s="236">
        <v>9399</v>
      </c>
      <c r="AF1222" s="276">
        <f t="shared" si="141"/>
        <v>156.32999999999998</v>
      </c>
      <c r="AG1222" s="276">
        <f t="shared" si="142"/>
        <v>36.33</v>
      </c>
      <c r="AH1222" s="276">
        <f t="shared" si="143"/>
        <v>302.73599999999999</v>
      </c>
      <c r="AI1222" s="283">
        <f t="shared" si="144"/>
        <v>1.9365189023220113</v>
      </c>
    </row>
    <row r="1223" spans="1:35" ht="45" x14ac:dyDescent="0.25">
      <c r="A1223" s="275">
        <f>'Profits 2016'!A6436</f>
        <v>3005030</v>
      </c>
      <c r="B1223" s="279">
        <f>'Profits 2016'!B6436</f>
        <v>42663</v>
      </c>
      <c r="C1223" s="276">
        <f>'Profits 2016'!H6436</f>
        <v>3600</v>
      </c>
      <c r="D1223" s="280">
        <f>'Profits 2016'!K6436</f>
        <v>3520.5</v>
      </c>
      <c r="E1223" s="276">
        <f>'Profits 2016'!L6436</f>
        <v>1035</v>
      </c>
      <c r="F1223" s="275" t="str">
        <f>'Profits 2016'!P6436</f>
        <v>Nassau</v>
      </c>
      <c r="G1223" s="292">
        <f>'Profits 2016'!N6436-'Profits 2016'!M6436</f>
        <v>1863.0000000000002</v>
      </c>
      <c r="H1223" s="319"/>
      <c r="I1223" s="320"/>
      <c r="J1223" s="321"/>
      <c r="K1223" s="321"/>
      <c r="L1223" s="321"/>
      <c r="M1223" s="319"/>
      <c r="N1223" s="322"/>
      <c r="O1223" s="236" t="str">
        <f>'Profits 2016'!T6436</f>
        <v>YRC FREIGHT/ECHO</v>
      </c>
      <c r="P1223" s="284" t="str">
        <f>'Profits 2016'!U6436</f>
        <v xml:space="preserve">	5618659669</v>
      </c>
      <c r="AF1223" s="276">
        <f t="shared" si="141"/>
        <v>1863.0000000000002</v>
      </c>
      <c r="AG1223" s="276">
        <f t="shared" si="142"/>
        <v>0</v>
      </c>
      <c r="AH1223" s="276">
        <f t="shared" si="143"/>
        <v>3520.5</v>
      </c>
      <c r="AI1223" s="283">
        <f t="shared" si="144"/>
        <v>1.8896940418679546</v>
      </c>
    </row>
    <row r="1224" spans="1:35" ht="30" x14ac:dyDescent="0.25">
      <c r="A1224" s="275">
        <f>'Profits 2016'!A6437</f>
        <v>3005031</v>
      </c>
      <c r="B1224" s="279">
        <f>'Profits 2016'!B6437</f>
        <v>42663</v>
      </c>
      <c r="C1224" s="276">
        <f>'Profits 2016'!H6437</f>
        <v>55</v>
      </c>
      <c r="D1224" s="280">
        <f>'Profits 2016'!K6437</f>
        <v>53.655000000000001</v>
      </c>
      <c r="E1224" s="276">
        <f>'Profits 2016'!L6437</f>
        <v>185</v>
      </c>
      <c r="F1224" s="275" t="str">
        <f>'Profits 2016'!P6437</f>
        <v>Nassau</v>
      </c>
      <c r="G1224" s="292">
        <f>'Profits 2016'!N6437-'Profits 2016'!M6437</f>
        <v>18.5</v>
      </c>
      <c r="H1224" s="319"/>
      <c r="I1224" s="320"/>
      <c r="J1224" s="321"/>
      <c r="K1224" s="321"/>
      <c r="L1224" s="321"/>
      <c r="M1224" s="319"/>
      <c r="N1224" s="322"/>
      <c r="O1224" s="236" t="str">
        <f>'Profits 2016'!T6437</f>
        <v>FEDEX GROUND</v>
      </c>
      <c r="P1224" s="284" t="str">
        <f>'Profits 2016'!U6437</f>
        <v>702723290679</v>
      </c>
      <c r="Q1224" s="284" t="s">
        <v>314</v>
      </c>
      <c r="R1224" s="276">
        <v>22.64</v>
      </c>
      <c r="S1224" s="275" t="s">
        <v>15869</v>
      </c>
      <c r="T1224" s="279">
        <v>42681</v>
      </c>
      <c r="U1224" s="279">
        <v>42688</v>
      </c>
      <c r="V1224" s="279">
        <v>42692</v>
      </c>
      <c r="W1224" s="293">
        <f t="shared" ref="W1224:W1238" si="149">R1224</f>
        <v>22.64</v>
      </c>
      <c r="X1224" s="236">
        <v>9444</v>
      </c>
      <c r="AF1224" s="276">
        <f t="shared" si="141"/>
        <v>41.14</v>
      </c>
      <c r="AG1224" s="276">
        <f t="shared" si="142"/>
        <v>22.64</v>
      </c>
      <c r="AH1224" s="276">
        <f t="shared" si="143"/>
        <v>31.015000000000001</v>
      </c>
      <c r="AI1224" s="283">
        <f t="shared" si="144"/>
        <v>0.75388915896937292</v>
      </c>
    </row>
    <row r="1225" spans="1:35" ht="30" x14ac:dyDescent="0.25">
      <c r="A1225" s="275">
        <f>'Profits 2016'!A6438</f>
        <v>3005032</v>
      </c>
      <c r="B1225" s="279">
        <f>'Profits 2016'!B6438</f>
        <v>42663</v>
      </c>
      <c r="C1225" s="276">
        <f>'Profits 2016'!H6438</f>
        <v>123.3</v>
      </c>
      <c r="D1225" s="280">
        <f>'Profits 2016'!K6438</f>
        <v>109.5603</v>
      </c>
      <c r="E1225" s="276">
        <f>'Profits 2016'!L6438</f>
        <v>424</v>
      </c>
      <c r="F1225" s="275" t="str">
        <f>'Profits 2016'!P6438</f>
        <v>Nassau</v>
      </c>
      <c r="G1225" s="292">
        <f>'Profits 2016'!N6438-'Profits 2016'!M6438</f>
        <v>44.52</v>
      </c>
      <c r="H1225" s="319"/>
      <c r="I1225" s="320"/>
      <c r="J1225" s="321"/>
      <c r="K1225" s="321"/>
      <c r="L1225" s="321"/>
      <c r="M1225" s="319"/>
      <c r="N1225" s="322"/>
      <c r="O1225" s="236" t="str">
        <f>'Profits 2016'!T6438</f>
        <v>FEDEX GROUND</v>
      </c>
      <c r="P1225" s="284" t="str">
        <f>'Profits 2016'!U6438</f>
        <v>702723290473</v>
      </c>
      <c r="Q1225" s="284" t="s">
        <v>314</v>
      </c>
      <c r="R1225" s="276">
        <v>30.32</v>
      </c>
      <c r="S1225" s="275" t="s">
        <v>15869</v>
      </c>
      <c r="T1225" s="279">
        <v>42681</v>
      </c>
      <c r="U1225" s="279">
        <v>42688</v>
      </c>
      <c r="V1225" s="279">
        <v>42692</v>
      </c>
      <c r="W1225" s="293">
        <f t="shared" si="149"/>
        <v>30.32</v>
      </c>
      <c r="X1225" s="236">
        <v>9444</v>
      </c>
      <c r="AF1225" s="276">
        <f t="shared" si="141"/>
        <v>74.84</v>
      </c>
      <c r="AG1225" s="276">
        <f t="shared" si="142"/>
        <v>30.32</v>
      </c>
      <c r="AH1225" s="276">
        <f t="shared" si="143"/>
        <v>79.240299999999991</v>
      </c>
      <c r="AI1225" s="283">
        <f t="shared" si="144"/>
        <v>1.0587960983431319</v>
      </c>
    </row>
    <row r="1226" spans="1:35" ht="30" x14ac:dyDescent="0.25">
      <c r="A1226" s="275">
        <f>'Profits 2016'!A6439</f>
        <v>3005033</v>
      </c>
      <c r="B1226" s="279">
        <f>'Profits 2016'!B6439</f>
        <v>42663</v>
      </c>
      <c r="C1226" s="276">
        <f>'Profits 2016'!H6439</f>
        <v>483.09</v>
      </c>
      <c r="D1226" s="280">
        <f>'Profits 2016'!K6439</f>
        <v>430.13319000000001</v>
      </c>
      <c r="E1226" s="276">
        <f>'Profits 2016'!L6439</f>
        <v>3300</v>
      </c>
      <c r="F1226" s="275" t="str">
        <f>'Profits 2016'!P6439</f>
        <v>Nassau</v>
      </c>
      <c r="G1226" s="292">
        <f>'Profits 2016'!N6439-'Profits 2016'!M6439</f>
        <v>231.00000000000006</v>
      </c>
      <c r="H1226" s="319"/>
      <c r="I1226" s="320"/>
      <c r="J1226" s="321"/>
      <c r="K1226" s="321"/>
      <c r="L1226" s="321"/>
      <c r="M1226" s="319"/>
      <c r="N1226" s="322"/>
      <c r="O1226" s="236" t="str">
        <f>'Profits 2016'!T6439</f>
        <v>FEDEX GROUND</v>
      </c>
      <c r="P1226" s="284" t="str">
        <f>'Profits 2016'!U6439</f>
        <v>702723290716</v>
      </c>
      <c r="Q1226" s="284" t="s">
        <v>314</v>
      </c>
      <c r="R1226" s="276">
        <v>52.64</v>
      </c>
      <c r="S1226" s="275" t="s">
        <v>15869</v>
      </c>
      <c r="T1226" s="279">
        <v>42681</v>
      </c>
      <c r="U1226" s="279">
        <v>42688</v>
      </c>
      <c r="V1226" s="279">
        <v>42692</v>
      </c>
      <c r="W1226" s="293">
        <f t="shared" si="149"/>
        <v>52.64</v>
      </c>
      <c r="X1226" s="236">
        <v>9444</v>
      </c>
      <c r="AF1226" s="276">
        <f t="shared" si="141"/>
        <v>283.64000000000004</v>
      </c>
      <c r="AG1226" s="276">
        <f t="shared" si="142"/>
        <v>52.64</v>
      </c>
      <c r="AH1226" s="276">
        <f t="shared" si="143"/>
        <v>377.49319000000003</v>
      </c>
      <c r="AI1226" s="283">
        <f t="shared" si="144"/>
        <v>1.3308884148921167</v>
      </c>
    </row>
    <row r="1227" spans="1:35" ht="14.25" customHeight="1" x14ac:dyDescent="0.25">
      <c r="A1227" s="275">
        <f>'Profits 2016'!A6440</f>
        <v>3005034</v>
      </c>
      <c r="B1227" s="279">
        <f>'Profits 2016'!B6440</f>
        <v>42663</v>
      </c>
      <c r="C1227" s="276">
        <f>'Profits 2016'!H6440</f>
        <v>133</v>
      </c>
      <c r="D1227" s="280">
        <f>'Profits 2016'!K6440</f>
        <v>118.203</v>
      </c>
      <c r="E1227" s="276">
        <f>'Profits 2016'!L6440</f>
        <v>220</v>
      </c>
      <c r="F1227" s="275" t="str">
        <f>'Profits 2016'!P6440</f>
        <v>Nassau</v>
      </c>
      <c r="G1227" s="292">
        <f>'Profits 2016'!N6440-'Profits 2016'!M6440</f>
        <v>55</v>
      </c>
      <c r="H1227" s="319"/>
      <c r="I1227" s="320"/>
      <c r="J1227" s="321"/>
      <c r="K1227" s="321"/>
      <c r="L1227" s="321"/>
      <c r="M1227" s="319"/>
      <c r="N1227" s="322"/>
      <c r="O1227" s="236" t="str">
        <f>'Profits 2016'!T6440</f>
        <v>FEDEX GROUND</v>
      </c>
      <c r="P1227" s="284" t="str">
        <f>'Profits 2016'!U6440</f>
        <v>702723290635</v>
      </c>
      <c r="Q1227" s="284" t="s">
        <v>314</v>
      </c>
      <c r="R1227" s="276">
        <v>19.53</v>
      </c>
      <c r="S1227" s="275" t="s">
        <v>15869</v>
      </c>
      <c r="T1227" s="279">
        <v>42681</v>
      </c>
      <c r="U1227" s="279">
        <v>42688</v>
      </c>
      <c r="V1227" s="279">
        <v>42692</v>
      </c>
      <c r="W1227" s="293">
        <f t="shared" si="149"/>
        <v>19.53</v>
      </c>
      <c r="X1227" s="236">
        <v>9444</v>
      </c>
      <c r="AF1227" s="276">
        <f t="shared" si="141"/>
        <v>74.53</v>
      </c>
      <c r="AG1227" s="276">
        <f t="shared" si="142"/>
        <v>19.53</v>
      </c>
      <c r="AH1227" s="276">
        <f t="shared" si="143"/>
        <v>98.673000000000002</v>
      </c>
      <c r="AI1227" s="283">
        <f t="shared" si="144"/>
        <v>1.3239366697973971</v>
      </c>
    </row>
    <row r="1228" spans="1:35" ht="30" x14ac:dyDescent="0.25">
      <c r="A1228" s="275">
        <f>'Profits 2016'!A6441</f>
        <v>3005035</v>
      </c>
      <c r="B1228" s="279">
        <f>'Profits 2016'!B6441</f>
        <v>42663</v>
      </c>
      <c r="C1228" s="276">
        <f>'Profits 2016'!H6441</f>
        <v>370</v>
      </c>
      <c r="D1228" s="280">
        <f>'Profits 2016'!K6441</f>
        <v>329.37</v>
      </c>
      <c r="E1228" s="276">
        <f>'Profits 2016'!L6441</f>
        <v>3300</v>
      </c>
      <c r="F1228" s="275" t="str">
        <f>'Profits 2016'!P6441</f>
        <v>Nassau</v>
      </c>
      <c r="G1228" s="292">
        <f>'Profits 2016'!N6441-'Profits 2016'!M6441</f>
        <v>165</v>
      </c>
      <c r="H1228" s="319"/>
      <c r="I1228" s="320"/>
      <c r="J1228" s="321"/>
      <c r="K1228" s="321"/>
      <c r="L1228" s="321"/>
      <c r="M1228" s="319"/>
      <c r="N1228" s="322"/>
      <c r="O1228" s="236" t="str">
        <f>'Profits 2016'!T6441</f>
        <v>FEDEX GROUND</v>
      </c>
      <c r="P1228" s="284" t="str">
        <f>'Profits 2016'!U6441</f>
        <v>702723290705</v>
      </c>
      <c r="Q1228" s="284" t="s">
        <v>314</v>
      </c>
      <c r="R1228" s="276">
        <v>32.020000000000003</v>
      </c>
      <c r="S1228" s="275" t="s">
        <v>15869</v>
      </c>
      <c r="T1228" s="279">
        <v>42681</v>
      </c>
      <c r="U1228" s="279">
        <v>42688</v>
      </c>
      <c r="V1228" s="279">
        <v>42692</v>
      </c>
      <c r="W1228" s="293">
        <f t="shared" si="149"/>
        <v>32.020000000000003</v>
      </c>
      <c r="X1228" s="236">
        <v>9444</v>
      </c>
      <c r="AF1228" s="276">
        <f t="shared" si="141"/>
        <v>197.02</v>
      </c>
      <c r="AG1228" s="276">
        <f t="shared" si="142"/>
        <v>32.020000000000003</v>
      </c>
      <c r="AH1228" s="276">
        <f t="shared" si="143"/>
        <v>297.35000000000002</v>
      </c>
      <c r="AI1228" s="283">
        <f t="shared" si="144"/>
        <v>1.5092376408486448</v>
      </c>
    </row>
    <row r="1229" spans="1:35" ht="30" x14ac:dyDescent="0.25">
      <c r="A1229" s="275">
        <f>'Profits 2016'!A6442</f>
        <v>3005036</v>
      </c>
      <c r="B1229" s="279">
        <f>'Profits 2016'!B6442</f>
        <v>42663</v>
      </c>
      <c r="C1229" s="276">
        <f>'Profits 2016'!H6442</f>
        <v>108.9</v>
      </c>
      <c r="D1229" s="280">
        <f>'Profits 2016'!K6442</f>
        <v>96.729900000000001</v>
      </c>
      <c r="E1229" s="276">
        <f>'Profits 2016'!L6442</f>
        <v>900</v>
      </c>
      <c r="F1229" s="275" t="str">
        <f>'Profits 2016'!P6442</f>
        <v>Nassau</v>
      </c>
      <c r="G1229" s="292">
        <f>'Profits 2016'!N6442-'Profits 2016'!M6442</f>
        <v>44.999999999999993</v>
      </c>
      <c r="H1229" s="319"/>
      <c r="I1229" s="320"/>
      <c r="J1229" s="321"/>
      <c r="K1229" s="321"/>
      <c r="L1229" s="321"/>
      <c r="M1229" s="319"/>
      <c r="N1229" s="322"/>
      <c r="O1229" s="236" t="str">
        <f>'Profits 2016'!T6442</f>
        <v>FEDEX GROUND</v>
      </c>
      <c r="P1229" s="284" t="str">
        <f>'Profits 2016'!U6442</f>
        <v>702723290587</v>
      </c>
      <c r="Q1229" s="284" t="s">
        <v>314</v>
      </c>
      <c r="R1229" s="276">
        <v>27.1</v>
      </c>
      <c r="S1229" s="275" t="s">
        <v>15869</v>
      </c>
      <c r="T1229" s="279">
        <v>42681</v>
      </c>
      <c r="U1229" s="279">
        <v>42688</v>
      </c>
      <c r="V1229" s="279">
        <v>42692</v>
      </c>
      <c r="W1229" s="293">
        <f t="shared" si="149"/>
        <v>27.1</v>
      </c>
      <c r="X1229" s="236">
        <v>9444</v>
      </c>
      <c r="AF1229" s="276">
        <f t="shared" si="141"/>
        <v>72.099999999999994</v>
      </c>
      <c r="AG1229" s="276">
        <f t="shared" si="142"/>
        <v>27.1</v>
      </c>
      <c r="AH1229" s="276">
        <f t="shared" si="143"/>
        <v>69.629899999999992</v>
      </c>
      <c r="AI1229" s="283">
        <f t="shared" si="144"/>
        <v>0.96574063800277388</v>
      </c>
    </row>
    <row r="1230" spans="1:35" ht="30" x14ac:dyDescent="0.25">
      <c r="A1230" s="275">
        <f>'Profits 2016'!A6443</f>
        <v>3005037</v>
      </c>
      <c r="B1230" s="279">
        <f>'Profits 2016'!B6443</f>
        <v>42663</v>
      </c>
      <c r="C1230" s="276">
        <f>'Profits 2016'!H6443</f>
        <v>208.31</v>
      </c>
      <c r="D1230" s="280">
        <f>'Profits 2016'!K6443</f>
        <v>185.30421000000001</v>
      </c>
      <c r="E1230" s="276">
        <f>'Profits 2016'!L6443</f>
        <v>510</v>
      </c>
      <c r="F1230" s="275" t="str">
        <f>'Profits 2016'!P6443</f>
        <v>Nassau</v>
      </c>
      <c r="G1230" s="292">
        <f>'Profits 2016'!N6443-'Profits 2016'!M6443</f>
        <v>102</v>
      </c>
      <c r="H1230" s="319"/>
      <c r="I1230" s="320"/>
      <c r="J1230" s="321"/>
      <c r="K1230" s="321"/>
      <c r="L1230" s="321"/>
      <c r="M1230" s="319"/>
      <c r="N1230" s="322"/>
      <c r="O1230" s="236" t="str">
        <f>'Profits 2016'!T6443</f>
        <v>FEDEX GROUND</v>
      </c>
      <c r="P1230" s="284" t="str">
        <f>'Profits 2016'!U6443</f>
        <v>702723290657</v>
      </c>
      <c r="Q1230" s="284" t="s">
        <v>314</v>
      </c>
      <c r="R1230" s="276">
        <v>36.4</v>
      </c>
      <c r="S1230" s="275" t="s">
        <v>15869</v>
      </c>
      <c r="T1230" s="279">
        <v>42681</v>
      </c>
      <c r="U1230" s="279">
        <v>42688</v>
      </c>
      <c r="V1230" s="279">
        <v>42692</v>
      </c>
      <c r="W1230" s="293">
        <f t="shared" si="149"/>
        <v>36.4</v>
      </c>
      <c r="X1230" s="236">
        <v>9444</v>
      </c>
      <c r="AF1230" s="276">
        <f t="shared" si="141"/>
        <v>138.4</v>
      </c>
      <c r="AG1230" s="276">
        <f t="shared" si="142"/>
        <v>36.4</v>
      </c>
      <c r="AH1230" s="276">
        <f t="shared" si="143"/>
        <v>148.90421000000001</v>
      </c>
      <c r="AI1230" s="283">
        <f t="shared" si="144"/>
        <v>1.0758974710982658</v>
      </c>
    </row>
    <row r="1231" spans="1:35" ht="30" x14ac:dyDescent="0.25">
      <c r="A1231" s="275">
        <f>'Profits 2016'!A6444</f>
        <v>3005038</v>
      </c>
      <c r="B1231" s="279">
        <f>'Profits 2016'!B6444</f>
        <v>42663</v>
      </c>
      <c r="C1231" s="276">
        <f>'Profits 2016'!H6444</f>
        <v>183.4</v>
      </c>
      <c r="D1231" s="280">
        <f>'Profits 2016'!K6444</f>
        <v>163.10939999999999</v>
      </c>
      <c r="E1231" s="276">
        <f>'Profits 2016'!L6444</f>
        <v>240</v>
      </c>
      <c r="F1231" s="275" t="str">
        <f>'Profits 2016'!P6444</f>
        <v>Nassau</v>
      </c>
      <c r="G1231" s="292">
        <f>'Profits 2016'!N6444-'Profits 2016'!M6444</f>
        <v>59.999999999999993</v>
      </c>
      <c r="H1231" s="319"/>
      <c r="I1231" s="320"/>
      <c r="J1231" s="321"/>
      <c r="K1231" s="321"/>
      <c r="L1231" s="321"/>
      <c r="M1231" s="319"/>
      <c r="N1231" s="322"/>
      <c r="O1231" s="236" t="str">
        <f>'Profits 2016'!T6444</f>
        <v>FEDEX GROUND</v>
      </c>
      <c r="P1231" s="284" t="str">
        <f>'Profits 2016'!U6444</f>
        <v>702723290646</v>
      </c>
      <c r="Q1231" s="284" t="s">
        <v>314</v>
      </c>
      <c r="R1231" s="276">
        <v>34.6</v>
      </c>
      <c r="S1231" s="275" t="s">
        <v>15869</v>
      </c>
      <c r="T1231" s="279">
        <v>42681</v>
      </c>
      <c r="U1231" s="279">
        <v>42688</v>
      </c>
      <c r="V1231" s="279">
        <v>42692</v>
      </c>
      <c r="W1231" s="293">
        <f t="shared" si="149"/>
        <v>34.6</v>
      </c>
      <c r="X1231" s="236">
        <v>9444</v>
      </c>
      <c r="AF1231" s="276">
        <f t="shared" si="141"/>
        <v>94.6</v>
      </c>
      <c r="AG1231" s="276">
        <f t="shared" si="142"/>
        <v>34.6</v>
      </c>
      <c r="AH1231" s="276">
        <f t="shared" si="143"/>
        <v>128.5094</v>
      </c>
      <c r="AI1231" s="283">
        <f t="shared" si="144"/>
        <v>1.3584503171247357</v>
      </c>
    </row>
    <row r="1232" spans="1:35" ht="30" x14ac:dyDescent="0.25">
      <c r="A1232" s="275">
        <f>'Profits 2016'!A6445</f>
        <v>3005039</v>
      </c>
      <c r="B1232" s="279">
        <f>'Profits 2016'!B6445</f>
        <v>42663</v>
      </c>
      <c r="C1232" s="276">
        <f>'Profits 2016'!H6445</f>
        <v>213.77</v>
      </c>
      <c r="D1232" s="280">
        <f>'Profits 2016'!K6445</f>
        <v>190.16907000000003</v>
      </c>
      <c r="E1232" s="276">
        <f>'Profits 2016'!L6445</f>
        <v>2150</v>
      </c>
      <c r="F1232" s="275" t="str">
        <f>'Profits 2016'!P6445</f>
        <v>Nassau</v>
      </c>
      <c r="G1232" s="292">
        <f>'Profits 2016'!N6445-'Profits 2016'!M6445</f>
        <v>107.49999999999999</v>
      </c>
      <c r="H1232" s="319"/>
      <c r="I1232" s="320"/>
      <c r="J1232" s="321"/>
      <c r="K1232" s="321"/>
      <c r="L1232" s="321"/>
      <c r="M1232" s="319"/>
      <c r="N1232" s="322"/>
      <c r="O1232" s="236" t="str">
        <f>'Profits 2016'!T6445</f>
        <v>FEDEX GROUND</v>
      </c>
      <c r="P1232" s="284" t="str">
        <f>'Profits 2016'!U6445</f>
        <v>702723290613</v>
      </c>
      <c r="Q1232" s="284" t="s">
        <v>314</v>
      </c>
      <c r="R1232" s="276">
        <v>23.89</v>
      </c>
      <c r="S1232" s="275" t="s">
        <v>15869</v>
      </c>
      <c r="T1232" s="279">
        <v>42681</v>
      </c>
      <c r="U1232" s="279">
        <v>42688</v>
      </c>
      <c r="V1232" s="279">
        <v>42692</v>
      </c>
      <c r="W1232" s="293">
        <f t="shared" si="149"/>
        <v>23.89</v>
      </c>
      <c r="X1232" s="236">
        <v>9444</v>
      </c>
      <c r="AF1232" s="276">
        <f t="shared" si="141"/>
        <v>131.38999999999999</v>
      </c>
      <c r="AG1232" s="276">
        <f t="shared" si="142"/>
        <v>23.89</v>
      </c>
      <c r="AH1232" s="276">
        <f t="shared" si="143"/>
        <v>166.27907000000005</v>
      </c>
      <c r="AI1232" s="283">
        <f t="shared" si="144"/>
        <v>1.2655382449197052</v>
      </c>
    </row>
    <row r="1233" spans="1:35" ht="30" x14ac:dyDescent="0.25">
      <c r="A1233" s="275">
        <f>'Profits 2016'!A6446</f>
        <v>3005040</v>
      </c>
      <c r="B1233" s="279">
        <f>'Profits 2016'!B6446</f>
        <v>42663</v>
      </c>
      <c r="C1233" s="276">
        <f>'Profits 2016'!H6446</f>
        <v>128.80000000000001</v>
      </c>
      <c r="D1233" s="280">
        <f>'Profits 2016'!K6446</f>
        <v>114.46080000000001</v>
      </c>
      <c r="E1233" s="276">
        <f>'Profits 2016'!L6446</f>
        <v>990</v>
      </c>
      <c r="F1233" s="275" t="str">
        <f>'Profits 2016'!P6446</f>
        <v>Nassau</v>
      </c>
      <c r="G1233" s="292">
        <f>'Profits 2016'!N6446-'Profits 2016'!M6446</f>
        <v>49.5</v>
      </c>
      <c r="H1233" s="319"/>
      <c r="I1233" s="320"/>
      <c r="J1233" s="321"/>
      <c r="K1233" s="321"/>
      <c r="L1233" s="321"/>
      <c r="M1233" s="319"/>
      <c r="N1233" s="322"/>
      <c r="O1233" s="236" t="str">
        <f>'Profits 2016'!T6446</f>
        <v>FEDEX GROUND</v>
      </c>
      <c r="P1233" s="284" t="str">
        <f>'Profits 2016'!U6446</f>
        <v>702723290565</v>
      </c>
      <c r="Q1233" s="284" t="s">
        <v>314</v>
      </c>
      <c r="R1233" s="276">
        <v>34.22</v>
      </c>
      <c r="S1233" s="275" t="s">
        <v>15869</v>
      </c>
      <c r="T1233" s="279">
        <v>42681</v>
      </c>
      <c r="U1233" s="279">
        <v>42688</v>
      </c>
      <c r="V1233" s="279">
        <v>42692</v>
      </c>
      <c r="W1233" s="293">
        <f t="shared" si="149"/>
        <v>34.22</v>
      </c>
      <c r="X1233" s="236">
        <v>9444</v>
      </c>
      <c r="AF1233" s="276">
        <f t="shared" ref="AF1233:AF1296" si="150">G1233+H1234+R1233+Y1233</f>
        <v>83.72</v>
      </c>
      <c r="AG1233" s="276">
        <f t="shared" ref="AG1233:AG1296" si="151">M1233+R1233+Y1233</f>
        <v>34.22</v>
      </c>
      <c r="AH1233" s="276">
        <f t="shared" ref="AH1233:AH1296" si="152">D1233-AG1233</f>
        <v>80.240800000000007</v>
      </c>
      <c r="AI1233" s="283">
        <f t="shared" ref="AI1233:AI1296" si="153">AH1233/AF1233</f>
        <v>0.95844242713807937</v>
      </c>
    </row>
    <row r="1234" spans="1:35" ht="30" x14ac:dyDescent="0.25">
      <c r="A1234" s="275">
        <f>'Profits 2016'!A6447</f>
        <v>3005041</v>
      </c>
      <c r="B1234" s="279">
        <f>'Profits 2016'!B6447</f>
        <v>42663</v>
      </c>
      <c r="C1234" s="276">
        <f>'Profits 2016'!H6447</f>
        <v>353.74</v>
      </c>
      <c r="D1234" s="280">
        <f>'Profits 2016'!K6447</f>
        <v>314.88234000000006</v>
      </c>
      <c r="E1234" s="276">
        <f>'Profits 2016'!L6447</f>
        <v>640</v>
      </c>
      <c r="F1234" s="275" t="str">
        <f>'Profits 2016'!P6447</f>
        <v>Nassau</v>
      </c>
      <c r="G1234" s="292">
        <f>'Profits 2016'!N6447-'Profits 2016'!M6447</f>
        <v>128</v>
      </c>
      <c r="H1234" s="319"/>
      <c r="I1234" s="320"/>
      <c r="J1234" s="321"/>
      <c r="K1234" s="321"/>
      <c r="L1234" s="321"/>
      <c r="M1234" s="319"/>
      <c r="N1234" s="322"/>
      <c r="O1234" s="236" t="str">
        <f>'Profits 2016'!T6447</f>
        <v>FEDEX GROUND</v>
      </c>
      <c r="P1234" s="284" t="str">
        <f>'Profits 2016'!U6447</f>
        <v>702723290668</v>
      </c>
      <c r="Q1234" s="284" t="s">
        <v>314</v>
      </c>
      <c r="R1234" s="276">
        <v>42.44</v>
      </c>
      <c r="S1234" s="275" t="s">
        <v>15869</v>
      </c>
      <c r="T1234" s="279">
        <v>42681</v>
      </c>
      <c r="U1234" s="279">
        <v>42688</v>
      </c>
      <c r="V1234" s="279">
        <v>42692</v>
      </c>
      <c r="W1234" s="293">
        <f t="shared" si="149"/>
        <v>42.44</v>
      </c>
      <c r="X1234" s="236">
        <v>9444</v>
      </c>
      <c r="AF1234" s="276">
        <f t="shared" si="150"/>
        <v>170.44</v>
      </c>
      <c r="AG1234" s="276">
        <f t="shared" si="151"/>
        <v>42.44</v>
      </c>
      <c r="AH1234" s="276">
        <f t="shared" si="152"/>
        <v>272.44234000000006</v>
      </c>
      <c r="AI1234" s="283">
        <f t="shared" si="153"/>
        <v>1.5984647969960106</v>
      </c>
    </row>
    <row r="1235" spans="1:35" ht="30" x14ac:dyDescent="0.25">
      <c r="A1235" s="275">
        <f>'Profits 2016'!A6448</f>
        <v>3005042</v>
      </c>
      <c r="B1235" s="279">
        <f>'Profits 2016'!B6448</f>
        <v>42663</v>
      </c>
      <c r="C1235" s="276">
        <f>'Profits 2016'!H6448</f>
        <v>97.95</v>
      </c>
      <c r="D1235" s="280">
        <f>'Profits 2016'!K6448</f>
        <v>86.97345</v>
      </c>
      <c r="E1235" s="276">
        <f>'Profits 2016'!L6448</f>
        <v>0</v>
      </c>
      <c r="F1235" s="275" t="str">
        <f>'Profits 2016'!P6448</f>
        <v>Nassau</v>
      </c>
      <c r="G1235" s="292">
        <f>'Profits 2016'!N6448-'Profits 2016'!M6448</f>
        <v>0</v>
      </c>
      <c r="H1235" s="319"/>
      <c r="I1235" s="320"/>
      <c r="J1235" s="321"/>
      <c r="K1235" s="321"/>
      <c r="L1235" s="321"/>
      <c r="M1235" s="319"/>
      <c r="N1235" s="322"/>
      <c r="O1235" s="236" t="str">
        <f>'Profits 2016'!T6448</f>
        <v>FEDEX GROUND</v>
      </c>
      <c r="P1235" s="284" t="str">
        <f>'Profits 2016'!U6448</f>
        <v>702723290624</v>
      </c>
      <c r="Q1235" s="284" t="s">
        <v>314</v>
      </c>
      <c r="R1235" s="276">
        <v>19.52</v>
      </c>
      <c r="S1235" s="275" t="s">
        <v>15869</v>
      </c>
      <c r="T1235" s="279">
        <v>42681</v>
      </c>
      <c r="U1235" s="279">
        <v>42688</v>
      </c>
      <c r="V1235" s="279">
        <v>42692</v>
      </c>
      <c r="W1235" s="293">
        <f t="shared" si="149"/>
        <v>19.52</v>
      </c>
      <c r="X1235" s="236">
        <v>9444</v>
      </c>
      <c r="AF1235" s="276">
        <f t="shared" si="150"/>
        <v>19.52</v>
      </c>
      <c r="AG1235" s="276">
        <f t="shared" si="151"/>
        <v>19.52</v>
      </c>
      <c r="AH1235" s="276">
        <f t="shared" si="152"/>
        <v>67.453450000000004</v>
      </c>
      <c r="AI1235" s="283">
        <f t="shared" si="153"/>
        <v>3.4556070696721313</v>
      </c>
    </row>
    <row r="1236" spans="1:35" ht="30" x14ac:dyDescent="0.25">
      <c r="A1236" s="275">
        <f>'Profits 2016'!A6449</f>
        <v>3005043</v>
      </c>
      <c r="B1236" s="279">
        <f>'Profits 2016'!B6449</f>
        <v>42663</v>
      </c>
      <c r="C1236" s="276">
        <f>'Profits 2016'!H6449</f>
        <v>190</v>
      </c>
      <c r="D1236" s="280">
        <f>'Profits 2016'!K6449</f>
        <v>161.5</v>
      </c>
      <c r="E1236" s="276">
        <f>'Profits 2016'!L6449</f>
        <v>900</v>
      </c>
      <c r="F1236" s="275" t="str">
        <f>'Profits 2016'!P6449</f>
        <v>Nassau</v>
      </c>
      <c r="G1236" s="292">
        <f>'Profits 2016'!N6449-'Profits 2016'!M6449</f>
        <v>90</v>
      </c>
      <c r="H1236" s="319"/>
      <c r="I1236" s="320"/>
      <c r="J1236" s="321"/>
      <c r="K1236" s="321"/>
      <c r="L1236" s="321"/>
      <c r="M1236" s="319"/>
      <c r="N1236" s="322"/>
      <c r="O1236" s="236" t="str">
        <f>'Profits 2016'!T6449</f>
        <v>FEDEX GROUND</v>
      </c>
      <c r="P1236" s="284" t="str">
        <f>'Profits 2016'!U6449</f>
        <v>702723290576</v>
      </c>
      <c r="Q1236" s="284" t="s">
        <v>314</v>
      </c>
      <c r="R1236" s="276">
        <v>30.29</v>
      </c>
      <c r="S1236" s="275" t="s">
        <v>15869</v>
      </c>
      <c r="T1236" s="279">
        <v>42681</v>
      </c>
      <c r="U1236" s="279">
        <v>42688</v>
      </c>
      <c r="V1236" s="279">
        <v>42692</v>
      </c>
      <c r="W1236" s="293">
        <f t="shared" si="149"/>
        <v>30.29</v>
      </c>
      <c r="X1236" s="236">
        <v>9444</v>
      </c>
      <c r="AF1236" s="276">
        <f t="shared" si="150"/>
        <v>120.28999999999999</v>
      </c>
      <c r="AG1236" s="276">
        <f t="shared" si="151"/>
        <v>30.29</v>
      </c>
      <c r="AH1236" s="276">
        <f t="shared" si="152"/>
        <v>131.21</v>
      </c>
      <c r="AI1236" s="283">
        <f t="shared" si="153"/>
        <v>1.0907806135173332</v>
      </c>
    </row>
    <row r="1237" spans="1:35" ht="30" x14ac:dyDescent="0.25">
      <c r="A1237" s="275">
        <f>'Profits 2016'!A6450</f>
        <v>3005044</v>
      </c>
      <c r="B1237" s="279">
        <f>'Profits 2016'!B6450</f>
        <v>42663</v>
      </c>
      <c r="C1237" s="276">
        <f>'Profits 2016'!H6450</f>
        <v>127.19</v>
      </c>
      <c r="D1237" s="280">
        <f>'Profits 2016'!K6450</f>
        <v>108.11150000000001</v>
      </c>
      <c r="E1237" s="276">
        <f>'Profits 2016'!L6450</f>
        <v>900</v>
      </c>
      <c r="F1237" s="275" t="str">
        <f>'Profits 2016'!P6450</f>
        <v>Nassau</v>
      </c>
      <c r="G1237" s="292">
        <f>'Profits 2016'!N6450-'Profits 2016'!M6450</f>
        <v>45</v>
      </c>
      <c r="H1237" s="319"/>
      <c r="I1237" s="320"/>
      <c r="J1237" s="321"/>
      <c r="K1237" s="321"/>
      <c r="L1237" s="321"/>
      <c r="M1237" s="319"/>
      <c r="N1237" s="322"/>
      <c r="O1237" s="236" t="str">
        <f>'Profits 2016'!T6450</f>
        <v>FEDEX GROUND</v>
      </c>
      <c r="P1237" s="284" t="str">
        <f>'Profits 2016'!U6450</f>
        <v>702723290554</v>
      </c>
      <c r="Q1237" s="284" t="s">
        <v>314</v>
      </c>
      <c r="R1237" s="276">
        <v>34.22</v>
      </c>
      <c r="S1237" s="275" t="s">
        <v>15869</v>
      </c>
      <c r="T1237" s="279">
        <v>42681</v>
      </c>
      <c r="U1237" s="279">
        <v>42688</v>
      </c>
      <c r="V1237" s="279">
        <v>42692</v>
      </c>
      <c r="W1237" s="293">
        <f t="shared" si="149"/>
        <v>34.22</v>
      </c>
      <c r="X1237" s="236">
        <v>9444</v>
      </c>
      <c r="AF1237" s="276">
        <f t="shared" si="150"/>
        <v>79.22</v>
      </c>
      <c r="AG1237" s="276">
        <f t="shared" si="151"/>
        <v>34.22</v>
      </c>
      <c r="AH1237" s="276">
        <f t="shared" si="152"/>
        <v>73.891500000000008</v>
      </c>
      <c r="AI1237" s="283">
        <f t="shared" si="153"/>
        <v>0.93273794496339324</v>
      </c>
    </row>
    <row r="1238" spans="1:35" ht="30" x14ac:dyDescent="0.25">
      <c r="A1238" s="275">
        <f>'Profits 2016'!A6451</f>
        <v>3005045</v>
      </c>
      <c r="B1238" s="279">
        <f>'Profits 2016'!B6451</f>
        <v>42663</v>
      </c>
      <c r="C1238" s="276">
        <f>'Profits 2016'!H6451</f>
        <v>100</v>
      </c>
      <c r="D1238" s="280">
        <f>'Profits 2016'!K6451</f>
        <v>85</v>
      </c>
      <c r="E1238" s="276">
        <f>'Profits 2016'!L6451</f>
        <v>2200</v>
      </c>
      <c r="F1238" s="275" t="str">
        <f>'Profits 2016'!P6451</f>
        <v>Direct</v>
      </c>
      <c r="G1238" s="292">
        <f>'Profits 2016'!N6451-'Profits 2016'!M6451</f>
        <v>33</v>
      </c>
      <c r="H1238" s="292">
        <v>0</v>
      </c>
      <c r="I1238" s="275">
        <v>74997</v>
      </c>
      <c r="J1238" s="277">
        <v>42667</v>
      </c>
      <c r="K1238" s="277">
        <v>42670</v>
      </c>
      <c r="L1238" s="333">
        <v>42671</v>
      </c>
      <c r="M1238" s="331">
        <v>65.430000000000007</v>
      </c>
      <c r="N1238" s="334">
        <v>9277</v>
      </c>
      <c r="O1238" s="236" t="str">
        <f>'Profits 2016'!T6451</f>
        <v>FEDEX GROUND</v>
      </c>
      <c r="P1238" s="284" t="str">
        <f>'Profits 2016'!U6451</f>
        <v>630512245431</v>
      </c>
      <c r="Q1238" s="284" t="s">
        <v>314</v>
      </c>
      <c r="R1238" s="276">
        <v>20.45</v>
      </c>
      <c r="S1238" s="275" t="s">
        <v>15869</v>
      </c>
      <c r="T1238" s="279">
        <v>42681</v>
      </c>
      <c r="U1238" s="279">
        <v>42688</v>
      </c>
      <c r="V1238" s="279">
        <v>42692</v>
      </c>
      <c r="W1238" s="293">
        <f t="shared" si="149"/>
        <v>20.45</v>
      </c>
      <c r="X1238" s="236">
        <v>9444</v>
      </c>
      <c r="AF1238" s="276">
        <f t="shared" si="150"/>
        <v>53.45</v>
      </c>
      <c r="AG1238" s="276">
        <f t="shared" si="151"/>
        <v>85.88000000000001</v>
      </c>
      <c r="AH1238" s="276">
        <f t="shared" si="152"/>
        <v>-0.88000000000000966</v>
      </c>
      <c r="AI1238" s="283">
        <f t="shared" si="153"/>
        <v>-1.646398503274106E-2</v>
      </c>
    </row>
    <row r="1239" spans="1:35" x14ac:dyDescent="0.25">
      <c r="A1239" s="275">
        <f>'Profits 2016'!A6452</f>
        <v>0</v>
      </c>
      <c r="B1239" s="279">
        <f>'Profits 2016'!B6452</f>
        <v>0</v>
      </c>
      <c r="C1239" s="276">
        <f>'Profits 2016'!H6452</f>
        <v>0</v>
      </c>
      <c r="D1239" s="280">
        <f>'Profits 2016'!K6452</f>
        <v>0</v>
      </c>
      <c r="E1239" s="276">
        <f>'Profits 2016'!L6452</f>
        <v>2251</v>
      </c>
      <c r="F1239" s="275" t="str">
        <f>'Profits 2016'!P6452</f>
        <v>Direct</v>
      </c>
      <c r="G1239" s="292">
        <f>'Profits 2016'!N6452-'Profits 2016'!M6452</f>
        <v>33.765000000000001</v>
      </c>
      <c r="H1239" s="292">
        <v>0</v>
      </c>
      <c r="I1239" s="275">
        <v>74997</v>
      </c>
      <c r="J1239" s="277">
        <v>42667</v>
      </c>
      <c r="K1239" s="277">
        <v>42670</v>
      </c>
      <c r="L1239" s="333">
        <v>42671</v>
      </c>
      <c r="M1239" s="331">
        <v>0</v>
      </c>
      <c r="N1239" s="334">
        <v>9277</v>
      </c>
      <c r="O1239" s="236">
        <f>'Profits 2016'!T6452</f>
        <v>0</v>
      </c>
      <c r="P1239" s="284">
        <f>'Profits 2016'!U6452</f>
        <v>0</v>
      </c>
      <c r="AF1239" s="276">
        <f t="shared" si="150"/>
        <v>33.765000000000001</v>
      </c>
      <c r="AG1239" s="276">
        <f t="shared" si="151"/>
        <v>0</v>
      </c>
      <c r="AH1239" s="276">
        <f t="shared" si="152"/>
        <v>0</v>
      </c>
      <c r="AI1239" s="283">
        <f t="shared" si="153"/>
        <v>0</v>
      </c>
    </row>
    <row r="1240" spans="1:35" ht="30" x14ac:dyDescent="0.25">
      <c r="A1240" s="275">
        <f>'Profits 2016'!A6453</f>
        <v>3005046</v>
      </c>
      <c r="B1240" s="279">
        <f>'Profits 2016'!B6453</f>
        <v>42663</v>
      </c>
      <c r="C1240" s="276">
        <f>'Profits 2016'!H6453</f>
        <v>113.6</v>
      </c>
      <c r="D1240" s="280">
        <f>'Profits 2016'!K6453</f>
        <v>96.56</v>
      </c>
      <c r="E1240" s="276">
        <f>'Profits 2016'!L6453</f>
        <v>424</v>
      </c>
      <c r="F1240" s="275" t="str">
        <f>'Profits 2016'!P6453</f>
        <v>Nassau</v>
      </c>
      <c r="G1240" s="292">
        <f>'Profits 2016'!N6453-'Profits 2016'!M6453</f>
        <v>42.4</v>
      </c>
      <c r="H1240" s="319"/>
      <c r="I1240" s="320"/>
      <c r="J1240" s="321"/>
      <c r="K1240" s="321"/>
      <c r="L1240" s="321"/>
      <c r="M1240" s="319"/>
      <c r="N1240" s="322"/>
      <c r="O1240" s="236" t="str">
        <f>'Profits 2016'!T6453</f>
        <v>FEDEX GROUND</v>
      </c>
      <c r="P1240" s="284" t="str">
        <f>'Profits 2016'!U6453</f>
        <v>702723290462</v>
      </c>
      <c r="Q1240" s="284" t="s">
        <v>314</v>
      </c>
      <c r="R1240" s="276">
        <v>29.6</v>
      </c>
      <c r="S1240" s="275" t="s">
        <v>15869</v>
      </c>
      <c r="T1240" s="279">
        <v>42681</v>
      </c>
      <c r="U1240" s="279">
        <v>42688</v>
      </c>
      <c r="V1240" s="279">
        <v>42692</v>
      </c>
      <c r="W1240" s="293">
        <f t="shared" ref="W1240:W1241" si="154">R1240</f>
        <v>29.6</v>
      </c>
      <c r="X1240" s="236">
        <v>9444</v>
      </c>
      <c r="AF1240" s="276">
        <f t="shared" si="150"/>
        <v>72</v>
      </c>
      <c r="AG1240" s="276">
        <f t="shared" si="151"/>
        <v>29.6</v>
      </c>
      <c r="AH1240" s="276">
        <f t="shared" si="152"/>
        <v>66.960000000000008</v>
      </c>
      <c r="AI1240" s="283">
        <f t="shared" si="153"/>
        <v>0.93000000000000016</v>
      </c>
    </row>
    <row r="1241" spans="1:35" ht="30" x14ac:dyDescent="0.25">
      <c r="A1241" s="275">
        <f>'Profits 2016'!A6454</f>
        <v>3005047</v>
      </c>
      <c r="B1241" s="279">
        <f>'Profits 2016'!B6454</f>
        <v>42663</v>
      </c>
      <c r="C1241" s="276">
        <f>'Profits 2016'!H6454</f>
        <v>185</v>
      </c>
      <c r="D1241" s="280">
        <f>'Profits 2016'!K6454</f>
        <v>157.25</v>
      </c>
      <c r="E1241" s="276">
        <f>'Profits 2016'!L6454</f>
        <v>424</v>
      </c>
      <c r="F1241" s="275" t="str">
        <f>'Profits 2016'!P6454</f>
        <v>Nassau</v>
      </c>
      <c r="G1241" s="292">
        <f>'Profits 2016'!N6454-'Profits 2016'!M6454</f>
        <v>84.800000000000011</v>
      </c>
      <c r="H1241" s="319"/>
      <c r="I1241" s="320"/>
      <c r="J1241" s="321"/>
      <c r="K1241" s="321"/>
      <c r="L1241" s="321"/>
      <c r="M1241" s="319"/>
      <c r="N1241" s="322"/>
      <c r="O1241" s="236" t="str">
        <f>'Profits 2016'!T6454</f>
        <v>FEDEX GROUND</v>
      </c>
      <c r="P1241" s="284" t="str">
        <f>'Profits 2016'!U6454</f>
        <v>702723290484</v>
      </c>
      <c r="Q1241" s="284" t="s">
        <v>314</v>
      </c>
      <c r="R1241" s="276">
        <v>34.630000000000003</v>
      </c>
      <c r="S1241" s="275" t="s">
        <v>15869</v>
      </c>
      <c r="T1241" s="279">
        <v>42681</v>
      </c>
      <c r="U1241" s="279">
        <v>42688</v>
      </c>
      <c r="V1241" s="279">
        <v>42692</v>
      </c>
      <c r="W1241" s="293">
        <f t="shared" si="154"/>
        <v>34.630000000000003</v>
      </c>
      <c r="X1241" s="236">
        <v>9444</v>
      </c>
      <c r="AF1241" s="276">
        <f t="shared" si="150"/>
        <v>119.43</v>
      </c>
      <c r="AG1241" s="276">
        <f t="shared" si="151"/>
        <v>34.630000000000003</v>
      </c>
      <c r="AH1241" s="276">
        <f t="shared" si="152"/>
        <v>122.62</v>
      </c>
      <c r="AI1241" s="283">
        <f t="shared" si="153"/>
        <v>1.0267102068157079</v>
      </c>
    </row>
    <row r="1242" spans="1:35" ht="30" x14ac:dyDescent="0.25">
      <c r="A1242" s="275">
        <f>'Profits 2016'!A6455</f>
        <v>3005048</v>
      </c>
      <c r="B1242" s="279">
        <f>'Profits 2016'!B6455</f>
        <v>42663</v>
      </c>
      <c r="C1242" s="276">
        <f>'Profits 2016'!H6455</f>
        <v>145</v>
      </c>
      <c r="D1242" s="280">
        <f>'Profits 2016'!K6455</f>
        <v>123.25</v>
      </c>
      <c r="E1242" s="276">
        <f>'Profits 2016'!L6455</f>
        <v>424</v>
      </c>
      <c r="F1242" s="275" t="str">
        <f>'Profits 2016'!P6455</f>
        <v>Nassau</v>
      </c>
      <c r="G1242" s="292">
        <f>'Profits 2016'!N6455-'Profits 2016'!M6455</f>
        <v>63.599999999999987</v>
      </c>
      <c r="H1242" s="319"/>
      <c r="I1242" s="320"/>
      <c r="J1242" s="321"/>
      <c r="K1242" s="321"/>
      <c r="L1242" s="321"/>
      <c r="M1242" s="319"/>
      <c r="N1242" s="322"/>
      <c r="O1242" s="236" t="str">
        <f>'Profits 2016'!T6455</f>
        <v>FEDEX GROUND</v>
      </c>
      <c r="P1242" s="284" t="str">
        <f>'Profits 2016'!U6455</f>
        <v>702723290495</v>
      </c>
      <c r="Q1242" s="284" t="s">
        <v>314</v>
      </c>
      <c r="R1242" s="276">
        <v>14.24</v>
      </c>
      <c r="S1242" s="275" t="s">
        <v>15793</v>
      </c>
      <c r="T1242" s="279">
        <v>42674</v>
      </c>
      <c r="U1242" s="279">
        <v>42681</v>
      </c>
      <c r="V1242" s="279">
        <v>42685</v>
      </c>
      <c r="W1242" s="293">
        <v>0</v>
      </c>
      <c r="X1242" s="236">
        <v>9399</v>
      </c>
      <c r="AF1242" s="276">
        <f t="shared" si="150"/>
        <v>77.839999999999989</v>
      </c>
      <c r="AG1242" s="276">
        <f t="shared" si="151"/>
        <v>14.24</v>
      </c>
      <c r="AH1242" s="276">
        <f t="shared" si="152"/>
        <v>109.01</v>
      </c>
      <c r="AI1242" s="283">
        <f t="shared" si="153"/>
        <v>1.4004367934224051</v>
      </c>
    </row>
    <row r="1243" spans="1:35" ht="30" x14ac:dyDescent="0.25">
      <c r="A1243" s="275">
        <f>'Profits 2016'!A6456</f>
        <v>3005049</v>
      </c>
      <c r="B1243" s="279">
        <f>'Profits 2016'!B6456</f>
        <v>42663</v>
      </c>
      <c r="C1243" s="276">
        <f>'Profits 2016'!H6456</f>
        <v>148.91</v>
      </c>
      <c r="D1243" s="280">
        <f>'Profits 2016'!K6456</f>
        <v>126.5735</v>
      </c>
      <c r="E1243" s="276">
        <f>'Profits 2016'!L6456</f>
        <v>1410</v>
      </c>
      <c r="F1243" s="275" t="str">
        <f>'Profits 2016'!P6456</f>
        <v>Direct</v>
      </c>
      <c r="G1243" s="292">
        <f>'Profits 2016'!N6456-'Profits 2016'!M6456</f>
        <v>35.25</v>
      </c>
      <c r="H1243" s="292">
        <v>0</v>
      </c>
      <c r="I1243" s="275">
        <v>74999</v>
      </c>
      <c r="J1243" s="277">
        <v>42667</v>
      </c>
      <c r="K1243" s="277">
        <v>42670</v>
      </c>
      <c r="L1243" s="333">
        <v>42671</v>
      </c>
      <c r="M1243" s="331">
        <v>69.819999999999993</v>
      </c>
      <c r="N1243" s="334">
        <v>9277</v>
      </c>
      <c r="O1243" s="236" t="str">
        <f>'Profits 2016'!T6456</f>
        <v>FEDEX GROUND</v>
      </c>
      <c r="P1243" s="284" t="str">
        <f>'Profits 2016'!U6456</f>
        <v>639564016526</v>
      </c>
      <c r="Q1243" s="284" t="s">
        <v>314</v>
      </c>
      <c r="R1243" s="276">
        <v>59.2</v>
      </c>
      <c r="S1243" s="275" t="s">
        <v>15893</v>
      </c>
      <c r="T1243" s="279">
        <v>42682</v>
      </c>
      <c r="U1243" s="279">
        <v>42688</v>
      </c>
      <c r="V1243" s="279">
        <v>42692</v>
      </c>
      <c r="W1243" s="293">
        <f t="shared" ref="W1243:W1248" si="155">R1243</f>
        <v>59.2</v>
      </c>
      <c r="X1243" s="236">
        <v>9472</v>
      </c>
      <c r="Y1243" s="276">
        <v>26.59</v>
      </c>
      <c r="Z1243" s="236" t="s">
        <v>15894</v>
      </c>
      <c r="AA1243" s="279">
        <v>42698</v>
      </c>
      <c r="AB1243" s="279">
        <v>42702</v>
      </c>
      <c r="AF1243" s="276">
        <f t="shared" si="150"/>
        <v>121.04</v>
      </c>
      <c r="AG1243" s="276">
        <f t="shared" si="151"/>
        <v>155.60999999999999</v>
      </c>
      <c r="AH1243" s="276">
        <f t="shared" si="152"/>
        <v>-29.03649999999999</v>
      </c>
      <c r="AI1243" s="283">
        <f t="shared" si="153"/>
        <v>-0.23989177131526759</v>
      </c>
    </row>
    <row r="1244" spans="1:35" x14ac:dyDescent="0.25">
      <c r="A1244" s="275">
        <f>'Profits 2016'!A6457</f>
        <v>0</v>
      </c>
      <c r="B1244" s="279">
        <f>'Profits 2016'!B6457</f>
        <v>0</v>
      </c>
      <c r="C1244" s="276">
        <f>'Profits 2016'!H6457</f>
        <v>0</v>
      </c>
      <c r="D1244" s="280">
        <f>'Profits 2016'!K6457</f>
        <v>0</v>
      </c>
      <c r="E1244" s="276">
        <f>'Profits 2016'!L6457</f>
        <v>1440</v>
      </c>
      <c r="F1244" s="275" t="str">
        <f>'Profits 2016'!P6457</f>
        <v>Direct</v>
      </c>
      <c r="G1244" s="292">
        <f>'Profits 2016'!N6457-'Profits 2016'!M6457</f>
        <v>36</v>
      </c>
      <c r="H1244" s="292">
        <v>0</v>
      </c>
      <c r="I1244" s="275">
        <v>74999</v>
      </c>
      <c r="J1244" s="277">
        <v>42667</v>
      </c>
      <c r="K1244" s="277">
        <v>42670</v>
      </c>
      <c r="L1244" s="333">
        <v>42671</v>
      </c>
      <c r="M1244" s="331">
        <v>0</v>
      </c>
      <c r="N1244" s="334">
        <v>9277</v>
      </c>
      <c r="O1244" s="236">
        <f>'Profits 2016'!T6457</f>
        <v>0</v>
      </c>
      <c r="P1244" s="284">
        <f>'Profits 2016'!U6457</f>
        <v>0</v>
      </c>
      <c r="Q1244" s="284" t="s">
        <v>314</v>
      </c>
      <c r="R1244" s="276">
        <v>59.2</v>
      </c>
      <c r="S1244" s="275" t="s">
        <v>15893</v>
      </c>
      <c r="T1244" s="279">
        <v>42682</v>
      </c>
      <c r="U1244" s="279">
        <v>42688</v>
      </c>
      <c r="V1244" s="279">
        <v>42692</v>
      </c>
      <c r="W1244" s="293">
        <f t="shared" si="155"/>
        <v>59.2</v>
      </c>
      <c r="X1244" s="236">
        <v>9444</v>
      </c>
      <c r="AF1244" s="276">
        <f t="shared" si="150"/>
        <v>95.2</v>
      </c>
      <c r="AG1244" s="276">
        <f t="shared" si="151"/>
        <v>59.2</v>
      </c>
      <c r="AH1244" s="276">
        <f t="shared" si="152"/>
        <v>-59.2</v>
      </c>
      <c r="AI1244" s="283">
        <f t="shared" si="153"/>
        <v>-0.62184873949579833</v>
      </c>
    </row>
    <row r="1245" spans="1:35" ht="30" x14ac:dyDescent="0.25">
      <c r="A1245" s="275">
        <f>'Profits 2016'!A6458</f>
        <v>3005050</v>
      </c>
      <c r="B1245" s="279">
        <f>'Profits 2016'!B6458</f>
        <v>42663</v>
      </c>
      <c r="C1245" s="276">
        <f>'Profits 2016'!H6458</f>
        <v>124.46</v>
      </c>
      <c r="D1245" s="280">
        <f>'Profits 2016'!K6458</f>
        <v>105.791</v>
      </c>
      <c r="E1245" s="276">
        <f>'Profits 2016'!L6458</f>
        <v>1322</v>
      </c>
      <c r="F1245" s="275" t="str">
        <f>'Profits 2016'!P6458</f>
        <v>Nassau</v>
      </c>
      <c r="G1245" s="292">
        <f>'Profits 2016'!N6458-'Profits 2016'!M6458</f>
        <v>66.100000000000009</v>
      </c>
      <c r="H1245" s="319"/>
      <c r="I1245" s="320"/>
      <c r="J1245" s="321"/>
      <c r="K1245" s="321"/>
      <c r="L1245" s="321"/>
      <c r="M1245" s="319"/>
      <c r="N1245" s="322"/>
      <c r="O1245" s="236" t="str">
        <f>'Profits 2016'!T6458</f>
        <v>FEDEX GROUND</v>
      </c>
      <c r="P1245" s="284" t="str">
        <f>'Profits 2016'!U6458</f>
        <v>702723290532</v>
      </c>
      <c r="Q1245" s="284" t="s">
        <v>314</v>
      </c>
      <c r="R1245" s="276">
        <v>33.200000000000003</v>
      </c>
      <c r="S1245" s="275" t="s">
        <v>15869</v>
      </c>
      <c r="T1245" s="279">
        <v>42681</v>
      </c>
      <c r="U1245" s="279">
        <v>42688</v>
      </c>
      <c r="V1245" s="279">
        <v>42692</v>
      </c>
      <c r="W1245" s="293">
        <f t="shared" si="155"/>
        <v>33.200000000000003</v>
      </c>
      <c r="X1245" s="236">
        <v>9444</v>
      </c>
      <c r="AF1245" s="276">
        <f t="shared" si="150"/>
        <v>99.300000000000011</v>
      </c>
      <c r="AG1245" s="276">
        <f t="shared" si="151"/>
        <v>33.200000000000003</v>
      </c>
      <c r="AH1245" s="276">
        <f t="shared" si="152"/>
        <v>72.590999999999994</v>
      </c>
      <c r="AI1245" s="283">
        <f t="shared" si="153"/>
        <v>0.7310271903323261</v>
      </c>
    </row>
    <row r="1246" spans="1:35" ht="30" x14ac:dyDescent="0.25">
      <c r="A1246" s="275">
        <f>'Profits 2016'!A6459</f>
        <v>3005051</v>
      </c>
      <c r="B1246" s="279">
        <f>'Profits 2016'!B6459</f>
        <v>42663</v>
      </c>
      <c r="C1246" s="276">
        <f>'Profits 2016'!H6459</f>
        <v>138.57</v>
      </c>
      <c r="D1246" s="280">
        <f>'Profits 2016'!K6459</f>
        <v>117.78449999999999</v>
      </c>
      <c r="E1246" s="276">
        <f>'Profits 2016'!L6459</f>
        <v>695</v>
      </c>
      <c r="F1246" s="275" t="str">
        <f>'Profits 2016'!P6459</f>
        <v>Nassau</v>
      </c>
      <c r="G1246" s="292">
        <f>'Profits 2016'!N6459-'Profits 2016'!M6459</f>
        <v>69.5</v>
      </c>
      <c r="H1246" s="319"/>
      <c r="I1246" s="320"/>
      <c r="J1246" s="321"/>
      <c r="K1246" s="321"/>
      <c r="L1246" s="321"/>
      <c r="M1246" s="319"/>
      <c r="N1246" s="322"/>
      <c r="O1246" s="236" t="str">
        <f>'Profits 2016'!T6459</f>
        <v>FEDEX GROUND</v>
      </c>
      <c r="P1246" s="284" t="str">
        <f>'Profits 2016'!U6459</f>
        <v>702723290602</v>
      </c>
      <c r="Q1246" s="284" t="s">
        <v>314</v>
      </c>
      <c r="R1246" s="276">
        <v>31.71</v>
      </c>
      <c r="S1246" s="275" t="s">
        <v>15869</v>
      </c>
      <c r="T1246" s="279">
        <v>42681</v>
      </c>
      <c r="U1246" s="279">
        <v>42688</v>
      </c>
      <c r="V1246" s="279">
        <v>42692</v>
      </c>
      <c r="W1246" s="293">
        <f t="shared" si="155"/>
        <v>31.71</v>
      </c>
      <c r="X1246" s="236">
        <v>9444</v>
      </c>
      <c r="AF1246" s="276">
        <f t="shared" si="150"/>
        <v>101.21000000000001</v>
      </c>
      <c r="AG1246" s="276">
        <f t="shared" si="151"/>
        <v>31.71</v>
      </c>
      <c r="AH1246" s="276">
        <f t="shared" si="152"/>
        <v>86.0745</v>
      </c>
      <c r="AI1246" s="283">
        <f t="shared" si="153"/>
        <v>0.85045450054342453</v>
      </c>
    </row>
    <row r="1247" spans="1:35" ht="30" x14ac:dyDescent="0.25">
      <c r="A1247" s="275">
        <f>'Profits 2016'!A6460</f>
        <v>3005052</v>
      </c>
      <c r="B1247" s="279">
        <f>'Profits 2016'!B6460</f>
        <v>42663</v>
      </c>
      <c r="C1247" s="276">
        <f>'Profits 2016'!H6460</f>
        <v>116</v>
      </c>
      <c r="D1247" s="280">
        <f>'Profits 2016'!K6460</f>
        <v>98.6</v>
      </c>
      <c r="E1247" s="276">
        <f>'Profits 2016'!L6460</f>
        <v>1322</v>
      </c>
      <c r="F1247" s="275" t="str">
        <f>'Profits 2016'!P6460</f>
        <v>Nassau</v>
      </c>
      <c r="G1247" s="292">
        <f>'Profits 2016'!N6460-'Profits 2016'!M6460</f>
        <v>66.100000000000009</v>
      </c>
      <c r="H1247" s="319"/>
      <c r="I1247" s="320"/>
      <c r="J1247" s="321"/>
      <c r="K1247" s="321"/>
      <c r="L1247" s="321"/>
      <c r="M1247" s="319"/>
      <c r="N1247" s="322"/>
      <c r="O1247" s="236" t="str">
        <f>'Profits 2016'!T6460</f>
        <v>FEDEX GROUND</v>
      </c>
      <c r="P1247" s="284" t="str">
        <f>'Profits 2016'!U6460</f>
        <v>702723290521</v>
      </c>
      <c r="Q1247" s="284" t="s">
        <v>314</v>
      </c>
      <c r="R1247" s="276">
        <v>29.81</v>
      </c>
      <c r="S1247" s="275" t="s">
        <v>15869</v>
      </c>
      <c r="T1247" s="279">
        <v>42681</v>
      </c>
      <c r="U1247" s="279">
        <v>42688</v>
      </c>
      <c r="V1247" s="279">
        <v>42692</v>
      </c>
      <c r="W1247" s="293">
        <f t="shared" si="155"/>
        <v>29.81</v>
      </c>
      <c r="X1247" s="236">
        <v>9444</v>
      </c>
      <c r="AF1247" s="276">
        <f t="shared" si="150"/>
        <v>95.910000000000011</v>
      </c>
      <c r="AG1247" s="276">
        <f t="shared" si="151"/>
        <v>29.81</v>
      </c>
      <c r="AH1247" s="276">
        <f t="shared" si="152"/>
        <v>68.789999999999992</v>
      </c>
      <c r="AI1247" s="283">
        <f t="shared" si="153"/>
        <v>0.71723490772599297</v>
      </c>
    </row>
    <row r="1248" spans="1:35" ht="30" x14ac:dyDescent="0.25">
      <c r="A1248" s="275">
        <f>'Profits 2016'!A6461</f>
        <v>3005053</v>
      </c>
      <c r="B1248" s="279">
        <f>'Profits 2016'!B6461</f>
        <v>42663</v>
      </c>
      <c r="C1248" s="276">
        <f>'Profits 2016'!H6461</f>
        <v>142</v>
      </c>
      <c r="D1248" s="280">
        <f>'Profits 2016'!K6461</f>
        <v>138.57599999999999</v>
      </c>
      <c r="E1248" s="276">
        <f>'Profits 2016'!L6461</f>
        <v>1322</v>
      </c>
      <c r="F1248" s="275" t="str">
        <f>'Profits 2016'!P6461</f>
        <v>Nassau</v>
      </c>
      <c r="G1248" s="292">
        <f>'Profits 2016'!N6461-'Profits 2016'!M6461</f>
        <v>66.100000000000023</v>
      </c>
      <c r="H1248" s="319"/>
      <c r="I1248" s="320"/>
      <c r="J1248" s="321"/>
      <c r="K1248" s="321"/>
      <c r="L1248" s="321"/>
      <c r="M1248" s="319"/>
      <c r="N1248" s="322"/>
      <c r="O1248" s="236" t="str">
        <f>'Profits 2016'!T6461</f>
        <v>FEDEX GROUND</v>
      </c>
      <c r="P1248" s="284" t="str">
        <f>'Profits 2016'!U6461</f>
        <v>702723290543</v>
      </c>
      <c r="Q1248" s="284" t="s">
        <v>314</v>
      </c>
      <c r="R1248" s="276">
        <v>29.79</v>
      </c>
      <c r="S1248" s="275" t="s">
        <v>15869</v>
      </c>
      <c r="T1248" s="279">
        <v>42681</v>
      </c>
      <c r="U1248" s="279">
        <v>42688</v>
      </c>
      <c r="V1248" s="279">
        <v>42692</v>
      </c>
      <c r="W1248" s="293">
        <f t="shared" si="155"/>
        <v>29.79</v>
      </c>
      <c r="X1248" s="236">
        <v>9444</v>
      </c>
      <c r="AF1248" s="276">
        <f t="shared" si="150"/>
        <v>91.340000000000032</v>
      </c>
      <c r="AG1248" s="276">
        <f t="shared" si="151"/>
        <v>29.79</v>
      </c>
      <c r="AH1248" s="276">
        <f t="shared" si="152"/>
        <v>108.786</v>
      </c>
      <c r="AI1248" s="283">
        <f t="shared" si="153"/>
        <v>1.1910006568863583</v>
      </c>
    </row>
    <row r="1249" spans="1:35" ht="30" x14ac:dyDescent="0.25">
      <c r="A1249" s="275">
        <f>'Profits 2016'!A6462</f>
        <v>3005054</v>
      </c>
      <c r="B1249" s="279">
        <f>'Profits 2016'!B6462</f>
        <v>42663</v>
      </c>
      <c r="C1249" s="276">
        <f>'Profits 2016'!H6462</f>
        <v>2235.6</v>
      </c>
      <c r="D1249" s="280">
        <f>'Profits 2016'!K6462</f>
        <v>2235.6</v>
      </c>
      <c r="E1249" s="276">
        <f>'Profits 2016'!L6462</f>
        <v>2200</v>
      </c>
      <c r="F1249" s="275" t="str">
        <f>'Profits 2016'!P6462</f>
        <v>General</v>
      </c>
      <c r="G1249" s="292">
        <f>'Profits 2016'!N6462-'Profits 2016'!M6462</f>
        <v>1821.6000000000001</v>
      </c>
      <c r="H1249" s="331">
        <v>-4.55</v>
      </c>
      <c r="I1249" s="332">
        <v>3771559</v>
      </c>
      <c r="J1249" s="333">
        <v>42664</v>
      </c>
      <c r="K1249" s="333">
        <v>42670</v>
      </c>
      <c r="L1249" s="333">
        <v>42678</v>
      </c>
      <c r="M1249" s="331">
        <v>1780.71</v>
      </c>
      <c r="N1249" s="334">
        <v>9318</v>
      </c>
      <c r="O1249" s="236" t="str">
        <f>'Profits 2016'!T6462</f>
        <v>PITT OHIO/DLS</v>
      </c>
      <c r="P1249" s="284" t="str">
        <f>'Profits 2016'!U6462</f>
        <v>5011219338</v>
      </c>
      <c r="Q1249" s="284" t="s">
        <v>15804</v>
      </c>
      <c r="R1249" s="276">
        <v>217.46</v>
      </c>
      <c r="S1249" s="275">
        <v>636918175</v>
      </c>
      <c r="T1249" s="279">
        <v>42677</v>
      </c>
      <c r="U1249" s="279">
        <v>42688</v>
      </c>
      <c r="V1249" s="279">
        <v>42692</v>
      </c>
      <c r="W1249" s="293">
        <v>217.46</v>
      </c>
      <c r="X1249" s="236">
        <v>9452</v>
      </c>
      <c r="AF1249" s="276">
        <f t="shared" si="150"/>
        <v>2039.0600000000002</v>
      </c>
      <c r="AG1249" s="276">
        <f t="shared" si="151"/>
        <v>1998.17</v>
      </c>
      <c r="AH1249" s="276">
        <f t="shared" si="152"/>
        <v>237.42999999999984</v>
      </c>
      <c r="AI1249" s="283">
        <f t="shared" si="153"/>
        <v>0.11644090904632518</v>
      </c>
    </row>
    <row r="1250" spans="1:35" ht="30" x14ac:dyDescent="0.25">
      <c r="A1250" s="275">
        <f>'Profits 2016'!A6463</f>
        <v>3005055</v>
      </c>
      <c r="B1250" s="279">
        <f>'Profits 2016'!B6463</f>
        <v>42663</v>
      </c>
      <c r="C1250" s="276">
        <f>'Profits 2016'!H6463</f>
        <v>115</v>
      </c>
      <c r="D1250" s="280">
        <f>'Profits 2016'!K6463</f>
        <v>97.75</v>
      </c>
      <c r="E1250" s="276">
        <f>'Profits 2016'!L6463</f>
        <v>341</v>
      </c>
      <c r="F1250" s="275" t="str">
        <f>'Profits 2016'!P6463</f>
        <v>Direct</v>
      </c>
      <c r="G1250" s="292">
        <f>'Profits 2016'!N6463-'Profits 2016'!M6463</f>
        <v>34.099999999999994</v>
      </c>
      <c r="H1250" s="292">
        <v>0</v>
      </c>
      <c r="I1250" s="275">
        <v>75007</v>
      </c>
      <c r="J1250" s="277">
        <v>42667</v>
      </c>
      <c r="K1250" s="277">
        <v>42670</v>
      </c>
      <c r="L1250" s="333">
        <v>42671</v>
      </c>
      <c r="M1250" s="331">
        <v>67.62</v>
      </c>
      <c r="N1250" s="334">
        <v>9276</v>
      </c>
      <c r="O1250" s="236" t="str">
        <f>'Profits 2016'!T6463</f>
        <v>FEDEX GROUND</v>
      </c>
      <c r="P1250" s="284" t="str">
        <f>'Profits 2016'!U6463</f>
        <v>639794969967</v>
      </c>
      <c r="Q1250" s="284" t="s">
        <v>314</v>
      </c>
      <c r="R1250" s="276">
        <v>27.56</v>
      </c>
      <c r="S1250" s="275" t="s">
        <v>15873</v>
      </c>
      <c r="T1250" s="279">
        <v>42688</v>
      </c>
      <c r="U1250" s="279">
        <v>42691</v>
      </c>
      <c r="V1250" s="279">
        <v>42697</v>
      </c>
      <c r="W1250" s="293">
        <v>27.56</v>
      </c>
      <c r="X1250" s="236">
        <v>9494</v>
      </c>
      <c r="AF1250" s="276">
        <f t="shared" si="150"/>
        <v>61.66</v>
      </c>
      <c r="AG1250" s="276">
        <f t="shared" si="151"/>
        <v>95.18</v>
      </c>
      <c r="AH1250" s="276">
        <f t="shared" si="152"/>
        <v>2.5699999999999932</v>
      </c>
      <c r="AI1250" s="283">
        <f t="shared" si="153"/>
        <v>4.1680181641258404E-2</v>
      </c>
    </row>
    <row r="1251" spans="1:35" x14ac:dyDescent="0.25">
      <c r="A1251" s="275">
        <f>'Profits 2016'!A6464</f>
        <v>0</v>
      </c>
      <c r="B1251" s="279">
        <f>'Profits 2016'!B6464</f>
        <v>0</v>
      </c>
      <c r="C1251" s="276">
        <f>'Profits 2016'!H6464</f>
        <v>0</v>
      </c>
      <c r="D1251" s="280">
        <f>'Profits 2016'!K6464</f>
        <v>0</v>
      </c>
      <c r="E1251" s="276">
        <f>'Profits 2016'!L6464</f>
        <v>349</v>
      </c>
      <c r="F1251" s="275" t="str">
        <f>'Profits 2016'!P6464</f>
        <v>Direct</v>
      </c>
      <c r="G1251" s="292">
        <f>'Profits 2016'!N6464-'Profits 2016'!M6464</f>
        <v>34.9</v>
      </c>
      <c r="H1251" s="292">
        <v>0</v>
      </c>
      <c r="I1251" s="275">
        <v>75007</v>
      </c>
      <c r="J1251" s="277">
        <v>42667</v>
      </c>
      <c r="K1251" s="277">
        <v>42670</v>
      </c>
      <c r="L1251" s="333">
        <v>42671</v>
      </c>
      <c r="M1251" s="331">
        <v>0</v>
      </c>
      <c r="N1251" s="334">
        <v>9276</v>
      </c>
      <c r="O1251" s="236">
        <f>'Profits 2016'!T6464</f>
        <v>0</v>
      </c>
      <c r="P1251" s="284">
        <f>'Profits 2016'!U6464</f>
        <v>0</v>
      </c>
      <c r="Q1251" s="284" t="s">
        <v>314</v>
      </c>
      <c r="R1251" s="276">
        <v>0</v>
      </c>
      <c r="S1251" s="275" t="s">
        <v>15873</v>
      </c>
      <c r="T1251" s="279">
        <v>42688</v>
      </c>
      <c r="U1251" s="279">
        <v>42691</v>
      </c>
      <c r="V1251" s="279">
        <v>42697</v>
      </c>
      <c r="W1251" s="293">
        <v>27.56</v>
      </c>
      <c r="X1251" s="236">
        <v>9494</v>
      </c>
      <c r="AF1251" s="276">
        <f t="shared" si="150"/>
        <v>34.9</v>
      </c>
      <c r="AG1251" s="276">
        <f t="shared" si="151"/>
        <v>0</v>
      </c>
      <c r="AH1251" s="276">
        <f t="shared" si="152"/>
        <v>0</v>
      </c>
      <c r="AI1251" s="283">
        <f t="shared" si="153"/>
        <v>0</v>
      </c>
    </row>
    <row r="1252" spans="1:35" x14ac:dyDescent="0.25">
      <c r="A1252" s="275">
        <f>'Profits 2016'!A6465</f>
        <v>3005056</v>
      </c>
      <c r="B1252" s="279">
        <f>'Profits 2016'!B6465</f>
        <v>42663</v>
      </c>
      <c r="C1252" s="276">
        <f>'Profits 2016'!H6465</f>
        <v>235.35</v>
      </c>
      <c r="D1252" s="280">
        <f>'Profits 2016'!K6465</f>
        <v>200.04750000000001</v>
      </c>
      <c r="E1252" s="276">
        <f>'Profits 2016'!L6465</f>
        <v>240</v>
      </c>
      <c r="F1252" s="275" t="str">
        <f>'Profits 2016'!P6465</f>
        <v>Irvin Lucas</v>
      </c>
      <c r="G1252" s="292">
        <f>'Profits 2016'!N6465-'Profits 2016'!M6465</f>
        <v>240</v>
      </c>
      <c r="H1252" s="331"/>
      <c r="I1252" s="332"/>
      <c r="J1252" s="333"/>
      <c r="K1252" s="333"/>
      <c r="L1252" s="333"/>
      <c r="M1252" s="331"/>
      <c r="N1252" s="334"/>
      <c r="O1252" s="236" t="str">
        <f>'Profits 2016'!T6465</f>
        <v>FEDEX</v>
      </c>
      <c r="P1252" s="284" t="str">
        <f>'Profits 2016'!U6465</f>
        <v>3970024306</v>
      </c>
      <c r="AF1252" s="276">
        <f t="shared" si="150"/>
        <v>240</v>
      </c>
      <c r="AG1252" s="276">
        <f t="shared" si="151"/>
        <v>0</v>
      </c>
      <c r="AH1252" s="276">
        <f t="shared" si="152"/>
        <v>200.04750000000001</v>
      </c>
      <c r="AI1252" s="283">
        <f t="shared" si="153"/>
        <v>0.83353125000000006</v>
      </c>
    </row>
    <row r="1253" spans="1:35" x14ac:dyDescent="0.25">
      <c r="A1253" s="275">
        <f>'Profits 2016'!A6466</f>
        <v>3005057</v>
      </c>
      <c r="B1253" s="279">
        <f>'Profits 2016'!B6466</f>
        <v>42663</v>
      </c>
      <c r="C1253" s="276">
        <f>'Profits 2016'!H6466</f>
        <v>385</v>
      </c>
      <c r="D1253" s="280">
        <f>'Profits 2016'!K6466</f>
        <v>327.25</v>
      </c>
      <c r="E1253" s="276">
        <f>'Profits 2016'!L6466</f>
        <v>670</v>
      </c>
      <c r="F1253" s="275" t="str">
        <f>'Profits 2016'!P6466</f>
        <v>Thea</v>
      </c>
      <c r="G1253" s="292">
        <f>'Profits 2016'!N6466-'Profits 2016'!M6466</f>
        <v>184.25000000000006</v>
      </c>
      <c r="H1253" s="319"/>
      <c r="I1253" s="320"/>
      <c r="J1253" s="321"/>
      <c r="K1253" s="321"/>
      <c r="L1253" s="321"/>
      <c r="M1253" s="319"/>
      <c r="N1253" s="322"/>
      <c r="O1253" s="236" t="str">
        <f>'Profits 2016'!T6466</f>
        <v>R&amp;L/ECHO</v>
      </c>
      <c r="P1253" s="284" t="str">
        <f>'Profits 2016'!U6466</f>
        <v>73008789-3</v>
      </c>
      <c r="Q1253" s="284" t="s">
        <v>15767</v>
      </c>
      <c r="R1253" s="276">
        <v>182.32</v>
      </c>
      <c r="S1253" s="275" t="s">
        <v>15895</v>
      </c>
      <c r="T1253" s="279">
        <v>42671</v>
      </c>
      <c r="U1253" s="279">
        <v>42681</v>
      </c>
      <c r="V1253" s="279">
        <v>42697</v>
      </c>
      <c r="W1253" s="293">
        <v>182.32</v>
      </c>
      <c r="X1253" s="236">
        <v>9470</v>
      </c>
      <c r="AF1253" s="276">
        <f t="shared" si="150"/>
        <v>366.57000000000005</v>
      </c>
      <c r="AG1253" s="276">
        <f t="shared" si="151"/>
        <v>182.32</v>
      </c>
      <c r="AH1253" s="276">
        <f t="shared" si="152"/>
        <v>144.93</v>
      </c>
      <c r="AI1253" s="283">
        <f t="shared" si="153"/>
        <v>0.3953678697111056</v>
      </c>
    </row>
    <row r="1254" spans="1:35" ht="30" x14ac:dyDescent="0.25">
      <c r="A1254" s="275">
        <f>'Profits 2016'!A6467</f>
        <v>3005058</v>
      </c>
      <c r="B1254" s="279">
        <f>'Profits 2016'!B6467</f>
        <v>42663</v>
      </c>
      <c r="C1254" s="276">
        <f>'Profits 2016'!H6467</f>
        <v>98.56</v>
      </c>
      <c r="D1254" s="280">
        <f>'Profits 2016'!K6467</f>
        <v>87.516959999999997</v>
      </c>
      <c r="E1254" s="276">
        <f>'Profits 2016'!L6467</f>
        <v>0</v>
      </c>
      <c r="F1254" s="275" t="str">
        <f>'Profits 2016'!P6467</f>
        <v>Nassau</v>
      </c>
      <c r="G1254" s="292">
        <f>'Profits 2016'!N6467-'Profits 2016'!M6467</f>
        <v>0</v>
      </c>
      <c r="H1254" s="319"/>
      <c r="I1254" s="320"/>
      <c r="J1254" s="321"/>
      <c r="K1254" s="321"/>
      <c r="L1254" s="321"/>
      <c r="M1254" s="319"/>
      <c r="N1254" s="322"/>
      <c r="O1254" s="236" t="str">
        <f>'Profits 2016'!T6467</f>
        <v>FEDEX GROUND</v>
      </c>
      <c r="P1254" s="284" t="str">
        <f>'Profits 2016'!U6467</f>
        <v>702723290598</v>
      </c>
      <c r="Q1254" s="284" t="s">
        <v>314</v>
      </c>
      <c r="R1254" s="276">
        <v>25.59</v>
      </c>
      <c r="S1254" s="275" t="s">
        <v>15869</v>
      </c>
      <c r="T1254" s="279">
        <v>42681</v>
      </c>
      <c r="U1254" s="279">
        <v>42688</v>
      </c>
      <c r="V1254" s="279">
        <v>42692</v>
      </c>
      <c r="W1254" s="293">
        <f t="shared" ref="W1254:W1261" si="156">R1254</f>
        <v>25.59</v>
      </c>
      <c r="X1254" s="236">
        <v>9444</v>
      </c>
      <c r="AF1254" s="276">
        <f t="shared" si="150"/>
        <v>25.59</v>
      </c>
      <c r="AG1254" s="276">
        <f t="shared" si="151"/>
        <v>25.59</v>
      </c>
      <c r="AH1254" s="276">
        <f t="shared" si="152"/>
        <v>61.926959999999994</v>
      </c>
      <c r="AI1254" s="283">
        <f t="shared" si="153"/>
        <v>2.4199671746776081</v>
      </c>
    </row>
    <row r="1255" spans="1:35" ht="28.5" customHeight="1" x14ac:dyDescent="0.25">
      <c r="A1255" s="275">
        <f>'Profits 2016'!A6468</f>
        <v>3005059</v>
      </c>
      <c r="B1255" s="279">
        <f>'Profits 2016'!B6468</f>
        <v>42663</v>
      </c>
      <c r="C1255" s="276">
        <f>'Profits 2016'!H6468</f>
        <v>637.55999999999995</v>
      </c>
      <c r="D1255" s="280">
        <f>'Profits 2016'!K6468</f>
        <v>567.76595999999995</v>
      </c>
      <c r="E1255" s="276">
        <f>'Profits 2016'!L6468</f>
        <v>680</v>
      </c>
      <c r="F1255" s="275" t="str">
        <f>'Profits 2016'!P6468</f>
        <v>Nassau</v>
      </c>
      <c r="G1255" s="292">
        <f>'Profits 2016'!N6468-'Profits 2016'!M6468</f>
        <v>340</v>
      </c>
      <c r="H1255" s="319"/>
      <c r="I1255" s="320"/>
      <c r="J1255" s="321"/>
      <c r="K1255" s="321"/>
      <c r="L1255" s="321"/>
      <c r="M1255" s="319"/>
      <c r="N1255" s="322"/>
      <c r="O1255" s="236" t="str">
        <f>'Profits 2016'!T6468</f>
        <v>FEDEX GROUND</v>
      </c>
      <c r="P1255" s="284" t="str">
        <f>'Profits 2016'!U6468</f>
        <v>702723290680, 702723290690</v>
      </c>
      <c r="Q1255" s="284" t="s">
        <v>314</v>
      </c>
      <c r="R1255" s="276">
        <f>55.95+55.95</f>
        <v>111.9</v>
      </c>
      <c r="S1255" s="275" t="s">
        <v>15869</v>
      </c>
      <c r="T1255" s="279">
        <v>42681</v>
      </c>
      <c r="U1255" s="279">
        <v>42688</v>
      </c>
      <c r="V1255" s="279">
        <v>42692</v>
      </c>
      <c r="W1255" s="293">
        <f t="shared" si="156"/>
        <v>111.9</v>
      </c>
      <c r="X1255" s="236">
        <v>9444</v>
      </c>
      <c r="AF1255" s="276">
        <f t="shared" si="150"/>
        <v>451.9</v>
      </c>
      <c r="AG1255" s="276">
        <f t="shared" si="151"/>
        <v>111.9</v>
      </c>
      <c r="AH1255" s="276">
        <f t="shared" si="152"/>
        <v>455.86595999999997</v>
      </c>
      <c r="AI1255" s="283">
        <f t="shared" si="153"/>
        <v>1.0087761894224385</v>
      </c>
    </row>
    <row r="1256" spans="1:35" ht="30" x14ac:dyDescent="0.25">
      <c r="A1256" s="275">
        <f>'Profits 2016'!A6469</f>
        <v>3005060</v>
      </c>
      <c r="B1256" s="279">
        <f>'Profits 2016'!B6469</f>
        <v>42663</v>
      </c>
      <c r="C1256" s="276">
        <f>'Profits 2016'!H6469</f>
        <v>478.71</v>
      </c>
      <c r="D1256" s="280">
        <f>'Profits 2016'!K6469</f>
        <v>426.23060999999996</v>
      </c>
      <c r="E1256" s="276">
        <f>'Profits 2016'!L6469</f>
        <v>300</v>
      </c>
      <c r="F1256" s="275" t="str">
        <f>'Profits 2016'!P6469</f>
        <v>Thea</v>
      </c>
      <c r="G1256" s="292">
        <f>'Profits 2016'!N6469-'Profits 2016'!M6469</f>
        <v>150</v>
      </c>
      <c r="H1256" s="319"/>
      <c r="I1256" s="320"/>
      <c r="J1256" s="321"/>
      <c r="K1256" s="321"/>
      <c r="L1256" s="321"/>
      <c r="M1256" s="319"/>
      <c r="N1256" s="322"/>
      <c r="O1256" s="236" t="str">
        <f>'Profits 2016'!T6469</f>
        <v>FEDEX GROUND</v>
      </c>
      <c r="P1256" s="284" t="str">
        <f>'Profits 2016'!U6469</f>
        <v>675157531076</v>
      </c>
      <c r="Q1256" s="284" t="s">
        <v>314</v>
      </c>
      <c r="R1256" s="276">
        <v>71.69</v>
      </c>
      <c r="S1256" s="275" t="s">
        <v>15869</v>
      </c>
      <c r="T1256" s="279">
        <v>42681</v>
      </c>
      <c r="U1256" s="279">
        <v>42688</v>
      </c>
      <c r="V1256" s="279">
        <v>42692</v>
      </c>
      <c r="W1256" s="293">
        <f t="shared" si="156"/>
        <v>71.69</v>
      </c>
      <c r="X1256" s="236">
        <v>9444</v>
      </c>
      <c r="AF1256" s="276">
        <f t="shared" si="150"/>
        <v>221.69</v>
      </c>
      <c r="AG1256" s="276">
        <f t="shared" si="151"/>
        <v>71.69</v>
      </c>
      <c r="AH1256" s="276">
        <f t="shared" si="152"/>
        <v>354.54060999999996</v>
      </c>
      <c r="AI1256" s="283">
        <f t="shared" si="153"/>
        <v>1.5992629798367088</v>
      </c>
    </row>
    <row r="1257" spans="1:35" ht="30" x14ac:dyDescent="0.25">
      <c r="A1257" s="275">
        <f>'Profits 2016'!A6470</f>
        <v>3005061</v>
      </c>
      <c r="B1257" s="279">
        <f>'Profits 2016'!B6470</f>
        <v>42663</v>
      </c>
      <c r="C1257" s="276">
        <f>'Profits 2016'!H6470</f>
        <v>725</v>
      </c>
      <c r="D1257" s="280">
        <f>'Profits 2016'!K6470</f>
        <v>708.75</v>
      </c>
      <c r="E1257" s="276">
        <f>'Profits 2016'!L6470</f>
        <v>494</v>
      </c>
      <c r="F1257" s="275" t="str">
        <f>'Profits 2016'!P6470</f>
        <v>Southwire</v>
      </c>
      <c r="G1257" s="292">
        <f>'Profits 2016'!N6470-'Profits 2016'!M6470</f>
        <v>246.99999999999997</v>
      </c>
      <c r="H1257" s="331">
        <v>0</v>
      </c>
      <c r="I1257" s="332">
        <v>91010334</v>
      </c>
      <c r="J1257" s="333">
        <v>42668</v>
      </c>
      <c r="K1257" s="333">
        <v>42675</v>
      </c>
      <c r="L1257" s="333">
        <v>42678</v>
      </c>
      <c r="M1257" s="331">
        <v>242.06</v>
      </c>
      <c r="N1257" s="334">
        <v>9358</v>
      </c>
      <c r="O1257" s="236" t="str">
        <f>'Profits 2016'!T6470</f>
        <v>FEDEX GROUND</v>
      </c>
      <c r="P1257" s="284" t="str">
        <f>'Profits 2016'!U6470</f>
        <v>676252189641</v>
      </c>
      <c r="Q1257" s="284" t="s">
        <v>314</v>
      </c>
      <c r="R1257" s="276">
        <v>118.56</v>
      </c>
      <c r="S1257" s="275" t="s">
        <v>15893</v>
      </c>
      <c r="T1257" s="279">
        <v>42682</v>
      </c>
      <c r="U1257" s="279">
        <v>42688</v>
      </c>
      <c r="V1257" s="279">
        <v>42697</v>
      </c>
      <c r="W1257" s="293">
        <f t="shared" si="156"/>
        <v>118.56</v>
      </c>
      <c r="X1257" s="236">
        <v>9472</v>
      </c>
      <c r="Y1257" s="276">
        <v>30.68</v>
      </c>
      <c r="Z1257" s="236" t="s">
        <v>15894</v>
      </c>
      <c r="AA1257" s="279">
        <v>42698</v>
      </c>
      <c r="AB1257" s="279">
        <v>42702</v>
      </c>
      <c r="AF1257" s="276">
        <f t="shared" si="150"/>
        <v>396.23999999999995</v>
      </c>
      <c r="AG1257" s="276">
        <f t="shared" si="151"/>
        <v>391.3</v>
      </c>
      <c r="AH1257" s="276">
        <f t="shared" si="152"/>
        <v>317.45</v>
      </c>
      <c r="AI1257" s="283">
        <f t="shared" si="153"/>
        <v>0.80115586513224313</v>
      </c>
    </row>
    <row r="1258" spans="1:35" ht="30" x14ac:dyDescent="0.25">
      <c r="A1258" s="275">
        <f>'Profits 2016'!A6471</f>
        <v>3005062</v>
      </c>
      <c r="B1258" s="279">
        <f>'Profits 2016'!B6471</f>
        <v>42663</v>
      </c>
      <c r="C1258" s="276">
        <f>'Profits 2016'!H6471</f>
        <v>237.6</v>
      </c>
      <c r="D1258" s="280">
        <f>'Profits 2016'!K6471</f>
        <v>211.4016</v>
      </c>
      <c r="E1258" s="276">
        <f>'Profits 2016'!L6471</f>
        <v>490</v>
      </c>
      <c r="F1258" s="275" t="str">
        <f>'Profits 2016'!P6471</f>
        <v>Wirexpress</v>
      </c>
      <c r="G1258" s="292">
        <f>'Profits 2016'!N6471-'Profits 2016'!M6471</f>
        <v>122.49999999999999</v>
      </c>
      <c r="H1258" s="331">
        <v>0</v>
      </c>
      <c r="I1258" s="332" t="s">
        <v>15896</v>
      </c>
      <c r="J1258" s="333">
        <v>42667</v>
      </c>
      <c r="K1258" s="333">
        <v>42671</v>
      </c>
      <c r="L1258" s="333">
        <v>42697</v>
      </c>
      <c r="M1258" s="331">
        <v>122.5</v>
      </c>
      <c r="N1258" s="334">
        <v>9483</v>
      </c>
      <c r="O1258" s="236" t="str">
        <f>'Profits 2016'!T6471</f>
        <v>FEDEX GROUND</v>
      </c>
      <c r="P1258" s="284" t="str">
        <f>'Profits 2016'!U6471</f>
        <v xml:space="preserve">744934370381988 </v>
      </c>
      <c r="Q1258" s="284" t="s">
        <v>314</v>
      </c>
      <c r="R1258" s="276">
        <v>26.51</v>
      </c>
      <c r="S1258" s="275" t="s">
        <v>15869</v>
      </c>
      <c r="T1258" s="279">
        <v>42681</v>
      </c>
      <c r="U1258" s="279">
        <v>42688</v>
      </c>
      <c r="V1258" s="279">
        <v>42692</v>
      </c>
      <c r="W1258" s="293">
        <f t="shared" si="156"/>
        <v>26.51</v>
      </c>
      <c r="X1258" s="236">
        <v>9444</v>
      </c>
      <c r="AF1258" s="276">
        <f t="shared" si="150"/>
        <v>149.01</v>
      </c>
      <c r="AG1258" s="276">
        <f t="shared" si="151"/>
        <v>149.01</v>
      </c>
      <c r="AH1258" s="276">
        <f t="shared" si="152"/>
        <v>62.391600000000011</v>
      </c>
      <c r="AI1258" s="283">
        <f t="shared" si="153"/>
        <v>0.41870746929736269</v>
      </c>
    </row>
    <row r="1259" spans="1:35" ht="30" x14ac:dyDescent="0.25">
      <c r="A1259" s="275">
        <f>'Profits 2016'!A6472</f>
        <v>3005063</v>
      </c>
      <c r="B1259" s="279">
        <f>'Profits 2016'!B6472</f>
        <v>42663</v>
      </c>
      <c r="C1259" s="276">
        <f>'Profits 2016'!H6472</f>
        <v>242.25</v>
      </c>
      <c r="D1259" s="280">
        <f>'Profits 2016'!K6472</f>
        <v>215.54474999999999</v>
      </c>
      <c r="E1259" s="276">
        <f>'Profits 2016'!L6472</f>
        <v>140</v>
      </c>
      <c r="F1259" s="275" t="str">
        <f>'Profits 2016'!P6472</f>
        <v>Priority</v>
      </c>
      <c r="G1259" s="292">
        <f>'Profits 2016'!N6472-'Profits 2016'!M6472</f>
        <v>105</v>
      </c>
      <c r="H1259" s="331">
        <v>0</v>
      </c>
      <c r="I1259" s="332">
        <v>1068602</v>
      </c>
      <c r="J1259" s="333">
        <v>42663</v>
      </c>
      <c r="K1259" s="333">
        <v>42670</v>
      </c>
      <c r="L1259" s="333">
        <v>42692</v>
      </c>
      <c r="M1259" s="331">
        <v>138.09</v>
      </c>
      <c r="N1259" s="334">
        <v>9449</v>
      </c>
      <c r="O1259" s="236" t="str">
        <f>'Profits 2016'!T6472</f>
        <v>FEDEX GROUND</v>
      </c>
      <c r="P1259" s="284" t="str">
        <f>'Profits 2016'!U6472</f>
        <v xml:space="preserve">	706898123790</v>
      </c>
      <c r="Q1259" s="284" t="s">
        <v>15740</v>
      </c>
      <c r="R1259" s="276">
        <v>33.090000000000003</v>
      </c>
      <c r="S1259" s="275">
        <v>1068602</v>
      </c>
      <c r="T1259" s="279">
        <v>42663</v>
      </c>
      <c r="U1259" s="279">
        <v>42670</v>
      </c>
      <c r="V1259" s="279">
        <v>42692</v>
      </c>
      <c r="W1259" s="293">
        <f t="shared" si="156"/>
        <v>33.090000000000003</v>
      </c>
      <c r="X1259" s="236">
        <v>9444</v>
      </c>
      <c r="AF1259" s="276">
        <f t="shared" si="150"/>
        <v>138.09</v>
      </c>
      <c r="AG1259" s="276">
        <f t="shared" si="151"/>
        <v>171.18</v>
      </c>
      <c r="AH1259" s="276">
        <f t="shared" si="152"/>
        <v>44.364749999999987</v>
      </c>
      <c r="AI1259" s="283">
        <f t="shared" si="153"/>
        <v>0.32127416902020411</v>
      </c>
    </row>
    <row r="1260" spans="1:35" ht="30" x14ac:dyDescent="0.25">
      <c r="A1260" s="275">
        <f>'Profits 2016'!A6473</f>
        <v>3005064</v>
      </c>
      <c r="B1260" s="279">
        <f>'Profits 2016'!B6473</f>
        <v>42663</v>
      </c>
      <c r="C1260" s="276">
        <f>'Profits 2016'!H6473</f>
        <v>138.9</v>
      </c>
      <c r="D1260" s="280">
        <f>'Profits 2016'!K6473</f>
        <v>123.4599</v>
      </c>
      <c r="E1260" s="276">
        <f>'Profits 2016'!L6473</f>
        <v>610.51</v>
      </c>
      <c r="F1260" s="275" t="str">
        <f>'Profits 2016'!P6473</f>
        <v>Thea</v>
      </c>
      <c r="G1260" s="292">
        <f>'Profits 2016'!N6473-'Profits 2016'!M6473</f>
        <v>61.051000000000009</v>
      </c>
      <c r="H1260" s="319"/>
      <c r="I1260" s="320"/>
      <c r="J1260" s="321"/>
      <c r="K1260" s="321"/>
      <c r="L1260" s="321"/>
      <c r="M1260" s="319"/>
      <c r="N1260" s="322"/>
      <c r="O1260" s="236" t="str">
        <f>'Profits 2016'!T6473</f>
        <v>FEDEX GROUND</v>
      </c>
      <c r="P1260" s="284" t="str">
        <f>'Profits 2016'!U6473</f>
        <v>675157531043</v>
      </c>
      <c r="Q1260" s="284" t="s">
        <v>314</v>
      </c>
      <c r="R1260" s="276">
        <v>17.600000000000001</v>
      </c>
      <c r="S1260" s="275" t="s">
        <v>15869</v>
      </c>
      <c r="T1260" s="279">
        <v>42681</v>
      </c>
      <c r="U1260" s="279">
        <v>42688</v>
      </c>
      <c r="V1260" s="279">
        <v>42692</v>
      </c>
      <c r="W1260" s="293">
        <f t="shared" si="156"/>
        <v>17.600000000000001</v>
      </c>
      <c r="X1260" s="236">
        <v>9444</v>
      </c>
      <c r="AF1260" s="276">
        <f t="shared" si="150"/>
        <v>78.65100000000001</v>
      </c>
      <c r="AG1260" s="276">
        <f t="shared" si="151"/>
        <v>17.600000000000001</v>
      </c>
      <c r="AH1260" s="276">
        <f t="shared" si="152"/>
        <v>105.85990000000001</v>
      </c>
      <c r="AI1260" s="283">
        <f t="shared" si="153"/>
        <v>1.3459447432327625</v>
      </c>
    </row>
    <row r="1261" spans="1:35" ht="30" x14ac:dyDescent="0.25">
      <c r="A1261" s="275">
        <f>'Profits 2016'!A6474</f>
        <v>3005065</v>
      </c>
      <c r="B1261" s="279">
        <f>'Profits 2016'!B6474</f>
        <v>42663</v>
      </c>
      <c r="C1261" s="276">
        <f>'Profits 2016'!H6474</f>
        <v>120</v>
      </c>
      <c r="D1261" s="280">
        <f>'Profits 2016'!K6474</f>
        <v>117.42</v>
      </c>
      <c r="E1261" s="276">
        <f>'Profits 2016'!L6474</f>
        <v>424</v>
      </c>
      <c r="F1261" s="275" t="str">
        <f>'Profits 2016'!P6474</f>
        <v>Nassau</v>
      </c>
      <c r="G1261" s="292">
        <f>'Profits 2016'!N6474-'Profits 2016'!M6474</f>
        <v>42.400000000000006</v>
      </c>
      <c r="H1261" s="319"/>
      <c r="I1261" s="320"/>
      <c r="J1261" s="321"/>
      <c r="K1261" s="321"/>
      <c r="L1261" s="321"/>
      <c r="M1261" s="319"/>
      <c r="N1261" s="322"/>
      <c r="O1261" s="236" t="str">
        <f>'Profits 2016'!T6474</f>
        <v>FEDEX GROUND</v>
      </c>
      <c r="P1261" s="284" t="str">
        <f>'Profits 2016'!U6474</f>
        <v>702723290820</v>
      </c>
      <c r="Q1261" s="284" t="s">
        <v>314</v>
      </c>
      <c r="R1261" s="276">
        <v>19.61</v>
      </c>
      <c r="S1261" s="275" t="s">
        <v>15869</v>
      </c>
      <c r="T1261" s="279">
        <v>42681</v>
      </c>
      <c r="U1261" s="279">
        <v>42688</v>
      </c>
      <c r="V1261" s="279">
        <v>42692</v>
      </c>
      <c r="W1261" s="293">
        <f t="shared" si="156"/>
        <v>19.61</v>
      </c>
      <c r="X1261" s="236">
        <v>9444</v>
      </c>
      <c r="AF1261" s="276">
        <f t="shared" si="150"/>
        <v>62.010000000000005</v>
      </c>
      <c r="AG1261" s="276">
        <f t="shared" si="151"/>
        <v>19.61</v>
      </c>
      <c r="AH1261" s="276">
        <f t="shared" si="152"/>
        <v>97.81</v>
      </c>
      <c r="AI1261" s="283">
        <f t="shared" si="153"/>
        <v>1.5773262377035961</v>
      </c>
    </row>
    <row r="1262" spans="1:35" x14ac:dyDescent="0.25">
      <c r="A1262" s="275">
        <f>'Profits 2016'!A6475</f>
        <v>3005066</v>
      </c>
      <c r="B1262" s="279">
        <f>'Profits 2016'!B6475</f>
        <v>42664</v>
      </c>
      <c r="C1262" s="276">
        <f>'Profits 2016'!H6475</f>
        <v>530</v>
      </c>
      <c r="D1262" s="280">
        <f>'Profits 2016'!K6475</f>
        <v>518.04</v>
      </c>
      <c r="E1262" s="276">
        <f>'Profits 2016'!L6475</f>
        <v>1090</v>
      </c>
      <c r="F1262" s="275" t="str">
        <f>'Profits 2016'!P6475</f>
        <v>Nassau</v>
      </c>
      <c r="G1262" s="292">
        <f>'Profits 2016'!N6475-'Profits 2016'!M6475</f>
        <v>272.5</v>
      </c>
      <c r="H1262" s="319"/>
      <c r="I1262" s="320"/>
      <c r="J1262" s="321"/>
      <c r="K1262" s="321"/>
      <c r="L1262" s="321"/>
      <c r="M1262" s="319"/>
      <c r="N1262" s="322"/>
      <c r="O1262" s="236" t="str">
        <f>'Profits 2016'!T6475</f>
        <v>R&amp;L/DLS</v>
      </c>
      <c r="P1262" s="284" t="str">
        <f>'Profits 2016'!U6475</f>
        <v>I730506546</v>
      </c>
      <c r="Q1262" s="284" t="s">
        <v>15804</v>
      </c>
      <c r="R1262" s="276">
        <v>103.36</v>
      </c>
      <c r="S1262" s="275">
        <v>636889103</v>
      </c>
      <c r="T1262" s="279">
        <v>42670</v>
      </c>
      <c r="U1262" s="279">
        <v>42675</v>
      </c>
      <c r="AF1262" s="276">
        <f t="shared" si="150"/>
        <v>375.86</v>
      </c>
      <c r="AG1262" s="276">
        <f t="shared" si="151"/>
        <v>103.36</v>
      </c>
      <c r="AH1262" s="276">
        <f t="shared" si="152"/>
        <v>414.67999999999995</v>
      </c>
      <c r="AI1262" s="283">
        <f t="shared" si="153"/>
        <v>1.1032831373383705</v>
      </c>
    </row>
    <row r="1263" spans="1:35" ht="30" x14ac:dyDescent="0.25">
      <c r="A1263" s="275">
        <f>'Profits 2016'!A6476</f>
        <v>3005067</v>
      </c>
      <c r="B1263" s="279">
        <f>'Profits 2016'!B6476</f>
        <v>42664</v>
      </c>
      <c r="C1263" s="276">
        <f>'Profits 2016'!H6476</f>
        <v>225</v>
      </c>
      <c r="D1263" s="280">
        <f>'Profits 2016'!K6476</f>
        <v>219.75</v>
      </c>
      <c r="E1263" s="276">
        <f>'Profits 2016'!L6476</f>
        <v>400</v>
      </c>
      <c r="F1263" s="275" t="str">
        <f>'Profits 2016'!P6476</f>
        <v>Nassau</v>
      </c>
      <c r="G1263" s="292">
        <f>'Profits 2016'!N6476-'Profits 2016'!M6476</f>
        <v>100</v>
      </c>
      <c r="H1263" s="319"/>
      <c r="I1263" s="320"/>
      <c r="J1263" s="321"/>
      <c r="K1263" s="321"/>
      <c r="L1263" s="321"/>
      <c r="M1263" s="319"/>
      <c r="N1263" s="322"/>
      <c r="O1263" s="236" t="str">
        <f>'Profits 2016'!T6476</f>
        <v>FEDEX GROUND</v>
      </c>
      <c r="P1263" s="284" t="str">
        <f>'Profits 2016'!U6476</f>
        <v>702723290793</v>
      </c>
      <c r="Q1263" s="284" t="s">
        <v>314</v>
      </c>
      <c r="R1263" s="276">
        <v>41</v>
      </c>
      <c r="S1263" s="275" t="s">
        <v>15869</v>
      </c>
      <c r="T1263" s="279">
        <v>42681</v>
      </c>
      <c r="U1263" s="279">
        <v>42688</v>
      </c>
      <c r="V1263" s="279">
        <v>42692</v>
      </c>
      <c r="W1263" s="293">
        <f>R1263</f>
        <v>41</v>
      </c>
      <c r="X1263" s="236">
        <v>9444</v>
      </c>
      <c r="AF1263" s="276">
        <f t="shared" si="150"/>
        <v>141</v>
      </c>
      <c r="AG1263" s="276">
        <f t="shared" si="151"/>
        <v>41</v>
      </c>
      <c r="AH1263" s="276">
        <f t="shared" si="152"/>
        <v>178.75</v>
      </c>
      <c r="AI1263" s="283">
        <f t="shared" si="153"/>
        <v>1.2677304964539007</v>
      </c>
    </row>
    <row r="1264" spans="1:35" ht="30" x14ac:dyDescent="0.25">
      <c r="A1264" s="275">
        <f>'Profits 2016'!A6477</f>
        <v>3005068</v>
      </c>
      <c r="B1264" s="279">
        <f>'Profits 2016'!B6477</f>
        <v>42664</v>
      </c>
      <c r="C1264" s="276">
        <f>'Profits 2016'!H6477</f>
        <v>579</v>
      </c>
      <c r="D1264" s="280">
        <f>'Profits 2016'!K6477</f>
        <v>579</v>
      </c>
      <c r="E1264" s="276">
        <f>'Profits 2016'!L6477</f>
        <v>280</v>
      </c>
      <c r="F1264" s="275" t="str">
        <f>'Profits 2016'!P6477</f>
        <v>A-Z</v>
      </c>
      <c r="G1264" s="292">
        <f>'Profits 2016'!N6477-'Profits 2016'!M6477</f>
        <v>14.000000000000004</v>
      </c>
      <c r="H1264" s="331">
        <v>0</v>
      </c>
      <c r="I1264" s="332">
        <v>406545</v>
      </c>
      <c r="J1264" s="333">
        <v>42667</v>
      </c>
      <c r="K1264" s="333">
        <v>42676</v>
      </c>
      <c r="L1264" s="333"/>
      <c r="M1264" s="331"/>
      <c r="N1264" s="334"/>
      <c r="O1264" s="236" t="str">
        <f>'Profits 2016'!T6477</f>
        <v>UPS GROUND</v>
      </c>
      <c r="P1264" s="284" t="str">
        <f>'Profits 2016'!U6477</f>
        <v>1Z0455780346371988</v>
      </c>
      <c r="Q1264" s="284" t="s">
        <v>235</v>
      </c>
      <c r="R1264" s="276">
        <v>-80</v>
      </c>
      <c r="S1264" s="275" t="s">
        <v>15897</v>
      </c>
      <c r="AF1264" s="276">
        <f t="shared" si="150"/>
        <v>-66</v>
      </c>
      <c r="AG1264" s="276">
        <f t="shared" si="151"/>
        <v>-80</v>
      </c>
      <c r="AH1264" s="276">
        <f t="shared" si="152"/>
        <v>659</v>
      </c>
      <c r="AI1264" s="283">
        <f t="shared" si="153"/>
        <v>-9.9848484848484844</v>
      </c>
    </row>
    <row r="1265" spans="1:35" x14ac:dyDescent="0.25">
      <c r="A1265" s="275">
        <f>'Profits 2016'!A6478</f>
        <v>0</v>
      </c>
      <c r="B1265" s="279">
        <f>'Profits 2016'!B6478</f>
        <v>0</v>
      </c>
      <c r="C1265" s="276">
        <f>'Profits 2016'!H6478</f>
        <v>0</v>
      </c>
      <c r="D1265" s="280">
        <f>'Profits 2016'!K6478</f>
        <v>0</v>
      </c>
      <c r="E1265" s="276">
        <f>'Profits 2016'!L6478</f>
        <v>1700</v>
      </c>
      <c r="F1265" s="275" t="str">
        <f>'Profits 2016'!P6478</f>
        <v>A-Z</v>
      </c>
      <c r="G1265" s="292">
        <f>'Profits 2016'!N6478-'Profits 2016'!M6478</f>
        <v>170</v>
      </c>
      <c r="H1265" s="331">
        <v>0</v>
      </c>
      <c r="I1265" s="332">
        <v>406545</v>
      </c>
      <c r="J1265" s="333">
        <v>42667</v>
      </c>
      <c r="K1265" s="333">
        <v>42676</v>
      </c>
      <c r="L1265" s="333"/>
      <c r="M1265" s="331"/>
      <c r="N1265" s="334"/>
      <c r="O1265" s="236">
        <f>'Profits 2016'!T6478</f>
        <v>0</v>
      </c>
      <c r="P1265" s="284" t="s">
        <v>15898</v>
      </c>
      <c r="Q1265" s="284" t="s">
        <v>314</v>
      </c>
      <c r="R1265" s="276">
        <v>31.51</v>
      </c>
      <c r="S1265" s="275" t="s">
        <v>15873</v>
      </c>
      <c r="T1265" s="279">
        <v>42688</v>
      </c>
      <c r="U1265" s="279">
        <v>42691</v>
      </c>
      <c r="V1265" s="279">
        <v>42697</v>
      </c>
      <c r="W1265" s="293">
        <v>31.51</v>
      </c>
      <c r="X1265" s="236">
        <v>9494</v>
      </c>
      <c r="AF1265" s="276">
        <f t="shared" si="150"/>
        <v>201.51</v>
      </c>
      <c r="AG1265" s="276">
        <f t="shared" si="151"/>
        <v>31.51</v>
      </c>
      <c r="AH1265" s="276">
        <f t="shared" si="152"/>
        <v>-31.51</v>
      </c>
      <c r="AI1265" s="283">
        <f t="shared" si="153"/>
        <v>-0.15636941094734755</v>
      </c>
    </row>
    <row r="1266" spans="1:35" x14ac:dyDescent="0.25">
      <c r="A1266" s="275">
        <f>'Profits 2016'!A6479</f>
        <v>0</v>
      </c>
      <c r="B1266" s="279">
        <f>'Profits 2016'!B6479</f>
        <v>0</v>
      </c>
      <c r="C1266" s="276">
        <f>'Profits 2016'!H6479</f>
        <v>0</v>
      </c>
      <c r="D1266" s="280">
        <f>'Profits 2016'!K6479</f>
        <v>0</v>
      </c>
      <c r="E1266" s="276">
        <f>'Profits 2016'!L6479</f>
        <v>1050</v>
      </c>
      <c r="F1266" s="275" t="str">
        <f>'Profits 2016'!P6479</f>
        <v>A-Z</v>
      </c>
      <c r="G1266" s="292">
        <f>'Profits 2016'!N6479-'Profits 2016'!M6479</f>
        <v>31.5</v>
      </c>
      <c r="H1266" s="331">
        <v>0</v>
      </c>
      <c r="I1266" s="332">
        <v>406545</v>
      </c>
      <c r="J1266" s="333">
        <v>42667</v>
      </c>
      <c r="K1266" s="333">
        <v>42676</v>
      </c>
      <c r="L1266" s="333"/>
      <c r="M1266" s="331"/>
      <c r="N1266" s="334"/>
      <c r="O1266" s="236">
        <f>'Profits 2016'!T6479</f>
        <v>0</v>
      </c>
      <c r="P1266" s="284" t="str">
        <f>'Profits 2016'!U6479</f>
        <v>1Z0455780347205996</v>
      </c>
      <c r="Q1266" s="284" t="s">
        <v>235</v>
      </c>
      <c r="R1266" s="276">
        <v>0</v>
      </c>
      <c r="S1266" s="275" t="s">
        <v>15897</v>
      </c>
      <c r="AF1266" s="276">
        <f t="shared" si="150"/>
        <v>-8.5</v>
      </c>
      <c r="AG1266" s="276">
        <f t="shared" si="151"/>
        <v>0</v>
      </c>
      <c r="AH1266" s="276">
        <f t="shared" si="152"/>
        <v>0</v>
      </c>
      <c r="AI1266" s="283">
        <f t="shared" si="153"/>
        <v>0</v>
      </c>
    </row>
    <row r="1267" spans="1:35" ht="60" x14ac:dyDescent="0.25">
      <c r="A1267" s="275">
        <f>'Profits 2016'!A6480</f>
        <v>0</v>
      </c>
      <c r="B1267" s="279">
        <f>'Profits 2016'!B6480</f>
        <v>0</v>
      </c>
      <c r="C1267" s="276">
        <f>'Profits 2016'!H6480</f>
        <v>0</v>
      </c>
      <c r="D1267" s="280">
        <f>'Profits 2016'!K6480</f>
        <v>0</v>
      </c>
      <c r="E1267" s="276">
        <f>'Profits 2016'!L6480</f>
        <v>80</v>
      </c>
      <c r="F1267" s="275" t="str">
        <f>'Profits 2016'!P6480</f>
        <v>A-Z</v>
      </c>
      <c r="G1267" s="292">
        <f>'Profits 2016'!N6480-'Profits 2016'!M6480</f>
        <v>40</v>
      </c>
      <c r="H1267" s="331">
        <v>-40</v>
      </c>
      <c r="I1267" s="332" t="s">
        <v>15899</v>
      </c>
      <c r="J1267" s="333" t="s">
        <v>15900</v>
      </c>
      <c r="K1267" s="333" t="s">
        <v>15901</v>
      </c>
      <c r="L1267" s="333"/>
      <c r="M1267" s="331"/>
      <c r="N1267" s="334"/>
      <c r="O1267" s="236">
        <f>'Profits 2016'!T6480</f>
        <v>0</v>
      </c>
      <c r="P1267" s="284">
        <f>'Profits 2016'!U6480</f>
        <v>0</v>
      </c>
      <c r="Q1267" s="284" t="s">
        <v>235</v>
      </c>
      <c r="R1267" s="276">
        <v>0</v>
      </c>
      <c r="S1267" s="275" t="s">
        <v>15897</v>
      </c>
      <c r="AF1267" s="276">
        <f t="shared" si="150"/>
        <v>0</v>
      </c>
      <c r="AG1267" s="276">
        <f t="shared" si="151"/>
        <v>0</v>
      </c>
      <c r="AH1267" s="276">
        <f t="shared" si="152"/>
        <v>0</v>
      </c>
      <c r="AI1267" s="283" t="e">
        <f t="shared" si="153"/>
        <v>#DIV/0!</v>
      </c>
    </row>
    <row r="1268" spans="1:35" ht="60" x14ac:dyDescent="0.25">
      <c r="A1268" s="275">
        <f>'Profits 2016'!A6481</f>
        <v>0</v>
      </c>
      <c r="B1268" s="279">
        <f>'Profits 2016'!B6481</f>
        <v>0</v>
      </c>
      <c r="C1268" s="276">
        <f>'Profits 2016'!H6481</f>
        <v>0</v>
      </c>
      <c r="D1268" s="280">
        <f>'Profits 2016'!K6481</f>
        <v>0</v>
      </c>
      <c r="E1268" s="276">
        <f>'Profits 2016'!L6481</f>
        <v>80</v>
      </c>
      <c r="F1268" s="275" t="str">
        <f>'Profits 2016'!P6481</f>
        <v>A-Z</v>
      </c>
      <c r="G1268" s="292">
        <f>'Profits 2016'!N6481-'Profits 2016'!M6481</f>
        <v>40</v>
      </c>
      <c r="H1268" s="331">
        <v>-40</v>
      </c>
      <c r="I1268" s="332" t="s">
        <v>15899</v>
      </c>
      <c r="J1268" s="333" t="s">
        <v>15900</v>
      </c>
      <c r="K1268" s="333" t="s">
        <v>15901</v>
      </c>
      <c r="L1268" s="333"/>
      <c r="M1268" s="331"/>
      <c r="N1268" s="334"/>
      <c r="O1268" s="236">
        <f>'Profits 2016'!T6481</f>
        <v>0</v>
      </c>
      <c r="P1268" s="284" t="str">
        <f>'Profits 2016'!U6481</f>
        <v>1Z0455780346371988</v>
      </c>
      <c r="Q1268" s="284" t="s">
        <v>235</v>
      </c>
      <c r="R1268" s="276">
        <v>0</v>
      </c>
      <c r="S1268" s="275" t="s">
        <v>15897</v>
      </c>
      <c r="AF1268" s="276">
        <f t="shared" si="150"/>
        <v>0</v>
      </c>
      <c r="AG1268" s="276">
        <f t="shared" si="151"/>
        <v>0</v>
      </c>
      <c r="AH1268" s="276">
        <f t="shared" si="152"/>
        <v>0</v>
      </c>
      <c r="AI1268" s="283" t="e">
        <f t="shared" si="153"/>
        <v>#DIV/0!</v>
      </c>
    </row>
    <row r="1269" spans="1:35" ht="60" x14ac:dyDescent="0.25">
      <c r="A1269" s="275">
        <f>'Profits 2016'!A6482</f>
        <v>0</v>
      </c>
      <c r="B1269" s="279">
        <f>'Profits 2016'!B6482</f>
        <v>0</v>
      </c>
      <c r="C1269" s="276">
        <f>'Profits 2016'!H6482</f>
        <v>0</v>
      </c>
      <c r="D1269" s="280">
        <f>'Profits 2016'!K6482</f>
        <v>0</v>
      </c>
      <c r="E1269" s="276">
        <f>'Profits 2016'!L6482</f>
        <v>80</v>
      </c>
      <c r="F1269" s="275" t="str">
        <f>'Profits 2016'!P6482</f>
        <v>A-Z</v>
      </c>
      <c r="G1269" s="292">
        <f>'Profits 2016'!N6482-'Profits 2016'!M6482</f>
        <v>40</v>
      </c>
      <c r="H1269" s="331">
        <v>-40</v>
      </c>
      <c r="I1269" s="332" t="s">
        <v>15899</v>
      </c>
      <c r="J1269" s="333" t="s">
        <v>15900</v>
      </c>
      <c r="K1269" s="333" t="s">
        <v>15901</v>
      </c>
      <c r="L1269" s="333"/>
      <c r="M1269" s="331"/>
      <c r="N1269" s="334"/>
      <c r="O1269" s="236">
        <f>'Profits 2016'!T6482</f>
        <v>0</v>
      </c>
      <c r="P1269" s="284">
        <f>'Profits 2016'!U6482</f>
        <v>0</v>
      </c>
      <c r="Q1269" s="284" t="s">
        <v>235</v>
      </c>
      <c r="R1269" s="276">
        <v>0</v>
      </c>
      <c r="S1269" s="275" t="s">
        <v>15897</v>
      </c>
      <c r="AF1269" s="276">
        <f t="shared" si="150"/>
        <v>40</v>
      </c>
      <c r="AG1269" s="276">
        <f t="shared" si="151"/>
        <v>0</v>
      </c>
      <c r="AH1269" s="276">
        <f t="shared" si="152"/>
        <v>0</v>
      </c>
      <c r="AI1269" s="283">
        <f t="shared" si="153"/>
        <v>0</v>
      </c>
    </row>
    <row r="1270" spans="1:35" x14ac:dyDescent="0.25">
      <c r="A1270" s="275">
        <f>'Profits 2016'!A6483</f>
        <v>0</v>
      </c>
      <c r="B1270" s="279">
        <f>'Profits 2016'!B6483</f>
        <v>0</v>
      </c>
      <c r="C1270" s="276">
        <f>'Profits 2016'!H6483</f>
        <v>0</v>
      </c>
      <c r="D1270" s="280">
        <f>'Profits 2016'!K6483</f>
        <v>0</v>
      </c>
      <c r="E1270" s="276">
        <f>'Profits 2016'!L6483</f>
        <v>80</v>
      </c>
      <c r="F1270" s="275" t="str">
        <f>'Profits 2016'!P6483</f>
        <v>A-Z</v>
      </c>
      <c r="G1270" s="292">
        <f>'Profits 2016'!N6483-'Profits 2016'!M6483</f>
        <v>40</v>
      </c>
      <c r="H1270" s="331">
        <v>0</v>
      </c>
      <c r="I1270" s="332">
        <v>406545</v>
      </c>
      <c r="J1270" s="333">
        <v>42667</v>
      </c>
      <c r="K1270" s="333">
        <v>42676</v>
      </c>
      <c r="L1270" s="333"/>
      <c r="M1270" s="331"/>
      <c r="N1270" s="334"/>
      <c r="O1270" s="236">
        <f>'Profits 2016'!T6483</f>
        <v>0</v>
      </c>
      <c r="P1270" s="284" t="str">
        <f>'Profits 2016'!U6483</f>
        <v>1Z0455780347119615</v>
      </c>
      <c r="Q1270" s="284" t="s">
        <v>235</v>
      </c>
      <c r="R1270" s="276">
        <v>0</v>
      </c>
      <c r="S1270" s="275" t="s">
        <v>15897</v>
      </c>
      <c r="AF1270" s="276">
        <f t="shared" si="150"/>
        <v>40</v>
      </c>
      <c r="AG1270" s="276">
        <f t="shared" si="151"/>
        <v>0</v>
      </c>
      <c r="AH1270" s="276">
        <f t="shared" si="152"/>
        <v>0</v>
      </c>
      <c r="AI1270" s="283">
        <f t="shared" si="153"/>
        <v>0</v>
      </c>
    </row>
    <row r="1271" spans="1:35" x14ac:dyDescent="0.25">
      <c r="A1271" s="275">
        <f>'Profits 2016'!A6484</f>
        <v>0</v>
      </c>
      <c r="B1271" s="279">
        <f>'Profits 2016'!B6484</f>
        <v>0</v>
      </c>
      <c r="C1271" s="276">
        <f>'Profits 2016'!H6484</f>
        <v>0</v>
      </c>
      <c r="D1271" s="280">
        <f>'Profits 2016'!K6484</f>
        <v>0</v>
      </c>
      <c r="E1271" s="276">
        <f>'Profits 2016'!L6484</f>
        <v>80</v>
      </c>
      <c r="F1271" s="275" t="str">
        <f>'Profits 2016'!P6484</f>
        <v>A-Z</v>
      </c>
      <c r="G1271" s="292">
        <f>'Profits 2016'!N6484-'Profits 2016'!M6484</f>
        <v>40</v>
      </c>
      <c r="H1271" s="331">
        <v>0</v>
      </c>
      <c r="I1271" s="332">
        <v>406545</v>
      </c>
      <c r="J1271" s="333">
        <v>42667</v>
      </c>
      <c r="K1271" s="333">
        <v>42676</v>
      </c>
      <c r="L1271" s="333"/>
      <c r="M1271" s="331"/>
      <c r="N1271" s="334"/>
      <c r="O1271" s="236">
        <f>'Profits 2016'!T6484</f>
        <v>0</v>
      </c>
      <c r="P1271" s="284">
        <f>'Profits 2016'!U6484</f>
        <v>0</v>
      </c>
      <c r="Q1271" s="284" t="s">
        <v>235</v>
      </c>
      <c r="R1271" s="276">
        <v>0</v>
      </c>
      <c r="S1271" s="275" t="s">
        <v>15897</v>
      </c>
      <c r="AF1271" s="276">
        <f t="shared" si="150"/>
        <v>40</v>
      </c>
      <c r="AG1271" s="276">
        <f t="shared" si="151"/>
        <v>0</v>
      </c>
      <c r="AH1271" s="276">
        <f t="shared" si="152"/>
        <v>0</v>
      </c>
      <c r="AI1271" s="283">
        <f t="shared" si="153"/>
        <v>0</v>
      </c>
    </row>
    <row r="1272" spans="1:35" ht="30" x14ac:dyDescent="0.25">
      <c r="A1272" s="275">
        <f>'Profits 2016'!A6485</f>
        <v>3005069</v>
      </c>
      <c r="B1272" s="279">
        <f>'Profits 2016'!B6485</f>
        <v>42664</v>
      </c>
      <c r="C1272" s="276">
        <f>'Profits 2016'!H6485</f>
        <v>1030</v>
      </c>
      <c r="D1272" s="280">
        <f>'Profits 2016'!K6485</f>
        <v>996.22500000000002</v>
      </c>
      <c r="E1272" s="276">
        <f>'Profits 2016'!L6485</f>
        <v>2750</v>
      </c>
      <c r="F1272" s="275" t="str">
        <f>'Profits 2016'!P6485</f>
        <v>Direct</v>
      </c>
      <c r="G1272" s="292">
        <f>'Profits 2016'!N6485-'Profits 2016'!M6485</f>
        <v>687.5</v>
      </c>
      <c r="H1272" s="331">
        <v>0</v>
      </c>
      <c r="I1272" s="332">
        <v>75084</v>
      </c>
      <c r="J1272" s="333">
        <v>42668</v>
      </c>
      <c r="K1272" s="333">
        <v>42671</v>
      </c>
      <c r="L1272" s="333">
        <v>42678</v>
      </c>
      <c r="M1272" s="331">
        <v>673.75</v>
      </c>
      <c r="N1272" s="334">
        <v>9292</v>
      </c>
      <c r="O1272" s="236" t="str">
        <f>'Profits 2016'!T6485</f>
        <v>FEDEX FREIGHT</v>
      </c>
      <c r="P1272" s="284" t="str">
        <f>'Profits 2016'!U6485</f>
        <v>253859401-5</v>
      </c>
      <c r="AF1272" s="276">
        <f t="shared" si="150"/>
        <v>687.5</v>
      </c>
      <c r="AG1272" s="276">
        <f t="shared" si="151"/>
        <v>673.75</v>
      </c>
      <c r="AH1272" s="276">
        <f t="shared" si="152"/>
        <v>322.47500000000002</v>
      </c>
      <c r="AI1272" s="283">
        <f t="shared" si="153"/>
        <v>0.4690545454545455</v>
      </c>
    </row>
    <row r="1273" spans="1:35" ht="30" x14ac:dyDescent="0.25">
      <c r="A1273" s="275">
        <f>'Profits 2016'!A6486</f>
        <v>3005070</v>
      </c>
      <c r="B1273" s="279">
        <f>'Profits 2016'!B6486</f>
        <v>42664</v>
      </c>
      <c r="C1273" s="276">
        <f>'Profits 2016'!H6486</f>
        <v>109.82</v>
      </c>
      <c r="D1273" s="280">
        <f>'Profits 2016'!K6486</f>
        <v>97.549620000000004</v>
      </c>
      <c r="E1273" s="276">
        <f>'Profits 2016'!L6486</f>
        <v>229</v>
      </c>
      <c r="F1273" s="275" t="str">
        <f>'Profits 2016'!P6486</f>
        <v>Houston</v>
      </c>
      <c r="G1273" s="292">
        <f>'Profits 2016'!N6486-'Profits 2016'!M6486</f>
        <v>57.25</v>
      </c>
      <c r="H1273" s="331">
        <v>0</v>
      </c>
      <c r="I1273" s="332">
        <v>30914633</v>
      </c>
      <c r="J1273" s="333">
        <v>42664</v>
      </c>
      <c r="K1273" s="333">
        <v>42671</v>
      </c>
      <c r="L1273" s="333">
        <v>42692</v>
      </c>
      <c r="M1273" s="331">
        <v>57.25</v>
      </c>
      <c r="N1273" s="334">
        <v>9445</v>
      </c>
      <c r="O1273" s="236" t="str">
        <f>'Profits 2016'!T6486</f>
        <v>FEDEX GROUND</v>
      </c>
      <c r="P1273" s="284" t="str">
        <f>'Profits 2016'!U6486</f>
        <v>543369482340</v>
      </c>
      <c r="Q1273" s="284" t="s">
        <v>314</v>
      </c>
      <c r="R1273" s="276">
        <v>13.41</v>
      </c>
      <c r="S1273" s="275" t="s">
        <v>15869</v>
      </c>
      <c r="T1273" s="279">
        <v>42681</v>
      </c>
      <c r="U1273" s="279">
        <v>42688</v>
      </c>
      <c r="V1273" s="279">
        <v>42692</v>
      </c>
      <c r="W1273" s="293">
        <f t="shared" ref="W1273:W1276" si="157">R1273</f>
        <v>13.41</v>
      </c>
      <c r="X1273" s="236">
        <v>9444</v>
      </c>
      <c r="AF1273" s="276">
        <f t="shared" si="150"/>
        <v>70.66</v>
      </c>
      <c r="AG1273" s="276">
        <f t="shared" si="151"/>
        <v>70.66</v>
      </c>
      <c r="AH1273" s="276">
        <f t="shared" si="152"/>
        <v>26.889620000000008</v>
      </c>
      <c r="AI1273" s="283">
        <f t="shared" si="153"/>
        <v>0.38054939145202393</v>
      </c>
    </row>
    <row r="1274" spans="1:35" ht="30" x14ac:dyDescent="0.25">
      <c r="A1274" s="275">
        <f>'Profits 2016'!A6487</f>
        <v>3005071</v>
      </c>
      <c r="B1274" s="279">
        <f>'Profits 2016'!B6487</f>
        <v>42664</v>
      </c>
      <c r="C1274" s="276">
        <f>'Profits 2016'!H6487</f>
        <v>215</v>
      </c>
      <c r="D1274" s="280">
        <f>'Profits 2016'!K6487</f>
        <v>191.26500000000001</v>
      </c>
      <c r="E1274" s="276">
        <f>'Profits 2016'!L6487</f>
        <v>622.45000000000005</v>
      </c>
      <c r="F1274" s="275" t="str">
        <f>'Profits 2016'!P6487</f>
        <v>Nassau</v>
      </c>
      <c r="G1274" s="292">
        <f>'Profits 2016'!N6487-'Profits 2016'!M6487</f>
        <v>93.367500000000007</v>
      </c>
      <c r="H1274" s="319"/>
      <c r="I1274" s="320"/>
      <c r="J1274" s="321"/>
      <c r="K1274" s="321"/>
      <c r="L1274" s="321"/>
      <c r="M1274" s="319"/>
      <c r="N1274" s="322"/>
      <c r="O1274" s="236" t="str">
        <f>'Profits 2016'!T6487</f>
        <v>FEDEX GROUND</v>
      </c>
      <c r="P1274" s="284" t="str">
        <f>'Profits 2016'!U6487</f>
        <v>702723290782</v>
      </c>
      <c r="Q1274" s="284" t="s">
        <v>314</v>
      </c>
      <c r="R1274" s="276">
        <v>33.479999999999997</v>
      </c>
      <c r="S1274" s="275" t="s">
        <v>15869</v>
      </c>
      <c r="T1274" s="279">
        <v>42681</v>
      </c>
      <c r="U1274" s="279">
        <v>42688</v>
      </c>
      <c r="V1274" s="279">
        <v>42692</v>
      </c>
      <c r="W1274" s="293">
        <f t="shared" si="157"/>
        <v>33.479999999999997</v>
      </c>
      <c r="X1274" s="236">
        <v>9444</v>
      </c>
      <c r="AF1274" s="276">
        <f t="shared" si="150"/>
        <v>126.8475</v>
      </c>
      <c r="AG1274" s="276">
        <f t="shared" si="151"/>
        <v>33.479999999999997</v>
      </c>
      <c r="AH1274" s="276">
        <f t="shared" si="152"/>
        <v>157.78500000000003</v>
      </c>
      <c r="AI1274" s="283">
        <f t="shared" si="153"/>
        <v>1.2438952285224385</v>
      </c>
    </row>
    <row r="1275" spans="1:35" ht="30" x14ac:dyDescent="0.25">
      <c r="A1275" s="275">
        <f>'Profits 2016'!A6488</f>
        <v>3005072</v>
      </c>
      <c r="B1275" s="279">
        <f>'Profits 2016'!B6488</f>
        <v>42664</v>
      </c>
      <c r="C1275" s="276">
        <f>'Profits 2016'!H6488</f>
        <v>341.55</v>
      </c>
      <c r="D1275" s="280">
        <f>'Profits 2016'!K6488</f>
        <v>304.02105</v>
      </c>
      <c r="E1275" s="276">
        <f>'Profits 2016'!L6488</f>
        <v>1322</v>
      </c>
      <c r="F1275" s="275" t="str">
        <f>'Profits 2016'!P6488</f>
        <v>Nassau</v>
      </c>
      <c r="G1275" s="292">
        <f>'Profits 2016'!N6488-'Profits 2016'!M6488</f>
        <v>198.29999999999998</v>
      </c>
      <c r="H1275" s="319"/>
      <c r="I1275" s="320"/>
      <c r="J1275" s="321"/>
      <c r="K1275" s="321"/>
      <c r="L1275" s="321"/>
      <c r="M1275" s="319"/>
      <c r="N1275" s="322"/>
      <c r="O1275" s="236" t="str">
        <f>'Profits 2016'!T6488</f>
        <v>FEDEX GROUND</v>
      </c>
      <c r="P1275" s="284" t="str">
        <f>'Profits 2016'!U6488</f>
        <v>702723290749</v>
      </c>
      <c r="Q1275" s="284" t="s">
        <v>314</v>
      </c>
      <c r="R1275" s="276">
        <v>32.979999999999997</v>
      </c>
      <c r="S1275" s="275" t="s">
        <v>15869</v>
      </c>
      <c r="T1275" s="279">
        <v>42681</v>
      </c>
      <c r="U1275" s="279">
        <v>42688</v>
      </c>
      <c r="V1275" s="279">
        <v>42692</v>
      </c>
      <c r="W1275" s="293">
        <f t="shared" si="157"/>
        <v>32.979999999999997</v>
      </c>
      <c r="X1275" s="236">
        <v>9444</v>
      </c>
      <c r="AF1275" s="276">
        <f t="shared" si="150"/>
        <v>231.27999999999997</v>
      </c>
      <c r="AG1275" s="276">
        <f t="shared" si="151"/>
        <v>32.979999999999997</v>
      </c>
      <c r="AH1275" s="276">
        <f t="shared" si="152"/>
        <v>271.04104999999998</v>
      </c>
      <c r="AI1275" s="283">
        <f t="shared" si="153"/>
        <v>1.1719173728813561</v>
      </c>
    </row>
    <row r="1276" spans="1:35" ht="30" x14ac:dyDescent="0.25">
      <c r="A1276" s="275">
        <f>'Profits 2016'!A6489</f>
        <v>3005073</v>
      </c>
      <c r="B1276" s="279">
        <f>'Profits 2016'!B6489</f>
        <v>42664</v>
      </c>
      <c r="C1276" s="276">
        <f>'Profits 2016'!H6489</f>
        <v>245</v>
      </c>
      <c r="D1276" s="280">
        <f>'Profits 2016'!K6489</f>
        <v>217.99499999999998</v>
      </c>
      <c r="E1276" s="276">
        <f>'Profits 2016'!L6489</f>
        <v>1322</v>
      </c>
      <c r="F1276" s="275" t="str">
        <f>'Profits 2016'!P6489</f>
        <v>Nassau</v>
      </c>
      <c r="G1276" s="292">
        <f>'Profits 2016'!N6489-'Profits 2016'!M6489</f>
        <v>132.20000000000005</v>
      </c>
      <c r="H1276" s="319"/>
      <c r="I1276" s="320"/>
      <c r="J1276" s="321"/>
      <c r="K1276" s="321"/>
      <c r="L1276" s="321"/>
      <c r="M1276" s="319"/>
      <c r="N1276" s="322"/>
      <c r="O1276" s="236" t="str">
        <f>'Profits 2016'!T6489</f>
        <v>FEDEX GROUND</v>
      </c>
      <c r="P1276" s="284" t="str">
        <f>'Profits 2016'!U6489</f>
        <v>702723290750</v>
      </c>
      <c r="Q1276" s="284" t="s">
        <v>314</v>
      </c>
      <c r="R1276" s="276">
        <v>18.829999999999998</v>
      </c>
      <c r="S1276" s="275" t="s">
        <v>15869</v>
      </c>
      <c r="T1276" s="279">
        <v>42681</v>
      </c>
      <c r="U1276" s="279">
        <v>42688</v>
      </c>
      <c r="V1276" s="279">
        <v>42692</v>
      </c>
      <c r="W1276" s="293">
        <f t="shared" si="157"/>
        <v>18.829999999999998</v>
      </c>
      <c r="X1276" s="236">
        <v>9444</v>
      </c>
      <c r="AF1276" s="276">
        <f t="shared" si="150"/>
        <v>151.03000000000003</v>
      </c>
      <c r="AG1276" s="276">
        <f t="shared" si="151"/>
        <v>18.829999999999998</v>
      </c>
      <c r="AH1276" s="276">
        <f t="shared" si="152"/>
        <v>199.16499999999996</v>
      </c>
      <c r="AI1276" s="283">
        <f t="shared" si="153"/>
        <v>1.3187115142686878</v>
      </c>
    </row>
    <row r="1277" spans="1:35" ht="30" x14ac:dyDescent="0.25">
      <c r="A1277" s="275">
        <f>'Profits 2016'!A6490</f>
        <v>3005074</v>
      </c>
      <c r="B1277" s="279">
        <f>'Profits 2016'!B6490</f>
        <v>42664</v>
      </c>
      <c r="C1277" s="276">
        <f>'Profits 2016'!H6490</f>
        <v>418.52</v>
      </c>
      <c r="D1277" s="280">
        <f>'Profits 2016'!K6490</f>
        <v>372.60131999999999</v>
      </c>
      <c r="E1277" s="276">
        <f>'Profits 2016'!L6490</f>
        <v>450</v>
      </c>
      <c r="F1277" s="275" t="str">
        <f>'Profits 2016'!P6490</f>
        <v>Priority</v>
      </c>
      <c r="G1277" s="292">
        <f>'Profits 2016'!N6490-'Profits 2016'!M6490</f>
        <v>225</v>
      </c>
      <c r="H1277" s="331">
        <v>0</v>
      </c>
      <c r="I1277" s="332">
        <v>1069043</v>
      </c>
      <c r="J1277" s="333">
        <v>42667</v>
      </c>
      <c r="K1277" s="333">
        <v>42675</v>
      </c>
      <c r="L1277" s="333">
        <v>42697</v>
      </c>
      <c r="M1277" s="331">
        <v>225</v>
      </c>
      <c r="N1277" s="334">
        <v>9473</v>
      </c>
      <c r="O1277" s="236" t="str">
        <f>'Profits 2016'!T6490</f>
        <v>FEDEX GROUND</v>
      </c>
      <c r="P1277" s="284" t="str">
        <f>'Profits 2016'!U6490</f>
        <v xml:space="preserve">	574454202645</v>
      </c>
      <c r="Q1277" s="284" t="s">
        <v>15740</v>
      </c>
      <c r="R1277" s="276">
        <v>40.700000000000003</v>
      </c>
      <c r="S1277" s="275">
        <v>1069043</v>
      </c>
      <c r="T1277" s="279">
        <v>42667</v>
      </c>
      <c r="U1277" s="279">
        <v>42675</v>
      </c>
      <c r="V1277" s="279">
        <v>42697</v>
      </c>
      <c r="W1277" s="293">
        <v>40.700000000000003</v>
      </c>
      <c r="X1277" s="236">
        <v>9473</v>
      </c>
      <c r="AF1277" s="276">
        <f t="shared" si="150"/>
        <v>265.7</v>
      </c>
      <c r="AG1277" s="276">
        <f t="shared" si="151"/>
        <v>265.7</v>
      </c>
      <c r="AH1277" s="276">
        <f t="shared" si="152"/>
        <v>106.90132</v>
      </c>
      <c r="AI1277" s="283">
        <f t="shared" si="153"/>
        <v>0.40233842679713966</v>
      </c>
    </row>
    <row r="1278" spans="1:35" ht="30" x14ac:dyDescent="0.25">
      <c r="A1278" s="275">
        <f>'Profits 2016'!A6491</f>
        <v>3005075</v>
      </c>
      <c r="B1278" s="279">
        <f>'Profits 2016'!B6491</f>
        <v>42664</v>
      </c>
      <c r="C1278" s="276">
        <f>'Profits 2016'!H6491</f>
        <v>160.19999999999999</v>
      </c>
      <c r="D1278" s="280">
        <f>'Profits 2016'!K6491</f>
        <v>142.43819999999999</v>
      </c>
      <c r="E1278" s="276">
        <f>'Profits 2016'!L6491</f>
        <v>1035</v>
      </c>
      <c r="F1278" s="275" t="str">
        <f>'Profits 2016'!P6491</f>
        <v>Nassau</v>
      </c>
      <c r="G1278" s="292">
        <f>'Profits 2016'!N6491-'Profits 2016'!M6491</f>
        <v>67.275000000000006</v>
      </c>
      <c r="H1278" s="319"/>
      <c r="I1278" s="320"/>
      <c r="J1278" s="321"/>
      <c r="K1278" s="321"/>
      <c r="L1278" s="321"/>
      <c r="M1278" s="319"/>
      <c r="N1278" s="322"/>
      <c r="O1278" s="236" t="str">
        <f>'Profits 2016'!T6491</f>
        <v>FEDEX GROUND</v>
      </c>
      <c r="P1278" s="284" t="str">
        <f>'Profits 2016'!U6491</f>
        <v>702723290830</v>
      </c>
      <c r="Q1278" s="284" t="s">
        <v>314</v>
      </c>
      <c r="R1278" s="276">
        <v>34.92</v>
      </c>
      <c r="S1278" s="275" t="s">
        <v>15869</v>
      </c>
      <c r="T1278" s="279">
        <v>42681</v>
      </c>
      <c r="U1278" s="279">
        <v>42688</v>
      </c>
      <c r="V1278" s="279">
        <v>42692</v>
      </c>
      <c r="W1278" s="293">
        <f>R1278</f>
        <v>34.92</v>
      </c>
      <c r="X1278" s="236">
        <v>9444</v>
      </c>
      <c r="AF1278" s="276">
        <f t="shared" si="150"/>
        <v>102.19500000000001</v>
      </c>
      <c r="AG1278" s="276">
        <f t="shared" si="151"/>
        <v>34.92</v>
      </c>
      <c r="AH1278" s="276">
        <f t="shared" si="152"/>
        <v>107.51819999999999</v>
      </c>
      <c r="AI1278" s="283">
        <f t="shared" si="153"/>
        <v>1.0520886540437397</v>
      </c>
    </row>
    <row r="1279" spans="1:35" ht="30" x14ac:dyDescent="0.25">
      <c r="A1279" s="275">
        <f>'Profits 2016'!A6492</f>
        <v>3005076</v>
      </c>
      <c r="B1279" s="279">
        <f>'Profits 2016'!B6492</f>
        <v>42664</v>
      </c>
      <c r="C1279" s="276">
        <f>'Profits 2016'!H6492</f>
        <v>122.55</v>
      </c>
      <c r="D1279" s="280">
        <f>'Profits 2016'!K6492</f>
        <v>108.89205</v>
      </c>
      <c r="E1279" s="276">
        <f>'Profits 2016'!L6492</f>
        <v>66</v>
      </c>
      <c r="F1279" s="275" t="str">
        <f>'Profits 2016'!P6492</f>
        <v>Priority</v>
      </c>
      <c r="G1279" s="292">
        <f>'Profits 2016'!N6492-'Profits 2016'!M6492</f>
        <v>66</v>
      </c>
      <c r="H1279" s="331">
        <v>0</v>
      </c>
      <c r="I1279" s="332">
        <v>1068915</v>
      </c>
      <c r="J1279" s="333">
        <v>42664</v>
      </c>
      <c r="K1279" s="333">
        <v>42671</v>
      </c>
      <c r="L1279" s="333">
        <v>42692</v>
      </c>
      <c r="M1279" s="331">
        <v>87.36</v>
      </c>
      <c r="N1279" s="334">
        <v>9450</v>
      </c>
      <c r="O1279" s="236" t="str">
        <f>'Profits 2016'!T6492</f>
        <v>UPS GROUND</v>
      </c>
      <c r="P1279" s="284" t="str">
        <f>'Profits 2016'!U6492</f>
        <v xml:space="preserve">	1Z8802920350148494</v>
      </c>
      <c r="Q1279" s="284" t="s">
        <v>15740</v>
      </c>
      <c r="R1279" s="276">
        <v>21.36</v>
      </c>
      <c r="S1279" s="275">
        <v>1068915</v>
      </c>
      <c r="T1279" s="279">
        <v>42664</v>
      </c>
      <c r="U1279" s="279">
        <v>42671</v>
      </c>
      <c r="AF1279" s="276">
        <f t="shared" si="150"/>
        <v>87.36</v>
      </c>
      <c r="AG1279" s="276">
        <f t="shared" si="151"/>
        <v>108.72</v>
      </c>
      <c r="AH1279" s="276">
        <f t="shared" si="152"/>
        <v>0.1720499999999987</v>
      </c>
      <c r="AI1279" s="283">
        <f t="shared" si="153"/>
        <v>1.9694368131867985E-3</v>
      </c>
    </row>
    <row r="1280" spans="1:35" ht="30" x14ac:dyDescent="0.25">
      <c r="A1280" s="275">
        <f>'Profits 2016'!A6493</f>
        <v>3005077</v>
      </c>
      <c r="B1280" s="279">
        <f>'Profits 2016'!B6493</f>
        <v>42664</v>
      </c>
      <c r="C1280" s="276">
        <f>'Profits 2016'!H6493</f>
        <v>213.77</v>
      </c>
      <c r="D1280" s="280">
        <f>'Profits 2016'!K6493</f>
        <v>190.16907000000003</v>
      </c>
      <c r="E1280" s="276">
        <f>'Profits 2016'!L6493</f>
        <v>2150</v>
      </c>
      <c r="F1280" s="275" t="str">
        <f>'Profits 2016'!P6493</f>
        <v>Nassau</v>
      </c>
      <c r="G1280" s="292">
        <f>'Profits 2016'!N6493-'Profits 2016'!M6493</f>
        <v>107.5</v>
      </c>
      <c r="H1280" s="319"/>
      <c r="I1280" s="320"/>
      <c r="J1280" s="321"/>
      <c r="K1280" s="321"/>
      <c r="L1280" s="321"/>
      <c r="M1280" s="319"/>
      <c r="N1280" s="322"/>
      <c r="O1280" s="236" t="str">
        <f>'Profits 2016'!T6493</f>
        <v>FEDEX GROUND</v>
      </c>
      <c r="P1280" s="284" t="str">
        <f>'Profits 2016'!U6493</f>
        <v>702723290852</v>
      </c>
      <c r="Q1280" s="284" t="s">
        <v>314</v>
      </c>
      <c r="R1280" s="276">
        <v>31.4</v>
      </c>
      <c r="S1280" s="275" t="s">
        <v>15869</v>
      </c>
      <c r="T1280" s="279">
        <v>42681</v>
      </c>
      <c r="U1280" s="279">
        <v>42688</v>
      </c>
      <c r="V1280" s="279">
        <v>42692</v>
      </c>
      <c r="W1280" s="293">
        <f t="shared" ref="W1280:W1281" si="158">R1280</f>
        <v>31.4</v>
      </c>
      <c r="X1280" s="236">
        <v>9444</v>
      </c>
      <c r="AF1280" s="276">
        <f t="shared" si="150"/>
        <v>138.9</v>
      </c>
      <c r="AG1280" s="276">
        <f t="shared" si="151"/>
        <v>31.4</v>
      </c>
      <c r="AH1280" s="276">
        <f t="shared" si="152"/>
        <v>158.76907000000003</v>
      </c>
      <c r="AI1280" s="283">
        <f t="shared" si="153"/>
        <v>1.1430458603311737</v>
      </c>
    </row>
    <row r="1281" spans="1:35" ht="30" x14ac:dyDescent="0.25">
      <c r="A1281" s="275">
        <f>'Profits 2016'!A6494</f>
        <v>3005078</v>
      </c>
      <c r="B1281" s="279">
        <f>'Profits 2016'!B6494</f>
        <v>42664</v>
      </c>
      <c r="C1281" s="276">
        <f>'Profits 2016'!H6494</f>
        <v>245</v>
      </c>
      <c r="D1281" s="280">
        <f>'Profits 2016'!K6494</f>
        <v>217.99499999999998</v>
      </c>
      <c r="E1281" s="276">
        <f>'Profits 2016'!L6494</f>
        <v>1322</v>
      </c>
      <c r="F1281" s="275" t="str">
        <f>'Profits 2016'!P6494</f>
        <v>Nassau</v>
      </c>
      <c r="G1281" s="292">
        <f>'Profits 2016'!N6494-'Profits 2016'!M6494</f>
        <v>132.20000000000002</v>
      </c>
      <c r="H1281" s="319"/>
      <c r="I1281" s="320"/>
      <c r="J1281" s="321"/>
      <c r="K1281" s="321"/>
      <c r="L1281" s="321"/>
      <c r="M1281" s="319"/>
      <c r="N1281" s="322"/>
      <c r="O1281" s="236" t="str">
        <f>'Profits 2016'!T6494</f>
        <v>FEDEX GROUND</v>
      </c>
      <c r="P1281" s="284" t="str">
        <f>'Profits 2016'!U6494</f>
        <v>702723290760</v>
      </c>
      <c r="Q1281" s="284" t="s">
        <v>314</v>
      </c>
      <c r="R1281" s="276">
        <v>37.24</v>
      </c>
      <c r="S1281" s="275" t="s">
        <v>15869</v>
      </c>
      <c r="T1281" s="279">
        <v>42681</v>
      </c>
      <c r="U1281" s="279">
        <v>42688</v>
      </c>
      <c r="V1281" s="279">
        <v>42692</v>
      </c>
      <c r="W1281" s="293">
        <f t="shared" si="158"/>
        <v>37.24</v>
      </c>
      <c r="X1281" s="236">
        <v>9444</v>
      </c>
      <c r="AF1281" s="276">
        <f t="shared" si="150"/>
        <v>169.44000000000003</v>
      </c>
      <c r="AG1281" s="276">
        <f t="shared" si="151"/>
        <v>37.24</v>
      </c>
      <c r="AH1281" s="276">
        <f t="shared" si="152"/>
        <v>180.75499999999997</v>
      </c>
      <c r="AI1281" s="283">
        <f t="shared" si="153"/>
        <v>1.0667788007554293</v>
      </c>
    </row>
    <row r="1282" spans="1:35" x14ac:dyDescent="0.25">
      <c r="A1282" s="275">
        <f>'Profits 2016'!A6495</f>
        <v>3005079</v>
      </c>
      <c r="B1282" s="279">
        <f>'Profits 2016'!B6495</f>
        <v>42664</v>
      </c>
      <c r="C1282" s="276">
        <f>'Profits 2016'!H6495</f>
        <v>390.31</v>
      </c>
      <c r="D1282" s="280">
        <f>'Profits 2016'!K6495</f>
        <v>347.46620999999999</v>
      </c>
      <c r="E1282" s="276">
        <f>'Profits 2016'!L6495</f>
        <v>280</v>
      </c>
      <c r="F1282" s="275" t="str">
        <f>'Profits 2016'!P6495</f>
        <v>ERCO</v>
      </c>
      <c r="G1282" s="292">
        <f>'Profits 2016'!N6495-'Profits 2016'!M6495</f>
        <v>167.44</v>
      </c>
      <c r="H1282" s="331">
        <v>0</v>
      </c>
      <c r="I1282" s="332">
        <v>152409</v>
      </c>
      <c r="J1282" s="333">
        <v>42664</v>
      </c>
      <c r="K1282" s="333">
        <v>42671</v>
      </c>
      <c r="L1282" s="333">
        <v>42692</v>
      </c>
      <c r="M1282" s="331">
        <v>167.44</v>
      </c>
      <c r="N1282" s="334">
        <v>9442</v>
      </c>
      <c r="O1282" s="236" t="str">
        <f>'Profits 2016'!T6495</f>
        <v>UPS</v>
      </c>
      <c r="P1282" s="284" t="str">
        <f>'Profits 2016'!U6495</f>
        <v>1Z7763310371589481</v>
      </c>
      <c r="Q1282" s="284" t="s">
        <v>204</v>
      </c>
      <c r="R1282" s="276">
        <v>119.45</v>
      </c>
      <c r="S1282" s="275" t="s">
        <v>15902</v>
      </c>
      <c r="T1282" s="279">
        <v>42665</v>
      </c>
      <c r="U1282" s="279">
        <v>42669</v>
      </c>
      <c r="V1282" s="279">
        <v>42671</v>
      </c>
      <c r="W1282" s="293">
        <v>119.45</v>
      </c>
      <c r="X1282" s="236">
        <v>9269</v>
      </c>
      <c r="AF1282" s="276">
        <f t="shared" si="150"/>
        <v>286.89</v>
      </c>
      <c r="AG1282" s="276">
        <f t="shared" si="151"/>
        <v>286.89</v>
      </c>
      <c r="AH1282" s="276">
        <f t="shared" si="152"/>
        <v>60.576210000000003</v>
      </c>
      <c r="AI1282" s="283">
        <f t="shared" si="153"/>
        <v>0.2111478615497229</v>
      </c>
    </row>
    <row r="1283" spans="1:35" ht="30" x14ac:dyDescent="0.25">
      <c r="A1283" s="275">
        <f>'Profits 2016'!A6496</f>
        <v>3005080</v>
      </c>
      <c r="B1283" s="279">
        <f>'Profits 2016'!B6496</f>
        <v>42664</v>
      </c>
      <c r="C1283" s="276">
        <f>'Profits 2016'!H6496</f>
        <v>112.68</v>
      </c>
      <c r="D1283" s="280">
        <f>'Profits 2016'!K6496</f>
        <v>95.778000000000006</v>
      </c>
      <c r="E1283" s="276">
        <f>'Profits 2016'!L6496</f>
        <v>990</v>
      </c>
      <c r="F1283" s="275" t="str">
        <f>'Profits 2016'!P6496</f>
        <v>Nassau</v>
      </c>
      <c r="G1283" s="292">
        <f>'Profits 2016'!N6496-'Profits 2016'!M6496</f>
        <v>49.5</v>
      </c>
      <c r="H1283" s="319"/>
      <c r="I1283" s="320"/>
      <c r="J1283" s="321"/>
      <c r="K1283" s="321"/>
      <c r="L1283" s="321"/>
      <c r="M1283" s="319"/>
      <c r="N1283" s="322"/>
      <c r="O1283" s="236" t="str">
        <f>'Profits 2016'!T6496</f>
        <v>FEDEX GROUND</v>
      </c>
      <c r="P1283" s="284" t="str">
        <f>'Profits 2016'!U6496</f>
        <v>702723290819</v>
      </c>
      <c r="Q1283" s="284" t="s">
        <v>314</v>
      </c>
      <c r="R1283" s="276">
        <v>27.56</v>
      </c>
      <c r="S1283" s="275" t="s">
        <v>15873</v>
      </c>
      <c r="T1283" s="279">
        <v>42688</v>
      </c>
      <c r="U1283" s="279">
        <v>42691</v>
      </c>
      <c r="V1283" s="279">
        <v>42697</v>
      </c>
      <c r="W1283" s="293">
        <v>27.56</v>
      </c>
      <c r="X1283" s="236">
        <v>9494</v>
      </c>
      <c r="AF1283" s="276">
        <f t="shared" si="150"/>
        <v>77.06</v>
      </c>
      <c r="AG1283" s="276">
        <f t="shared" si="151"/>
        <v>27.56</v>
      </c>
      <c r="AH1283" s="276">
        <f t="shared" si="152"/>
        <v>68.218000000000004</v>
      </c>
      <c r="AI1283" s="283">
        <f t="shared" si="153"/>
        <v>0.88525824033220868</v>
      </c>
    </row>
    <row r="1284" spans="1:35" ht="30" x14ac:dyDescent="0.25">
      <c r="A1284" s="275">
        <f>'Profits 2016'!A6497</f>
        <v>3005081</v>
      </c>
      <c r="B1284" s="279">
        <f>'Profits 2016'!B6497</f>
        <v>42664</v>
      </c>
      <c r="C1284" s="276">
        <f>'Profits 2016'!H6497</f>
        <v>122.68</v>
      </c>
      <c r="D1284" s="280">
        <f>'Profits 2016'!K6497</f>
        <v>104.27800000000001</v>
      </c>
      <c r="E1284" s="276">
        <f>'Profits 2016'!L6497</f>
        <v>622.45000000000005</v>
      </c>
      <c r="F1284" s="275" t="str">
        <f>'Profits 2016'!P6497</f>
        <v>Nassau</v>
      </c>
      <c r="G1284" s="292">
        <f>'Profits 2016'!N6497-'Profits 2016'!M6497</f>
        <v>62.245000000000005</v>
      </c>
      <c r="H1284" s="319"/>
      <c r="I1284" s="320"/>
      <c r="J1284" s="321"/>
      <c r="K1284" s="321"/>
      <c r="L1284" s="321"/>
      <c r="M1284" s="319"/>
      <c r="N1284" s="322"/>
      <c r="O1284" s="236" t="str">
        <f>'Profits 2016'!T6497</f>
        <v>FEDEX GROUND</v>
      </c>
      <c r="P1284" s="284" t="str">
        <f>'Profits 2016'!U6497</f>
        <v>702723290808</v>
      </c>
      <c r="Q1284" s="284" t="s">
        <v>314</v>
      </c>
      <c r="R1284" s="276">
        <v>25.56</v>
      </c>
      <c r="S1284" s="275" t="s">
        <v>15869</v>
      </c>
      <c r="T1284" s="279">
        <v>42681</v>
      </c>
      <c r="U1284" s="279">
        <v>42688</v>
      </c>
      <c r="V1284" s="279">
        <v>42692</v>
      </c>
      <c r="W1284" s="293">
        <f t="shared" ref="W1284:W1289" si="159">R1284</f>
        <v>25.56</v>
      </c>
      <c r="X1284" s="236">
        <v>9444</v>
      </c>
      <c r="AF1284" s="276">
        <f t="shared" si="150"/>
        <v>87.805000000000007</v>
      </c>
      <c r="AG1284" s="276">
        <f t="shared" si="151"/>
        <v>25.56</v>
      </c>
      <c r="AH1284" s="276">
        <f t="shared" si="152"/>
        <v>78.718000000000004</v>
      </c>
      <c r="AI1284" s="283">
        <f t="shared" si="153"/>
        <v>0.89650931040373549</v>
      </c>
    </row>
    <row r="1285" spans="1:35" ht="30" x14ac:dyDescent="0.25">
      <c r="A1285" s="275">
        <f>'Profits 2016'!A6498</f>
        <v>3005082</v>
      </c>
      <c r="B1285" s="279">
        <f>'Profits 2016'!B6498</f>
        <v>42664</v>
      </c>
      <c r="C1285" s="276">
        <f>'Profits 2016'!H6498</f>
        <v>471.91</v>
      </c>
      <c r="D1285" s="280">
        <f>'Profits 2016'!K6498</f>
        <v>401.12350000000004</v>
      </c>
      <c r="E1285" s="276">
        <f>'Profits 2016'!L6498</f>
        <v>1100</v>
      </c>
      <c r="F1285" s="275" t="str">
        <f>'Profits 2016'!P6498</f>
        <v>Nassau</v>
      </c>
      <c r="G1285" s="292">
        <f>'Profits 2016'!N6498-'Profits 2016'!M6498</f>
        <v>275</v>
      </c>
      <c r="H1285" s="319"/>
      <c r="I1285" s="320"/>
      <c r="J1285" s="321"/>
      <c r="K1285" s="321"/>
      <c r="L1285" s="321"/>
      <c r="M1285" s="319"/>
      <c r="N1285" s="322"/>
      <c r="O1285" s="236" t="str">
        <f>'Profits 2016'!T6498</f>
        <v>FEDEX GROUND</v>
      </c>
      <c r="P1285" s="284" t="str">
        <f>'Profits 2016'!U6498</f>
        <v>702723290771</v>
      </c>
      <c r="Q1285" s="284" t="s">
        <v>314</v>
      </c>
      <c r="R1285" s="276">
        <v>48.86</v>
      </c>
      <c r="S1285" s="275" t="s">
        <v>15869</v>
      </c>
      <c r="T1285" s="279">
        <v>42681</v>
      </c>
      <c r="U1285" s="279">
        <v>42688</v>
      </c>
      <c r="V1285" s="279">
        <v>42692</v>
      </c>
      <c r="W1285" s="293">
        <f t="shared" si="159"/>
        <v>48.86</v>
      </c>
      <c r="X1285" s="236">
        <v>9444</v>
      </c>
      <c r="AF1285" s="276">
        <f t="shared" si="150"/>
        <v>323.86</v>
      </c>
      <c r="AG1285" s="276">
        <f t="shared" si="151"/>
        <v>48.86</v>
      </c>
      <c r="AH1285" s="276">
        <f t="shared" si="152"/>
        <v>352.26350000000002</v>
      </c>
      <c r="AI1285" s="283">
        <f t="shared" si="153"/>
        <v>1.0877030198233806</v>
      </c>
    </row>
    <row r="1286" spans="1:35" ht="30" x14ac:dyDescent="0.25">
      <c r="A1286" s="275">
        <f>'Profits 2016'!A6499</f>
        <v>3005083</v>
      </c>
      <c r="B1286" s="279">
        <f>'Profits 2016'!B6499</f>
        <v>42664</v>
      </c>
      <c r="C1286" s="276">
        <f>'Profits 2016'!H6499</f>
        <v>182.27</v>
      </c>
      <c r="D1286" s="280">
        <f>'Profits 2016'!K6499</f>
        <v>162.10257000000001</v>
      </c>
      <c r="E1286" s="276">
        <f>'Profits 2016'!L6499</f>
        <v>510</v>
      </c>
      <c r="F1286" s="275" t="str">
        <f>'Profits 2016'!P6499</f>
        <v>Nassau</v>
      </c>
      <c r="G1286" s="292">
        <f>'Profits 2016'!N6499-'Profits 2016'!M6499</f>
        <v>89.25</v>
      </c>
      <c r="H1286" s="319"/>
      <c r="I1286" s="320"/>
      <c r="J1286" s="321"/>
      <c r="K1286" s="321"/>
      <c r="L1286" s="321"/>
      <c r="M1286" s="319"/>
      <c r="N1286" s="322"/>
      <c r="O1286" s="236" t="str">
        <f>'Profits 2016'!T6499</f>
        <v>FEDEX GROUND</v>
      </c>
      <c r="P1286" s="284" t="str">
        <f>'Profits 2016'!U6499</f>
        <v>680483360564</v>
      </c>
      <c r="Q1286" s="284" t="s">
        <v>314</v>
      </c>
      <c r="R1286" s="276">
        <v>26.71</v>
      </c>
      <c r="S1286" s="275" t="s">
        <v>15869</v>
      </c>
      <c r="T1286" s="279">
        <v>42681</v>
      </c>
      <c r="U1286" s="279">
        <v>42688</v>
      </c>
      <c r="V1286" s="279">
        <v>42692</v>
      </c>
      <c r="W1286" s="293">
        <f t="shared" si="159"/>
        <v>26.71</v>
      </c>
      <c r="X1286" s="236">
        <v>9444</v>
      </c>
      <c r="AF1286" s="276">
        <f t="shared" si="150"/>
        <v>115.96000000000001</v>
      </c>
      <c r="AG1286" s="276">
        <f t="shared" si="151"/>
        <v>26.71</v>
      </c>
      <c r="AH1286" s="276">
        <f t="shared" si="152"/>
        <v>135.39257000000001</v>
      </c>
      <c r="AI1286" s="283">
        <f t="shared" si="153"/>
        <v>1.1675799413590893</v>
      </c>
    </row>
    <row r="1287" spans="1:35" ht="30" x14ac:dyDescent="0.25">
      <c r="A1287" s="275">
        <f>'Profits 2016'!A6500</f>
        <v>3005084</v>
      </c>
      <c r="B1287" s="279">
        <f>'Profits 2016'!B6500</f>
        <v>42664</v>
      </c>
      <c r="C1287" s="276">
        <f>'Profits 2016'!H6500</f>
        <v>178.36</v>
      </c>
      <c r="D1287" s="280">
        <f>'Profits 2016'!K6500</f>
        <v>151.60600000000002</v>
      </c>
      <c r="E1287" s="276">
        <f>'Profits 2016'!L6500</f>
        <v>1180</v>
      </c>
      <c r="F1287" s="275" t="str">
        <f>'Profits 2016'!P6500</f>
        <v>Direct</v>
      </c>
      <c r="G1287" s="292">
        <f>'Profits 2016'!N6500-'Profits 2016'!M6500</f>
        <v>59</v>
      </c>
      <c r="H1287" s="292">
        <v>0</v>
      </c>
      <c r="I1287" s="275">
        <v>75015</v>
      </c>
      <c r="J1287" s="277">
        <v>42667</v>
      </c>
      <c r="K1287" s="277">
        <v>42670</v>
      </c>
      <c r="L1287" s="333">
        <v>42671</v>
      </c>
      <c r="M1287" s="331">
        <v>115.64</v>
      </c>
      <c r="N1287" s="334">
        <v>9275</v>
      </c>
      <c r="O1287" s="236" t="str">
        <f>'Profits 2016'!T6500</f>
        <v>FEDEX GROUND</v>
      </c>
      <c r="P1287" s="284" t="str">
        <f>'Profits 2016'!U6500</f>
        <v>630512245442</v>
      </c>
      <c r="Q1287" s="284" t="s">
        <v>314</v>
      </c>
      <c r="R1287" s="276">
        <v>24.13</v>
      </c>
      <c r="S1287" s="275" t="s">
        <v>15869</v>
      </c>
      <c r="T1287" s="279">
        <v>42681</v>
      </c>
      <c r="U1287" s="279">
        <v>42688</v>
      </c>
      <c r="V1287" s="279">
        <v>42692</v>
      </c>
      <c r="W1287" s="293">
        <f t="shared" si="159"/>
        <v>24.13</v>
      </c>
      <c r="X1287" s="236">
        <v>9444</v>
      </c>
      <c r="AF1287" s="276">
        <f t="shared" si="150"/>
        <v>83.13</v>
      </c>
      <c r="AG1287" s="276">
        <f t="shared" si="151"/>
        <v>139.77000000000001</v>
      </c>
      <c r="AH1287" s="276">
        <f t="shared" si="152"/>
        <v>11.836000000000013</v>
      </c>
      <c r="AI1287" s="283">
        <f t="shared" si="153"/>
        <v>0.14237940575003025</v>
      </c>
    </row>
    <row r="1288" spans="1:35" x14ac:dyDescent="0.25">
      <c r="A1288" s="275">
        <f>'Profits 2016'!A6501</f>
        <v>0</v>
      </c>
      <c r="B1288" s="279">
        <f>'Profits 2016'!B6501</f>
        <v>0</v>
      </c>
      <c r="C1288" s="276">
        <f>'Profits 2016'!H6501</f>
        <v>0</v>
      </c>
      <c r="D1288" s="280">
        <f>'Profits 2016'!K6501</f>
        <v>0</v>
      </c>
      <c r="E1288" s="276">
        <f>'Profits 2016'!L6501</f>
        <v>1180</v>
      </c>
      <c r="F1288" s="275" t="str">
        <f>'Profits 2016'!P6501</f>
        <v>Direct</v>
      </c>
      <c r="G1288" s="292">
        <f>'Profits 2016'!N6501-'Profits 2016'!M6501</f>
        <v>59</v>
      </c>
      <c r="H1288" s="292">
        <v>0</v>
      </c>
      <c r="I1288" s="275">
        <v>75015</v>
      </c>
      <c r="J1288" s="277">
        <v>42667</v>
      </c>
      <c r="K1288" s="277">
        <v>42670</v>
      </c>
      <c r="L1288" s="333">
        <v>42671</v>
      </c>
      <c r="M1288" s="331">
        <v>0</v>
      </c>
      <c r="N1288" s="334">
        <v>9275</v>
      </c>
      <c r="O1288" s="236">
        <f>'Profits 2016'!T6501</f>
        <v>0</v>
      </c>
      <c r="P1288" s="284">
        <f>'Profits 2016'!U6501</f>
        <v>0</v>
      </c>
      <c r="AF1288" s="276">
        <f t="shared" si="150"/>
        <v>59</v>
      </c>
      <c r="AG1288" s="276">
        <f t="shared" si="151"/>
        <v>0</v>
      </c>
      <c r="AH1288" s="276">
        <f t="shared" si="152"/>
        <v>0</v>
      </c>
      <c r="AI1288" s="283">
        <f t="shared" si="153"/>
        <v>0</v>
      </c>
    </row>
    <row r="1289" spans="1:35" ht="30" x14ac:dyDescent="0.25">
      <c r="A1289" s="275">
        <f>'Profits 2016'!A6502</f>
        <v>3005085</v>
      </c>
      <c r="B1289" s="279">
        <f>'Profits 2016'!B6502</f>
        <v>42664</v>
      </c>
      <c r="C1289" s="276">
        <f>'Profits 2016'!H6502</f>
        <v>168.04</v>
      </c>
      <c r="D1289" s="280">
        <f>'Profits 2016'!K6502</f>
        <v>142.834</v>
      </c>
      <c r="E1289" s="276">
        <f>'Profits 2016'!L6502</f>
        <v>2150</v>
      </c>
      <c r="F1289" s="275" t="str">
        <f>'Profits 2016'!P6502</f>
        <v>Nassau</v>
      </c>
      <c r="G1289" s="292">
        <f>'Profits 2016'!N6502-'Profits 2016'!M6502</f>
        <v>107.5</v>
      </c>
      <c r="H1289" s="319"/>
      <c r="I1289" s="320"/>
      <c r="J1289" s="321"/>
      <c r="K1289" s="321"/>
      <c r="L1289" s="321"/>
      <c r="M1289" s="319"/>
      <c r="N1289" s="322"/>
      <c r="O1289" s="236" t="str">
        <f>'Profits 2016'!T6502</f>
        <v>FEDEX GROUND</v>
      </c>
      <c r="P1289" s="284" t="str">
        <f>'Profits 2016'!U6502</f>
        <v>702723290841</v>
      </c>
      <c r="Q1289" s="284" t="s">
        <v>314</v>
      </c>
      <c r="R1289" s="276">
        <v>30.84</v>
      </c>
      <c r="S1289" s="275" t="s">
        <v>15869</v>
      </c>
      <c r="T1289" s="279">
        <v>42681</v>
      </c>
      <c r="U1289" s="279">
        <v>42688</v>
      </c>
      <c r="V1289" s="279">
        <v>42692</v>
      </c>
      <c r="W1289" s="293">
        <f t="shared" si="159"/>
        <v>30.84</v>
      </c>
      <c r="X1289" s="236">
        <v>9444</v>
      </c>
      <c r="AF1289" s="276">
        <f t="shared" si="150"/>
        <v>138.34</v>
      </c>
      <c r="AG1289" s="276">
        <f t="shared" si="151"/>
        <v>30.84</v>
      </c>
      <c r="AH1289" s="276">
        <f t="shared" si="152"/>
        <v>111.994</v>
      </c>
      <c r="AI1289" s="283">
        <f t="shared" si="153"/>
        <v>0.80955616596790514</v>
      </c>
    </row>
    <row r="1290" spans="1:35" ht="30" x14ac:dyDescent="0.25">
      <c r="A1290" s="275">
        <f>'Profits 2016'!A6503</f>
        <v>3005086</v>
      </c>
      <c r="B1290" s="279">
        <f>'Profits 2016'!B6503</f>
        <v>42664</v>
      </c>
      <c r="C1290" s="276">
        <f>'Profits 2016'!H6503</f>
        <v>107.91</v>
      </c>
      <c r="D1290" s="280">
        <f>'Profits 2016'!K6503</f>
        <v>91.723500000000001</v>
      </c>
      <c r="E1290" s="276">
        <f>'Profits 2016'!L6503</f>
        <v>754</v>
      </c>
      <c r="F1290" s="275" t="str">
        <f>'Profits 2016'!P6503</f>
        <v>Direct</v>
      </c>
      <c r="G1290" s="292">
        <f>'Profits 2016'!N6503-'Profits 2016'!M6503</f>
        <v>75.400000000000006</v>
      </c>
      <c r="H1290" s="292">
        <v>0</v>
      </c>
      <c r="I1290" s="275">
        <v>75030</v>
      </c>
      <c r="J1290" s="277">
        <v>42667</v>
      </c>
      <c r="K1290" s="277">
        <v>42670</v>
      </c>
      <c r="L1290" s="333">
        <v>42671</v>
      </c>
      <c r="M1290" s="331">
        <v>73.89</v>
      </c>
      <c r="N1290" s="334">
        <v>9275</v>
      </c>
      <c r="O1290" s="236" t="str">
        <f>'Profits 2016'!T6503</f>
        <v>FEDEX GROUND</v>
      </c>
      <c r="P1290" s="284" t="str">
        <f>'Profits 2016'!U6503</f>
        <v>642286529290</v>
      </c>
      <c r="Q1290" s="284" t="s">
        <v>314</v>
      </c>
      <c r="R1290" s="276">
        <v>23.5</v>
      </c>
      <c r="S1290" s="275" t="s">
        <v>15869</v>
      </c>
      <c r="T1290" s="279">
        <v>42681</v>
      </c>
      <c r="U1290" s="279">
        <v>42688</v>
      </c>
      <c r="V1290" s="279">
        <v>42692</v>
      </c>
      <c r="W1290" s="293">
        <f>R1290</f>
        <v>23.5</v>
      </c>
      <c r="X1290" s="236">
        <v>9444</v>
      </c>
      <c r="AF1290" s="276">
        <f t="shared" si="150"/>
        <v>98.9</v>
      </c>
      <c r="AG1290" s="276">
        <f t="shared" si="151"/>
        <v>97.39</v>
      </c>
      <c r="AH1290" s="276">
        <f t="shared" si="152"/>
        <v>-5.6664999999999992</v>
      </c>
      <c r="AI1290" s="283">
        <f t="shared" si="153"/>
        <v>-5.7295247724974713E-2</v>
      </c>
    </row>
    <row r="1291" spans="1:35" ht="30" x14ac:dyDescent="0.25">
      <c r="A1291" s="275">
        <f>'Profits 2016'!A6504</f>
        <v>3005087</v>
      </c>
      <c r="B1291" s="279">
        <f>'Profits 2016'!B6504</f>
        <v>42664</v>
      </c>
      <c r="C1291" s="276">
        <f>'Profits 2016'!H6504</f>
        <v>245</v>
      </c>
      <c r="D1291" s="280">
        <f>'Profits 2016'!K6504</f>
        <v>217.99499999999998</v>
      </c>
      <c r="E1291" s="276">
        <f>'Profits 2016'!L6504</f>
        <v>1322</v>
      </c>
      <c r="F1291" s="275" t="str">
        <f>'Profits 2016'!P6504</f>
        <v>Nassau</v>
      </c>
      <c r="G1291" s="292">
        <f>'Profits 2016'!N6504-'Profits 2016'!M6504</f>
        <v>132.20000000000002</v>
      </c>
      <c r="H1291" s="319"/>
      <c r="I1291" s="320"/>
      <c r="J1291" s="321"/>
      <c r="K1291" s="321"/>
      <c r="L1291" s="321"/>
      <c r="M1291" s="319"/>
      <c r="N1291" s="322"/>
      <c r="O1291" s="236" t="str">
        <f>'Profits 2016'!T6504</f>
        <v>FEDEX GROUND</v>
      </c>
      <c r="P1291" s="284" t="str">
        <f>'Profits 2016'!U6504</f>
        <v>702723290863</v>
      </c>
      <c r="Q1291" s="284" t="s">
        <v>314</v>
      </c>
      <c r="R1291" s="276">
        <v>38.78</v>
      </c>
      <c r="S1291" s="275" t="s">
        <v>15873</v>
      </c>
      <c r="T1291" s="279">
        <v>42688</v>
      </c>
      <c r="U1291" s="279">
        <v>42691</v>
      </c>
      <c r="V1291" s="279">
        <v>42697</v>
      </c>
      <c r="W1291" s="293">
        <f>R1291</f>
        <v>38.78</v>
      </c>
      <c r="X1291" s="236">
        <v>9494</v>
      </c>
      <c r="AF1291" s="276">
        <f t="shared" si="150"/>
        <v>170.98000000000002</v>
      </c>
      <c r="AG1291" s="276">
        <f t="shared" si="151"/>
        <v>38.78</v>
      </c>
      <c r="AH1291" s="276">
        <f t="shared" si="152"/>
        <v>179.21499999999997</v>
      </c>
      <c r="AI1291" s="283">
        <f t="shared" si="153"/>
        <v>1.0481635278979995</v>
      </c>
    </row>
    <row r="1292" spans="1:35" ht="30" x14ac:dyDescent="0.25">
      <c r="A1292" s="275">
        <f>'Profits 2016'!A6505</f>
        <v>3005088</v>
      </c>
      <c r="B1292" s="279">
        <f>'Profits 2016'!B6505</f>
        <v>42664</v>
      </c>
      <c r="C1292" s="276">
        <f>'Profits 2016'!H6505</f>
        <v>118.75</v>
      </c>
      <c r="D1292" s="280">
        <f>'Profits 2016'!K6505</f>
        <v>105.50624999999999</v>
      </c>
      <c r="E1292" s="276">
        <f>'Profits 2016'!L6505</f>
        <v>123</v>
      </c>
      <c r="F1292" s="275" t="str">
        <f>'Profits 2016'!P6505</f>
        <v>Priority</v>
      </c>
      <c r="G1292" s="292">
        <f>'Profits 2016'!N6505-'Profits 2016'!M6505</f>
        <v>61.5</v>
      </c>
      <c r="H1292" s="331">
        <v>0</v>
      </c>
      <c r="I1292" s="332">
        <v>1069071</v>
      </c>
      <c r="J1292" s="333">
        <v>42667</v>
      </c>
      <c r="K1292" s="333">
        <v>42675</v>
      </c>
      <c r="L1292" s="333">
        <v>42697</v>
      </c>
      <c r="M1292" s="331">
        <v>61.5</v>
      </c>
      <c r="N1292" s="334">
        <v>9474</v>
      </c>
      <c r="O1292" s="236" t="str">
        <f>'Profits 2016'!T6505</f>
        <v>UPS GROUND</v>
      </c>
      <c r="P1292" s="284" t="str">
        <f>'Profits 2016'!U6505</f>
        <v xml:space="preserve">	1ZA6253X0340985467</v>
      </c>
      <c r="Q1292" s="284" t="s">
        <v>15740</v>
      </c>
      <c r="R1292" s="276">
        <v>18.03</v>
      </c>
      <c r="S1292" s="275">
        <v>1069071</v>
      </c>
      <c r="T1292" s="279">
        <v>42667</v>
      </c>
      <c r="U1292" s="279">
        <v>42675</v>
      </c>
      <c r="V1292" s="279">
        <v>42697</v>
      </c>
      <c r="W1292" s="293">
        <v>18.03</v>
      </c>
      <c r="X1292" s="236">
        <v>9474</v>
      </c>
      <c r="AF1292" s="276">
        <f t="shared" si="150"/>
        <v>79.53</v>
      </c>
      <c r="AG1292" s="276">
        <f t="shared" si="151"/>
        <v>79.53</v>
      </c>
      <c r="AH1292" s="276">
        <f t="shared" si="152"/>
        <v>25.976249999999993</v>
      </c>
      <c r="AI1292" s="283">
        <f t="shared" si="153"/>
        <v>0.32662202942285923</v>
      </c>
    </row>
    <row r="1293" spans="1:35" ht="30" x14ac:dyDescent="0.25">
      <c r="A1293" s="275">
        <f>'Profits 2016'!A6506</f>
        <v>3005089</v>
      </c>
      <c r="B1293" s="279">
        <f>'Profits 2016'!B6506</f>
        <v>42664</v>
      </c>
      <c r="C1293" s="276">
        <f>'Profits 2016'!H6506</f>
        <v>163.35</v>
      </c>
      <c r="D1293" s="280">
        <f>'Profits 2016'!K6506</f>
        <v>145.24484999999999</v>
      </c>
      <c r="E1293" s="276">
        <f>'Profits 2016'!L6506</f>
        <v>175</v>
      </c>
      <c r="F1293" s="275" t="str">
        <f>'Profits 2016'!P6506</f>
        <v>Priority</v>
      </c>
      <c r="G1293" s="292">
        <f>'Profits 2016'!N6506-'Profits 2016'!M6506</f>
        <v>87.5</v>
      </c>
      <c r="H1293" s="331">
        <v>0</v>
      </c>
      <c r="I1293" s="332">
        <v>1069313</v>
      </c>
      <c r="J1293" s="333">
        <v>42667</v>
      </c>
      <c r="K1293" s="333">
        <v>42675</v>
      </c>
      <c r="L1293" s="333">
        <v>42697</v>
      </c>
      <c r="M1293" s="331">
        <v>87.5</v>
      </c>
      <c r="N1293" s="334">
        <v>9473</v>
      </c>
      <c r="O1293" s="236" t="str">
        <f>'Profits 2016'!T6506</f>
        <v>UPS GROUND</v>
      </c>
      <c r="P1293" s="284" t="str">
        <f>'Profits 2016'!U6506</f>
        <v xml:space="preserve">	1Z8802920351620300</v>
      </c>
      <c r="Q1293" s="284" t="s">
        <v>15740</v>
      </c>
      <c r="R1293" s="276">
        <v>22.72</v>
      </c>
      <c r="S1293" s="275">
        <v>1069313</v>
      </c>
      <c r="T1293" s="279">
        <v>42667</v>
      </c>
      <c r="U1293" s="279">
        <v>42675</v>
      </c>
      <c r="V1293" s="279">
        <v>42697</v>
      </c>
      <c r="W1293" s="293">
        <v>22.72</v>
      </c>
      <c r="X1293" s="236">
        <v>9473</v>
      </c>
      <c r="AF1293" s="276">
        <f t="shared" si="150"/>
        <v>110.22</v>
      </c>
      <c r="AG1293" s="276">
        <f t="shared" si="151"/>
        <v>110.22</v>
      </c>
      <c r="AH1293" s="276">
        <f t="shared" si="152"/>
        <v>35.024849999999986</v>
      </c>
      <c r="AI1293" s="283">
        <f t="shared" si="153"/>
        <v>0.31777218290691334</v>
      </c>
    </row>
    <row r="1294" spans="1:35" ht="30" x14ac:dyDescent="0.25">
      <c r="A1294" s="275">
        <f>'Profits 2016'!A6507</f>
        <v>3005090</v>
      </c>
      <c r="B1294" s="279">
        <f>'Profits 2016'!B6507</f>
        <v>42664</v>
      </c>
      <c r="C1294" s="276">
        <f>'Profits 2016'!H6507</f>
        <v>227.48</v>
      </c>
      <c r="D1294" s="280">
        <f>'Profits 2016'!K6507</f>
        <v>202.38468</v>
      </c>
      <c r="E1294" s="276">
        <f>'Profits 2016'!L6507</f>
        <v>900</v>
      </c>
      <c r="F1294" s="275" t="str">
        <f>'Profits 2016'!P6507</f>
        <v>Nassau</v>
      </c>
      <c r="G1294" s="292">
        <f>'Profits 2016'!N6507-'Profits 2016'!M6507</f>
        <v>90</v>
      </c>
      <c r="H1294" s="319"/>
      <c r="I1294" s="320"/>
      <c r="J1294" s="321"/>
      <c r="K1294" s="321"/>
      <c r="L1294" s="321"/>
      <c r="M1294" s="319"/>
      <c r="N1294" s="322"/>
      <c r="O1294" s="236" t="str">
        <f>'Profits 2016'!T6507</f>
        <v>FEDEX GROUND</v>
      </c>
      <c r="P1294" s="284" t="str">
        <f>'Profits 2016'!U6507</f>
        <v>680483360623</v>
      </c>
      <c r="Q1294" s="284" t="s">
        <v>314</v>
      </c>
      <c r="R1294" s="276">
        <v>37.19</v>
      </c>
      <c r="S1294" s="275" t="s">
        <v>15869</v>
      </c>
      <c r="T1294" s="279">
        <v>42681</v>
      </c>
      <c r="U1294" s="279">
        <v>42688</v>
      </c>
      <c r="V1294" s="279">
        <v>42692</v>
      </c>
      <c r="W1294" s="293">
        <f>R1294</f>
        <v>37.19</v>
      </c>
      <c r="X1294" s="236">
        <v>9444</v>
      </c>
      <c r="AF1294" s="276">
        <f t="shared" si="150"/>
        <v>127.19</v>
      </c>
      <c r="AG1294" s="276">
        <f t="shared" si="151"/>
        <v>37.19</v>
      </c>
      <c r="AH1294" s="276">
        <f t="shared" si="152"/>
        <v>165.19468000000001</v>
      </c>
      <c r="AI1294" s="283">
        <f t="shared" si="153"/>
        <v>1.2988024215740233</v>
      </c>
    </row>
    <row r="1295" spans="1:35" ht="30" x14ac:dyDescent="0.25">
      <c r="A1295" s="275">
        <f>'Profits 2016'!A6508</f>
        <v>3005091</v>
      </c>
      <c r="B1295" s="279">
        <f>'Profits 2016'!B6508</f>
        <v>42664</v>
      </c>
      <c r="C1295" s="276">
        <f>'Profits 2016'!H6508</f>
        <v>274.01</v>
      </c>
      <c r="D1295" s="280">
        <f>'Profits 2016'!K6508</f>
        <v>243.84290999999999</v>
      </c>
      <c r="E1295" s="276">
        <f>'Profits 2016'!L6508</f>
        <v>201</v>
      </c>
      <c r="F1295" s="275" t="str">
        <f>'Profits 2016'!P6508</f>
        <v>Nassau</v>
      </c>
      <c r="G1295" s="292">
        <f>'Profits 2016'!N6508-'Profits 2016'!M6508</f>
        <v>75.375</v>
      </c>
      <c r="H1295" s="319"/>
      <c r="I1295" s="320"/>
      <c r="J1295" s="321"/>
      <c r="K1295" s="321"/>
      <c r="L1295" s="321"/>
      <c r="M1295" s="319"/>
      <c r="N1295" s="322"/>
      <c r="O1295" s="236" t="str">
        <f>'Profits 2016'!T6508</f>
        <v>FEDEX GROUND</v>
      </c>
      <c r="P1295" s="284" t="str">
        <f>'Profits 2016'!U6508</f>
        <v>702723290955</v>
      </c>
      <c r="Q1295" s="284" t="s">
        <v>314</v>
      </c>
      <c r="R1295" s="276">
        <v>18.07</v>
      </c>
      <c r="S1295" s="275" t="s">
        <v>15873</v>
      </c>
      <c r="T1295" s="279">
        <v>42688</v>
      </c>
      <c r="U1295" s="279">
        <v>42691</v>
      </c>
      <c r="V1295" s="279">
        <v>42697</v>
      </c>
      <c r="W1295" s="293">
        <v>18.07</v>
      </c>
      <c r="X1295" s="236">
        <v>9494</v>
      </c>
      <c r="AF1295" s="276">
        <f t="shared" si="150"/>
        <v>93.444999999999993</v>
      </c>
      <c r="AG1295" s="276">
        <f t="shared" si="151"/>
        <v>18.07</v>
      </c>
      <c r="AH1295" s="276">
        <f t="shared" si="152"/>
        <v>225.77291</v>
      </c>
      <c r="AI1295" s="283">
        <f t="shared" si="153"/>
        <v>2.4161047675103005</v>
      </c>
    </row>
    <row r="1296" spans="1:35" ht="30" x14ac:dyDescent="0.25">
      <c r="A1296" s="275">
        <f>'Profits 2016'!A6509</f>
        <v>3005092</v>
      </c>
      <c r="B1296" s="279">
        <f>'Profits 2016'!B6509</f>
        <v>42664</v>
      </c>
      <c r="C1296" s="276">
        <f>'Profits 2016'!H6509</f>
        <v>637</v>
      </c>
      <c r="D1296" s="280">
        <f>'Profits 2016'!K6509</f>
        <v>567.26699999999994</v>
      </c>
      <c r="E1296" s="276">
        <f>'Profits 2016'!L6509</f>
        <v>2200</v>
      </c>
      <c r="F1296" s="275" t="str">
        <f>'Profits 2016'!P6509</f>
        <v>Direct</v>
      </c>
      <c r="G1296" s="292">
        <f>'Profits 2016'!N6509-'Profits 2016'!M6509</f>
        <v>440</v>
      </c>
      <c r="H1296" s="292">
        <v>0</v>
      </c>
      <c r="I1296" s="275">
        <v>75033</v>
      </c>
      <c r="J1296" s="277">
        <v>42667</v>
      </c>
      <c r="K1296" s="277">
        <v>42670</v>
      </c>
      <c r="L1296" s="333">
        <v>42671</v>
      </c>
      <c r="M1296" s="331">
        <v>431.2</v>
      </c>
      <c r="N1296" s="334">
        <v>9275</v>
      </c>
      <c r="O1296" s="236" t="str">
        <f>'Profits 2016'!T6509</f>
        <v>UPS GROUND</v>
      </c>
      <c r="P1296" s="284" t="str">
        <f>'Profits 2016'!U6509</f>
        <v>1Z2561890341988296</v>
      </c>
      <c r="V1296" s="279">
        <v>42685</v>
      </c>
      <c r="W1296" s="293">
        <v>0</v>
      </c>
      <c r="X1296" s="236">
        <v>9399</v>
      </c>
      <c r="AF1296" s="276">
        <f t="shared" si="150"/>
        <v>440</v>
      </c>
      <c r="AG1296" s="276">
        <f t="shared" si="151"/>
        <v>431.2</v>
      </c>
      <c r="AH1296" s="276">
        <f t="shared" si="152"/>
        <v>136.06699999999995</v>
      </c>
      <c r="AI1296" s="283">
        <f t="shared" si="153"/>
        <v>0.30924318181818172</v>
      </c>
    </row>
    <row r="1297" spans="1:35" ht="45" x14ac:dyDescent="0.25">
      <c r="A1297" s="275">
        <f>'Profits 2016'!A6510</f>
        <v>3005093</v>
      </c>
      <c r="B1297" s="279">
        <f>'Profits 2016'!B6510</f>
        <v>42664</v>
      </c>
      <c r="C1297" s="276">
        <f>'Profits 2016'!H6510</f>
        <v>2000</v>
      </c>
      <c r="D1297" s="280">
        <f>'Profits 2016'!K6510</f>
        <v>1955.7</v>
      </c>
      <c r="E1297" s="276">
        <f>'Profits 2016'!L6510</f>
        <v>1150</v>
      </c>
      <c r="F1297" s="275" t="str">
        <f>'Profits 2016'!P6510</f>
        <v>Priority</v>
      </c>
      <c r="G1297" s="292">
        <f>'Profits 2016'!N6510-'Profits 2016'!M6510</f>
        <v>344.99999999999989</v>
      </c>
      <c r="H1297" s="331">
        <v>0</v>
      </c>
      <c r="I1297" s="332">
        <v>1069063</v>
      </c>
      <c r="J1297" s="333">
        <v>42667</v>
      </c>
      <c r="K1297" s="333">
        <v>42675</v>
      </c>
      <c r="L1297" s="333">
        <v>42697</v>
      </c>
      <c r="M1297" s="331">
        <v>345</v>
      </c>
      <c r="N1297" s="334">
        <v>9473</v>
      </c>
      <c r="O1297" s="236" t="str">
        <f>'Profits 2016'!T6510</f>
        <v>UPS 2ND DAY AIR</v>
      </c>
      <c r="P1297" s="284" t="str">
        <f>'Profits 2016'!U6510</f>
        <v>1Z2XF3870244213920, 	1Z2XF3870243116537,  1Z2XF3870244426343</v>
      </c>
      <c r="Q1297" s="284" t="s">
        <v>15740</v>
      </c>
      <c r="R1297" s="276">
        <v>884.91</v>
      </c>
      <c r="S1297" s="275">
        <v>1069063</v>
      </c>
      <c r="T1297" s="279">
        <v>42667</v>
      </c>
      <c r="U1297" s="279">
        <v>42675</v>
      </c>
      <c r="V1297" s="279">
        <v>42697</v>
      </c>
      <c r="W1297" s="293">
        <v>884.91</v>
      </c>
      <c r="X1297" s="236">
        <v>9473</v>
      </c>
      <c r="AF1297" s="276">
        <f t="shared" ref="AF1297:AF1360" si="160">G1297+H1298+R1297+Y1297</f>
        <v>1229.9099999999999</v>
      </c>
      <c r="AG1297" s="276">
        <f t="shared" ref="AG1297:AG1360" si="161">M1297+R1297+Y1297</f>
        <v>1229.9099999999999</v>
      </c>
      <c r="AH1297" s="276">
        <f t="shared" ref="AH1297:AH1360" si="162">D1297-AG1297</f>
        <v>725.79000000000019</v>
      </c>
      <c r="AI1297" s="283">
        <f t="shared" ref="AI1297:AI1360" si="163">AH1297/AF1297</f>
        <v>0.59011634997682783</v>
      </c>
    </row>
    <row r="1298" spans="1:35" x14ac:dyDescent="0.25">
      <c r="A1298" s="275">
        <f>'Profits 2016'!A6511</f>
        <v>3005094</v>
      </c>
      <c r="B1298" s="279">
        <f>'Profits 2016'!B6511</f>
        <v>42664</v>
      </c>
      <c r="C1298" s="276">
        <f>'Profits 2016'!H6511</f>
        <v>3800</v>
      </c>
      <c r="D1298" s="280">
        <f>'Profits 2016'!K6511</f>
        <v>3676.2</v>
      </c>
      <c r="E1298" s="276">
        <f>'Profits 2016'!L6511</f>
        <v>1880</v>
      </c>
      <c r="F1298" s="275" t="str">
        <f>'Profits 2016'!P6511</f>
        <v>Nexans</v>
      </c>
      <c r="G1298" s="292">
        <f>'Profits 2016'!N6511-'Profits 2016'!M6511</f>
        <v>939.99999999999989</v>
      </c>
      <c r="H1298" s="331">
        <v>0</v>
      </c>
      <c r="I1298" s="332">
        <v>47516202</v>
      </c>
      <c r="J1298" s="333">
        <v>42670</v>
      </c>
      <c r="K1298" s="333">
        <v>42676</v>
      </c>
      <c r="L1298" s="333"/>
      <c r="M1298" s="331"/>
      <c r="N1298" s="334"/>
      <c r="O1298" s="236" t="str">
        <f>'Profits 2016'!T6511</f>
        <v>UPS/DLS</v>
      </c>
      <c r="P1298" s="284" t="str">
        <f>'Profits 2016'!U6511</f>
        <v>854017220</v>
      </c>
      <c r="Q1298" s="284" t="s">
        <v>15804</v>
      </c>
      <c r="R1298" s="276">
        <v>315.39</v>
      </c>
      <c r="S1298" s="275">
        <v>636941183</v>
      </c>
      <c r="T1298" s="279">
        <v>42683</v>
      </c>
      <c r="U1298" s="279">
        <v>42688</v>
      </c>
      <c r="V1298" s="279">
        <v>42692</v>
      </c>
      <c r="W1298" s="293">
        <f t="shared" ref="W1298:W1304" si="164">R1298</f>
        <v>315.39</v>
      </c>
      <c r="X1298" s="236">
        <v>9454</v>
      </c>
      <c r="AF1298" s="276">
        <f t="shared" si="160"/>
        <v>1255.3899999999999</v>
      </c>
      <c r="AG1298" s="276">
        <f t="shared" si="161"/>
        <v>315.39</v>
      </c>
      <c r="AH1298" s="276">
        <f t="shared" si="162"/>
        <v>3360.81</v>
      </c>
      <c r="AI1298" s="283">
        <f t="shared" si="163"/>
        <v>2.6771043261456602</v>
      </c>
    </row>
    <row r="1299" spans="1:35" x14ac:dyDescent="0.25">
      <c r="A1299" s="275">
        <f>'Profits 2016'!A6512</f>
        <v>0</v>
      </c>
      <c r="B1299" s="279">
        <f>'Profits 2016'!B6512</f>
        <v>0</v>
      </c>
      <c r="C1299" s="276">
        <f>'Profits 2016'!H6512</f>
        <v>0</v>
      </c>
      <c r="D1299" s="280">
        <f>'Profits 2016'!K6512</f>
        <v>0</v>
      </c>
      <c r="E1299" s="276">
        <f>'Profits 2016'!L6512</f>
        <v>1880</v>
      </c>
      <c r="F1299" s="275" t="str">
        <f>'Profits 2016'!P6512</f>
        <v>Nexans</v>
      </c>
      <c r="G1299" s="292">
        <f>'Profits 2016'!N6512-'Profits 2016'!M6512</f>
        <v>940</v>
      </c>
      <c r="H1299" s="331">
        <v>0</v>
      </c>
      <c r="I1299" s="332">
        <v>47516202</v>
      </c>
      <c r="J1299" s="333">
        <v>42670</v>
      </c>
      <c r="K1299" s="333">
        <v>42676</v>
      </c>
      <c r="L1299" s="333"/>
      <c r="M1299" s="331"/>
      <c r="N1299" s="334"/>
      <c r="O1299" s="236">
        <f>'Profits 2016'!T6512</f>
        <v>0</v>
      </c>
      <c r="P1299" s="284">
        <f>'Profits 2016'!U6512</f>
        <v>0</v>
      </c>
      <c r="Q1299" s="284" t="s">
        <v>15804</v>
      </c>
      <c r="R1299" s="276">
        <v>0</v>
      </c>
      <c r="S1299" s="275">
        <v>636941183</v>
      </c>
      <c r="T1299" s="279">
        <v>42683</v>
      </c>
      <c r="U1299" s="279">
        <v>42688</v>
      </c>
      <c r="V1299" s="279">
        <v>42692</v>
      </c>
      <c r="W1299" s="293">
        <f t="shared" si="164"/>
        <v>0</v>
      </c>
      <c r="X1299" s="236">
        <v>9454</v>
      </c>
      <c r="AF1299" s="276">
        <f t="shared" si="160"/>
        <v>940</v>
      </c>
      <c r="AG1299" s="276">
        <f t="shared" si="161"/>
        <v>0</v>
      </c>
      <c r="AH1299" s="276">
        <f t="shared" si="162"/>
        <v>0</v>
      </c>
      <c r="AI1299" s="283">
        <f t="shared" si="163"/>
        <v>0</v>
      </c>
    </row>
    <row r="1300" spans="1:35" x14ac:dyDescent="0.25">
      <c r="A1300" s="275">
        <f>'Profits 2016'!A6513</f>
        <v>0</v>
      </c>
      <c r="B1300" s="279">
        <f>'Profits 2016'!B6513</f>
        <v>0</v>
      </c>
      <c r="C1300" s="276">
        <f>'Profits 2016'!H6513</f>
        <v>0</v>
      </c>
      <c r="D1300" s="280">
        <f>'Profits 2016'!K6513</f>
        <v>0</v>
      </c>
      <c r="E1300" s="276">
        <f>'Profits 2016'!L6513</f>
        <v>272</v>
      </c>
      <c r="F1300" s="275" t="str">
        <f>'Profits 2016'!P6513</f>
        <v>Nexans</v>
      </c>
      <c r="G1300" s="292">
        <f>'Profits 2016'!N6513-'Profits 2016'!M6513</f>
        <v>136</v>
      </c>
      <c r="H1300" s="331">
        <v>0</v>
      </c>
      <c r="I1300" s="332">
        <v>47516202</v>
      </c>
      <c r="J1300" s="333">
        <v>42670</v>
      </c>
      <c r="K1300" s="333">
        <v>42676</v>
      </c>
      <c r="L1300" s="333"/>
      <c r="M1300" s="331"/>
      <c r="N1300" s="334"/>
      <c r="O1300" s="236">
        <f>'Profits 2016'!T6513</f>
        <v>0</v>
      </c>
      <c r="P1300" s="284">
        <f>'Profits 2016'!U6513</f>
        <v>0</v>
      </c>
      <c r="Q1300" s="284" t="s">
        <v>15804</v>
      </c>
      <c r="R1300" s="276">
        <v>0</v>
      </c>
      <c r="S1300" s="275">
        <v>636941183</v>
      </c>
      <c r="T1300" s="279">
        <v>42683</v>
      </c>
      <c r="U1300" s="279">
        <v>42688</v>
      </c>
      <c r="V1300" s="279">
        <v>42692</v>
      </c>
      <c r="W1300" s="293">
        <f t="shared" si="164"/>
        <v>0</v>
      </c>
      <c r="X1300" s="236">
        <v>9454</v>
      </c>
      <c r="AF1300" s="276">
        <f t="shared" si="160"/>
        <v>136</v>
      </c>
      <c r="AG1300" s="276">
        <f t="shared" si="161"/>
        <v>0</v>
      </c>
      <c r="AH1300" s="276">
        <f t="shared" si="162"/>
        <v>0</v>
      </c>
      <c r="AI1300" s="283">
        <f t="shared" si="163"/>
        <v>0</v>
      </c>
    </row>
    <row r="1301" spans="1:35" x14ac:dyDescent="0.25">
      <c r="A1301" s="275">
        <f>'Profits 2016'!A6514</f>
        <v>0</v>
      </c>
      <c r="B1301" s="279">
        <f>'Profits 2016'!B6514</f>
        <v>0</v>
      </c>
      <c r="C1301" s="276">
        <f>'Profits 2016'!H6514</f>
        <v>0</v>
      </c>
      <c r="D1301" s="280">
        <f>'Profits 2016'!K6514</f>
        <v>0</v>
      </c>
      <c r="E1301" s="276">
        <f>'Profits 2016'!L6514</f>
        <v>1520</v>
      </c>
      <c r="F1301" s="275" t="str">
        <f>'Profits 2016'!P6514</f>
        <v>Nexans</v>
      </c>
      <c r="G1301" s="292">
        <f>'Profits 2016'!N6514-'Profits 2016'!M6514</f>
        <v>760</v>
      </c>
      <c r="H1301" s="331">
        <v>0</v>
      </c>
      <c r="I1301" s="332">
        <v>47516202</v>
      </c>
      <c r="J1301" s="333">
        <v>42670</v>
      </c>
      <c r="K1301" s="333">
        <v>42676</v>
      </c>
      <c r="L1301" s="333"/>
      <c r="M1301" s="331"/>
      <c r="N1301" s="334"/>
      <c r="O1301" s="236">
        <f>'Profits 2016'!T6514</f>
        <v>0</v>
      </c>
      <c r="P1301" s="284">
        <f>'Profits 2016'!U6514</f>
        <v>0</v>
      </c>
      <c r="Q1301" s="284" t="s">
        <v>15804</v>
      </c>
      <c r="R1301" s="276">
        <v>0</v>
      </c>
      <c r="S1301" s="275">
        <v>636941183</v>
      </c>
      <c r="T1301" s="279">
        <v>42683</v>
      </c>
      <c r="U1301" s="279">
        <v>42688</v>
      </c>
      <c r="V1301" s="279">
        <v>42692</v>
      </c>
      <c r="W1301" s="293">
        <f t="shared" si="164"/>
        <v>0</v>
      </c>
      <c r="X1301" s="236">
        <v>9454</v>
      </c>
      <c r="AF1301" s="276">
        <f t="shared" si="160"/>
        <v>760</v>
      </c>
      <c r="AG1301" s="276">
        <f t="shared" si="161"/>
        <v>0</v>
      </c>
      <c r="AH1301" s="276">
        <f t="shared" si="162"/>
        <v>0</v>
      </c>
      <c r="AI1301" s="283">
        <f t="shared" si="163"/>
        <v>0</v>
      </c>
    </row>
    <row r="1302" spans="1:35" ht="30" x14ac:dyDescent="0.25">
      <c r="A1302" s="275">
        <f>'Profits 2016'!A6515</f>
        <v>3005095</v>
      </c>
      <c r="B1302" s="279">
        <f>'Profits 2016'!B6515</f>
        <v>42664</v>
      </c>
      <c r="C1302" s="276">
        <f>'Profits 2016'!H6515</f>
        <v>212.97</v>
      </c>
      <c r="D1302" s="280">
        <f>'Profits 2016'!K6515</f>
        <v>181.02449999999999</v>
      </c>
      <c r="E1302" s="276">
        <f>'Profits 2016'!L6515</f>
        <v>206</v>
      </c>
      <c r="F1302" s="275" t="str">
        <f>'Profits 2016'!P6515</f>
        <v>Wirexpress</v>
      </c>
      <c r="G1302" s="292">
        <f>'Profits 2016'!N6515-'Profits 2016'!M6515</f>
        <v>103</v>
      </c>
      <c r="H1302" s="331">
        <v>0</v>
      </c>
      <c r="I1302" s="332" t="s">
        <v>15903</v>
      </c>
      <c r="J1302" s="333">
        <v>42664</v>
      </c>
      <c r="K1302" s="333">
        <v>42670</v>
      </c>
      <c r="L1302" s="333">
        <v>42692</v>
      </c>
      <c r="M1302" s="331">
        <v>103</v>
      </c>
      <c r="N1302" s="334">
        <v>9458</v>
      </c>
      <c r="O1302" s="236" t="str">
        <f>'Profits 2016'!T6515</f>
        <v>FEDEX GROUND</v>
      </c>
      <c r="P1302" s="284" t="str">
        <f>'Profits 2016'!U6515</f>
        <v xml:space="preserve">118391272752802 </v>
      </c>
      <c r="Q1302" s="284" t="s">
        <v>314</v>
      </c>
      <c r="R1302" s="276">
        <v>9.0299999999999994</v>
      </c>
      <c r="S1302" s="275" t="s">
        <v>15869</v>
      </c>
      <c r="T1302" s="279">
        <v>42681</v>
      </c>
      <c r="U1302" s="279">
        <v>42688</v>
      </c>
      <c r="V1302" s="279">
        <v>42692</v>
      </c>
      <c r="W1302" s="293">
        <f t="shared" si="164"/>
        <v>9.0299999999999994</v>
      </c>
      <c r="X1302" s="236">
        <v>9444</v>
      </c>
      <c r="AF1302" s="276">
        <f t="shared" si="160"/>
        <v>112.03</v>
      </c>
      <c r="AG1302" s="276">
        <f t="shared" si="161"/>
        <v>112.03</v>
      </c>
      <c r="AH1302" s="276">
        <f t="shared" si="162"/>
        <v>68.994499999999988</v>
      </c>
      <c r="AI1302" s="283">
        <f t="shared" si="163"/>
        <v>0.61585735963581167</v>
      </c>
    </row>
    <row r="1303" spans="1:35" ht="30" x14ac:dyDescent="0.25">
      <c r="A1303" s="275">
        <f>'Profits 2016'!A6516</f>
        <v>3005096</v>
      </c>
      <c r="B1303" s="279">
        <f>'Profits 2016'!B6516</f>
        <v>42667</v>
      </c>
      <c r="C1303" s="276">
        <f>'Profits 2016'!H6516</f>
        <v>402.53</v>
      </c>
      <c r="D1303" s="280">
        <f>'Profits 2016'!K6516</f>
        <v>393.37433999999996</v>
      </c>
      <c r="E1303" s="276">
        <f>'Profits 2016'!L6516</f>
        <v>1170</v>
      </c>
      <c r="F1303" s="275" t="str">
        <f>'Profits 2016'!P6516</f>
        <v>Nassau</v>
      </c>
      <c r="G1303" s="292">
        <f>'Profits 2016'!N6516-'Profits 2016'!M6516</f>
        <v>146.25</v>
      </c>
      <c r="H1303" s="319"/>
      <c r="I1303" s="320"/>
      <c r="J1303" s="321"/>
      <c r="K1303" s="321"/>
      <c r="L1303" s="321"/>
      <c r="M1303" s="319"/>
      <c r="N1303" s="322"/>
      <c r="O1303" s="236" t="str">
        <f>'Profits 2016'!T6516</f>
        <v>FEDEX GROUND</v>
      </c>
      <c r="P1303" s="284" t="str">
        <f>'Profits 2016'!U6516</f>
        <v>702723290885</v>
      </c>
      <c r="Q1303" s="284" t="s">
        <v>314</v>
      </c>
      <c r="R1303" s="276">
        <v>36.93</v>
      </c>
      <c r="S1303" s="275" t="s">
        <v>15869</v>
      </c>
      <c r="T1303" s="279">
        <v>42681</v>
      </c>
      <c r="U1303" s="279">
        <v>42688</v>
      </c>
      <c r="V1303" s="279">
        <v>42692</v>
      </c>
      <c r="W1303" s="293">
        <f t="shared" si="164"/>
        <v>36.93</v>
      </c>
      <c r="X1303" s="236">
        <v>9444</v>
      </c>
      <c r="AF1303" s="276">
        <f t="shared" si="160"/>
        <v>183.18</v>
      </c>
      <c r="AG1303" s="276">
        <f t="shared" si="161"/>
        <v>36.93</v>
      </c>
      <c r="AH1303" s="276">
        <f t="shared" si="162"/>
        <v>356.44433999999995</v>
      </c>
      <c r="AI1303" s="283">
        <f t="shared" si="163"/>
        <v>1.9458693088765147</v>
      </c>
    </row>
    <row r="1304" spans="1:35" ht="30" x14ac:dyDescent="0.25">
      <c r="A1304" s="275">
        <f>'Profits 2016'!A6517</f>
        <v>3005097</v>
      </c>
      <c r="B1304" s="279">
        <f>'Profits 2016'!B6517</f>
        <v>42667</v>
      </c>
      <c r="C1304" s="276">
        <f>'Profits 2016'!H6517</f>
        <v>235</v>
      </c>
      <c r="D1304" s="280">
        <f>'Profits 2016'!K6517</f>
        <v>230.23500000000001</v>
      </c>
      <c r="E1304" s="276">
        <f>'Profits 2016'!L6517</f>
        <v>1322</v>
      </c>
      <c r="F1304" s="275" t="str">
        <f>'Profits 2016'!P6517</f>
        <v>Nassau</v>
      </c>
      <c r="G1304" s="292">
        <f>'Profits 2016'!N6517-'Profits 2016'!M6517</f>
        <v>132.20000000000005</v>
      </c>
      <c r="H1304" s="319"/>
      <c r="I1304" s="320"/>
      <c r="J1304" s="321"/>
      <c r="K1304" s="321"/>
      <c r="L1304" s="321"/>
      <c r="M1304" s="319"/>
      <c r="N1304" s="322"/>
      <c r="O1304" s="236" t="str">
        <f>'Profits 2016'!T6517</f>
        <v>FEDEX GROUND</v>
      </c>
      <c r="P1304" s="284" t="str">
        <f>'Profits 2016'!U6517</f>
        <v>702723290874</v>
      </c>
      <c r="Q1304" s="284" t="s">
        <v>314</v>
      </c>
      <c r="R1304" s="276">
        <v>33.08</v>
      </c>
      <c r="S1304" s="275" t="s">
        <v>15869</v>
      </c>
      <c r="T1304" s="279">
        <v>42681</v>
      </c>
      <c r="U1304" s="279">
        <v>42688</v>
      </c>
      <c r="V1304" s="279">
        <v>42692</v>
      </c>
      <c r="W1304" s="293">
        <f t="shared" si="164"/>
        <v>33.08</v>
      </c>
      <c r="X1304" s="236">
        <v>9444</v>
      </c>
      <c r="AF1304" s="276">
        <f t="shared" si="160"/>
        <v>165.28000000000003</v>
      </c>
      <c r="AG1304" s="276">
        <f t="shared" si="161"/>
        <v>33.08</v>
      </c>
      <c r="AH1304" s="276">
        <f t="shared" si="162"/>
        <v>197.15500000000003</v>
      </c>
      <c r="AI1304" s="283">
        <f t="shared" si="163"/>
        <v>1.1928545498547918</v>
      </c>
    </row>
    <row r="1305" spans="1:35" ht="30" x14ac:dyDescent="0.25">
      <c r="A1305" s="275">
        <f>'Profits 2016'!A6518</f>
        <v>3005098</v>
      </c>
      <c r="B1305" s="279">
        <f>'Profits 2016'!B6518</f>
        <v>42667</v>
      </c>
      <c r="C1305" s="276">
        <f>'Profits 2016'!H6518</f>
        <v>198.62</v>
      </c>
      <c r="D1305" s="280">
        <f>'Profits 2016'!K6518</f>
        <v>176.67042000000001</v>
      </c>
      <c r="E1305" s="276">
        <f>'Profits 2016'!L6518</f>
        <v>424</v>
      </c>
      <c r="F1305" s="275" t="str">
        <f>'Profits 2016'!P6518</f>
        <v>Nassau</v>
      </c>
      <c r="G1305" s="292">
        <f>'Profits 2016'!N6518-'Profits 2016'!M6518</f>
        <v>67.84</v>
      </c>
      <c r="H1305" s="319"/>
      <c r="I1305" s="320"/>
      <c r="J1305" s="321"/>
      <c r="K1305" s="321"/>
      <c r="L1305" s="321"/>
      <c r="M1305" s="319"/>
      <c r="N1305" s="322"/>
      <c r="O1305" s="236" t="str">
        <f>'Profits 2016'!T6518</f>
        <v>FEDEX GROUND</v>
      </c>
      <c r="P1305" s="284" t="str">
        <f>'Profits 2016'!U6518</f>
        <v>680483360586</v>
      </c>
      <c r="AF1305" s="276">
        <f t="shared" si="160"/>
        <v>67.84</v>
      </c>
      <c r="AG1305" s="276">
        <f t="shared" si="161"/>
        <v>0</v>
      </c>
      <c r="AH1305" s="276">
        <f t="shared" si="162"/>
        <v>176.67042000000001</v>
      </c>
      <c r="AI1305" s="283">
        <f t="shared" si="163"/>
        <v>2.6042219929245283</v>
      </c>
    </row>
    <row r="1306" spans="1:35" ht="30" x14ac:dyDescent="0.25">
      <c r="A1306" s="275">
        <f>'Profits 2016'!A6519</f>
        <v>3005099</v>
      </c>
      <c r="B1306" s="279">
        <f>'Profits 2016'!B6519</f>
        <v>42667</v>
      </c>
      <c r="C1306" s="276">
        <f>'Profits 2016'!H6519</f>
        <v>108.9</v>
      </c>
      <c r="D1306" s="280">
        <f>'Profits 2016'!K6519</f>
        <v>96.729900000000001</v>
      </c>
      <c r="E1306" s="276">
        <f>'Profits 2016'!L6519</f>
        <v>900</v>
      </c>
      <c r="F1306" s="275" t="str">
        <f>'Profits 2016'!P6519</f>
        <v>Nassau</v>
      </c>
      <c r="G1306" s="292">
        <f>'Profits 2016'!N6519-'Profits 2016'!M6519</f>
        <v>45</v>
      </c>
      <c r="H1306" s="319"/>
      <c r="I1306" s="320"/>
      <c r="J1306" s="321"/>
      <c r="K1306" s="321"/>
      <c r="L1306" s="321"/>
      <c r="M1306" s="319"/>
      <c r="N1306" s="322"/>
      <c r="O1306" s="236" t="str">
        <f>'Profits 2016'!T6519</f>
        <v>FEDEX GROUND</v>
      </c>
      <c r="P1306" s="284" t="str">
        <f>'Profits 2016'!U6519</f>
        <v>702723290944</v>
      </c>
      <c r="Q1306" s="284" t="s">
        <v>314</v>
      </c>
      <c r="R1306" s="276">
        <v>23.31</v>
      </c>
      <c r="S1306" s="275" t="s">
        <v>15869</v>
      </c>
      <c r="T1306" s="279">
        <v>42681</v>
      </c>
      <c r="U1306" s="279">
        <v>42688</v>
      </c>
      <c r="V1306" s="279">
        <v>42692</v>
      </c>
      <c r="W1306" s="293">
        <f t="shared" ref="W1306:W1310" si="165">R1306</f>
        <v>23.31</v>
      </c>
      <c r="X1306" s="236">
        <v>9444</v>
      </c>
      <c r="AF1306" s="276">
        <f t="shared" si="160"/>
        <v>68.31</v>
      </c>
      <c r="AG1306" s="276">
        <f t="shared" si="161"/>
        <v>23.31</v>
      </c>
      <c r="AH1306" s="276">
        <f t="shared" si="162"/>
        <v>73.419899999999998</v>
      </c>
      <c r="AI1306" s="283">
        <f t="shared" si="163"/>
        <v>1.0748045674132629</v>
      </c>
    </row>
    <row r="1307" spans="1:35" ht="30" x14ac:dyDescent="0.25">
      <c r="A1307" s="275">
        <f>'Profits 2016'!A6520</f>
        <v>3005100</v>
      </c>
      <c r="B1307" s="279">
        <f>'Profits 2016'!B6520</f>
        <v>42667</v>
      </c>
      <c r="C1307" s="276">
        <f>'Profits 2016'!H6520</f>
        <v>122.14</v>
      </c>
      <c r="D1307" s="280">
        <f>'Profits 2016'!K6520</f>
        <v>108.52674</v>
      </c>
      <c r="E1307" s="276">
        <f>'Profits 2016'!L6520</f>
        <v>445</v>
      </c>
      <c r="F1307" s="275" t="str">
        <f>'Profits 2016'!P6520</f>
        <v>Nassau</v>
      </c>
      <c r="G1307" s="292">
        <f>'Profits 2016'!N6520-'Profits 2016'!M6520</f>
        <v>44.5</v>
      </c>
      <c r="H1307" s="319"/>
      <c r="I1307" s="320"/>
      <c r="J1307" s="321"/>
      <c r="K1307" s="321"/>
      <c r="L1307" s="321"/>
      <c r="M1307" s="319"/>
      <c r="N1307" s="322"/>
      <c r="O1307" s="236" t="str">
        <f>'Profits 2016'!T6520</f>
        <v>FEDEX GROUND</v>
      </c>
      <c r="P1307" s="284" t="str">
        <f>'Profits 2016'!U6520</f>
        <v>680483360601</v>
      </c>
      <c r="Q1307" s="284" t="s">
        <v>314</v>
      </c>
      <c r="R1307" s="276">
        <v>54.75</v>
      </c>
      <c r="S1307" s="275" t="s">
        <v>15869</v>
      </c>
      <c r="T1307" s="279">
        <v>42681</v>
      </c>
      <c r="U1307" s="279">
        <v>42688</v>
      </c>
      <c r="V1307" s="279">
        <v>42692</v>
      </c>
      <c r="W1307" s="293">
        <f t="shared" si="165"/>
        <v>54.75</v>
      </c>
      <c r="X1307" s="236">
        <v>9444</v>
      </c>
      <c r="AF1307" s="276">
        <f t="shared" si="160"/>
        <v>99.25</v>
      </c>
      <c r="AG1307" s="276">
        <f t="shared" si="161"/>
        <v>54.75</v>
      </c>
      <c r="AH1307" s="276">
        <f t="shared" si="162"/>
        <v>53.776740000000004</v>
      </c>
      <c r="AI1307" s="283">
        <f t="shared" si="163"/>
        <v>0.54183113350125944</v>
      </c>
    </row>
    <row r="1308" spans="1:35" ht="30" x14ac:dyDescent="0.25">
      <c r="A1308" s="275">
        <f>'Profits 2016'!A6521</f>
        <v>3005101</v>
      </c>
      <c r="B1308" s="279">
        <f>'Profits 2016'!B6521</f>
        <v>42667</v>
      </c>
      <c r="C1308" s="276">
        <f>'Profits 2016'!H6521</f>
        <v>156.13</v>
      </c>
      <c r="D1308" s="280">
        <f>'Profits 2016'!K6521</f>
        <v>138.81182999999999</v>
      </c>
      <c r="E1308" s="276">
        <f>'Profits 2016'!L6521</f>
        <v>510</v>
      </c>
      <c r="F1308" s="275" t="str">
        <f>'Profits 2016'!P6521</f>
        <v>Nassau</v>
      </c>
      <c r="G1308" s="292">
        <f>'Profits 2016'!N6521-'Profits 2016'!M6521</f>
        <v>76.5</v>
      </c>
      <c r="H1308" s="319"/>
      <c r="I1308" s="320"/>
      <c r="J1308" s="321"/>
      <c r="K1308" s="321"/>
      <c r="L1308" s="321"/>
      <c r="M1308" s="319"/>
      <c r="N1308" s="322"/>
      <c r="O1308" s="236" t="str">
        <f>'Profits 2016'!T6521</f>
        <v>FEDEX GROUND</v>
      </c>
      <c r="P1308" s="284" t="str">
        <f>'Profits 2016'!U6521</f>
        <v>702723291024</v>
      </c>
      <c r="Q1308" s="284" t="s">
        <v>314</v>
      </c>
      <c r="R1308" s="276">
        <v>34.520000000000003</v>
      </c>
      <c r="S1308" s="275" t="s">
        <v>15869</v>
      </c>
      <c r="T1308" s="279">
        <v>42681</v>
      </c>
      <c r="U1308" s="279">
        <v>42688</v>
      </c>
      <c r="V1308" s="279">
        <v>42692</v>
      </c>
      <c r="W1308" s="293">
        <f t="shared" si="165"/>
        <v>34.520000000000003</v>
      </c>
      <c r="X1308" s="236">
        <v>9444</v>
      </c>
      <c r="AF1308" s="276">
        <f t="shared" si="160"/>
        <v>111.02000000000001</v>
      </c>
      <c r="AG1308" s="276">
        <f t="shared" si="161"/>
        <v>34.520000000000003</v>
      </c>
      <c r="AH1308" s="276">
        <f t="shared" si="162"/>
        <v>104.29182999999998</v>
      </c>
      <c r="AI1308" s="283">
        <f t="shared" si="163"/>
        <v>0.93939677535579147</v>
      </c>
    </row>
    <row r="1309" spans="1:35" ht="30" x14ac:dyDescent="0.25">
      <c r="A1309" s="275">
        <f>'Profits 2016'!A6522</f>
        <v>3005102</v>
      </c>
      <c r="B1309" s="279">
        <f>'Profits 2016'!B6522</f>
        <v>42667</v>
      </c>
      <c r="C1309" s="276">
        <f>'Profits 2016'!H6522</f>
        <v>334.62</v>
      </c>
      <c r="D1309" s="280">
        <f>'Profits 2016'!K6522</f>
        <v>297.84642000000002</v>
      </c>
      <c r="E1309" s="276">
        <f>'Profits 2016'!L6522</f>
        <v>0</v>
      </c>
      <c r="F1309" s="275" t="str">
        <f>'Profits 2016'!P6522</f>
        <v>Nassau</v>
      </c>
      <c r="G1309" s="292">
        <f>'Profits 2016'!N6522-'Profits 2016'!M6522</f>
        <v>0</v>
      </c>
      <c r="H1309" s="319"/>
      <c r="I1309" s="320"/>
      <c r="J1309" s="321"/>
      <c r="K1309" s="321"/>
      <c r="L1309" s="321"/>
      <c r="M1309" s="319"/>
      <c r="N1309" s="322"/>
      <c r="O1309" s="236" t="str">
        <f>'Profits 2016'!T6522</f>
        <v>FEDEX GROUND</v>
      </c>
      <c r="P1309" s="284" t="str">
        <f>'Profits 2016'!U6522</f>
        <v>702723290999</v>
      </c>
      <c r="Q1309" s="284" t="s">
        <v>314</v>
      </c>
      <c r="R1309" s="276">
        <v>42.53</v>
      </c>
      <c r="S1309" s="275" t="s">
        <v>15869</v>
      </c>
      <c r="T1309" s="279">
        <v>42681</v>
      </c>
      <c r="U1309" s="279">
        <v>42688</v>
      </c>
      <c r="V1309" s="279">
        <v>42692</v>
      </c>
      <c r="W1309" s="293">
        <f t="shared" si="165"/>
        <v>42.53</v>
      </c>
      <c r="X1309" s="236">
        <v>9444</v>
      </c>
      <c r="AF1309" s="276">
        <f t="shared" si="160"/>
        <v>42.53</v>
      </c>
      <c r="AG1309" s="276">
        <f t="shared" si="161"/>
        <v>42.53</v>
      </c>
      <c r="AH1309" s="276">
        <f t="shared" si="162"/>
        <v>255.31642000000002</v>
      </c>
      <c r="AI1309" s="283">
        <f t="shared" si="163"/>
        <v>6.003207618151893</v>
      </c>
    </row>
    <row r="1310" spans="1:35" ht="30" x14ac:dyDescent="0.25">
      <c r="A1310" s="275">
        <f>'Profits 2016'!A6523</f>
        <v>3005103</v>
      </c>
      <c r="B1310" s="279">
        <f>'Profits 2016'!B6523</f>
        <v>42667</v>
      </c>
      <c r="C1310" s="276">
        <f>'Profits 2016'!H6523</f>
        <v>132.30000000000001</v>
      </c>
      <c r="D1310" s="280">
        <f>'Profits 2016'!K6523</f>
        <v>117.57930000000002</v>
      </c>
      <c r="E1310" s="276">
        <f>'Profits 2016'!L6523</f>
        <v>1419</v>
      </c>
      <c r="F1310" s="275" t="str">
        <f>'Profits 2016'!P6523</f>
        <v>Direct</v>
      </c>
      <c r="G1310" s="292">
        <f>'Profits 2016'!N6523-'Profits 2016'!M6523</f>
        <v>70.95</v>
      </c>
      <c r="H1310" s="331">
        <v>0</v>
      </c>
      <c r="I1310" s="332">
        <v>75166</v>
      </c>
      <c r="J1310" s="333">
        <v>42669</v>
      </c>
      <c r="K1310" s="333">
        <v>42675</v>
      </c>
      <c r="L1310" s="333">
        <v>42678</v>
      </c>
      <c r="M1310" s="331">
        <v>69.53</v>
      </c>
      <c r="N1310" s="334">
        <v>9294</v>
      </c>
      <c r="O1310" s="236" t="str">
        <f>'Profits 2016'!T6523</f>
        <v>FEDEX GROUND</v>
      </c>
      <c r="P1310" s="284" t="str">
        <f>'Profits 2016'!U6523</f>
        <v>642286529419</v>
      </c>
      <c r="Q1310" s="284" t="s">
        <v>314</v>
      </c>
      <c r="R1310" s="276">
        <v>11.92</v>
      </c>
      <c r="S1310" s="275" t="s">
        <v>15869</v>
      </c>
      <c r="T1310" s="279">
        <v>42681</v>
      </c>
      <c r="U1310" s="279">
        <v>42688</v>
      </c>
      <c r="V1310" s="279">
        <v>42692</v>
      </c>
      <c r="W1310" s="293">
        <f t="shared" si="165"/>
        <v>11.92</v>
      </c>
      <c r="X1310" s="236">
        <v>9444</v>
      </c>
      <c r="AF1310" s="276">
        <f t="shared" si="160"/>
        <v>82.87</v>
      </c>
      <c r="AG1310" s="276">
        <f t="shared" si="161"/>
        <v>81.45</v>
      </c>
      <c r="AH1310" s="276">
        <f t="shared" si="162"/>
        <v>36.129300000000015</v>
      </c>
      <c r="AI1310" s="283">
        <f t="shared" si="163"/>
        <v>0.43597562447206484</v>
      </c>
    </row>
    <row r="1311" spans="1:35" ht="30" x14ac:dyDescent="0.25">
      <c r="A1311" s="275">
        <f>'Profits 2016'!A6524</f>
        <v>3005104</v>
      </c>
      <c r="B1311" s="279">
        <f>'Profits 2016'!B6524</f>
        <v>42667</v>
      </c>
      <c r="C1311" s="276">
        <f>'Profits 2016'!H6524</f>
        <v>186.52</v>
      </c>
      <c r="D1311" s="280">
        <f>'Profits 2016'!K6524</f>
        <v>165.88932</v>
      </c>
      <c r="E1311" s="276">
        <f>'Profits 2016'!L6524</f>
        <v>595</v>
      </c>
      <c r="F1311" s="275" t="str">
        <f>'Profits 2016'!P6524</f>
        <v>Nassau</v>
      </c>
      <c r="G1311" s="292">
        <f>'Profits 2016'!N6524-'Profits 2016'!M6524</f>
        <v>74.375</v>
      </c>
      <c r="H1311" s="319"/>
      <c r="I1311" s="320"/>
      <c r="J1311" s="321"/>
      <c r="K1311" s="321"/>
      <c r="L1311" s="321"/>
      <c r="M1311" s="319"/>
      <c r="N1311" s="322"/>
      <c r="O1311" s="236" t="str">
        <f>'Profits 2016'!T6524</f>
        <v>FEDEX GROUND</v>
      </c>
      <c r="P1311" s="284" t="str">
        <f>'Profits 2016'!U6524</f>
        <v>702723290900</v>
      </c>
      <c r="Q1311" s="284" t="s">
        <v>314</v>
      </c>
      <c r="R1311" s="276">
        <v>48.19</v>
      </c>
      <c r="S1311" s="275" t="s">
        <v>15873</v>
      </c>
      <c r="T1311" s="279">
        <v>42688</v>
      </c>
      <c r="U1311" s="279">
        <v>1117</v>
      </c>
      <c r="V1311" s="279">
        <v>42697</v>
      </c>
      <c r="W1311" s="293">
        <v>48.19</v>
      </c>
      <c r="X1311" s="236">
        <v>9494</v>
      </c>
      <c r="AF1311" s="276">
        <f t="shared" si="160"/>
        <v>122.565</v>
      </c>
      <c r="AG1311" s="276">
        <f t="shared" si="161"/>
        <v>48.19</v>
      </c>
      <c r="AH1311" s="276">
        <f t="shared" si="162"/>
        <v>117.69932</v>
      </c>
      <c r="AI1311" s="283">
        <f t="shared" si="163"/>
        <v>0.96030122791987926</v>
      </c>
    </row>
    <row r="1312" spans="1:35" ht="30" x14ac:dyDescent="0.25">
      <c r="A1312" s="275">
        <f>'Profits 2016'!A6525</f>
        <v>3005105</v>
      </c>
      <c r="B1312" s="279">
        <f>'Profits 2016'!B6525</f>
        <v>42667</v>
      </c>
      <c r="C1312" s="276">
        <f>'Profits 2016'!H6525</f>
        <v>181.45</v>
      </c>
      <c r="D1312" s="280">
        <f>'Profits 2016'!K6525</f>
        <v>161.37195</v>
      </c>
      <c r="E1312" s="276">
        <f>'Profits 2016'!L6525</f>
        <v>342</v>
      </c>
      <c r="F1312" s="275" t="str">
        <f>'Profits 2016'!P6525</f>
        <v>Priority</v>
      </c>
      <c r="G1312" s="292">
        <f>'Profits 2016'!N6525-'Profits 2016'!M6525</f>
        <v>85.5</v>
      </c>
      <c r="H1312" s="331">
        <v>0</v>
      </c>
      <c r="I1312" s="332">
        <v>1069552</v>
      </c>
      <c r="J1312" s="333">
        <v>42668</v>
      </c>
      <c r="K1312" s="333">
        <v>42675</v>
      </c>
      <c r="L1312" s="333">
        <v>42697</v>
      </c>
      <c r="M1312" s="331">
        <v>85.5</v>
      </c>
      <c r="N1312" s="334">
        <v>9474</v>
      </c>
      <c r="O1312" s="236" t="str">
        <f>'Profits 2016'!T6525</f>
        <v>FEDEX GROUND</v>
      </c>
      <c r="P1312" s="284" t="str">
        <f>'Profits 2016'!U6525</f>
        <v xml:space="preserve">	614697968827</v>
      </c>
      <c r="Q1312" s="284" t="s">
        <v>15740</v>
      </c>
      <c r="R1312" s="276">
        <v>34</v>
      </c>
      <c r="S1312" s="275">
        <v>1069552</v>
      </c>
      <c r="T1312" s="279">
        <v>42668</v>
      </c>
      <c r="U1312" s="279">
        <v>42675</v>
      </c>
      <c r="V1312" s="279">
        <v>42697</v>
      </c>
      <c r="W1312" s="293">
        <v>34</v>
      </c>
      <c r="X1312" s="236">
        <v>9474</v>
      </c>
      <c r="AF1312" s="276">
        <f t="shared" si="160"/>
        <v>119.5</v>
      </c>
      <c r="AG1312" s="276">
        <f t="shared" si="161"/>
        <v>119.5</v>
      </c>
      <c r="AH1312" s="276">
        <f t="shared" si="162"/>
        <v>41.871949999999998</v>
      </c>
      <c r="AI1312" s="283">
        <f t="shared" si="163"/>
        <v>0.35039288702928867</v>
      </c>
    </row>
    <row r="1313" spans="1:35" ht="30" x14ac:dyDescent="0.25">
      <c r="A1313" s="275">
        <f>'Profits 2016'!A6526</f>
        <v>3005106</v>
      </c>
      <c r="B1313" s="279">
        <f>'Profits 2016'!B6526</f>
        <v>42667</v>
      </c>
      <c r="C1313" s="276">
        <f>'Profits 2016'!H6526</f>
        <v>197.99</v>
      </c>
      <c r="D1313" s="280">
        <f>'Profits 2016'!K6526</f>
        <v>176.10909000000001</v>
      </c>
      <c r="E1313" s="276">
        <f>'Profits 2016'!L6526</f>
        <v>395</v>
      </c>
      <c r="F1313" s="275" t="str">
        <f>'Profits 2016'!P6526</f>
        <v>Nassau</v>
      </c>
      <c r="G1313" s="292">
        <f>'Profits 2016'!N6526-'Profits 2016'!M6526</f>
        <v>98.75</v>
      </c>
      <c r="H1313" s="319"/>
      <c r="I1313" s="320"/>
      <c r="J1313" s="321"/>
      <c r="K1313" s="321"/>
      <c r="L1313" s="321"/>
      <c r="M1313" s="319"/>
      <c r="N1313" s="322"/>
      <c r="O1313" s="236" t="str">
        <f>'Profits 2016'!T6526</f>
        <v>FEDEX GROUND</v>
      </c>
      <c r="P1313" s="284" t="str">
        <f>'Profits 2016'!U6526</f>
        <v>702723290911</v>
      </c>
      <c r="Q1313" s="284" t="s">
        <v>314</v>
      </c>
      <c r="R1313" s="276">
        <v>24.67</v>
      </c>
      <c r="S1313" s="275" t="s">
        <v>15869</v>
      </c>
      <c r="T1313" s="279">
        <v>42681</v>
      </c>
      <c r="U1313" s="279">
        <v>42688</v>
      </c>
      <c r="V1313" s="279">
        <v>42692</v>
      </c>
      <c r="W1313" s="293">
        <f t="shared" ref="W1313:W1314" si="166">R1313</f>
        <v>24.67</v>
      </c>
      <c r="X1313" s="236">
        <v>9444</v>
      </c>
      <c r="AF1313" s="276">
        <f t="shared" si="160"/>
        <v>123.42</v>
      </c>
      <c r="AG1313" s="276">
        <f t="shared" si="161"/>
        <v>24.67</v>
      </c>
      <c r="AH1313" s="276">
        <f t="shared" si="162"/>
        <v>151.43909000000002</v>
      </c>
      <c r="AI1313" s="283">
        <f t="shared" si="163"/>
        <v>1.2270222816399288</v>
      </c>
    </row>
    <row r="1314" spans="1:35" ht="30" x14ac:dyDescent="0.25">
      <c r="A1314" s="275">
        <f>'Profits 2016'!A6527</f>
        <v>3005107</v>
      </c>
      <c r="B1314" s="279">
        <f>'Profits 2016'!B6527</f>
        <v>42667</v>
      </c>
      <c r="C1314" s="276">
        <f>'Profits 2016'!H6527</f>
        <v>95</v>
      </c>
      <c r="D1314" s="280">
        <f>'Profits 2016'!K6527</f>
        <v>84.344999999999999</v>
      </c>
      <c r="E1314" s="276">
        <f>'Profits 2016'!L6527</f>
        <v>150</v>
      </c>
      <c r="F1314" s="275" t="str">
        <f>'Profits 2016'!P6527</f>
        <v>Nassau</v>
      </c>
      <c r="G1314" s="292">
        <f>'Profits 2016'!N6527-'Profits 2016'!M6527</f>
        <v>37.5</v>
      </c>
      <c r="H1314" s="319"/>
      <c r="I1314" s="320"/>
      <c r="J1314" s="321"/>
      <c r="K1314" s="321"/>
      <c r="L1314" s="321"/>
      <c r="M1314" s="319"/>
      <c r="N1314" s="322"/>
      <c r="O1314" s="236" t="str">
        <f>'Profits 2016'!T6527</f>
        <v>FEDEX GROUND</v>
      </c>
      <c r="P1314" s="284" t="str">
        <f>'Profits 2016'!U6527</f>
        <v>680483360645</v>
      </c>
      <c r="Q1314" s="284" t="s">
        <v>314</v>
      </c>
      <c r="R1314" s="276">
        <v>20.78</v>
      </c>
      <c r="S1314" s="275" t="s">
        <v>15869</v>
      </c>
      <c r="T1314" s="279">
        <v>42681</v>
      </c>
      <c r="U1314" s="279">
        <v>42688</v>
      </c>
      <c r="V1314" s="279">
        <v>42692</v>
      </c>
      <c r="W1314" s="293">
        <f t="shared" si="166"/>
        <v>20.78</v>
      </c>
      <c r="X1314" s="236">
        <v>9444</v>
      </c>
      <c r="AF1314" s="276">
        <f t="shared" si="160"/>
        <v>58.28</v>
      </c>
      <c r="AG1314" s="276">
        <f t="shared" si="161"/>
        <v>20.78</v>
      </c>
      <c r="AH1314" s="276">
        <f t="shared" si="162"/>
        <v>63.564999999999998</v>
      </c>
      <c r="AI1314" s="283">
        <f t="shared" si="163"/>
        <v>1.0906829100892244</v>
      </c>
    </row>
    <row r="1315" spans="1:35" ht="30" x14ac:dyDescent="0.25">
      <c r="A1315" s="275">
        <f>'Profits 2016'!A6528</f>
        <v>3005108</v>
      </c>
      <c r="B1315" s="279">
        <f>'Profits 2016'!B6528</f>
        <v>42667</v>
      </c>
      <c r="C1315" s="276">
        <f>'Profits 2016'!H6528</f>
        <v>197.5</v>
      </c>
      <c r="D1315" s="280">
        <f>'Profits 2016'!K6528</f>
        <v>175.67249999999999</v>
      </c>
      <c r="E1315" s="276">
        <f>'Profits 2016'!L6528</f>
        <v>1000</v>
      </c>
      <c r="F1315" s="275" t="str">
        <f>'Profits 2016'!P6528</f>
        <v>Priority</v>
      </c>
      <c r="G1315" s="292">
        <f>'Profits 2016'!N6528-'Profits 2016'!M6528</f>
        <v>49.999999999999993</v>
      </c>
      <c r="H1315" s="331">
        <v>0</v>
      </c>
      <c r="I1315" s="332">
        <v>1069551</v>
      </c>
      <c r="J1315" s="333">
        <v>42668</v>
      </c>
      <c r="K1315" s="333">
        <v>42675</v>
      </c>
      <c r="L1315" s="333">
        <v>42697</v>
      </c>
      <c r="M1315" s="331">
        <v>50</v>
      </c>
      <c r="N1315" s="334">
        <v>9475</v>
      </c>
      <c r="O1315" s="236" t="str">
        <f>'Profits 2016'!T6528</f>
        <v>FEDEX GROUND</v>
      </c>
      <c r="P1315" s="284" t="str">
        <f>'Profits 2016'!U6528</f>
        <v xml:space="preserve">	706898123930</v>
      </c>
      <c r="Q1315" s="284" t="s">
        <v>15740</v>
      </c>
      <c r="R1315" s="276">
        <v>20.82</v>
      </c>
      <c r="S1315" s="275">
        <v>1069551</v>
      </c>
      <c r="T1315" s="279">
        <v>42668</v>
      </c>
      <c r="U1315" s="279">
        <v>42675</v>
      </c>
      <c r="V1315" s="279">
        <v>42697</v>
      </c>
      <c r="W1315" s="293">
        <v>20.82</v>
      </c>
      <c r="X1315" s="236">
        <v>9475</v>
      </c>
      <c r="AF1315" s="276">
        <f t="shared" si="160"/>
        <v>70.819999999999993</v>
      </c>
      <c r="AG1315" s="276">
        <f t="shared" si="161"/>
        <v>70.819999999999993</v>
      </c>
      <c r="AH1315" s="276">
        <f t="shared" si="162"/>
        <v>104.85249999999999</v>
      </c>
      <c r="AI1315" s="283">
        <f t="shared" si="163"/>
        <v>1.4805492798644451</v>
      </c>
    </row>
    <row r="1316" spans="1:35" ht="30" x14ac:dyDescent="0.25">
      <c r="A1316" s="275">
        <f>'Profits 2016'!A6529</f>
        <v>3005109</v>
      </c>
      <c r="B1316" s="279">
        <f>'Profits 2016'!B6529</f>
        <v>42667</v>
      </c>
      <c r="C1316" s="276">
        <f>'Profits 2016'!H6529</f>
        <v>164.9</v>
      </c>
      <c r="D1316" s="280">
        <f>'Profits 2016'!K6529</f>
        <v>140.16500000000002</v>
      </c>
      <c r="E1316" s="276">
        <f>'Profits 2016'!L6529</f>
        <v>560</v>
      </c>
      <c r="F1316" s="275" t="str">
        <f>'Profits 2016'!P6529</f>
        <v>Nassau</v>
      </c>
      <c r="G1316" s="292">
        <f>'Profits 2016'!N6529-'Profits 2016'!M6529</f>
        <v>84</v>
      </c>
      <c r="H1316" s="319"/>
      <c r="I1316" s="320"/>
      <c r="J1316" s="321"/>
      <c r="K1316" s="321"/>
      <c r="L1316" s="321"/>
      <c r="M1316" s="319"/>
      <c r="N1316" s="322"/>
      <c r="O1316" s="236" t="str">
        <f>'Profits 2016'!T6529</f>
        <v>FEDEX GROUND</v>
      </c>
      <c r="P1316" s="284" t="str">
        <f>'Profits 2016'!U6529</f>
        <v>680483360634</v>
      </c>
      <c r="Q1316" s="284" t="s">
        <v>314</v>
      </c>
      <c r="R1316" s="276">
        <v>67.69</v>
      </c>
      <c r="S1316" s="275" t="s">
        <v>15869</v>
      </c>
      <c r="T1316" s="279">
        <v>42681</v>
      </c>
      <c r="U1316" s="279">
        <v>42688</v>
      </c>
      <c r="V1316" s="279">
        <v>42692</v>
      </c>
      <c r="W1316" s="293">
        <f>R1316</f>
        <v>67.69</v>
      </c>
      <c r="X1316" s="236">
        <v>9444</v>
      </c>
      <c r="AF1316" s="276">
        <f t="shared" si="160"/>
        <v>151.69</v>
      </c>
      <c r="AG1316" s="276">
        <f t="shared" si="161"/>
        <v>67.69</v>
      </c>
      <c r="AH1316" s="276">
        <f t="shared" si="162"/>
        <v>72.475000000000023</v>
      </c>
      <c r="AI1316" s="283">
        <f t="shared" si="163"/>
        <v>0.47778363768211501</v>
      </c>
    </row>
    <row r="1317" spans="1:35" ht="30" x14ac:dyDescent="0.25">
      <c r="A1317" s="275">
        <f>'Profits 2016'!A6530</f>
        <v>3005110</v>
      </c>
      <c r="B1317" s="279">
        <f>'Profits 2016'!B6530</f>
        <v>42667</v>
      </c>
      <c r="C1317" s="276">
        <f>'Profits 2016'!H6530</f>
        <v>149.79</v>
      </c>
      <c r="D1317" s="280">
        <f>'Profits 2016'!K6530</f>
        <v>127.32149999999999</v>
      </c>
      <c r="E1317" s="276">
        <f>'Profits 2016'!L6530</f>
        <v>424</v>
      </c>
      <c r="F1317" s="275" t="str">
        <f>'Profits 2016'!P6530</f>
        <v>Nassau</v>
      </c>
      <c r="G1317" s="292">
        <f>'Profits 2016'!N6530-'Profits 2016'!M6530</f>
        <v>63.599999999999994</v>
      </c>
      <c r="H1317" s="319"/>
      <c r="I1317" s="320"/>
      <c r="J1317" s="321"/>
      <c r="K1317" s="321"/>
      <c r="L1317" s="321"/>
      <c r="M1317" s="319"/>
      <c r="N1317" s="322"/>
      <c r="O1317" s="236" t="str">
        <f>'Profits 2016'!T6530</f>
        <v>FEDEX GROUND</v>
      </c>
      <c r="P1317" s="284" t="str">
        <f>'Profits 2016'!U6530</f>
        <v>680483360597</v>
      </c>
      <c r="AF1317" s="276">
        <f t="shared" si="160"/>
        <v>63.599999999999994</v>
      </c>
      <c r="AG1317" s="276">
        <f t="shared" si="161"/>
        <v>0</v>
      </c>
      <c r="AH1317" s="276">
        <f t="shared" si="162"/>
        <v>127.32149999999999</v>
      </c>
      <c r="AI1317" s="283">
        <f t="shared" si="163"/>
        <v>2.0019103773584903</v>
      </c>
    </row>
    <row r="1318" spans="1:35" ht="30" x14ac:dyDescent="0.25">
      <c r="A1318" s="275">
        <f>'Profits 2016'!A6531</f>
        <v>3005111</v>
      </c>
      <c r="B1318" s="279">
        <f>'Profits 2016'!B6531</f>
        <v>42667</v>
      </c>
      <c r="C1318" s="276">
        <f>'Profits 2016'!H6531</f>
        <v>138.57</v>
      </c>
      <c r="D1318" s="280">
        <f>'Profits 2016'!K6531</f>
        <v>117.78449999999999</v>
      </c>
      <c r="E1318" s="276">
        <f>'Profits 2016'!L6531</f>
        <v>695</v>
      </c>
      <c r="F1318" s="275" t="str">
        <f>'Profits 2016'!P6531</f>
        <v>Nassau</v>
      </c>
      <c r="G1318" s="292">
        <f>'Profits 2016'!N6531-'Profits 2016'!M6531</f>
        <v>69.5</v>
      </c>
      <c r="H1318" s="319"/>
      <c r="I1318" s="320"/>
      <c r="J1318" s="321"/>
      <c r="K1318" s="321"/>
      <c r="L1318" s="321"/>
      <c r="M1318" s="319"/>
      <c r="N1318" s="322"/>
      <c r="O1318" s="236" t="str">
        <f>'Profits 2016'!T6531</f>
        <v>FEDEX GROUND</v>
      </c>
      <c r="P1318" s="284" t="str">
        <f>'Profits 2016'!U6531</f>
        <v>702723290933</v>
      </c>
      <c r="Q1318" s="284" t="s">
        <v>314</v>
      </c>
      <c r="R1318" s="276">
        <v>33.78</v>
      </c>
      <c r="S1318" s="275" t="s">
        <v>15873</v>
      </c>
      <c r="T1318" s="279">
        <v>42688</v>
      </c>
      <c r="U1318" s="279">
        <v>42691</v>
      </c>
      <c r="V1318" s="279">
        <v>42697</v>
      </c>
      <c r="W1318" s="293">
        <v>33.78</v>
      </c>
      <c r="X1318" s="236">
        <v>9494</v>
      </c>
      <c r="AF1318" s="276">
        <f t="shared" si="160"/>
        <v>103.28</v>
      </c>
      <c r="AG1318" s="276">
        <f t="shared" si="161"/>
        <v>33.78</v>
      </c>
      <c r="AH1318" s="276">
        <f t="shared" si="162"/>
        <v>84.004499999999993</v>
      </c>
      <c r="AI1318" s="283">
        <f t="shared" si="163"/>
        <v>0.8133665762974438</v>
      </c>
    </row>
    <row r="1319" spans="1:35" ht="30" x14ac:dyDescent="0.25">
      <c r="A1319" s="275">
        <f>'Profits 2016'!A6532</f>
        <v>3005112</v>
      </c>
      <c r="B1319" s="279">
        <f>'Profits 2016'!B6532</f>
        <v>42667</v>
      </c>
      <c r="C1319" s="276">
        <f>'Profits 2016'!H6532</f>
        <v>160</v>
      </c>
      <c r="D1319" s="280">
        <f>'Profits 2016'!K6532</f>
        <v>136</v>
      </c>
      <c r="E1319" s="276">
        <f>'Profits 2016'!L6532</f>
        <v>680</v>
      </c>
      <c r="F1319" s="275" t="str">
        <f>'Profits 2016'!P6532</f>
        <v>Nassau</v>
      </c>
      <c r="G1319" s="292">
        <f>'Profits 2016'!N6532-'Profits 2016'!M6532</f>
        <v>68</v>
      </c>
      <c r="H1319" s="319"/>
      <c r="I1319" s="320"/>
      <c r="J1319" s="321"/>
      <c r="K1319" s="321"/>
      <c r="L1319" s="321"/>
      <c r="M1319" s="319"/>
      <c r="N1319" s="322"/>
      <c r="O1319" s="236" t="str">
        <f>'Profits 2016'!T6532</f>
        <v>FEDEX GROUND</v>
      </c>
      <c r="P1319" s="284" t="str">
        <f>'Profits 2016'!U6532</f>
        <v>680483360612</v>
      </c>
      <c r="Q1319" s="284" t="s">
        <v>314</v>
      </c>
      <c r="R1319" s="276">
        <v>54.38</v>
      </c>
      <c r="S1319" s="275" t="s">
        <v>15869</v>
      </c>
      <c r="T1319" s="279">
        <v>42681</v>
      </c>
      <c r="U1319" s="279">
        <v>42688</v>
      </c>
      <c r="V1319" s="279">
        <v>42692</v>
      </c>
      <c r="W1319" s="293">
        <f>R1319</f>
        <v>54.38</v>
      </c>
      <c r="X1319" s="236">
        <v>9444</v>
      </c>
      <c r="AF1319" s="276">
        <f t="shared" si="160"/>
        <v>122.38</v>
      </c>
      <c r="AG1319" s="276">
        <f t="shared" si="161"/>
        <v>54.38</v>
      </c>
      <c r="AH1319" s="276">
        <f t="shared" si="162"/>
        <v>81.62</v>
      </c>
      <c r="AI1319" s="283">
        <f t="shared" si="163"/>
        <v>0.66693904232717771</v>
      </c>
    </row>
    <row r="1320" spans="1:35" ht="30" x14ac:dyDescent="0.25">
      <c r="A1320" s="275">
        <f>'Profits 2016'!A6533</f>
        <v>3005113</v>
      </c>
      <c r="B1320" s="279">
        <f>'Profits 2016'!B6533</f>
        <v>42667</v>
      </c>
      <c r="C1320" s="276">
        <f>'Profits 2016'!H6533</f>
        <v>175</v>
      </c>
      <c r="D1320" s="280">
        <f>'Profits 2016'!K6533</f>
        <v>148.75</v>
      </c>
      <c r="E1320" s="276">
        <f>'Profits 2016'!L6533</f>
        <v>424</v>
      </c>
      <c r="F1320" s="275" t="str">
        <f>'Profits 2016'!P6533</f>
        <v>Nassau</v>
      </c>
      <c r="G1320" s="292">
        <f>'Profits 2016'!N6533-'Profits 2016'!M6533</f>
        <v>84.800000000000011</v>
      </c>
      <c r="H1320" s="319"/>
      <c r="I1320" s="320"/>
      <c r="J1320" s="321"/>
      <c r="K1320" s="321"/>
      <c r="L1320" s="321"/>
      <c r="M1320" s="319"/>
      <c r="N1320" s="322"/>
      <c r="O1320" s="236" t="str">
        <f>'Profits 2016'!T6533</f>
        <v>FEDEX GROUND</v>
      </c>
      <c r="P1320" s="284" t="str">
        <f>'Profits 2016'!U6533</f>
        <v>680483360575</v>
      </c>
      <c r="AF1320" s="276">
        <f t="shared" si="160"/>
        <v>84.800000000000011</v>
      </c>
      <c r="AG1320" s="276">
        <f t="shared" si="161"/>
        <v>0</v>
      </c>
      <c r="AH1320" s="276">
        <f t="shared" si="162"/>
        <v>148.75</v>
      </c>
      <c r="AI1320" s="283">
        <f t="shared" si="163"/>
        <v>1.7541273584905659</v>
      </c>
    </row>
    <row r="1321" spans="1:35" ht="30" x14ac:dyDescent="0.25">
      <c r="A1321" s="275">
        <f>'Profits 2016'!A6534</f>
        <v>3005114</v>
      </c>
      <c r="B1321" s="279">
        <f>'Profits 2016'!B6534</f>
        <v>42667</v>
      </c>
      <c r="C1321" s="276">
        <f>'Profits 2016'!H6534</f>
        <v>161.69999999999999</v>
      </c>
      <c r="D1321" s="280">
        <f>'Profits 2016'!K6534</f>
        <v>137.44499999999999</v>
      </c>
      <c r="E1321" s="276">
        <f>'Profits 2016'!L6534</f>
        <v>341</v>
      </c>
      <c r="F1321" s="275" t="str">
        <f>'Profits 2016'!P6534</f>
        <v>Direct</v>
      </c>
      <c r="G1321" s="292">
        <f>'Profits 2016'!N6534-'Profits 2016'!M6534</f>
        <v>42.625</v>
      </c>
      <c r="H1321" s="331">
        <v>0</v>
      </c>
      <c r="I1321" s="332">
        <v>75118</v>
      </c>
      <c r="J1321" s="333">
        <v>42668</v>
      </c>
      <c r="K1321" s="333">
        <v>42671</v>
      </c>
      <c r="L1321" s="333">
        <v>42678</v>
      </c>
      <c r="M1321" s="331">
        <v>84.54</v>
      </c>
      <c r="N1321" s="334">
        <v>9291</v>
      </c>
      <c r="O1321" s="236" t="str">
        <f>'Profits 2016'!T6534</f>
        <v>FEDEX GROUND</v>
      </c>
      <c r="P1321" s="284" t="str">
        <f>'Profits 2016'!U6534</f>
        <v>630512245486</v>
      </c>
      <c r="Q1321" s="284" t="s">
        <v>314</v>
      </c>
      <c r="R1321" s="276">
        <v>21.28</v>
      </c>
      <c r="S1321" s="275" t="s">
        <v>15873</v>
      </c>
      <c r="T1321" s="279">
        <v>42688</v>
      </c>
      <c r="U1321" s="279">
        <v>42691</v>
      </c>
      <c r="V1321" s="279">
        <v>42697</v>
      </c>
      <c r="W1321" s="293">
        <v>21.28</v>
      </c>
      <c r="X1321" s="236">
        <v>9494</v>
      </c>
      <c r="AF1321" s="276">
        <f t="shared" si="160"/>
        <v>63.905000000000001</v>
      </c>
      <c r="AG1321" s="276">
        <f t="shared" si="161"/>
        <v>105.82000000000001</v>
      </c>
      <c r="AH1321" s="276">
        <f t="shared" si="162"/>
        <v>31.624999999999986</v>
      </c>
      <c r="AI1321" s="283">
        <f t="shared" si="163"/>
        <v>0.49487520538299012</v>
      </c>
    </row>
    <row r="1322" spans="1:35" x14ac:dyDescent="0.25">
      <c r="A1322" s="275">
        <f>'Profits 2016'!A6535</f>
        <v>0</v>
      </c>
      <c r="B1322" s="279">
        <f>'Profits 2016'!B6535</f>
        <v>0</v>
      </c>
      <c r="C1322" s="276">
        <f>'Profits 2016'!H6535</f>
        <v>0</v>
      </c>
      <c r="D1322" s="280">
        <f>'Profits 2016'!K6535</f>
        <v>0</v>
      </c>
      <c r="E1322" s="276">
        <f>'Profits 2016'!L6535</f>
        <v>349</v>
      </c>
      <c r="F1322" s="275" t="str">
        <f>'Profits 2016'!P6535</f>
        <v>Direct</v>
      </c>
      <c r="G1322" s="292">
        <f>'Profits 2016'!N6535-'Profits 2016'!M6535</f>
        <v>43.625</v>
      </c>
      <c r="H1322" s="331">
        <v>0</v>
      </c>
      <c r="I1322" s="332">
        <v>75118</v>
      </c>
      <c r="J1322" s="333">
        <v>42668</v>
      </c>
      <c r="K1322" s="333">
        <v>42671</v>
      </c>
      <c r="L1322" s="333">
        <v>42678</v>
      </c>
      <c r="M1322" s="331">
        <v>0</v>
      </c>
      <c r="N1322" s="334">
        <v>9291</v>
      </c>
      <c r="O1322" s="236">
        <f>'Profits 2016'!T6535</f>
        <v>0</v>
      </c>
      <c r="P1322" s="284">
        <f>'Profits 2016'!U6535</f>
        <v>630512245497</v>
      </c>
      <c r="Q1322" s="284" t="s">
        <v>314</v>
      </c>
      <c r="R1322" s="276">
        <v>20.51</v>
      </c>
      <c r="S1322" s="275" t="s">
        <v>15873</v>
      </c>
      <c r="T1322" s="279">
        <v>42688</v>
      </c>
      <c r="U1322" s="279">
        <v>42691</v>
      </c>
      <c r="V1322" s="279">
        <v>42697</v>
      </c>
      <c r="W1322" s="293">
        <v>20.51</v>
      </c>
      <c r="X1322" s="236">
        <v>9494</v>
      </c>
      <c r="AF1322" s="276">
        <f t="shared" si="160"/>
        <v>64.135000000000005</v>
      </c>
      <c r="AG1322" s="276">
        <f t="shared" si="161"/>
        <v>20.51</v>
      </c>
      <c r="AH1322" s="276">
        <f t="shared" si="162"/>
        <v>-20.51</v>
      </c>
      <c r="AI1322" s="283">
        <f t="shared" si="163"/>
        <v>-0.31979418414282373</v>
      </c>
    </row>
    <row r="1323" spans="1:35" ht="30" x14ac:dyDescent="0.25">
      <c r="A1323" s="275">
        <f>'Profits 2016'!A6536</f>
        <v>3005115</v>
      </c>
      <c r="B1323" s="279">
        <f>'Profits 2016'!B6536</f>
        <v>42667</v>
      </c>
      <c r="C1323" s="276">
        <f>'Profits 2016'!H6536</f>
        <v>112</v>
      </c>
      <c r="D1323" s="280">
        <f>'Profits 2016'!K6536</f>
        <v>95.2</v>
      </c>
      <c r="E1323" s="276">
        <f>'Profits 2016'!L6536</f>
        <v>250</v>
      </c>
      <c r="F1323" s="275" t="str">
        <f>'Profits 2016'!P6536</f>
        <v>Nassau</v>
      </c>
      <c r="G1323" s="292">
        <f>'Profits 2016'!N6536-'Profits 2016'!M6536</f>
        <v>50</v>
      </c>
      <c r="H1323" s="319"/>
      <c r="I1323" s="320"/>
      <c r="J1323" s="321"/>
      <c r="K1323" s="321"/>
      <c r="L1323" s="321"/>
      <c r="M1323" s="319"/>
      <c r="N1323" s="322"/>
      <c r="O1323" s="236" t="str">
        <f>'Profits 2016'!T6536</f>
        <v>FEDEX GROUND</v>
      </c>
      <c r="P1323" s="284" t="str">
        <f>'Profits 2016'!U6536</f>
        <v>702723290977</v>
      </c>
      <c r="Q1323" s="284" t="s">
        <v>314</v>
      </c>
      <c r="R1323" s="276">
        <v>14.11</v>
      </c>
      <c r="S1323" s="275" t="s">
        <v>15869</v>
      </c>
      <c r="T1323" s="279">
        <v>42681</v>
      </c>
      <c r="U1323" s="279">
        <v>42688</v>
      </c>
      <c r="V1323" s="279">
        <v>42692</v>
      </c>
      <c r="W1323" s="293">
        <f t="shared" ref="W1323:W1324" si="167">R1323</f>
        <v>14.11</v>
      </c>
      <c r="X1323" s="236">
        <v>9444</v>
      </c>
      <c r="AF1323" s="276">
        <f t="shared" si="160"/>
        <v>64.11</v>
      </c>
      <c r="AG1323" s="276">
        <f t="shared" si="161"/>
        <v>14.11</v>
      </c>
      <c r="AH1323" s="276">
        <f t="shared" si="162"/>
        <v>81.09</v>
      </c>
      <c r="AI1323" s="283">
        <f t="shared" si="163"/>
        <v>1.2648572765559196</v>
      </c>
    </row>
    <row r="1324" spans="1:35" ht="30" x14ac:dyDescent="0.25">
      <c r="A1324" s="275">
        <f>'Profits 2016'!A6537</f>
        <v>3005116</v>
      </c>
      <c r="B1324" s="279">
        <f>'Profits 2016'!B6537</f>
        <v>42667</v>
      </c>
      <c r="C1324" s="276">
        <f>'Profits 2016'!H6537</f>
        <v>107.91</v>
      </c>
      <c r="D1324" s="280">
        <f>'Profits 2016'!K6537</f>
        <v>91.723500000000001</v>
      </c>
      <c r="E1324" s="276">
        <f>'Profits 2016'!L6537</f>
        <v>754</v>
      </c>
      <c r="F1324" s="275" t="str">
        <f>'Profits 2016'!P6537</f>
        <v>Direct</v>
      </c>
      <c r="G1324" s="292">
        <f>'Profits 2016'!N6537-'Profits 2016'!M6537</f>
        <v>37.700000000000003</v>
      </c>
      <c r="H1324" s="331">
        <v>0</v>
      </c>
      <c r="I1324" s="332">
        <v>75171</v>
      </c>
      <c r="J1324" s="333">
        <v>42669</v>
      </c>
      <c r="K1324" s="333">
        <v>42675</v>
      </c>
      <c r="L1324" s="333">
        <v>42678</v>
      </c>
      <c r="M1324" s="331">
        <v>74.64</v>
      </c>
      <c r="N1324" s="334">
        <v>9294</v>
      </c>
      <c r="O1324" s="236" t="str">
        <f>'Profits 2016'!T6537</f>
        <v>FEDEX GROUND</v>
      </c>
      <c r="P1324" s="284" t="str">
        <f>'Profits 2016'!U6537</f>
        <v>639794970066</v>
      </c>
      <c r="Q1324" s="284" t="s">
        <v>314</v>
      </c>
      <c r="R1324" s="276">
        <v>12.45</v>
      </c>
      <c r="S1324" s="275" t="s">
        <v>15869</v>
      </c>
      <c r="T1324" s="279">
        <v>42681</v>
      </c>
      <c r="U1324" s="279">
        <v>42688</v>
      </c>
      <c r="V1324" s="279">
        <v>42692</v>
      </c>
      <c r="W1324" s="293">
        <f t="shared" si="167"/>
        <v>12.45</v>
      </c>
      <c r="X1324" s="236">
        <v>9444</v>
      </c>
      <c r="AF1324" s="276">
        <f t="shared" si="160"/>
        <v>50.150000000000006</v>
      </c>
      <c r="AG1324" s="276">
        <f t="shared" si="161"/>
        <v>87.09</v>
      </c>
      <c r="AH1324" s="276">
        <f t="shared" si="162"/>
        <v>4.633499999999998</v>
      </c>
      <c r="AI1324" s="283">
        <f t="shared" si="163"/>
        <v>9.2392821535393771E-2</v>
      </c>
    </row>
    <row r="1325" spans="1:35" x14ac:dyDescent="0.25">
      <c r="A1325" s="275">
        <f>'Profits 2016'!A6538</f>
        <v>0</v>
      </c>
      <c r="B1325" s="279">
        <f>'Profits 2016'!B6538</f>
        <v>0</v>
      </c>
      <c r="C1325" s="276">
        <f>'Profits 2016'!H6538</f>
        <v>0</v>
      </c>
      <c r="D1325" s="280">
        <f>'Profits 2016'!K6538</f>
        <v>0</v>
      </c>
      <c r="E1325" s="276">
        <f>'Profits 2016'!L6538</f>
        <v>769</v>
      </c>
      <c r="F1325" s="275" t="str">
        <f>'Profits 2016'!P6538</f>
        <v>Direct</v>
      </c>
      <c r="G1325" s="292">
        <f>'Profits 2016'!N6538-'Profits 2016'!M6538</f>
        <v>38.450000000000003</v>
      </c>
      <c r="H1325" s="331">
        <v>0</v>
      </c>
      <c r="I1325" s="332">
        <v>75171</v>
      </c>
      <c r="J1325" s="333">
        <v>42669</v>
      </c>
      <c r="K1325" s="333">
        <v>42675</v>
      </c>
      <c r="L1325" s="333">
        <v>42678</v>
      </c>
      <c r="M1325" s="331">
        <v>0</v>
      </c>
      <c r="N1325" s="334">
        <v>9294</v>
      </c>
      <c r="O1325" s="236">
        <f>'Profits 2016'!T6538</f>
        <v>0</v>
      </c>
      <c r="P1325" s="284">
        <f>'Profits 2016'!U6538</f>
        <v>0</v>
      </c>
      <c r="AF1325" s="276">
        <f t="shared" si="160"/>
        <v>38.450000000000003</v>
      </c>
      <c r="AG1325" s="276">
        <f t="shared" si="161"/>
        <v>0</v>
      </c>
      <c r="AH1325" s="276">
        <f t="shared" si="162"/>
        <v>0</v>
      </c>
      <c r="AI1325" s="283">
        <f t="shared" si="163"/>
        <v>0</v>
      </c>
    </row>
    <row r="1326" spans="1:35" ht="30" x14ac:dyDescent="0.25">
      <c r="A1326" s="275">
        <f>'Profits 2016'!A6539</f>
        <v>3005117</v>
      </c>
      <c r="B1326" s="279">
        <f>'Profits 2016'!B6539</f>
        <v>42667</v>
      </c>
      <c r="C1326" s="276">
        <f>'Profits 2016'!H6539</f>
        <v>138.30000000000001</v>
      </c>
      <c r="D1326" s="280">
        <f>'Profits 2016'!K6539</f>
        <v>117.55500000000001</v>
      </c>
      <c r="E1326" s="276">
        <f>'Profits 2016'!L6539</f>
        <v>0</v>
      </c>
      <c r="F1326" s="275" t="str">
        <f>'Profits 2016'!P6539</f>
        <v>Thea</v>
      </c>
      <c r="G1326" s="292">
        <f>'Profits 2016'!N6539-'Profits 2016'!M6539</f>
        <v>0</v>
      </c>
      <c r="H1326" s="319"/>
      <c r="I1326" s="320"/>
      <c r="J1326" s="321"/>
      <c r="K1326" s="321"/>
      <c r="L1326" s="321"/>
      <c r="M1326" s="319"/>
      <c r="N1326" s="322"/>
      <c r="O1326" s="236" t="str">
        <f>'Profits 2016'!T6539</f>
        <v>FEDEX GROUND</v>
      </c>
      <c r="P1326" s="284">
        <f>'Profits 2016'!U6539</f>
        <v>675157531135</v>
      </c>
      <c r="Q1326" s="284" t="s">
        <v>314</v>
      </c>
      <c r="R1326" s="276">
        <v>13.11</v>
      </c>
      <c r="S1326" s="275" t="s">
        <v>15869</v>
      </c>
      <c r="T1326" s="279">
        <v>42681</v>
      </c>
      <c r="U1326" s="279">
        <v>42688</v>
      </c>
      <c r="V1326" s="279">
        <v>42692</v>
      </c>
      <c r="W1326" s="293">
        <f t="shared" ref="W1326:W1330" si="168">R1326</f>
        <v>13.11</v>
      </c>
      <c r="X1326" s="236">
        <v>9444</v>
      </c>
      <c r="AF1326" s="276">
        <f t="shared" si="160"/>
        <v>13.11</v>
      </c>
      <c r="AG1326" s="276">
        <f t="shared" si="161"/>
        <v>13.11</v>
      </c>
      <c r="AH1326" s="276">
        <f t="shared" si="162"/>
        <v>104.44500000000001</v>
      </c>
      <c r="AI1326" s="283">
        <f t="shared" si="163"/>
        <v>7.9668192219679641</v>
      </c>
    </row>
    <row r="1327" spans="1:35" ht="30" x14ac:dyDescent="0.25">
      <c r="A1327" s="275">
        <f>'Profits 2016'!A6540</f>
        <v>3005118</v>
      </c>
      <c r="B1327" s="279">
        <f>'Profits 2016'!B6540</f>
        <v>42667</v>
      </c>
      <c r="C1327" s="276">
        <f>'Profits 2016'!H6540</f>
        <v>149.79</v>
      </c>
      <c r="D1327" s="280">
        <f>'Profits 2016'!K6540</f>
        <v>127.32149999999999</v>
      </c>
      <c r="E1327" s="276">
        <f>'Profits 2016'!L6540</f>
        <v>424</v>
      </c>
      <c r="F1327" s="275" t="str">
        <f>'Profits 2016'!P6540</f>
        <v>Nassau</v>
      </c>
      <c r="G1327" s="292">
        <f>'Profits 2016'!N6540-'Profits 2016'!M6540</f>
        <v>63.6</v>
      </c>
      <c r="H1327" s="319"/>
      <c r="I1327" s="320"/>
      <c r="J1327" s="321"/>
      <c r="K1327" s="321"/>
      <c r="L1327" s="321"/>
      <c r="M1327" s="319"/>
      <c r="N1327" s="322"/>
      <c r="O1327" s="236" t="str">
        <f>'Profits 2016'!T6540</f>
        <v>FEDEX GROUND</v>
      </c>
      <c r="P1327" s="284" t="str">
        <f>'Profits 2016'!U6540</f>
        <v>702723290896</v>
      </c>
      <c r="Q1327" s="284" t="s">
        <v>314</v>
      </c>
      <c r="R1327" s="276">
        <v>18.46</v>
      </c>
      <c r="S1327" s="275" t="s">
        <v>15869</v>
      </c>
      <c r="T1327" s="279">
        <v>42681</v>
      </c>
      <c r="U1327" s="279">
        <v>42688</v>
      </c>
      <c r="V1327" s="279">
        <v>42692</v>
      </c>
      <c r="W1327" s="293">
        <f t="shared" si="168"/>
        <v>18.46</v>
      </c>
      <c r="X1327" s="236">
        <v>9444</v>
      </c>
      <c r="AF1327" s="276">
        <f t="shared" si="160"/>
        <v>82.06</v>
      </c>
      <c r="AG1327" s="276">
        <f t="shared" si="161"/>
        <v>18.46</v>
      </c>
      <c r="AH1327" s="276">
        <f t="shared" si="162"/>
        <v>108.86149999999998</v>
      </c>
      <c r="AI1327" s="283">
        <f t="shared" si="163"/>
        <v>1.3266085790884716</v>
      </c>
    </row>
    <row r="1328" spans="1:35" ht="30" x14ac:dyDescent="0.25">
      <c r="A1328" s="275">
        <f>'Profits 2016'!A6541</f>
        <v>3005119</v>
      </c>
      <c r="B1328" s="279">
        <f>'Profits 2016'!B6541</f>
        <v>42667</v>
      </c>
      <c r="C1328" s="276">
        <f>'Profits 2016'!H6541</f>
        <v>168.04</v>
      </c>
      <c r="D1328" s="280">
        <f>'Profits 2016'!K6541</f>
        <v>142.834</v>
      </c>
      <c r="E1328" s="276">
        <f>'Profits 2016'!L6541</f>
        <v>2150</v>
      </c>
      <c r="F1328" s="275" t="str">
        <f>'Profits 2016'!P6541</f>
        <v>Nassau</v>
      </c>
      <c r="G1328" s="292">
        <f>'Profits 2016'!N6541-'Profits 2016'!M6541</f>
        <v>107.49999999999999</v>
      </c>
      <c r="H1328" s="319"/>
      <c r="I1328" s="320"/>
      <c r="J1328" s="321"/>
      <c r="K1328" s="321"/>
      <c r="L1328" s="321"/>
      <c r="M1328" s="319"/>
      <c r="N1328" s="322"/>
      <c r="O1328" s="236" t="str">
        <f>'Profits 2016'!T6541</f>
        <v>FEDEX GROUND</v>
      </c>
      <c r="P1328" s="284" t="str">
        <f>'Profits 2016'!U6541</f>
        <v>702723290988</v>
      </c>
      <c r="Q1328" s="284" t="s">
        <v>314</v>
      </c>
      <c r="R1328" s="276">
        <v>28.89</v>
      </c>
      <c r="S1328" s="275" t="s">
        <v>15869</v>
      </c>
      <c r="T1328" s="279">
        <v>42681</v>
      </c>
      <c r="U1328" s="279">
        <v>42688</v>
      </c>
      <c r="V1328" s="279">
        <v>42692</v>
      </c>
      <c r="W1328" s="293">
        <f t="shared" si="168"/>
        <v>28.89</v>
      </c>
      <c r="X1328" s="236">
        <v>9444</v>
      </c>
      <c r="AF1328" s="276">
        <f t="shared" si="160"/>
        <v>136.38999999999999</v>
      </c>
      <c r="AG1328" s="276">
        <f t="shared" si="161"/>
        <v>28.89</v>
      </c>
      <c r="AH1328" s="276">
        <f t="shared" si="162"/>
        <v>113.944</v>
      </c>
      <c r="AI1328" s="283">
        <f t="shared" si="163"/>
        <v>0.83542781728865767</v>
      </c>
    </row>
    <row r="1329" spans="1:35" ht="30" x14ac:dyDescent="0.25">
      <c r="A1329" s="275">
        <f>'Profits 2016'!A6542</f>
        <v>3005120</v>
      </c>
      <c r="B1329" s="279">
        <f>'Profits 2016'!B6542</f>
        <v>42667</v>
      </c>
      <c r="C1329" s="276">
        <f>'Profits 2016'!H6542</f>
        <v>129.36000000000001</v>
      </c>
      <c r="D1329" s="280">
        <f>'Profits 2016'!K6542</f>
        <v>109.95600000000002</v>
      </c>
      <c r="E1329" s="276">
        <f>'Profits 2016'!L6542</f>
        <v>375</v>
      </c>
      <c r="F1329" s="275" t="str">
        <f>'Profits 2016'!P6542</f>
        <v>Thea</v>
      </c>
      <c r="G1329" s="292">
        <f>'Profits 2016'!N6542-'Profits 2016'!M6542</f>
        <v>56.25</v>
      </c>
      <c r="H1329" s="319"/>
      <c r="I1329" s="320"/>
      <c r="J1329" s="321"/>
      <c r="K1329" s="321"/>
      <c r="L1329" s="321"/>
      <c r="M1329" s="319"/>
      <c r="N1329" s="322"/>
      <c r="O1329" s="236" t="str">
        <f>'Profits 2016'!T6542</f>
        <v>FEDEX GROUND</v>
      </c>
      <c r="P1329" s="284" t="str">
        <f>'Profits 2016'!U6542</f>
        <v>675157531124</v>
      </c>
      <c r="Q1329" s="284" t="s">
        <v>314</v>
      </c>
      <c r="R1329" s="276">
        <v>23.08</v>
      </c>
      <c r="S1329" s="275" t="s">
        <v>15869</v>
      </c>
      <c r="T1329" s="279">
        <v>42681</v>
      </c>
      <c r="U1329" s="279">
        <v>42688</v>
      </c>
      <c r="V1329" s="279">
        <v>42692</v>
      </c>
      <c r="W1329" s="293">
        <f t="shared" si="168"/>
        <v>23.08</v>
      </c>
      <c r="X1329" s="236">
        <v>9444</v>
      </c>
      <c r="AF1329" s="276">
        <f t="shared" si="160"/>
        <v>79.33</v>
      </c>
      <c r="AG1329" s="276">
        <f t="shared" si="161"/>
        <v>23.08</v>
      </c>
      <c r="AH1329" s="276">
        <f t="shared" si="162"/>
        <v>86.876000000000019</v>
      </c>
      <c r="AI1329" s="283">
        <f t="shared" si="163"/>
        <v>1.095121643766545</v>
      </c>
    </row>
    <row r="1330" spans="1:35" ht="30" x14ac:dyDescent="0.25">
      <c r="A1330" s="275">
        <f>'Profits 2016'!A6543</f>
        <v>3005121</v>
      </c>
      <c r="B1330" s="279">
        <f>'Profits 2016'!B6543</f>
        <v>42667</v>
      </c>
      <c r="C1330" s="276">
        <f>'Profits 2016'!H6543</f>
        <v>107.91</v>
      </c>
      <c r="D1330" s="280">
        <f>'Profits 2016'!K6543</f>
        <v>91.723500000000001</v>
      </c>
      <c r="E1330" s="276">
        <f>'Profits 2016'!L6543</f>
        <v>754</v>
      </c>
      <c r="F1330" s="275" t="str">
        <f>'Profits 2016'!P6543</f>
        <v>Direct</v>
      </c>
      <c r="G1330" s="292">
        <f>'Profits 2016'!N6543-'Profits 2016'!M6543</f>
        <v>75.400000000000006</v>
      </c>
      <c r="H1330" s="331">
        <v>0</v>
      </c>
      <c r="I1330" s="332">
        <v>75114</v>
      </c>
      <c r="J1330" s="333">
        <v>42668</v>
      </c>
      <c r="K1330" s="333">
        <v>42671</v>
      </c>
      <c r="L1330" s="333">
        <v>42678</v>
      </c>
      <c r="M1330" s="331">
        <v>73.89</v>
      </c>
      <c r="N1330" s="334">
        <v>9291</v>
      </c>
      <c r="O1330" s="236" t="str">
        <f>'Profits 2016'!T6543</f>
        <v>FEDEX GROUND</v>
      </c>
      <c r="P1330" s="284" t="str">
        <f>'Profits 2016'!U6543</f>
        <v>642286529338</v>
      </c>
      <c r="Q1330" s="284" t="s">
        <v>314</v>
      </c>
      <c r="R1330" s="276">
        <v>16.399999999999999</v>
      </c>
      <c r="S1330" s="275" t="s">
        <v>15869</v>
      </c>
      <c r="T1330" s="279">
        <v>42681</v>
      </c>
      <c r="U1330" s="279">
        <v>42688</v>
      </c>
      <c r="V1330" s="279">
        <v>42692</v>
      </c>
      <c r="W1330" s="293">
        <f t="shared" si="168"/>
        <v>16.399999999999999</v>
      </c>
      <c r="X1330" s="236">
        <v>9444</v>
      </c>
      <c r="AF1330" s="276">
        <f t="shared" si="160"/>
        <v>91.800000000000011</v>
      </c>
      <c r="AG1330" s="276">
        <f t="shared" si="161"/>
        <v>90.289999999999992</v>
      </c>
      <c r="AH1330" s="276">
        <f t="shared" si="162"/>
        <v>1.4335000000000093</v>
      </c>
      <c r="AI1330" s="283">
        <f t="shared" si="163"/>
        <v>1.5615468409586157E-2</v>
      </c>
    </row>
    <row r="1331" spans="1:35" x14ac:dyDescent="0.25">
      <c r="A1331" s="275">
        <f>'Profits 2016'!A6544</f>
        <v>3005122</v>
      </c>
      <c r="B1331" s="279">
        <f>'Profits 2016'!B6544</f>
        <v>42667</v>
      </c>
      <c r="C1331" s="276">
        <f>'Profits 2016'!H6544</f>
        <v>563.54999999999995</v>
      </c>
      <c r="D1331" s="280">
        <f>'Profits 2016'!K6544</f>
        <v>479.01749999999998</v>
      </c>
      <c r="E1331" s="276">
        <f>'Profits 2016'!L6544</f>
        <v>900</v>
      </c>
      <c r="F1331" s="275" t="str">
        <f>'Profits 2016'!P6544</f>
        <v>Nassau</v>
      </c>
      <c r="G1331" s="292">
        <f>'Profits 2016'!N6544-'Profits 2016'!M6544</f>
        <v>270</v>
      </c>
      <c r="H1331" s="319"/>
      <c r="I1331" s="320"/>
      <c r="J1331" s="321"/>
      <c r="K1331" s="321"/>
      <c r="L1331" s="321"/>
      <c r="M1331" s="319"/>
      <c r="N1331" s="322"/>
      <c r="O1331" s="236" t="str">
        <f>'Profits 2016'!T6544</f>
        <v>R&amp;L/ECHO</v>
      </c>
      <c r="P1331" s="284" t="str">
        <f>'Profits 2016'!U6544</f>
        <v>730506627</v>
      </c>
      <c r="Q1331" s="284" t="s">
        <v>15767</v>
      </c>
      <c r="R1331" s="276">
        <v>182.32</v>
      </c>
      <c r="S1331" s="275" t="s">
        <v>15904</v>
      </c>
      <c r="T1331" s="279">
        <v>42675</v>
      </c>
      <c r="U1331" s="279">
        <v>42681</v>
      </c>
      <c r="V1331" s="279">
        <v>42697</v>
      </c>
      <c r="W1331" s="293">
        <v>182.32</v>
      </c>
      <c r="X1331" s="236">
        <v>9470</v>
      </c>
      <c r="AF1331" s="276">
        <f t="shared" si="160"/>
        <v>452.32</v>
      </c>
      <c r="AG1331" s="276">
        <f t="shared" si="161"/>
        <v>182.32</v>
      </c>
      <c r="AH1331" s="276">
        <f t="shared" si="162"/>
        <v>296.69749999999999</v>
      </c>
      <c r="AI1331" s="283">
        <f t="shared" si="163"/>
        <v>0.6559460116731517</v>
      </c>
    </row>
    <row r="1332" spans="1:35" ht="30" x14ac:dyDescent="0.25">
      <c r="A1332" s="275">
        <f>'Profits 2016'!A6545</f>
        <v>3005123</v>
      </c>
      <c r="B1332" s="279">
        <f>'Profits 2016'!B6545</f>
        <v>42667</v>
      </c>
      <c r="C1332" s="276">
        <f>'Profits 2016'!H6545</f>
        <v>578.20000000000005</v>
      </c>
      <c r="D1332" s="280">
        <f>'Profits 2016'!K6545</f>
        <v>491.47</v>
      </c>
      <c r="E1332" s="276">
        <f>'Profits 2016'!L6545</f>
        <v>800</v>
      </c>
      <c r="F1332" s="275" t="str">
        <f>'Profits 2016'!P6545</f>
        <v>Direct</v>
      </c>
      <c r="G1332" s="292">
        <f>'Profits 2016'!N6545-'Profits 2016'!M6545</f>
        <v>200</v>
      </c>
      <c r="H1332" s="331">
        <v>0</v>
      </c>
      <c r="I1332" s="332">
        <v>75117</v>
      </c>
      <c r="J1332" s="333">
        <v>42668</v>
      </c>
      <c r="K1332" s="333">
        <v>42671</v>
      </c>
      <c r="L1332" s="333">
        <v>42678</v>
      </c>
      <c r="M1332" s="331">
        <v>392</v>
      </c>
      <c r="N1332" s="334">
        <v>9291</v>
      </c>
      <c r="O1332" s="236" t="str">
        <f>'Profits 2016'!T6545</f>
        <v>FEDEX GROUND</v>
      </c>
      <c r="P1332" s="284" t="str">
        <f>'Profits 2016'!U6545</f>
        <v>630512245464</v>
      </c>
      <c r="AF1332" s="276">
        <f t="shared" si="160"/>
        <v>200</v>
      </c>
      <c r="AG1332" s="276">
        <f t="shared" si="161"/>
        <v>392</v>
      </c>
      <c r="AH1332" s="276">
        <f t="shared" si="162"/>
        <v>99.470000000000027</v>
      </c>
      <c r="AI1332" s="283">
        <f t="shared" si="163"/>
        <v>0.49735000000000013</v>
      </c>
    </row>
    <row r="1333" spans="1:35" x14ac:dyDescent="0.25">
      <c r="A1333" s="275">
        <f>'Profits 2016'!A6546</f>
        <v>0</v>
      </c>
      <c r="B1333" s="279">
        <f>'Profits 2016'!B6546</f>
        <v>0</v>
      </c>
      <c r="C1333" s="276">
        <f>'Profits 2016'!H6546</f>
        <v>0</v>
      </c>
      <c r="D1333" s="280">
        <f>'Profits 2016'!K6546</f>
        <v>0</v>
      </c>
      <c r="E1333" s="276">
        <f>'Profits 2016'!L6546</f>
        <v>800</v>
      </c>
      <c r="F1333" s="275" t="str">
        <f>'Profits 2016'!P6546</f>
        <v>Direct</v>
      </c>
      <c r="G1333" s="292">
        <f>'Profits 2016'!N6546-'Profits 2016'!M6546</f>
        <v>200</v>
      </c>
      <c r="H1333" s="331">
        <v>0</v>
      </c>
      <c r="I1333" s="332">
        <v>75117</v>
      </c>
      <c r="J1333" s="333">
        <v>42668</v>
      </c>
      <c r="K1333" s="333">
        <v>42671</v>
      </c>
      <c r="L1333" s="333">
        <v>42678</v>
      </c>
      <c r="M1333" s="331">
        <v>0</v>
      </c>
      <c r="N1333" s="334">
        <v>9291</v>
      </c>
      <c r="O1333" s="236">
        <f>'Profits 2016'!T6546</f>
        <v>0</v>
      </c>
      <c r="P1333" s="284">
        <f>'Profits 2016'!U6546</f>
        <v>0</v>
      </c>
      <c r="AF1333" s="276">
        <f t="shared" si="160"/>
        <v>200</v>
      </c>
      <c r="AG1333" s="276">
        <f t="shared" si="161"/>
        <v>0</v>
      </c>
      <c r="AH1333" s="276">
        <f t="shared" si="162"/>
        <v>0</v>
      </c>
      <c r="AI1333" s="283">
        <f t="shared" si="163"/>
        <v>0</v>
      </c>
    </row>
    <row r="1334" spans="1:35" x14ac:dyDescent="0.25">
      <c r="A1334" s="275">
        <f>'Profits 2016'!A6547</f>
        <v>3005124</v>
      </c>
      <c r="B1334" s="279">
        <f>'Profits 2016'!B6547</f>
        <v>42667</v>
      </c>
      <c r="C1334" s="276">
        <f>'Profits 2016'!H6547</f>
        <v>107.91</v>
      </c>
      <c r="D1334" s="280">
        <f>'Profits 2016'!K6547</f>
        <v>91.723500000000001</v>
      </c>
      <c r="E1334" s="276">
        <f>'Profits 2016'!L6547</f>
        <v>754</v>
      </c>
      <c r="F1334" s="275" t="str">
        <f>'Profits 2016'!P6547</f>
        <v>Direct</v>
      </c>
      <c r="G1334" s="292">
        <f>'Profits 2016'!N6547-'Profits 2016'!M6547</f>
        <v>37.700000000000003</v>
      </c>
      <c r="H1334" s="331">
        <v>0</v>
      </c>
      <c r="I1334" s="332">
        <v>75170</v>
      </c>
      <c r="J1334" s="333">
        <v>42669</v>
      </c>
      <c r="K1334" s="333">
        <v>42675</v>
      </c>
      <c r="L1334" s="333">
        <v>42678</v>
      </c>
      <c r="M1334" s="331">
        <v>74.64</v>
      </c>
      <c r="N1334" s="334">
        <v>9294</v>
      </c>
      <c r="O1334" s="236" t="e">
        <f>'Profits 2016'!#REF!</f>
        <v>#REF!</v>
      </c>
      <c r="P1334" s="284" t="str">
        <f>'Profits 2016'!U6547</f>
        <v>639794970055</v>
      </c>
      <c r="Q1334" s="284" t="s">
        <v>314</v>
      </c>
      <c r="R1334" s="276">
        <v>16.399999999999999</v>
      </c>
      <c r="S1334" s="275" t="s">
        <v>15869</v>
      </c>
      <c r="T1334" s="279">
        <v>42681</v>
      </c>
      <c r="U1334" s="279">
        <v>42688</v>
      </c>
      <c r="V1334" s="279">
        <v>42692</v>
      </c>
      <c r="W1334" s="293">
        <f>R1334</f>
        <v>16.399999999999999</v>
      </c>
      <c r="X1334" s="236">
        <v>9444</v>
      </c>
      <c r="AF1334" s="276">
        <f t="shared" si="160"/>
        <v>54.1</v>
      </c>
      <c r="AG1334" s="276">
        <f t="shared" si="161"/>
        <v>91.039999999999992</v>
      </c>
      <c r="AH1334" s="276">
        <f t="shared" si="162"/>
        <v>0.68350000000000932</v>
      </c>
      <c r="AI1334" s="283">
        <f t="shared" si="163"/>
        <v>1.2634011090573185E-2</v>
      </c>
    </row>
    <row r="1335" spans="1:35" ht="30" x14ac:dyDescent="0.25">
      <c r="A1335" s="275">
        <f>'Profits 2016'!A6548</f>
        <v>0</v>
      </c>
      <c r="B1335" s="279">
        <f>'Profits 2016'!B6548</f>
        <v>0</v>
      </c>
      <c r="C1335" s="276">
        <f>'Profits 2016'!H6548</f>
        <v>0</v>
      </c>
      <c r="D1335" s="280">
        <f>'Profits 2016'!K6548</f>
        <v>0</v>
      </c>
      <c r="E1335" s="276">
        <f>'Profits 2016'!L6548</f>
        <v>769</v>
      </c>
      <c r="F1335" s="275" t="str">
        <f>'Profits 2016'!P6548</f>
        <v>Direct</v>
      </c>
      <c r="G1335" s="292">
        <f>'Profits 2016'!N6548-'Profits 2016'!M6548</f>
        <v>38.450000000000003</v>
      </c>
      <c r="H1335" s="331">
        <v>0</v>
      </c>
      <c r="I1335" s="332">
        <v>75170</v>
      </c>
      <c r="J1335" s="333">
        <v>42669</v>
      </c>
      <c r="K1335" s="333">
        <v>42675</v>
      </c>
      <c r="L1335" s="333">
        <v>42678</v>
      </c>
      <c r="M1335" s="331">
        <v>0</v>
      </c>
      <c r="N1335" s="334">
        <v>9294</v>
      </c>
      <c r="O1335" s="236" t="str">
        <f>'Profits 2016'!T6547</f>
        <v>FEDEX GROUND</v>
      </c>
      <c r="P1335" s="284">
        <f>'Profits 2016'!U6548</f>
        <v>0</v>
      </c>
      <c r="AF1335" s="276">
        <f t="shared" si="160"/>
        <v>38.450000000000003</v>
      </c>
      <c r="AG1335" s="276">
        <f t="shared" si="161"/>
        <v>0</v>
      </c>
      <c r="AH1335" s="276">
        <f t="shared" si="162"/>
        <v>0</v>
      </c>
      <c r="AI1335" s="283">
        <f t="shared" si="163"/>
        <v>0</v>
      </c>
    </row>
    <row r="1336" spans="1:35" ht="30" x14ac:dyDescent="0.25">
      <c r="A1336" s="275">
        <f>'Profits 2016'!A6549</f>
        <v>3005125</v>
      </c>
      <c r="B1336" s="279">
        <f>'Profits 2016'!B6549</f>
        <v>42667</v>
      </c>
      <c r="C1336" s="276">
        <f>'Profits 2016'!H6549</f>
        <v>370.5</v>
      </c>
      <c r="D1336" s="280">
        <f>'Profits 2016'!K6549</f>
        <v>329.81549999999999</v>
      </c>
      <c r="E1336" s="276">
        <f>'Profits 2016'!L6549</f>
        <v>1100</v>
      </c>
      <c r="F1336" s="275" t="str">
        <f>'Profits 2016'!P6549</f>
        <v>Nassau</v>
      </c>
      <c r="G1336" s="292">
        <f>'Profits 2016'!N6549-'Profits 2016'!M6549</f>
        <v>165</v>
      </c>
      <c r="H1336" s="319"/>
      <c r="I1336" s="320"/>
      <c r="J1336" s="321"/>
      <c r="K1336" s="321"/>
      <c r="L1336" s="321"/>
      <c r="M1336" s="319"/>
      <c r="N1336" s="322"/>
      <c r="O1336" s="236" t="str">
        <f>'Profits 2016'!T6549</f>
        <v>FEDEX GROUND</v>
      </c>
      <c r="P1336" s="284" t="str">
        <f>'Profits 2016'!U6549</f>
        <v>702723291127</v>
      </c>
      <c r="Q1336" s="284" t="s">
        <v>314</v>
      </c>
      <c r="R1336" s="276">
        <v>48.5</v>
      </c>
      <c r="S1336" s="275" t="s">
        <v>15873</v>
      </c>
      <c r="T1336" s="279">
        <v>42688</v>
      </c>
      <c r="U1336" s="279">
        <v>42691</v>
      </c>
      <c r="V1336" s="279">
        <v>42697</v>
      </c>
      <c r="W1336" s="293">
        <v>48.5</v>
      </c>
      <c r="X1336" s="236">
        <v>9494</v>
      </c>
      <c r="AF1336" s="276">
        <f t="shared" si="160"/>
        <v>213.5</v>
      </c>
      <c r="AG1336" s="276">
        <f t="shared" si="161"/>
        <v>48.5</v>
      </c>
      <c r="AH1336" s="276">
        <f t="shared" si="162"/>
        <v>281.31549999999999</v>
      </c>
      <c r="AI1336" s="283">
        <f t="shared" si="163"/>
        <v>1.3176370023419204</v>
      </c>
    </row>
    <row r="1337" spans="1:35" ht="30" x14ac:dyDescent="0.25">
      <c r="A1337" s="275">
        <f>'Profits 2016'!A6550</f>
        <v>3005126</v>
      </c>
      <c r="B1337" s="279">
        <f>'Profits 2016'!B6550</f>
        <v>42667</v>
      </c>
      <c r="C1337" s="276">
        <f>'Profits 2016'!H6550</f>
        <v>180</v>
      </c>
      <c r="D1337" s="280">
        <f>'Profits 2016'!K6550</f>
        <v>160.08000000000001</v>
      </c>
      <c r="E1337" s="276">
        <f>'Profits 2016'!L6550</f>
        <v>589</v>
      </c>
      <c r="F1337" s="275" t="str">
        <f>'Profits 2016'!P6550</f>
        <v>Nassau</v>
      </c>
      <c r="G1337" s="292">
        <f>'Profits 2016'!N6550-'Profits 2016'!M6550</f>
        <v>70.679999999999993</v>
      </c>
      <c r="H1337" s="319"/>
      <c r="I1337" s="320"/>
      <c r="J1337" s="321"/>
      <c r="K1337" s="321"/>
      <c r="L1337" s="321"/>
      <c r="M1337" s="319"/>
      <c r="N1337" s="322"/>
      <c r="O1337" s="236" t="str">
        <f>'Profits 2016'!T6550</f>
        <v>FEDEX GROUND</v>
      </c>
      <c r="P1337" s="284" t="str">
        <f>'Profits 2016'!U6550</f>
        <v>702723290966</v>
      </c>
      <c r="Q1337" s="284" t="s">
        <v>314</v>
      </c>
      <c r="R1337" s="276">
        <v>21.25</v>
      </c>
      <c r="S1337" s="275" t="s">
        <v>15869</v>
      </c>
      <c r="T1337" s="279">
        <v>42681</v>
      </c>
      <c r="U1337" s="279">
        <v>42688</v>
      </c>
      <c r="V1337" s="279">
        <v>42692</v>
      </c>
      <c r="W1337" s="293">
        <f>R1337</f>
        <v>21.25</v>
      </c>
      <c r="X1337" s="236">
        <v>9444</v>
      </c>
      <c r="AF1337" s="276">
        <f t="shared" si="160"/>
        <v>91.929999999999993</v>
      </c>
      <c r="AG1337" s="276">
        <f t="shared" si="161"/>
        <v>21.25</v>
      </c>
      <c r="AH1337" s="276">
        <f t="shared" si="162"/>
        <v>138.83000000000001</v>
      </c>
      <c r="AI1337" s="283">
        <f t="shared" si="163"/>
        <v>1.5101707821168282</v>
      </c>
    </row>
    <row r="1338" spans="1:35" ht="45" x14ac:dyDescent="0.25">
      <c r="A1338" s="275">
        <f>'Profits 2016'!A6551</f>
        <v>3005127</v>
      </c>
      <c r="B1338" s="279">
        <f>'Profits 2016'!B6551</f>
        <v>42667</v>
      </c>
      <c r="C1338" s="276">
        <f>'Profits 2016'!H6551</f>
        <v>2618.6799999999998</v>
      </c>
      <c r="D1338" s="280">
        <f>'Profits 2016'!K6551</f>
        <v>2560.7690399999997</v>
      </c>
      <c r="E1338" s="276">
        <f>'Profits 2016'!L6551</f>
        <v>1906</v>
      </c>
      <c r="F1338" s="275" t="str">
        <f>'Profits 2016'!P6551</f>
        <v>Service</v>
      </c>
      <c r="G1338" s="292">
        <f>'Profits 2016'!N6551-'Profits 2016'!M6551</f>
        <v>1906</v>
      </c>
      <c r="H1338" s="331">
        <v>0</v>
      </c>
      <c r="I1338" s="332">
        <v>50265321</v>
      </c>
      <c r="J1338" s="333">
        <v>42668</v>
      </c>
      <c r="K1338" s="333">
        <v>42675</v>
      </c>
      <c r="L1338" s="333">
        <v>42697</v>
      </c>
      <c r="M1338" s="331">
        <v>1906</v>
      </c>
      <c r="N1338" s="334">
        <v>9481</v>
      </c>
      <c r="O1338" s="236" t="str">
        <f>'Profits 2016'!T6551</f>
        <v>OLD DOMINION</v>
      </c>
      <c r="P1338" s="284" t="str">
        <f>'Profits 2016'!U6551</f>
        <v>14203323259</v>
      </c>
      <c r="AF1338" s="276">
        <f t="shared" si="160"/>
        <v>1906</v>
      </c>
      <c r="AG1338" s="276">
        <f t="shared" si="161"/>
        <v>1906</v>
      </c>
      <c r="AH1338" s="276">
        <f t="shared" si="162"/>
        <v>654.76903999999968</v>
      </c>
      <c r="AI1338" s="283">
        <f t="shared" si="163"/>
        <v>0.34353045120671549</v>
      </c>
    </row>
    <row r="1339" spans="1:35" x14ac:dyDescent="0.25">
      <c r="A1339" s="275">
        <f>'Profits 2016'!A6552</f>
        <v>0</v>
      </c>
      <c r="B1339" s="279">
        <f>'Profits 2016'!B6552</f>
        <v>0</v>
      </c>
      <c r="C1339" s="276">
        <f>'Profits 2016'!H6552</f>
        <v>0</v>
      </c>
      <c r="D1339" s="280">
        <f>'Profits 2016'!K6552</f>
        <v>0</v>
      </c>
      <c r="E1339" s="276">
        <f>'Profits 2016'!L6552</f>
        <v>458</v>
      </c>
      <c r="F1339" s="275" t="str">
        <f>'Profits 2016'!P6552</f>
        <v>Service</v>
      </c>
      <c r="G1339" s="292">
        <f>'Profits 2016'!N6552-'Profits 2016'!M6552</f>
        <v>100.76</v>
      </c>
      <c r="H1339" s="331">
        <v>0</v>
      </c>
      <c r="I1339" s="332">
        <v>50265321</v>
      </c>
      <c r="J1339" s="333">
        <v>42668</v>
      </c>
      <c r="K1339" s="333">
        <v>42675</v>
      </c>
      <c r="L1339" s="333">
        <v>42697</v>
      </c>
      <c r="M1339" s="331">
        <v>100.76</v>
      </c>
      <c r="N1339" s="334">
        <v>9481</v>
      </c>
      <c r="O1339" s="236">
        <f>'Profits 2016'!T6552</f>
        <v>0</v>
      </c>
      <c r="P1339" s="284">
        <f>'Profits 2016'!U6552</f>
        <v>0</v>
      </c>
      <c r="AF1339" s="276">
        <f t="shared" si="160"/>
        <v>100.76</v>
      </c>
      <c r="AG1339" s="276">
        <f t="shared" si="161"/>
        <v>100.76</v>
      </c>
      <c r="AH1339" s="276">
        <f t="shared" si="162"/>
        <v>-100.76</v>
      </c>
      <c r="AI1339" s="283">
        <f t="shared" si="163"/>
        <v>-1</v>
      </c>
    </row>
    <row r="1340" spans="1:35" x14ac:dyDescent="0.25">
      <c r="A1340" s="275">
        <f>'Profits 2016'!A6553</f>
        <v>0</v>
      </c>
      <c r="B1340" s="279">
        <f>'Profits 2016'!B6553</f>
        <v>0</v>
      </c>
      <c r="C1340" s="276">
        <f>'Profits 2016'!H6553</f>
        <v>0</v>
      </c>
      <c r="D1340" s="280">
        <f>'Profits 2016'!K6553</f>
        <v>0</v>
      </c>
      <c r="E1340" s="276">
        <f>'Profits 2016'!L6553</f>
        <v>230</v>
      </c>
      <c r="F1340" s="275" t="str">
        <f>'Profits 2016'!P6553</f>
        <v>Service</v>
      </c>
      <c r="G1340" s="292">
        <f>'Profits 2016'!N6553-'Profits 2016'!M6553</f>
        <v>13.799999999999999</v>
      </c>
      <c r="H1340" s="331">
        <v>0</v>
      </c>
      <c r="I1340" s="332">
        <v>50265321</v>
      </c>
      <c r="J1340" s="333">
        <v>42668</v>
      </c>
      <c r="K1340" s="333">
        <v>42675</v>
      </c>
      <c r="L1340" s="333">
        <v>42697</v>
      </c>
      <c r="M1340" s="331">
        <v>13.8</v>
      </c>
      <c r="N1340" s="334">
        <v>9481</v>
      </c>
      <c r="O1340" s="236">
        <f>'Profits 2016'!T6553</f>
        <v>0</v>
      </c>
      <c r="P1340" s="284">
        <f>'Profits 2016'!U6553</f>
        <v>0</v>
      </c>
      <c r="AF1340" s="276">
        <f t="shared" si="160"/>
        <v>13.799999999999999</v>
      </c>
      <c r="AG1340" s="276">
        <f t="shared" si="161"/>
        <v>13.8</v>
      </c>
      <c r="AH1340" s="276">
        <f t="shared" si="162"/>
        <v>-13.8</v>
      </c>
      <c r="AI1340" s="283">
        <f t="shared" si="163"/>
        <v>-1.0000000000000002</v>
      </c>
    </row>
    <row r="1341" spans="1:35" ht="29.25" customHeight="1" x14ac:dyDescent="0.25">
      <c r="A1341" s="275">
        <f>'Profits 2016'!A6554</f>
        <v>3005128</v>
      </c>
      <c r="B1341" s="279">
        <f>'Profits 2016'!B6554</f>
        <v>42667</v>
      </c>
      <c r="C1341" s="276">
        <f>'Profits 2016'!H6554</f>
        <v>547</v>
      </c>
      <c r="D1341" s="280">
        <f>'Profits 2016'!K6554</f>
        <v>534.66600000000005</v>
      </c>
      <c r="E1341" s="276">
        <f>'Profits 2016'!L6554</f>
        <v>1795</v>
      </c>
      <c r="F1341" s="275" t="str">
        <f>'Profits 2016'!P6554</f>
        <v>Nassau</v>
      </c>
      <c r="G1341" s="292">
        <f>'Profits 2016'!N6554-'Profits 2016'!M6554</f>
        <v>305.15000000000009</v>
      </c>
      <c r="H1341" s="319"/>
      <c r="I1341" s="320"/>
      <c r="J1341" s="321"/>
      <c r="K1341" s="321"/>
      <c r="L1341" s="321"/>
      <c r="M1341" s="319"/>
      <c r="N1341" s="322"/>
      <c r="O1341" s="236" t="str">
        <f>'Profits 2016'!T6554</f>
        <v>FEDEX GROUND</v>
      </c>
      <c r="P1341" s="284" t="str">
        <f>'Profits 2016'!U6554</f>
        <v>702723291002  , 702723291013  </v>
      </c>
      <c r="Q1341" s="284" t="s">
        <v>314</v>
      </c>
      <c r="R1341" s="276">
        <f>48.2+48.2</f>
        <v>96.4</v>
      </c>
      <c r="S1341" s="275" t="s">
        <v>15869</v>
      </c>
      <c r="T1341" s="279">
        <v>42681</v>
      </c>
      <c r="U1341" s="279">
        <v>42688</v>
      </c>
      <c r="V1341" s="279">
        <v>42692</v>
      </c>
      <c r="W1341" s="293">
        <f>R1341</f>
        <v>96.4</v>
      </c>
      <c r="X1341" s="236">
        <v>9444</v>
      </c>
      <c r="AF1341" s="276">
        <f t="shared" si="160"/>
        <v>401.55000000000007</v>
      </c>
      <c r="AG1341" s="276">
        <f t="shared" si="161"/>
        <v>96.4</v>
      </c>
      <c r="AH1341" s="276">
        <f t="shared" si="162"/>
        <v>438.26600000000008</v>
      </c>
      <c r="AI1341" s="283">
        <f t="shared" si="163"/>
        <v>1.0914356867139834</v>
      </c>
    </row>
    <row r="1342" spans="1:35" x14ac:dyDescent="0.25">
      <c r="A1342" s="275">
        <f>'Profits 2016'!A6555</f>
        <v>3005129</v>
      </c>
      <c r="B1342" s="279">
        <f>'Profits 2016'!B6555</f>
        <v>42667</v>
      </c>
      <c r="C1342" s="276">
        <f>'Profits 2016'!H6555</f>
        <v>3800</v>
      </c>
      <c r="D1342" s="280">
        <f>'Profits 2016'!K6555</f>
        <v>3716.1</v>
      </c>
      <c r="E1342" s="276">
        <f>'Profits 2016'!L6555</f>
        <v>1240</v>
      </c>
      <c r="F1342" s="275" t="str">
        <f>'Profits 2016'!P6555</f>
        <v>Nassau</v>
      </c>
      <c r="G1342" s="292">
        <f>'Profits 2016'!N6555-'Profits 2016'!M6555</f>
        <v>2480</v>
      </c>
      <c r="H1342" s="319"/>
      <c r="I1342" s="320"/>
      <c r="J1342" s="321"/>
      <c r="K1342" s="321"/>
      <c r="L1342" s="321"/>
      <c r="M1342" s="319"/>
      <c r="N1342" s="322"/>
      <c r="O1342" s="236" t="str">
        <f>'Profits 2016'!T6555</f>
        <v>NEMF/DLS</v>
      </c>
      <c r="P1342" s="284" t="str">
        <f>'Profits 2016'!U6555</f>
        <v>24103653</v>
      </c>
      <c r="Q1342" s="284" t="s">
        <v>15804</v>
      </c>
      <c r="R1342" s="276">
        <v>328.08</v>
      </c>
      <c r="S1342" s="275">
        <v>636903068</v>
      </c>
      <c r="T1342" s="279">
        <v>42674</v>
      </c>
      <c r="U1342" s="279">
        <v>42681</v>
      </c>
      <c r="AF1342" s="276">
        <f t="shared" si="160"/>
        <v>2808.08</v>
      </c>
      <c r="AG1342" s="276">
        <f t="shared" si="161"/>
        <v>328.08</v>
      </c>
      <c r="AH1342" s="276">
        <f t="shared" si="162"/>
        <v>3388.02</v>
      </c>
      <c r="AI1342" s="283">
        <f t="shared" si="163"/>
        <v>1.2065254551152389</v>
      </c>
    </row>
    <row r="1343" spans="1:35" x14ac:dyDescent="0.25">
      <c r="A1343" s="275">
        <f>'Profits 2016'!A6556</f>
        <v>3005130</v>
      </c>
      <c r="B1343" s="279">
        <f>'Profits 2016'!B6556</f>
        <v>42667</v>
      </c>
      <c r="C1343" s="276">
        <f>'Profits 2016'!H6556</f>
        <v>905</v>
      </c>
      <c r="D1343" s="280">
        <f>'Profits 2016'!K6556</f>
        <v>884.79</v>
      </c>
      <c r="E1343" s="276">
        <f>'Profits 2016'!L6556</f>
        <v>1240</v>
      </c>
      <c r="F1343" s="275" t="str">
        <f>'Profits 2016'!P6556</f>
        <v>Nassau</v>
      </c>
      <c r="G1343" s="292">
        <f>'Profits 2016'!N6556-'Profits 2016'!M6556</f>
        <v>496</v>
      </c>
      <c r="H1343" s="319"/>
      <c r="I1343" s="320"/>
      <c r="J1343" s="321"/>
      <c r="K1343" s="321"/>
      <c r="L1343" s="321"/>
      <c r="M1343" s="319"/>
      <c r="N1343" s="322"/>
      <c r="O1343" s="236" t="str">
        <f>'Profits 2016'!T6556</f>
        <v>FEDEX/DLS</v>
      </c>
      <c r="P1343" s="284" t="str">
        <f>'Profits 2016'!U6556</f>
        <v>3423651663</v>
      </c>
      <c r="Q1343" s="284" t="s">
        <v>15804</v>
      </c>
      <c r="R1343" s="276">
        <v>175.66</v>
      </c>
      <c r="S1343" s="275">
        <v>636902024</v>
      </c>
      <c r="T1343" s="279">
        <v>42674</v>
      </c>
      <c r="U1343" s="279">
        <v>42681</v>
      </c>
      <c r="AF1343" s="276">
        <f t="shared" si="160"/>
        <v>671.66</v>
      </c>
      <c r="AG1343" s="276">
        <f t="shared" si="161"/>
        <v>175.66</v>
      </c>
      <c r="AH1343" s="276">
        <f t="shared" si="162"/>
        <v>709.13</v>
      </c>
      <c r="AI1343" s="283">
        <f t="shared" si="163"/>
        <v>1.0557871542149302</v>
      </c>
    </row>
    <row r="1344" spans="1:35" ht="30" x14ac:dyDescent="0.25">
      <c r="A1344" s="275">
        <f>'Profits 2016'!A6557</f>
        <v>3005131</v>
      </c>
      <c r="B1344" s="279">
        <f>'Profits 2016'!B6557</f>
        <v>42667</v>
      </c>
      <c r="C1344" s="276">
        <f>'Profits 2016'!H6557</f>
        <v>130</v>
      </c>
      <c r="D1344" s="280">
        <f>'Profits 2016'!K6557</f>
        <v>126.84</v>
      </c>
      <c r="E1344" s="276">
        <f>'Profits 2016'!L6557</f>
        <v>629</v>
      </c>
      <c r="F1344" s="275" t="str">
        <f>'Profits 2016'!P6557</f>
        <v>Priority</v>
      </c>
      <c r="G1344" s="292">
        <f>'Profits 2016'!N6557-'Profits 2016'!M6557</f>
        <v>55.35199999999999</v>
      </c>
      <c r="H1344" s="331">
        <v>0</v>
      </c>
      <c r="I1344" s="332">
        <v>1069831</v>
      </c>
      <c r="J1344" s="333">
        <v>42668</v>
      </c>
      <c r="K1344" s="333">
        <v>42675</v>
      </c>
      <c r="L1344" s="333">
        <v>42697</v>
      </c>
      <c r="M1344" s="331">
        <v>55.35</v>
      </c>
      <c r="N1344" s="334">
        <v>9474</v>
      </c>
      <c r="O1344" s="236" t="str">
        <f>'Profits 2016'!T6557</f>
        <v>FEDEX GROUND</v>
      </c>
      <c r="P1344" s="284" t="str">
        <f>'Profits 2016'!U6557</f>
        <v>614697968816</v>
      </c>
      <c r="Q1344" s="284" t="s">
        <v>15740</v>
      </c>
      <c r="R1344" s="276">
        <v>23.92</v>
      </c>
      <c r="S1344" s="275">
        <v>1069831</v>
      </c>
      <c r="T1344" s="279">
        <v>42668</v>
      </c>
      <c r="U1344" s="279">
        <v>42675</v>
      </c>
      <c r="V1344" s="279">
        <v>42697</v>
      </c>
      <c r="W1344" s="293">
        <v>23.92</v>
      </c>
      <c r="X1344" s="236">
        <v>9474</v>
      </c>
      <c r="AF1344" s="276">
        <f t="shared" si="160"/>
        <v>79.271999999999991</v>
      </c>
      <c r="AG1344" s="276">
        <f t="shared" si="161"/>
        <v>79.27000000000001</v>
      </c>
      <c r="AH1344" s="276">
        <f t="shared" si="162"/>
        <v>47.569999999999993</v>
      </c>
      <c r="AI1344" s="283">
        <f t="shared" si="163"/>
        <v>0.60008578060349171</v>
      </c>
    </row>
    <row r="1345" spans="1:35" x14ac:dyDescent="0.25">
      <c r="A1345" s="275">
        <f>'Profits 2016'!A6558</f>
        <v>3005132</v>
      </c>
      <c r="B1345" s="279">
        <f>'Profits 2016'!B6558</f>
        <v>42667</v>
      </c>
      <c r="C1345" s="276">
        <f>'Profits 2016'!H6558</f>
        <v>2500</v>
      </c>
      <c r="D1345" s="280">
        <f>'Profits 2016'!K6558</f>
        <v>2418.4499999999998</v>
      </c>
      <c r="E1345" s="276">
        <f>'Profits 2016'!L6558</f>
        <v>2050</v>
      </c>
      <c r="F1345" s="275" t="str">
        <f>'Profits 2016'!P6558</f>
        <v>Direct</v>
      </c>
      <c r="G1345" s="292">
        <f>'Profits 2016'!N6558-'Profits 2016'!M6558</f>
        <v>2050</v>
      </c>
      <c r="H1345" s="331">
        <v>0</v>
      </c>
      <c r="I1345" s="332">
        <v>75043</v>
      </c>
      <c r="J1345" s="333">
        <v>42668</v>
      </c>
      <c r="K1345" s="333">
        <v>42671</v>
      </c>
      <c r="L1345" s="333">
        <v>42678</v>
      </c>
      <c r="M1345" s="331">
        <v>2009</v>
      </c>
      <c r="N1345" s="334">
        <v>9292</v>
      </c>
      <c r="O1345" s="236" t="str">
        <f>'Profits 2016'!T6558</f>
        <v>DILIGENT</v>
      </c>
      <c r="P1345" s="284" t="str">
        <f>'Profits 2016'!U6558</f>
        <v>332355</v>
      </c>
      <c r="AF1345" s="276">
        <f t="shared" si="160"/>
        <v>2050</v>
      </c>
      <c r="AG1345" s="276">
        <f t="shared" si="161"/>
        <v>2009</v>
      </c>
      <c r="AH1345" s="276">
        <f t="shared" si="162"/>
        <v>409.44999999999982</v>
      </c>
      <c r="AI1345" s="283">
        <f t="shared" si="163"/>
        <v>0.19973170731707307</v>
      </c>
    </row>
    <row r="1346" spans="1:35" x14ac:dyDescent="0.25">
      <c r="A1346" s="275">
        <f>'Profits 2016'!A6559</f>
        <v>3005133</v>
      </c>
      <c r="B1346" s="279">
        <f>'Profits 2016'!B6559</f>
        <v>42667</v>
      </c>
      <c r="C1346" s="276">
        <f>'Profits 2016'!H6559</f>
        <v>925.44</v>
      </c>
      <c r="D1346" s="280">
        <f>'Profits 2016'!K6559</f>
        <v>904.78032000000007</v>
      </c>
      <c r="E1346" s="276">
        <f>'Profits 2016'!L6559</f>
        <v>850</v>
      </c>
      <c r="F1346" s="275" t="str">
        <f>'Profits 2016'!P6559</f>
        <v>Nassau</v>
      </c>
      <c r="G1346" s="292">
        <f>'Profits 2016'!N6559-'Profits 2016'!M6559</f>
        <v>170</v>
      </c>
      <c r="H1346" s="319"/>
      <c r="I1346" s="320"/>
      <c r="J1346" s="321"/>
      <c r="K1346" s="321"/>
      <c r="L1346" s="321"/>
      <c r="M1346" s="319"/>
      <c r="N1346" s="322"/>
      <c r="O1346" s="236" t="str">
        <f>'Profits 2016'!T6559</f>
        <v>DUIE PYLE</v>
      </c>
      <c r="P1346" s="284" t="str">
        <f>'Profits 2016'!U6559</f>
        <v>334946480</v>
      </c>
      <c r="Q1346" s="284" t="s">
        <v>15751</v>
      </c>
      <c r="R1346" s="276">
        <v>150</v>
      </c>
      <c r="S1346" s="275">
        <v>10045947</v>
      </c>
      <c r="T1346" s="279">
        <v>42667</v>
      </c>
      <c r="U1346" s="279">
        <v>42670</v>
      </c>
      <c r="V1346" s="279">
        <v>42671</v>
      </c>
      <c r="W1346" s="293">
        <v>150</v>
      </c>
      <c r="X1346" s="236">
        <v>9272</v>
      </c>
      <c r="AF1346" s="276">
        <f t="shared" si="160"/>
        <v>320</v>
      </c>
      <c r="AG1346" s="276">
        <f t="shared" si="161"/>
        <v>150</v>
      </c>
      <c r="AH1346" s="276">
        <f t="shared" si="162"/>
        <v>754.78032000000007</v>
      </c>
      <c r="AI1346" s="283">
        <f t="shared" si="163"/>
        <v>2.3586885000000004</v>
      </c>
    </row>
    <row r="1347" spans="1:35" x14ac:dyDescent="0.25">
      <c r="A1347" s="275">
        <f>'Profits 2016'!A6560</f>
        <v>3005134</v>
      </c>
      <c r="B1347" s="279">
        <f>'Profits 2016'!B6560</f>
        <v>42667</v>
      </c>
      <c r="C1347" s="276">
        <f>'Profits 2016'!H6560</f>
        <v>9300</v>
      </c>
      <c r="D1347" s="280">
        <f>'Profits 2016'!K6560</f>
        <v>9300</v>
      </c>
      <c r="E1347" s="276">
        <f>'Profits 2016'!L6560</f>
        <v>330</v>
      </c>
      <c r="F1347" s="275" t="str">
        <f>'Profits 2016'!P6560</f>
        <v>Nassau</v>
      </c>
      <c r="G1347" s="292">
        <f>'Profits 2016'!N6560-'Profits 2016'!M6560</f>
        <v>4950</v>
      </c>
      <c r="H1347" s="319"/>
      <c r="I1347" s="320"/>
      <c r="J1347" s="321"/>
      <c r="K1347" s="321"/>
      <c r="L1347" s="321"/>
      <c r="M1347" s="319"/>
      <c r="N1347" s="322"/>
      <c r="O1347" s="236" t="str">
        <f>'Profits 2016'!T6560</f>
        <v>FEDEX/DLS</v>
      </c>
      <c r="P1347" s="284" t="str">
        <f>'Profits 2016'!U6560</f>
        <v>342365171-1</v>
      </c>
      <c r="Q1347" s="284" t="s">
        <v>15804</v>
      </c>
      <c r="R1347" s="276">
        <v>580</v>
      </c>
      <c r="S1347" s="275">
        <v>636947461</v>
      </c>
      <c r="T1347" s="279">
        <v>42684</v>
      </c>
      <c r="U1347" s="279">
        <v>42691</v>
      </c>
      <c r="V1347" s="279">
        <v>42697</v>
      </c>
      <c r="W1347" s="293">
        <v>580</v>
      </c>
      <c r="X1347" s="236">
        <v>9480</v>
      </c>
      <c r="AF1347" s="276">
        <f t="shared" si="160"/>
        <v>5530</v>
      </c>
      <c r="AG1347" s="276">
        <f t="shared" si="161"/>
        <v>580</v>
      </c>
      <c r="AH1347" s="276">
        <f t="shared" si="162"/>
        <v>8720</v>
      </c>
      <c r="AI1347" s="283">
        <f t="shared" si="163"/>
        <v>1.5768535262206149</v>
      </c>
    </row>
    <row r="1348" spans="1:35" ht="30" x14ac:dyDescent="0.25">
      <c r="A1348" s="275">
        <f>'Profits 2016'!A6561</f>
        <v>3005135</v>
      </c>
      <c r="B1348" s="279">
        <f>'Profits 2016'!B6561</f>
        <v>42667</v>
      </c>
      <c r="C1348" s="276">
        <f>'Profits 2016'!H6561</f>
        <v>177.37</v>
      </c>
      <c r="D1348" s="280">
        <f>'Profits 2016'!K6561</f>
        <v>150.7645</v>
      </c>
      <c r="E1348" s="276">
        <f>'Profits 2016'!L6561</f>
        <v>695</v>
      </c>
      <c r="F1348" s="275" t="str">
        <f>'Profits 2016'!P6561</f>
        <v>Nassau</v>
      </c>
      <c r="G1348" s="292">
        <f>'Profits 2016'!N6561-'Profits 2016'!M6561</f>
        <v>69.5</v>
      </c>
      <c r="H1348" s="319"/>
      <c r="I1348" s="320"/>
      <c r="J1348" s="321"/>
      <c r="K1348" s="321"/>
      <c r="L1348" s="321"/>
      <c r="M1348" s="319"/>
      <c r="N1348" s="322"/>
      <c r="O1348" s="236" t="str">
        <f>'Profits 2016'!T6561</f>
        <v>FEDEX GROUND</v>
      </c>
      <c r="P1348" s="284" t="str">
        <f>'Profits 2016'!U6561</f>
        <v>702723290922</v>
      </c>
      <c r="Q1348" s="284" t="s">
        <v>314</v>
      </c>
      <c r="R1348" s="276">
        <v>27.41</v>
      </c>
      <c r="S1348" s="275" t="s">
        <v>15873</v>
      </c>
      <c r="T1348" s="279">
        <v>42688</v>
      </c>
      <c r="U1348" s="279">
        <v>42691</v>
      </c>
      <c r="V1348" s="279">
        <v>42697</v>
      </c>
      <c r="W1348" s="293">
        <v>27.41</v>
      </c>
      <c r="X1348" s="236">
        <v>9494</v>
      </c>
      <c r="AF1348" s="276">
        <f t="shared" si="160"/>
        <v>96.91</v>
      </c>
      <c r="AG1348" s="276">
        <f t="shared" si="161"/>
        <v>27.41</v>
      </c>
      <c r="AH1348" s="276">
        <f t="shared" si="162"/>
        <v>123.3545</v>
      </c>
      <c r="AI1348" s="283">
        <f t="shared" si="163"/>
        <v>1.272876896089155</v>
      </c>
    </row>
    <row r="1349" spans="1:35" ht="30" x14ac:dyDescent="0.25">
      <c r="A1349" s="275">
        <f>'Profits 2016'!A6562</f>
        <v>3005136</v>
      </c>
      <c r="B1349" s="279">
        <f>'Profits 2016'!B6562</f>
        <v>42667</v>
      </c>
      <c r="C1349" s="276">
        <f>'Profits 2016'!H6562</f>
        <v>107.91</v>
      </c>
      <c r="D1349" s="280">
        <f>'Profits 2016'!K6562</f>
        <v>91.723500000000001</v>
      </c>
      <c r="E1349" s="276">
        <f>'Profits 2016'!L6562</f>
        <v>754</v>
      </c>
      <c r="F1349" s="275" t="str">
        <f>'Profits 2016'!P6562</f>
        <v>Direct</v>
      </c>
      <c r="G1349" s="292">
        <f>'Profits 2016'!N6562-'Profits 2016'!M6562</f>
        <v>37.700000000000003</v>
      </c>
      <c r="H1349" s="331">
        <v>0</v>
      </c>
      <c r="I1349" s="332">
        <v>75186</v>
      </c>
      <c r="J1349" s="333">
        <v>42668</v>
      </c>
      <c r="K1349" s="333">
        <v>42675</v>
      </c>
      <c r="L1349" s="333">
        <v>42678</v>
      </c>
      <c r="M1349" s="331">
        <v>73.89</v>
      </c>
      <c r="N1349" s="334">
        <v>9293</v>
      </c>
      <c r="O1349" s="236" t="str">
        <f>'Profits 2016'!T6562</f>
        <v>FEDEX GROUND</v>
      </c>
      <c r="P1349" s="284" t="str">
        <f>'Profits 2016'!U6562</f>
        <v>630512245501</v>
      </c>
      <c r="Q1349" s="284" t="s">
        <v>314</v>
      </c>
      <c r="R1349" s="276">
        <v>20.55</v>
      </c>
      <c r="S1349" s="275" t="s">
        <v>15869</v>
      </c>
      <c r="T1349" s="279">
        <v>42681</v>
      </c>
      <c r="U1349" s="279">
        <v>42688</v>
      </c>
      <c r="V1349" s="279">
        <v>42692</v>
      </c>
      <c r="W1349" s="293">
        <f>R1349</f>
        <v>20.55</v>
      </c>
      <c r="X1349" s="236">
        <v>9444</v>
      </c>
      <c r="AF1349" s="276">
        <f t="shared" si="160"/>
        <v>58.25</v>
      </c>
      <c r="AG1349" s="276">
        <f t="shared" si="161"/>
        <v>94.44</v>
      </c>
      <c r="AH1349" s="276">
        <f t="shared" si="162"/>
        <v>-2.7164999999999964</v>
      </c>
      <c r="AI1349" s="283">
        <f t="shared" si="163"/>
        <v>-4.6635193133047148E-2</v>
      </c>
    </row>
    <row r="1350" spans="1:35" x14ac:dyDescent="0.25">
      <c r="A1350" s="275">
        <f>'Profits 2016'!A6563</f>
        <v>0</v>
      </c>
      <c r="B1350" s="279">
        <f>'Profits 2016'!B6563</f>
        <v>0</v>
      </c>
      <c r="C1350" s="276">
        <f>'Profits 2016'!H6563</f>
        <v>0</v>
      </c>
      <c r="D1350" s="280">
        <f>'Profits 2016'!K6563</f>
        <v>0</v>
      </c>
      <c r="E1350" s="276">
        <f>'Profits 2016'!L6563</f>
        <v>754</v>
      </c>
      <c r="F1350" s="275" t="str">
        <f>'Profits 2016'!P6563</f>
        <v>Direct</v>
      </c>
      <c r="G1350" s="292">
        <f>'Profits 2016'!N6563-'Profits 2016'!M6563</f>
        <v>37.700000000000003</v>
      </c>
      <c r="H1350" s="331">
        <v>0</v>
      </c>
      <c r="I1350" s="332">
        <v>75186</v>
      </c>
      <c r="J1350" s="333">
        <v>42668</v>
      </c>
      <c r="K1350" s="333">
        <v>42675</v>
      </c>
      <c r="L1350" s="333">
        <v>42678</v>
      </c>
      <c r="M1350" s="331">
        <v>0</v>
      </c>
      <c r="N1350" s="334">
        <v>9293</v>
      </c>
      <c r="O1350" s="236">
        <f>'Profits 2016'!T6563</f>
        <v>0</v>
      </c>
      <c r="P1350" s="284">
        <f>'Profits 2016'!U6563</f>
        <v>0</v>
      </c>
      <c r="AF1350" s="276">
        <f t="shared" si="160"/>
        <v>37.700000000000003</v>
      </c>
      <c r="AG1350" s="276">
        <f t="shared" si="161"/>
        <v>0</v>
      </c>
      <c r="AH1350" s="276">
        <f t="shared" si="162"/>
        <v>0</v>
      </c>
      <c r="AI1350" s="283">
        <f t="shared" si="163"/>
        <v>0</v>
      </c>
    </row>
    <row r="1351" spans="1:35" x14ac:dyDescent="0.25">
      <c r="A1351" s="275">
        <f>'Profits 2016'!A6564</f>
        <v>3005137</v>
      </c>
      <c r="B1351" s="279">
        <f>'Profits 2016'!B6564</f>
        <v>42667</v>
      </c>
      <c r="C1351" s="276">
        <f>'Profits 2016'!H6564</f>
        <v>1150</v>
      </c>
      <c r="D1351" s="280">
        <f>'Profits 2016'!K6564</f>
        <v>1124.4000000000001</v>
      </c>
      <c r="E1351" s="276">
        <f>'Profits 2016'!L6564</f>
        <v>629.23</v>
      </c>
      <c r="F1351" s="275" t="str">
        <f>'Profits 2016'!P6564</f>
        <v>Southwire</v>
      </c>
      <c r="G1351" s="292">
        <f>'Profits 2016'!N6564-'Profits 2016'!M6564</f>
        <v>629.23</v>
      </c>
      <c r="H1351" s="331">
        <v>0</v>
      </c>
      <c r="I1351" s="332">
        <v>91025898</v>
      </c>
      <c r="J1351" s="333">
        <v>42676</v>
      </c>
      <c r="K1351" s="333">
        <v>42681</v>
      </c>
      <c r="L1351" s="333"/>
      <c r="M1351" s="331"/>
      <c r="N1351" s="334"/>
      <c r="O1351" s="236" t="str">
        <f>'Profits 2016'!T6564</f>
        <v>R&amp;L/ECHO</v>
      </c>
      <c r="P1351" s="284" t="str">
        <f>'Profits 2016'!U6564</f>
        <v xml:space="preserve">	690927327</v>
      </c>
      <c r="Q1351" s="284" t="s">
        <v>15767</v>
      </c>
      <c r="R1351" s="276">
        <v>102.32</v>
      </c>
      <c r="S1351" s="275" t="s">
        <v>15905</v>
      </c>
      <c r="T1351" s="279">
        <v>42683</v>
      </c>
      <c r="U1351" s="279">
        <v>42688</v>
      </c>
      <c r="V1351" s="279">
        <v>42692</v>
      </c>
      <c r="W1351" s="293">
        <f>R1351</f>
        <v>102.32</v>
      </c>
      <c r="X1351" s="236">
        <v>9444</v>
      </c>
      <c r="AF1351" s="276">
        <f t="shared" si="160"/>
        <v>731.55</v>
      </c>
      <c r="AG1351" s="276">
        <f t="shared" si="161"/>
        <v>102.32</v>
      </c>
      <c r="AH1351" s="276">
        <f t="shared" si="162"/>
        <v>1022.0800000000002</v>
      </c>
      <c r="AI1351" s="283">
        <f t="shared" si="163"/>
        <v>1.3971430524229378</v>
      </c>
    </row>
    <row r="1352" spans="1:35" x14ac:dyDescent="0.25">
      <c r="A1352" s="275">
        <f>'Profits 2016'!A6565</f>
        <v>3005138</v>
      </c>
      <c r="B1352" s="279">
        <f>'Profits 2016'!B6565</f>
        <v>42668</v>
      </c>
      <c r="C1352" s="276">
        <f>'Profits 2016'!H6565</f>
        <v>4800</v>
      </c>
      <c r="D1352" s="280">
        <f>'Profits 2016'!K6565</f>
        <v>4694.1000000000004</v>
      </c>
      <c r="E1352" s="276">
        <f>'Profits 2016'!L6565</f>
        <v>11300</v>
      </c>
      <c r="F1352" s="275" t="str">
        <f>'Profits 2016'!P6565</f>
        <v>Southwire</v>
      </c>
      <c r="G1352" s="292">
        <f>'Profits 2016'!N6565-'Profits 2016'!M6565</f>
        <v>3390</v>
      </c>
      <c r="H1352" s="331">
        <v>0</v>
      </c>
      <c r="I1352" s="332">
        <v>91015399</v>
      </c>
      <c r="J1352" s="333">
        <v>42670</v>
      </c>
      <c r="K1352" s="333">
        <v>42675</v>
      </c>
      <c r="L1352" s="333">
        <v>42678</v>
      </c>
      <c r="M1352" s="331">
        <v>3322.2</v>
      </c>
      <c r="N1352" s="334">
        <v>9357</v>
      </c>
      <c r="O1352" s="236" t="str">
        <f>'Profits 2016'!T6565</f>
        <v>YRC</v>
      </c>
      <c r="P1352" s="284" t="str">
        <f>'Profits 2016'!U6565</f>
        <v>495-821747-8</v>
      </c>
      <c r="AF1352" s="276">
        <f t="shared" si="160"/>
        <v>3390</v>
      </c>
      <c r="AG1352" s="276">
        <f t="shared" si="161"/>
        <v>3322.2</v>
      </c>
      <c r="AH1352" s="276">
        <f t="shared" si="162"/>
        <v>1371.9000000000005</v>
      </c>
      <c r="AI1352" s="283">
        <f t="shared" si="163"/>
        <v>0.40469026548672582</v>
      </c>
    </row>
    <row r="1353" spans="1:35" x14ac:dyDescent="0.25">
      <c r="A1353" s="275">
        <f>'Profits 2016'!A6566</f>
        <v>3005139</v>
      </c>
      <c r="B1353" s="279">
        <f>'Profits 2016'!B6566</f>
        <v>42668</v>
      </c>
      <c r="C1353" s="276">
        <f>'Profits 2016'!H6566</f>
        <v>620</v>
      </c>
      <c r="D1353" s="280">
        <f>'Profits 2016'!K6566</f>
        <v>599.54999999999995</v>
      </c>
      <c r="E1353" s="276">
        <f>'Profits 2016'!L6566</f>
        <v>626.41999999999996</v>
      </c>
      <c r="F1353" s="275" t="str">
        <f>'Profits 2016'!P6566</f>
        <v>Kalas</v>
      </c>
      <c r="G1353" s="292">
        <f>'Profits 2016'!N6566-'Profits 2016'!M6566</f>
        <v>313.20999999999998</v>
      </c>
      <c r="H1353" s="331">
        <v>0</v>
      </c>
      <c r="I1353" s="332" t="s">
        <v>15906</v>
      </c>
      <c r="J1353" s="333">
        <v>42669</v>
      </c>
      <c r="K1353" s="333">
        <v>42675</v>
      </c>
      <c r="L1353" s="333">
        <v>42678</v>
      </c>
      <c r="M1353" s="331">
        <v>306.95</v>
      </c>
      <c r="N1353" s="334">
        <v>9325</v>
      </c>
      <c r="O1353" s="236" t="str">
        <f>'Profits 2016'!T6566</f>
        <v>FEDEX</v>
      </c>
      <c r="P1353" s="284" t="str">
        <f>'Profits 2016'!U6566</f>
        <v>253859112-3</v>
      </c>
      <c r="AF1353" s="276">
        <f t="shared" si="160"/>
        <v>313.20999999999998</v>
      </c>
      <c r="AG1353" s="276">
        <f t="shared" si="161"/>
        <v>306.95</v>
      </c>
      <c r="AH1353" s="276">
        <f t="shared" si="162"/>
        <v>292.59999999999997</v>
      </c>
      <c r="AI1353" s="283">
        <f t="shared" si="163"/>
        <v>0.93419750327256468</v>
      </c>
    </row>
    <row r="1354" spans="1:35" ht="30" x14ac:dyDescent="0.25">
      <c r="A1354" s="275">
        <f>'Profits 2016'!A6567</f>
        <v>3005140</v>
      </c>
      <c r="B1354" s="279">
        <f>'Profits 2016'!B6567</f>
        <v>42668</v>
      </c>
      <c r="C1354" s="276">
        <f>'Profits 2016'!H6567</f>
        <v>174.64</v>
      </c>
      <c r="D1354" s="280">
        <f>'Profits 2016'!K6567</f>
        <v>155.30423999999999</v>
      </c>
      <c r="E1354" s="276">
        <f>'Profits 2016'!L6567</f>
        <v>2200</v>
      </c>
      <c r="F1354" s="275" t="str">
        <f>'Profits 2016'!P6567</f>
        <v>Direct</v>
      </c>
      <c r="G1354" s="292">
        <f>'Profits 2016'!N6567-'Profits 2016'!M6567</f>
        <v>110</v>
      </c>
      <c r="H1354" s="331">
        <v>0</v>
      </c>
      <c r="I1354" s="332">
        <v>75272</v>
      </c>
      <c r="J1354" s="333">
        <v>42670</v>
      </c>
      <c r="K1354" s="333">
        <v>42675</v>
      </c>
      <c r="L1354" s="333">
        <v>42678</v>
      </c>
      <c r="M1354" s="331">
        <v>107.8</v>
      </c>
      <c r="N1354" s="334">
        <v>9295</v>
      </c>
      <c r="O1354" s="236" t="str">
        <f>'Profits 2016'!T6567</f>
        <v>FEDEX GROUND</v>
      </c>
      <c r="P1354" s="284" t="str">
        <f>'Profits 2016'!U6567</f>
        <v>630512245523</v>
      </c>
      <c r="Q1354" s="284" t="s">
        <v>314</v>
      </c>
      <c r="R1354" s="276">
        <v>13.23</v>
      </c>
      <c r="S1354" s="275" t="s">
        <v>15873</v>
      </c>
      <c r="T1354" s="279">
        <v>42688</v>
      </c>
      <c r="U1354" s="279">
        <v>42691</v>
      </c>
      <c r="V1354" s="279">
        <v>42697</v>
      </c>
      <c r="W1354" s="293">
        <v>13.23</v>
      </c>
      <c r="X1354" s="236">
        <v>9494</v>
      </c>
      <c r="AF1354" s="276">
        <f t="shared" si="160"/>
        <v>123.23</v>
      </c>
      <c r="AG1354" s="276">
        <f t="shared" si="161"/>
        <v>121.03</v>
      </c>
      <c r="AH1354" s="276">
        <f t="shared" si="162"/>
        <v>34.274239999999992</v>
      </c>
      <c r="AI1354" s="283">
        <f t="shared" si="163"/>
        <v>0.27813227298547422</v>
      </c>
    </row>
    <row r="1355" spans="1:35" ht="30" x14ac:dyDescent="0.25">
      <c r="A1355" s="275">
        <f>'Profits 2016'!A6568</f>
        <v>3005141</v>
      </c>
      <c r="B1355" s="279">
        <f>'Profits 2016'!B6568</f>
        <v>42668</v>
      </c>
      <c r="C1355" s="276">
        <f>'Profits 2016'!H6568</f>
        <v>456</v>
      </c>
      <c r="D1355" s="280">
        <f>'Profits 2016'!K6568</f>
        <v>405.99599999999998</v>
      </c>
      <c r="E1355" s="276">
        <f>'Profits 2016'!L6568</f>
        <v>1100</v>
      </c>
      <c r="F1355" s="275" t="str">
        <f>'Profits 2016'!P6568</f>
        <v>Nassau</v>
      </c>
      <c r="G1355" s="292">
        <f>'Profits 2016'!N6568-'Profits 2016'!M6568</f>
        <v>220.00000000000003</v>
      </c>
      <c r="H1355" s="319"/>
      <c r="I1355" s="320"/>
      <c r="J1355" s="321"/>
      <c r="K1355" s="321"/>
      <c r="L1355" s="321"/>
      <c r="M1355" s="319"/>
      <c r="N1355" s="322"/>
      <c r="O1355" s="236" t="str">
        <f>'Profits 2016'!T6568</f>
        <v>FEDEX GROUND</v>
      </c>
      <c r="P1355" s="284" t="str">
        <f>'Profits 2016'!U6568</f>
        <v>702723291105</v>
      </c>
      <c r="Q1355" s="284" t="s">
        <v>314</v>
      </c>
      <c r="R1355" s="276">
        <v>45.35</v>
      </c>
      <c r="S1355" s="275" t="s">
        <v>15869</v>
      </c>
      <c r="T1355" s="279">
        <v>42681</v>
      </c>
      <c r="U1355" s="279">
        <v>42688</v>
      </c>
      <c r="V1355" s="279">
        <v>42692</v>
      </c>
      <c r="W1355" s="293">
        <f t="shared" ref="W1355:W1356" si="169">R1355</f>
        <v>45.35</v>
      </c>
      <c r="X1355" s="236">
        <v>9444</v>
      </c>
      <c r="AF1355" s="276">
        <f t="shared" si="160"/>
        <v>265.35000000000002</v>
      </c>
      <c r="AG1355" s="276">
        <f t="shared" si="161"/>
        <v>45.35</v>
      </c>
      <c r="AH1355" s="276">
        <f t="shared" si="162"/>
        <v>360.64599999999996</v>
      </c>
      <c r="AI1355" s="283">
        <f t="shared" si="163"/>
        <v>1.3591332202751081</v>
      </c>
    </row>
    <row r="1356" spans="1:35" ht="30" x14ac:dyDescent="0.25">
      <c r="A1356" s="275">
        <f>'Profits 2016'!A6569</f>
        <v>3005142</v>
      </c>
      <c r="B1356" s="279">
        <f>'Profits 2016'!B6569</f>
        <v>42668</v>
      </c>
      <c r="C1356" s="276">
        <f>'Profits 2016'!H6569</f>
        <v>186.52</v>
      </c>
      <c r="D1356" s="280">
        <f>'Profits 2016'!K6569</f>
        <v>165.88932</v>
      </c>
      <c r="E1356" s="276">
        <f>'Profits 2016'!L6569</f>
        <v>595</v>
      </c>
      <c r="F1356" s="275" t="str">
        <f>'Profits 2016'!P6569</f>
        <v>Nassau</v>
      </c>
      <c r="G1356" s="292">
        <f>'Profits 2016'!N6569-'Profits 2016'!M6569</f>
        <v>74.375</v>
      </c>
      <c r="H1356" s="319"/>
      <c r="I1356" s="320"/>
      <c r="J1356" s="321"/>
      <c r="K1356" s="321"/>
      <c r="L1356" s="321"/>
      <c r="M1356" s="319"/>
      <c r="N1356" s="322"/>
      <c r="O1356" s="236" t="str">
        <f>'Profits 2016'!T6569</f>
        <v>FEDEX GROUND</v>
      </c>
      <c r="P1356" s="284" t="str">
        <f>'Profits 2016'!U6569</f>
        <v>702723291116</v>
      </c>
      <c r="Q1356" s="284" t="s">
        <v>314</v>
      </c>
      <c r="R1356" s="276">
        <v>37.56</v>
      </c>
      <c r="S1356" s="275" t="s">
        <v>15869</v>
      </c>
      <c r="T1356" s="279">
        <v>42681</v>
      </c>
      <c r="U1356" s="279">
        <v>42688</v>
      </c>
      <c r="V1356" s="279">
        <v>42692</v>
      </c>
      <c r="W1356" s="293">
        <f t="shared" si="169"/>
        <v>37.56</v>
      </c>
      <c r="X1356" s="236">
        <v>9444</v>
      </c>
      <c r="AF1356" s="276">
        <f t="shared" si="160"/>
        <v>111.935</v>
      </c>
      <c r="AG1356" s="276">
        <f t="shared" si="161"/>
        <v>37.56</v>
      </c>
      <c r="AH1356" s="276">
        <f t="shared" si="162"/>
        <v>128.32932</v>
      </c>
      <c r="AI1356" s="283">
        <f t="shared" si="163"/>
        <v>1.1464628579086076</v>
      </c>
    </row>
    <row r="1357" spans="1:35" ht="30" x14ac:dyDescent="0.25">
      <c r="A1357" s="275">
        <f>'Profits 2016'!A6570</f>
        <v>3005143</v>
      </c>
      <c r="B1357" s="279">
        <f>'Profits 2016'!B6570</f>
        <v>42668</v>
      </c>
      <c r="C1357" s="276">
        <f>'Profits 2016'!H6570</f>
        <v>119.44</v>
      </c>
      <c r="D1357" s="280">
        <f>'Profits 2016'!K6570</f>
        <v>106.12103999999999</v>
      </c>
      <c r="E1357" s="276">
        <f>'Profits 2016'!L6570</f>
        <v>400</v>
      </c>
      <c r="F1357" s="275" t="str">
        <f>'Profits 2016'!P6570</f>
        <v>Nassau</v>
      </c>
      <c r="G1357" s="292">
        <f>'Profits 2016'!N6570-'Profits 2016'!M6570</f>
        <v>40</v>
      </c>
      <c r="H1357" s="319"/>
      <c r="I1357" s="320"/>
      <c r="J1357" s="321"/>
      <c r="K1357" s="321"/>
      <c r="L1357" s="321"/>
      <c r="M1357" s="319"/>
      <c r="N1357" s="322"/>
      <c r="O1357" s="236" t="str">
        <f>'Profits 2016'!T6570</f>
        <v>FEDEX GROUND</v>
      </c>
      <c r="P1357" s="284" t="str">
        <f>'Profits 2016'!U6570</f>
        <v>702723291090</v>
      </c>
      <c r="Q1357" s="284" t="s">
        <v>314</v>
      </c>
      <c r="R1357" s="276">
        <v>34.299999999999997</v>
      </c>
      <c r="S1357" s="275" t="s">
        <v>15873</v>
      </c>
      <c r="T1357" s="279">
        <v>42688</v>
      </c>
      <c r="U1357" s="279">
        <v>42691</v>
      </c>
      <c r="V1357" s="279">
        <v>42697</v>
      </c>
      <c r="W1357" s="293">
        <v>34.299999999999997</v>
      </c>
      <c r="X1357" s="236">
        <v>9494</v>
      </c>
      <c r="AF1357" s="276">
        <f t="shared" si="160"/>
        <v>74.3</v>
      </c>
      <c r="AG1357" s="276">
        <f t="shared" si="161"/>
        <v>34.299999999999997</v>
      </c>
      <c r="AH1357" s="276">
        <f t="shared" si="162"/>
        <v>71.821039999999996</v>
      </c>
      <c r="AI1357" s="283">
        <f t="shared" si="163"/>
        <v>0.96663580080753697</v>
      </c>
    </row>
    <row r="1358" spans="1:35" ht="30" x14ac:dyDescent="0.25">
      <c r="A1358" s="275">
        <f>'Profits 2016'!A6571</f>
        <v>3005144</v>
      </c>
      <c r="B1358" s="279">
        <f>'Profits 2016'!B6571</f>
        <v>42668</v>
      </c>
      <c r="C1358" s="276">
        <f>'Profits 2016'!H6571</f>
        <v>216.88</v>
      </c>
      <c r="D1358" s="280">
        <f>'Profits 2016'!K6571</f>
        <v>192.94007999999999</v>
      </c>
      <c r="E1358" s="276">
        <f>'Profits 2016'!L6571</f>
        <v>424</v>
      </c>
      <c r="F1358" s="275" t="str">
        <f>'Profits 2016'!P6571</f>
        <v>Nassau</v>
      </c>
      <c r="G1358" s="292">
        <f>'Profits 2016'!N6571-'Profits 2016'!M6571</f>
        <v>74.199999999999989</v>
      </c>
      <c r="H1358" s="319"/>
      <c r="I1358" s="320"/>
      <c r="J1358" s="321"/>
      <c r="K1358" s="321"/>
      <c r="L1358" s="321"/>
      <c r="M1358" s="319"/>
      <c r="N1358" s="322"/>
      <c r="O1358" s="236" t="str">
        <f>'Profits 2016'!T6571</f>
        <v>FEDEX GROUND</v>
      </c>
      <c r="P1358" s="284" t="str">
        <f>'Profits 2016'!U6571</f>
        <v>702723291035</v>
      </c>
      <c r="Q1358" s="284" t="s">
        <v>314</v>
      </c>
      <c r="R1358" s="276">
        <v>50.93</v>
      </c>
      <c r="S1358" s="275" t="s">
        <v>15869</v>
      </c>
      <c r="T1358" s="279">
        <v>42681</v>
      </c>
      <c r="U1358" s="279">
        <v>42688</v>
      </c>
      <c r="V1358" s="279">
        <v>42692</v>
      </c>
      <c r="W1358" s="293">
        <f>R1358</f>
        <v>50.93</v>
      </c>
      <c r="X1358" s="236">
        <v>9444</v>
      </c>
      <c r="AF1358" s="276">
        <f t="shared" si="160"/>
        <v>125.13</v>
      </c>
      <c r="AG1358" s="276">
        <f t="shared" si="161"/>
        <v>50.93</v>
      </c>
      <c r="AH1358" s="276">
        <f t="shared" si="162"/>
        <v>142.01007999999999</v>
      </c>
      <c r="AI1358" s="283">
        <f t="shared" si="163"/>
        <v>1.1349003436426117</v>
      </c>
    </row>
    <row r="1359" spans="1:35" ht="30" x14ac:dyDescent="0.25">
      <c r="A1359" s="275">
        <f>'Profits 2016'!A6572</f>
        <v>3005145</v>
      </c>
      <c r="B1359" s="279">
        <f>'Profits 2016'!B6572</f>
        <v>42668</v>
      </c>
      <c r="C1359" s="276">
        <f>'Profits 2016'!H6572</f>
        <v>324.36</v>
      </c>
      <c r="D1359" s="280">
        <f>'Profits 2016'!K6572</f>
        <v>275.70600000000002</v>
      </c>
      <c r="E1359" s="276">
        <f>'Profits 2016'!L6572</f>
        <v>754</v>
      </c>
      <c r="F1359" s="275" t="str">
        <f>'Profits 2016'!P6572</f>
        <v>Direct</v>
      </c>
      <c r="G1359" s="292">
        <f>'Profits 2016'!N6572-'Profits 2016'!M6572</f>
        <v>94.25</v>
      </c>
      <c r="H1359" s="331">
        <v>0</v>
      </c>
      <c r="I1359" s="332">
        <v>75264</v>
      </c>
      <c r="J1359" s="333">
        <v>42670</v>
      </c>
      <c r="K1359" s="333">
        <v>42675</v>
      </c>
      <c r="L1359" s="333">
        <v>42678</v>
      </c>
      <c r="M1359" s="331">
        <v>184.73</v>
      </c>
      <c r="N1359" s="334">
        <v>9295</v>
      </c>
      <c r="O1359" s="236" t="str">
        <f>'Profits 2016'!T6572</f>
        <v>FEDEX GROUND</v>
      </c>
      <c r="P1359" s="284" t="str">
        <f>'Profits 2016'!U6572</f>
        <v>642286529420</v>
      </c>
      <c r="Q1359" s="284" t="s">
        <v>314</v>
      </c>
      <c r="R1359" s="276">
        <v>37.32</v>
      </c>
      <c r="S1359" s="275" t="s">
        <v>15873</v>
      </c>
      <c r="T1359" s="279">
        <v>42688</v>
      </c>
      <c r="U1359" s="279">
        <v>42691</v>
      </c>
      <c r="V1359" s="279">
        <v>42697</v>
      </c>
      <c r="W1359" s="293">
        <v>37.32</v>
      </c>
      <c r="X1359" s="236">
        <v>9494</v>
      </c>
      <c r="AF1359" s="276">
        <f t="shared" si="160"/>
        <v>131.57</v>
      </c>
      <c r="AG1359" s="276">
        <f t="shared" si="161"/>
        <v>222.04999999999998</v>
      </c>
      <c r="AH1359" s="276">
        <f t="shared" si="162"/>
        <v>53.656000000000034</v>
      </c>
      <c r="AI1359" s="283">
        <f t="shared" si="163"/>
        <v>0.40781333130652914</v>
      </c>
    </row>
    <row r="1360" spans="1:35" x14ac:dyDescent="0.25">
      <c r="A1360" s="275">
        <f>'Profits 2016'!A6573</f>
        <v>0</v>
      </c>
      <c r="B1360" s="279">
        <f>'Profits 2016'!B6573</f>
        <v>0</v>
      </c>
      <c r="C1360" s="276">
        <f>'Profits 2016'!H6573</f>
        <v>0</v>
      </c>
      <c r="D1360" s="280">
        <f>'Profits 2016'!K6573</f>
        <v>0</v>
      </c>
      <c r="E1360" s="276">
        <f>'Profits 2016'!L6573</f>
        <v>754</v>
      </c>
      <c r="F1360" s="275" t="str">
        <f>'Profits 2016'!P6573</f>
        <v>Direct</v>
      </c>
      <c r="G1360" s="292">
        <f>'Profits 2016'!N6573-'Profits 2016'!M6573</f>
        <v>94.25</v>
      </c>
      <c r="H1360" s="331">
        <v>0</v>
      </c>
      <c r="I1360" s="332">
        <v>75264</v>
      </c>
      <c r="J1360" s="333">
        <v>42670</v>
      </c>
      <c r="K1360" s="333">
        <v>42675</v>
      </c>
      <c r="L1360" s="333">
        <v>42678</v>
      </c>
      <c r="M1360" s="331">
        <v>0</v>
      </c>
      <c r="N1360" s="334">
        <v>9295</v>
      </c>
      <c r="O1360" s="236">
        <f>'Profits 2016'!T6573</f>
        <v>0</v>
      </c>
      <c r="P1360" s="284">
        <f>'Profits 2016'!U6573</f>
        <v>0</v>
      </c>
      <c r="Q1360" s="284" t="s">
        <v>314</v>
      </c>
      <c r="R1360" s="276">
        <v>0</v>
      </c>
      <c r="S1360" s="275" t="s">
        <v>15873</v>
      </c>
      <c r="T1360" s="279">
        <v>42688</v>
      </c>
      <c r="U1360" s="279">
        <v>42691</v>
      </c>
      <c r="V1360" s="279">
        <v>42697</v>
      </c>
      <c r="W1360" s="293">
        <v>0</v>
      </c>
      <c r="X1360" s="236">
        <v>9494</v>
      </c>
      <c r="AF1360" s="276">
        <f t="shared" si="160"/>
        <v>94.25</v>
      </c>
      <c r="AG1360" s="276">
        <f t="shared" si="161"/>
        <v>0</v>
      </c>
      <c r="AH1360" s="276">
        <f t="shared" si="162"/>
        <v>0</v>
      </c>
      <c r="AI1360" s="283">
        <f t="shared" si="163"/>
        <v>0</v>
      </c>
    </row>
    <row r="1361" spans="1:35" ht="30" x14ac:dyDescent="0.25">
      <c r="A1361" s="275">
        <f>'Profits 2016'!A6574</f>
        <v>3005146</v>
      </c>
      <c r="B1361" s="279">
        <f>'Profits 2016'!B6574</f>
        <v>42668</v>
      </c>
      <c r="C1361" s="276">
        <f>'Profits 2016'!H6574</f>
        <v>190</v>
      </c>
      <c r="D1361" s="280">
        <f>'Profits 2016'!K6574</f>
        <v>161.5</v>
      </c>
      <c r="E1361" s="276">
        <f>'Profits 2016'!L6574</f>
        <v>900</v>
      </c>
      <c r="F1361" s="275" t="str">
        <f>'Profits 2016'!P6574</f>
        <v>Nassau</v>
      </c>
      <c r="G1361" s="292">
        <f>'Profits 2016'!N6574-'Profits 2016'!M6574</f>
        <v>90</v>
      </c>
      <c r="H1361" s="319"/>
      <c r="I1361" s="320"/>
      <c r="J1361" s="321"/>
      <c r="K1361" s="321"/>
      <c r="L1361" s="321"/>
      <c r="M1361" s="319"/>
      <c r="N1361" s="322"/>
      <c r="O1361" s="236" t="str">
        <f>'Profits 2016'!T6574</f>
        <v>FEDEX GROUND</v>
      </c>
      <c r="P1361" s="284" t="str">
        <f>'Profits 2016'!U6574</f>
        <v>702723291080</v>
      </c>
      <c r="Q1361" s="284" t="s">
        <v>314</v>
      </c>
      <c r="R1361" s="276">
        <v>42.01</v>
      </c>
      <c r="S1361" s="275" t="s">
        <v>15873</v>
      </c>
      <c r="T1361" s="279">
        <v>42688</v>
      </c>
      <c r="U1361" s="279">
        <v>42691</v>
      </c>
      <c r="V1361" s="279">
        <v>42697</v>
      </c>
      <c r="W1361" s="293">
        <v>42.01</v>
      </c>
      <c r="X1361" s="236">
        <v>9494</v>
      </c>
      <c r="AF1361" s="276">
        <f t="shared" ref="AF1361:AF1424" si="170">G1361+H1362+R1361+Y1361</f>
        <v>132.01</v>
      </c>
      <c r="AG1361" s="276">
        <f t="shared" ref="AG1361:AG1424" si="171">M1361+R1361+Y1361</f>
        <v>42.01</v>
      </c>
      <c r="AH1361" s="276">
        <f t="shared" ref="AH1361:AH1424" si="172">D1361-AG1361</f>
        <v>119.49000000000001</v>
      </c>
      <c r="AI1361" s="283">
        <f t="shared" ref="AI1361:AI1424" si="173">AH1361/AF1361</f>
        <v>0.90515870009847754</v>
      </c>
    </row>
    <row r="1362" spans="1:35" ht="30" x14ac:dyDescent="0.25">
      <c r="A1362" s="275">
        <f>'Profits 2016'!A6575</f>
        <v>3005147</v>
      </c>
      <c r="B1362" s="279">
        <f>'Profits 2016'!B6575</f>
        <v>42668</v>
      </c>
      <c r="C1362" s="276">
        <f>'Profits 2016'!H6575</f>
        <v>183.42</v>
      </c>
      <c r="D1362" s="280">
        <f>'Profits 2016'!K6575</f>
        <v>155.90699999999998</v>
      </c>
      <c r="E1362" s="276">
        <f>'Profits 2016'!L6575</f>
        <v>622.45000000000005</v>
      </c>
      <c r="F1362" s="275" t="str">
        <f>'Profits 2016'!P6575</f>
        <v>Nassau</v>
      </c>
      <c r="G1362" s="292">
        <f>'Profits 2016'!N6575-'Profits 2016'!M6575</f>
        <v>93.367500000000007</v>
      </c>
      <c r="H1362" s="319"/>
      <c r="I1362" s="320"/>
      <c r="J1362" s="321"/>
      <c r="K1362" s="321"/>
      <c r="L1362" s="321"/>
      <c r="M1362" s="319"/>
      <c r="N1362" s="322"/>
      <c r="O1362" s="236" t="str">
        <f>'Profits 2016'!T6575</f>
        <v>FEDEX GROUND</v>
      </c>
      <c r="P1362" s="284" t="str">
        <f>'Profits 2016'!U6575</f>
        <v>702723291057</v>
      </c>
      <c r="Q1362" s="284" t="s">
        <v>314</v>
      </c>
      <c r="R1362" s="276">
        <v>32.56</v>
      </c>
      <c r="S1362" s="275" t="s">
        <v>15869</v>
      </c>
      <c r="T1362" s="279">
        <v>42681</v>
      </c>
      <c r="U1362" s="279">
        <v>42688</v>
      </c>
      <c r="V1362" s="279">
        <v>42692</v>
      </c>
      <c r="W1362" s="293">
        <f t="shared" ref="W1362:W1363" si="174">R1362</f>
        <v>32.56</v>
      </c>
      <c r="X1362" s="236">
        <v>9444</v>
      </c>
      <c r="AF1362" s="276">
        <f t="shared" si="170"/>
        <v>125.92750000000001</v>
      </c>
      <c r="AG1362" s="276">
        <f t="shared" si="171"/>
        <v>32.56</v>
      </c>
      <c r="AH1362" s="276">
        <f t="shared" si="172"/>
        <v>123.34699999999998</v>
      </c>
      <c r="AI1362" s="283">
        <f t="shared" si="173"/>
        <v>0.97950805026701848</v>
      </c>
    </row>
    <row r="1363" spans="1:35" ht="30" x14ac:dyDescent="0.25">
      <c r="A1363" s="275">
        <f>'Profits 2016'!A6576</f>
        <v>3005148</v>
      </c>
      <c r="B1363" s="279">
        <f>'Profits 2016'!B6576</f>
        <v>42668</v>
      </c>
      <c r="C1363" s="276">
        <f>'Profits 2016'!H6576</f>
        <v>155</v>
      </c>
      <c r="D1363" s="280">
        <f>'Profits 2016'!K6576</f>
        <v>131.75</v>
      </c>
      <c r="E1363" s="276">
        <f>'Profits 2016'!L6576</f>
        <v>424</v>
      </c>
      <c r="F1363" s="275" t="str">
        <f>'Profits 2016'!P6576</f>
        <v>Nassau</v>
      </c>
      <c r="G1363" s="292">
        <f>'Profits 2016'!N6576-'Profits 2016'!M6576</f>
        <v>84.800000000000011</v>
      </c>
      <c r="H1363" s="319"/>
      <c r="I1363" s="320"/>
      <c r="J1363" s="321"/>
      <c r="K1363" s="321"/>
      <c r="L1363" s="321"/>
      <c r="M1363" s="319"/>
      <c r="N1363" s="322"/>
      <c r="O1363" s="236" t="str">
        <f>'Profits 2016'!T6576</f>
        <v>FEDEX GROUND</v>
      </c>
      <c r="P1363" s="284" t="str">
        <f>'Profits 2016'!U6576</f>
        <v>702723291046</v>
      </c>
      <c r="Q1363" s="284" t="s">
        <v>314</v>
      </c>
      <c r="R1363" s="276">
        <v>36.35</v>
      </c>
      <c r="S1363" s="275" t="s">
        <v>15869</v>
      </c>
      <c r="T1363" s="279">
        <v>42681</v>
      </c>
      <c r="U1363" s="279">
        <v>42688</v>
      </c>
      <c r="V1363" s="279">
        <v>42692</v>
      </c>
      <c r="W1363" s="293">
        <f t="shared" si="174"/>
        <v>36.35</v>
      </c>
      <c r="X1363" s="236">
        <v>9444</v>
      </c>
      <c r="AF1363" s="276">
        <f t="shared" si="170"/>
        <v>121.15</v>
      </c>
      <c r="AG1363" s="276">
        <f t="shared" si="171"/>
        <v>36.35</v>
      </c>
      <c r="AH1363" s="276">
        <f t="shared" si="172"/>
        <v>95.4</v>
      </c>
      <c r="AI1363" s="283">
        <f t="shared" si="173"/>
        <v>0.7874535699546017</v>
      </c>
    </row>
    <row r="1364" spans="1:35" ht="30" x14ac:dyDescent="0.25">
      <c r="A1364" s="275">
        <f>'Profits 2016'!A6577</f>
        <v>3005149</v>
      </c>
      <c r="B1364" s="279">
        <f>'Profits 2016'!B6577</f>
        <v>42668</v>
      </c>
      <c r="C1364" s="276">
        <f>'Profits 2016'!H6577</f>
        <v>164.9</v>
      </c>
      <c r="D1364" s="280">
        <f>'Profits 2016'!K6577</f>
        <v>140.16500000000002</v>
      </c>
      <c r="E1364" s="276">
        <f>'Profits 2016'!L6577</f>
        <v>577</v>
      </c>
      <c r="F1364" s="275" t="str">
        <f>'Profits 2016'!P6577</f>
        <v>Nassau</v>
      </c>
      <c r="G1364" s="292">
        <f>'Profits 2016'!N6577-'Profits 2016'!M6577</f>
        <v>86.550000000000011</v>
      </c>
      <c r="H1364" s="319"/>
      <c r="I1364" s="320"/>
      <c r="J1364" s="321"/>
      <c r="K1364" s="321"/>
      <c r="L1364" s="321"/>
      <c r="M1364" s="319"/>
      <c r="N1364" s="322"/>
      <c r="O1364" s="236" t="str">
        <f>'Profits 2016'!T6577</f>
        <v>FEDEX GROUND</v>
      </c>
      <c r="P1364" s="284" t="str">
        <f>'Profits 2016'!U6577</f>
        <v>702723291068</v>
      </c>
      <c r="Q1364" s="284" t="s">
        <v>314</v>
      </c>
      <c r="R1364" s="276">
        <v>42.01</v>
      </c>
      <c r="S1364" s="275" t="s">
        <v>15873</v>
      </c>
      <c r="T1364" s="279">
        <v>42688</v>
      </c>
      <c r="U1364" s="279">
        <v>42691</v>
      </c>
      <c r="V1364" s="279">
        <v>42697</v>
      </c>
      <c r="W1364" s="293">
        <v>42.01</v>
      </c>
      <c r="X1364" s="236">
        <v>9494</v>
      </c>
      <c r="AF1364" s="276">
        <f t="shared" si="170"/>
        <v>128.56</v>
      </c>
      <c r="AG1364" s="276">
        <f t="shared" si="171"/>
        <v>42.01</v>
      </c>
      <c r="AH1364" s="276">
        <f t="shared" si="172"/>
        <v>98.15500000000003</v>
      </c>
      <c r="AI1364" s="283">
        <f t="shared" si="173"/>
        <v>0.76349564405724979</v>
      </c>
    </row>
    <row r="1365" spans="1:35" ht="30" x14ac:dyDescent="0.25">
      <c r="A1365" s="275">
        <f>'Profits 2016'!A6578</f>
        <v>3005150</v>
      </c>
      <c r="B1365" s="279">
        <f>'Profits 2016'!B6578</f>
        <v>42668</v>
      </c>
      <c r="C1365" s="276">
        <f>'Profits 2016'!H6578</f>
        <v>107.91</v>
      </c>
      <c r="D1365" s="280">
        <f>'Profits 2016'!K6578</f>
        <v>91.723500000000001</v>
      </c>
      <c r="E1365" s="276">
        <f>'Profits 2016'!L6578</f>
        <v>754</v>
      </c>
      <c r="F1365" s="275" t="str">
        <f>'Profits 2016'!P6578</f>
        <v>Direct</v>
      </c>
      <c r="G1365" s="292">
        <f>'Profits 2016'!N6578-'Profits 2016'!M6578</f>
        <v>75.400000000000006</v>
      </c>
      <c r="H1365" s="331">
        <v>0</v>
      </c>
      <c r="I1365" s="332">
        <v>75209</v>
      </c>
      <c r="J1365" s="333">
        <v>42669</v>
      </c>
      <c r="K1365" s="333">
        <v>42675</v>
      </c>
      <c r="L1365" s="333">
        <v>42678</v>
      </c>
      <c r="M1365" s="331">
        <v>73.89</v>
      </c>
      <c r="N1365" s="334">
        <v>9293</v>
      </c>
      <c r="O1365" s="236" t="str">
        <f>'Profits 2016'!T6578</f>
        <v>FEDEX GROUND</v>
      </c>
      <c r="P1365" s="284" t="str">
        <f>'Profits 2016'!U6578</f>
        <v>639794970044</v>
      </c>
      <c r="Q1365" s="284" t="s">
        <v>314</v>
      </c>
      <c r="R1365" s="276">
        <v>23.5</v>
      </c>
      <c r="S1365" s="275" t="s">
        <v>15907</v>
      </c>
      <c r="T1365" s="279">
        <v>42688</v>
      </c>
      <c r="U1365" s="279">
        <v>42691</v>
      </c>
      <c r="V1365" s="279">
        <v>42697</v>
      </c>
      <c r="W1365" s="293">
        <v>23.5</v>
      </c>
      <c r="X1365" s="236">
        <v>9494</v>
      </c>
      <c r="AF1365" s="276">
        <f t="shared" si="170"/>
        <v>98.9</v>
      </c>
      <c r="AG1365" s="276">
        <f t="shared" si="171"/>
        <v>97.39</v>
      </c>
      <c r="AH1365" s="276">
        <f t="shared" si="172"/>
        <v>-5.6664999999999992</v>
      </c>
      <c r="AI1365" s="283">
        <f t="shared" si="173"/>
        <v>-5.7295247724974713E-2</v>
      </c>
    </row>
    <row r="1366" spans="1:35" ht="30" x14ac:dyDescent="0.25">
      <c r="A1366" s="275">
        <f>'Profits 2016'!A6579</f>
        <v>3005151</v>
      </c>
      <c r="B1366" s="279">
        <f>'Profits 2016'!B6579</f>
        <v>42668</v>
      </c>
      <c r="C1366" s="276">
        <f>'Profits 2016'!H6579</f>
        <v>138.57</v>
      </c>
      <c r="D1366" s="280">
        <f>'Profits 2016'!K6579</f>
        <v>117.78449999999999</v>
      </c>
      <c r="E1366" s="276">
        <f>'Profits 2016'!L6579</f>
        <v>695</v>
      </c>
      <c r="F1366" s="275" t="str">
        <f>'Profits 2016'!P6579</f>
        <v>Nassau</v>
      </c>
      <c r="G1366" s="292">
        <f>'Profits 2016'!N6579-'Profits 2016'!M6579</f>
        <v>69.5</v>
      </c>
      <c r="H1366" s="319"/>
      <c r="I1366" s="320"/>
      <c r="J1366" s="321"/>
      <c r="K1366" s="321"/>
      <c r="L1366" s="321"/>
      <c r="M1366" s="319"/>
      <c r="N1366" s="322"/>
      <c r="O1366" s="236" t="str">
        <f>'Profits 2016'!T6579</f>
        <v>FEDEX GROUND</v>
      </c>
      <c r="P1366" s="284" t="str">
        <f>'Profits 2016'!U6579</f>
        <v>702723291079</v>
      </c>
      <c r="Q1366" s="284" t="s">
        <v>314</v>
      </c>
      <c r="R1366" s="276">
        <v>37.909999999999997</v>
      </c>
      <c r="S1366" s="275" t="s">
        <v>15873</v>
      </c>
      <c r="T1366" s="279">
        <v>42688</v>
      </c>
      <c r="U1366" s="279">
        <v>42691</v>
      </c>
      <c r="V1366" s="279">
        <v>42697</v>
      </c>
      <c r="W1366" s="293">
        <v>37.909999999999997</v>
      </c>
      <c r="X1366" s="236">
        <v>9494</v>
      </c>
      <c r="AF1366" s="276">
        <f t="shared" si="170"/>
        <v>107.41</v>
      </c>
      <c r="AG1366" s="276">
        <f t="shared" si="171"/>
        <v>37.909999999999997</v>
      </c>
      <c r="AH1366" s="276">
        <f t="shared" si="172"/>
        <v>79.874499999999998</v>
      </c>
      <c r="AI1366" s="283">
        <f t="shared" si="173"/>
        <v>0.74364118797132484</v>
      </c>
    </row>
    <row r="1367" spans="1:35" ht="30" x14ac:dyDescent="0.25">
      <c r="A1367" s="275">
        <f>'Profits 2016'!A6580</f>
        <v>3005152</v>
      </c>
      <c r="B1367" s="279">
        <f>'Profits 2016'!B6580</f>
        <v>42668</v>
      </c>
      <c r="C1367" s="276">
        <f>'Profits 2016'!H6580</f>
        <v>107.91</v>
      </c>
      <c r="D1367" s="280">
        <f>'Profits 2016'!K6580</f>
        <v>91.723500000000001</v>
      </c>
      <c r="E1367" s="276">
        <f>'Profits 2016'!L6580</f>
        <v>754</v>
      </c>
      <c r="F1367" s="275" t="str">
        <f>'Profits 2016'!P6580</f>
        <v>Direct</v>
      </c>
      <c r="G1367" s="292">
        <f>'Profits 2016'!N6580-'Profits 2016'!M6580</f>
        <v>75.400000000000006</v>
      </c>
      <c r="H1367" s="331">
        <v>0</v>
      </c>
      <c r="I1367" s="332">
        <v>75208</v>
      </c>
      <c r="J1367" s="333">
        <v>42669</v>
      </c>
      <c r="K1367" s="333">
        <v>42675</v>
      </c>
      <c r="L1367" s="333">
        <v>42678</v>
      </c>
      <c r="M1367" s="331">
        <v>73.89</v>
      </c>
      <c r="N1367" s="334">
        <v>9293</v>
      </c>
      <c r="O1367" s="236" t="str">
        <f>'Profits 2016'!T6580</f>
        <v>FEDEX GROUND</v>
      </c>
      <c r="P1367" s="284" t="str">
        <f>'Profits 2016'!U6580</f>
        <v>639794970022</v>
      </c>
      <c r="Q1367" s="284" t="s">
        <v>314</v>
      </c>
      <c r="R1367" s="276">
        <v>17.68</v>
      </c>
      <c r="S1367" s="275" t="s">
        <v>15869</v>
      </c>
      <c r="T1367" s="279">
        <v>42681</v>
      </c>
      <c r="U1367" s="279">
        <v>42688</v>
      </c>
      <c r="V1367" s="279">
        <v>42692</v>
      </c>
      <c r="W1367" s="293">
        <f>R1367</f>
        <v>17.68</v>
      </c>
      <c r="X1367" s="236">
        <v>9444</v>
      </c>
      <c r="AF1367" s="276">
        <f t="shared" si="170"/>
        <v>93.080000000000013</v>
      </c>
      <c r="AG1367" s="276">
        <f t="shared" si="171"/>
        <v>91.57</v>
      </c>
      <c r="AH1367" s="276">
        <f t="shared" si="172"/>
        <v>0.15350000000000819</v>
      </c>
      <c r="AI1367" s="283">
        <f t="shared" si="173"/>
        <v>1.6491190373872815E-3</v>
      </c>
    </row>
    <row r="1368" spans="1:35" x14ac:dyDescent="0.25">
      <c r="A1368" s="275">
        <f>'Profits 2016'!A6581</f>
        <v>3005153</v>
      </c>
      <c r="B1368" s="279">
        <f>'Profits 2016'!B6581</f>
        <v>42668</v>
      </c>
      <c r="C1368" s="276">
        <f>'Profits 2016'!H6581</f>
        <v>840</v>
      </c>
      <c r="D1368" s="280">
        <f>'Profits 2016'!K6581</f>
        <v>821.22</v>
      </c>
      <c r="E1368" s="276">
        <f>'Profits 2016'!L6581</f>
        <v>8150</v>
      </c>
      <c r="F1368" s="275" t="str">
        <f>'Profits 2016'!P6581</f>
        <v>Priority</v>
      </c>
      <c r="G1368" s="292">
        <f>'Profits 2016'!N6581-'Profits 2016'!M6581</f>
        <v>163</v>
      </c>
      <c r="H1368" s="331">
        <v>0</v>
      </c>
      <c r="I1368" s="332">
        <v>1070201</v>
      </c>
      <c r="J1368" s="333">
        <v>42669</v>
      </c>
      <c r="K1368" s="333">
        <v>42681</v>
      </c>
      <c r="L1368" s="333">
        <v>42697</v>
      </c>
      <c r="M1368" s="331">
        <v>1630</v>
      </c>
      <c r="N1368" s="334">
        <v>9475</v>
      </c>
      <c r="O1368" s="236" t="str">
        <f>'Profits 2016'!T6581</f>
        <v>R&amp;L</v>
      </c>
      <c r="P1368" s="284" t="str">
        <f>'Profits 2016'!U6581</f>
        <v>462215655</v>
      </c>
      <c r="Q1368" s="284" t="s">
        <v>15740</v>
      </c>
      <c r="R1368" s="276">
        <v>125</v>
      </c>
      <c r="S1368" s="275">
        <v>1070201</v>
      </c>
      <c r="T1368" s="279">
        <v>42669</v>
      </c>
      <c r="U1368" s="279">
        <v>42681</v>
      </c>
      <c r="V1368" s="279">
        <v>42697</v>
      </c>
      <c r="W1368" s="293">
        <v>125</v>
      </c>
      <c r="X1368" s="236">
        <v>9475</v>
      </c>
      <c r="Y1368" s="276">
        <v>76.86</v>
      </c>
      <c r="Z1368" s="236">
        <v>1072723</v>
      </c>
      <c r="AA1368" s="279">
        <v>42676</v>
      </c>
      <c r="AB1368" s="279">
        <v>42688</v>
      </c>
      <c r="AF1368" s="276">
        <f t="shared" si="170"/>
        <v>364.86</v>
      </c>
      <c r="AG1368" s="276">
        <f t="shared" si="171"/>
        <v>1831.86</v>
      </c>
      <c r="AH1368" s="276">
        <f t="shared" si="172"/>
        <v>-1010.6399999999999</v>
      </c>
      <c r="AI1368" s="283">
        <f t="shared" si="173"/>
        <v>-2.7699391547442849</v>
      </c>
    </row>
    <row r="1369" spans="1:35" ht="30" x14ac:dyDescent="0.25">
      <c r="A1369" s="275">
        <f>'Profits 2016'!A6582</f>
        <v>3005154</v>
      </c>
      <c r="B1369" s="279">
        <f>'Profits 2016'!B6582</f>
        <v>42668</v>
      </c>
      <c r="C1369" s="276">
        <f>'Profits 2016'!H6582</f>
        <v>1300</v>
      </c>
      <c r="D1369" s="280">
        <f>'Profits 2016'!K6582</f>
        <v>1271.0999999999999</v>
      </c>
      <c r="E1369" s="276">
        <f>'Profits 2016'!L6582</f>
        <v>4500</v>
      </c>
      <c r="F1369" s="275" t="str">
        <f>'Profits 2016'!P6582</f>
        <v>Parallel</v>
      </c>
      <c r="G1369" s="292">
        <f>'Profits 2016'!N6582-'Profits 2016'!M6582</f>
        <v>450</v>
      </c>
      <c r="H1369" s="331"/>
      <c r="I1369" s="332"/>
      <c r="J1369" s="333"/>
      <c r="K1369" s="333"/>
      <c r="L1369" s="333"/>
      <c r="M1369" s="331"/>
      <c r="N1369" s="334"/>
      <c r="O1369" s="236" t="str">
        <f>'Profits 2016'!T6582</f>
        <v>FEDEX GROUND</v>
      </c>
      <c r="P1369" s="284" t="str">
        <f>'Profits 2016'!U6582</f>
        <v xml:space="preserve">371700283-3
</v>
      </c>
      <c r="AF1369" s="276">
        <f t="shared" si="170"/>
        <v>450</v>
      </c>
      <c r="AG1369" s="276">
        <f t="shared" si="171"/>
        <v>0</v>
      </c>
      <c r="AH1369" s="276">
        <f t="shared" si="172"/>
        <v>1271.0999999999999</v>
      </c>
      <c r="AI1369" s="283">
        <f t="shared" si="173"/>
        <v>2.8246666666666664</v>
      </c>
    </row>
    <row r="1370" spans="1:35" ht="30" x14ac:dyDescent="0.25">
      <c r="A1370" s="275">
        <f>'Profits 2016'!A6583</f>
        <v>3005155</v>
      </c>
      <c r="B1370" s="279">
        <f>'Profits 2016'!B6583</f>
        <v>42668</v>
      </c>
      <c r="C1370" s="276">
        <f>'Profits 2016'!H6583</f>
        <v>9352.25</v>
      </c>
      <c r="D1370" s="280">
        <f>'Profits 2016'!K6583</f>
        <v>9048.0018749999999</v>
      </c>
      <c r="E1370" s="276">
        <f>'Profits 2016'!L6583</f>
        <v>0</v>
      </c>
      <c r="F1370" s="275" t="str">
        <f>'Profits 2016'!P6583</f>
        <v>Nassau</v>
      </c>
      <c r="G1370" s="292">
        <f>'Profits 2016'!N6583-'Profits 2016'!M6583</f>
        <v>0</v>
      </c>
      <c r="H1370" s="319"/>
      <c r="I1370" s="320"/>
      <c r="J1370" s="321"/>
      <c r="K1370" s="321"/>
      <c r="L1370" s="321"/>
      <c r="M1370" s="319"/>
      <c r="N1370" s="322"/>
      <c r="O1370" s="236" t="str">
        <f>'Profits 2016'!T6583</f>
        <v>PITT OHIO/DLS</v>
      </c>
      <c r="P1370" s="284" t="str">
        <f>'Profits 2016'!U6583</f>
        <v>5014106361</v>
      </c>
      <c r="Q1370" s="284" t="s">
        <v>15804</v>
      </c>
      <c r="R1370" s="276">
        <v>133.61000000000001</v>
      </c>
      <c r="S1370" s="275">
        <v>636902684</v>
      </c>
      <c r="T1370" s="279">
        <v>42674</v>
      </c>
      <c r="U1370" s="279">
        <v>42681</v>
      </c>
      <c r="AF1370" s="276">
        <f t="shared" si="170"/>
        <v>133.61000000000001</v>
      </c>
      <c r="AG1370" s="276">
        <f t="shared" si="171"/>
        <v>133.61000000000001</v>
      </c>
      <c r="AH1370" s="276">
        <f t="shared" si="172"/>
        <v>8914.3918749999993</v>
      </c>
      <c r="AI1370" s="283">
        <f t="shared" si="173"/>
        <v>66.719496108075731</v>
      </c>
    </row>
    <row r="1371" spans="1:35" x14ac:dyDescent="0.25">
      <c r="A1371" s="275">
        <f>'Profits 2016'!A6584</f>
        <v>0</v>
      </c>
      <c r="B1371" s="279">
        <f>'Profits 2016'!B6584</f>
        <v>0</v>
      </c>
      <c r="C1371" s="276">
        <f>'Profits 2016'!H6584</f>
        <v>0</v>
      </c>
      <c r="D1371" s="280">
        <f>'Profits 2016'!K6584</f>
        <v>0</v>
      </c>
      <c r="E1371" s="276">
        <f>'Profits 2016'!L6584</f>
        <v>1170</v>
      </c>
      <c r="F1371" s="275" t="str">
        <f>'Profits 2016'!P6584</f>
        <v>Cameron</v>
      </c>
      <c r="G1371" s="292">
        <f>'Profits 2016'!N6584-'Profits 2016'!M6584</f>
        <v>3510</v>
      </c>
      <c r="H1371" s="331">
        <v>0</v>
      </c>
      <c r="I1371" s="332">
        <v>20005913</v>
      </c>
      <c r="J1371" s="333">
        <v>42669</v>
      </c>
      <c r="K1371" s="333">
        <v>42675</v>
      </c>
      <c r="L1371" s="333">
        <v>42697</v>
      </c>
      <c r="M1371" s="331">
        <v>3510</v>
      </c>
      <c r="N1371" s="334">
        <v>9464</v>
      </c>
      <c r="O1371" s="236" t="str">
        <f>'Profits 2016'!T6584</f>
        <v>FEDEX/DLS</v>
      </c>
      <c r="P1371" s="284" t="str">
        <f>'Profits 2016'!U6584</f>
        <v>396672937-3</v>
      </c>
      <c r="AF1371" s="276">
        <f t="shared" si="170"/>
        <v>3510</v>
      </c>
      <c r="AG1371" s="276">
        <f t="shared" si="171"/>
        <v>3510</v>
      </c>
      <c r="AH1371" s="276">
        <f t="shared" si="172"/>
        <v>-3510</v>
      </c>
      <c r="AI1371" s="283">
        <f t="shared" si="173"/>
        <v>-1</v>
      </c>
    </row>
    <row r="1372" spans="1:35" ht="30" x14ac:dyDescent="0.25">
      <c r="A1372" s="275">
        <f>'Profits 2016'!A6585</f>
        <v>3005156</v>
      </c>
      <c r="B1372" s="279">
        <f>'Profits 2016'!B6585</f>
        <v>42668</v>
      </c>
      <c r="C1372" s="276">
        <f>'Profits 2016'!H6585</f>
        <v>155</v>
      </c>
      <c r="D1372" s="280">
        <f>'Profits 2016'!K6585</f>
        <v>131.75</v>
      </c>
      <c r="E1372" s="276">
        <f>'Profits 2016'!L6585</f>
        <v>424</v>
      </c>
      <c r="F1372" s="275" t="str">
        <f>'Profits 2016'!P6585</f>
        <v>Nassau</v>
      </c>
      <c r="G1372" s="292">
        <f>'Profits 2016'!N6585-'Profits 2016'!M6585</f>
        <v>84.800000000000011</v>
      </c>
      <c r="H1372" s="319"/>
      <c r="I1372" s="320"/>
      <c r="J1372" s="321"/>
      <c r="K1372" s="321"/>
      <c r="L1372" s="321"/>
      <c r="M1372" s="319"/>
      <c r="N1372" s="322"/>
      <c r="O1372" s="236" t="str">
        <f>'Profits 2016'!T6585</f>
        <v>FEDEX GROUND</v>
      </c>
      <c r="P1372" s="284" t="str">
        <f>'Profits 2016'!U6585</f>
        <v>702723291138</v>
      </c>
      <c r="Q1372" s="284" t="s">
        <v>314</v>
      </c>
      <c r="R1372" s="276">
        <v>43.03</v>
      </c>
      <c r="S1372" s="275" t="s">
        <v>15907</v>
      </c>
      <c r="T1372" s="279">
        <v>42688</v>
      </c>
      <c r="U1372" s="279">
        <v>42691</v>
      </c>
      <c r="V1372" s="279">
        <v>42697</v>
      </c>
      <c r="W1372" s="293">
        <v>43.03</v>
      </c>
      <c r="X1372" s="236">
        <v>9494</v>
      </c>
      <c r="AF1372" s="276">
        <f t="shared" si="170"/>
        <v>127.83000000000001</v>
      </c>
      <c r="AG1372" s="276">
        <f t="shared" si="171"/>
        <v>43.03</v>
      </c>
      <c r="AH1372" s="276">
        <f t="shared" si="172"/>
        <v>88.72</v>
      </c>
      <c r="AI1372" s="283">
        <f t="shared" si="173"/>
        <v>0.69404678088085736</v>
      </c>
    </row>
    <row r="1373" spans="1:35" ht="30" x14ac:dyDescent="0.25">
      <c r="A1373" s="275">
        <f>'Profits 2016'!A6586</f>
        <v>3005157</v>
      </c>
      <c r="B1373" s="279">
        <f>'Profits 2016'!B6586</f>
        <v>42668</v>
      </c>
      <c r="C1373" s="276">
        <f>'Profits 2016'!H6586</f>
        <v>230</v>
      </c>
      <c r="D1373" s="280">
        <f>'Profits 2016'!K6586</f>
        <v>204.63000000000002</v>
      </c>
      <c r="E1373" s="276">
        <f>'Profits 2016'!L6586</f>
        <v>0</v>
      </c>
      <c r="F1373" s="275" t="str">
        <f>'Profits 2016'!P6586</f>
        <v>Nassau</v>
      </c>
      <c r="G1373" s="292">
        <f>'Profits 2016'!N6586-'Profits 2016'!M6586</f>
        <v>0</v>
      </c>
      <c r="H1373" s="319"/>
      <c r="I1373" s="320"/>
      <c r="J1373" s="321"/>
      <c r="K1373" s="321"/>
      <c r="L1373" s="321"/>
      <c r="M1373" s="319"/>
      <c r="N1373" s="322"/>
      <c r="O1373" s="236" t="str">
        <f>'Profits 2016'!T6586</f>
        <v>FEDEX GROUND</v>
      </c>
      <c r="P1373" s="284" t="str">
        <f>'Profits 2016'!U6586</f>
        <v>702723291149</v>
      </c>
      <c r="Q1373" s="284" t="s">
        <v>314</v>
      </c>
      <c r="R1373" s="276">
        <v>37.090000000000003</v>
      </c>
      <c r="S1373" s="275" t="s">
        <v>15907</v>
      </c>
      <c r="T1373" s="279">
        <v>42688</v>
      </c>
      <c r="U1373" s="279">
        <v>42691</v>
      </c>
      <c r="V1373" s="279">
        <v>42697</v>
      </c>
      <c r="W1373" s="293">
        <v>37.090000000000003</v>
      </c>
      <c r="X1373" s="236">
        <v>9494</v>
      </c>
      <c r="AF1373" s="276">
        <f t="shared" si="170"/>
        <v>37.090000000000003</v>
      </c>
      <c r="AG1373" s="276">
        <f t="shared" si="171"/>
        <v>37.090000000000003</v>
      </c>
      <c r="AH1373" s="276">
        <f t="shared" si="172"/>
        <v>167.54000000000002</v>
      </c>
      <c r="AI1373" s="283">
        <f t="shared" si="173"/>
        <v>4.5171205176597464</v>
      </c>
    </row>
    <row r="1374" spans="1:35" ht="30" x14ac:dyDescent="0.25">
      <c r="A1374" s="275">
        <f>'Profits 2016'!A6587</f>
        <v>3005158</v>
      </c>
      <c r="B1374" s="279">
        <f>'Profits 2016'!B6587</f>
        <v>42668</v>
      </c>
      <c r="C1374" s="276">
        <f>'Profits 2016'!H6587</f>
        <v>319.27999999999997</v>
      </c>
      <c r="D1374" s="280">
        <f>'Profits 2016'!K6587</f>
        <v>284.17847999999998</v>
      </c>
      <c r="E1374" s="276">
        <f>'Profits 2016'!L6587</f>
        <v>950</v>
      </c>
      <c r="F1374" s="275" t="str">
        <f>'Profits 2016'!P6587</f>
        <v>Nassau</v>
      </c>
      <c r="G1374" s="292">
        <f>'Profits 2016'!N6587-'Profits 2016'!M6587</f>
        <v>142.5</v>
      </c>
      <c r="H1374" s="319"/>
      <c r="I1374" s="320"/>
      <c r="J1374" s="321"/>
      <c r="K1374" s="321"/>
      <c r="L1374" s="321"/>
      <c r="M1374" s="319"/>
      <c r="N1374" s="322"/>
      <c r="O1374" s="236" t="str">
        <f>'Profits 2016'!T6587</f>
        <v>FEDEX GROUND</v>
      </c>
      <c r="P1374" s="284" t="str">
        <f>'Profits 2016'!U6587</f>
        <v>702723291160</v>
      </c>
      <c r="Q1374" s="284" t="s">
        <v>314</v>
      </c>
      <c r="R1374" s="276">
        <v>44.39</v>
      </c>
      <c r="S1374" s="275" t="s">
        <v>15907</v>
      </c>
      <c r="T1374" s="279">
        <v>42688</v>
      </c>
      <c r="U1374" s="279">
        <v>42691</v>
      </c>
      <c r="V1374" s="279">
        <v>42697</v>
      </c>
      <c r="W1374" s="293">
        <v>44.39</v>
      </c>
      <c r="X1374" s="236">
        <v>9494</v>
      </c>
      <c r="AF1374" s="276">
        <f t="shared" si="170"/>
        <v>186.89</v>
      </c>
      <c r="AG1374" s="276">
        <f t="shared" si="171"/>
        <v>44.39</v>
      </c>
      <c r="AH1374" s="276">
        <f t="shared" si="172"/>
        <v>239.78847999999999</v>
      </c>
      <c r="AI1374" s="283">
        <f t="shared" si="173"/>
        <v>1.2830460698806785</v>
      </c>
    </row>
    <row r="1375" spans="1:35" ht="30" x14ac:dyDescent="0.25">
      <c r="A1375" s="275">
        <f>'Profits 2016'!A6588</f>
        <v>3005159</v>
      </c>
      <c r="B1375" s="279">
        <f>'Profits 2016'!B6588</f>
        <v>42668</v>
      </c>
      <c r="C1375" s="276">
        <f>'Profits 2016'!H6588</f>
        <v>190</v>
      </c>
      <c r="D1375" s="280">
        <f>'Profits 2016'!K6588</f>
        <v>161.5</v>
      </c>
      <c r="E1375" s="276">
        <f>'Profits 2016'!L6588</f>
        <v>900</v>
      </c>
      <c r="F1375" s="275" t="str">
        <f>'Profits 2016'!P6588</f>
        <v>Nassau</v>
      </c>
      <c r="G1375" s="292">
        <f>'Profits 2016'!N6588-'Profits 2016'!M6588</f>
        <v>90</v>
      </c>
      <c r="H1375" s="319"/>
      <c r="I1375" s="320"/>
      <c r="J1375" s="321"/>
      <c r="K1375" s="321"/>
      <c r="L1375" s="321"/>
      <c r="M1375" s="319"/>
      <c r="N1375" s="322"/>
      <c r="O1375" s="236" t="str">
        <f>'Profits 2016'!T6588</f>
        <v>FEDEX GROUND</v>
      </c>
      <c r="P1375" s="284" t="str">
        <f>'Profits 2016'!U6588</f>
        <v>680483360656</v>
      </c>
      <c r="AF1375" s="276">
        <f t="shared" si="170"/>
        <v>90</v>
      </c>
      <c r="AG1375" s="276">
        <f t="shared" si="171"/>
        <v>0</v>
      </c>
      <c r="AH1375" s="276">
        <f t="shared" si="172"/>
        <v>161.5</v>
      </c>
      <c r="AI1375" s="283">
        <f t="shared" si="173"/>
        <v>1.7944444444444445</v>
      </c>
    </row>
    <row r="1376" spans="1:35" x14ac:dyDescent="0.25">
      <c r="A1376" s="275">
        <f>'Profits 2016'!A6589</f>
        <v>3005160</v>
      </c>
      <c r="B1376" s="279">
        <f>'Profits 2016'!B6589</f>
        <v>42668</v>
      </c>
      <c r="C1376" s="276">
        <f>'Profits 2016'!H6589</f>
        <v>18170</v>
      </c>
      <c r="D1376" s="280">
        <f>'Profits 2016'!K6589</f>
        <v>17769.96</v>
      </c>
      <c r="E1376" s="276">
        <f>'Profits 2016'!L6589</f>
        <v>5300</v>
      </c>
      <c r="F1376" s="275" t="str">
        <f>'Profits 2016'!P6589</f>
        <v>Southwire</v>
      </c>
      <c r="G1376" s="292">
        <f>'Profits 2016'!N6589-'Profits 2016'!M6589</f>
        <v>12190.000000000002</v>
      </c>
      <c r="H1376" s="331">
        <v>0</v>
      </c>
      <c r="I1376" s="332">
        <v>91017867</v>
      </c>
      <c r="J1376" s="333">
        <v>42671</v>
      </c>
      <c r="K1376" s="333">
        <v>42681</v>
      </c>
      <c r="L1376" s="333"/>
      <c r="M1376" s="331"/>
      <c r="N1376" s="334"/>
      <c r="O1376" s="236" t="str">
        <f>'Profits 2016'!T6589</f>
        <v>FEDEX</v>
      </c>
      <c r="P1376" s="284">
        <f>'Profits 2016'!U6589</f>
        <v>4236681175</v>
      </c>
      <c r="AF1376" s="276">
        <f t="shared" si="170"/>
        <v>12340.000000000002</v>
      </c>
      <c r="AG1376" s="276">
        <f t="shared" si="171"/>
        <v>0</v>
      </c>
      <c r="AH1376" s="276">
        <f t="shared" si="172"/>
        <v>17769.96</v>
      </c>
      <c r="AI1376" s="283">
        <f t="shared" si="173"/>
        <v>1.4400291734197728</v>
      </c>
    </row>
    <row r="1377" spans="1:35" x14ac:dyDescent="0.25">
      <c r="A1377" s="275">
        <f>'Profits 2016'!A6590</f>
        <v>3005161</v>
      </c>
      <c r="B1377" s="279">
        <f>'Profits 2016'!B6590</f>
        <v>42668</v>
      </c>
      <c r="C1377" s="276">
        <f>'Profits 2016'!H6590</f>
        <v>5400</v>
      </c>
      <c r="D1377" s="280">
        <f>'Profits 2016'!K6590</f>
        <v>5280.9</v>
      </c>
      <c r="E1377" s="276">
        <f>'Profits 2016'!L6590</f>
        <v>1401.89</v>
      </c>
      <c r="F1377" s="275" t="str">
        <f>'Profits 2016'!P6590</f>
        <v>General</v>
      </c>
      <c r="G1377" s="292">
        <f>'Profits 2016'!N6590-'Profits 2016'!M6590</f>
        <v>2523.402</v>
      </c>
      <c r="H1377" s="331">
        <v>150</v>
      </c>
      <c r="I1377" s="332">
        <v>3779578</v>
      </c>
      <c r="J1377" s="333">
        <v>42675</v>
      </c>
      <c r="K1377" s="333">
        <v>42681</v>
      </c>
      <c r="L1377" s="333"/>
      <c r="M1377" s="331"/>
      <c r="N1377" s="334"/>
      <c r="O1377" s="236" t="str">
        <f>'Profits 2016'!T6590</f>
        <v>FEDEX/DLS</v>
      </c>
      <c r="P1377" s="284">
        <f>'Profits 2016'!U6590</f>
        <v>3979097931</v>
      </c>
      <c r="Q1377" s="284" t="s">
        <v>15804</v>
      </c>
      <c r="R1377" s="276">
        <v>248.24</v>
      </c>
      <c r="S1377" s="275">
        <v>636929308</v>
      </c>
      <c r="T1377" s="279">
        <v>42681</v>
      </c>
      <c r="U1377" s="279">
        <v>42688</v>
      </c>
      <c r="V1377" s="279">
        <v>42692</v>
      </c>
      <c r="W1377" s="293">
        <v>248.24</v>
      </c>
      <c r="X1377" s="236">
        <v>9453</v>
      </c>
      <c r="AF1377" s="276">
        <f t="shared" si="170"/>
        <v>2771.6419999999998</v>
      </c>
      <c r="AG1377" s="276">
        <f t="shared" si="171"/>
        <v>248.24</v>
      </c>
      <c r="AH1377" s="276">
        <f t="shared" si="172"/>
        <v>5032.66</v>
      </c>
      <c r="AI1377" s="283">
        <f t="shared" si="173"/>
        <v>1.8157684145354993</v>
      </c>
    </row>
    <row r="1378" spans="1:35" x14ac:dyDescent="0.25">
      <c r="A1378" s="275">
        <f>'Profits 2016'!A6591</f>
        <v>3005162</v>
      </c>
      <c r="B1378" s="279">
        <f>'Profits 2016'!B6591</f>
        <v>42668</v>
      </c>
      <c r="C1378" s="276">
        <f>'Profits 2016'!H6591</f>
        <v>2550</v>
      </c>
      <c r="D1378" s="280">
        <f>'Profits 2016'!K6591</f>
        <v>2493.6</v>
      </c>
      <c r="E1378" s="276">
        <f>'Profits 2016'!L6591</f>
        <v>3720</v>
      </c>
      <c r="F1378" s="275" t="str">
        <f>'Profits 2016'!P6591</f>
        <v>Southwire</v>
      </c>
      <c r="G1378" s="292">
        <f>'Profits 2016'!N6591-'Profits 2016'!M6591</f>
        <v>1860</v>
      </c>
      <c r="H1378" s="331">
        <v>0</v>
      </c>
      <c r="I1378" s="332">
        <v>91022891</v>
      </c>
      <c r="J1378" s="333">
        <v>42675</v>
      </c>
      <c r="K1378" s="333">
        <v>42681</v>
      </c>
      <c r="L1378" s="333"/>
      <c r="M1378" s="331"/>
      <c r="N1378" s="334"/>
      <c r="O1378" s="236" t="str">
        <f>'Profits 2016'!T6591</f>
        <v>Averitt</v>
      </c>
      <c r="P1378" s="284">
        <f>'Profits 2016'!U6591</f>
        <v>959354647</v>
      </c>
      <c r="AF1378" s="276">
        <f t="shared" si="170"/>
        <v>1860</v>
      </c>
      <c r="AG1378" s="276">
        <f t="shared" si="171"/>
        <v>0</v>
      </c>
      <c r="AH1378" s="276">
        <f t="shared" si="172"/>
        <v>2493.6</v>
      </c>
      <c r="AI1378" s="283">
        <f t="shared" si="173"/>
        <v>1.3406451612903225</v>
      </c>
    </row>
    <row r="1379" spans="1:35" ht="30" x14ac:dyDescent="0.25">
      <c r="A1379" s="275">
        <f>'Profits 2016'!A6592</f>
        <v>3005163</v>
      </c>
      <c r="B1379" s="279">
        <f>'Profits 2016'!B6592</f>
        <v>42668</v>
      </c>
      <c r="C1379" s="276">
        <f>'Profits 2016'!H6592</f>
        <v>710.73</v>
      </c>
      <c r="D1379" s="280">
        <f>'Profits 2016'!K6592</f>
        <v>694.79394000000002</v>
      </c>
      <c r="E1379" s="276">
        <f>'Profits 2016'!L6592</f>
        <v>387</v>
      </c>
      <c r="F1379" s="275" t="str">
        <f>'Profits 2016'!P6592</f>
        <v>Priority</v>
      </c>
      <c r="G1379" s="292">
        <f>'Profits 2016'!N6592-'Profits 2016'!M6592</f>
        <v>387</v>
      </c>
      <c r="H1379" s="331">
        <v>0</v>
      </c>
      <c r="I1379" s="332">
        <v>1070989</v>
      </c>
      <c r="J1379" s="333">
        <v>42671</v>
      </c>
      <c r="K1379" s="333">
        <v>42681</v>
      </c>
      <c r="L1379" s="333">
        <v>42697</v>
      </c>
      <c r="M1379" s="331">
        <v>387</v>
      </c>
      <c r="N1379" s="334">
        <v>9476</v>
      </c>
      <c r="O1379" s="236" t="str">
        <f>'Profits 2016'!T6592</f>
        <v>FEDEX FREIGHT</v>
      </c>
      <c r="P1379" s="284" t="str">
        <f>'Profits 2016'!U6592</f>
        <v xml:space="preserve">	2849338833</v>
      </c>
      <c r="Q1379" s="284" t="s">
        <v>15740</v>
      </c>
      <c r="R1379" s="276">
        <v>215.71</v>
      </c>
      <c r="S1379" s="275">
        <v>1070989</v>
      </c>
      <c r="T1379" s="279">
        <v>42671</v>
      </c>
      <c r="U1379" s="279">
        <v>42681</v>
      </c>
      <c r="V1379" s="279">
        <v>42697</v>
      </c>
      <c r="W1379" s="293">
        <v>215.71</v>
      </c>
      <c r="X1379" s="236">
        <v>9476</v>
      </c>
      <c r="AF1379" s="276">
        <f t="shared" si="170"/>
        <v>602.71</v>
      </c>
      <c r="AG1379" s="276">
        <f t="shared" si="171"/>
        <v>602.71</v>
      </c>
      <c r="AH1379" s="276">
        <f t="shared" si="172"/>
        <v>92.083939999999984</v>
      </c>
      <c r="AI1379" s="283">
        <f t="shared" si="173"/>
        <v>0.15278316271507023</v>
      </c>
    </row>
    <row r="1380" spans="1:35" ht="30" x14ac:dyDescent="0.25">
      <c r="A1380" s="275">
        <f>'Profits 2016'!A6593</f>
        <v>3005164</v>
      </c>
      <c r="B1380" s="279">
        <f>'Profits 2016'!B6593</f>
        <v>42669</v>
      </c>
      <c r="C1380" s="276">
        <f>'Profits 2016'!H6593</f>
        <v>390</v>
      </c>
      <c r="D1380" s="280">
        <f>'Profits 2016'!K6593</f>
        <v>381.12</v>
      </c>
      <c r="E1380" s="276">
        <f>'Profits 2016'!L6593</f>
        <v>3300</v>
      </c>
      <c r="F1380" s="275" t="str">
        <f>'Profits 2016'!P6593</f>
        <v>Nassau</v>
      </c>
      <c r="G1380" s="292">
        <f>'Profits 2016'!N6593-'Profits 2016'!M6593</f>
        <v>198</v>
      </c>
      <c r="H1380" s="319"/>
      <c r="I1380" s="320"/>
      <c r="J1380" s="321"/>
      <c r="K1380" s="321"/>
      <c r="L1380" s="321"/>
      <c r="M1380" s="319"/>
      <c r="N1380" s="322"/>
      <c r="O1380" s="236" t="str">
        <f>'Profits 2016'!T6593</f>
        <v>FEDEX GROUND</v>
      </c>
      <c r="P1380" s="284" t="str">
        <f>'Profits 2016'!U6593</f>
        <v>702723291193</v>
      </c>
      <c r="Q1380" s="284" t="s">
        <v>314</v>
      </c>
      <c r="R1380" s="276">
        <v>31.65</v>
      </c>
      <c r="S1380" s="275" t="s">
        <v>15869</v>
      </c>
      <c r="T1380" s="279">
        <v>42681</v>
      </c>
      <c r="U1380" s="279">
        <v>42688</v>
      </c>
      <c r="V1380" s="279">
        <v>42692</v>
      </c>
      <c r="W1380" s="293">
        <f>R1380</f>
        <v>31.65</v>
      </c>
      <c r="X1380" s="236">
        <v>9444</v>
      </c>
      <c r="AF1380" s="276">
        <f t="shared" si="170"/>
        <v>229.65</v>
      </c>
      <c r="AG1380" s="276">
        <f t="shared" si="171"/>
        <v>31.65</v>
      </c>
      <c r="AH1380" s="276">
        <f t="shared" si="172"/>
        <v>349.47</v>
      </c>
      <c r="AI1380" s="283">
        <f t="shared" si="173"/>
        <v>1.5217504898758982</v>
      </c>
    </row>
    <row r="1381" spans="1:35" x14ac:dyDescent="0.25">
      <c r="A1381" s="275">
        <f>'Profits 2016'!A6594</f>
        <v>3005165</v>
      </c>
      <c r="B1381" s="279">
        <f>'Profits 2016'!B6594</f>
        <v>42669</v>
      </c>
      <c r="C1381" s="276">
        <f>'Profits 2016'!H6594</f>
        <v>2100</v>
      </c>
      <c r="D1381" s="280">
        <f>'Profits 2016'!K6594</f>
        <v>2053.5</v>
      </c>
      <c r="E1381" s="276">
        <f>'Profits 2016'!L6594</f>
        <v>1240</v>
      </c>
      <c r="F1381" s="275" t="str">
        <f>'Profits 2016'!P6594</f>
        <v>Nassau</v>
      </c>
      <c r="G1381" s="292">
        <f>'Profits 2016'!N6594-'Profits 2016'!M6594</f>
        <v>1240</v>
      </c>
      <c r="H1381" s="319"/>
      <c r="I1381" s="320"/>
      <c r="J1381" s="321"/>
      <c r="K1381" s="321"/>
      <c r="L1381" s="321"/>
      <c r="M1381" s="319"/>
      <c r="N1381" s="322"/>
      <c r="O1381" s="236" t="str">
        <f>'Profits 2016'!T6594</f>
        <v>TEALS</v>
      </c>
      <c r="P1381" s="284" t="str">
        <f>'Profits 2016'!U6594</f>
        <v>799045374</v>
      </c>
      <c r="Q1381" s="284" t="s">
        <v>15751</v>
      </c>
      <c r="R1381" s="276">
        <v>99.5</v>
      </c>
      <c r="S1381" s="275">
        <v>10045996</v>
      </c>
      <c r="T1381" s="279">
        <v>42669</v>
      </c>
      <c r="U1381" s="279">
        <v>42676</v>
      </c>
      <c r="V1381" s="279">
        <v>42678</v>
      </c>
      <c r="W1381" s="293">
        <v>99.5</v>
      </c>
      <c r="X1381" s="236">
        <v>9364</v>
      </c>
      <c r="AF1381" s="276">
        <f t="shared" si="170"/>
        <v>1339.5</v>
      </c>
      <c r="AG1381" s="276">
        <f t="shared" si="171"/>
        <v>99.5</v>
      </c>
      <c r="AH1381" s="276">
        <f t="shared" si="172"/>
        <v>1954</v>
      </c>
      <c r="AI1381" s="283">
        <f t="shared" si="173"/>
        <v>1.4587532661440836</v>
      </c>
    </row>
    <row r="1382" spans="1:35" x14ac:dyDescent="0.25">
      <c r="A1382" s="275">
        <f>'Profits 2016'!A6595</f>
        <v>3005166</v>
      </c>
      <c r="B1382" s="279">
        <f>'Profits 2016'!B6595</f>
        <v>42669</v>
      </c>
      <c r="C1382" s="276">
        <f>'Profits 2016'!H6595</f>
        <v>21000</v>
      </c>
      <c r="D1382" s="280">
        <f>'Profits 2016'!K6595</f>
        <v>21000</v>
      </c>
      <c r="E1382" s="276">
        <f>'Profits 2016'!L6595</f>
        <v>3300</v>
      </c>
      <c r="F1382" s="275" t="str">
        <f>'Profits 2016'!P6595</f>
        <v>Eutex</v>
      </c>
      <c r="G1382" s="292">
        <f>'Profits 2016'!N6595-'Profits 2016'!M6595</f>
        <v>16500</v>
      </c>
      <c r="H1382" s="331">
        <v>0</v>
      </c>
      <c r="I1382" s="332">
        <v>20022561</v>
      </c>
      <c r="J1382" s="333">
        <v>42671</v>
      </c>
      <c r="K1382" s="333">
        <v>42681</v>
      </c>
      <c r="L1382" s="333">
        <v>42697</v>
      </c>
      <c r="M1382" s="331">
        <v>16500</v>
      </c>
      <c r="N1382" s="334">
        <v>9471</v>
      </c>
      <c r="O1382" s="236" t="str">
        <f>'Profits 2016'!T6595</f>
        <v>YRC/ECHO</v>
      </c>
      <c r="P1382" s="284" t="str">
        <f>'Profits 2016'!U6595</f>
        <v>6012070898</v>
      </c>
      <c r="Q1382" s="284" t="s">
        <v>15767</v>
      </c>
      <c r="R1382" s="276">
        <v>432.46</v>
      </c>
      <c r="S1382" s="275" t="s">
        <v>15908</v>
      </c>
      <c r="T1382" s="279">
        <v>42683</v>
      </c>
      <c r="U1382" s="279">
        <v>42688</v>
      </c>
      <c r="AF1382" s="276">
        <f t="shared" si="170"/>
        <v>16932.46</v>
      </c>
      <c r="AG1382" s="276">
        <f t="shared" si="171"/>
        <v>16932.46</v>
      </c>
      <c r="AH1382" s="276">
        <f t="shared" si="172"/>
        <v>4067.5400000000009</v>
      </c>
      <c r="AI1382" s="283">
        <f t="shared" si="173"/>
        <v>0.24022144449182228</v>
      </c>
    </row>
    <row r="1383" spans="1:35" ht="30" x14ac:dyDescent="0.25">
      <c r="A1383" s="275">
        <f>'Profits 2016'!A6596</f>
        <v>3005167</v>
      </c>
      <c r="B1383" s="279">
        <f>'Profits 2016'!B6596</f>
        <v>42669</v>
      </c>
      <c r="C1383" s="276">
        <f>'Profits 2016'!H6596</f>
        <v>330.12</v>
      </c>
      <c r="D1383" s="280">
        <f>'Profits 2016'!K6596</f>
        <v>293.83692000000002</v>
      </c>
      <c r="E1383" s="276">
        <f>'Profits 2016'!L6596</f>
        <v>375</v>
      </c>
      <c r="F1383" s="275" t="str">
        <f>'Profits 2016'!P6596</f>
        <v>Nassau</v>
      </c>
      <c r="G1383" s="292">
        <f>'Profits 2016'!N6596-'Profits 2016'!M6596</f>
        <v>168.75</v>
      </c>
      <c r="H1383" s="319"/>
      <c r="I1383" s="320"/>
      <c r="J1383" s="321"/>
      <c r="K1383" s="321"/>
      <c r="L1383" s="321"/>
      <c r="M1383" s="319"/>
      <c r="N1383" s="322"/>
      <c r="O1383" s="236" t="str">
        <f>'Profits 2016'!T6596</f>
        <v>FEDEX GROUND</v>
      </c>
      <c r="P1383" s="284" t="str">
        <f>'Profits 2016'!U6596</f>
        <v>702723291208</v>
      </c>
      <c r="Q1383" s="284" t="s">
        <v>314</v>
      </c>
      <c r="R1383" s="276">
        <v>64.41</v>
      </c>
      <c r="S1383" s="275" t="s">
        <v>15907</v>
      </c>
      <c r="T1383" s="279">
        <v>42688</v>
      </c>
      <c r="U1383" s="279">
        <v>42691</v>
      </c>
      <c r="V1383" s="279">
        <v>42697</v>
      </c>
      <c r="W1383" s="293">
        <v>64.41</v>
      </c>
      <c r="X1383" s="236">
        <v>9494</v>
      </c>
      <c r="AF1383" s="276">
        <f t="shared" si="170"/>
        <v>233.16</v>
      </c>
      <c r="AG1383" s="276">
        <f t="shared" si="171"/>
        <v>64.41</v>
      </c>
      <c r="AH1383" s="276">
        <f t="shared" si="172"/>
        <v>229.42692000000002</v>
      </c>
      <c r="AI1383" s="283">
        <f t="shared" si="173"/>
        <v>0.98398919197117873</v>
      </c>
    </row>
    <row r="1384" spans="1:35" ht="30" x14ac:dyDescent="0.25">
      <c r="A1384" s="275">
        <f>'Profits 2016'!A6597</f>
        <v>3005168</v>
      </c>
      <c r="B1384" s="279">
        <f>'Profits 2016'!B6597</f>
        <v>42669</v>
      </c>
      <c r="C1384" s="276">
        <f>'Profits 2016'!H6597</f>
        <v>112.63</v>
      </c>
      <c r="D1384" s="280">
        <f>'Profits 2016'!K6597</f>
        <v>100.05332999999999</v>
      </c>
      <c r="E1384" s="276">
        <f>'Profits 2016'!L6597</f>
        <v>510</v>
      </c>
      <c r="F1384" s="275" t="str">
        <f>'Profits 2016'!P6597</f>
        <v>Nassau</v>
      </c>
      <c r="G1384" s="292">
        <f>'Profits 2016'!N6597-'Profits 2016'!M6597</f>
        <v>51</v>
      </c>
      <c r="H1384" s="319"/>
      <c r="I1384" s="320"/>
      <c r="J1384" s="321"/>
      <c r="K1384" s="321"/>
      <c r="L1384" s="321"/>
      <c r="M1384" s="319"/>
      <c r="N1384" s="322"/>
      <c r="O1384" s="236" t="str">
        <f>'Profits 2016'!T6597</f>
        <v>FEDEX GROUND</v>
      </c>
      <c r="P1384" s="284" t="str">
        <f>'Profits 2016'!U6597</f>
        <v>680483360690</v>
      </c>
      <c r="AF1384" s="276">
        <f t="shared" si="170"/>
        <v>51</v>
      </c>
      <c r="AG1384" s="276">
        <f t="shared" si="171"/>
        <v>0</v>
      </c>
      <c r="AH1384" s="276">
        <f t="shared" si="172"/>
        <v>100.05332999999999</v>
      </c>
      <c r="AI1384" s="283">
        <f t="shared" si="173"/>
        <v>1.9618299999999997</v>
      </c>
    </row>
    <row r="1385" spans="1:35" ht="30" x14ac:dyDescent="0.25">
      <c r="A1385" s="275">
        <f>'Profits 2016'!A6598</f>
        <v>3005169</v>
      </c>
      <c r="B1385" s="279">
        <f>'Profits 2016'!B6598</f>
        <v>42669</v>
      </c>
      <c r="C1385" s="276">
        <f>'Profits 2016'!H6598</f>
        <v>236</v>
      </c>
      <c r="D1385" s="280">
        <f>'Profits 2016'!K6598</f>
        <v>209.976</v>
      </c>
      <c r="E1385" s="276">
        <f>'Profits 2016'!L6598</f>
        <v>1322</v>
      </c>
      <c r="F1385" s="275" t="str">
        <f>'Profits 2016'!P6598</f>
        <v>Nassau</v>
      </c>
      <c r="G1385" s="292">
        <f>'Profits 2016'!N6598-'Profits 2016'!M6598</f>
        <v>132.20000000000002</v>
      </c>
      <c r="H1385" s="319"/>
      <c r="I1385" s="320"/>
      <c r="J1385" s="321"/>
      <c r="K1385" s="321"/>
      <c r="L1385" s="321"/>
      <c r="M1385" s="319"/>
      <c r="N1385" s="322"/>
      <c r="O1385" s="236" t="str">
        <f>'Profits 2016'!T6598</f>
        <v>FEDEX GROUND</v>
      </c>
      <c r="P1385" s="284" t="str">
        <f>'Profits 2016'!U6598</f>
        <v>702723291171</v>
      </c>
      <c r="Q1385" s="284" t="s">
        <v>314</v>
      </c>
      <c r="R1385" s="276">
        <v>27.38</v>
      </c>
      <c r="S1385" s="275" t="s">
        <v>15907</v>
      </c>
      <c r="T1385" s="279">
        <v>42688</v>
      </c>
      <c r="U1385" s="279">
        <v>42691</v>
      </c>
      <c r="V1385" s="279">
        <v>42697</v>
      </c>
      <c r="W1385" s="293">
        <v>27.38</v>
      </c>
      <c r="X1385" s="236">
        <v>9494</v>
      </c>
      <c r="AF1385" s="276">
        <f t="shared" si="170"/>
        <v>159.58000000000001</v>
      </c>
      <c r="AG1385" s="276">
        <f t="shared" si="171"/>
        <v>27.38</v>
      </c>
      <c r="AH1385" s="276">
        <f t="shared" si="172"/>
        <v>182.596</v>
      </c>
      <c r="AI1385" s="283">
        <f t="shared" si="173"/>
        <v>1.1442286000751973</v>
      </c>
    </row>
    <row r="1386" spans="1:35" ht="30" x14ac:dyDescent="0.25">
      <c r="A1386" s="275">
        <f>'Profits 2016'!A6599</f>
        <v>3005170</v>
      </c>
      <c r="B1386" s="279">
        <f>'Profits 2016'!B6599</f>
        <v>42669</v>
      </c>
      <c r="C1386" s="276">
        <f>'Profits 2016'!H6599</f>
        <v>340.86</v>
      </c>
      <c r="D1386" s="280">
        <f>'Profits 2016'!K6599</f>
        <v>303.40626000000003</v>
      </c>
      <c r="E1386" s="276">
        <f>'Profits 2016'!L6599</f>
        <v>1800</v>
      </c>
      <c r="F1386" s="275" t="str">
        <f>'Profits 2016'!P6599</f>
        <v>Nassau</v>
      </c>
      <c r="G1386" s="292">
        <f>'Profits 2016'!N6599-'Profits 2016'!M6599</f>
        <v>180</v>
      </c>
      <c r="H1386" s="319"/>
      <c r="I1386" s="320"/>
      <c r="J1386" s="321"/>
      <c r="K1386" s="321"/>
      <c r="L1386" s="321"/>
      <c r="M1386" s="319"/>
      <c r="N1386" s="322"/>
      <c r="O1386" s="236" t="str">
        <f>'Profits 2016'!T6599</f>
        <v>FEDEX GROUND</v>
      </c>
      <c r="P1386" s="284" t="str">
        <f>'Profits 2016'!U6599</f>
        <v>680483360667</v>
      </c>
      <c r="Q1386" s="284" t="s">
        <v>314</v>
      </c>
      <c r="R1386" s="276">
        <v>39.1</v>
      </c>
      <c r="S1386" s="275" t="s">
        <v>15907</v>
      </c>
      <c r="T1386" s="279">
        <v>42688</v>
      </c>
      <c r="U1386" s="279">
        <v>42691</v>
      </c>
      <c r="V1386" s="279">
        <v>42697</v>
      </c>
      <c r="W1386" s="293">
        <v>39.1</v>
      </c>
      <c r="X1386" s="236">
        <v>9494</v>
      </c>
      <c r="AF1386" s="276">
        <f t="shared" si="170"/>
        <v>219.1</v>
      </c>
      <c r="AG1386" s="276">
        <f t="shared" si="171"/>
        <v>39.1</v>
      </c>
      <c r="AH1386" s="276">
        <f t="shared" si="172"/>
        <v>264.30626000000001</v>
      </c>
      <c r="AI1386" s="283">
        <f t="shared" si="173"/>
        <v>1.2063270652670015</v>
      </c>
    </row>
    <row r="1387" spans="1:35" ht="30" x14ac:dyDescent="0.25">
      <c r="A1387" s="275">
        <f>'Profits 2016'!A6600</f>
        <v>3005171</v>
      </c>
      <c r="B1387" s="279">
        <f>'Profits 2016'!B6600</f>
        <v>42669</v>
      </c>
      <c r="C1387" s="276">
        <f>'Profits 2016'!H6600</f>
        <v>329.45</v>
      </c>
      <c r="D1387" s="280">
        <f>'Profits 2016'!K6600</f>
        <v>293.23994999999996</v>
      </c>
      <c r="E1387" s="276">
        <f>'Profits 2016'!L6600</f>
        <v>350</v>
      </c>
      <c r="F1387" s="275" t="str">
        <f>'Profits 2016'!P6600</f>
        <v>Nassau</v>
      </c>
      <c r="G1387" s="292">
        <f>'Profits 2016'!N6600-'Profits 2016'!M6600</f>
        <v>140</v>
      </c>
      <c r="H1387" s="319"/>
      <c r="I1387" s="320"/>
      <c r="J1387" s="321"/>
      <c r="K1387" s="321"/>
      <c r="L1387" s="321"/>
      <c r="M1387" s="319"/>
      <c r="N1387" s="322"/>
      <c r="O1387" s="236" t="str">
        <f>'Profits 2016'!T6600</f>
        <v>FEDEX GROUND</v>
      </c>
      <c r="P1387" s="284" t="str">
        <f>'Profits 2016'!U6600</f>
        <v>680483360737</v>
      </c>
      <c r="Q1387" s="284" t="s">
        <v>314</v>
      </c>
      <c r="R1387" s="276">
        <v>36.93</v>
      </c>
      <c r="S1387" s="275" t="s">
        <v>15869</v>
      </c>
      <c r="T1387" s="279">
        <v>42681</v>
      </c>
      <c r="U1387" s="279">
        <v>42688</v>
      </c>
      <c r="V1387" s="279">
        <v>42692</v>
      </c>
      <c r="W1387" s="293">
        <f>R1387</f>
        <v>36.93</v>
      </c>
      <c r="X1387" s="236">
        <v>9444</v>
      </c>
      <c r="AF1387" s="276">
        <f t="shared" si="170"/>
        <v>176.93</v>
      </c>
      <c r="AG1387" s="276">
        <f t="shared" si="171"/>
        <v>36.93</v>
      </c>
      <c r="AH1387" s="276">
        <f t="shared" si="172"/>
        <v>256.30994999999996</v>
      </c>
      <c r="AI1387" s="283">
        <f t="shared" si="173"/>
        <v>1.4486517266715648</v>
      </c>
    </row>
    <row r="1388" spans="1:35" ht="30" x14ac:dyDescent="0.25">
      <c r="A1388" s="275">
        <f>'Profits 2016'!A6601</f>
        <v>3005172</v>
      </c>
      <c r="B1388" s="279">
        <f>'Profits 2016'!B6601</f>
        <v>42669</v>
      </c>
      <c r="C1388" s="276">
        <f>'Profits 2016'!H6601</f>
        <v>161.69999999999999</v>
      </c>
      <c r="D1388" s="280">
        <f>'Profits 2016'!K6601</f>
        <v>143.7747</v>
      </c>
      <c r="E1388" s="276">
        <f>'Profits 2016'!L6601</f>
        <v>2200</v>
      </c>
      <c r="F1388" s="275" t="str">
        <f>'Profits 2016'!P6601</f>
        <v>Direct</v>
      </c>
      <c r="G1388" s="292">
        <f>'Profits 2016'!N6601-'Profits 2016'!M6601</f>
        <v>77.000000000000014</v>
      </c>
      <c r="H1388" s="331">
        <v>0</v>
      </c>
      <c r="I1388" s="332">
        <v>75341</v>
      </c>
      <c r="J1388" s="333">
        <v>42670</v>
      </c>
      <c r="K1388" s="333">
        <v>42676</v>
      </c>
      <c r="L1388" s="333">
        <v>42678</v>
      </c>
      <c r="M1388" s="331">
        <v>7.8</v>
      </c>
      <c r="N1388" s="334">
        <v>9371</v>
      </c>
      <c r="O1388" s="236" t="str">
        <f>'Profits 2016'!T6601</f>
        <v>FEDEX GROUND</v>
      </c>
      <c r="P1388" s="284" t="str">
        <f>'Profits 2016'!U6601</f>
        <v>642286529441</v>
      </c>
      <c r="Q1388" s="284" t="s">
        <v>314</v>
      </c>
      <c r="R1388" s="276">
        <v>16.73</v>
      </c>
      <c r="S1388" s="275" t="s">
        <v>15907</v>
      </c>
      <c r="T1388" s="279">
        <v>42688</v>
      </c>
      <c r="U1388" s="279">
        <v>42691</v>
      </c>
      <c r="V1388" s="279">
        <v>42697</v>
      </c>
      <c r="W1388" s="293">
        <v>16.73</v>
      </c>
      <c r="X1388" s="236">
        <v>9494</v>
      </c>
      <c r="AF1388" s="276">
        <f t="shared" si="170"/>
        <v>93.730000000000018</v>
      </c>
      <c r="AG1388" s="276">
        <f t="shared" si="171"/>
        <v>24.53</v>
      </c>
      <c r="AH1388" s="276">
        <f t="shared" si="172"/>
        <v>119.24469999999999</v>
      </c>
      <c r="AI1388" s="283">
        <f t="shared" si="173"/>
        <v>1.2722148725061344</v>
      </c>
    </row>
    <row r="1389" spans="1:35" x14ac:dyDescent="0.25">
      <c r="A1389" s="275">
        <f>'Profits 2016'!A6602</f>
        <v>0</v>
      </c>
      <c r="B1389" s="279">
        <f>'Profits 2016'!B6602</f>
        <v>0</v>
      </c>
      <c r="C1389" s="276">
        <f>'Profits 2016'!H6602</f>
        <v>0</v>
      </c>
      <c r="D1389" s="280">
        <f>'Profits 2016'!K6602</f>
        <v>0</v>
      </c>
      <c r="E1389" s="276">
        <f>'Profits 2016'!L6602</f>
        <v>2200</v>
      </c>
      <c r="F1389" s="275" t="str">
        <f>'Profits 2016'!P6602</f>
        <v>Direct</v>
      </c>
      <c r="G1389" s="292">
        <f>'Profits 2016'!N6602-'Profits 2016'!M6602</f>
        <v>33</v>
      </c>
      <c r="H1389" s="331">
        <v>0</v>
      </c>
      <c r="I1389" s="332">
        <v>75341</v>
      </c>
      <c r="J1389" s="333">
        <v>42670</v>
      </c>
      <c r="K1389" s="333">
        <v>42676</v>
      </c>
      <c r="L1389" s="333">
        <v>42678</v>
      </c>
      <c r="M1389" s="331">
        <v>0</v>
      </c>
      <c r="N1389" s="334">
        <v>9371</v>
      </c>
      <c r="O1389" s="236">
        <f>'Profits 2016'!T6602</f>
        <v>0</v>
      </c>
      <c r="P1389" s="284">
        <f>'Profits 2016'!U6602</f>
        <v>0</v>
      </c>
      <c r="Q1389" s="284" t="s">
        <v>314</v>
      </c>
      <c r="R1389" s="276">
        <v>0</v>
      </c>
      <c r="S1389" s="275" t="s">
        <v>15907</v>
      </c>
      <c r="T1389" s="279">
        <v>42688</v>
      </c>
      <c r="U1389" s="279">
        <v>42691</v>
      </c>
      <c r="V1389" s="279">
        <v>42697</v>
      </c>
      <c r="W1389" s="293">
        <v>0</v>
      </c>
      <c r="X1389" s="236">
        <v>9494</v>
      </c>
      <c r="AF1389" s="276">
        <f t="shared" si="170"/>
        <v>33</v>
      </c>
      <c r="AG1389" s="276">
        <f t="shared" si="171"/>
        <v>0</v>
      </c>
      <c r="AH1389" s="276">
        <f t="shared" si="172"/>
        <v>0</v>
      </c>
      <c r="AI1389" s="283">
        <f t="shared" si="173"/>
        <v>0</v>
      </c>
    </row>
    <row r="1390" spans="1:35" ht="30" x14ac:dyDescent="0.25">
      <c r="A1390" s="275">
        <f>'Profits 2016'!A6603</f>
        <v>3005173</v>
      </c>
      <c r="B1390" s="279">
        <f>'Profits 2016'!B6603</f>
        <v>42669</v>
      </c>
      <c r="C1390" s="276">
        <f>'Profits 2016'!H6603</f>
        <v>570</v>
      </c>
      <c r="D1390" s="280">
        <f>'Profits 2016'!K6603</f>
        <v>557.16</v>
      </c>
      <c r="E1390" s="276">
        <f>'Profits 2016'!L6603</f>
        <v>1030</v>
      </c>
      <c r="F1390" s="275" t="str">
        <f>'Profits 2016'!P6603</f>
        <v>Priority</v>
      </c>
      <c r="G1390" s="292">
        <f>'Profits 2016'!N6603-'Profits 2016'!M6603</f>
        <v>309</v>
      </c>
      <c r="H1390" s="331">
        <v>0</v>
      </c>
      <c r="I1390" s="332">
        <v>1070220</v>
      </c>
      <c r="J1390" s="333">
        <v>42669</v>
      </c>
      <c r="K1390" s="333">
        <v>42681</v>
      </c>
      <c r="L1390" s="333">
        <v>42697</v>
      </c>
      <c r="M1390" s="331">
        <v>309</v>
      </c>
      <c r="N1390" s="334">
        <v>9475</v>
      </c>
      <c r="O1390" s="236" t="str">
        <f>'Profits 2016'!T6603</f>
        <v>FEDEX GROUND</v>
      </c>
      <c r="P1390" s="284" t="str">
        <f>'Profits 2016'!U6603</f>
        <v>614697968860</v>
      </c>
      <c r="Q1390" s="284" t="s">
        <v>15740</v>
      </c>
      <c r="R1390" s="276">
        <v>59.87</v>
      </c>
      <c r="S1390" s="275">
        <v>1070220</v>
      </c>
      <c r="T1390" s="279">
        <v>42669</v>
      </c>
      <c r="U1390" s="279">
        <v>42681</v>
      </c>
      <c r="V1390" s="279">
        <v>42697</v>
      </c>
      <c r="W1390" s="293">
        <v>59.87</v>
      </c>
      <c r="X1390" s="236">
        <v>9475</v>
      </c>
      <c r="AF1390" s="276">
        <f t="shared" si="170"/>
        <v>368.87</v>
      </c>
      <c r="AG1390" s="276">
        <f t="shared" si="171"/>
        <v>368.87</v>
      </c>
      <c r="AH1390" s="276">
        <f t="shared" si="172"/>
        <v>188.28999999999996</v>
      </c>
      <c r="AI1390" s="283">
        <f t="shared" si="173"/>
        <v>0.51045083633800514</v>
      </c>
    </row>
    <row r="1391" spans="1:35" ht="30" x14ac:dyDescent="0.25">
      <c r="A1391" s="275">
        <f>'Profits 2016'!A6604</f>
        <v>3005174</v>
      </c>
      <c r="B1391" s="279">
        <f>'Profits 2016'!B6604</f>
        <v>42669</v>
      </c>
      <c r="C1391" s="276">
        <f>'Profits 2016'!H6604</f>
        <v>115</v>
      </c>
      <c r="D1391" s="280">
        <f>'Profits 2016'!K6604</f>
        <v>97.75</v>
      </c>
      <c r="E1391" s="276">
        <f>'Profits 2016'!L6604</f>
        <v>754</v>
      </c>
      <c r="F1391" s="275" t="str">
        <f>'Profits 2016'!P6604</f>
        <v>Direct</v>
      </c>
      <c r="G1391" s="292">
        <f>'Profits 2016'!N6604-'Profits 2016'!M6604</f>
        <v>75.400000000000006</v>
      </c>
      <c r="H1391" s="331">
        <v>0</v>
      </c>
      <c r="I1391" s="332">
        <v>75496</v>
      </c>
      <c r="J1391" s="333">
        <v>42674</v>
      </c>
      <c r="K1391" s="333">
        <v>42681</v>
      </c>
      <c r="L1391" s="333"/>
      <c r="M1391" s="331"/>
      <c r="N1391" s="334"/>
      <c r="O1391" s="236" t="str">
        <f>'Profits 2016'!T6604</f>
        <v>FEDEX GROUND</v>
      </c>
      <c r="P1391" s="284" t="str">
        <f>'Profits 2016'!U6604</f>
        <v>642286529463</v>
      </c>
      <c r="Q1391" s="284" t="s">
        <v>314</v>
      </c>
      <c r="R1391" s="276">
        <v>22.64</v>
      </c>
      <c r="S1391" s="275" t="s">
        <v>15907</v>
      </c>
      <c r="T1391" s="279">
        <v>42688</v>
      </c>
      <c r="U1391" s="279">
        <v>42691</v>
      </c>
      <c r="V1391" s="279">
        <v>42697</v>
      </c>
      <c r="W1391" s="293">
        <v>22.64</v>
      </c>
      <c r="X1391" s="236">
        <v>9494</v>
      </c>
      <c r="AF1391" s="276">
        <f t="shared" si="170"/>
        <v>98.04</v>
      </c>
      <c r="AG1391" s="276">
        <f t="shared" si="171"/>
        <v>22.64</v>
      </c>
      <c r="AH1391" s="276">
        <f t="shared" si="172"/>
        <v>75.11</v>
      </c>
      <c r="AI1391" s="283">
        <f t="shared" si="173"/>
        <v>0.76611587107303136</v>
      </c>
    </row>
    <row r="1392" spans="1:35" ht="30" x14ac:dyDescent="0.25">
      <c r="A1392" s="275">
        <f>'Profits 2016'!A6605</f>
        <v>3005175</v>
      </c>
      <c r="B1392" s="279">
        <f>'Profits 2016'!B6605</f>
        <v>42669</v>
      </c>
      <c r="C1392" s="276">
        <f>'Profits 2016'!H6605</f>
        <v>153.82</v>
      </c>
      <c r="D1392" s="280">
        <f>'Profits 2016'!K6605</f>
        <v>130.74699999999999</v>
      </c>
      <c r="E1392" s="276">
        <f>'Profits 2016'!L6605</f>
        <v>950</v>
      </c>
      <c r="F1392" s="275" t="str">
        <f>'Profits 2016'!P6605</f>
        <v>Nassau</v>
      </c>
      <c r="G1392" s="292">
        <f>'Profits 2016'!N6605-'Profits 2016'!M6605</f>
        <v>71.25</v>
      </c>
      <c r="H1392" s="319"/>
      <c r="I1392" s="320"/>
      <c r="J1392" s="321"/>
      <c r="K1392" s="321"/>
      <c r="L1392" s="321"/>
      <c r="M1392" s="319"/>
      <c r="N1392" s="322"/>
      <c r="O1392" s="236" t="str">
        <f>'Profits 2016'!T6605</f>
        <v>FEDEX GROUND</v>
      </c>
      <c r="P1392" s="284" t="str">
        <f>'Profits 2016'!U6605</f>
        <v>702723291182</v>
      </c>
      <c r="Q1392" s="284" t="s">
        <v>314</v>
      </c>
      <c r="R1392" s="276">
        <v>22.69</v>
      </c>
      <c r="S1392" s="275" t="s">
        <v>15869</v>
      </c>
      <c r="T1392" s="279">
        <v>42681</v>
      </c>
      <c r="U1392" s="279">
        <v>42688</v>
      </c>
      <c r="V1392" s="279">
        <v>42692</v>
      </c>
      <c r="W1392" s="293">
        <f>R1392</f>
        <v>22.69</v>
      </c>
      <c r="X1392" s="236">
        <v>9444</v>
      </c>
      <c r="AF1392" s="276">
        <f t="shared" si="170"/>
        <v>93.94</v>
      </c>
      <c r="AG1392" s="276">
        <f t="shared" si="171"/>
        <v>22.69</v>
      </c>
      <c r="AH1392" s="276">
        <f t="shared" si="172"/>
        <v>108.05699999999999</v>
      </c>
      <c r="AI1392" s="283">
        <f t="shared" si="173"/>
        <v>1.1502767724079199</v>
      </c>
    </row>
    <row r="1393" spans="1:35" ht="30" x14ac:dyDescent="0.25">
      <c r="A1393" s="275">
        <f>'Profits 2016'!A6606</f>
        <v>3005176</v>
      </c>
      <c r="B1393" s="279">
        <f>'Profits 2016'!B6606</f>
        <v>42669</v>
      </c>
      <c r="C1393" s="276">
        <f>'Profits 2016'!H6606</f>
        <v>215.87</v>
      </c>
      <c r="D1393" s="280">
        <f>'Profits 2016'!K6606</f>
        <v>192.04016999999999</v>
      </c>
      <c r="E1393" s="276">
        <f>'Profits 2016'!L6606</f>
        <v>538.08000000000004</v>
      </c>
      <c r="F1393" s="275" t="str">
        <f>'Profits 2016'!P6606</f>
        <v>Thea</v>
      </c>
      <c r="G1393" s="292">
        <f>'Profits 2016'!N6606-'Profits 2016'!M6606</f>
        <v>107.61600000000003</v>
      </c>
      <c r="H1393" s="319"/>
      <c r="I1393" s="320"/>
      <c r="J1393" s="321"/>
      <c r="K1393" s="321"/>
      <c r="L1393" s="321"/>
      <c r="M1393" s="319"/>
      <c r="N1393" s="322"/>
      <c r="O1393" s="236" t="str">
        <f>'Profits 2016'!T6606</f>
        <v>FEDEX GROUND</v>
      </c>
      <c r="P1393" s="284" t="str">
        <f>'Profits 2016'!U6606</f>
        <v>675157531238</v>
      </c>
      <c r="Q1393" s="284" t="s">
        <v>314</v>
      </c>
      <c r="R1393" s="276">
        <v>21.14</v>
      </c>
      <c r="S1393" s="275" t="s">
        <v>15907</v>
      </c>
      <c r="T1393" s="279">
        <v>42688</v>
      </c>
      <c r="U1393" s="279">
        <v>42691</v>
      </c>
      <c r="V1393" s="279">
        <v>42697</v>
      </c>
      <c r="W1393" s="293">
        <v>21.14</v>
      </c>
      <c r="X1393" s="236">
        <v>9494</v>
      </c>
      <c r="AF1393" s="276">
        <f t="shared" si="170"/>
        <v>128.75600000000003</v>
      </c>
      <c r="AG1393" s="276">
        <f t="shared" si="171"/>
        <v>21.14</v>
      </c>
      <c r="AH1393" s="276">
        <f t="shared" si="172"/>
        <v>170.90017</v>
      </c>
      <c r="AI1393" s="283">
        <f t="shared" si="173"/>
        <v>1.3273181055640122</v>
      </c>
    </row>
    <row r="1394" spans="1:35" ht="30" x14ac:dyDescent="0.25">
      <c r="A1394" s="275">
        <f>'Profits 2016'!A6607</f>
        <v>3005177</v>
      </c>
      <c r="B1394" s="279">
        <f>'Profits 2016'!B6607</f>
        <v>42669</v>
      </c>
      <c r="C1394" s="276">
        <f>'Profits 2016'!H6607</f>
        <v>140</v>
      </c>
      <c r="D1394" s="280">
        <f>'Profits 2016'!K6607</f>
        <v>119</v>
      </c>
      <c r="E1394" s="276">
        <f>'Profits 2016'!L6607</f>
        <v>424</v>
      </c>
      <c r="F1394" s="275" t="str">
        <f>'Profits 2016'!P6607</f>
        <v>Nassau</v>
      </c>
      <c r="G1394" s="292">
        <f>'Profits 2016'!N6607-'Profits 2016'!M6607</f>
        <v>74.2</v>
      </c>
      <c r="H1394" s="319"/>
      <c r="I1394" s="320"/>
      <c r="J1394" s="321"/>
      <c r="K1394" s="321"/>
      <c r="L1394" s="321"/>
      <c r="M1394" s="319"/>
      <c r="N1394" s="322"/>
      <c r="O1394" s="236" t="str">
        <f>'Profits 2016'!T6607</f>
        <v>FEDEX GROUND</v>
      </c>
      <c r="P1394" s="284" t="str">
        <f>'Profits 2016'!U6607</f>
        <v>680483360689</v>
      </c>
      <c r="AF1394" s="276">
        <f t="shared" si="170"/>
        <v>74.2</v>
      </c>
      <c r="AG1394" s="276">
        <f t="shared" si="171"/>
        <v>0</v>
      </c>
      <c r="AH1394" s="276">
        <f t="shared" si="172"/>
        <v>119</v>
      </c>
      <c r="AI1394" s="283">
        <f t="shared" si="173"/>
        <v>1.6037735849056602</v>
      </c>
    </row>
    <row r="1395" spans="1:35" ht="30" x14ac:dyDescent="0.25">
      <c r="A1395" s="275">
        <f>'Profits 2016'!A6608</f>
        <v>3005178</v>
      </c>
      <c r="B1395" s="279">
        <f>'Profits 2016'!B6608</f>
        <v>42669</v>
      </c>
      <c r="C1395" s="276">
        <f>'Profits 2016'!H6608</f>
        <v>116.23</v>
      </c>
      <c r="D1395" s="280">
        <f>'Profits 2016'!K6608</f>
        <v>98.795500000000004</v>
      </c>
      <c r="E1395" s="276">
        <f>'Profits 2016'!L6608</f>
        <v>950</v>
      </c>
      <c r="F1395" s="275" t="str">
        <f>'Profits 2016'!P6608</f>
        <v>Nassau</v>
      </c>
      <c r="G1395" s="292">
        <f>'Profits 2016'!N6608-'Profits 2016'!M6608</f>
        <v>47.5</v>
      </c>
      <c r="H1395" s="319"/>
      <c r="I1395" s="320"/>
      <c r="J1395" s="321"/>
      <c r="K1395" s="321"/>
      <c r="L1395" s="321"/>
      <c r="M1395" s="319"/>
      <c r="N1395" s="322"/>
      <c r="O1395" s="236" t="str">
        <f>'Profits 2016'!T6608</f>
        <v>FEDEX GROUND</v>
      </c>
      <c r="P1395" s="284" t="str">
        <f>'Profits 2016'!U6608</f>
        <v>702723291219</v>
      </c>
      <c r="Q1395" s="284" t="s">
        <v>314</v>
      </c>
      <c r="R1395" s="276">
        <v>30.67</v>
      </c>
      <c r="S1395" s="275" t="s">
        <v>15869</v>
      </c>
      <c r="T1395" s="279">
        <v>42681</v>
      </c>
      <c r="U1395" s="279">
        <v>42688</v>
      </c>
      <c r="V1395" s="279">
        <v>42692</v>
      </c>
      <c r="W1395" s="293">
        <f>R1395</f>
        <v>30.67</v>
      </c>
      <c r="X1395" s="236">
        <v>9444</v>
      </c>
      <c r="AF1395" s="276">
        <f t="shared" si="170"/>
        <v>78.17</v>
      </c>
      <c r="AG1395" s="276">
        <f t="shared" si="171"/>
        <v>30.67</v>
      </c>
      <c r="AH1395" s="276">
        <f t="shared" si="172"/>
        <v>68.125500000000002</v>
      </c>
      <c r="AI1395" s="283">
        <f t="shared" si="173"/>
        <v>0.87150441345784824</v>
      </c>
    </row>
    <row r="1396" spans="1:35" x14ac:dyDescent="0.25">
      <c r="A1396" s="275">
        <f>'Profits 2016'!A6609</f>
        <v>3005179</v>
      </c>
      <c r="B1396" s="279">
        <f>'Profits 2016'!B6609</f>
        <v>42669</v>
      </c>
      <c r="C1396" s="276">
        <f>'Profits 2016'!H6609</f>
        <v>690.9</v>
      </c>
      <c r="D1396" s="280">
        <f>'Profits 2016'!K6609</f>
        <v>587.26499999999999</v>
      </c>
      <c r="E1396" s="276">
        <f>'Profits 2016'!L6609</f>
        <v>670</v>
      </c>
      <c r="F1396" s="275" t="str">
        <f>'Profits 2016'!P6609</f>
        <v>Thea</v>
      </c>
      <c r="G1396" s="292">
        <f>'Profits 2016'!N6609-'Profits 2016'!M6609</f>
        <v>335</v>
      </c>
      <c r="H1396" s="319"/>
      <c r="I1396" s="320"/>
      <c r="J1396" s="321"/>
      <c r="K1396" s="321"/>
      <c r="L1396" s="321"/>
      <c r="M1396" s="319"/>
      <c r="N1396" s="322"/>
      <c r="O1396" s="236" t="str">
        <f>'Profits 2016'!T6609</f>
        <v>R&amp;L/ECHO</v>
      </c>
      <c r="P1396" s="284" t="str">
        <f>'Profits 2016'!U6609</f>
        <v>730088784</v>
      </c>
      <c r="AF1396" s="276">
        <f t="shared" si="170"/>
        <v>335</v>
      </c>
      <c r="AG1396" s="276">
        <f t="shared" si="171"/>
        <v>0</v>
      </c>
      <c r="AH1396" s="276">
        <f t="shared" si="172"/>
        <v>587.26499999999999</v>
      </c>
      <c r="AI1396" s="283">
        <f t="shared" si="173"/>
        <v>1.7530298507462687</v>
      </c>
    </row>
    <row r="1397" spans="1:35" ht="30" x14ac:dyDescent="0.25">
      <c r="A1397" s="275">
        <f>'Profits 2016'!A6610</f>
        <v>3005180</v>
      </c>
      <c r="B1397" s="279">
        <f>'Profits 2016'!B6610</f>
        <v>42669</v>
      </c>
      <c r="C1397" s="276">
        <f>'Profits 2016'!H6610</f>
        <v>140</v>
      </c>
      <c r="D1397" s="280">
        <f>'Profits 2016'!K6610</f>
        <v>119</v>
      </c>
      <c r="E1397" s="276">
        <f>'Profits 2016'!L6610</f>
        <v>424</v>
      </c>
      <c r="F1397" s="275" t="str">
        <f>'Profits 2016'!P6610</f>
        <v>Nassau</v>
      </c>
      <c r="G1397" s="292">
        <f>'Profits 2016'!N6610-'Profits 2016'!M6610</f>
        <v>74.2</v>
      </c>
      <c r="H1397" s="319"/>
      <c r="I1397" s="320"/>
      <c r="J1397" s="321"/>
      <c r="K1397" s="321"/>
      <c r="L1397" s="321"/>
      <c r="M1397" s="319"/>
      <c r="N1397" s="322"/>
      <c r="O1397" s="236" t="str">
        <f>'Profits 2016'!T6610</f>
        <v>FEDEX GROUND</v>
      </c>
      <c r="P1397" s="284" t="str">
        <f>'Profits 2016'!U6610</f>
        <v>680483360678</v>
      </c>
      <c r="AF1397" s="276">
        <f t="shared" si="170"/>
        <v>74.2</v>
      </c>
      <c r="AG1397" s="276">
        <f t="shared" si="171"/>
        <v>0</v>
      </c>
      <c r="AH1397" s="276">
        <f t="shared" si="172"/>
        <v>119</v>
      </c>
      <c r="AI1397" s="283">
        <f t="shared" si="173"/>
        <v>1.6037735849056602</v>
      </c>
    </row>
    <row r="1398" spans="1:35" ht="30" x14ac:dyDescent="0.25">
      <c r="A1398" s="275">
        <f>'Profits 2016'!A6611</f>
        <v>3005181</v>
      </c>
      <c r="B1398" s="279">
        <f>'Profits 2016'!B6611</f>
        <v>42669</v>
      </c>
      <c r="C1398" s="276">
        <f>'Profits 2016'!H6611</f>
        <v>150.47999999999999</v>
      </c>
      <c r="D1398" s="280">
        <f>'Profits 2016'!K6611</f>
        <v>133.77768</v>
      </c>
      <c r="E1398" s="276">
        <f>'Profits 2016'!L6611</f>
        <v>944</v>
      </c>
      <c r="F1398" s="275" t="str">
        <f>'Profits 2016'!P6611</f>
        <v>Direct</v>
      </c>
      <c r="G1398" s="292">
        <f>'Profits 2016'!N6611-'Profits 2016'!M6611</f>
        <v>47.2</v>
      </c>
      <c r="H1398" s="331">
        <v>0</v>
      </c>
      <c r="I1398" s="332">
        <v>75342</v>
      </c>
      <c r="J1398" s="333">
        <v>42670</v>
      </c>
      <c r="K1398" s="333">
        <v>42676</v>
      </c>
      <c r="L1398" s="333">
        <v>42678</v>
      </c>
      <c r="M1398" s="331">
        <v>93</v>
      </c>
      <c r="N1398" s="334">
        <v>9371</v>
      </c>
      <c r="O1398" s="236" t="str">
        <f>'Profits 2016'!T6611</f>
        <v>FEDEX GROUND</v>
      </c>
      <c r="P1398" s="284" t="str">
        <f>'Profits 2016'!U6611</f>
        <v>630512245545</v>
      </c>
      <c r="Q1398" s="284" t="s">
        <v>314</v>
      </c>
      <c r="R1398" s="276">
        <v>27.7</v>
      </c>
      <c r="S1398" s="275" t="s">
        <v>15847</v>
      </c>
      <c r="T1398" s="279">
        <v>42695</v>
      </c>
      <c r="U1398" s="279">
        <v>42702</v>
      </c>
      <c r="AF1398" s="276">
        <f t="shared" si="170"/>
        <v>74.900000000000006</v>
      </c>
      <c r="AG1398" s="276">
        <f t="shared" si="171"/>
        <v>120.7</v>
      </c>
      <c r="AH1398" s="276">
        <f t="shared" si="172"/>
        <v>13.077680000000001</v>
      </c>
      <c r="AI1398" s="283">
        <f t="shared" si="173"/>
        <v>0.17460186915887851</v>
      </c>
    </row>
    <row r="1399" spans="1:35" x14ac:dyDescent="0.25">
      <c r="A1399" s="275">
        <f>'Profits 2016'!A6612</f>
        <v>0</v>
      </c>
      <c r="B1399" s="279">
        <f>'Profits 2016'!B6612</f>
        <v>0</v>
      </c>
      <c r="C1399" s="276">
        <f>'Profits 2016'!H6612</f>
        <v>0</v>
      </c>
      <c r="D1399" s="280">
        <f>'Profits 2016'!K6612</f>
        <v>0</v>
      </c>
      <c r="E1399" s="276">
        <f>'Profits 2016'!L6612</f>
        <v>954</v>
      </c>
      <c r="F1399" s="275" t="str">
        <f>'Profits 2016'!P6612</f>
        <v>Direct</v>
      </c>
      <c r="G1399" s="292">
        <f>'Profits 2016'!N6612-'Profits 2016'!M6612</f>
        <v>47.7</v>
      </c>
      <c r="H1399" s="331">
        <v>0</v>
      </c>
      <c r="I1399" s="332">
        <v>75342</v>
      </c>
      <c r="J1399" s="333">
        <v>42670</v>
      </c>
      <c r="K1399" s="333">
        <v>42676</v>
      </c>
      <c r="L1399" s="333">
        <v>42678</v>
      </c>
      <c r="M1399" s="331">
        <v>0</v>
      </c>
      <c r="N1399" s="334">
        <v>9371</v>
      </c>
      <c r="O1399" s="236">
        <f>'Profits 2016'!T6612</f>
        <v>0</v>
      </c>
      <c r="P1399" s="284">
        <f>'Profits 2016'!U6612</f>
        <v>0</v>
      </c>
      <c r="AF1399" s="276">
        <f t="shared" si="170"/>
        <v>47.7</v>
      </c>
      <c r="AG1399" s="276">
        <f t="shared" si="171"/>
        <v>0</v>
      </c>
      <c r="AH1399" s="276">
        <f t="shared" si="172"/>
        <v>0</v>
      </c>
      <c r="AI1399" s="283">
        <f t="shared" si="173"/>
        <v>0</v>
      </c>
    </row>
    <row r="1400" spans="1:35" ht="30" x14ac:dyDescent="0.25">
      <c r="A1400" s="275">
        <f>'Profits 2016'!A6613</f>
        <v>3005182</v>
      </c>
      <c r="B1400" s="279">
        <f>'Profits 2016'!B6613</f>
        <v>42669</v>
      </c>
      <c r="C1400" s="276">
        <f>'Profits 2016'!H6613</f>
        <v>200.08</v>
      </c>
      <c r="D1400" s="280">
        <f>'Profits 2016'!K6613</f>
        <v>177.97128000000001</v>
      </c>
      <c r="E1400" s="276">
        <f>'Profits 2016'!L6613</f>
        <v>950</v>
      </c>
      <c r="F1400" s="275" t="str">
        <f>'Profits 2016'!P6613</f>
        <v>Nassau</v>
      </c>
      <c r="G1400" s="292">
        <f>'Profits 2016'!N6613-'Profits 2016'!M6613</f>
        <v>95</v>
      </c>
      <c r="H1400" s="319"/>
      <c r="I1400" s="320"/>
      <c r="J1400" s="321"/>
      <c r="K1400" s="321"/>
      <c r="L1400" s="321"/>
      <c r="M1400" s="319"/>
      <c r="N1400" s="322"/>
      <c r="O1400" s="236" t="str">
        <f>'Profits 2016'!T6613</f>
        <v>FEDEX GROUND</v>
      </c>
      <c r="P1400" s="284" t="str">
        <f>'Profits 2016'!U6613</f>
        <v>680483360715</v>
      </c>
      <c r="Q1400" s="284" t="s">
        <v>314</v>
      </c>
      <c r="R1400" s="276">
        <v>18.8</v>
      </c>
      <c r="S1400" s="275" t="s">
        <v>15869</v>
      </c>
      <c r="T1400" s="279">
        <v>42681</v>
      </c>
      <c r="U1400" s="279">
        <v>42688</v>
      </c>
      <c r="V1400" s="279">
        <v>42692</v>
      </c>
      <c r="W1400" s="293">
        <f>R1400</f>
        <v>18.8</v>
      </c>
      <c r="X1400" s="236">
        <v>9444</v>
      </c>
      <c r="AF1400" s="276">
        <f t="shared" si="170"/>
        <v>113.8</v>
      </c>
      <c r="AG1400" s="276">
        <f t="shared" si="171"/>
        <v>18.8</v>
      </c>
      <c r="AH1400" s="276">
        <f t="shared" si="172"/>
        <v>159.17128</v>
      </c>
      <c r="AI1400" s="283">
        <f t="shared" si="173"/>
        <v>1.3986931458699472</v>
      </c>
    </row>
    <row r="1401" spans="1:35" ht="30" x14ac:dyDescent="0.25">
      <c r="A1401" s="275">
        <f>'Profits 2016'!A6614</f>
        <v>3005183</v>
      </c>
      <c r="B1401" s="279">
        <f>'Profits 2016'!B6614</f>
        <v>42669</v>
      </c>
      <c r="C1401" s="276">
        <f>'Profits 2016'!H6614</f>
        <v>86.9</v>
      </c>
      <c r="D1401" s="280">
        <f>'Profits 2016'!K6614</f>
        <v>77.127900000000011</v>
      </c>
      <c r="E1401" s="276">
        <f>'Profits 2016'!L6614</f>
        <v>510</v>
      </c>
      <c r="F1401" s="275" t="str">
        <f>'Profits 2016'!P6614</f>
        <v>Nassau</v>
      </c>
      <c r="G1401" s="292">
        <f>'Profits 2016'!N6614-'Profits 2016'!M6614</f>
        <v>35.700000000000003</v>
      </c>
      <c r="H1401" s="319"/>
      <c r="I1401" s="320"/>
      <c r="J1401" s="321"/>
      <c r="K1401" s="321"/>
      <c r="L1401" s="321"/>
      <c r="M1401" s="319"/>
      <c r="N1401" s="322"/>
      <c r="O1401" s="236" t="str">
        <f>'Profits 2016'!T6614</f>
        <v>FEDEX GROUND</v>
      </c>
      <c r="P1401" s="284">
        <f>'Profits 2016'!U6614</f>
        <v>680483360704</v>
      </c>
      <c r="AF1401" s="276">
        <f t="shared" si="170"/>
        <v>35.700000000000003</v>
      </c>
      <c r="AG1401" s="276">
        <f t="shared" si="171"/>
        <v>0</v>
      </c>
      <c r="AH1401" s="276">
        <f t="shared" si="172"/>
        <v>77.127900000000011</v>
      </c>
      <c r="AI1401" s="283">
        <f t="shared" si="173"/>
        <v>2.1604453781512607</v>
      </c>
    </row>
    <row r="1402" spans="1:35" ht="30" x14ac:dyDescent="0.25">
      <c r="A1402" s="275">
        <f>'Profits 2016'!A6615</f>
        <v>3005184</v>
      </c>
      <c r="B1402" s="279">
        <f>'Profits 2016'!B6615</f>
        <v>42669</v>
      </c>
      <c r="C1402" s="276">
        <f>'Profits 2016'!H6615</f>
        <v>129.36000000000001</v>
      </c>
      <c r="D1402" s="280">
        <f>'Profits 2016'!K6615</f>
        <v>109.95600000000002</v>
      </c>
      <c r="E1402" s="276">
        <f>'Profits 2016'!L6615</f>
        <v>375</v>
      </c>
      <c r="F1402" s="275" t="str">
        <f>'Profits 2016'!P6615</f>
        <v>Thea</v>
      </c>
      <c r="G1402" s="292">
        <f>'Profits 2016'!N6615-'Profits 2016'!M6615</f>
        <v>56.25</v>
      </c>
      <c r="H1402" s="319"/>
      <c r="I1402" s="320"/>
      <c r="J1402" s="321"/>
      <c r="K1402" s="321"/>
      <c r="L1402" s="321"/>
      <c r="M1402" s="319"/>
      <c r="N1402" s="322"/>
      <c r="O1402" s="236" t="str">
        <f>'Profits 2016'!T6615</f>
        <v>FEDEX GROUND</v>
      </c>
      <c r="P1402" s="284" t="str">
        <f>'Profits 2016'!U6615</f>
        <v>675157531249</v>
      </c>
      <c r="Q1402" s="284" t="s">
        <v>314</v>
      </c>
      <c r="R1402" s="276">
        <v>33.450000000000003</v>
      </c>
      <c r="S1402" s="275" t="s">
        <v>15907</v>
      </c>
      <c r="T1402" s="279">
        <v>42688</v>
      </c>
      <c r="U1402" s="279">
        <v>42691</v>
      </c>
      <c r="V1402" s="279">
        <v>42697</v>
      </c>
      <c r="W1402" s="293">
        <v>33.450000000000003</v>
      </c>
      <c r="X1402" s="236">
        <v>9494</v>
      </c>
      <c r="AF1402" s="276">
        <f t="shared" si="170"/>
        <v>89.7</v>
      </c>
      <c r="AG1402" s="276">
        <f t="shared" si="171"/>
        <v>33.450000000000003</v>
      </c>
      <c r="AH1402" s="276">
        <f t="shared" si="172"/>
        <v>76.506000000000014</v>
      </c>
      <c r="AI1402" s="283">
        <f t="shared" si="173"/>
        <v>0.8529096989966557</v>
      </c>
    </row>
    <row r="1403" spans="1:35" ht="30" x14ac:dyDescent="0.25">
      <c r="A1403" s="275">
        <f>'Profits 2016'!A6616</f>
        <v>3005185</v>
      </c>
      <c r="B1403" s="279">
        <f>'Profits 2016'!B6616</f>
        <v>42669</v>
      </c>
      <c r="C1403" s="276">
        <f>'Profits 2016'!H6616</f>
        <v>351</v>
      </c>
      <c r="D1403" s="280">
        <f>'Profits 2016'!K6616</f>
        <v>342.97800000000001</v>
      </c>
      <c r="E1403" s="276">
        <f>'Profits 2016'!L6616</f>
        <v>1240</v>
      </c>
      <c r="F1403" s="275" t="str">
        <f>'Profits 2016'!P6616</f>
        <v>Nassau</v>
      </c>
      <c r="G1403" s="292">
        <f>'Profits 2016'!N6616-'Profits 2016'!M6616</f>
        <v>161.20000000000002</v>
      </c>
      <c r="H1403" s="319"/>
      <c r="I1403" s="320"/>
      <c r="J1403" s="321"/>
      <c r="K1403" s="321"/>
      <c r="L1403" s="321"/>
      <c r="M1403" s="319"/>
      <c r="N1403" s="322"/>
      <c r="O1403" s="236" t="str">
        <f>'Profits 2016'!T6616</f>
        <v>FEDEX GROUND</v>
      </c>
      <c r="P1403" s="284" t="str">
        <f>'Profits 2016'!U6616</f>
        <v>680483360726</v>
      </c>
      <c r="Q1403" s="284" t="s">
        <v>314</v>
      </c>
      <c r="R1403" s="276">
        <v>61.98</v>
      </c>
      <c r="S1403" s="275" t="s">
        <v>15907</v>
      </c>
      <c r="T1403" s="279">
        <v>42688</v>
      </c>
      <c r="U1403" s="279">
        <v>42691</v>
      </c>
      <c r="V1403" s="279">
        <v>42697</v>
      </c>
      <c r="W1403" s="293">
        <v>61.98</v>
      </c>
      <c r="X1403" s="236">
        <v>9494</v>
      </c>
      <c r="AF1403" s="276">
        <f t="shared" si="170"/>
        <v>223.18</v>
      </c>
      <c r="AG1403" s="276">
        <f t="shared" si="171"/>
        <v>61.98</v>
      </c>
      <c r="AH1403" s="276">
        <f t="shared" si="172"/>
        <v>280.99799999999999</v>
      </c>
      <c r="AI1403" s="283">
        <f t="shared" si="173"/>
        <v>1.2590644322968008</v>
      </c>
    </row>
    <row r="1404" spans="1:35" ht="30" x14ac:dyDescent="0.25">
      <c r="A1404" s="275">
        <f>'Profits 2016'!A6617</f>
        <v>3005186</v>
      </c>
      <c r="B1404" s="279">
        <f>'Profits 2016'!B6617</f>
        <v>42669</v>
      </c>
      <c r="C1404" s="276">
        <f>'Profits 2016'!H6617</f>
        <v>1669.8</v>
      </c>
      <c r="D1404" s="280">
        <f>'Profits 2016'!K6617</f>
        <v>1669.8</v>
      </c>
      <c r="E1404" s="276">
        <f>'Profits 2016'!L6617</f>
        <v>1575</v>
      </c>
      <c r="F1404" s="275" t="str">
        <f>'Profits 2016'!P6617</f>
        <v>Nassau</v>
      </c>
      <c r="G1404" s="292">
        <f>'Profits 2016'!N6617-'Profits 2016'!M6617</f>
        <v>1173.375</v>
      </c>
      <c r="H1404" s="319"/>
      <c r="I1404" s="320"/>
      <c r="J1404" s="321"/>
      <c r="K1404" s="321"/>
      <c r="L1404" s="321"/>
      <c r="M1404" s="319"/>
      <c r="N1404" s="322"/>
      <c r="O1404" s="236" t="str">
        <f>'Profits 2016'!T6617</f>
        <v>NEW PENN</v>
      </c>
      <c r="P1404" s="284" t="str">
        <f>'Profits 2016'!U6617</f>
        <v>88668241-8</v>
      </c>
      <c r="Q1404" s="284" t="s">
        <v>15751</v>
      </c>
      <c r="R1404" s="276">
        <v>210</v>
      </c>
      <c r="S1404" s="275">
        <v>10046001</v>
      </c>
      <c r="T1404" s="279">
        <v>42669</v>
      </c>
      <c r="U1404" s="279">
        <v>42676</v>
      </c>
      <c r="V1404" s="279">
        <v>42678</v>
      </c>
      <c r="W1404" s="293">
        <v>210</v>
      </c>
      <c r="X1404" s="236">
        <v>9364</v>
      </c>
      <c r="AF1404" s="276">
        <f t="shared" si="170"/>
        <v>1383.375</v>
      </c>
      <c r="AG1404" s="276">
        <f t="shared" si="171"/>
        <v>210</v>
      </c>
      <c r="AH1404" s="276">
        <f t="shared" si="172"/>
        <v>1459.8</v>
      </c>
      <c r="AI1404" s="283">
        <f t="shared" si="173"/>
        <v>1.055245323936026</v>
      </c>
    </row>
    <row r="1405" spans="1:35" ht="30" x14ac:dyDescent="0.25">
      <c r="A1405" s="275">
        <f>'Profits 2016'!A6618</f>
        <v>3005187</v>
      </c>
      <c r="B1405" s="279">
        <f>'Profits 2016'!B6618</f>
        <v>42669</v>
      </c>
      <c r="C1405" s="276">
        <f>'Profits 2016'!H6618</f>
        <v>320</v>
      </c>
      <c r="D1405" s="280">
        <f>'Profits 2016'!K6618</f>
        <v>313.62</v>
      </c>
      <c r="E1405" s="276">
        <f>'Profits 2016'!L6618</f>
        <v>900</v>
      </c>
      <c r="F1405" s="275" t="str">
        <f>'Profits 2016'!P6618</f>
        <v>Nassau</v>
      </c>
      <c r="G1405" s="292">
        <f>'Profits 2016'!N6618-'Profits 2016'!M6618</f>
        <v>153</v>
      </c>
      <c r="H1405" s="319"/>
      <c r="I1405" s="320"/>
      <c r="J1405" s="321"/>
      <c r="K1405" s="321"/>
      <c r="L1405" s="321"/>
      <c r="M1405" s="319"/>
      <c r="N1405" s="322"/>
      <c r="O1405" s="236" t="str">
        <f>'Profits 2016'!T6618</f>
        <v>FEDEX GROUND</v>
      </c>
      <c r="P1405" s="284" t="str">
        <f>'Profits 2016'!U6618</f>
        <v>702723291263</v>
      </c>
      <c r="Q1405" s="284" t="s">
        <v>314</v>
      </c>
      <c r="R1405" s="276">
        <v>25.64</v>
      </c>
      <c r="S1405" s="275" t="s">
        <v>15869</v>
      </c>
      <c r="T1405" s="279">
        <v>42681</v>
      </c>
      <c r="U1405" s="279">
        <v>42688</v>
      </c>
      <c r="V1405" s="279">
        <v>42692</v>
      </c>
      <c r="W1405" s="293">
        <f>R1405</f>
        <v>25.64</v>
      </c>
      <c r="X1405" s="236">
        <v>9444</v>
      </c>
      <c r="AF1405" s="276">
        <f t="shared" si="170"/>
        <v>183.86</v>
      </c>
      <c r="AG1405" s="276">
        <f t="shared" si="171"/>
        <v>25.64</v>
      </c>
      <c r="AH1405" s="276">
        <f t="shared" si="172"/>
        <v>287.98</v>
      </c>
      <c r="AI1405" s="283">
        <f t="shared" si="173"/>
        <v>1.5663004459915153</v>
      </c>
    </row>
    <row r="1406" spans="1:35" ht="30" x14ac:dyDescent="0.25">
      <c r="A1406" s="275">
        <f>'Profits 2016'!A6619</f>
        <v>3005188</v>
      </c>
      <c r="B1406" s="279">
        <f>'Profits 2016'!B6619</f>
        <v>42669</v>
      </c>
      <c r="C1406" s="276">
        <f>'Profits 2016'!H6619</f>
        <v>1720</v>
      </c>
      <c r="D1406" s="280">
        <f>'Profits 2016'!K6619</f>
        <v>1663.8</v>
      </c>
      <c r="E1406" s="276">
        <f>'Profits 2016'!L6619</f>
        <v>569.07000000000005</v>
      </c>
      <c r="F1406" s="275" t="str">
        <f>'Profits 2016'!P6619</f>
        <v>General</v>
      </c>
      <c r="G1406" s="292">
        <f>'Profits 2016'!N6619-'Profits 2016'!M6619</f>
        <v>1138.1400000000001</v>
      </c>
      <c r="H1406" s="331">
        <v>5.22</v>
      </c>
      <c r="I1406" s="332">
        <v>3777343</v>
      </c>
      <c r="J1406" s="333">
        <v>42671</v>
      </c>
      <c r="K1406" s="333">
        <v>42681</v>
      </c>
      <c r="L1406" s="333"/>
      <c r="M1406" s="331"/>
      <c r="N1406" s="334"/>
      <c r="O1406" s="236" t="str">
        <f>'Profits 2016'!T6619</f>
        <v>NEW PENN</v>
      </c>
      <c r="P1406" s="284" t="str">
        <f>'Profits 2016'!U6619</f>
        <v>888263340</v>
      </c>
      <c r="Q1406" s="284" t="s">
        <v>15741</v>
      </c>
      <c r="R1406" s="276">
        <v>107.83</v>
      </c>
      <c r="S1406" s="275">
        <v>3777343</v>
      </c>
      <c r="T1406" s="279">
        <v>42671</v>
      </c>
      <c r="U1406" s="279">
        <v>42681</v>
      </c>
      <c r="AF1406" s="276">
        <f t="shared" si="170"/>
        <v>1245.97</v>
      </c>
      <c r="AG1406" s="276">
        <f t="shared" si="171"/>
        <v>107.83</v>
      </c>
      <c r="AH1406" s="276">
        <f t="shared" si="172"/>
        <v>1555.97</v>
      </c>
      <c r="AI1406" s="283">
        <f t="shared" si="173"/>
        <v>1.2488021380932126</v>
      </c>
    </row>
    <row r="1407" spans="1:35" x14ac:dyDescent="0.25">
      <c r="A1407" s="275">
        <f>'Profits 2016'!A6620</f>
        <v>3005189</v>
      </c>
      <c r="B1407" s="279">
        <f>'Profits 2016'!B6620</f>
        <v>42669</v>
      </c>
      <c r="C1407" s="276">
        <f>'Profits 2016'!H6620</f>
        <v>731.5</v>
      </c>
      <c r="D1407" s="280">
        <f>'Profits 2016'!K6620</f>
        <v>651.4665</v>
      </c>
      <c r="E1407" s="276">
        <f>'Profits 2016'!L6620</f>
        <v>520</v>
      </c>
      <c r="F1407" s="275" t="str">
        <f>'Profits 2016'!P6620</f>
        <v>A-Z</v>
      </c>
      <c r="G1407" s="292">
        <f>'Profits 2016'!N6620-'Profits 2016'!M6620</f>
        <v>520</v>
      </c>
      <c r="H1407" s="331"/>
      <c r="I1407" s="332"/>
      <c r="J1407" s="333"/>
      <c r="K1407" s="333"/>
      <c r="L1407" s="333"/>
      <c r="M1407" s="331"/>
      <c r="N1407" s="334"/>
      <c r="O1407" s="236" t="str">
        <f>'Profits 2016'!T6620</f>
        <v>R&amp;L</v>
      </c>
      <c r="P1407" s="284" t="str">
        <f>'Profits 2016'!U6620</f>
        <v>717707439</v>
      </c>
      <c r="AF1407" s="276">
        <f t="shared" si="170"/>
        <v>520</v>
      </c>
      <c r="AG1407" s="276">
        <f t="shared" si="171"/>
        <v>0</v>
      </c>
      <c r="AH1407" s="276">
        <f t="shared" si="172"/>
        <v>651.4665</v>
      </c>
      <c r="AI1407" s="283">
        <f t="shared" si="173"/>
        <v>1.2528201923076923</v>
      </c>
    </row>
    <row r="1408" spans="1:35" ht="30" x14ac:dyDescent="0.25">
      <c r="A1408" s="275">
        <f>'Profits 2016'!A6621</f>
        <v>3005190</v>
      </c>
      <c r="B1408" s="279">
        <f>'Profits 2016'!B6621</f>
        <v>42669</v>
      </c>
      <c r="C1408" s="276">
        <f>'Profits 2016'!H6621</f>
        <v>99</v>
      </c>
      <c r="D1408" s="280">
        <f>'Profits 2016'!K6621</f>
        <v>87.909000000000006</v>
      </c>
      <c r="E1408" s="276">
        <f>'Profits 2016'!L6621</f>
        <v>900</v>
      </c>
      <c r="F1408" s="275" t="str">
        <f>'Profits 2016'!P6621</f>
        <v>Nassau</v>
      </c>
      <c r="G1408" s="292">
        <f>'Profits 2016'!N6621-'Profits 2016'!M6621</f>
        <v>45</v>
      </c>
      <c r="H1408" s="319"/>
      <c r="I1408" s="320"/>
      <c r="J1408" s="321"/>
      <c r="K1408" s="321"/>
      <c r="L1408" s="321"/>
      <c r="M1408" s="319"/>
      <c r="N1408" s="322"/>
      <c r="O1408" s="236" t="str">
        <f>'Profits 2016'!T6621</f>
        <v>FEDEX GROUND</v>
      </c>
      <c r="P1408" s="284" t="str">
        <f>'Profits 2016'!U6621</f>
        <v>702723291274</v>
      </c>
      <c r="Q1408" s="284" t="s">
        <v>314</v>
      </c>
      <c r="R1408" s="276">
        <v>21.42</v>
      </c>
      <c r="S1408" s="275" t="s">
        <v>15907</v>
      </c>
      <c r="T1408" s="279">
        <v>42688</v>
      </c>
      <c r="U1408" s="279">
        <v>42691</v>
      </c>
      <c r="V1408" s="279">
        <v>42697</v>
      </c>
      <c r="W1408" s="293">
        <v>21.42</v>
      </c>
      <c r="X1408" s="236">
        <v>9494</v>
      </c>
      <c r="AF1408" s="276">
        <f t="shared" si="170"/>
        <v>66.42</v>
      </c>
      <c r="AG1408" s="276">
        <f t="shared" si="171"/>
        <v>21.42</v>
      </c>
      <c r="AH1408" s="276">
        <f t="shared" si="172"/>
        <v>66.489000000000004</v>
      </c>
      <c r="AI1408" s="283">
        <f t="shared" si="173"/>
        <v>1.0010388437217705</v>
      </c>
    </row>
    <row r="1409" spans="1:35" ht="30.75" customHeight="1" x14ac:dyDescent="0.25">
      <c r="A1409" s="275">
        <f>'Profits 2016'!A6622</f>
        <v>3005191</v>
      </c>
      <c r="B1409" s="279">
        <f>'Profits 2016'!B6622</f>
        <v>42670</v>
      </c>
      <c r="C1409" s="276">
        <f>'Profits 2016'!H6622</f>
        <v>583.70000000000005</v>
      </c>
      <c r="D1409" s="280">
        <f>'Profits 2016'!K6622</f>
        <v>519.77670000000001</v>
      </c>
      <c r="E1409" s="276">
        <f>'Profits 2016'!L6622</f>
        <v>300</v>
      </c>
      <c r="F1409" s="275" t="str">
        <f>'Profits 2016'!P6622</f>
        <v>Nassau</v>
      </c>
      <c r="G1409" s="292">
        <f>'Profits 2016'!N6622-'Profits 2016'!M6622</f>
        <v>300</v>
      </c>
      <c r="H1409" s="319"/>
      <c r="I1409" s="320"/>
      <c r="J1409" s="321"/>
      <c r="K1409" s="321"/>
      <c r="L1409" s="321"/>
      <c r="M1409" s="319"/>
      <c r="N1409" s="322"/>
      <c r="O1409" s="236" t="str">
        <f>'Profits 2016'!T6622</f>
        <v>FEDEX GROUND</v>
      </c>
      <c r="P1409" s="284" t="str">
        <f>'Profits 2016'!U6622</f>
        <v>702723291285, 702723291296</v>
      </c>
      <c r="Q1409" s="284" t="s">
        <v>314</v>
      </c>
      <c r="R1409" s="276">
        <f>37.08+37.08</f>
        <v>74.16</v>
      </c>
      <c r="S1409" s="275" t="s">
        <v>15907</v>
      </c>
      <c r="T1409" s="279">
        <v>42688</v>
      </c>
      <c r="U1409" s="279">
        <v>42691</v>
      </c>
      <c r="V1409" s="279">
        <v>42697</v>
      </c>
      <c r="W1409" s="293">
        <v>37.08</v>
      </c>
      <c r="X1409" s="236">
        <v>9494</v>
      </c>
      <c r="AF1409" s="276">
        <f t="shared" si="170"/>
        <v>374.15999999999997</v>
      </c>
      <c r="AG1409" s="276">
        <f t="shared" si="171"/>
        <v>74.16</v>
      </c>
      <c r="AH1409" s="276">
        <f t="shared" si="172"/>
        <v>445.61670000000004</v>
      </c>
      <c r="AI1409" s="283">
        <f t="shared" si="173"/>
        <v>1.1909789929441952</v>
      </c>
    </row>
    <row r="1410" spans="1:35" ht="30" x14ac:dyDescent="0.25">
      <c r="A1410" s="275">
        <f>'Profits 2016'!A6623</f>
        <v>3005192</v>
      </c>
      <c r="B1410" s="279">
        <f>'Profits 2016'!B6623</f>
        <v>42670</v>
      </c>
      <c r="C1410" s="276">
        <f>'Profits 2016'!H6623</f>
        <v>249.9</v>
      </c>
      <c r="D1410" s="280">
        <f>'Profits 2016'!K6623</f>
        <v>222.36089999999999</v>
      </c>
      <c r="E1410" s="276">
        <f>'Profits 2016'!L6623</f>
        <v>1440</v>
      </c>
      <c r="F1410" s="275" t="str">
        <f>'Profits 2016'!P6623</f>
        <v>Direct</v>
      </c>
      <c r="G1410" s="292">
        <f>'Profits 2016'!N6623-'Profits 2016'!M6623</f>
        <v>144</v>
      </c>
      <c r="H1410" s="331">
        <v>0</v>
      </c>
      <c r="I1410" s="332">
        <v>75373</v>
      </c>
      <c r="J1410" s="333">
        <v>42670</v>
      </c>
      <c r="K1410" s="333">
        <v>42676</v>
      </c>
      <c r="L1410" s="333">
        <v>42678</v>
      </c>
      <c r="M1410" s="331">
        <v>141.12</v>
      </c>
      <c r="N1410" s="334">
        <v>9371</v>
      </c>
      <c r="O1410" s="236" t="str">
        <f>'Profits 2016'!T6623</f>
        <v>FEDEX GROUND</v>
      </c>
      <c r="P1410" s="284" t="str">
        <f>'Profits 2016'!U6623</f>
        <v>642286529452</v>
      </c>
      <c r="Q1410" s="284" t="s">
        <v>314</v>
      </c>
      <c r="R1410" s="276">
        <v>19.04</v>
      </c>
      <c r="S1410" s="275" t="s">
        <v>15907</v>
      </c>
      <c r="T1410" s="279">
        <v>42688</v>
      </c>
      <c r="U1410" s="279">
        <v>42691</v>
      </c>
      <c r="V1410" s="279">
        <v>42697</v>
      </c>
      <c r="W1410" s="293">
        <v>19.04</v>
      </c>
      <c r="X1410" s="236">
        <v>9494</v>
      </c>
      <c r="AF1410" s="276">
        <f t="shared" si="170"/>
        <v>163.04</v>
      </c>
      <c r="AG1410" s="276">
        <f t="shared" si="171"/>
        <v>160.16</v>
      </c>
      <c r="AH1410" s="276">
        <f t="shared" si="172"/>
        <v>62.20089999999999</v>
      </c>
      <c r="AI1410" s="283">
        <f t="shared" si="173"/>
        <v>0.38150699214916578</v>
      </c>
    </row>
    <row r="1411" spans="1:35" ht="30" x14ac:dyDescent="0.25">
      <c r="A1411" s="275">
        <f>'Profits 2016'!A6624</f>
        <v>3005193</v>
      </c>
      <c r="B1411" s="279">
        <f>'Profits 2016'!B6624</f>
        <v>42670</v>
      </c>
      <c r="C1411" s="276">
        <f>'Profits 2016'!H6624</f>
        <v>238.8</v>
      </c>
      <c r="D1411" s="280">
        <f>'Profits 2016'!K6624</f>
        <v>212.47080000000003</v>
      </c>
      <c r="E1411" s="276">
        <f>'Profits 2016'!L6624</f>
        <v>670</v>
      </c>
      <c r="F1411" s="275" t="str">
        <f>'Profits 2016'!P6624</f>
        <v>Thea</v>
      </c>
      <c r="G1411" s="292">
        <f>'Profits 2016'!N6624-'Profits 2016'!M6624</f>
        <v>93.800000000000011</v>
      </c>
      <c r="H1411" s="319"/>
      <c r="I1411" s="320"/>
      <c r="J1411" s="321"/>
      <c r="K1411" s="321"/>
      <c r="L1411" s="321"/>
      <c r="M1411" s="319"/>
      <c r="N1411" s="322"/>
      <c r="O1411" s="236" t="str">
        <f>'Profits 2016'!T6624</f>
        <v>FEDEX GROUND</v>
      </c>
      <c r="P1411" s="284" t="str">
        <f>'Profits 2016'!U6624</f>
        <v>675157531190</v>
      </c>
      <c r="AF1411" s="276">
        <f t="shared" si="170"/>
        <v>93.800000000000011</v>
      </c>
      <c r="AG1411" s="276">
        <f t="shared" si="171"/>
        <v>0</v>
      </c>
      <c r="AH1411" s="276">
        <f t="shared" si="172"/>
        <v>212.47080000000003</v>
      </c>
      <c r="AI1411" s="283">
        <f t="shared" si="173"/>
        <v>2.2651471215351813</v>
      </c>
    </row>
    <row r="1412" spans="1:35" ht="30" x14ac:dyDescent="0.25">
      <c r="A1412" s="275">
        <f>'Profits 2016'!A6625</f>
        <v>3005194</v>
      </c>
      <c r="B1412" s="279">
        <f>'Profits 2016'!B6625</f>
        <v>42670</v>
      </c>
      <c r="C1412" s="276">
        <f>'Profits 2016'!H6625</f>
        <v>403.16</v>
      </c>
      <c r="D1412" s="280">
        <f>'Profits 2016'!K6625</f>
        <v>358.91556000000003</v>
      </c>
      <c r="E1412" s="276">
        <f>'Profits 2016'!L6625</f>
        <v>1000</v>
      </c>
      <c r="F1412" s="275" t="str">
        <f>'Profits 2016'!P6625</f>
        <v>Priority</v>
      </c>
      <c r="G1412" s="292">
        <f>'Profits 2016'!N6625-'Profits 2016'!M6625</f>
        <v>250</v>
      </c>
      <c r="H1412" s="331">
        <v>0</v>
      </c>
      <c r="I1412" s="332">
        <v>1072009</v>
      </c>
      <c r="J1412" s="333">
        <v>42674</v>
      </c>
      <c r="K1412" s="333">
        <v>42681</v>
      </c>
      <c r="L1412" s="333">
        <v>42697</v>
      </c>
      <c r="M1412" s="331">
        <v>250</v>
      </c>
      <c r="N1412" s="334">
        <v>9476</v>
      </c>
      <c r="O1412" s="236" t="str">
        <f>'Profits 2016'!T6625</f>
        <v>FEDEX GROUND</v>
      </c>
      <c r="P1412" s="284" t="str">
        <f>'Profits 2016'!U6625</f>
        <v>616712877608</v>
      </c>
      <c r="Q1412" s="284" t="s">
        <v>15740</v>
      </c>
      <c r="R1412" s="276">
        <v>36.51</v>
      </c>
      <c r="S1412" s="275">
        <v>1072009</v>
      </c>
      <c r="T1412" s="279">
        <v>42674</v>
      </c>
      <c r="U1412" s="279">
        <v>42681</v>
      </c>
      <c r="V1412" s="279">
        <v>42697</v>
      </c>
      <c r="W1412" s="293">
        <v>36.51</v>
      </c>
      <c r="X1412" s="236">
        <v>9476</v>
      </c>
      <c r="AF1412" s="276">
        <f t="shared" si="170"/>
        <v>286.51</v>
      </c>
      <c r="AG1412" s="276">
        <f t="shared" si="171"/>
        <v>286.51</v>
      </c>
      <c r="AH1412" s="276">
        <f t="shared" si="172"/>
        <v>72.405560000000037</v>
      </c>
      <c r="AI1412" s="283">
        <f t="shared" si="173"/>
        <v>0.25271564692331872</v>
      </c>
    </row>
    <row r="1413" spans="1:35" ht="30" x14ac:dyDescent="0.25">
      <c r="A1413" s="275">
        <f>'Profits 2016'!A6626</f>
        <v>3005195</v>
      </c>
      <c r="B1413" s="279">
        <f>'Profits 2016'!B6626</f>
        <v>42670</v>
      </c>
      <c r="C1413" s="276">
        <f>'Profits 2016'!H6626</f>
        <v>168.04</v>
      </c>
      <c r="D1413" s="280">
        <f>'Profits 2016'!K6626</f>
        <v>142.834</v>
      </c>
      <c r="E1413" s="276">
        <f>'Profits 2016'!L6626</f>
        <v>2150</v>
      </c>
      <c r="F1413" s="275" t="str">
        <f>'Profits 2016'!P6626</f>
        <v>Nassau</v>
      </c>
      <c r="G1413" s="292">
        <f>'Profits 2016'!N6626-'Profits 2016'!M6626</f>
        <v>107.5</v>
      </c>
      <c r="H1413" s="319"/>
      <c r="I1413" s="320"/>
      <c r="J1413" s="321"/>
      <c r="K1413" s="321"/>
      <c r="L1413" s="321"/>
      <c r="M1413" s="319"/>
      <c r="N1413" s="322"/>
      <c r="O1413" s="236" t="str">
        <f>'Profits 2016'!T6626</f>
        <v>FEDEX GROUND</v>
      </c>
      <c r="P1413" s="284" t="str">
        <f>'Profits 2016'!U6626</f>
        <v>665645047644</v>
      </c>
      <c r="Q1413" s="284" t="s">
        <v>314</v>
      </c>
      <c r="R1413" s="276">
        <v>18.78</v>
      </c>
      <c r="S1413" s="275" t="s">
        <v>15907</v>
      </c>
      <c r="T1413" s="279">
        <v>42688</v>
      </c>
      <c r="U1413" s="279">
        <v>42691</v>
      </c>
      <c r="V1413" s="279">
        <v>42697</v>
      </c>
      <c r="W1413" s="293">
        <v>18.78</v>
      </c>
      <c r="X1413" s="236">
        <v>9494</v>
      </c>
      <c r="AF1413" s="276">
        <f t="shared" si="170"/>
        <v>128.28</v>
      </c>
      <c r="AG1413" s="276">
        <f t="shared" si="171"/>
        <v>18.78</v>
      </c>
      <c r="AH1413" s="276">
        <f t="shared" si="172"/>
        <v>124.054</v>
      </c>
      <c r="AI1413" s="283">
        <f t="shared" si="173"/>
        <v>0.96705643903960092</v>
      </c>
    </row>
    <row r="1414" spans="1:35" ht="30" x14ac:dyDescent="0.25">
      <c r="A1414" s="275">
        <f>'Profits 2016'!A6627</f>
        <v>3005196</v>
      </c>
      <c r="B1414" s="279">
        <f>'Profits 2016'!B6627</f>
        <v>42670</v>
      </c>
      <c r="C1414" s="276">
        <f>'Profits 2016'!H6627</f>
        <v>549.64</v>
      </c>
      <c r="D1414" s="280">
        <f>'Profits 2016'!K6627</f>
        <v>467.19399999999996</v>
      </c>
      <c r="E1414" s="276">
        <f>'Profits 2016'!L6627</f>
        <v>1493.08</v>
      </c>
      <c r="F1414" s="275" t="str">
        <f>'Profits 2016'!P6627</f>
        <v>General</v>
      </c>
      <c r="G1414" s="292">
        <f>'Profits 2016'!N6627-'Profits 2016'!M6627</f>
        <v>223.96199999999996</v>
      </c>
      <c r="H1414" s="331">
        <v>2</v>
      </c>
      <c r="I1414" s="332">
        <v>3779579</v>
      </c>
      <c r="J1414" s="333">
        <v>42675</v>
      </c>
      <c r="K1414" s="333">
        <v>42681</v>
      </c>
      <c r="L1414" s="333"/>
      <c r="M1414" s="331"/>
      <c r="N1414" s="334"/>
      <c r="O1414" s="236" t="str">
        <f>'Profits 2016'!T6627</f>
        <v>FEDEX</v>
      </c>
      <c r="P1414" s="284" t="str">
        <f>'Profits 2016'!U6627</f>
        <v>675157531330 675157531341</v>
      </c>
      <c r="Q1414" s="284" t="s">
        <v>314</v>
      </c>
      <c r="R1414" s="276">
        <f>22.95+23.01</f>
        <v>45.96</v>
      </c>
      <c r="S1414" s="275" t="s">
        <v>15907</v>
      </c>
      <c r="T1414" s="279">
        <v>42688</v>
      </c>
      <c r="U1414" s="279">
        <v>42691</v>
      </c>
      <c r="V1414" s="279">
        <v>42697</v>
      </c>
      <c r="W1414" s="293">
        <v>22.95</v>
      </c>
      <c r="X1414" s="236">
        <v>9494</v>
      </c>
      <c r="AF1414" s="276">
        <f t="shared" si="170"/>
        <v>269.92199999999997</v>
      </c>
      <c r="AG1414" s="276">
        <f t="shared" si="171"/>
        <v>45.96</v>
      </c>
      <c r="AH1414" s="276">
        <f t="shared" si="172"/>
        <v>421.23399999999998</v>
      </c>
      <c r="AI1414" s="283">
        <f t="shared" si="173"/>
        <v>1.5605767592119206</v>
      </c>
    </row>
    <row r="1415" spans="1:35" ht="30" x14ac:dyDescent="0.25">
      <c r="A1415" s="275">
        <f>'Profits 2016'!A6628</f>
        <v>3005197</v>
      </c>
      <c r="B1415" s="279">
        <f>'Profits 2016'!B6628</f>
        <v>42670</v>
      </c>
      <c r="C1415" s="276">
        <f>'Profits 2016'!H6628</f>
        <v>455.7</v>
      </c>
      <c r="D1415" s="280">
        <f>'Profits 2016'!K6628</f>
        <v>387.34500000000003</v>
      </c>
      <c r="E1415" s="276">
        <f>'Profits 2016'!L6628</f>
        <v>0</v>
      </c>
      <c r="F1415" s="275" t="str">
        <f>'Profits 2016'!P6628</f>
        <v>Nassau</v>
      </c>
      <c r="G1415" s="292">
        <f>'Profits 2016'!N6628-'Profits 2016'!M6628</f>
        <v>0</v>
      </c>
      <c r="H1415" s="319"/>
      <c r="I1415" s="320"/>
      <c r="J1415" s="321"/>
      <c r="K1415" s="321"/>
      <c r="L1415" s="321"/>
      <c r="M1415" s="319"/>
      <c r="N1415" s="322"/>
      <c r="O1415" s="236" t="str">
        <f>'Profits 2016'!T6628</f>
        <v>FEDEX GROUND</v>
      </c>
      <c r="P1415" s="284" t="str">
        <f>'Profits 2016'!U6628</f>
        <v>665645047622</v>
      </c>
      <c r="Q1415" s="284" t="s">
        <v>314</v>
      </c>
      <c r="R1415" s="276">
        <v>43.67</v>
      </c>
      <c r="S1415" s="275" t="s">
        <v>15907</v>
      </c>
      <c r="T1415" s="279">
        <v>42688</v>
      </c>
      <c r="U1415" s="279">
        <v>42691</v>
      </c>
      <c r="V1415" s="279">
        <v>42697</v>
      </c>
      <c r="W1415" s="293">
        <v>43.67</v>
      </c>
      <c r="X1415" s="236">
        <v>9494</v>
      </c>
      <c r="AF1415" s="276">
        <f t="shared" si="170"/>
        <v>43.67</v>
      </c>
      <c r="AG1415" s="276">
        <f t="shared" si="171"/>
        <v>43.67</v>
      </c>
      <c r="AH1415" s="276">
        <f t="shared" si="172"/>
        <v>343.67500000000001</v>
      </c>
      <c r="AI1415" s="283">
        <f t="shared" si="173"/>
        <v>7.8698190977787954</v>
      </c>
    </row>
    <row r="1416" spans="1:35" ht="30" x14ac:dyDescent="0.25">
      <c r="A1416" s="275">
        <f>'Profits 2016'!A6629</f>
        <v>3005198</v>
      </c>
      <c r="B1416" s="279">
        <f>'Profits 2016'!B6629</f>
        <v>42670</v>
      </c>
      <c r="C1416" s="276">
        <f>'Profits 2016'!H6629</f>
        <v>220.36</v>
      </c>
      <c r="D1416" s="280">
        <f>'Profits 2016'!K6629</f>
        <v>187.30600000000001</v>
      </c>
      <c r="E1416" s="276">
        <f>'Profits 2016'!L6629</f>
        <v>0</v>
      </c>
      <c r="F1416" s="275" t="str">
        <f>'Profits 2016'!P6629</f>
        <v>Thea</v>
      </c>
      <c r="G1416" s="292">
        <f>'Profits 2016'!N6629-'Profits 2016'!M6629</f>
        <v>0</v>
      </c>
      <c r="H1416" s="319"/>
      <c r="I1416" s="320"/>
      <c r="J1416" s="321"/>
      <c r="K1416" s="321"/>
      <c r="L1416" s="321"/>
      <c r="M1416" s="319"/>
      <c r="N1416" s="322"/>
      <c r="O1416" s="236" t="str">
        <f>'Profits 2016'!T6629</f>
        <v>FEDEX GROUND</v>
      </c>
      <c r="P1416" s="284">
        <f>'Profits 2016'!U6629</f>
        <v>675157531205</v>
      </c>
      <c r="Q1416" s="284" t="s">
        <v>314</v>
      </c>
      <c r="R1416" s="276">
        <v>14.18</v>
      </c>
      <c r="S1416" s="275" t="s">
        <v>15907</v>
      </c>
      <c r="T1416" s="279">
        <v>42688</v>
      </c>
      <c r="U1416" s="279">
        <v>42691</v>
      </c>
      <c r="V1416" s="279">
        <v>42697</v>
      </c>
      <c r="W1416" s="293">
        <v>14.18</v>
      </c>
      <c r="X1416" s="236">
        <v>9494</v>
      </c>
      <c r="AF1416" s="276">
        <f t="shared" si="170"/>
        <v>14.18</v>
      </c>
      <c r="AG1416" s="276">
        <f t="shared" si="171"/>
        <v>14.18</v>
      </c>
      <c r="AH1416" s="276">
        <f t="shared" si="172"/>
        <v>173.126</v>
      </c>
      <c r="AI1416" s="283">
        <f t="shared" si="173"/>
        <v>12.209167842031031</v>
      </c>
    </row>
    <row r="1417" spans="1:35" ht="30" x14ac:dyDescent="0.25">
      <c r="A1417" s="275">
        <f>'Profits 2016'!A6630</f>
        <v>3005199</v>
      </c>
      <c r="B1417" s="279">
        <f>'Profits 2016'!B6630</f>
        <v>42670</v>
      </c>
      <c r="C1417" s="276">
        <f>'Profits 2016'!H6630</f>
        <v>100</v>
      </c>
      <c r="D1417" s="280">
        <f>'Profits 2016'!K6630</f>
        <v>85</v>
      </c>
      <c r="E1417" s="276">
        <f>'Profits 2016'!L6630</f>
        <v>2200</v>
      </c>
      <c r="F1417" s="275" t="str">
        <f>'Profits 2016'!P6630</f>
        <v>Direct</v>
      </c>
      <c r="G1417" s="292">
        <f>'Profits 2016'!N6630-'Profits 2016'!M6630</f>
        <v>33</v>
      </c>
      <c r="H1417" s="331">
        <v>0</v>
      </c>
      <c r="I1417" s="332">
        <v>75365</v>
      </c>
      <c r="J1417" s="333">
        <v>42670</v>
      </c>
      <c r="K1417" s="333">
        <v>42676</v>
      </c>
      <c r="L1417" s="333">
        <v>42678</v>
      </c>
      <c r="M1417" s="331">
        <v>64.680000000000007</v>
      </c>
      <c r="N1417" s="334">
        <v>9371</v>
      </c>
      <c r="O1417" s="236" t="str">
        <f>'Profits 2016'!T6630</f>
        <v>FEDEX GROUND</v>
      </c>
      <c r="P1417" s="284" t="str">
        <f>'Profits 2016'!U6630</f>
        <v>639794970147</v>
      </c>
      <c r="Q1417" s="284" t="s">
        <v>314</v>
      </c>
      <c r="R1417" s="276">
        <v>17.78</v>
      </c>
      <c r="S1417" s="275" t="s">
        <v>15907</v>
      </c>
      <c r="T1417" s="279">
        <v>42688</v>
      </c>
      <c r="U1417" s="279">
        <v>42691</v>
      </c>
      <c r="V1417" s="279">
        <v>42697</v>
      </c>
      <c r="W1417" s="293">
        <v>17.78</v>
      </c>
      <c r="X1417" s="236">
        <v>9494</v>
      </c>
      <c r="AF1417" s="276">
        <f t="shared" si="170"/>
        <v>50.78</v>
      </c>
      <c r="AG1417" s="276">
        <f t="shared" si="171"/>
        <v>82.460000000000008</v>
      </c>
      <c r="AH1417" s="276">
        <f t="shared" si="172"/>
        <v>2.539999999999992</v>
      </c>
      <c r="AI1417" s="283">
        <f t="shared" si="173"/>
        <v>5.0019692792437807E-2</v>
      </c>
    </row>
    <row r="1418" spans="1:35" x14ac:dyDescent="0.25">
      <c r="A1418" s="275">
        <f>'Profits 2016'!A6631</f>
        <v>0</v>
      </c>
      <c r="B1418" s="279">
        <f>'Profits 2016'!B6631</f>
        <v>0</v>
      </c>
      <c r="C1418" s="276">
        <f>'Profits 2016'!H6631</f>
        <v>0</v>
      </c>
      <c r="D1418" s="280">
        <f>'Profits 2016'!K6631</f>
        <v>0</v>
      </c>
      <c r="E1418" s="276">
        <f>'Profits 2016'!L6631</f>
        <v>2200</v>
      </c>
      <c r="F1418" s="275" t="str">
        <f>'Profits 2016'!P6631</f>
        <v>Direct</v>
      </c>
      <c r="G1418" s="292">
        <f>'Profits 2016'!N6631-'Profits 2016'!M6631</f>
        <v>33</v>
      </c>
      <c r="H1418" s="331">
        <v>0</v>
      </c>
      <c r="I1418" s="332">
        <v>75365</v>
      </c>
      <c r="J1418" s="333">
        <v>42670</v>
      </c>
      <c r="K1418" s="333">
        <v>42676</v>
      </c>
      <c r="L1418" s="333">
        <v>42678</v>
      </c>
      <c r="M1418" s="331">
        <v>0</v>
      </c>
      <c r="N1418" s="334">
        <v>9371</v>
      </c>
      <c r="O1418" s="236">
        <f>'Profits 2016'!T6631</f>
        <v>0</v>
      </c>
      <c r="P1418" s="284">
        <f>'Profits 2016'!U6631</f>
        <v>0</v>
      </c>
      <c r="Q1418" s="284" t="s">
        <v>314</v>
      </c>
      <c r="R1418" s="276">
        <v>0</v>
      </c>
      <c r="S1418" s="275" t="s">
        <v>15907</v>
      </c>
      <c r="T1418" s="279">
        <v>42688</v>
      </c>
      <c r="U1418" s="279">
        <v>42691</v>
      </c>
      <c r="V1418" s="279">
        <v>42697</v>
      </c>
      <c r="W1418" s="293">
        <v>0</v>
      </c>
      <c r="X1418" s="236">
        <v>9494</v>
      </c>
      <c r="AF1418" s="276">
        <f t="shared" si="170"/>
        <v>33</v>
      </c>
      <c r="AG1418" s="276">
        <f t="shared" si="171"/>
        <v>0</v>
      </c>
      <c r="AH1418" s="276">
        <f t="shared" si="172"/>
        <v>0</v>
      </c>
      <c r="AI1418" s="283">
        <f t="shared" si="173"/>
        <v>0</v>
      </c>
    </row>
    <row r="1419" spans="1:35" ht="30" x14ac:dyDescent="0.25">
      <c r="A1419" s="275">
        <f>'Profits 2016'!A6632</f>
        <v>3005200</v>
      </c>
      <c r="B1419" s="279">
        <f>'Profits 2016'!B6632</f>
        <v>42670</v>
      </c>
      <c r="C1419" s="276">
        <f>'Profits 2016'!H6632</f>
        <v>140</v>
      </c>
      <c r="D1419" s="280">
        <f>'Profits 2016'!K6632</f>
        <v>119</v>
      </c>
      <c r="E1419" s="276">
        <f>'Profits 2016'!L6632</f>
        <v>424</v>
      </c>
      <c r="F1419" s="275" t="str">
        <f>'Profits 2016'!P6632</f>
        <v>Nassau</v>
      </c>
      <c r="G1419" s="292">
        <f>'Profits 2016'!N6632-'Profits 2016'!M6632</f>
        <v>74.2</v>
      </c>
      <c r="H1419" s="319"/>
      <c r="I1419" s="320"/>
      <c r="J1419" s="321"/>
      <c r="K1419" s="321"/>
      <c r="L1419" s="321"/>
      <c r="M1419" s="319"/>
      <c r="N1419" s="322"/>
      <c r="O1419" s="236" t="str">
        <f>'Profits 2016'!T6632</f>
        <v>FEDEX GROUND</v>
      </c>
      <c r="P1419" s="284" t="str">
        <f>'Profits 2016'!U6632</f>
        <v>702723291230</v>
      </c>
      <c r="Q1419" s="284" t="s">
        <v>314</v>
      </c>
      <c r="R1419" s="276">
        <v>24.59</v>
      </c>
      <c r="S1419" s="275" t="s">
        <v>15869</v>
      </c>
      <c r="T1419" s="279">
        <v>42681</v>
      </c>
      <c r="U1419" s="279">
        <v>42688</v>
      </c>
      <c r="V1419" s="279">
        <v>42692</v>
      </c>
      <c r="W1419" s="293">
        <f>R1419</f>
        <v>24.59</v>
      </c>
      <c r="X1419" s="236">
        <v>9444</v>
      </c>
      <c r="AF1419" s="276">
        <f t="shared" si="170"/>
        <v>98.79</v>
      </c>
      <c r="AG1419" s="276">
        <f t="shared" si="171"/>
        <v>24.59</v>
      </c>
      <c r="AH1419" s="276">
        <f t="shared" si="172"/>
        <v>94.41</v>
      </c>
      <c r="AI1419" s="283">
        <f t="shared" si="173"/>
        <v>0.95566352869723648</v>
      </c>
    </row>
    <row r="1420" spans="1:35" ht="30" x14ac:dyDescent="0.25">
      <c r="A1420" s="275">
        <f>'Profits 2016'!A6633</f>
        <v>3005201</v>
      </c>
      <c r="B1420" s="279">
        <f>'Profits 2016'!B6633</f>
        <v>42670</v>
      </c>
      <c r="C1420" s="276">
        <f>'Profits 2016'!H6633</f>
        <v>180.18</v>
      </c>
      <c r="D1420" s="280">
        <f>'Profits 2016'!K6633</f>
        <v>153.15300000000002</v>
      </c>
      <c r="E1420" s="276">
        <f>'Profits 2016'!L6633</f>
        <v>1160</v>
      </c>
      <c r="F1420" s="275" t="str">
        <f>'Profits 2016'!P6633</f>
        <v>Direct</v>
      </c>
      <c r="G1420" s="292">
        <f>'Profits 2016'!N6633-'Profits 2016'!M6633</f>
        <v>115.99999999999999</v>
      </c>
      <c r="H1420" s="331">
        <v>0</v>
      </c>
      <c r="I1420" s="332">
        <v>75455</v>
      </c>
      <c r="J1420" s="333">
        <v>42674</v>
      </c>
      <c r="K1420" s="333">
        <v>42681</v>
      </c>
      <c r="L1420" s="333"/>
      <c r="M1420" s="331"/>
      <c r="N1420" s="334"/>
      <c r="O1420" s="236" t="str">
        <f>'Profits 2016'!T6633</f>
        <v>FEDEX GROUND</v>
      </c>
      <c r="P1420" s="284" t="str">
        <f>'Profits 2016'!U6633</f>
        <v>630512245556</v>
      </c>
      <c r="Q1420" s="284" t="s">
        <v>314</v>
      </c>
      <c r="R1420" s="276">
        <v>23.76</v>
      </c>
      <c r="S1420" s="275" t="s">
        <v>15907</v>
      </c>
      <c r="T1420" s="279">
        <v>42688</v>
      </c>
      <c r="U1420" s="279">
        <v>42691</v>
      </c>
      <c r="V1420" s="279">
        <v>42697</v>
      </c>
      <c r="W1420" s="293">
        <v>23.76</v>
      </c>
      <c r="X1420" s="236">
        <v>9494</v>
      </c>
      <c r="AF1420" s="276">
        <f t="shared" si="170"/>
        <v>139.76</v>
      </c>
      <c r="AG1420" s="276">
        <f t="shared" si="171"/>
        <v>23.76</v>
      </c>
      <c r="AH1420" s="276">
        <f t="shared" si="172"/>
        <v>129.39300000000003</v>
      </c>
      <c r="AI1420" s="283">
        <f t="shared" si="173"/>
        <v>0.9258228391528337</v>
      </c>
    </row>
    <row r="1421" spans="1:35" x14ac:dyDescent="0.25">
      <c r="A1421" s="275">
        <f>'Profits 2016'!A6634</f>
        <v>3005202</v>
      </c>
      <c r="B1421" s="279">
        <f>'Profits 2016'!B6634</f>
        <v>42670</v>
      </c>
      <c r="C1421" s="276">
        <f>'Profits 2016'!H6634</f>
        <v>0</v>
      </c>
      <c r="D1421" s="280">
        <f>'Profits 2016'!K6634</f>
        <v>0</v>
      </c>
      <c r="E1421" s="276">
        <f>'Profits 2016'!L6634</f>
        <v>0</v>
      </c>
      <c r="F1421" s="275" t="str">
        <f>'Profits 2016'!P6634</f>
        <v>Nassau</v>
      </c>
      <c r="G1421" s="292">
        <f>'Profits 2016'!N6634-'Profits 2016'!M6634</f>
        <v>0</v>
      </c>
      <c r="H1421" s="319"/>
      <c r="I1421" s="320"/>
      <c r="J1421" s="321"/>
      <c r="K1421" s="321"/>
      <c r="L1421" s="321"/>
      <c r="M1421" s="319"/>
      <c r="N1421" s="322"/>
      <c r="O1421" s="236">
        <f>'Profits 2016'!T6634</f>
        <v>0</v>
      </c>
      <c r="P1421" s="284">
        <f>'Profits 2016'!U6634</f>
        <v>0</v>
      </c>
      <c r="AF1421" s="276">
        <f t="shared" si="170"/>
        <v>0</v>
      </c>
      <c r="AG1421" s="276">
        <f t="shared" si="171"/>
        <v>0</v>
      </c>
      <c r="AH1421" s="276">
        <f t="shared" si="172"/>
        <v>0</v>
      </c>
      <c r="AI1421" s="283" t="e">
        <f t="shared" si="173"/>
        <v>#DIV/0!</v>
      </c>
    </row>
    <row r="1422" spans="1:35" x14ac:dyDescent="0.25">
      <c r="A1422" s="275">
        <f>'Profits 2016'!A6635</f>
        <v>0</v>
      </c>
      <c r="B1422" s="279">
        <f>'Profits 2016'!B6635</f>
        <v>0</v>
      </c>
      <c r="C1422" s="276">
        <f>'Profits 2016'!H6635</f>
        <v>0</v>
      </c>
      <c r="D1422" s="280">
        <f>'Profits 2016'!K6635</f>
        <v>0</v>
      </c>
      <c r="E1422" s="276">
        <f>'Profits 2016'!L6635</f>
        <v>0</v>
      </c>
      <c r="F1422" s="275" t="str">
        <f>'Profits 2016'!P6635</f>
        <v>Nassau</v>
      </c>
      <c r="G1422" s="292">
        <f>'Profits 2016'!N6635-'Profits 2016'!M6635</f>
        <v>0</v>
      </c>
      <c r="H1422" s="319"/>
      <c r="I1422" s="320"/>
      <c r="J1422" s="321"/>
      <c r="K1422" s="321"/>
      <c r="L1422" s="321"/>
      <c r="M1422" s="319"/>
      <c r="N1422" s="322"/>
      <c r="O1422" s="236">
        <f>'Profits 2016'!T6635</f>
        <v>0</v>
      </c>
      <c r="P1422" s="284">
        <f>'Profits 2016'!U6635</f>
        <v>0</v>
      </c>
      <c r="AF1422" s="276">
        <f t="shared" si="170"/>
        <v>0</v>
      </c>
      <c r="AG1422" s="276">
        <f t="shared" si="171"/>
        <v>0</v>
      </c>
      <c r="AH1422" s="276">
        <f t="shared" si="172"/>
        <v>0</v>
      </c>
      <c r="AI1422" s="283" t="e">
        <f t="shared" si="173"/>
        <v>#DIV/0!</v>
      </c>
    </row>
    <row r="1423" spans="1:35" x14ac:dyDescent="0.25">
      <c r="A1423" s="275">
        <f>'Profits 2016'!A6636</f>
        <v>3005203</v>
      </c>
      <c r="B1423" s="279">
        <f>'Profits 2016'!B6636</f>
        <v>42670</v>
      </c>
      <c r="C1423" s="276">
        <f>'Profits 2016'!H6636</f>
        <v>1050</v>
      </c>
      <c r="D1423" s="280">
        <f>'Profits 2016'!K6636</f>
        <v>1015.575</v>
      </c>
      <c r="E1423" s="276">
        <f>'Profits 2016'!L6636</f>
        <v>0</v>
      </c>
      <c r="F1423" s="275" t="str">
        <f>'Profits 2016'!P6636</f>
        <v>Nassau</v>
      </c>
      <c r="G1423" s="292">
        <f>'Profits 2016'!N6636-'Profits 2016'!M6636</f>
        <v>0</v>
      </c>
      <c r="H1423" s="319"/>
      <c r="I1423" s="320"/>
      <c r="J1423" s="321"/>
      <c r="K1423" s="321"/>
      <c r="L1423" s="321"/>
      <c r="M1423" s="319"/>
      <c r="N1423" s="322"/>
      <c r="O1423" s="236" t="str">
        <f>'Profits 2016'!T6636</f>
        <v>R&amp;L/ECHO</v>
      </c>
      <c r="P1423" s="284" t="str">
        <f>'Profits 2016'!U6636</f>
        <v>730506816</v>
      </c>
      <c r="AF1423" s="276">
        <f t="shared" si="170"/>
        <v>0</v>
      </c>
      <c r="AG1423" s="276">
        <f t="shared" si="171"/>
        <v>0</v>
      </c>
      <c r="AH1423" s="276">
        <f t="shared" si="172"/>
        <v>1015.575</v>
      </c>
      <c r="AI1423" s="283" t="e">
        <f t="shared" si="173"/>
        <v>#DIV/0!</v>
      </c>
    </row>
    <row r="1424" spans="1:35" ht="30" x14ac:dyDescent="0.25">
      <c r="A1424" s="275">
        <f>'Profits 2016'!A6637</f>
        <v>3005204</v>
      </c>
      <c r="B1424" s="279">
        <f>'Profits 2016'!B6637</f>
        <v>42670</v>
      </c>
      <c r="C1424" s="276">
        <f>'Profits 2016'!H6637</f>
        <v>160.38</v>
      </c>
      <c r="D1424" s="280">
        <f>'Profits 2016'!K6637</f>
        <v>136.32300000000001</v>
      </c>
      <c r="E1424" s="276">
        <f>'Profits 2016'!L6637</f>
        <v>424</v>
      </c>
      <c r="F1424" s="275" t="str">
        <f>'Profits 2016'!P6637</f>
        <v>Nassau</v>
      </c>
      <c r="G1424" s="292">
        <f>'Profits 2016'!N6637-'Profits 2016'!M6637</f>
        <v>63.599999999999987</v>
      </c>
      <c r="H1424" s="319"/>
      <c r="I1424" s="320"/>
      <c r="J1424" s="321"/>
      <c r="K1424" s="321"/>
      <c r="L1424" s="321"/>
      <c r="M1424" s="319"/>
      <c r="N1424" s="322"/>
      <c r="O1424" s="236" t="str">
        <f>'Profits 2016'!T6637</f>
        <v>FEDEX GROUND</v>
      </c>
      <c r="P1424" s="284" t="str">
        <f>'Profits 2016'!U6637</f>
        <v>702723291241</v>
      </c>
      <c r="Q1424" s="284" t="s">
        <v>314</v>
      </c>
      <c r="R1424" s="276">
        <v>23.1</v>
      </c>
      <c r="S1424" s="275" t="s">
        <v>15907</v>
      </c>
      <c r="T1424" s="279">
        <v>42688</v>
      </c>
      <c r="U1424" s="279">
        <v>42691</v>
      </c>
      <c r="V1424" s="279">
        <v>42697</v>
      </c>
      <c r="W1424" s="293">
        <v>23.1</v>
      </c>
      <c r="X1424" s="236">
        <v>9494</v>
      </c>
      <c r="AF1424" s="276">
        <f t="shared" si="170"/>
        <v>86.699999999999989</v>
      </c>
      <c r="AG1424" s="276">
        <f t="shared" si="171"/>
        <v>23.1</v>
      </c>
      <c r="AH1424" s="276">
        <f t="shared" si="172"/>
        <v>113.22300000000001</v>
      </c>
      <c r="AI1424" s="283">
        <f t="shared" si="173"/>
        <v>1.3059169550173013</v>
      </c>
    </row>
    <row r="1425" spans="1:35" ht="30" x14ac:dyDescent="0.25">
      <c r="A1425" s="275">
        <f>'Profits 2016'!A6638</f>
        <v>3005205</v>
      </c>
      <c r="B1425" s="279">
        <f>'Profits 2016'!B6638</f>
        <v>42670</v>
      </c>
      <c r="C1425" s="276">
        <f>'Profits 2016'!H6638</f>
        <v>294</v>
      </c>
      <c r="D1425" s="280">
        <f>'Profits 2016'!K6638</f>
        <v>249.9</v>
      </c>
      <c r="E1425" s="276">
        <f>'Profits 2016'!L6638</f>
        <v>754</v>
      </c>
      <c r="F1425" s="275" t="str">
        <f>'Profits 2016'!P6638</f>
        <v>Direct</v>
      </c>
      <c r="G1425" s="292">
        <f>'Profits 2016'!N6638-'Profits 2016'!M6638</f>
        <v>188.5</v>
      </c>
      <c r="H1425" s="331">
        <v>0</v>
      </c>
      <c r="I1425" s="332">
        <v>75231</v>
      </c>
      <c r="J1425" s="333">
        <v>42670</v>
      </c>
      <c r="K1425" s="333">
        <v>42675</v>
      </c>
      <c r="L1425" s="333">
        <v>42678</v>
      </c>
      <c r="M1425" s="331">
        <v>184.73</v>
      </c>
      <c r="N1425" s="334">
        <v>9295</v>
      </c>
      <c r="O1425" s="236" t="str">
        <f>'Profits 2016'!T6638</f>
        <v>FEDEX GROUND</v>
      </c>
      <c r="P1425" s="284" t="str">
        <f>'Profits 2016'!U6638</f>
        <v>777575182689</v>
      </c>
      <c r="Q1425" s="284" t="s">
        <v>314</v>
      </c>
      <c r="R1425" s="276">
        <v>17.27</v>
      </c>
      <c r="S1425" s="275" t="s">
        <v>15869</v>
      </c>
      <c r="T1425" s="279">
        <v>42681</v>
      </c>
      <c r="U1425" s="279">
        <v>42688</v>
      </c>
      <c r="V1425" s="279">
        <v>42692</v>
      </c>
      <c r="W1425" s="293">
        <f>R1425</f>
        <v>17.27</v>
      </c>
      <c r="X1425" s="236">
        <v>9444</v>
      </c>
      <c r="AF1425" s="276">
        <f t="shared" ref="AF1425:AF1488" si="175">G1425+H1426+R1425+Y1425</f>
        <v>205.77</v>
      </c>
      <c r="AG1425" s="276">
        <f t="shared" ref="AG1425:AG1488" si="176">M1425+R1425+Y1425</f>
        <v>202</v>
      </c>
      <c r="AH1425" s="276">
        <f t="shared" ref="AH1425:AH1488" si="177">D1425-AG1425</f>
        <v>47.900000000000006</v>
      </c>
      <c r="AI1425" s="283">
        <f t="shared" ref="AI1425:AI1488" si="178">AH1425/AF1425</f>
        <v>0.23278417650775138</v>
      </c>
    </row>
    <row r="1426" spans="1:35" ht="30" x14ac:dyDescent="0.25">
      <c r="A1426" s="275">
        <f>'Profits 2016'!A6639</f>
        <v>3005206</v>
      </c>
      <c r="B1426" s="279">
        <f>'Profits 2016'!B6639</f>
        <v>42670</v>
      </c>
      <c r="C1426" s="276">
        <f>'Profits 2016'!H6639</f>
        <v>156.13</v>
      </c>
      <c r="D1426" s="280">
        <f>'Profits 2016'!K6639</f>
        <v>138.81182999999999</v>
      </c>
      <c r="E1426" s="276">
        <f>'Profits 2016'!L6639</f>
        <v>510</v>
      </c>
      <c r="F1426" s="275" t="str">
        <f>'Profits 2016'!P6639</f>
        <v>Nassau</v>
      </c>
      <c r="G1426" s="292">
        <f>'Profits 2016'!N6639-'Profits 2016'!M6639</f>
        <v>76.5</v>
      </c>
      <c r="H1426" s="319"/>
      <c r="I1426" s="320"/>
      <c r="J1426" s="321"/>
      <c r="K1426" s="321"/>
      <c r="L1426" s="321"/>
      <c r="M1426" s="319"/>
      <c r="N1426" s="322"/>
      <c r="O1426" s="236" t="str">
        <f>'Profits 2016'!T6639</f>
        <v>FEDEX GROUND</v>
      </c>
      <c r="P1426" s="284" t="str">
        <f>'Profits 2016'!U6639</f>
        <v>702723291252</v>
      </c>
      <c r="Q1426" s="284" t="s">
        <v>314</v>
      </c>
      <c r="R1426" s="276">
        <v>35.200000000000003</v>
      </c>
      <c r="S1426" s="275" t="s">
        <v>15907</v>
      </c>
      <c r="T1426" s="279">
        <v>42688</v>
      </c>
      <c r="U1426" s="279">
        <v>42691</v>
      </c>
      <c r="V1426" s="279">
        <v>42697</v>
      </c>
      <c r="W1426" s="293">
        <v>35.200000000000003</v>
      </c>
      <c r="X1426" s="236">
        <v>9494</v>
      </c>
      <c r="AF1426" s="276">
        <f t="shared" si="175"/>
        <v>111.7</v>
      </c>
      <c r="AG1426" s="276">
        <f t="shared" si="176"/>
        <v>35.200000000000003</v>
      </c>
      <c r="AH1426" s="276">
        <f t="shared" si="177"/>
        <v>103.61182999999998</v>
      </c>
      <c r="AI1426" s="283">
        <f t="shared" si="178"/>
        <v>0.92759024171888971</v>
      </c>
    </row>
    <row r="1427" spans="1:35" x14ac:dyDescent="0.25">
      <c r="A1427" s="275">
        <f>'Profits 2016'!A6640</f>
        <v>3005207</v>
      </c>
      <c r="B1427" s="279">
        <f>'Profits 2016'!B6640</f>
        <v>42670</v>
      </c>
      <c r="C1427" s="276">
        <f>'Profits 2016'!H6640</f>
        <v>31795</v>
      </c>
      <c r="D1427" s="280">
        <f>'Profits 2016'!K6640</f>
        <v>31795</v>
      </c>
      <c r="E1427" s="276">
        <f>'Profits 2016'!L6640</f>
        <v>4500</v>
      </c>
      <c r="F1427" s="275" t="str">
        <f>'Profits 2016'!P6640</f>
        <v>Thea</v>
      </c>
      <c r="G1427" s="292">
        <f>'Profits 2016'!N6640-'Profits 2016'!M6640</f>
        <v>26014.5</v>
      </c>
      <c r="H1427" s="319"/>
      <c r="I1427" s="320"/>
      <c r="J1427" s="321"/>
      <c r="K1427" s="321"/>
      <c r="L1427" s="321"/>
      <c r="M1427" s="319"/>
      <c r="N1427" s="322"/>
      <c r="O1427" s="236" t="str">
        <f>'Profits 2016'!T6640</f>
        <v>TQL</v>
      </c>
      <c r="P1427" s="284">
        <f>'Profits 2016'!U6640</f>
        <v>0</v>
      </c>
      <c r="AF1427" s="276">
        <f t="shared" si="175"/>
        <v>26014.5</v>
      </c>
      <c r="AG1427" s="276">
        <f t="shared" si="176"/>
        <v>0</v>
      </c>
      <c r="AH1427" s="276">
        <f t="shared" si="177"/>
        <v>31795</v>
      </c>
      <c r="AI1427" s="283">
        <f t="shared" si="178"/>
        <v>1.2222030021718657</v>
      </c>
    </row>
    <row r="1428" spans="1:35" ht="45" x14ac:dyDescent="0.25">
      <c r="A1428" s="275">
        <f>'Profits 2016'!A6641</f>
        <v>3005208</v>
      </c>
      <c r="B1428" s="279">
        <f>'Profits 2016'!B6641</f>
        <v>42670</v>
      </c>
      <c r="C1428" s="276">
        <f>'Profits 2016'!H6641</f>
        <v>57880</v>
      </c>
      <c r="D1428" s="280">
        <f>'Profits 2016'!K6641</f>
        <v>57880</v>
      </c>
      <c r="E1428" s="276">
        <f>'Profits 2016'!L6641</f>
        <v>2880</v>
      </c>
      <c r="F1428" s="275" t="str">
        <f>'Profits 2016'!P6641</f>
        <v>Priority</v>
      </c>
      <c r="G1428" s="292">
        <f>'Profits 2016'!N6641-'Profits 2016'!M6641</f>
        <v>37808.639999999999</v>
      </c>
      <c r="H1428" s="331">
        <v>0</v>
      </c>
      <c r="I1428" s="332" t="s">
        <v>15909</v>
      </c>
      <c r="J1428" s="333" t="s">
        <v>15910</v>
      </c>
      <c r="K1428" s="333" t="s">
        <v>15911</v>
      </c>
      <c r="L1428" s="333">
        <v>42697</v>
      </c>
      <c r="M1428" s="331">
        <v>18904.32</v>
      </c>
      <c r="N1428" s="334">
        <v>9479</v>
      </c>
      <c r="O1428" s="236" t="str">
        <f>'Profits 2016'!T6641</f>
        <v>FEDEX / SAIA</v>
      </c>
      <c r="P1428" s="284" t="str">
        <f>'Profits 2016'!U6641</f>
        <v>3963542693 / 920201047103</v>
      </c>
      <c r="AF1428" s="276">
        <f t="shared" si="175"/>
        <v>37808.639999999999</v>
      </c>
      <c r="AG1428" s="276">
        <f t="shared" si="176"/>
        <v>18904.32</v>
      </c>
      <c r="AH1428" s="276">
        <f t="shared" si="177"/>
        <v>38975.68</v>
      </c>
      <c r="AI1428" s="283">
        <f t="shared" si="178"/>
        <v>1.0308670187555014</v>
      </c>
    </row>
    <row r="1429" spans="1:35" ht="30" x14ac:dyDescent="0.25">
      <c r="A1429" s="275">
        <f>'Profits 2016'!A6642</f>
        <v>3005209</v>
      </c>
      <c r="B1429" s="279">
        <f>'Profits 2016'!B6642</f>
        <v>42670</v>
      </c>
      <c r="C1429" s="276">
        <f>'Profits 2016'!H6642</f>
        <v>236</v>
      </c>
      <c r="D1429" s="280">
        <f>'Profits 2016'!K6642</f>
        <v>209.976</v>
      </c>
      <c r="E1429" s="276">
        <f>'Profits 2016'!L6642</f>
        <v>1322</v>
      </c>
      <c r="F1429" s="275" t="str">
        <f>'Profits 2016'!P6642</f>
        <v>Nassau</v>
      </c>
      <c r="G1429" s="292">
        <f>'Profits 2016'!N6642-'Profits 2016'!M6642</f>
        <v>132.20000000000002</v>
      </c>
      <c r="H1429" s="319"/>
      <c r="I1429" s="320"/>
      <c r="J1429" s="321"/>
      <c r="K1429" s="321"/>
      <c r="L1429" s="321"/>
      <c r="M1429" s="319"/>
      <c r="N1429" s="322"/>
      <c r="O1429" s="236" t="str">
        <f>'Profits 2016'!T6642</f>
        <v>FEDEX GROUND</v>
      </c>
      <c r="P1429" s="284" t="str">
        <f>'Profits 2016'!U6642</f>
        <v>665645047699</v>
      </c>
      <c r="Q1429" s="284" t="s">
        <v>314</v>
      </c>
      <c r="R1429" s="276">
        <v>49.19</v>
      </c>
      <c r="S1429" s="275" t="s">
        <v>15907</v>
      </c>
      <c r="T1429" s="279">
        <v>42688</v>
      </c>
      <c r="U1429" s="279">
        <v>42691</v>
      </c>
      <c r="V1429" s="279">
        <v>42697</v>
      </c>
      <c r="W1429" s="293">
        <v>49.19</v>
      </c>
      <c r="X1429" s="236">
        <v>9494</v>
      </c>
      <c r="AF1429" s="276">
        <f t="shared" si="175"/>
        <v>181.39000000000001</v>
      </c>
      <c r="AG1429" s="276">
        <f t="shared" si="176"/>
        <v>49.19</v>
      </c>
      <c r="AH1429" s="276">
        <f t="shared" si="177"/>
        <v>160.786</v>
      </c>
      <c r="AI1429" s="283">
        <f t="shared" si="178"/>
        <v>0.88641049671977501</v>
      </c>
    </row>
    <row r="1430" spans="1:35" ht="30" x14ac:dyDescent="0.25">
      <c r="A1430" s="275">
        <f>'Profits 2016'!A6643</f>
        <v>3005210</v>
      </c>
      <c r="B1430" s="279">
        <f>'Profits 2016'!B6643</f>
        <v>42670</v>
      </c>
      <c r="C1430" s="276">
        <f>'Profits 2016'!H6643</f>
        <v>500</v>
      </c>
      <c r="D1430" s="280">
        <f>'Profits 2016'!K6643</f>
        <v>488.7</v>
      </c>
      <c r="E1430" s="276">
        <f>'Profits 2016'!L6643</f>
        <v>1322</v>
      </c>
      <c r="F1430" s="275" t="str">
        <f>'Profits 2016'!P6643</f>
        <v>Nassau</v>
      </c>
      <c r="G1430" s="292">
        <f>'Profits 2016'!N6643-'Profits 2016'!M6643</f>
        <v>330.5</v>
      </c>
      <c r="H1430" s="319"/>
      <c r="I1430" s="320"/>
      <c r="J1430" s="321"/>
      <c r="K1430" s="321"/>
      <c r="L1430" s="321"/>
      <c r="M1430" s="319"/>
      <c r="N1430" s="322"/>
      <c r="O1430" s="236" t="str">
        <f>'Profits 2016'!T6643</f>
        <v>FEDEX GROUND</v>
      </c>
      <c r="P1430" s="284" t="str">
        <f>'Profits 2016'!U6643</f>
        <v>665645047655</v>
      </c>
      <c r="Q1430" s="284" t="s">
        <v>314</v>
      </c>
      <c r="R1430" s="276">
        <v>51.64</v>
      </c>
      <c r="S1430" s="275" t="s">
        <v>15907</v>
      </c>
      <c r="T1430" s="279">
        <v>42688</v>
      </c>
      <c r="U1430" s="279">
        <v>42691</v>
      </c>
      <c r="V1430" s="279">
        <v>42697</v>
      </c>
      <c r="W1430" s="293">
        <v>51.64</v>
      </c>
      <c r="X1430" s="236">
        <v>9494</v>
      </c>
      <c r="AF1430" s="276">
        <f t="shared" si="175"/>
        <v>382.14</v>
      </c>
      <c r="AG1430" s="276">
        <f t="shared" si="176"/>
        <v>51.64</v>
      </c>
      <c r="AH1430" s="276">
        <f t="shared" si="177"/>
        <v>437.06</v>
      </c>
      <c r="AI1430" s="283">
        <f t="shared" si="178"/>
        <v>1.1437169623698122</v>
      </c>
    </row>
    <row r="1431" spans="1:35" ht="30" x14ac:dyDescent="0.25">
      <c r="A1431" s="275">
        <f>'Profits 2016'!A6644</f>
        <v>3005211</v>
      </c>
      <c r="B1431" s="279">
        <f>'Profits 2016'!B6644</f>
        <v>42670</v>
      </c>
      <c r="C1431" s="276">
        <f>'Profits 2016'!H6644</f>
        <v>14800</v>
      </c>
      <c r="D1431" s="280">
        <f>'Profits 2016'!K6644</f>
        <v>14318.7</v>
      </c>
      <c r="E1431" s="276">
        <f>'Profits 2016'!L6644</f>
        <v>1421</v>
      </c>
      <c r="F1431" s="275" t="str">
        <f>'Profits 2016'!P6644</f>
        <v>West Virginia</v>
      </c>
      <c r="G1431" s="292">
        <f>'Profits 2016'!N6644-'Profits 2016'!M6644</f>
        <v>11368</v>
      </c>
      <c r="H1431" s="331"/>
      <c r="I1431" s="332"/>
      <c r="J1431" s="333"/>
      <c r="K1431" s="333"/>
      <c r="L1431" s="333"/>
      <c r="M1431" s="331"/>
      <c r="N1431" s="334"/>
      <c r="O1431" s="236" t="str">
        <f>'Profits 2016'!T6644</f>
        <v>abf freight</v>
      </c>
      <c r="P1431" s="284">
        <f>'Profits 2016'!U6644</f>
        <v>231616185</v>
      </c>
      <c r="AF1431" s="276">
        <f t="shared" si="175"/>
        <v>11368</v>
      </c>
      <c r="AG1431" s="276">
        <f t="shared" si="176"/>
        <v>0</v>
      </c>
      <c r="AH1431" s="276">
        <f t="shared" si="177"/>
        <v>14318.7</v>
      </c>
      <c r="AI1431" s="283">
        <f t="shared" si="178"/>
        <v>1.2595619282195638</v>
      </c>
    </row>
    <row r="1432" spans="1:35" ht="30" x14ac:dyDescent="0.25">
      <c r="A1432" s="275">
        <f>'Profits 2016'!A6645</f>
        <v>3005212</v>
      </c>
      <c r="B1432" s="279">
        <f>'Profits 2016'!B6645</f>
        <v>42670</v>
      </c>
      <c r="C1432" s="276">
        <f>'Profits 2016'!H6645</f>
        <v>140</v>
      </c>
      <c r="D1432" s="280">
        <f>'Profits 2016'!K6645</f>
        <v>137.04</v>
      </c>
      <c r="E1432" s="276">
        <f>'Profits 2016'!L6645</f>
        <v>424</v>
      </c>
      <c r="F1432" s="275" t="str">
        <f>'Profits 2016'!P6645</f>
        <v>Nassau</v>
      </c>
      <c r="G1432" s="292">
        <f>'Profits 2016'!N6645-'Profits 2016'!M6645</f>
        <v>74.2</v>
      </c>
      <c r="H1432" s="319"/>
      <c r="I1432" s="320"/>
      <c r="J1432" s="321"/>
      <c r="K1432" s="321"/>
      <c r="L1432" s="321"/>
      <c r="M1432" s="319"/>
      <c r="N1432" s="322"/>
      <c r="O1432" s="236" t="str">
        <f>'Profits 2016'!T6645</f>
        <v>FEDEX GROUND</v>
      </c>
      <c r="P1432" s="284" t="str">
        <f>'Profits 2016'!U6645</f>
        <v>665645047688</v>
      </c>
      <c r="Q1432" s="284" t="s">
        <v>314</v>
      </c>
      <c r="R1432" s="276">
        <v>29.33</v>
      </c>
      <c r="S1432" s="275" t="s">
        <v>15907</v>
      </c>
      <c r="T1432" s="279">
        <v>42688</v>
      </c>
      <c r="U1432" s="279">
        <v>42691</v>
      </c>
      <c r="V1432" s="279">
        <v>42697</v>
      </c>
      <c r="W1432" s="293">
        <v>29.33</v>
      </c>
      <c r="X1432" s="236">
        <v>9494</v>
      </c>
      <c r="AF1432" s="276">
        <f t="shared" si="175"/>
        <v>103.53</v>
      </c>
      <c r="AG1432" s="276">
        <f t="shared" si="176"/>
        <v>29.33</v>
      </c>
      <c r="AH1432" s="276">
        <f t="shared" si="177"/>
        <v>107.71</v>
      </c>
      <c r="AI1432" s="283">
        <f t="shared" si="178"/>
        <v>1.0403747705978943</v>
      </c>
    </row>
    <row r="1433" spans="1:35" ht="30" x14ac:dyDescent="0.25">
      <c r="A1433" s="275">
        <f>'Profits 2016'!A6646</f>
        <v>3005213</v>
      </c>
      <c r="B1433" s="279">
        <f>'Profits 2016'!B6646</f>
        <v>42670</v>
      </c>
      <c r="C1433" s="276">
        <f>'Profits 2016'!H6646</f>
        <v>120</v>
      </c>
      <c r="D1433" s="280">
        <f>'Profits 2016'!K6646</f>
        <v>102</v>
      </c>
      <c r="E1433" s="276">
        <f>'Profits 2016'!L6646</f>
        <v>110</v>
      </c>
      <c r="F1433" s="275" t="str">
        <f>'Profits 2016'!P6646</f>
        <v xml:space="preserve">Allied </v>
      </c>
      <c r="G1433" s="292">
        <f>'Profits 2016'!N6646-'Profits 2016'!M6646</f>
        <v>55</v>
      </c>
      <c r="H1433" s="331">
        <v>0</v>
      </c>
      <c r="I1433" s="332">
        <v>355887</v>
      </c>
      <c r="J1433" s="333">
        <v>42675</v>
      </c>
      <c r="K1433" s="333">
        <v>42681</v>
      </c>
      <c r="L1433" s="333">
        <v>42697</v>
      </c>
      <c r="M1433" s="331">
        <v>55</v>
      </c>
      <c r="N1433" s="334">
        <v>9463</v>
      </c>
      <c r="O1433" s="236" t="str">
        <f>'Profits 2016'!T6646</f>
        <v>FEDEX GROUND</v>
      </c>
      <c r="P1433" s="284" t="str">
        <f>'Profits 2016'!U6646</f>
        <v>705501238011</v>
      </c>
      <c r="Q1433" s="284" t="s">
        <v>314</v>
      </c>
      <c r="R1433" s="276">
        <v>11.47</v>
      </c>
      <c r="S1433" s="275" t="s">
        <v>15907</v>
      </c>
      <c r="T1433" s="279">
        <v>42688</v>
      </c>
      <c r="U1433" s="279">
        <v>42691</v>
      </c>
      <c r="V1433" s="279">
        <v>42697</v>
      </c>
      <c r="W1433" s="293">
        <v>11.47</v>
      </c>
      <c r="X1433" s="236">
        <v>9494</v>
      </c>
      <c r="AF1433" s="276">
        <f t="shared" si="175"/>
        <v>66.47</v>
      </c>
      <c r="AG1433" s="276">
        <f t="shared" si="176"/>
        <v>66.47</v>
      </c>
      <c r="AH1433" s="276">
        <f t="shared" si="177"/>
        <v>35.53</v>
      </c>
      <c r="AI1433" s="283">
        <f t="shared" si="178"/>
        <v>0.53452685421994883</v>
      </c>
    </row>
    <row r="1434" spans="1:35" ht="30" x14ac:dyDescent="0.25">
      <c r="A1434" s="275">
        <f>'Profits 2016'!A6647</f>
        <v>3005214</v>
      </c>
      <c r="B1434" s="279">
        <f>'Profits 2016'!B6647</f>
        <v>42670</v>
      </c>
      <c r="C1434" s="276">
        <f>'Profits 2016'!H6647</f>
        <v>120</v>
      </c>
      <c r="D1434" s="280">
        <f>'Profits 2016'!K6647</f>
        <v>102</v>
      </c>
      <c r="E1434" s="276">
        <f>'Profits 2016'!L6647</f>
        <v>500</v>
      </c>
      <c r="F1434" s="275" t="str">
        <f>'Profits 2016'!P6647</f>
        <v>Priority</v>
      </c>
      <c r="G1434" s="292">
        <f>'Profits 2016'!N6647-'Profits 2016'!M6647</f>
        <v>37.5</v>
      </c>
      <c r="H1434" s="331">
        <v>0</v>
      </c>
      <c r="I1434" s="332">
        <v>1071385</v>
      </c>
      <c r="J1434" s="333">
        <v>42671</v>
      </c>
      <c r="K1434" s="333">
        <v>42681</v>
      </c>
      <c r="L1434" s="333">
        <v>42697</v>
      </c>
      <c r="M1434" s="331">
        <v>37.5</v>
      </c>
      <c r="N1434" s="334">
        <v>9476</v>
      </c>
      <c r="O1434" s="236" t="str">
        <f>'Profits 2016'!T6647</f>
        <v>FEDEX GROUND</v>
      </c>
      <c r="P1434" s="284" t="str">
        <f>'Profits 2016'!U6647</f>
        <v xml:space="preserve">	711201624090</v>
      </c>
      <c r="Q1434" s="284" t="s">
        <v>15740</v>
      </c>
      <c r="R1434" s="276">
        <v>17.079999999999998</v>
      </c>
      <c r="S1434" s="275">
        <v>1071385</v>
      </c>
      <c r="T1434" s="279">
        <v>42671</v>
      </c>
      <c r="U1434" s="279">
        <v>42681</v>
      </c>
      <c r="V1434" s="279">
        <v>42697</v>
      </c>
      <c r="W1434" s="293">
        <v>17.079999999999998</v>
      </c>
      <c r="X1434" s="236">
        <v>9476</v>
      </c>
      <c r="AF1434" s="276">
        <f t="shared" si="175"/>
        <v>54.58</v>
      </c>
      <c r="AG1434" s="276">
        <f t="shared" si="176"/>
        <v>54.58</v>
      </c>
      <c r="AH1434" s="276">
        <f t="shared" si="177"/>
        <v>47.42</v>
      </c>
      <c r="AI1434" s="283">
        <f t="shared" si="178"/>
        <v>0.86881641626969597</v>
      </c>
    </row>
    <row r="1435" spans="1:35" ht="30" x14ac:dyDescent="0.25">
      <c r="A1435" s="275">
        <f>'Profits 2016'!A6648</f>
        <v>3005215</v>
      </c>
      <c r="B1435" s="279">
        <f>'Profits 2016'!B6648</f>
        <v>42670</v>
      </c>
      <c r="C1435" s="276">
        <f>'Profits 2016'!H6648</f>
        <v>99</v>
      </c>
      <c r="D1435" s="280">
        <f>'Profits 2016'!K6648</f>
        <v>87.909000000000006</v>
      </c>
      <c r="E1435" s="276">
        <f>'Profits 2016'!L6648</f>
        <v>900</v>
      </c>
      <c r="F1435" s="275" t="str">
        <f>'Profits 2016'!P6648</f>
        <v>Nassau</v>
      </c>
      <c r="G1435" s="292">
        <f>'Profits 2016'!N6648-'Profits 2016'!M6648</f>
        <v>45</v>
      </c>
      <c r="H1435" s="319"/>
      <c r="I1435" s="320"/>
      <c r="J1435" s="321"/>
      <c r="K1435" s="321"/>
      <c r="L1435" s="321"/>
      <c r="M1435" s="319"/>
      <c r="N1435" s="322"/>
      <c r="O1435" s="236" t="str">
        <f>'Profits 2016'!T6648</f>
        <v>FEDEX GROUND</v>
      </c>
      <c r="P1435" s="284" t="str">
        <f>'Profits 2016'!U6648</f>
        <v>665645047666</v>
      </c>
      <c r="Q1435" s="284" t="s">
        <v>314</v>
      </c>
      <c r="R1435" s="276">
        <v>15.88</v>
      </c>
      <c r="S1435" s="275" t="s">
        <v>15869</v>
      </c>
      <c r="T1435" s="279">
        <v>42681</v>
      </c>
      <c r="U1435" s="279">
        <v>42688</v>
      </c>
      <c r="V1435" s="279">
        <v>42692</v>
      </c>
      <c r="W1435" s="293">
        <f>R1435</f>
        <v>15.88</v>
      </c>
      <c r="X1435" s="236">
        <v>9444</v>
      </c>
      <c r="AF1435" s="276">
        <f t="shared" si="175"/>
        <v>60.88</v>
      </c>
      <c r="AG1435" s="276">
        <f t="shared" si="176"/>
        <v>15.88</v>
      </c>
      <c r="AH1435" s="276">
        <f t="shared" si="177"/>
        <v>72.029000000000011</v>
      </c>
      <c r="AI1435" s="283">
        <f t="shared" si="178"/>
        <v>1.1831307490144547</v>
      </c>
    </row>
    <row r="1436" spans="1:35" ht="30" x14ac:dyDescent="0.25">
      <c r="A1436" s="275">
        <f>'Profits 2016'!A6649</f>
        <v>3005216</v>
      </c>
      <c r="B1436" s="279">
        <f>'Profits 2016'!B6649</f>
        <v>42670</v>
      </c>
      <c r="C1436" s="276">
        <f>'Profits 2016'!H6649</f>
        <v>122.14</v>
      </c>
      <c r="D1436" s="280">
        <f>'Profits 2016'!K6649</f>
        <v>108.52674</v>
      </c>
      <c r="E1436" s="276">
        <f>'Profits 2016'!L6649</f>
        <v>431</v>
      </c>
      <c r="F1436" s="275" t="str">
        <f>'Profits 2016'!P6649</f>
        <v>Nassau</v>
      </c>
      <c r="G1436" s="292">
        <f>'Profits 2016'!N6649-'Profits 2016'!M6649</f>
        <v>43.1</v>
      </c>
      <c r="H1436" s="319"/>
      <c r="I1436" s="320"/>
      <c r="J1436" s="321"/>
      <c r="K1436" s="321"/>
      <c r="L1436" s="321"/>
      <c r="M1436" s="319"/>
      <c r="N1436" s="322"/>
      <c r="O1436" s="236" t="str">
        <f>'Profits 2016'!T6649</f>
        <v>FEDEX GROUND</v>
      </c>
      <c r="P1436" s="284" t="str">
        <f>'Profits 2016'!U6649</f>
        <v>665645047633</v>
      </c>
      <c r="Q1436" s="284" t="s">
        <v>314</v>
      </c>
      <c r="R1436" s="276">
        <v>24.06</v>
      </c>
      <c r="S1436" s="275" t="s">
        <v>15907</v>
      </c>
      <c r="T1436" s="279">
        <v>42688</v>
      </c>
      <c r="U1436" s="279">
        <v>42691</v>
      </c>
      <c r="V1436" s="279">
        <v>42697</v>
      </c>
      <c r="W1436" s="293">
        <v>24.06</v>
      </c>
      <c r="X1436" s="236">
        <v>9494</v>
      </c>
      <c r="AF1436" s="276">
        <f t="shared" si="175"/>
        <v>67.16</v>
      </c>
      <c r="AG1436" s="276">
        <f t="shared" si="176"/>
        <v>24.06</v>
      </c>
      <c r="AH1436" s="276">
        <f t="shared" si="177"/>
        <v>84.466740000000001</v>
      </c>
      <c r="AI1436" s="283">
        <f t="shared" si="178"/>
        <v>1.2576941631923766</v>
      </c>
    </row>
    <row r="1437" spans="1:35" ht="30" x14ac:dyDescent="0.25">
      <c r="A1437" s="275">
        <f>'Profits 2016'!A6650</f>
        <v>3005217</v>
      </c>
      <c r="B1437" s="279">
        <f>'Profits 2016'!B6650</f>
        <v>42670</v>
      </c>
      <c r="C1437" s="276">
        <f>'Profits 2016'!H6650</f>
        <v>140</v>
      </c>
      <c r="D1437" s="280">
        <f>'Profits 2016'!K6650</f>
        <v>119</v>
      </c>
      <c r="E1437" s="276">
        <f>'Profits 2016'!L6650</f>
        <v>424</v>
      </c>
      <c r="F1437" s="275" t="str">
        <f>'Profits 2016'!P6650</f>
        <v>Nassau</v>
      </c>
      <c r="G1437" s="292">
        <f>'Profits 2016'!N6650-'Profits 2016'!M6650</f>
        <v>74.199999999999989</v>
      </c>
      <c r="H1437" s="319"/>
      <c r="I1437" s="320"/>
      <c r="J1437" s="321"/>
      <c r="K1437" s="321"/>
      <c r="L1437" s="321"/>
      <c r="M1437" s="319"/>
      <c r="N1437" s="322"/>
      <c r="O1437" s="236" t="str">
        <f>'Profits 2016'!T6650</f>
        <v>FEDEX GROUND</v>
      </c>
      <c r="P1437" s="284" t="str">
        <f>'Profits 2016'!U6650</f>
        <v>665645047677</v>
      </c>
      <c r="Q1437" s="284" t="s">
        <v>314</v>
      </c>
      <c r="R1437" s="276">
        <v>37.24</v>
      </c>
      <c r="S1437" s="275" t="s">
        <v>15907</v>
      </c>
      <c r="T1437" s="279">
        <v>42688</v>
      </c>
      <c r="U1437" s="279">
        <v>42691</v>
      </c>
      <c r="V1437" s="279">
        <v>42697</v>
      </c>
      <c r="W1437" s="293">
        <v>37.24</v>
      </c>
      <c r="X1437" s="236">
        <v>9494</v>
      </c>
      <c r="AF1437" s="276">
        <f t="shared" si="175"/>
        <v>111.44</v>
      </c>
      <c r="AG1437" s="276">
        <f t="shared" si="176"/>
        <v>37.24</v>
      </c>
      <c r="AH1437" s="276">
        <f t="shared" si="177"/>
        <v>81.759999999999991</v>
      </c>
      <c r="AI1437" s="283">
        <f t="shared" si="178"/>
        <v>0.73366834170854267</v>
      </c>
    </row>
    <row r="1438" spans="1:35" ht="30" x14ac:dyDescent="0.25">
      <c r="A1438" s="275">
        <f>'Profits 2016'!A6651</f>
        <v>3005218</v>
      </c>
      <c r="B1438" s="279">
        <f>'Profits 2016'!B6651</f>
        <v>42670</v>
      </c>
      <c r="C1438" s="276">
        <f>'Profits 2016'!H6651</f>
        <v>120.78</v>
      </c>
      <c r="D1438" s="280">
        <f>'Profits 2016'!K6651</f>
        <v>102.663</v>
      </c>
      <c r="E1438" s="276">
        <f>'Profits 2016'!L6651</f>
        <v>1450</v>
      </c>
      <c r="F1438" s="275">
        <f>'Profits 2016'!Q6651</f>
        <v>0</v>
      </c>
      <c r="G1438" s="292">
        <f>'Profits 2016'!N6651-'Profits 2016'!M6651</f>
        <v>36.25</v>
      </c>
      <c r="H1438" s="331">
        <v>0</v>
      </c>
      <c r="I1438" s="332">
        <v>75483</v>
      </c>
      <c r="J1438" s="333">
        <v>42674</v>
      </c>
      <c r="K1438" s="333">
        <v>42681</v>
      </c>
      <c r="L1438" s="333"/>
      <c r="M1438" s="331"/>
      <c r="N1438" s="334"/>
      <c r="O1438" s="236" t="str">
        <f>'Profits 2016'!T6651</f>
        <v>FEDEX GROUND</v>
      </c>
      <c r="P1438" s="284" t="str">
        <f>'Profits 2016'!U6651</f>
        <v>639794970158</v>
      </c>
      <c r="Q1438" s="284" t="s">
        <v>314</v>
      </c>
      <c r="R1438" s="276">
        <v>21.02</v>
      </c>
      <c r="S1438" s="275" t="s">
        <v>15907</v>
      </c>
      <c r="T1438" s="279">
        <v>42688</v>
      </c>
      <c r="U1438" s="279">
        <v>42691</v>
      </c>
      <c r="V1438" s="279">
        <v>42697</v>
      </c>
      <c r="W1438" s="293">
        <v>21.02</v>
      </c>
      <c r="X1438" s="236">
        <v>9494</v>
      </c>
      <c r="AF1438" s="276">
        <f t="shared" si="175"/>
        <v>57.269999999999996</v>
      </c>
      <c r="AG1438" s="276">
        <f t="shared" si="176"/>
        <v>21.02</v>
      </c>
      <c r="AH1438" s="276">
        <f t="shared" si="177"/>
        <v>81.643000000000001</v>
      </c>
      <c r="AI1438" s="283">
        <f t="shared" si="178"/>
        <v>1.4255805832023749</v>
      </c>
    </row>
    <row r="1439" spans="1:35" x14ac:dyDescent="0.25">
      <c r="A1439" s="275">
        <f>'Profits 2016'!A6652</f>
        <v>0</v>
      </c>
      <c r="B1439" s="279">
        <f>'Profits 2016'!B6652</f>
        <v>0</v>
      </c>
      <c r="C1439" s="276">
        <f>'Profits 2016'!H6652</f>
        <v>0</v>
      </c>
      <c r="D1439" s="280">
        <f>'Profits 2016'!K6652</f>
        <v>0</v>
      </c>
      <c r="E1439" s="276">
        <f>'Profits 2016'!L6652</f>
        <v>1450</v>
      </c>
      <c r="F1439" s="275">
        <f>'Profits 2016'!Q6652</f>
        <v>0</v>
      </c>
      <c r="G1439" s="292">
        <f>'Profits 2016'!N6652-'Profits 2016'!M6652</f>
        <v>36.25</v>
      </c>
      <c r="H1439" s="331">
        <v>0</v>
      </c>
      <c r="I1439" s="332">
        <v>75483</v>
      </c>
      <c r="J1439" s="333">
        <v>42674</v>
      </c>
      <c r="K1439" s="333">
        <v>42681</v>
      </c>
      <c r="L1439" s="333"/>
      <c r="M1439" s="331"/>
      <c r="N1439" s="334"/>
      <c r="O1439" s="236">
        <f>'Profits 2016'!T6652</f>
        <v>0</v>
      </c>
      <c r="P1439" s="284">
        <f>'Profits 2016'!U6652</f>
        <v>0</v>
      </c>
      <c r="Q1439" s="284" t="s">
        <v>314</v>
      </c>
      <c r="R1439" s="276">
        <v>0</v>
      </c>
      <c r="S1439" s="275" t="s">
        <v>15907</v>
      </c>
      <c r="T1439" s="279">
        <v>42688</v>
      </c>
      <c r="U1439" s="279">
        <v>42691</v>
      </c>
      <c r="V1439" s="279">
        <v>42697</v>
      </c>
      <c r="W1439" s="293">
        <v>0</v>
      </c>
      <c r="X1439" s="236">
        <v>9494</v>
      </c>
      <c r="AF1439" s="276">
        <f t="shared" si="175"/>
        <v>36.25</v>
      </c>
      <c r="AG1439" s="276">
        <f t="shared" si="176"/>
        <v>0</v>
      </c>
      <c r="AH1439" s="276">
        <f t="shared" si="177"/>
        <v>0</v>
      </c>
      <c r="AI1439" s="283">
        <f t="shared" si="178"/>
        <v>0</v>
      </c>
    </row>
    <row r="1440" spans="1:35" ht="30" x14ac:dyDescent="0.25">
      <c r="A1440" s="275">
        <f>'Profits 2016'!A6653</f>
        <v>3005219</v>
      </c>
      <c r="B1440" s="279">
        <f>'Profits 2016'!B6653</f>
        <v>42670</v>
      </c>
      <c r="C1440" s="276">
        <f>'Profits 2016'!H6653</f>
        <v>166</v>
      </c>
      <c r="D1440" s="280">
        <f>'Profits 2016'!K6653</f>
        <v>162.54599999999999</v>
      </c>
      <c r="E1440" s="276">
        <f>'Profits 2016'!L6653</f>
        <v>1322</v>
      </c>
      <c r="F1440" s="275" t="str">
        <f>'Profits 2016'!P6653</f>
        <v>Nassau</v>
      </c>
      <c r="G1440" s="292">
        <f>'Profits 2016'!N6653-'Profits 2016'!M6653</f>
        <v>109.72599999999998</v>
      </c>
      <c r="H1440" s="319"/>
      <c r="I1440" s="320"/>
      <c r="J1440" s="321"/>
      <c r="K1440" s="321"/>
      <c r="L1440" s="321"/>
      <c r="M1440" s="319"/>
      <c r="N1440" s="322"/>
      <c r="O1440" s="236" t="str">
        <f>'Profits 2016'!T6653</f>
        <v>FEDEX GROUND</v>
      </c>
      <c r="P1440" s="284" t="str">
        <f>'Profits 2016'!U6653</f>
        <v>665645047725</v>
      </c>
      <c r="Q1440" s="284" t="s">
        <v>314</v>
      </c>
      <c r="R1440" s="276">
        <v>20.329999999999998</v>
      </c>
      <c r="S1440" s="275" t="s">
        <v>15907</v>
      </c>
      <c r="T1440" s="279">
        <v>42688</v>
      </c>
      <c r="U1440" s="279">
        <v>42691</v>
      </c>
      <c r="V1440" s="279">
        <v>42697</v>
      </c>
      <c r="W1440" s="293">
        <v>20.329999999999998</v>
      </c>
      <c r="X1440" s="236">
        <v>9494</v>
      </c>
      <c r="AF1440" s="276">
        <f t="shared" si="175"/>
        <v>130.05599999999998</v>
      </c>
      <c r="AG1440" s="276">
        <f t="shared" si="176"/>
        <v>20.329999999999998</v>
      </c>
      <c r="AH1440" s="276">
        <f t="shared" si="177"/>
        <v>142.21600000000001</v>
      </c>
      <c r="AI1440" s="283">
        <f t="shared" si="178"/>
        <v>1.09349818539706</v>
      </c>
    </row>
    <row r="1441" spans="1:35" ht="30" x14ac:dyDescent="0.25">
      <c r="A1441" s="275">
        <f>'Profits 2016'!A6654</f>
        <v>3005220</v>
      </c>
      <c r="B1441" s="279">
        <f>'Profits 2016'!B6654</f>
        <v>42670</v>
      </c>
      <c r="C1441" s="276">
        <f>'Profits 2016'!H6654</f>
        <v>202.73</v>
      </c>
      <c r="D1441" s="280">
        <f>'Profits 2016'!K6654</f>
        <v>172.32049999999998</v>
      </c>
      <c r="E1441" s="276">
        <f>'Profits 2016'!L6654</f>
        <v>409</v>
      </c>
      <c r="F1441" s="275" t="str">
        <f>'Profits 2016'!P6654</f>
        <v>Nassau</v>
      </c>
      <c r="G1441" s="292">
        <f>'Profits 2016'!N6654-'Profits 2016'!M6654</f>
        <v>102.25</v>
      </c>
      <c r="H1441" s="319"/>
      <c r="I1441" s="320"/>
      <c r="J1441" s="321"/>
      <c r="K1441" s="321"/>
      <c r="L1441" s="321"/>
      <c r="M1441" s="319"/>
      <c r="N1441" s="322"/>
      <c r="O1441" s="236" t="str">
        <f>'Profits 2016'!T6654</f>
        <v>FEDEX GROUND</v>
      </c>
      <c r="P1441" s="284" t="str">
        <f>'Profits 2016'!U6654</f>
        <v>665645047736</v>
      </c>
      <c r="Q1441" s="284" t="s">
        <v>314</v>
      </c>
      <c r="R1441" s="276">
        <v>21.42</v>
      </c>
      <c r="S1441" s="275" t="s">
        <v>15907</v>
      </c>
      <c r="T1441" s="279">
        <v>42688</v>
      </c>
      <c r="U1441" s="279">
        <v>42691</v>
      </c>
      <c r="V1441" s="279">
        <v>42697</v>
      </c>
      <c r="W1441" s="293">
        <v>21.42</v>
      </c>
      <c r="X1441" s="236">
        <v>9494</v>
      </c>
      <c r="AF1441" s="276">
        <f t="shared" si="175"/>
        <v>123.67</v>
      </c>
      <c r="AG1441" s="276">
        <f t="shared" si="176"/>
        <v>21.42</v>
      </c>
      <c r="AH1441" s="276">
        <f t="shared" si="177"/>
        <v>150.90049999999997</v>
      </c>
      <c r="AI1441" s="283">
        <f t="shared" si="178"/>
        <v>1.2201867874181287</v>
      </c>
    </row>
    <row r="1442" spans="1:35" x14ac:dyDescent="0.25">
      <c r="A1442" s="275">
        <f>'Profits 2016'!A6655</f>
        <v>3005221</v>
      </c>
      <c r="B1442" s="279">
        <f>'Profits 2016'!B6655</f>
        <v>42670</v>
      </c>
      <c r="C1442" s="276">
        <f>'Profits 2016'!H6655</f>
        <v>3240</v>
      </c>
      <c r="D1442" s="280">
        <f>'Profits 2016'!K6655</f>
        <v>3134.4</v>
      </c>
      <c r="E1442" s="276">
        <f>'Profits 2016'!L6655</f>
        <v>114</v>
      </c>
      <c r="F1442" s="275" t="str">
        <f>'Profits 2016'!P6655</f>
        <v>Tucker</v>
      </c>
      <c r="G1442" s="292">
        <f>'Profits 2016'!N6655-'Profits 2016'!M6655</f>
        <v>570</v>
      </c>
      <c r="H1442" s="331">
        <v>0</v>
      </c>
      <c r="I1442" s="332">
        <v>40362</v>
      </c>
      <c r="J1442" s="333">
        <v>42675</v>
      </c>
      <c r="K1442" s="333">
        <v>42676</v>
      </c>
      <c r="L1442" s="333"/>
      <c r="M1442" s="331"/>
      <c r="N1442" s="334"/>
      <c r="O1442" s="236" t="str">
        <f>'Profits 2016'!T6655</f>
        <v>n/A</v>
      </c>
      <c r="P1442" s="284" t="str">
        <f>'Profits 2016'!U6655</f>
        <v>n/A</v>
      </c>
      <c r="Q1442" s="284" t="s">
        <v>15912</v>
      </c>
      <c r="R1442" s="276">
        <v>200</v>
      </c>
      <c r="S1442" s="275">
        <v>40362</v>
      </c>
      <c r="T1442" s="279">
        <v>42675</v>
      </c>
      <c r="U1442" s="279">
        <v>42676</v>
      </c>
      <c r="AF1442" s="276">
        <f t="shared" si="175"/>
        <v>770</v>
      </c>
      <c r="AG1442" s="276">
        <f t="shared" si="176"/>
        <v>200</v>
      </c>
      <c r="AH1442" s="276">
        <f t="shared" si="177"/>
        <v>2934.4</v>
      </c>
      <c r="AI1442" s="283">
        <f t="shared" si="178"/>
        <v>3.810909090909091</v>
      </c>
    </row>
    <row r="1443" spans="1:35" x14ac:dyDescent="0.25">
      <c r="A1443" s="275">
        <f>'Profits 2016'!A6656</f>
        <v>0</v>
      </c>
      <c r="B1443" s="279">
        <f>'Profits 2016'!B6656</f>
        <v>0</v>
      </c>
      <c r="C1443" s="276">
        <f>'Profits 2016'!H6656</f>
        <v>0</v>
      </c>
      <c r="D1443" s="280">
        <f>'Profits 2016'!K6656</f>
        <v>0</v>
      </c>
      <c r="E1443" s="276">
        <f>'Profits 2016'!L6656</f>
        <v>114</v>
      </c>
      <c r="F1443" s="275" t="str">
        <f>'Profits 2016'!P6656</f>
        <v>Tucker</v>
      </c>
      <c r="G1443" s="292">
        <f>'Profits 2016'!N6656-'Profits 2016'!M6656</f>
        <v>570</v>
      </c>
      <c r="H1443" s="331">
        <v>0</v>
      </c>
      <c r="I1443" s="332">
        <v>40362</v>
      </c>
      <c r="J1443" s="333">
        <v>42675</v>
      </c>
      <c r="K1443" s="333">
        <v>42676</v>
      </c>
      <c r="L1443" s="333"/>
      <c r="M1443" s="331"/>
      <c r="N1443" s="334"/>
      <c r="O1443" s="236">
        <f>'Profits 2016'!T6656</f>
        <v>0</v>
      </c>
      <c r="P1443" s="284">
        <f>'Profits 2016'!U6656</f>
        <v>0</v>
      </c>
      <c r="Q1443" s="284" t="s">
        <v>15912</v>
      </c>
      <c r="R1443" s="276">
        <v>0</v>
      </c>
      <c r="S1443" s="275">
        <v>40362</v>
      </c>
      <c r="T1443" s="279">
        <v>42675</v>
      </c>
      <c r="U1443" s="279">
        <v>42676</v>
      </c>
      <c r="AF1443" s="276">
        <f t="shared" si="175"/>
        <v>570</v>
      </c>
      <c r="AG1443" s="276">
        <f t="shared" si="176"/>
        <v>0</v>
      </c>
      <c r="AH1443" s="276">
        <f t="shared" si="177"/>
        <v>0</v>
      </c>
      <c r="AI1443" s="283">
        <f t="shared" si="178"/>
        <v>0</v>
      </c>
    </row>
    <row r="1444" spans="1:35" x14ac:dyDescent="0.25">
      <c r="A1444" s="275">
        <f>'Profits 2016'!A6657</f>
        <v>0</v>
      </c>
      <c r="B1444" s="279">
        <f>'Profits 2016'!B6657</f>
        <v>0</v>
      </c>
      <c r="C1444" s="276">
        <f>'Profits 2016'!H6657</f>
        <v>0</v>
      </c>
      <c r="D1444" s="280">
        <f>'Profits 2016'!K6657</f>
        <v>0</v>
      </c>
      <c r="E1444" s="276">
        <f>'Profits 2016'!L6657</f>
        <v>114</v>
      </c>
      <c r="F1444" s="275" t="str">
        <f>'Profits 2016'!P6657</f>
        <v>Tucker</v>
      </c>
      <c r="G1444" s="292">
        <f>'Profits 2016'!N6657-'Profits 2016'!M6657</f>
        <v>456</v>
      </c>
      <c r="H1444" s="331">
        <v>0</v>
      </c>
      <c r="I1444" s="332">
        <v>40362</v>
      </c>
      <c r="J1444" s="333">
        <v>42675</v>
      </c>
      <c r="K1444" s="333">
        <v>42676</v>
      </c>
      <c r="L1444" s="333"/>
      <c r="M1444" s="331"/>
      <c r="N1444" s="334"/>
      <c r="O1444" s="236">
        <f>'Profits 2016'!T6657</f>
        <v>0</v>
      </c>
      <c r="P1444" s="284">
        <f>'Profits 2016'!U6657</f>
        <v>0</v>
      </c>
      <c r="Q1444" s="284" t="s">
        <v>15912</v>
      </c>
      <c r="R1444" s="276">
        <v>0</v>
      </c>
      <c r="S1444" s="275">
        <v>40362</v>
      </c>
      <c r="T1444" s="279">
        <v>42675</v>
      </c>
      <c r="U1444" s="279">
        <v>42676</v>
      </c>
      <c r="AF1444" s="276">
        <f t="shared" si="175"/>
        <v>456</v>
      </c>
      <c r="AG1444" s="276">
        <f t="shared" si="176"/>
        <v>0</v>
      </c>
      <c r="AH1444" s="276">
        <f t="shared" si="177"/>
        <v>0</v>
      </c>
      <c r="AI1444" s="283">
        <f t="shared" si="178"/>
        <v>0</v>
      </c>
    </row>
    <row r="1445" spans="1:35" x14ac:dyDescent="0.25">
      <c r="A1445" s="275">
        <f>'Profits 2016'!A6658</f>
        <v>0</v>
      </c>
      <c r="B1445" s="279">
        <f>'Profits 2016'!B6658</f>
        <v>0</v>
      </c>
      <c r="C1445" s="276">
        <f>'Profits 2016'!H6658</f>
        <v>0</v>
      </c>
      <c r="D1445" s="280">
        <f>'Profits 2016'!K6658</f>
        <v>0</v>
      </c>
      <c r="E1445" s="276">
        <f>'Profits 2016'!L6658</f>
        <v>114</v>
      </c>
      <c r="F1445" s="275" t="str">
        <f>'Profits 2016'!P6658</f>
        <v>Tucker</v>
      </c>
      <c r="G1445" s="292">
        <f>'Profits 2016'!N6658-'Profits 2016'!M6658</f>
        <v>285</v>
      </c>
      <c r="H1445" s="331">
        <v>0</v>
      </c>
      <c r="I1445" s="332">
        <v>40362</v>
      </c>
      <c r="J1445" s="333">
        <v>42675</v>
      </c>
      <c r="K1445" s="333">
        <v>42676</v>
      </c>
      <c r="L1445" s="333"/>
      <c r="M1445" s="331"/>
      <c r="N1445" s="334"/>
      <c r="O1445" s="236">
        <f>'Profits 2016'!T6658</f>
        <v>0</v>
      </c>
      <c r="P1445" s="284">
        <f>'Profits 2016'!U6658</f>
        <v>0</v>
      </c>
      <c r="Q1445" s="284" t="s">
        <v>15912</v>
      </c>
      <c r="R1445" s="276">
        <v>0</v>
      </c>
      <c r="S1445" s="275">
        <v>40362</v>
      </c>
      <c r="T1445" s="279">
        <v>42675</v>
      </c>
      <c r="U1445" s="279">
        <v>42676</v>
      </c>
      <c r="AF1445" s="276">
        <f t="shared" si="175"/>
        <v>285</v>
      </c>
      <c r="AG1445" s="276">
        <f t="shared" si="176"/>
        <v>0</v>
      </c>
      <c r="AH1445" s="276">
        <f t="shared" si="177"/>
        <v>0</v>
      </c>
      <c r="AI1445" s="283">
        <f t="shared" si="178"/>
        <v>0</v>
      </c>
    </row>
    <row r="1446" spans="1:35" x14ac:dyDescent="0.25">
      <c r="A1446" s="275">
        <f>'Profits 2016'!A6659</f>
        <v>0</v>
      </c>
      <c r="B1446" s="279">
        <f>'Profits 2016'!B6659</f>
        <v>0</v>
      </c>
      <c r="C1446" s="276">
        <f>'Profits 2016'!H6659</f>
        <v>0</v>
      </c>
      <c r="D1446" s="280">
        <f>'Profits 2016'!K6659</f>
        <v>0</v>
      </c>
      <c r="E1446" s="276">
        <f>'Profits 2016'!L6659</f>
        <v>114</v>
      </c>
      <c r="F1446" s="275" t="str">
        <f>'Profits 2016'!P6659</f>
        <v>Tucker</v>
      </c>
      <c r="G1446" s="292">
        <f>'Profits 2016'!N6659-'Profits 2016'!M6659</f>
        <v>855</v>
      </c>
      <c r="H1446" s="331">
        <v>0</v>
      </c>
      <c r="I1446" s="332">
        <v>40362</v>
      </c>
      <c r="J1446" s="333">
        <v>42675</v>
      </c>
      <c r="K1446" s="333">
        <v>42676</v>
      </c>
      <c r="L1446" s="333"/>
      <c r="M1446" s="331"/>
      <c r="N1446" s="334"/>
      <c r="O1446" s="236">
        <f>'Profits 2016'!T6659</f>
        <v>0</v>
      </c>
      <c r="P1446" s="284">
        <f>'Profits 2016'!U6659</f>
        <v>0</v>
      </c>
      <c r="Q1446" s="284" t="s">
        <v>15912</v>
      </c>
      <c r="R1446" s="276">
        <v>0</v>
      </c>
      <c r="S1446" s="275">
        <v>40362</v>
      </c>
      <c r="T1446" s="279">
        <v>42675</v>
      </c>
      <c r="U1446" s="279">
        <v>42676</v>
      </c>
      <c r="AF1446" s="276">
        <f t="shared" si="175"/>
        <v>855</v>
      </c>
      <c r="AG1446" s="276">
        <f t="shared" si="176"/>
        <v>0</v>
      </c>
      <c r="AH1446" s="276">
        <f t="shared" si="177"/>
        <v>0</v>
      </c>
      <c r="AI1446" s="283">
        <f t="shared" si="178"/>
        <v>0</v>
      </c>
    </row>
    <row r="1447" spans="1:35" x14ac:dyDescent="0.25">
      <c r="A1447" s="275">
        <f>'Profits 2016'!A6660</f>
        <v>3005222</v>
      </c>
      <c r="B1447" s="279">
        <f>'Profits 2016'!B6660</f>
        <v>42671</v>
      </c>
      <c r="C1447" s="276">
        <f>'Profits 2016'!H6660</f>
        <v>800</v>
      </c>
      <c r="D1447" s="280">
        <f>'Profits 2016'!K6660</f>
        <v>712.5</v>
      </c>
      <c r="E1447" s="276">
        <f>'Profits 2016'!L6660</f>
        <v>1540</v>
      </c>
      <c r="F1447" s="275" t="str">
        <f>'Profits 2016'!P6660</f>
        <v>Nassau</v>
      </c>
      <c r="G1447" s="292">
        <f>'Profits 2016'!N6660-'Profits 2016'!M6660</f>
        <v>461.99999999999994</v>
      </c>
      <c r="H1447" s="319"/>
      <c r="I1447" s="320"/>
      <c r="J1447" s="321"/>
      <c r="K1447" s="321"/>
      <c r="L1447" s="321"/>
      <c r="M1447" s="319"/>
      <c r="N1447" s="322"/>
      <c r="O1447" s="236" t="str">
        <f>'Profits 2016'!T6660</f>
        <v>R&amp;L/ECHO</v>
      </c>
      <c r="P1447" s="284" t="str">
        <f>'Profits 2016'!U6660</f>
        <v>73050685-2</v>
      </c>
      <c r="AF1447" s="276">
        <f t="shared" si="175"/>
        <v>461.99999999999994</v>
      </c>
      <c r="AG1447" s="276">
        <f t="shared" si="176"/>
        <v>0</v>
      </c>
      <c r="AH1447" s="276">
        <f t="shared" si="177"/>
        <v>712.5</v>
      </c>
      <c r="AI1447" s="283">
        <f t="shared" si="178"/>
        <v>1.5422077922077924</v>
      </c>
    </row>
    <row r="1448" spans="1:35" ht="30" x14ac:dyDescent="0.25">
      <c r="A1448" s="275">
        <f>'Profits 2016'!A6661</f>
        <v>3005223</v>
      </c>
      <c r="B1448" s="279">
        <f>'Profits 2016'!B6661</f>
        <v>42671</v>
      </c>
      <c r="C1448" s="276">
        <f>'Profits 2016'!H6661</f>
        <v>116.23</v>
      </c>
      <c r="D1448" s="280">
        <f>'Profits 2016'!K6661</f>
        <v>98.795500000000004</v>
      </c>
      <c r="E1448" s="276">
        <f>'Profits 2016'!L6661</f>
        <v>950</v>
      </c>
      <c r="F1448" s="275" t="str">
        <f>'Profits 2016'!P6661</f>
        <v>Nassau</v>
      </c>
      <c r="G1448" s="292">
        <f>'Profits 2016'!N6661-'Profits 2016'!M6661</f>
        <v>47.5</v>
      </c>
      <c r="H1448" s="319"/>
      <c r="I1448" s="320"/>
      <c r="J1448" s="321"/>
      <c r="K1448" s="321"/>
      <c r="L1448" s="321"/>
      <c r="M1448" s="319"/>
      <c r="N1448" s="322"/>
      <c r="O1448" s="236" t="str">
        <f>'Profits 2016'!T6661</f>
        <v>FEDEX GROUND</v>
      </c>
      <c r="P1448" s="284" t="str">
        <f>'Profits 2016'!U6661</f>
        <v>665645047747</v>
      </c>
      <c r="Q1448" s="284" t="s">
        <v>314</v>
      </c>
      <c r="R1448" s="276">
        <v>30.33</v>
      </c>
      <c r="S1448" s="275" t="s">
        <v>15907</v>
      </c>
      <c r="T1448" s="279">
        <v>42688</v>
      </c>
      <c r="U1448" s="279">
        <v>42691</v>
      </c>
      <c r="V1448" s="279">
        <v>42697</v>
      </c>
      <c r="W1448" s="293">
        <v>30.33</v>
      </c>
      <c r="X1448" s="236">
        <v>9494</v>
      </c>
      <c r="AF1448" s="276">
        <f t="shared" si="175"/>
        <v>77.83</v>
      </c>
      <c r="AG1448" s="276">
        <f t="shared" si="176"/>
        <v>30.33</v>
      </c>
      <c r="AH1448" s="276">
        <f t="shared" si="177"/>
        <v>68.465500000000006</v>
      </c>
      <c r="AI1448" s="283">
        <f t="shared" si="178"/>
        <v>0.87968007195168962</v>
      </c>
    </row>
    <row r="1449" spans="1:35" ht="30" x14ac:dyDescent="0.25">
      <c r="A1449" s="275">
        <f>'Profits 2016'!A6662</f>
        <v>3005224</v>
      </c>
      <c r="B1449" s="279">
        <f>'Profits 2016'!B6662</f>
        <v>42671</v>
      </c>
      <c r="C1449" s="276">
        <f>'Profits 2016'!H6662</f>
        <v>120.78</v>
      </c>
      <c r="D1449" s="280">
        <f>'Profits 2016'!K6662</f>
        <v>102.663</v>
      </c>
      <c r="E1449" s="276">
        <f>'Profits 2016'!L6662</f>
        <v>1450</v>
      </c>
      <c r="F1449" s="275" t="str">
        <f>'Profits 2016'!P6662</f>
        <v>Direct</v>
      </c>
      <c r="G1449" s="292">
        <f>'Profits 2016'!N6662-'Profits 2016'!M6662</f>
        <v>36.25</v>
      </c>
      <c r="H1449" s="331">
        <v>0</v>
      </c>
      <c r="I1449" s="332">
        <v>75480</v>
      </c>
      <c r="J1449" s="333">
        <v>42674</v>
      </c>
      <c r="K1449" s="333">
        <v>42681</v>
      </c>
      <c r="L1449" s="333">
        <v>42685</v>
      </c>
      <c r="M1449" s="331">
        <f>72.5*0.98</f>
        <v>71.05</v>
      </c>
      <c r="N1449" s="334">
        <v>9390</v>
      </c>
      <c r="O1449" s="236" t="str">
        <f>'Profits 2016'!T6662</f>
        <v>FEDEX GROUND</v>
      </c>
      <c r="P1449" s="284" t="str">
        <f>'Profits 2016'!U6662</f>
        <v>630512245567</v>
      </c>
      <c r="Q1449" s="284" t="s">
        <v>314</v>
      </c>
      <c r="R1449" s="276">
        <v>10.210000000000001</v>
      </c>
      <c r="S1449" s="275" t="s">
        <v>15907</v>
      </c>
      <c r="T1449" s="279">
        <v>42688</v>
      </c>
      <c r="U1449" s="279">
        <v>42691</v>
      </c>
      <c r="V1449" s="279">
        <v>42697</v>
      </c>
      <c r="W1449" s="293">
        <v>10.210000000000001</v>
      </c>
      <c r="X1449" s="236">
        <v>9494</v>
      </c>
      <c r="AF1449" s="276">
        <f t="shared" si="175"/>
        <v>46.46</v>
      </c>
      <c r="AG1449" s="276">
        <f t="shared" si="176"/>
        <v>81.259999999999991</v>
      </c>
      <c r="AH1449" s="276">
        <f t="shared" si="177"/>
        <v>21.403000000000006</v>
      </c>
      <c r="AI1449" s="283">
        <f t="shared" si="178"/>
        <v>0.46067585019371515</v>
      </c>
    </row>
    <row r="1450" spans="1:35" x14ac:dyDescent="0.25">
      <c r="A1450" s="275">
        <f>'Profits 2016'!A6663</f>
        <v>0</v>
      </c>
      <c r="B1450" s="279">
        <f>'Profits 2016'!B6663</f>
        <v>0</v>
      </c>
      <c r="C1450" s="276">
        <f>'Profits 2016'!H6663</f>
        <v>0</v>
      </c>
      <c r="D1450" s="280">
        <f>'Profits 2016'!K6663</f>
        <v>0</v>
      </c>
      <c r="E1450" s="276">
        <f>'Profits 2016'!L6663</f>
        <v>1450</v>
      </c>
      <c r="F1450" s="275" t="str">
        <f>'Profits 2016'!P6663</f>
        <v>Direct</v>
      </c>
      <c r="G1450" s="292">
        <f>'Profits 2016'!N6663-'Profits 2016'!M6663</f>
        <v>36.25</v>
      </c>
      <c r="H1450" s="331">
        <v>0</v>
      </c>
      <c r="I1450" s="332">
        <v>75480</v>
      </c>
      <c r="J1450" s="333">
        <v>42674</v>
      </c>
      <c r="K1450" s="333">
        <v>42681</v>
      </c>
      <c r="L1450" s="333">
        <v>42685</v>
      </c>
      <c r="M1450" s="331">
        <v>0</v>
      </c>
      <c r="N1450" s="334">
        <v>9390</v>
      </c>
      <c r="O1450" s="236">
        <f>'Profits 2016'!T6663</f>
        <v>0</v>
      </c>
      <c r="P1450" s="284">
        <f>'Profits 2016'!U6663</f>
        <v>0</v>
      </c>
      <c r="Q1450" s="284" t="s">
        <v>314</v>
      </c>
      <c r="R1450" s="276">
        <v>0</v>
      </c>
      <c r="S1450" s="275" t="s">
        <v>15907</v>
      </c>
      <c r="T1450" s="279">
        <v>42688</v>
      </c>
      <c r="U1450" s="279">
        <v>42691</v>
      </c>
      <c r="V1450" s="279">
        <v>42697</v>
      </c>
      <c r="W1450" s="293">
        <v>0</v>
      </c>
      <c r="X1450" s="236">
        <v>9494</v>
      </c>
      <c r="AF1450" s="276">
        <f t="shared" si="175"/>
        <v>36.25</v>
      </c>
      <c r="AG1450" s="276">
        <f t="shared" si="176"/>
        <v>0</v>
      </c>
      <c r="AH1450" s="276">
        <f t="shared" si="177"/>
        <v>0</v>
      </c>
      <c r="AI1450" s="283">
        <f t="shared" si="178"/>
        <v>0</v>
      </c>
    </row>
    <row r="1451" spans="1:35" ht="30" x14ac:dyDescent="0.25">
      <c r="A1451" s="275">
        <f>'Profits 2016'!A6664</f>
        <v>3005225</v>
      </c>
      <c r="B1451" s="279">
        <f>'Profits 2016'!B6664</f>
        <v>42671</v>
      </c>
      <c r="C1451" s="276">
        <f>'Profits 2016'!H6664</f>
        <v>569.38</v>
      </c>
      <c r="D1451" s="280">
        <f>'Profits 2016'!K6664</f>
        <v>483.97300000000001</v>
      </c>
      <c r="E1451" s="276">
        <f>'Profits 2016'!L6664</f>
        <v>669</v>
      </c>
      <c r="F1451" s="275" t="str">
        <f>'Profits 2016'!P6664</f>
        <v>Wirexpres</v>
      </c>
      <c r="G1451" s="292">
        <f>'Profits 2016'!N6664-'Profits 2016'!M6664</f>
        <v>334.5</v>
      </c>
      <c r="H1451" s="331">
        <v>0</v>
      </c>
      <c r="I1451" s="332" t="s">
        <v>15913</v>
      </c>
      <c r="J1451" s="333">
        <v>42671</v>
      </c>
      <c r="K1451" s="333">
        <v>42681</v>
      </c>
      <c r="L1451" s="333">
        <v>42697</v>
      </c>
      <c r="M1451" s="331">
        <v>334.5</v>
      </c>
      <c r="N1451" s="334">
        <v>9483</v>
      </c>
      <c r="O1451" s="236" t="str">
        <f>'Profits 2016'!T6664</f>
        <v>FEDEX GROUND</v>
      </c>
      <c r="P1451" s="284" t="str">
        <f>'Profits 2016'!U6664</f>
        <v xml:space="preserve">022356386221167 </v>
      </c>
      <c r="Q1451" s="284" t="s">
        <v>314</v>
      </c>
      <c r="R1451" s="276">
        <v>10.85</v>
      </c>
      <c r="S1451" s="275" t="s">
        <v>15907</v>
      </c>
      <c r="T1451" s="279">
        <v>42688</v>
      </c>
      <c r="U1451" s="279">
        <v>42691</v>
      </c>
      <c r="V1451" s="279">
        <v>42697</v>
      </c>
      <c r="W1451" s="293">
        <v>10.85</v>
      </c>
      <c r="X1451" s="236">
        <v>9494</v>
      </c>
      <c r="AF1451" s="276">
        <f t="shared" si="175"/>
        <v>345.35</v>
      </c>
      <c r="AG1451" s="276">
        <f t="shared" si="176"/>
        <v>345.35</v>
      </c>
      <c r="AH1451" s="276">
        <f t="shared" si="177"/>
        <v>138.62299999999999</v>
      </c>
      <c r="AI1451" s="283">
        <f t="shared" si="178"/>
        <v>0.40139858114955834</v>
      </c>
    </row>
    <row r="1452" spans="1:35" ht="30" x14ac:dyDescent="0.25">
      <c r="A1452" s="275">
        <f>'Profits 2016'!A6665</f>
        <v>3005226</v>
      </c>
      <c r="B1452" s="279">
        <f>'Profits 2016'!B6665</f>
        <v>42671</v>
      </c>
      <c r="C1452" s="276">
        <f>'Profits 2016'!H6665</f>
        <v>104.72</v>
      </c>
      <c r="D1452" s="280">
        <f>'Profits 2016'!K6665</f>
        <v>89.012</v>
      </c>
      <c r="E1452" s="276">
        <f>'Profits 2016'!L6665</f>
        <v>0</v>
      </c>
      <c r="F1452" s="275" t="str">
        <f>'Profits 2016'!P6665</f>
        <v>Nassau</v>
      </c>
      <c r="G1452" s="292">
        <f>'Profits 2016'!N6665-'Profits 2016'!M6665</f>
        <v>0</v>
      </c>
      <c r="H1452" s="319"/>
      <c r="I1452" s="320"/>
      <c r="J1452" s="321"/>
      <c r="K1452" s="321"/>
      <c r="L1452" s="321"/>
      <c r="M1452" s="319"/>
      <c r="N1452" s="322"/>
      <c r="O1452" s="236" t="str">
        <f>'Profits 2016'!T6665</f>
        <v>FEDEX GROUND</v>
      </c>
      <c r="P1452" s="284" t="str">
        <f>'Profits 2016'!U6665</f>
        <v>702723291322</v>
      </c>
      <c r="Q1452" s="284" t="s">
        <v>314</v>
      </c>
      <c r="R1452" s="276">
        <v>33.89</v>
      </c>
      <c r="S1452" s="275" t="s">
        <v>15907</v>
      </c>
      <c r="T1452" s="279">
        <v>42688</v>
      </c>
      <c r="U1452" s="279">
        <v>42691</v>
      </c>
      <c r="V1452" s="279">
        <v>42697</v>
      </c>
      <c r="W1452" s="293">
        <v>33.89</v>
      </c>
      <c r="X1452" s="236">
        <v>9494</v>
      </c>
      <c r="AF1452" s="276">
        <f t="shared" si="175"/>
        <v>33.89</v>
      </c>
      <c r="AG1452" s="276">
        <f t="shared" si="176"/>
        <v>33.89</v>
      </c>
      <c r="AH1452" s="276">
        <f t="shared" si="177"/>
        <v>55.122</v>
      </c>
      <c r="AI1452" s="283">
        <f t="shared" si="178"/>
        <v>1.626497491885512</v>
      </c>
    </row>
    <row r="1453" spans="1:35" x14ac:dyDescent="0.25">
      <c r="A1453" s="275">
        <f>'Profits 2016'!A6666</f>
        <v>3005227</v>
      </c>
      <c r="B1453" s="279">
        <f>'Profits 2016'!B6666</f>
        <v>42671</v>
      </c>
      <c r="C1453" s="276">
        <f>'Profits 2016'!H6666</f>
        <v>611</v>
      </c>
      <c r="D1453" s="280">
        <f>'Profits 2016'!K6666</f>
        <v>597.25800000000004</v>
      </c>
      <c r="E1453" s="276">
        <f>'Profits 2016'!L6666</f>
        <v>1240</v>
      </c>
      <c r="F1453" s="275" t="str">
        <f>'Profits 2016'!P6666</f>
        <v>Nassau</v>
      </c>
      <c r="G1453" s="292">
        <f>'Profits 2016'!N6666-'Profits 2016'!M6666</f>
        <v>279</v>
      </c>
      <c r="H1453" s="319"/>
      <c r="I1453" s="320"/>
      <c r="J1453" s="321"/>
      <c r="K1453" s="321"/>
      <c r="L1453" s="321"/>
      <c r="M1453" s="319"/>
      <c r="N1453" s="322"/>
      <c r="O1453" s="236" t="str">
        <f>'Profits 2016'!T6666</f>
        <v>FEDEX/DLS</v>
      </c>
      <c r="P1453" s="284" t="str">
        <f>'Profits 2016'!U6666</f>
        <v>342365178-1</v>
      </c>
      <c r="Q1453" s="284" t="s">
        <v>15804</v>
      </c>
      <c r="R1453" s="276">
        <v>287.77</v>
      </c>
      <c r="S1453" s="275">
        <v>636929307</v>
      </c>
      <c r="T1453" s="279">
        <v>42681</v>
      </c>
      <c r="U1453" s="279">
        <v>42688</v>
      </c>
      <c r="V1453" s="279">
        <v>42692</v>
      </c>
      <c r="W1453" s="293">
        <v>187.77</v>
      </c>
      <c r="X1453" s="236">
        <v>9453</v>
      </c>
      <c r="AF1453" s="276">
        <f t="shared" si="175"/>
        <v>566.77</v>
      </c>
      <c r="AG1453" s="276">
        <f t="shared" si="176"/>
        <v>287.77</v>
      </c>
      <c r="AH1453" s="276">
        <f t="shared" si="177"/>
        <v>309.48800000000006</v>
      </c>
      <c r="AI1453" s="283">
        <f t="shared" si="178"/>
        <v>0.54605571925119545</v>
      </c>
    </row>
    <row r="1454" spans="1:35" ht="30" x14ac:dyDescent="0.25">
      <c r="A1454" s="275">
        <f>'Profits 2016'!A6667</f>
        <v>3005228</v>
      </c>
      <c r="B1454" s="279">
        <f>'Profits 2016'!B6667</f>
        <v>42671</v>
      </c>
      <c r="C1454" s="276">
        <f>'Profits 2016'!H6667</f>
        <v>305</v>
      </c>
      <c r="D1454" s="280">
        <f>'Profits 2016'!K6667</f>
        <v>297.99</v>
      </c>
      <c r="E1454" s="276">
        <f>'Profits 2016'!L6667</f>
        <v>1170</v>
      </c>
      <c r="F1454" s="275" t="str">
        <f>'Profits 2016'!P6667</f>
        <v>Nassau</v>
      </c>
      <c r="G1454" s="292">
        <f>'Profits 2016'!N6667-'Profits 2016'!M6667</f>
        <v>152.1</v>
      </c>
      <c r="H1454" s="319"/>
      <c r="I1454" s="320"/>
      <c r="J1454" s="321"/>
      <c r="K1454" s="321"/>
      <c r="L1454" s="321"/>
      <c r="M1454" s="319"/>
      <c r="N1454" s="322"/>
      <c r="O1454" s="236" t="str">
        <f>'Profits 2016'!T6667</f>
        <v>FEDEX GROUND</v>
      </c>
      <c r="P1454" s="284" t="str">
        <f>'Profits 2016'!U6667</f>
        <v>665645047714</v>
      </c>
      <c r="Q1454" s="284" t="s">
        <v>314</v>
      </c>
      <c r="R1454" s="276">
        <v>37</v>
      </c>
      <c r="S1454" s="275" t="s">
        <v>15907</v>
      </c>
      <c r="T1454" s="279">
        <v>42688</v>
      </c>
      <c r="U1454" s="279">
        <v>42691</v>
      </c>
      <c r="V1454" s="279">
        <v>42697</v>
      </c>
      <c r="W1454" s="293">
        <v>37</v>
      </c>
      <c r="X1454" s="236">
        <v>9494</v>
      </c>
      <c r="AF1454" s="276">
        <f t="shared" si="175"/>
        <v>189.1</v>
      </c>
      <c r="AG1454" s="276">
        <f t="shared" si="176"/>
        <v>37</v>
      </c>
      <c r="AH1454" s="276">
        <f t="shared" si="177"/>
        <v>260.99</v>
      </c>
      <c r="AI1454" s="283">
        <f t="shared" si="178"/>
        <v>1.3801692226335274</v>
      </c>
    </row>
    <row r="1455" spans="1:35" x14ac:dyDescent="0.25">
      <c r="A1455" s="275">
        <f>'Profits 2016'!A6668</f>
        <v>3005229</v>
      </c>
      <c r="B1455" s="279">
        <f>'Profits 2016'!B6668</f>
        <v>42671</v>
      </c>
      <c r="C1455" s="276">
        <f>'Profits 2016'!H6668</f>
        <v>3100</v>
      </c>
      <c r="D1455" s="280">
        <f>'Profits 2016'!K6668</f>
        <v>3040.8</v>
      </c>
      <c r="E1455" s="276">
        <f>'Profits 2016'!L6668</f>
        <v>2850</v>
      </c>
      <c r="F1455" s="275" t="str">
        <f>'Profits 2016'!P6668</f>
        <v>Direct</v>
      </c>
      <c r="G1455" s="292">
        <f>'Profits 2016'!N6668-'Profits 2016'!M6668</f>
        <v>1795.5</v>
      </c>
      <c r="H1455" s="331">
        <v>0</v>
      </c>
      <c r="I1455" s="332">
        <v>75751</v>
      </c>
      <c r="J1455" s="333">
        <v>42677</v>
      </c>
      <c r="K1455" s="333">
        <v>42695</v>
      </c>
      <c r="L1455" s="333">
        <v>42697</v>
      </c>
      <c r="M1455" s="331">
        <v>1759.59</v>
      </c>
      <c r="N1455" s="334">
        <v>9495</v>
      </c>
      <c r="O1455" s="236" t="str">
        <f>'Profits 2016'!T6668</f>
        <v>Pitt Ohio</v>
      </c>
      <c r="P1455" s="284">
        <f>'Profits 2016'!U6668</f>
        <v>5007243992</v>
      </c>
      <c r="AF1455" s="276">
        <f t="shared" si="175"/>
        <v>1795.5</v>
      </c>
      <c r="AG1455" s="276">
        <f t="shared" si="176"/>
        <v>1759.59</v>
      </c>
      <c r="AH1455" s="276">
        <f t="shared" si="177"/>
        <v>1281.2100000000003</v>
      </c>
      <c r="AI1455" s="283">
        <f t="shared" si="178"/>
        <v>0.71356725146198841</v>
      </c>
    </row>
    <row r="1456" spans="1:35" ht="30" x14ac:dyDescent="0.25">
      <c r="A1456" s="275">
        <f>'Profits 2016'!A6669</f>
        <v>3005230</v>
      </c>
      <c r="B1456" s="279">
        <f>'Profits 2016'!B6669</f>
        <v>42671</v>
      </c>
      <c r="C1456" s="276">
        <f>'Profits 2016'!H6669</f>
        <v>2520</v>
      </c>
      <c r="D1456" s="280">
        <f>'Profits 2016'!K6669</f>
        <v>2520</v>
      </c>
      <c r="E1456" s="276">
        <f>'Profits 2016'!L6669</f>
        <v>130.79</v>
      </c>
      <c r="F1456" s="275" t="str">
        <f>'Profits 2016'!P6669</f>
        <v>ADCable</v>
      </c>
      <c r="G1456" s="292">
        <f>'Profits 2016'!N6669-'Profits 2016'!M6669</f>
        <v>523.16</v>
      </c>
      <c r="H1456" s="331">
        <v>0</v>
      </c>
      <c r="I1456" s="332">
        <v>140256</v>
      </c>
      <c r="J1456" s="333">
        <v>42675</v>
      </c>
      <c r="K1456" s="333">
        <v>42681</v>
      </c>
      <c r="L1456" s="333"/>
      <c r="M1456" s="331"/>
      <c r="N1456" s="334"/>
      <c r="O1456" s="236" t="str">
        <f>'Profits 2016'!T6669</f>
        <v>UPS GROUND</v>
      </c>
      <c r="P1456" s="284" t="str">
        <f>'Profits 2016'!U6669</f>
        <v>1Z5316EX0345976056</v>
      </c>
      <c r="AF1456" s="276">
        <f t="shared" si="175"/>
        <v>523.16</v>
      </c>
      <c r="AG1456" s="276">
        <f t="shared" si="176"/>
        <v>0</v>
      </c>
      <c r="AH1456" s="276">
        <f t="shared" si="177"/>
        <v>2520</v>
      </c>
      <c r="AI1456" s="283">
        <f t="shared" si="178"/>
        <v>4.8168820246196198</v>
      </c>
    </row>
    <row r="1457" spans="1:35" x14ac:dyDescent="0.25">
      <c r="A1457" s="275">
        <f>'Profits 2016'!A6670</f>
        <v>0</v>
      </c>
      <c r="B1457" s="279">
        <f>'Profits 2016'!B6670</f>
        <v>0</v>
      </c>
      <c r="C1457" s="276">
        <f>'Profits 2016'!H6670</f>
        <v>0</v>
      </c>
      <c r="D1457" s="280">
        <f>'Profits 2016'!K6670</f>
        <v>0</v>
      </c>
      <c r="E1457" s="276">
        <f>'Profits 2016'!L6670</f>
        <v>130.79</v>
      </c>
      <c r="F1457" s="275" t="str">
        <f>'Profits 2016'!P6670</f>
        <v>ADCable</v>
      </c>
      <c r="G1457" s="292">
        <f>'Profits 2016'!N6670-'Profits 2016'!M6670</f>
        <v>391.84683999999999</v>
      </c>
      <c r="H1457" s="331">
        <v>0</v>
      </c>
      <c r="I1457" s="332">
        <v>140256</v>
      </c>
      <c r="J1457" s="333">
        <v>42675</v>
      </c>
      <c r="K1457" s="333">
        <v>42681</v>
      </c>
      <c r="L1457" s="333"/>
      <c r="M1457" s="331"/>
      <c r="N1457" s="334"/>
      <c r="O1457" s="236">
        <f>'Profits 2016'!T6670</f>
        <v>0</v>
      </c>
      <c r="P1457" s="284">
        <f>'Profits 2016'!U6670</f>
        <v>0</v>
      </c>
      <c r="AF1457" s="276">
        <f t="shared" si="175"/>
        <v>391.84683999999999</v>
      </c>
      <c r="AG1457" s="276">
        <f t="shared" si="176"/>
        <v>0</v>
      </c>
      <c r="AH1457" s="276">
        <f t="shared" si="177"/>
        <v>0</v>
      </c>
      <c r="AI1457" s="283">
        <f t="shared" si="178"/>
        <v>0</v>
      </c>
    </row>
    <row r="1458" spans="1:35" ht="30" x14ac:dyDescent="0.25">
      <c r="A1458" s="275">
        <f>'Profits 2016'!A6671</f>
        <v>3005231</v>
      </c>
      <c r="B1458" s="279">
        <f>'Profits 2016'!B6671</f>
        <v>42671</v>
      </c>
      <c r="C1458" s="276">
        <f>'Profits 2016'!H6671</f>
        <v>625</v>
      </c>
      <c r="D1458" s="280">
        <f>'Profits 2016'!K6671</f>
        <v>610.95000000000005</v>
      </c>
      <c r="E1458" s="276">
        <f>'Profits 2016'!L6671</f>
        <v>1322</v>
      </c>
      <c r="F1458" s="275" t="str">
        <f>'Profits 2016'!P6671</f>
        <v>Nassau</v>
      </c>
      <c r="G1458" s="292">
        <f>'Profits 2016'!N6671-'Profits 2016'!M6671</f>
        <v>330.5</v>
      </c>
      <c r="H1458" s="319"/>
      <c r="I1458" s="320"/>
      <c r="J1458" s="321"/>
      <c r="K1458" s="321"/>
      <c r="L1458" s="321"/>
      <c r="M1458" s="319"/>
      <c r="N1458" s="322"/>
      <c r="O1458" s="236" t="str">
        <f>'Profits 2016'!T6671</f>
        <v>FEDEX GROUND</v>
      </c>
      <c r="P1458" s="284" t="str">
        <f>'Profits 2016'!U6671</f>
        <v xml:space="preserve">702723291344  </v>
      </c>
      <c r="Q1458" s="284" t="s">
        <v>314</v>
      </c>
      <c r="R1458" s="276">
        <v>19.440000000000001</v>
      </c>
      <c r="S1458" s="275" t="s">
        <v>15907</v>
      </c>
      <c r="T1458" s="279">
        <v>42688</v>
      </c>
      <c r="U1458" s="279">
        <v>42691</v>
      </c>
      <c r="V1458" s="279">
        <v>42697</v>
      </c>
      <c r="W1458" s="293">
        <v>19.440000000000001</v>
      </c>
      <c r="X1458" s="236">
        <v>9494</v>
      </c>
      <c r="AF1458" s="276">
        <f t="shared" si="175"/>
        <v>349.94</v>
      </c>
      <c r="AG1458" s="276">
        <f t="shared" si="176"/>
        <v>19.440000000000001</v>
      </c>
      <c r="AH1458" s="276">
        <f t="shared" si="177"/>
        <v>591.51</v>
      </c>
      <c r="AI1458" s="283">
        <f t="shared" si="178"/>
        <v>1.6903183402869064</v>
      </c>
    </row>
    <row r="1459" spans="1:35" x14ac:dyDescent="0.25">
      <c r="A1459" s="275">
        <f>'Profits 2016'!A6672</f>
        <v>0</v>
      </c>
      <c r="B1459" s="279">
        <f>'Profits 2016'!B6672</f>
        <v>0</v>
      </c>
      <c r="C1459" s="276">
        <f>'Profits 2016'!H6672</f>
        <v>0</v>
      </c>
      <c r="D1459" s="280">
        <f>'Profits 2016'!K6672</f>
        <v>0</v>
      </c>
      <c r="E1459" s="276">
        <f>'Profits 2016'!L6672</f>
        <v>125</v>
      </c>
      <c r="F1459" s="275" t="str">
        <f>'Profits 2016'!P6672</f>
        <v>Nassau</v>
      </c>
      <c r="G1459" s="292">
        <f>'Profits 2016'!N6672-'Profits 2016'!M6672</f>
        <v>62.5</v>
      </c>
      <c r="H1459" s="319"/>
      <c r="I1459" s="320"/>
      <c r="J1459" s="321"/>
      <c r="K1459" s="321"/>
      <c r="L1459" s="321"/>
      <c r="M1459" s="319"/>
      <c r="N1459" s="322"/>
      <c r="O1459" s="236">
        <f>'Profits 2016'!T6672</f>
        <v>0</v>
      </c>
      <c r="P1459" s="284" t="str">
        <f>'Profits 2016'!U6672</f>
        <v xml:space="preserve">702723291333  </v>
      </c>
      <c r="Q1459" s="284" t="s">
        <v>314</v>
      </c>
      <c r="R1459" s="276">
        <v>48.91</v>
      </c>
      <c r="S1459" s="275" t="s">
        <v>15907</v>
      </c>
      <c r="T1459" s="279">
        <v>42688</v>
      </c>
      <c r="U1459" s="279">
        <v>42691</v>
      </c>
      <c r="V1459" s="279">
        <v>42697</v>
      </c>
      <c r="W1459" s="293">
        <v>48.91</v>
      </c>
      <c r="X1459" s="236">
        <v>9494</v>
      </c>
      <c r="AF1459" s="276">
        <f t="shared" si="175"/>
        <v>111.41</v>
      </c>
      <c r="AG1459" s="276">
        <f t="shared" si="176"/>
        <v>48.91</v>
      </c>
      <c r="AH1459" s="276">
        <f t="shared" si="177"/>
        <v>-48.91</v>
      </c>
      <c r="AI1459" s="283">
        <f t="shared" si="178"/>
        <v>-0.43900906561349967</v>
      </c>
    </row>
    <row r="1460" spans="1:35" x14ac:dyDescent="0.25">
      <c r="A1460" s="275">
        <f>'Profits 2016'!A6673</f>
        <v>3005232</v>
      </c>
      <c r="B1460" s="279">
        <f>'Profits 2016'!B6673</f>
        <v>42671</v>
      </c>
      <c r="C1460" s="276">
        <f>'Profits 2016'!H6673</f>
        <v>1213</v>
      </c>
      <c r="D1460" s="280">
        <f>'Profits 2016'!K6673</f>
        <v>1186.0139999999999</v>
      </c>
      <c r="E1460" s="276">
        <f>'Profits 2016'!L6673</f>
        <v>109.3</v>
      </c>
      <c r="F1460" s="275" t="str">
        <f>'Profits 2016'!P6673</f>
        <v>Colonial</v>
      </c>
      <c r="G1460" s="292">
        <f>'Profits 2016'!N6673-'Profits 2016'!M6673</f>
        <v>109.29999999999998</v>
      </c>
      <c r="H1460" s="331">
        <v>0</v>
      </c>
      <c r="I1460" s="332" t="s">
        <v>15914</v>
      </c>
      <c r="J1460" s="333">
        <v>42678</v>
      </c>
      <c r="K1460" s="333">
        <v>42703</v>
      </c>
      <c r="L1460" s="333"/>
      <c r="M1460" s="331"/>
      <c r="N1460" s="334"/>
      <c r="O1460" s="236" t="e">
        <f>'Profits 2016'!#REF!</f>
        <v>#REF!</v>
      </c>
      <c r="P1460" s="284">
        <f>'Profits 2016'!U6673</f>
        <v>675157531570</v>
      </c>
      <c r="Q1460" s="284" t="s">
        <v>314</v>
      </c>
      <c r="R1460" s="276">
        <v>25.23</v>
      </c>
      <c r="S1460" s="275" t="s">
        <v>15847</v>
      </c>
      <c r="T1460" s="279">
        <v>42695</v>
      </c>
      <c r="U1460" s="279">
        <v>42702</v>
      </c>
      <c r="AF1460" s="276">
        <f t="shared" si="175"/>
        <v>134.52999999999997</v>
      </c>
      <c r="AG1460" s="276">
        <f t="shared" si="176"/>
        <v>25.23</v>
      </c>
      <c r="AH1460" s="276">
        <f t="shared" si="177"/>
        <v>1160.7839999999999</v>
      </c>
      <c r="AI1460" s="283">
        <f t="shared" si="178"/>
        <v>8.6284397532148969</v>
      </c>
    </row>
    <row r="1461" spans="1:35" x14ac:dyDescent="0.25">
      <c r="A1461" s="275">
        <f>'Profits 2016'!A6674</f>
        <v>0</v>
      </c>
      <c r="B1461" s="279">
        <f>'Profits 2016'!B6674</f>
        <v>0</v>
      </c>
      <c r="C1461" s="276">
        <f>'Profits 2016'!H6674</f>
        <v>0</v>
      </c>
      <c r="D1461" s="280">
        <f>'Profits 2016'!K6674</f>
        <v>0</v>
      </c>
      <c r="E1461" s="276">
        <f>'Profits 2016'!L6674</f>
        <v>179.98</v>
      </c>
      <c r="F1461" s="275" t="str">
        <f>'Profits 2016'!P6674</f>
        <v>Colonial</v>
      </c>
      <c r="G1461" s="292">
        <f>'Profits 2016'!N6674-'Profits 2016'!M6674</f>
        <v>89.99</v>
      </c>
      <c r="H1461" s="331">
        <v>0</v>
      </c>
      <c r="I1461" s="332" t="s">
        <v>15914</v>
      </c>
      <c r="J1461" s="333">
        <v>42678</v>
      </c>
      <c r="K1461" s="333">
        <v>42703</v>
      </c>
      <c r="L1461" s="333"/>
      <c r="M1461" s="331"/>
      <c r="N1461" s="334"/>
      <c r="O1461" s="236">
        <f>'Profits 2016'!T6674</f>
        <v>0</v>
      </c>
      <c r="P1461" s="284" t="str">
        <f>'Profits 2016'!U6674</f>
        <v>675157531536</v>
      </c>
      <c r="Q1461" s="284" t="s">
        <v>314</v>
      </c>
      <c r="R1461" s="276">
        <v>26.23</v>
      </c>
      <c r="S1461" s="275" t="s">
        <v>15847</v>
      </c>
      <c r="T1461" s="279">
        <v>42695</v>
      </c>
      <c r="U1461" s="279">
        <v>42702</v>
      </c>
      <c r="AF1461" s="276">
        <f t="shared" si="175"/>
        <v>116.22</v>
      </c>
      <c r="AG1461" s="276">
        <f t="shared" si="176"/>
        <v>26.23</v>
      </c>
      <c r="AH1461" s="276">
        <f t="shared" si="177"/>
        <v>-26.23</v>
      </c>
      <c r="AI1461" s="283">
        <f t="shared" si="178"/>
        <v>-0.22569265186714851</v>
      </c>
    </row>
    <row r="1462" spans="1:35" x14ac:dyDescent="0.25">
      <c r="A1462" s="275">
        <f>'Profits 2016'!A6675</f>
        <v>0</v>
      </c>
      <c r="B1462" s="279">
        <f>'Profits 2016'!B6675</f>
        <v>0</v>
      </c>
      <c r="C1462" s="276">
        <f>'Profits 2016'!H6675</f>
        <v>0</v>
      </c>
      <c r="D1462" s="280">
        <f>'Profits 2016'!K6675</f>
        <v>0</v>
      </c>
      <c r="E1462" s="276">
        <f>'Profits 2016'!L6675</f>
        <v>179.98</v>
      </c>
      <c r="F1462" s="275" t="str">
        <f>'Profits 2016'!P6675</f>
        <v>Colonial</v>
      </c>
      <c r="G1462" s="292">
        <f>'Profits 2016'!N6675-'Profits 2016'!M6675</f>
        <v>89.99</v>
      </c>
      <c r="H1462" s="331">
        <v>0</v>
      </c>
      <c r="I1462" s="332" t="s">
        <v>15914</v>
      </c>
      <c r="J1462" s="333">
        <v>42678</v>
      </c>
      <c r="K1462" s="333">
        <v>42703</v>
      </c>
      <c r="L1462" s="333"/>
      <c r="M1462" s="331"/>
      <c r="N1462" s="334"/>
      <c r="O1462" s="236">
        <f>'Profits 2016'!T6675</f>
        <v>0</v>
      </c>
      <c r="P1462" s="284">
        <f>'Profits 2016'!U6675</f>
        <v>675157531558</v>
      </c>
      <c r="Q1462" s="284" t="s">
        <v>314</v>
      </c>
      <c r="R1462" s="276">
        <v>31.15</v>
      </c>
      <c r="S1462" s="275" t="s">
        <v>15847</v>
      </c>
      <c r="T1462" s="279">
        <v>42695</v>
      </c>
      <c r="U1462" s="279">
        <v>42702</v>
      </c>
      <c r="AF1462" s="276">
        <f t="shared" si="175"/>
        <v>121.13999999999999</v>
      </c>
      <c r="AG1462" s="276">
        <f t="shared" si="176"/>
        <v>31.15</v>
      </c>
      <c r="AH1462" s="276">
        <f t="shared" si="177"/>
        <v>-31.15</v>
      </c>
      <c r="AI1462" s="283">
        <f t="shared" si="178"/>
        <v>-0.25714049859666505</v>
      </c>
    </row>
    <row r="1463" spans="1:35" x14ac:dyDescent="0.25">
      <c r="A1463" s="275">
        <f>'Profits 2016'!A6676</f>
        <v>0</v>
      </c>
      <c r="B1463" s="279">
        <f>'Profits 2016'!B6676</f>
        <v>0</v>
      </c>
      <c r="C1463" s="276">
        <f>'Profits 2016'!H6676</f>
        <v>0</v>
      </c>
      <c r="D1463" s="280">
        <f>'Profits 2016'!K6676</f>
        <v>0</v>
      </c>
      <c r="E1463" s="276">
        <f>'Profits 2016'!L6676</f>
        <v>179.98</v>
      </c>
      <c r="F1463" s="275" t="str">
        <f>'Profits 2016'!P6676</f>
        <v>Colonial</v>
      </c>
      <c r="G1463" s="292">
        <f>'Profits 2016'!N6676-'Profits 2016'!M6676</f>
        <v>89.989999999999981</v>
      </c>
      <c r="H1463" s="331">
        <v>0</v>
      </c>
      <c r="I1463" s="332" t="s">
        <v>15914</v>
      </c>
      <c r="J1463" s="333">
        <v>42678</v>
      </c>
      <c r="K1463" s="333">
        <v>42703</v>
      </c>
      <c r="L1463" s="333"/>
      <c r="M1463" s="331"/>
      <c r="N1463" s="334"/>
      <c r="O1463" s="236">
        <f>'Profits 2016'!T6676</f>
        <v>0</v>
      </c>
      <c r="P1463" s="284">
        <f>'Profits 2016'!U6676</f>
        <v>675157531569</v>
      </c>
      <c r="Q1463" s="284" t="s">
        <v>314</v>
      </c>
      <c r="R1463" s="276">
        <v>26.23</v>
      </c>
      <c r="S1463" s="275" t="s">
        <v>15847</v>
      </c>
      <c r="T1463" s="279">
        <v>42695</v>
      </c>
      <c r="U1463" s="279">
        <v>42702</v>
      </c>
      <c r="AF1463" s="276">
        <f t="shared" si="175"/>
        <v>116.21999999999998</v>
      </c>
      <c r="AG1463" s="276">
        <f t="shared" si="176"/>
        <v>26.23</v>
      </c>
      <c r="AH1463" s="276">
        <f t="shared" si="177"/>
        <v>-26.23</v>
      </c>
      <c r="AI1463" s="283">
        <f t="shared" si="178"/>
        <v>-0.22569265186714854</v>
      </c>
    </row>
    <row r="1464" spans="1:35" x14ac:dyDescent="0.25">
      <c r="A1464" s="275">
        <f>'Profits 2016'!A6677</f>
        <v>0</v>
      </c>
      <c r="B1464" s="279">
        <f>'Profits 2016'!B6677</f>
        <v>0</v>
      </c>
      <c r="C1464" s="276">
        <f>'Profits 2016'!H6677</f>
        <v>0</v>
      </c>
      <c r="D1464" s="280">
        <f>'Profits 2016'!K6677</f>
        <v>0</v>
      </c>
      <c r="E1464" s="276">
        <f>'Profits 2016'!L6677</f>
        <v>276.89999999999998</v>
      </c>
      <c r="F1464" s="275" t="str">
        <f>'Profits 2016'!P6677</f>
        <v>Colonial</v>
      </c>
      <c r="G1464" s="292">
        <f>'Profits 2016'!N6677-'Profits 2016'!M6677</f>
        <v>138.44999999999999</v>
      </c>
      <c r="H1464" s="331">
        <v>0</v>
      </c>
      <c r="I1464" s="332" t="s">
        <v>15914</v>
      </c>
      <c r="J1464" s="333">
        <v>42678</v>
      </c>
      <c r="K1464" s="333">
        <v>42703</v>
      </c>
      <c r="L1464" s="333"/>
      <c r="M1464" s="331"/>
      <c r="N1464" s="334"/>
      <c r="O1464" s="236">
        <f>'Profits 2016'!T6677</f>
        <v>0</v>
      </c>
      <c r="P1464" s="284">
        <f>'Profits 2016'!U6677</f>
        <v>675157531547</v>
      </c>
      <c r="Q1464" s="284" t="s">
        <v>314</v>
      </c>
      <c r="R1464" s="276">
        <v>29.75</v>
      </c>
      <c r="S1464" s="275" t="s">
        <v>15847</v>
      </c>
      <c r="T1464" s="279">
        <v>42695</v>
      </c>
      <c r="U1464" s="279">
        <v>42702</v>
      </c>
      <c r="AF1464" s="276">
        <f t="shared" si="175"/>
        <v>168.2</v>
      </c>
      <c r="AG1464" s="276">
        <f t="shared" si="176"/>
        <v>29.75</v>
      </c>
      <c r="AH1464" s="276">
        <f t="shared" si="177"/>
        <v>-29.75</v>
      </c>
      <c r="AI1464" s="283">
        <f t="shared" si="178"/>
        <v>-0.1768727705112961</v>
      </c>
    </row>
    <row r="1465" spans="1:35" x14ac:dyDescent="0.25">
      <c r="A1465" s="275">
        <f>'Profits 2016'!A6678</f>
        <v>0</v>
      </c>
      <c r="B1465" s="279">
        <f>'Profits 2016'!B6678</f>
        <v>0</v>
      </c>
      <c r="C1465" s="276">
        <f>'Profits 2016'!H6678</f>
        <v>0</v>
      </c>
      <c r="D1465" s="280">
        <f>'Profits 2016'!K6678</f>
        <v>0</v>
      </c>
      <c r="E1465" s="276">
        <f>'Profits 2016'!L6678</f>
        <v>276.89999999999998</v>
      </c>
      <c r="F1465" s="275" t="str">
        <f>'Profits 2016'!P6678</f>
        <v>Colonial</v>
      </c>
      <c r="G1465" s="292">
        <f>'Profits 2016'!N6678-'Profits 2016'!M6678</f>
        <v>138.44999999999999</v>
      </c>
      <c r="H1465" s="331">
        <v>0</v>
      </c>
      <c r="I1465" s="332" t="s">
        <v>15914</v>
      </c>
      <c r="J1465" s="333">
        <v>42678</v>
      </c>
      <c r="K1465" s="333">
        <v>42703</v>
      </c>
      <c r="L1465" s="333"/>
      <c r="M1465" s="331"/>
      <c r="N1465" s="334"/>
      <c r="O1465" s="236" t="str">
        <f>'Profits 2016'!T6673</f>
        <v>FEDEX</v>
      </c>
      <c r="P1465" s="284">
        <f>'Profits 2016'!U6678</f>
        <v>675157531580</v>
      </c>
      <c r="Q1465" s="284" t="s">
        <v>314</v>
      </c>
      <c r="R1465" s="276">
        <v>31.15</v>
      </c>
      <c r="S1465" s="275" t="s">
        <v>15847</v>
      </c>
      <c r="T1465" s="279">
        <v>42695</v>
      </c>
      <c r="U1465" s="279">
        <v>42702</v>
      </c>
      <c r="AF1465" s="276">
        <f t="shared" si="175"/>
        <v>169.6</v>
      </c>
      <c r="AG1465" s="276">
        <f t="shared" si="176"/>
        <v>31.15</v>
      </c>
      <c r="AH1465" s="276">
        <f t="shared" si="177"/>
        <v>-31.15</v>
      </c>
      <c r="AI1465" s="283">
        <f t="shared" si="178"/>
        <v>-0.18366745283018868</v>
      </c>
    </row>
    <row r="1466" spans="1:35" ht="30" x14ac:dyDescent="0.25">
      <c r="A1466" s="275">
        <f>'Profits 2016'!A6679</f>
        <v>0</v>
      </c>
      <c r="B1466" s="279">
        <f>'Profits 2016'!B6679</f>
        <v>0</v>
      </c>
      <c r="C1466" s="276">
        <f>'Profits 2016'!H6679</f>
        <v>0</v>
      </c>
      <c r="D1466" s="280">
        <f>'Profits 2016'!K6679</f>
        <v>0</v>
      </c>
      <c r="E1466" s="276">
        <f>'Profits 2016'!L6679</f>
        <v>341</v>
      </c>
      <c r="F1466" s="275" t="str">
        <f>'Profits 2016'!P6679</f>
        <v>Direct</v>
      </c>
      <c r="G1466" s="292">
        <f>'Profits 2016'!N6679-'Profits 2016'!M6679</f>
        <v>170.5</v>
      </c>
      <c r="H1466" s="331">
        <v>0</v>
      </c>
      <c r="I1466" s="332">
        <v>75578</v>
      </c>
      <c r="J1466" s="333">
        <v>42676</v>
      </c>
      <c r="K1466" s="333">
        <v>42681</v>
      </c>
      <c r="L1466" s="333"/>
      <c r="M1466" s="331"/>
      <c r="N1466" s="334"/>
      <c r="O1466" s="236" t="str">
        <f>'Profits 2016'!T6679</f>
        <v>FEDEX GROUND</v>
      </c>
      <c r="P1466" s="284" t="str">
        <f>'Profits 2016'!U6679</f>
        <v>777601427537</v>
      </c>
      <c r="Q1466" s="284" t="s">
        <v>314</v>
      </c>
      <c r="R1466" s="276">
        <v>16.37</v>
      </c>
      <c r="S1466" s="275" t="s">
        <v>15907</v>
      </c>
      <c r="T1466" s="279">
        <v>42688</v>
      </c>
      <c r="U1466" s="279">
        <v>42691</v>
      </c>
      <c r="V1466" s="279">
        <v>42697</v>
      </c>
      <c r="W1466" s="293">
        <v>16.37</v>
      </c>
      <c r="X1466" s="236">
        <v>9494</v>
      </c>
      <c r="AF1466" s="276">
        <f t="shared" si="175"/>
        <v>186.87</v>
      </c>
      <c r="AG1466" s="276">
        <f t="shared" si="176"/>
        <v>16.37</v>
      </c>
      <c r="AH1466" s="276">
        <f t="shared" si="177"/>
        <v>-16.37</v>
      </c>
      <c r="AI1466" s="283">
        <f t="shared" si="178"/>
        <v>-8.7601006046984536E-2</v>
      </c>
    </row>
    <row r="1467" spans="1:35" x14ac:dyDescent="0.25">
      <c r="A1467" s="275">
        <f>'Profits 2016'!A6680</f>
        <v>0</v>
      </c>
      <c r="B1467" s="279">
        <f>'Profits 2016'!B6680</f>
        <v>0</v>
      </c>
      <c r="C1467" s="276">
        <f>'Profits 2016'!H6680</f>
        <v>0</v>
      </c>
      <c r="D1467" s="280">
        <f>'Profits 2016'!K6680</f>
        <v>0</v>
      </c>
      <c r="E1467" s="276">
        <f>'Profits 2016'!L6680</f>
        <v>349</v>
      </c>
      <c r="F1467" s="275" t="str">
        <f>'Profits 2016'!P6680</f>
        <v>Direct</v>
      </c>
      <c r="G1467" s="292">
        <f>'Profits 2016'!N6680-'Profits 2016'!M6680</f>
        <v>174.5</v>
      </c>
      <c r="H1467" s="331">
        <v>0</v>
      </c>
      <c r="I1467" s="332">
        <v>75578</v>
      </c>
      <c r="J1467" s="333">
        <v>42676</v>
      </c>
      <c r="K1467" s="333">
        <v>42681</v>
      </c>
      <c r="L1467" s="333"/>
      <c r="M1467" s="331"/>
      <c r="N1467" s="334"/>
      <c r="O1467" s="236">
        <f>'Profits 2016'!T6680</f>
        <v>0</v>
      </c>
      <c r="P1467" s="284" t="str">
        <f>'Profits 2016'!U6680</f>
        <v>777601427732</v>
      </c>
      <c r="Q1467" s="284" t="s">
        <v>314</v>
      </c>
      <c r="R1467" s="276">
        <v>17.170000000000002</v>
      </c>
      <c r="S1467" s="275" t="s">
        <v>15907</v>
      </c>
      <c r="T1467" s="279">
        <v>42688</v>
      </c>
      <c r="U1467" s="279">
        <v>42691</v>
      </c>
      <c r="V1467" s="279">
        <v>42697</v>
      </c>
      <c r="W1467" s="293">
        <v>17.170000000000002</v>
      </c>
      <c r="X1467" s="236">
        <v>9494</v>
      </c>
      <c r="AF1467" s="276">
        <f t="shared" si="175"/>
        <v>251.67000000000002</v>
      </c>
      <c r="AG1467" s="276">
        <f t="shared" si="176"/>
        <v>17.170000000000002</v>
      </c>
      <c r="AH1467" s="276">
        <f t="shared" si="177"/>
        <v>-17.170000000000002</v>
      </c>
      <c r="AI1467" s="283">
        <f t="shared" si="178"/>
        <v>-6.8224261930305563E-2</v>
      </c>
    </row>
    <row r="1468" spans="1:35" x14ac:dyDescent="0.25">
      <c r="A1468" s="275">
        <f>'Profits 2016'!A6681</f>
        <v>3005233</v>
      </c>
      <c r="B1468" s="279">
        <f>'Profits 2016'!B6681</f>
        <v>42671</v>
      </c>
      <c r="C1468" s="276">
        <f>'Profits 2016'!H6681</f>
        <v>1620</v>
      </c>
      <c r="D1468" s="280">
        <f>'Profits 2016'!K6681</f>
        <v>1584.06</v>
      </c>
      <c r="E1468" s="276">
        <f>'Profits 2016'!L6681</f>
        <v>6379.33</v>
      </c>
      <c r="F1468" s="275" t="str">
        <f>'Profits 2016'!P6681</f>
        <v>Southwire</v>
      </c>
      <c r="G1468" s="292">
        <f>'Profits 2016'!N6681-'Profits 2016'!M6681</f>
        <v>956.89949999999999</v>
      </c>
      <c r="H1468" s="331">
        <v>60</v>
      </c>
      <c r="I1468" s="332">
        <v>91025949</v>
      </c>
      <c r="J1468" s="333">
        <v>42676</v>
      </c>
      <c r="K1468" s="333">
        <v>42681</v>
      </c>
      <c r="L1468" s="333"/>
      <c r="M1468" s="331"/>
      <c r="N1468" s="334"/>
      <c r="O1468" s="236" t="str">
        <f>'Profits 2016'!T6681</f>
        <v>R&amp;L/ECHO</v>
      </c>
      <c r="P1468" s="284" t="str">
        <f>'Profits 2016'!U6681</f>
        <v>754116219</v>
      </c>
      <c r="Q1468" s="284" t="s">
        <v>15767</v>
      </c>
      <c r="R1468" s="276">
        <v>102.32</v>
      </c>
      <c r="S1468" s="275" t="s">
        <v>15915</v>
      </c>
      <c r="T1468" s="279">
        <v>42683</v>
      </c>
      <c r="U1468" s="279">
        <v>42688</v>
      </c>
      <c r="AF1468" s="276">
        <f t="shared" si="175"/>
        <v>1059.2194999999999</v>
      </c>
      <c r="AG1468" s="276">
        <f t="shared" si="176"/>
        <v>102.32</v>
      </c>
      <c r="AH1468" s="276">
        <f t="shared" si="177"/>
        <v>1481.74</v>
      </c>
      <c r="AI1468" s="283">
        <f t="shared" si="178"/>
        <v>1.3988979621315507</v>
      </c>
    </row>
    <row r="1469" spans="1:35" ht="30" x14ac:dyDescent="0.25">
      <c r="A1469" s="275">
        <f>'Profits 2016'!A6682</f>
        <v>3005234</v>
      </c>
      <c r="B1469" s="279">
        <f>'Profits 2016'!B6682</f>
        <v>42671</v>
      </c>
      <c r="C1469" s="276">
        <f>'Profits 2016'!H6682</f>
        <v>300</v>
      </c>
      <c r="D1469" s="280">
        <f>'Profits 2016'!K6682</f>
        <v>300</v>
      </c>
      <c r="E1469" s="276">
        <f>'Profits 2016'!L6682</f>
        <v>600</v>
      </c>
      <c r="F1469" s="275" t="str">
        <f>'Profits 2016'!P6682</f>
        <v>Priority</v>
      </c>
      <c r="G1469" s="292">
        <f>'Profits 2016'!N6682-'Profits 2016'!M6682</f>
        <v>150</v>
      </c>
      <c r="H1469" s="331">
        <v>0</v>
      </c>
      <c r="I1469" s="332">
        <v>1071508</v>
      </c>
      <c r="J1469" s="333">
        <v>42674</v>
      </c>
      <c r="K1469" s="333">
        <v>42681</v>
      </c>
      <c r="L1469" s="333">
        <v>42697</v>
      </c>
      <c r="M1469" s="331">
        <v>150</v>
      </c>
      <c r="N1469" s="334">
        <v>9477</v>
      </c>
      <c r="O1469" s="236" t="str">
        <f>'Profits 2016'!T6682</f>
        <v>FEDEX PRIORITY</v>
      </c>
      <c r="P1469" s="284" t="str">
        <f>'Profits 2016'!U6682</f>
        <v>711201624105</v>
      </c>
      <c r="Q1469" s="284" t="s">
        <v>15740</v>
      </c>
      <c r="R1469" s="276">
        <v>198.39</v>
      </c>
      <c r="S1469" s="275">
        <v>1071508</v>
      </c>
      <c r="T1469" s="279">
        <v>42674</v>
      </c>
      <c r="U1469" s="279">
        <v>42681</v>
      </c>
      <c r="V1469" s="279">
        <v>42697</v>
      </c>
      <c r="W1469" s="293">
        <v>198.39</v>
      </c>
      <c r="X1469" s="236">
        <v>9477</v>
      </c>
      <c r="AF1469" s="276">
        <f t="shared" si="175"/>
        <v>348.39</v>
      </c>
      <c r="AG1469" s="276">
        <f t="shared" si="176"/>
        <v>348.39</v>
      </c>
      <c r="AH1469" s="276">
        <f t="shared" si="177"/>
        <v>-48.389999999999986</v>
      </c>
      <c r="AI1469" s="283">
        <f t="shared" si="178"/>
        <v>-0.1388960647550159</v>
      </c>
    </row>
    <row r="1470" spans="1:35" ht="30" x14ac:dyDescent="0.25">
      <c r="A1470" s="275">
        <f>'Profits 2016'!A6683</f>
        <v>3005235</v>
      </c>
      <c r="B1470" s="279">
        <f>'Profits 2016'!B6683</f>
        <v>42671</v>
      </c>
      <c r="C1470" s="276">
        <f>'Profits 2016'!H6683</f>
        <v>297.5</v>
      </c>
      <c r="D1470" s="280">
        <f>'Profits 2016'!K6683</f>
        <v>297.5</v>
      </c>
      <c r="E1470" s="276">
        <f>'Profits 2016'!L6683</f>
        <v>420</v>
      </c>
      <c r="F1470" s="275" t="str">
        <f>'Profits 2016'!P6683</f>
        <v>Priority</v>
      </c>
      <c r="G1470" s="292">
        <f>'Profits 2016'!N6683-'Profits 2016'!M6683</f>
        <v>104.99999999999999</v>
      </c>
      <c r="H1470" s="331">
        <v>0</v>
      </c>
      <c r="I1470" s="332">
        <v>1071511</v>
      </c>
      <c r="J1470" s="333">
        <v>42674</v>
      </c>
      <c r="K1470" s="333">
        <v>42681</v>
      </c>
      <c r="L1470" s="333">
        <v>42697</v>
      </c>
      <c r="M1470" s="331">
        <v>105</v>
      </c>
      <c r="N1470" s="334">
        <v>9478</v>
      </c>
      <c r="O1470" s="236" t="str">
        <f>'Profits 2016'!T6683</f>
        <v>FEDEX PRIORITY</v>
      </c>
      <c r="P1470" s="284" t="str">
        <f>'Profits 2016'!U6683</f>
        <v xml:space="preserve">	711201624127</v>
      </c>
      <c r="Q1470" s="284" t="s">
        <v>15740</v>
      </c>
      <c r="R1470" s="276">
        <v>124.52</v>
      </c>
      <c r="S1470" s="275">
        <v>1071511</v>
      </c>
      <c r="T1470" s="279">
        <v>42674</v>
      </c>
      <c r="U1470" s="279">
        <v>42681</v>
      </c>
      <c r="V1470" s="279">
        <v>42697</v>
      </c>
      <c r="W1470" s="293">
        <v>124.52</v>
      </c>
      <c r="X1470" s="236">
        <v>9478</v>
      </c>
      <c r="AF1470" s="276">
        <f t="shared" si="175"/>
        <v>229.51999999999998</v>
      </c>
      <c r="AG1470" s="276">
        <f t="shared" si="176"/>
        <v>229.51999999999998</v>
      </c>
      <c r="AH1470" s="276">
        <f t="shared" si="177"/>
        <v>67.980000000000018</v>
      </c>
      <c r="AI1470" s="283">
        <f t="shared" si="178"/>
        <v>0.29618333914255851</v>
      </c>
    </row>
    <row r="1471" spans="1:35" ht="30" x14ac:dyDescent="0.25">
      <c r="A1471" s="275">
        <f>'Profits 2016'!A6684</f>
        <v>3005236</v>
      </c>
      <c r="B1471" s="279">
        <f>'Profits 2016'!B6684</f>
        <v>42671</v>
      </c>
      <c r="C1471" s="276">
        <f>'Profits 2016'!H6684</f>
        <v>1196.5</v>
      </c>
      <c r="D1471" s="280">
        <f>'Profits 2016'!K6684</f>
        <v>1196.5</v>
      </c>
      <c r="E1471" s="276">
        <f>'Profits 2016'!L6684</f>
        <v>420</v>
      </c>
      <c r="F1471" s="275" t="str">
        <f>'Profits 2016'!P6684</f>
        <v>Priority</v>
      </c>
      <c r="G1471" s="292">
        <f>'Profits 2016'!N6684-'Profits 2016'!M6684</f>
        <v>104.99999999999999</v>
      </c>
      <c r="H1471" s="331">
        <v>0</v>
      </c>
      <c r="I1471" s="332">
        <v>1071536</v>
      </c>
      <c r="J1471" s="333">
        <v>42674</v>
      </c>
      <c r="K1471" s="333">
        <v>42681</v>
      </c>
      <c r="L1471" s="333">
        <v>42697</v>
      </c>
      <c r="M1471" s="331">
        <v>105</v>
      </c>
      <c r="N1471" s="334">
        <v>9478</v>
      </c>
      <c r="O1471" s="236" t="str">
        <f>'Profits 2016'!T6684</f>
        <v>FEDEX PRIORITY</v>
      </c>
      <c r="P1471" s="284" t="str">
        <f>'Profits 2016'!U6684</f>
        <v xml:space="preserve">	711201624138</v>
      </c>
      <c r="Q1471" s="284" t="s">
        <v>15740</v>
      </c>
      <c r="R1471" s="276">
        <v>124.52</v>
      </c>
      <c r="S1471" s="275">
        <v>1071536</v>
      </c>
      <c r="T1471" s="279">
        <v>42674</v>
      </c>
      <c r="U1471" s="279">
        <v>42681</v>
      </c>
      <c r="V1471" s="279">
        <v>42697</v>
      </c>
      <c r="W1471" s="293">
        <v>124.52</v>
      </c>
      <c r="X1471" s="236">
        <v>9478</v>
      </c>
      <c r="AF1471" s="276">
        <f t="shared" si="175"/>
        <v>229.51999999999998</v>
      </c>
      <c r="AG1471" s="276">
        <f t="shared" si="176"/>
        <v>229.51999999999998</v>
      </c>
      <c r="AH1471" s="276">
        <f t="shared" si="177"/>
        <v>966.98</v>
      </c>
      <c r="AI1471" s="283">
        <f t="shared" si="178"/>
        <v>4.2130533286859535</v>
      </c>
    </row>
    <row r="1472" spans="1:35" ht="30" x14ac:dyDescent="0.25">
      <c r="A1472" s="275">
        <f>'Profits 2016'!A6685</f>
        <v>3005237</v>
      </c>
      <c r="B1472" s="279">
        <f>'Profits 2016'!B6685</f>
        <v>42671</v>
      </c>
      <c r="C1472" s="276">
        <f>'Profits 2016'!H6685</f>
        <v>330.32</v>
      </c>
      <c r="D1472" s="280">
        <f>'Profits 2016'!K6685</f>
        <v>294.01512000000002</v>
      </c>
      <c r="E1472" s="276">
        <f>'Profits 2016'!L6685</f>
        <v>2150</v>
      </c>
      <c r="F1472" s="275" t="str">
        <f>'Profits 2016'!P6685</f>
        <v>Nassau</v>
      </c>
      <c r="G1472" s="292">
        <f>'Profits 2016'!N6685-'Profits 2016'!M6685</f>
        <v>150.50000000000003</v>
      </c>
      <c r="H1472" s="319"/>
      <c r="I1472" s="320"/>
      <c r="J1472" s="321"/>
      <c r="K1472" s="321"/>
      <c r="L1472" s="321"/>
      <c r="M1472" s="319"/>
      <c r="N1472" s="322"/>
      <c r="O1472" s="236" t="str">
        <f>'Profits 2016'!T6685</f>
        <v>FEDEX GROUND</v>
      </c>
      <c r="P1472" s="284" t="str">
        <f>'Profits 2016'!U6685</f>
        <v>680483360748</v>
      </c>
      <c r="Q1472" s="284" t="s">
        <v>314</v>
      </c>
      <c r="R1472" s="276">
        <v>48.38</v>
      </c>
      <c r="S1472" s="275" t="s">
        <v>15907</v>
      </c>
      <c r="T1472" s="279">
        <v>42688</v>
      </c>
      <c r="U1472" s="279">
        <v>42691</v>
      </c>
      <c r="V1472" s="279">
        <v>42697</v>
      </c>
      <c r="W1472" s="293">
        <v>48.38</v>
      </c>
      <c r="X1472" s="236">
        <v>9494</v>
      </c>
      <c r="AF1472" s="276">
        <f t="shared" si="175"/>
        <v>198.88000000000002</v>
      </c>
      <c r="AG1472" s="276">
        <f t="shared" si="176"/>
        <v>48.38</v>
      </c>
      <c r="AH1472" s="276">
        <f t="shared" si="177"/>
        <v>245.63512000000003</v>
      </c>
      <c r="AI1472" s="283">
        <f t="shared" si="178"/>
        <v>1.2350921158487531</v>
      </c>
    </row>
    <row r="1473" spans="1:35" ht="30" x14ac:dyDescent="0.25">
      <c r="A1473" s="275">
        <f>'Profits 2016'!A6686</f>
        <v>3005238</v>
      </c>
      <c r="B1473" s="279">
        <f>'Profits 2016'!B6686</f>
        <v>42671</v>
      </c>
      <c r="C1473" s="276">
        <f>'Profits 2016'!H6686</f>
        <v>336.54</v>
      </c>
      <c r="D1473" s="280">
        <f>'Profits 2016'!K6686</f>
        <v>299.55714</v>
      </c>
      <c r="E1473" s="276">
        <f>'Profits 2016'!L6686</f>
        <v>300</v>
      </c>
      <c r="F1473" s="275" t="str">
        <f>'Profits 2016'!P6686</f>
        <v>Nassau</v>
      </c>
      <c r="G1473" s="292">
        <f>'Profits 2016'!N6686-'Profits 2016'!M6686</f>
        <v>150</v>
      </c>
      <c r="H1473" s="319"/>
      <c r="I1473" s="320"/>
      <c r="J1473" s="321"/>
      <c r="K1473" s="321"/>
      <c r="L1473" s="321"/>
      <c r="M1473" s="319"/>
      <c r="N1473" s="322"/>
      <c r="O1473" s="236" t="str">
        <f>'Profits 2016'!T6686</f>
        <v>FEDEX GROUND</v>
      </c>
      <c r="P1473" s="284" t="str">
        <f>'Profits 2016'!U6686</f>
        <v> 665645047769  , 665645047770</v>
      </c>
      <c r="Q1473" s="284" t="s">
        <v>314</v>
      </c>
      <c r="R1473" s="276">
        <f>40.16+37.47</f>
        <v>77.63</v>
      </c>
      <c r="S1473" s="275" t="s">
        <v>15907</v>
      </c>
      <c r="T1473" s="279">
        <v>42688</v>
      </c>
      <c r="U1473" s="279">
        <v>42691</v>
      </c>
      <c r="V1473" s="279">
        <v>42697</v>
      </c>
      <c r="W1473" s="293">
        <v>40.159999999999997</v>
      </c>
      <c r="X1473" s="236">
        <v>9494</v>
      </c>
      <c r="AF1473" s="276">
        <f t="shared" si="175"/>
        <v>227.63</v>
      </c>
      <c r="AG1473" s="276">
        <f t="shared" si="176"/>
        <v>77.63</v>
      </c>
      <c r="AH1473" s="276">
        <f t="shared" si="177"/>
        <v>221.92714000000001</v>
      </c>
      <c r="AI1473" s="283">
        <f t="shared" si="178"/>
        <v>0.97494679963098019</v>
      </c>
    </row>
    <row r="1474" spans="1:35" ht="30" x14ac:dyDescent="0.25">
      <c r="A1474" s="275">
        <f>'Profits 2016'!A6687</f>
        <v>3005239</v>
      </c>
      <c r="B1474" s="279">
        <f>'Profits 2016'!B6687</f>
        <v>42671</v>
      </c>
      <c r="C1474" s="276">
        <f>'Profits 2016'!H6687</f>
        <v>246.73</v>
      </c>
      <c r="D1474" s="280">
        <f>'Profits 2016'!K6687</f>
        <v>219.53643</v>
      </c>
      <c r="E1474" s="276">
        <f>'Profits 2016'!L6687</f>
        <v>350</v>
      </c>
      <c r="F1474" s="275" t="str">
        <f>'Profits 2016'!P6687</f>
        <v>Nassau</v>
      </c>
      <c r="G1474" s="292">
        <f>'Profits 2016'!N6687-'Profits 2016'!M6687</f>
        <v>87.5</v>
      </c>
      <c r="H1474" s="319"/>
      <c r="I1474" s="320"/>
      <c r="J1474" s="321"/>
      <c r="K1474" s="321"/>
      <c r="L1474" s="321"/>
      <c r="M1474" s="319"/>
      <c r="N1474" s="322"/>
      <c r="O1474" s="236" t="str">
        <f>'Profits 2016'!T6687</f>
        <v>FEDEX GROUND</v>
      </c>
      <c r="P1474" s="284" t="str">
        <f>'Profits 2016'!U6687</f>
        <v>665645047780</v>
      </c>
      <c r="Q1474" s="284" t="s">
        <v>314</v>
      </c>
      <c r="R1474" s="276">
        <v>55.13</v>
      </c>
      <c r="S1474" s="275" t="s">
        <v>15847</v>
      </c>
      <c r="T1474" s="279">
        <v>42695</v>
      </c>
      <c r="U1474" s="279">
        <v>42702</v>
      </c>
      <c r="AF1474" s="276">
        <f t="shared" si="175"/>
        <v>142.63</v>
      </c>
      <c r="AG1474" s="276">
        <f t="shared" si="176"/>
        <v>55.13</v>
      </c>
      <c r="AH1474" s="276">
        <f t="shared" si="177"/>
        <v>164.40643</v>
      </c>
      <c r="AI1474" s="283">
        <f t="shared" si="178"/>
        <v>1.1526777676505644</v>
      </c>
    </row>
    <row r="1475" spans="1:35" ht="30" x14ac:dyDescent="0.25">
      <c r="A1475" s="275">
        <f>'Profits 2016'!A6688</f>
        <v>3005240</v>
      </c>
      <c r="B1475" s="279">
        <f>'Profits 2016'!B6688</f>
        <v>42671</v>
      </c>
      <c r="C1475" s="276">
        <f>'Profits 2016'!H6688</f>
        <v>426.9</v>
      </c>
      <c r="D1475" s="280">
        <f>'Profits 2016'!K6688</f>
        <v>426.9</v>
      </c>
      <c r="E1475" s="276">
        <f>'Profits 2016'!L6688</f>
        <v>200</v>
      </c>
      <c r="F1475" s="275" t="str">
        <f>'Profits 2016'!P6688</f>
        <v>A-Z</v>
      </c>
      <c r="G1475" s="292">
        <f>'Profits 2016'!N6688-'Profits 2016'!M6688</f>
        <v>200</v>
      </c>
      <c r="H1475" s="331">
        <v>0</v>
      </c>
      <c r="I1475" s="332">
        <v>407781</v>
      </c>
      <c r="J1475" s="333">
        <v>42675</v>
      </c>
      <c r="K1475" s="333">
        <v>42681</v>
      </c>
      <c r="L1475" s="333"/>
      <c r="M1475" s="331"/>
      <c r="N1475" s="334"/>
      <c r="O1475" s="236" t="str">
        <f>'Profits 2016'!T6688</f>
        <v>FEDEX GROUND</v>
      </c>
      <c r="P1475" s="284" t="str">
        <f>'Profits 2016'!U6688</f>
        <v>655044324501</v>
      </c>
      <c r="Q1475" s="284" t="s">
        <v>314</v>
      </c>
      <c r="R1475" s="276">
        <v>34.92</v>
      </c>
      <c r="S1475" s="275" t="s">
        <v>15907</v>
      </c>
      <c r="T1475" s="279">
        <v>42688</v>
      </c>
      <c r="U1475" s="279">
        <v>42691</v>
      </c>
      <c r="V1475" s="279">
        <v>42697</v>
      </c>
      <c r="W1475" s="293">
        <v>34.92</v>
      </c>
      <c r="X1475" s="236">
        <v>9494</v>
      </c>
      <c r="AF1475" s="276">
        <f t="shared" si="175"/>
        <v>234.92000000000002</v>
      </c>
      <c r="AG1475" s="276">
        <f t="shared" si="176"/>
        <v>34.92</v>
      </c>
      <c r="AH1475" s="276">
        <f t="shared" si="177"/>
        <v>391.97999999999996</v>
      </c>
      <c r="AI1475" s="283">
        <f t="shared" si="178"/>
        <v>1.668568023156819</v>
      </c>
    </row>
    <row r="1476" spans="1:35" x14ac:dyDescent="0.25">
      <c r="A1476" s="275">
        <f>'Profits 2016'!A6689</f>
        <v>0</v>
      </c>
      <c r="B1476" s="279">
        <f>'Profits 2016'!B6689</f>
        <v>0</v>
      </c>
      <c r="C1476" s="276">
        <f>'Profits 2016'!H6689</f>
        <v>0</v>
      </c>
      <c r="D1476" s="280">
        <f>'Profits 2016'!K6689</f>
        <v>0</v>
      </c>
      <c r="E1476" s="276">
        <f>'Profits 2016'!L6689</f>
        <v>80</v>
      </c>
      <c r="F1476" s="275" t="str">
        <f>'Profits 2016'!P6689</f>
        <v>A-Z</v>
      </c>
      <c r="G1476" s="292">
        <f>'Profits 2016'!N6689-'Profits 2016'!M6689</f>
        <v>40</v>
      </c>
      <c r="H1476" s="331">
        <v>0</v>
      </c>
      <c r="I1476" s="332">
        <v>407781</v>
      </c>
      <c r="J1476" s="333">
        <v>42675</v>
      </c>
      <c r="K1476" s="333">
        <v>42681</v>
      </c>
      <c r="L1476" s="333"/>
      <c r="M1476" s="331"/>
      <c r="N1476" s="334"/>
      <c r="O1476" s="236">
        <f>'Profits 2016'!T6689</f>
        <v>0</v>
      </c>
      <c r="P1476" s="284" t="str">
        <f>'Profits 2016'!U6689</f>
        <v>655044324512</v>
      </c>
      <c r="Q1476" s="284" t="s">
        <v>314</v>
      </c>
      <c r="R1476" s="276">
        <v>19.739999999999998</v>
      </c>
      <c r="S1476" s="275" t="s">
        <v>15907</v>
      </c>
      <c r="T1476" s="279">
        <v>42688</v>
      </c>
      <c r="U1476" s="279">
        <v>42691</v>
      </c>
      <c r="V1476" s="279">
        <v>42697</v>
      </c>
      <c r="W1476" s="293">
        <v>19.739999999999998</v>
      </c>
      <c r="X1476" s="236">
        <v>9494</v>
      </c>
      <c r="AF1476" s="276">
        <f t="shared" si="175"/>
        <v>59.739999999999995</v>
      </c>
      <c r="AG1476" s="276">
        <f t="shared" si="176"/>
        <v>19.739999999999998</v>
      </c>
      <c r="AH1476" s="276">
        <f t="shared" si="177"/>
        <v>-19.739999999999998</v>
      </c>
      <c r="AI1476" s="283">
        <f t="shared" si="178"/>
        <v>-0.3304318714429193</v>
      </c>
    </row>
    <row r="1477" spans="1:35" x14ac:dyDescent="0.25">
      <c r="A1477" s="275">
        <f>'Profits 2016'!A6690</f>
        <v>0</v>
      </c>
      <c r="B1477" s="279">
        <f>'Profits 2016'!B6690</f>
        <v>0</v>
      </c>
      <c r="C1477" s="276">
        <f>'Profits 2016'!H6690</f>
        <v>0</v>
      </c>
      <c r="D1477" s="280">
        <f>'Profits 2016'!K6690</f>
        <v>0</v>
      </c>
      <c r="E1477" s="276">
        <f>'Profits 2016'!L6690</f>
        <v>80</v>
      </c>
      <c r="F1477" s="275" t="str">
        <f>'Profits 2016'!P6690</f>
        <v>A-Z</v>
      </c>
      <c r="G1477" s="292">
        <f>'Profits 2016'!N6690-'Profits 2016'!M6690</f>
        <v>40</v>
      </c>
      <c r="H1477" s="331">
        <v>0</v>
      </c>
      <c r="I1477" s="332">
        <v>407781</v>
      </c>
      <c r="J1477" s="333">
        <v>42675</v>
      </c>
      <c r="K1477" s="333">
        <v>42681</v>
      </c>
      <c r="L1477" s="333"/>
      <c r="M1477" s="331"/>
      <c r="N1477" s="334"/>
      <c r="O1477" s="236">
        <f>'Profits 2016'!T6690</f>
        <v>0</v>
      </c>
      <c r="P1477" s="284" t="str">
        <f>'Profits 2016'!U6690</f>
        <v>655044324523</v>
      </c>
      <c r="Q1477" s="284" t="s">
        <v>314</v>
      </c>
      <c r="R1477" s="276">
        <v>19.739999999999998</v>
      </c>
      <c r="S1477" s="275" t="s">
        <v>15907</v>
      </c>
      <c r="T1477" s="279">
        <v>42688</v>
      </c>
      <c r="U1477" s="279">
        <v>42691</v>
      </c>
      <c r="V1477" s="279">
        <v>42697</v>
      </c>
      <c r="W1477" s="293">
        <v>19.739999999999998</v>
      </c>
      <c r="X1477" s="236">
        <v>9494</v>
      </c>
      <c r="AF1477" s="276">
        <f t="shared" si="175"/>
        <v>59.739999999999995</v>
      </c>
      <c r="AG1477" s="276">
        <f t="shared" si="176"/>
        <v>19.739999999999998</v>
      </c>
      <c r="AH1477" s="276">
        <f t="shared" si="177"/>
        <v>-19.739999999999998</v>
      </c>
      <c r="AI1477" s="283">
        <f t="shared" si="178"/>
        <v>-0.3304318714429193</v>
      </c>
    </row>
    <row r="1478" spans="1:35" ht="30" x14ac:dyDescent="0.25">
      <c r="A1478" s="275">
        <f>'Profits 2016'!A6691</f>
        <v>3005241</v>
      </c>
      <c r="B1478" s="279">
        <f>'Profits 2016'!B6691</f>
        <v>42671</v>
      </c>
      <c r="C1478" s="276">
        <f>'Profits 2016'!H6691</f>
        <v>6325</v>
      </c>
      <c r="D1478" s="280">
        <f>'Profits 2016'!K6691</f>
        <v>6119.1374999999998</v>
      </c>
      <c r="E1478" s="276">
        <f>'Profits 2016'!L6691</f>
        <v>695</v>
      </c>
      <c r="F1478" s="275" t="str">
        <f>'Profits 2016'!P6691</f>
        <v>Southwire</v>
      </c>
      <c r="G1478" s="292">
        <f>'Profits 2016'!N6691-'Profits 2016'!M6691</f>
        <v>3822.5</v>
      </c>
      <c r="H1478" s="331">
        <v>0</v>
      </c>
      <c r="I1478" s="332">
        <v>91025891</v>
      </c>
      <c r="J1478" s="333">
        <v>42676</v>
      </c>
      <c r="K1478" s="333">
        <v>42681</v>
      </c>
      <c r="L1478" s="333"/>
      <c r="M1478" s="331"/>
      <c r="N1478" s="334"/>
      <c r="O1478" s="236" t="str">
        <f>'Profits 2016'!T6691</f>
        <v>Old dominion</v>
      </c>
      <c r="P1478" s="284">
        <f>'Profits 2016'!U6691</f>
        <v>59654866397</v>
      </c>
      <c r="AF1478" s="276">
        <f t="shared" si="175"/>
        <v>3822.5</v>
      </c>
      <c r="AG1478" s="276">
        <f t="shared" si="176"/>
        <v>0</v>
      </c>
      <c r="AH1478" s="276">
        <f t="shared" si="177"/>
        <v>6119.1374999999998</v>
      </c>
      <c r="AI1478" s="283">
        <f t="shared" si="178"/>
        <v>1.6008207979071287</v>
      </c>
    </row>
    <row r="1479" spans="1:35" ht="30" x14ac:dyDescent="0.25">
      <c r="A1479" s="275">
        <f>'Profits 2016'!A6692</f>
        <v>3005242</v>
      </c>
      <c r="B1479" s="279">
        <f>'Profits 2016'!B6692</f>
        <v>42671</v>
      </c>
      <c r="C1479" s="276">
        <f>'Profits 2016'!H6692</f>
        <v>119.1</v>
      </c>
      <c r="D1479" s="280">
        <f>'Profits 2016'!K6692</f>
        <v>114.92925</v>
      </c>
      <c r="E1479" s="276">
        <f>'Profits 2016'!L6692</f>
        <v>75</v>
      </c>
      <c r="F1479" s="275" t="str">
        <f>'Profits 2016'!P6692</f>
        <v>Allied</v>
      </c>
      <c r="G1479" s="292">
        <f>'Profits 2016'!N6692-'Profits 2016'!M6692</f>
        <v>75</v>
      </c>
      <c r="H1479" s="331">
        <v>0</v>
      </c>
      <c r="I1479" s="332">
        <v>356249</v>
      </c>
      <c r="J1479" s="333">
        <v>42676</v>
      </c>
      <c r="K1479" s="333">
        <v>42681</v>
      </c>
      <c r="L1479" s="333"/>
      <c r="M1479" s="331"/>
      <c r="N1479" s="334"/>
      <c r="O1479" s="236" t="str">
        <f>'Profits 2016'!T6692</f>
        <v>FEDEX GROUND</v>
      </c>
      <c r="P1479" s="284" t="str">
        <f>'Profits 2016'!U6692</f>
        <v>777609633561</v>
      </c>
      <c r="Q1479" s="284" t="s">
        <v>314</v>
      </c>
      <c r="R1479" s="276">
        <v>9.65</v>
      </c>
      <c r="S1479" s="275" t="s">
        <v>15847</v>
      </c>
      <c r="T1479" s="279">
        <v>42695</v>
      </c>
      <c r="U1479" s="279">
        <v>42702</v>
      </c>
      <c r="AF1479" s="276">
        <f t="shared" si="175"/>
        <v>84.65</v>
      </c>
      <c r="AG1479" s="276">
        <f t="shared" si="176"/>
        <v>9.65</v>
      </c>
      <c r="AH1479" s="276">
        <f t="shared" si="177"/>
        <v>105.27924999999999</v>
      </c>
      <c r="AI1479" s="283">
        <f t="shared" si="178"/>
        <v>1.2437005316007086</v>
      </c>
    </row>
    <row r="1480" spans="1:35" x14ac:dyDescent="0.25">
      <c r="A1480" s="275">
        <f>'Profits 2016'!A6693</f>
        <v>3005243</v>
      </c>
      <c r="B1480" s="279">
        <f>'Profits 2016'!B6693</f>
        <v>42674</v>
      </c>
      <c r="C1480" s="276">
        <f>'Profits 2016'!H6693</f>
        <v>1050</v>
      </c>
      <c r="D1480" s="280">
        <f>'Profits 2016'!K6693</f>
        <v>1026.5999999999999</v>
      </c>
      <c r="E1480" s="276">
        <f>'Profits 2016'!L6693</f>
        <v>950</v>
      </c>
      <c r="F1480" s="275" t="str">
        <f>'Profits 2016'!P6693</f>
        <v>Nassau</v>
      </c>
      <c r="G1480" s="292">
        <f>'Profits 2016'!N6693-'Profits 2016'!M6693</f>
        <v>475</v>
      </c>
      <c r="H1480" s="319"/>
      <c r="I1480" s="320"/>
      <c r="J1480" s="321"/>
      <c r="K1480" s="321"/>
      <c r="L1480" s="321"/>
      <c r="M1480" s="319"/>
      <c r="N1480" s="322"/>
      <c r="O1480" s="236" t="str">
        <f>'Profits 2016'!T6693</f>
        <v>R&amp;L/ECHO</v>
      </c>
      <c r="P1480" s="284" t="str">
        <f>'Profits 2016'!U6693</f>
        <v>73050694-2</v>
      </c>
      <c r="Q1480" s="284" t="s">
        <v>15767</v>
      </c>
      <c r="R1480" s="276">
        <v>114.9</v>
      </c>
      <c r="S1480" s="275" t="s">
        <v>15916</v>
      </c>
      <c r="T1480" s="279">
        <v>42681</v>
      </c>
      <c r="U1480" s="279">
        <v>42688</v>
      </c>
      <c r="AF1480" s="276">
        <f t="shared" si="175"/>
        <v>589.9</v>
      </c>
      <c r="AG1480" s="276">
        <f t="shared" si="176"/>
        <v>114.9</v>
      </c>
      <c r="AH1480" s="276">
        <f t="shared" si="177"/>
        <v>911.69999999999993</v>
      </c>
      <c r="AI1480" s="283">
        <f t="shared" si="178"/>
        <v>1.5455161891846074</v>
      </c>
    </row>
    <row r="1481" spans="1:35" ht="30" x14ac:dyDescent="0.25">
      <c r="A1481" s="275">
        <f>'Profits 2016'!A6694</f>
        <v>3005244</v>
      </c>
      <c r="B1481" s="279">
        <f>'Profits 2016'!B6694</f>
        <v>42674</v>
      </c>
      <c r="C1481" s="276">
        <f>'Profits 2016'!H6694</f>
        <v>59.5</v>
      </c>
      <c r="D1481" s="280">
        <f>'Profits 2016'!K6694</f>
        <v>59.5</v>
      </c>
      <c r="E1481" s="276">
        <f>'Profits 2016'!L6694</f>
        <v>600</v>
      </c>
      <c r="F1481" s="275" t="str">
        <f>'Profits 2016'!P6694</f>
        <v>Priority</v>
      </c>
      <c r="G1481" s="292">
        <f>'Profits 2016'!N6694-'Profits 2016'!M6694</f>
        <v>30</v>
      </c>
      <c r="H1481" s="331">
        <v>0</v>
      </c>
      <c r="I1481" s="332">
        <v>1072070</v>
      </c>
      <c r="J1481" s="333">
        <v>42674</v>
      </c>
      <c r="K1481" s="333">
        <v>42681</v>
      </c>
      <c r="L1481" s="333">
        <v>42697</v>
      </c>
      <c r="M1481" s="331">
        <v>30</v>
      </c>
      <c r="N1481" s="334">
        <v>9477</v>
      </c>
      <c r="O1481" s="236" t="str">
        <f>'Profits 2016'!T6694</f>
        <v>FEDEX GROUND</v>
      </c>
      <c r="P1481" s="284" t="str">
        <f>'Profits 2016'!U6694</f>
        <v>711201624311</v>
      </c>
      <c r="Q1481" s="284" t="s">
        <v>15740</v>
      </c>
      <c r="R1481" s="276">
        <v>75.680000000000007</v>
      </c>
      <c r="S1481" s="275">
        <v>1072070</v>
      </c>
      <c r="T1481" s="279">
        <v>42674</v>
      </c>
      <c r="U1481" s="279">
        <v>42681</v>
      </c>
      <c r="V1481" s="279">
        <v>42697</v>
      </c>
      <c r="W1481" s="293">
        <v>75.680000000000007</v>
      </c>
      <c r="X1481" s="236">
        <v>9477</v>
      </c>
      <c r="AF1481" s="276">
        <f t="shared" si="175"/>
        <v>105.68</v>
      </c>
      <c r="AG1481" s="276">
        <f t="shared" si="176"/>
        <v>105.68</v>
      </c>
      <c r="AH1481" s="276">
        <f t="shared" si="177"/>
        <v>-46.180000000000007</v>
      </c>
      <c r="AI1481" s="283">
        <f t="shared" si="178"/>
        <v>-0.43697956093868284</v>
      </c>
    </row>
    <row r="1482" spans="1:35" x14ac:dyDescent="0.25">
      <c r="A1482" s="275">
        <f>'Profits 2016'!A6695</f>
        <v>3005245</v>
      </c>
      <c r="B1482" s="279">
        <f>'Profits 2016'!B6695</f>
        <v>42674</v>
      </c>
      <c r="C1482" s="276">
        <f>'Profits 2016'!H6695</f>
        <v>0</v>
      </c>
      <c r="D1482" s="280">
        <f>'Profits 2016'!K6695</f>
        <v>0</v>
      </c>
      <c r="E1482" s="276">
        <f>'Profits 2016'!L6695</f>
        <v>0</v>
      </c>
      <c r="F1482" s="275" t="str">
        <f>'Profits 2016'!P6695</f>
        <v>Priority</v>
      </c>
      <c r="G1482" s="292">
        <f>'Profits 2016'!N6695-'Profits 2016'!M6695</f>
        <v>0</v>
      </c>
      <c r="H1482" s="331"/>
      <c r="I1482" s="332"/>
      <c r="J1482" s="333"/>
      <c r="K1482" s="333"/>
      <c r="L1482" s="333"/>
      <c r="M1482" s="331"/>
      <c r="N1482" s="334"/>
      <c r="O1482" s="236">
        <f>'Profits 2016'!T6695</f>
        <v>0</v>
      </c>
      <c r="P1482" s="284">
        <f>'Profits 2016'!U6695</f>
        <v>0</v>
      </c>
      <c r="AF1482" s="276">
        <f t="shared" si="175"/>
        <v>0</v>
      </c>
      <c r="AG1482" s="276">
        <f t="shared" si="176"/>
        <v>0</v>
      </c>
      <c r="AH1482" s="276">
        <f t="shared" si="177"/>
        <v>0</v>
      </c>
      <c r="AI1482" s="283" t="e">
        <f t="shared" si="178"/>
        <v>#DIV/0!</v>
      </c>
    </row>
    <row r="1483" spans="1:35" ht="30" x14ac:dyDescent="0.25">
      <c r="A1483" s="275">
        <f>'Profits 2016'!A6696</f>
        <v>3005246</v>
      </c>
      <c r="B1483" s="279">
        <f>'Profits 2016'!B6696</f>
        <v>42674</v>
      </c>
      <c r="C1483" s="276">
        <f>'Profits 2016'!H6696</f>
        <v>909.5</v>
      </c>
      <c r="D1483" s="280">
        <f>'Profits 2016'!K6696</f>
        <v>909.5</v>
      </c>
      <c r="E1483" s="276">
        <f>'Profits 2016'!L6696</f>
        <v>600</v>
      </c>
      <c r="F1483" s="275" t="str">
        <f>'Profits 2016'!P6696</f>
        <v>Priority</v>
      </c>
      <c r="G1483" s="292">
        <f>'Profits 2016'!N6696-'Profits 2016'!M6696</f>
        <v>30</v>
      </c>
      <c r="H1483" s="331">
        <v>0</v>
      </c>
      <c r="I1483" s="332">
        <v>1072071</v>
      </c>
      <c r="J1483" s="333">
        <v>42674</v>
      </c>
      <c r="K1483" s="333">
        <v>42681</v>
      </c>
      <c r="L1483" s="333">
        <v>42697</v>
      </c>
      <c r="M1483" s="331">
        <v>30</v>
      </c>
      <c r="N1483" s="334">
        <v>9477</v>
      </c>
      <c r="O1483" s="236" t="str">
        <f>'Profits 2016'!T6696</f>
        <v>FEDEX GROUND</v>
      </c>
      <c r="P1483" s="284" t="str">
        <f>'Profits 2016'!U6696</f>
        <v>711201624322</v>
      </c>
      <c r="Q1483" s="284" t="s">
        <v>15740</v>
      </c>
      <c r="R1483" s="276">
        <v>79.680000000000007</v>
      </c>
      <c r="S1483" s="275">
        <v>1072071</v>
      </c>
      <c r="T1483" s="279">
        <v>42674</v>
      </c>
      <c r="U1483" s="279">
        <v>42681</v>
      </c>
      <c r="V1483" s="279">
        <v>42697</v>
      </c>
      <c r="W1483" s="293">
        <v>79.680000000000007</v>
      </c>
      <c r="X1483" s="236">
        <v>9477</v>
      </c>
      <c r="AF1483" s="276">
        <f t="shared" si="175"/>
        <v>109.68</v>
      </c>
      <c r="AG1483" s="276">
        <f t="shared" si="176"/>
        <v>109.68</v>
      </c>
      <c r="AH1483" s="276">
        <f t="shared" si="177"/>
        <v>799.81999999999994</v>
      </c>
      <c r="AI1483" s="283">
        <f t="shared" si="178"/>
        <v>7.2923048869438354</v>
      </c>
    </row>
    <row r="1484" spans="1:35" ht="30" x14ac:dyDescent="0.25">
      <c r="A1484" s="275">
        <f>'Profits 2016'!A6697</f>
        <v>3005247</v>
      </c>
      <c r="B1484" s="279">
        <f>'Profits 2016'!B6697</f>
        <v>42674</v>
      </c>
      <c r="C1484" s="276">
        <f>'Profits 2016'!H6697</f>
        <v>151.19</v>
      </c>
      <c r="D1484" s="280">
        <f>'Profits 2016'!K6697</f>
        <v>134.41029</v>
      </c>
      <c r="E1484" s="276">
        <f>'Profits 2016'!L6697</f>
        <v>375</v>
      </c>
      <c r="F1484" s="275" t="str">
        <f>'Profits 2016'!P6697</f>
        <v>Thea</v>
      </c>
      <c r="G1484" s="292">
        <f>'Profits 2016'!N6697-'Profits 2016'!M6697</f>
        <v>56.250000000000007</v>
      </c>
      <c r="H1484" s="319"/>
      <c r="I1484" s="320"/>
      <c r="J1484" s="321"/>
      <c r="K1484" s="321"/>
      <c r="L1484" s="321"/>
      <c r="M1484" s="319"/>
      <c r="N1484" s="322"/>
      <c r="O1484" s="236" t="str">
        <f>'Profits 2016'!T6697</f>
        <v>FEDEX GROUND</v>
      </c>
      <c r="P1484" s="284" t="str">
        <f>'Profits 2016'!U6697</f>
        <v>675157531503</v>
      </c>
      <c r="Q1484" s="284" t="s">
        <v>314</v>
      </c>
      <c r="R1484" s="276">
        <v>41.24</v>
      </c>
      <c r="S1484" s="275" t="s">
        <v>15847</v>
      </c>
      <c r="T1484" s="279">
        <v>42695</v>
      </c>
      <c r="U1484" s="279">
        <v>42702</v>
      </c>
      <c r="AF1484" s="276">
        <f t="shared" si="175"/>
        <v>97.490000000000009</v>
      </c>
      <c r="AG1484" s="276">
        <f t="shared" si="176"/>
        <v>41.24</v>
      </c>
      <c r="AH1484" s="276">
        <f t="shared" si="177"/>
        <v>93.170289999999994</v>
      </c>
      <c r="AI1484" s="283">
        <f t="shared" si="178"/>
        <v>0.95569073751153955</v>
      </c>
    </row>
    <row r="1485" spans="1:35" ht="30" x14ac:dyDescent="0.25">
      <c r="A1485" s="275">
        <f>'Profits 2016'!A6698</f>
        <v>3005248</v>
      </c>
      <c r="B1485" s="279">
        <f>'Profits 2016'!B6698</f>
        <v>42674</v>
      </c>
      <c r="C1485" s="276">
        <f>'Profits 2016'!H6698</f>
        <v>230</v>
      </c>
      <c r="D1485" s="280">
        <f>'Profits 2016'!K6698</f>
        <v>204.63000000000002</v>
      </c>
      <c r="E1485" s="276">
        <f>'Profits 2016'!L6698</f>
        <v>220</v>
      </c>
      <c r="F1485" s="275" t="str">
        <f>'Profits 2016'!P6698</f>
        <v>Nassau</v>
      </c>
      <c r="G1485" s="292">
        <f>'Profits 2016'!N6698-'Profits 2016'!M6698</f>
        <v>110</v>
      </c>
      <c r="H1485" s="319"/>
      <c r="I1485" s="320"/>
      <c r="J1485" s="321"/>
      <c r="K1485" s="321"/>
      <c r="L1485" s="321"/>
      <c r="M1485" s="319"/>
      <c r="N1485" s="322"/>
      <c r="O1485" s="236" t="str">
        <f>'Profits 2016'!T6698</f>
        <v>FEDEX GROUND</v>
      </c>
      <c r="P1485" s="284" t="str">
        <f>'Profits 2016'!U6698</f>
        <v>665645047997</v>
      </c>
      <c r="Q1485" s="284" t="s">
        <v>314</v>
      </c>
      <c r="R1485" s="276">
        <v>46.9</v>
      </c>
      <c r="S1485" s="275" t="s">
        <v>15847</v>
      </c>
      <c r="T1485" s="279">
        <v>42695</v>
      </c>
      <c r="U1485" s="279">
        <v>42702</v>
      </c>
      <c r="AF1485" s="276">
        <f t="shared" si="175"/>
        <v>156.9</v>
      </c>
      <c r="AG1485" s="276">
        <f t="shared" si="176"/>
        <v>46.9</v>
      </c>
      <c r="AH1485" s="276">
        <f t="shared" si="177"/>
        <v>157.73000000000002</v>
      </c>
      <c r="AI1485" s="283">
        <f t="shared" si="178"/>
        <v>1.0052899936265138</v>
      </c>
    </row>
    <row r="1486" spans="1:35" ht="30" x14ac:dyDescent="0.25">
      <c r="A1486" s="275">
        <f>'Profits 2016'!A6699</f>
        <v>3005249</v>
      </c>
      <c r="B1486" s="279">
        <f>'Profits 2016'!B6699</f>
        <v>42674</v>
      </c>
      <c r="C1486" s="276">
        <f>'Profits 2016'!H6699</f>
        <v>200.37</v>
      </c>
      <c r="D1486" s="280">
        <f>'Profits 2016'!K6699</f>
        <v>178.22967</v>
      </c>
      <c r="E1486" s="276">
        <f>'Profits 2016'!L6699</f>
        <v>350</v>
      </c>
      <c r="F1486" s="275" t="str">
        <f>'Profits 2016'!P6699</f>
        <v>Nassau</v>
      </c>
      <c r="G1486" s="292">
        <f>'Profits 2016'!N6699-'Profits 2016'!M6699</f>
        <v>78.75</v>
      </c>
      <c r="H1486" s="319"/>
      <c r="I1486" s="320"/>
      <c r="J1486" s="321"/>
      <c r="K1486" s="321"/>
      <c r="L1486" s="321"/>
      <c r="M1486" s="319"/>
      <c r="N1486" s="322"/>
      <c r="O1486" s="236" t="str">
        <f>'Profits 2016'!T6699</f>
        <v>FEDEX GROUND</v>
      </c>
      <c r="P1486" s="284" t="str">
        <f>'Profits 2016'!U6699</f>
        <v>665645047883</v>
      </c>
      <c r="Q1486" s="284" t="s">
        <v>314</v>
      </c>
      <c r="R1486" s="276">
        <v>32.46</v>
      </c>
      <c r="S1486" s="275" t="s">
        <v>15907</v>
      </c>
      <c r="T1486" s="279">
        <v>42688</v>
      </c>
      <c r="U1486" s="279">
        <v>42691</v>
      </c>
      <c r="V1486" s="279">
        <v>42697</v>
      </c>
      <c r="W1486" s="293">
        <v>32.46</v>
      </c>
      <c r="X1486" s="236">
        <v>9494</v>
      </c>
      <c r="AF1486" s="276">
        <f t="shared" si="175"/>
        <v>111.21000000000001</v>
      </c>
      <c r="AG1486" s="276">
        <f t="shared" si="176"/>
        <v>32.46</v>
      </c>
      <c r="AH1486" s="276">
        <f t="shared" si="177"/>
        <v>145.76966999999999</v>
      </c>
      <c r="AI1486" s="283">
        <f t="shared" si="178"/>
        <v>1.3107604531966548</v>
      </c>
    </row>
    <row r="1487" spans="1:35" ht="30" x14ac:dyDescent="0.25">
      <c r="A1487" s="275">
        <f>'Profits 2016'!A6700</f>
        <v>3005250</v>
      </c>
      <c r="B1487" s="279">
        <f>'Profits 2016'!B6700</f>
        <v>42674</v>
      </c>
      <c r="C1487" s="276">
        <f>'Profits 2016'!H6700</f>
        <v>200.08</v>
      </c>
      <c r="D1487" s="280">
        <f>'Profits 2016'!K6700</f>
        <v>177.97128000000001</v>
      </c>
      <c r="E1487" s="276">
        <f>'Profits 2016'!L6700</f>
        <v>950</v>
      </c>
      <c r="F1487" s="275" t="str">
        <f>'Profits 2016'!P6700</f>
        <v>Nassau</v>
      </c>
      <c r="G1487" s="292">
        <f>'Profits 2016'!N6700-'Profits 2016'!M6700</f>
        <v>94.999999999999986</v>
      </c>
      <c r="H1487" s="319"/>
      <c r="I1487" s="320"/>
      <c r="J1487" s="321"/>
      <c r="K1487" s="321"/>
      <c r="L1487" s="321"/>
      <c r="M1487" s="319"/>
      <c r="N1487" s="322"/>
      <c r="O1487" s="236" t="str">
        <f>'Profits 2016'!T6700</f>
        <v>FEDEX GROUND</v>
      </c>
      <c r="P1487" s="284" t="str">
        <f>'Profits 2016'!U6700</f>
        <v>702723291300</v>
      </c>
      <c r="Q1487" s="284" t="s">
        <v>314</v>
      </c>
      <c r="R1487" s="276">
        <v>33.89</v>
      </c>
      <c r="S1487" s="275" t="s">
        <v>15907</v>
      </c>
      <c r="T1487" s="279">
        <v>42688</v>
      </c>
      <c r="U1487" s="279">
        <v>42691</v>
      </c>
      <c r="V1487" s="279">
        <v>42697</v>
      </c>
      <c r="W1487" s="293">
        <v>33.89</v>
      </c>
      <c r="X1487" s="236">
        <v>9494</v>
      </c>
      <c r="AF1487" s="276">
        <f t="shared" si="175"/>
        <v>128.88999999999999</v>
      </c>
      <c r="AG1487" s="276">
        <f t="shared" si="176"/>
        <v>33.89</v>
      </c>
      <c r="AH1487" s="276">
        <f t="shared" si="177"/>
        <v>144.08127999999999</v>
      </c>
      <c r="AI1487" s="283">
        <f t="shared" si="178"/>
        <v>1.1178623632554892</v>
      </c>
    </row>
    <row r="1488" spans="1:35" ht="30" x14ac:dyDescent="0.25">
      <c r="A1488" s="275">
        <f>'Profits 2016'!A6701</f>
        <v>3005251</v>
      </c>
      <c r="B1488" s="279">
        <f>'Profits 2016'!B6701</f>
        <v>42674</v>
      </c>
      <c r="C1488" s="276">
        <f>'Profits 2016'!H6701</f>
        <v>248.2</v>
      </c>
      <c r="D1488" s="280">
        <f>'Profits 2016'!K6701</f>
        <v>220.84619999999998</v>
      </c>
      <c r="E1488" s="276">
        <f>'Profits 2016'!L6701</f>
        <v>698</v>
      </c>
      <c r="F1488" s="275" t="str">
        <f>'Profits 2016'!P6701</f>
        <v>Nassau</v>
      </c>
      <c r="G1488" s="292">
        <f>'Profits 2016'!N6701-'Profits 2016'!M6701</f>
        <v>104.70000000000002</v>
      </c>
      <c r="H1488" s="319"/>
      <c r="I1488" s="320"/>
      <c r="J1488" s="321"/>
      <c r="K1488" s="321"/>
      <c r="L1488" s="321"/>
      <c r="M1488" s="319"/>
      <c r="N1488" s="322"/>
      <c r="O1488" s="236" t="str">
        <f>'Profits 2016'!T6701</f>
        <v>FEDEX GROUND</v>
      </c>
      <c r="P1488" s="284" t="str">
        <f>'Profits 2016'!U6701</f>
        <v>702723291388</v>
      </c>
      <c r="Q1488" s="284" t="s">
        <v>314</v>
      </c>
      <c r="R1488" s="276">
        <v>26.35</v>
      </c>
      <c r="S1488" s="275" t="s">
        <v>15907</v>
      </c>
      <c r="T1488" s="279">
        <v>42688</v>
      </c>
      <c r="U1488" s="279">
        <v>42691</v>
      </c>
      <c r="V1488" s="279">
        <v>42697</v>
      </c>
      <c r="W1488" s="293">
        <v>26.35</v>
      </c>
      <c r="X1488" s="236">
        <v>9494</v>
      </c>
      <c r="AF1488" s="276">
        <f t="shared" si="175"/>
        <v>131.05000000000001</v>
      </c>
      <c r="AG1488" s="276">
        <f t="shared" si="176"/>
        <v>26.35</v>
      </c>
      <c r="AH1488" s="276">
        <f t="shared" si="177"/>
        <v>194.49619999999999</v>
      </c>
      <c r="AI1488" s="283">
        <f t="shared" si="178"/>
        <v>1.4841373521556656</v>
      </c>
    </row>
    <row r="1489" spans="1:35" x14ac:dyDescent="0.25">
      <c r="A1489" s="275">
        <f>'Profits 2016'!A6702</f>
        <v>3005252</v>
      </c>
      <c r="B1489" s="279">
        <f>'Profits 2016'!B6702</f>
        <v>42674</v>
      </c>
      <c r="C1489" s="276">
        <f>'Profits 2016'!H6702</f>
        <v>2025</v>
      </c>
      <c r="D1489" s="280">
        <f>'Profits 2016'!K6702</f>
        <v>1803.9749999999999</v>
      </c>
      <c r="E1489" s="276">
        <f>'Profits 2016'!L6702</f>
        <v>3300</v>
      </c>
      <c r="F1489" s="275" t="str">
        <f>'Profits 2016'!P6702</f>
        <v>Nassau</v>
      </c>
      <c r="G1489" s="292">
        <f>'Profits 2016'!N6702-'Profits 2016'!M6702</f>
        <v>990.00000000000011</v>
      </c>
      <c r="H1489" s="319"/>
      <c r="I1489" s="320"/>
      <c r="J1489" s="321"/>
      <c r="K1489" s="321"/>
      <c r="L1489" s="321"/>
      <c r="M1489" s="319"/>
      <c r="N1489" s="322"/>
      <c r="O1489" s="236" t="str">
        <f>'Profits 2016'!T6702</f>
        <v>R&amp;L/ECHO</v>
      </c>
      <c r="P1489" s="284" t="str">
        <f>'Profits 2016'!U6702</f>
        <v>73050695-1</v>
      </c>
      <c r="Q1489" s="284" t="s">
        <v>15767</v>
      </c>
      <c r="R1489" s="276">
        <v>114.9</v>
      </c>
      <c r="S1489" s="275" t="s">
        <v>15917</v>
      </c>
      <c r="T1489" s="279">
        <v>42681</v>
      </c>
      <c r="U1489" s="279">
        <v>42688</v>
      </c>
      <c r="AF1489" s="276">
        <f t="shared" ref="AF1489:AF1552" si="179">G1489+H1490+R1489+Y1489</f>
        <v>1104.9000000000001</v>
      </c>
      <c r="AG1489" s="276">
        <f t="shared" ref="AG1489:AG1552" si="180">M1489+R1489+Y1489</f>
        <v>114.9</v>
      </c>
      <c r="AH1489" s="276">
        <f t="shared" ref="AH1489:AH1552" si="181">D1489-AG1489</f>
        <v>1689.0749999999998</v>
      </c>
      <c r="AI1489" s="283">
        <f t="shared" ref="AI1489:AI1552" si="182">AH1489/AF1489</f>
        <v>1.5287130057018732</v>
      </c>
    </row>
    <row r="1490" spans="1:35" ht="30" x14ac:dyDescent="0.25">
      <c r="A1490" s="275">
        <f>'Profits 2016'!A6703</f>
        <v>3005253</v>
      </c>
      <c r="B1490" s="279">
        <f>'Profits 2016'!B6703</f>
        <v>42674</v>
      </c>
      <c r="C1490" s="276">
        <f>'Profits 2016'!H6703</f>
        <v>456</v>
      </c>
      <c r="D1490" s="280">
        <f>'Profits 2016'!K6703</f>
        <v>405.99599999999998</v>
      </c>
      <c r="E1490" s="276">
        <f>'Profits 2016'!L6703</f>
        <v>1100</v>
      </c>
      <c r="F1490" s="275" t="str">
        <f>'Profits 2016'!P6703</f>
        <v>Nassau</v>
      </c>
      <c r="G1490" s="292">
        <f>'Profits 2016'!N6703-'Profits 2016'!M6703</f>
        <v>220</v>
      </c>
      <c r="H1490" s="319"/>
      <c r="I1490" s="320"/>
      <c r="J1490" s="321"/>
      <c r="K1490" s="321"/>
      <c r="L1490" s="321"/>
      <c r="M1490" s="319"/>
      <c r="N1490" s="322"/>
      <c r="O1490" s="236" t="str">
        <f>'Profits 2016'!T6703</f>
        <v>FEDEX GROUND</v>
      </c>
      <c r="P1490" s="284" t="str">
        <f>'Profits 2016'!U6703</f>
        <v>665645047861</v>
      </c>
      <c r="Q1490" s="284" t="s">
        <v>314</v>
      </c>
      <c r="R1490" s="276">
        <v>53.06</v>
      </c>
      <c r="S1490" s="275" t="s">
        <v>15847</v>
      </c>
      <c r="T1490" s="279">
        <v>42695</v>
      </c>
      <c r="U1490" s="279">
        <v>42702</v>
      </c>
      <c r="AF1490" s="276">
        <f t="shared" si="179"/>
        <v>273.06</v>
      </c>
      <c r="AG1490" s="276">
        <f t="shared" si="180"/>
        <v>53.06</v>
      </c>
      <c r="AH1490" s="276">
        <f t="shared" si="181"/>
        <v>352.93599999999998</v>
      </c>
      <c r="AI1490" s="283">
        <f t="shared" si="182"/>
        <v>1.2925217900827657</v>
      </c>
    </row>
    <row r="1491" spans="1:35" ht="30" x14ac:dyDescent="0.25">
      <c r="A1491" s="275">
        <f>'Profits 2016'!A6704</f>
        <v>3005254</v>
      </c>
      <c r="B1491" s="279">
        <f>'Profits 2016'!B6704</f>
        <v>42674</v>
      </c>
      <c r="C1491" s="276">
        <f>'Profits 2016'!H6704</f>
        <v>183.4</v>
      </c>
      <c r="D1491" s="280">
        <f>'Profits 2016'!K6704</f>
        <v>163.10939999999999</v>
      </c>
      <c r="E1491" s="276">
        <f>'Profits 2016'!L6704</f>
        <v>375</v>
      </c>
      <c r="F1491" s="275" t="str">
        <f>'Profits 2016'!P6704</f>
        <v>Nassau</v>
      </c>
      <c r="G1491" s="292">
        <f>'Profits 2016'!N6704-'Profits 2016'!M6704</f>
        <v>93.75</v>
      </c>
      <c r="H1491" s="319"/>
      <c r="I1491" s="320"/>
      <c r="J1491" s="321"/>
      <c r="K1491" s="321"/>
      <c r="L1491" s="321"/>
      <c r="M1491" s="319"/>
      <c r="N1491" s="322"/>
      <c r="O1491" s="236" t="str">
        <f>'Profits 2016'!T6704</f>
        <v>FEDEX GROUND</v>
      </c>
      <c r="P1491" s="284" t="str">
        <f>'Profits 2016'!U6704</f>
        <v>702723291366</v>
      </c>
      <c r="Q1491" s="284" t="s">
        <v>314</v>
      </c>
      <c r="R1491" s="276">
        <v>35.840000000000003</v>
      </c>
      <c r="S1491" s="275" t="s">
        <v>15907</v>
      </c>
      <c r="T1491" s="279">
        <v>42688</v>
      </c>
      <c r="U1491" s="279">
        <v>42691</v>
      </c>
      <c r="V1491" s="279">
        <v>42697</v>
      </c>
      <c r="W1491" s="293">
        <v>35.840000000000003</v>
      </c>
      <c r="X1491" s="236">
        <v>9494</v>
      </c>
      <c r="AF1491" s="276">
        <f t="shared" si="179"/>
        <v>129.59</v>
      </c>
      <c r="AG1491" s="276">
        <f t="shared" si="180"/>
        <v>35.840000000000003</v>
      </c>
      <c r="AH1491" s="276">
        <f t="shared" si="181"/>
        <v>127.26939999999999</v>
      </c>
      <c r="AI1491" s="283">
        <f t="shared" si="182"/>
        <v>0.98209275407052998</v>
      </c>
    </row>
    <row r="1492" spans="1:35" ht="30" x14ac:dyDescent="0.25">
      <c r="A1492" s="275">
        <f>'Profits 2016'!A6705</f>
        <v>3005255</v>
      </c>
      <c r="B1492" s="279">
        <f>'Profits 2016'!B6705</f>
        <v>42674</v>
      </c>
      <c r="C1492" s="276">
        <f>'Profits 2016'!H6705</f>
        <v>152.38</v>
      </c>
      <c r="D1492" s="280">
        <f>'Profits 2016'!K6705</f>
        <v>135.47057999999998</v>
      </c>
      <c r="E1492" s="276">
        <f>'Profits 2016'!L6705</f>
        <v>424</v>
      </c>
      <c r="F1492" s="275" t="str">
        <f>'Profits 2016'!P6705</f>
        <v>Nassau</v>
      </c>
      <c r="G1492" s="292">
        <f>'Profits 2016'!N6705-'Profits 2016'!M6705</f>
        <v>53</v>
      </c>
      <c r="H1492" s="319"/>
      <c r="I1492" s="320"/>
      <c r="J1492" s="321"/>
      <c r="K1492" s="321"/>
      <c r="L1492" s="321"/>
      <c r="M1492" s="319"/>
      <c r="N1492" s="322"/>
      <c r="O1492" s="236" t="str">
        <f>'Profits 2016'!T6705</f>
        <v>FEDEX GROUND</v>
      </c>
      <c r="P1492" s="284" t="str">
        <f>'Profits 2016'!U6705</f>
        <v>665645047806</v>
      </c>
      <c r="Q1492" s="284" t="s">
        <v>314</v>
      </c>
      <c r="R1492" s="276">
        <v>24.33</v>
      </c>
      <c r="S1492" s="275" t="s">
        <v>15907</v>
      </c>
      <c r="T1492" s="279">
        <v>42688</v>
      </c>
      <c r="U1492" s="279">
        <v>42691</v>
      </c>
      <c r="V1492" s="279">
        <v>42697</v>
      </c>
      <c r="W1492" s="293">
        <v>24.33</v>
      </c>
      <c r="X1492" s="236">
        <v>9494</v>
      </c>
      <c r="AF1492" s="276">
        <f t="shared" si="179"/>
        <v>77.33</v>
      </c>
      <c r="AG1492" s="276">
        <f t="shared" si="180"/>
        <v>24.33</v>
      </c>
      <c r="AH1492" s="276">
        <f t="shared" si="181"/>
        <v>111.14057999999999</v>
      </c>
      <c r="AI1492" s="283">
        <f t="shared" si="182"/>
        <v>1.4372246217509375</v>
      </c>
    </row>
    <row r="1493" spans="1:35" ht="30" x14ac:dyDescent="0.25">
      <c r="A1493" s="275">
        <f>'Profits 2016'!A6706</f>
        <v>3005256</v>
      </c>
      <c r="B1493" s="279">
        <f>'Profits 2016'!B6706</f>
        <v>42674</v>
      </c>
      <c r="C1493" s="276">
        <f>'Profits 2016'!H6706</f>
        <v>199.5</v>
      </c>
      <c r="D1493" s="280">
        <f>'Profits 2016'!K6706</f>
        <v>177.45450000000002</v>
      </c>
      <c r="E1493" s="276">
        <f>'Profits 2016'!L6706</f>
        <v>312</v>
      </c>
      <c r="F1493" s="275" t="str">
        <f>'Profits 2016'!P6706</f>
        <v>Nassau</v>
      </c>
      <c r="G1493" s="292">
        <f>'Profits 2016'!N6706-'Profits 2016'!M6706</f>
        <v>78</v>
      </c>
      <c r="H1493" s="319"/>
      <c r="I1493" s="320"/>
      <c r="J1493" s="321"/>
      <c r="K1493" s="321"/>
      <c r="L1493" s="321"/>
      <c r="M1493" s="319"/>
      <c r="N1493" s="322"/>
      <c r="O1493" s="236" t="str">
        <f>'Profits 2016'!T6706</f>
        <v>FEDEX GROUND</v>
      </c>
      <c r="P1493" s="284" t="str">
        <f>'Profits 2016'!U6706</f>
        <v>665645047850</v>
      </c>
      <c r="Q1493" s="284" t="s">
        <v>314</v>
      </c>
      <c r="R1493" s="276">
        <v>30.43</v>
      </c>
      <c r="S1493" s="275" t="s">
        <v>15907</v>
      </c>
      <c r="T1493" s="279">
        <v>42688</v>
      </c>
      <c r="U1493" s="279">
        <v>42691</v>
      </c>
      <c r="V1493" s="279">
        <v>42697</v>
      </c>
      <c r="W1493" s="293">
        <v>30.43</v>
      </c>
      <c r="X1493" s="236">
        <v>9494</v>
      </c>
      <c r="AF1493" s="276">
        <f t="shared" si="179"/>
        <v>108.43</v>
      </c>
      <c r="AG1493" s="276">
        <f t="shared" si="180"/>
        <v>30.43</v>
      </c>
      <c r="AH1493" s="276">
        <f t="shared" si="181"/>
        <v>147.02450000000002</v>
      </c>
      <c r="AI1493" s="283">
        <f t="shared" si="182"/>
        <v>1.3559393156875403</v>
      </c>
    </row>
    <row r="1494" spans="1:35" ht="30" x14ac:dyDescent="0.25">
      <c r="A1494" s="275">
        <f>'Profits 2016'!A6707</f>
        <v>3005257</v>
      </c>
      <c r="B1494" s="279">
        <f>'Profits 2016'!B6707</f>
        <v>42674</v>
      </c>
      <c r="C1494" s="276">
        <f>'Profits 2016'!H6707</f>
        <v>249.38</v>
      </c>
      <c r="D1494" s="280">
        <f>'Profits 2016'!K6707</f>
        <v>221.89758</v>
      </c>
      <c r="E1494" s="276">
        <f>'Profits 2016'!L6707</f>
        <v>0</v>
      </c>
      <c r="F1494" s="275" t="str">
        <f>'Profits 2016'!P6707</f>
        <v>Nassau</v>
      </c>
      <c r="G1494" s="292">
        <f>'Profits 2016'!N6707-'Profits 2016'!M6707</f>
        <v>0</v>
      </c>
      <c r="H1494" s="319"/>
      <c r="I1494" s="320"/>
      <c r="J1494" s="321"/>
      <c r="K1494" s="321"/>
      <c r="L1494" s="321"/>
      <c r="M1494" s="319"/>
      <c r="N1494" s="322"/>
      <c r="O1494" s="236" t="str">
        <f>'Profits 2016'!T6707</f>
        <v>FEDEX GROUND</v>
      </c>
      <c r="P1494" s="284" t="str">
        <f>'Profits 2016'!U6707</f>
        <v>702723291399</v>
      </c>
      <c r="Q1494" s="284" t="s">
        <v>314</v>
      </c>
      <c r="R1494" s="276">
        <v>23.73</v>
      </c>
      <c r="S1494" s="275" t="s">
        <v>15907</v>
      </c>
      <c r="T1494" s="279">
        <v>42688</v>
      </c>
      <c r="U1494" s="279">
        <v>42691</v>
      </c>
      <c r="V1494" s="279">
        <v>42697</v>
      </c>
      <c r="W1494" s="293">
        <v>23.73</v>
      </c>
      <c r="X1494" s="236">
        <v>9494</v>
      </c>
      <c r="AF1494" s="276">
        <f t="shared" si="179"/>
        <v>23.73</v>
      </c>
      <c r="AG1494" s="276">
        <f t="shared" si="180"/>
        <v>23.73</v>
      </c>
      <c r="AH1494" s="276">
        <f t="shared" si="181"/>
        <v>198.16758000000002</v>
      </c>
      <c r="AI1494" s="283">
        <f t="shared" si="182"/>
        <v>8.3509304677623266</v>
      </c>
    </row>
    <row r="1495" spans="1:35" ht="30" x14ac:dyDescent="0.25">
      <c r="A1495" s="275">
        <f>'Profits 2016'!A6708</f>
        <v>3005258</v>
      </c>
      <c r="B1495" s="279">
        <f>'Profits 2016'!B6708</f>
        <v>42674</v>
      </c>
      <c r="C1495" s="276">
        <f>'Profits 2016'!H6708</f>
        <v>65.5</v>
      </c>
      <c r="D1495" s="280">
        <f>'Profits 2016'!K6708</f>
        <v>58.060500000000005</v>
      </c>
      <c r="E1495" s="276">
        <f>'Profits 2016'!L6708</f>
        <v>510</v>
      </c>
      <c r="F1495" s="275" t="str">
        <f>'Profits 2016'!P6708</f>
        <v>Nassau</v>
      </c>
      <c r="G1495" s="292">
        <f>'Profits 2016'!N6708-'Profits 2016'!M6708</f>
        <v>25.5</v>
      </c>
      <c r="H1495" s="319"/>
      <c r="I1495" s="320"/>
      <c r="J1495" s="321"/>
      <c r="K1495" s="321"/>
      <c r="L1495" s="321"/>
      <c r="M1495" s="319"/>
      <c r="N1495" s="322"/>
      <c r="O1495" s="236" t="str">
        <f>'Profits 2016'!T6708</f>
        <v>FEDEX GROUND</v>
      </c>
      <c r="P1495" s="284" t="str">
        <f>'Profits 2016'!U6708</f>
        <v>665645047840</v>
      </c>
      <c r="Q1495" s="284" t="s">
        <v>314</v>
      </c>
      <c r="R1495" s="276">
        <v>16.350000000000001</v>
      </c>
      <c r="S1495" s="275" t="s">
        <v>15907</v>
      </c>
      <c r="T1495" s="279">
        <v>42688</v>
      </c>
      <c r="U1495" s="279">
        <v>42691</v>
      </c>
      <c r="V1495" s="279">
        <v>42697</v>
      </c>
      <c r="W1495" s="293">
        <v>16.350000000000001</v>
      </c>
      <c r="X1495" s="236">
        <v>9494</v>
      </c>
      <c r="AF1495" s="276">
        <f t="shared" si="179"/>
        <v>41.85</v>
      </c>
      <c r="AG1495" s="276">
        <f t="shared" si="180"/>
        <v>16.350000000000001</v>
      </c>
      <c r="AH1495" s="276">
        <f t="shared" si="181"/>
        <v>41.710500000000003</v>
      </c>
      <c r="AI1495" s="283">
        <f t="shared" si="182"/>
        <v>0.9966666666666667</v>
      </c>
    </row>
    <row r="1496" spans="1:35" ht="30" x14ac:dyDescent="0.25">
      <c r="A1496" s="275">
        <f>'Profits 2016'!A6709</f>
        <v>3005259</v>
      </c>
      <c r="B1496" s="279">
        <f>'Profits 2016'!B6709</f>
        <v>42674</v>
      </c>
      <c r="C1496" s="276">
        <f>'Profits 2016'!H6709</f>
        <v>366.96</v>
      </c>
      <c r="D1496" s="280">
        <f>'Profits 2016'!K6709</f>
        <v>326.66135999999995</v>
      </c>
      <c r="E1496" s="276">
        <f>'Profits 2016'!L6709</f>
        <v>120</v>
      </c>
      <c r="F1496" s="275" t="str">
        <f>'Profits 2016'!P6709</f>
        <v>Priority</v>
      </c>
      <c r="G1496" s="292">
        <f>'Profits 2016'!N6709-'Profits 2016'!M6709</f>
        <v>240</v>
      </c>
      <c r="H1496" s="331">
        <v>0</v>
      </c>
      <c r="I1496" s="332">
        <v>1071858</v>
      </c>
      <c r="J1496" s="333">
        <v>42674</v>
      </c>
      <c r="K1496" s="333">
        <v>42681</v>
      </c>
      <c r="L1496" s="333">
        <v>42697</v>
      </c>
      <c r="M1496" s="331">
        <v>240</v>
      </c>
      <c r="N1496" s="334">
        <v>9478</v>
      </c>
      <c r="O1496" s="236" t="str">
        <f>'Profits 2016'!T6709</f>
        <v>FEDEX GROUND</v>
      </c>
      <c r="P1496" s="284" t="str">
        <f>'Profits 2016'!U6709</f>
        <v xml:space="preserve">	680993425732</v>
      </c>
      <c r="Q1496" s="284" t="s">
        <v>15740</v>
      </c>
      <c r="R1496" s="276">
        <v>61.32</v>
      </c>
      <c r="S1496" s="275">
        <v>1071858</v>
      </c>
      <c r="T1496" s="279">
        <v>42674</v>
      </c>
      <c r="U1496" s="279">
        <v>42681</v>
      </c>
      <c r="V1496" s="279">
        <v>42697</v>
      </c>
      <c r="W1496" s="293">
        <v>61.32</v>
      </c>
      <c r="X1496" s="236">
        <v>9478</v>
      </c>
      <c r="AF1496" s="276">
        <f t="shared" si="179"/>
        <v>301.32</v>
      </c>
      <c r="AG1496" s="276">
        <f t="shared" si="180"/>
        <v>301.32</v>
      </c>
      <c r="AH1496" s="276">
        <f t="shared" si="181"/>
        <v>25.341359999999952</v>
      </c>
      <c r="AI1496" s="283">
        <f t="shared" si="182"/>
        <v>8.4101154918359067E-2</v>
      </c>
    </row>
    <row r="1497" spans="1:35" ht="30" x14ac:dyDescent="0.25">
      <c r="A1497" s="275">
        <f>'Profits 2016'!A6710</f>
        <v>3005260</v>
      </c>
      <c r="B1497" s="279">
        <f>'Profits 2016'!B6710</f>
        <v>42674</v>
      </c>
      <c r="C1497" s="276">
        <f>'Profits 2016'!H6710</f>
        <v>143.55000000000001</v>
      </c>
      <c r="D1497" s="280">
        <f>'Profits 2016'!K6710</f>
        <v>127.60305000000001</v>
      </c>
      <c r="E1497" s="276">
        <f>'Profits 2016'!L6710</f>
        <v>910</v>
      </c>
      <c r="F1497" s="275" t="str">
        <f>'Profits 2016'!P6710</f>
        <v>Priority</v>
      </c>
      <c r="G1497" s="292">
        <f>'Profits 2016'!N6710-'Profits 2016'!M6710</f>
        <v>91</v>
      </c>
      <c r="H1497" s="331">
        <v>0</v>
      </c>
      <c r="I1497" s="332">
        <v>1072057</v>
      </c>
      <c r="J1497" s="333">
        <v>42674</v>
      </c>
      <c r="K1497" s="333">
        <v>42681</v>
      </c>
      <c r="L1497" s="333">
        <v>42697</v>
      </c>
      <c r="M1497" s="331">
        <v>91</v>
      </c>
      <c r="N1497" s="334">
        <v>9479</v>
      </c>
      <c r="O1497" s="236" t="str">
        <f>'Profits 2016'!T6710</f>
        <v>FEDEX GROUND</v>
      </c>
      <c r="P1497" s="284" t="str">
        <f>'Profits 2016'!U6710</f>
        <v xml:space="preserve">	614697969157</v>
      </c>
      <c r="Q1497" s="284" t="s">
        <v>15740</v>
      </c>
      <c r="R1497" s="276">
        <v>30.59</v>
      </c>
      <c r="S1497" s="275">
        <v>1072057</v>
      </c>
      <c r="T1497" s="279">
        <v>42674</v>
      </c>
      <c r="U1497" s="279">
        <v>42681</v>
      </c>
      <c r="V1497" s="279">
        <v>42697</v>
      </c>
      <c r="W1497" s="293">
        <v>30.59</v>
      </c>
      <c r="X1497" s="236">
        <v>9479</v>
      </c>
      <c r="AF1497" s="276">
        <f t="shared" si="179"/>
        <v>121.59</v>
      </c>
      <c r="AG1497" s="276">
        <f t="shared" si="180"/>
        <v>121.59</v>
      </c>
      <c r="AH1497" s="276">
        <f t="shared" si="181"/>
        <v>6.0130500000000069</v>
      </c>
      <c r="AI1497" s="283">
        <f t="shared" si="182"/>
        <v>4.9453491241056066E-2</v>
      </c>
    </row>
    <row r="1498" spans="1:35" ht="30" x14ac:dyDescent="0.25">
      <c r="A1498" s="275">
        <f>'Profits 2016'!A6711</f>
        <v>3005261</v>
      </c>
      <c r="B1498" s="279">
        <f>'Profits 2016'!B6711</f>
        <v>42674</v>
      </c>
      <c r="C1498" s="276">
        <f>'Profits 2016'!H6711</f>
        <v>193</v>
      </c>
      <c r="D1498" s="280">
        <f>'Profits 2016'!K6711</f>
        <v>171.66299999999998</v>
      </c>
      <c r="E1498" s="276">
        <f>'Profits 2016'!L6711</f>
        <v>950</v>
      </c>
      <c r="F1498" s="275" t="str">
        <f>'Profits 2016'!P6711</f>
        <v>Nassau</v>
      </c>
      <c r="G1498" s="292">
        <f>'Profits 2016'!N6711-'Profits 2016'!M6711</f>
        <v>71.25</v>
      </c>
      <c r="H1498" s="319"/>
      <c r="I1498" s="320"/>
      <c r="J1498" s="321"/>
      <c r="K1498" s="321"/>
      <c r="L1498" s="321"/>
      <c r="M1498" s="319"/>
      <c r="N1498" s="322"/>
      <c r="O1498" s="236" t="str">
        <f>'Profits 2016'!T6711</f>
        <v>FEDEX GROUND</v>
      </c>
      <c r="P1498" s="284" t="str">
        <f>'Profits 2016'!U6711</f>
        <v>702723291311</v>
      </c>
      <c r="Q1498" s="284" t="s">
        <v>314</v>
      </c>
      <c r="R1498" s="276">
        <v>26.48</v>
      </c>
      <c r="S1498" s="275" t="s">
        <v>15907</v>
      </c>
      <c r="T1498" s="279">
        <v>42688</v>
      </c>
      <c r="U1498" s="279">
        <v>42691</v>
      </c>
      <c r="V1498" s="279">
        <v>42697</v>
      </c>
      <c r="W1498" s="293">
        <v>26.48</v>
      </c>
      <c r="X1498" s="236">
        <v>9494</v>
      </c>
      <c r="AF1498" s="276">
        <f t="shared" si="179"/>
        <v>97.73</v>
      </c>
      <c r="AG1498" s="276">
        <f t="shared" si="180"/>
        <v>26.48</v>
      </c>
      <c r="AH1498" s="276">
        <f t="shared" si="181"/>
        <v>145.18299999999999</v>
      </c>
      <c r="AI1498" s="283">
        <f t="shared" si="182"/>
        <v>1.4855520311061086</v>
      </c>
    </row>
    <row r="1499" spans="1:35" ht="30" x14ac:dyDescent="0.25">
      <c r="A1499" s="275">
        <f>'Profits 2016'!A6712</f>
        <v>3005262</v>
      </c>
      <c r="B1499" s="279">
        <f>'Profits 2016'!B6712</f>
        <v>42674</v>
      </c>
      <c r="C1499" s="276">
        <f>'Profits 2016'!H6712</f>
        <v>467.47</v>
      </c>
      <c r="D1499" s="280">
        <f>'Profits 2016'!K6712</f>
        <v>416.21577000000002</v>
      </c>
      <c r="E1499" s="276">
        <f>'Profits 2016'!L6712</f>
        <v>0</v>
      </c>
      <c r="F1499" s="275" t="str">
        <f>'Profits 2016'!P6712</f>
        <v>Nassau</v>
      </c>
      <c r="G1499" s="292">
        <f>'Profits 2016'!N6712-'Profits 2016'!M6712</f>
        <v>0</v>
      </c>
      <c r="H1499" s="319"/>
      <c r="I1499" s="320"/>
      <c r="J1499" s="321"/>
      <c r="K1499" s="321"/>
      <c r="L1499" s="321"/>
      <c r="M1499" s="319"/>
      <c r="N1499" s="322"/>
      <c r="O1499" s="236" t="str">
        <f>'Profits 2016'!T6712</f>
        <v>FEDEX GROUND</v>
      </c>
      <c r="P1499" s="284" t="str">
        <f>'Profits 2016'!U6712</f>
        <v>665645048000</v>
      </c>
      <c r="Q1499" s="284" t="s">
        <v>314</v>
      </c>
      <c r="R1499" s="276">
        <v>40.4</v>
      </c>
      <c r="S1499" s="275" t="s">
        <v>15907</v>
      </c>
      <c r="T1499" s="279">
        <v>42688</v>
      </c>
      <c r="U1499" s="279">
        <v>42691</v>
      </c>
      <c r="V1499" s="279">
        <v>42697</v>
      </c>
      <c r="W1499" s="293">
        <v>40.4</v>
      </c>
      <c r="X1499" s="236">
        <v>9494</v>
      </c>
      <c r="AF1499" s="276">
        <f t="shared" si="179"/>
        <v>40.4</v>
      </c>
      <c r="AG1499" s="276">
        <f t="shared" si="180"/>
        <v>40.4</v>
      </c>
      <c r="AH1499" s="276">
        <f t="shared" si="181"/>
        <v>375.81577000000004</v>
      </c>
      <c r="AI1499" s="283">
        <f t="shared" si="182"/>
        <v>9.3023705445544564</v>
      </c>
    </row>
    <row r="1500" spans="1:35" ht="30" x14ac:dyDescent="0.25">
      <c r="A1500" s="275">
        <f>'Profits 2016'!A6713</f>
        <v>3005263</v>
      </c>
      <c r="B1500" s="279">
        <f>'Profits 2016'!B6713</f>
        <v>42674</v>
      </c>
      <c r="C1500" s="276">
        <f>'Profits 2016'!H6713</f>
        <v>231.66</v>
      </c>
      <c r="D1500" s="280">
        <f>'Profits 2016'!K6713</f>
        <v>196.911</v>
      </c>
      <c r="E1500" s="276">
        <f>'Profits 2016'!L6713</f>
        <v>0</v>
      </c>
      <c r="F1500" s="275" t="str">
        <f>'Profits 2016'!P6713</f>
        <v>Nassau</v>
      </c>
      <c r="G1500" s="292">
        <f>'Profits 2016'!N6713-'Profits 2016'!M6713</f>
        <v>0</v>
      </c>
      <c r="H1500" s="319"/>
      <c r="I1500" s="320"/>
      <c r="J1500" s="321"/>
      <c r="K1500" s="321"/>
      <c r="L1500" s="321"/>
      <c r="M1500" s="319"/>
      <c r="N1500" s="322"/>
      <c r="O1500" s="236" t="str">
        <f>'Profits 2016'!T6713</f>
        <v>FEDEX GROUND</v>
      </c>
      <c r="P1500" s="284" t="str">
        <f>'Profits 2016'!U6713</f>
        <v>665645047872</v>
      </c>
      <c r="Q1500" s="284" t="s">
        <v>314</v>
      </c>
      <c r="R1500" s="276">
        <v>48.67</v>
      </c>
      <c r="S1500" s="275" t="s">
        <v>15847</v>
      </c>
      <c r="T1500" s="279">
        <v>42695</v>
      </c>
      <c r="U1500" s="279">
        <v>42702</v>
      </c>
      <c r="AF1500" s="276">
        <f t="shared" si="179"/>
        <v>48.67</v>
      </c>
      <c r="AG1500" s="276">
        <f t="shared" si="180"/>
        <v>48.67</v>
      </c>
      <c r="AH1500" s="276">
        <f t="shared" si="181"/>
        <v>148.24099999999999</v>
      </c>
      <c r="AI1500" s="283">
        <f t="shared" si="182"/>
        <v>3.0458393260735561</v>
      </c>
    </row>
    <row r="1501" spans="1:35" ht="30" x14ac:dyDescent="0.25">
      <c r="A1501" s="275">
        <f>'Profits 2016'!A6714</f>
        <v>3005264</v>
      </c>
      <c r="B1501" s="279">
        <f>'Profits 2016'!B6714</f>
        <v>42674</v>
      </c>
      <c r="C1501" s="276">
        <f>'Profits 2016'!H6714</f>
        <v>256</v>
      </c>
      <c r="D1501" s="280">
        <f>'Profits 2016'!K6714</f>
        <v>217.6</v>
      </c>
      <c r="E1501" s="276">
        <f>'Profits 2016'!L6714</f>
        <v>295.08</v>
      </c>
      <c r="F1501" s="275" t="str">
        <f>'Profits 2016'!P6714</f>
        <v>Thea</v>
      </c>
      <c r="G1501" s="292">
        <f>'Profits 2016'!N6714-'Profits 2016'!M6714</f>
        <v>73.77</v>
      </c>
      <c r="H1501" s="319"/>
      <c r="I1501" s="320"/>
      <c r="J1501" s="321"/>
      <c r="K1501" s="321"/>
      <c r="L1501" s="321"/>
      <c r="M1501" s="319"/>
      <c r="N1501" s="322"/>
      <c r="O1501" s="236" t="str">
        <f>'Profits 2016'!T6714</f>
        <v>FEDEX GROUND</v>
      </c>
      <c r="P1501" s="284" t="str">
        <f>'Profits 2016'!U6714</f>
        <v>675157531422</v>
      </c>
      <c r="Q1501" s="284" t="s">
        <v>314</v>
      </c>
      <c r="R1501" s="276">
        <v>15.27</v>
      </c>
      <c r="S1501" s="275" t="s">
        <v>15907</v>
      </c>
      <c r="T1501" s="279">
        <v>42688</v>
      </c>
      <c r="U1501" s="279">
        <v>42691</v>
      </c>
      <c r="V1501" s="279">
        <v>42697</v>
      </c>
      <c r="W1501" s="293">
        <v>15.27</v>
      </c>
      <c r="X1501" s="236">
        <v>9494</v>
      </c>
      <c r="AF1501" s="276">
        <f t="shared" si="179"/>
        <v>89.039999999999992</v>
      </c>
      <c r="AG1501" s="276">
        <f t="shared" si="180"/>
        <v>15.27</v>
      </c>
      <c r="AH1501" s="276">
        <f t="shared" si="181"/>
        <v>202.32999999999998</v>
      </c>
      <c r="AI1501" s="283">
        <f t="shared" si="182"/>
        <v>2.2723495058400718</v>
      </c>
    </row>
    <row r="1502" spans="1:35" ht="30" x14ac:dyDescent="0.25">
      <c r="A1502" s="275">
        <f>'Profits 2016'!A6715</f>
        <v>3005265</v>
      </c>
      <c r="B1502" s="279">
        <f>'Profits 2016'!B6715</f>
        <v>42674</v>
      </c>
      <c r="C1502" s="276">
        <f>'Profits 2016'!H6715</f>
        <v>16950</v>
      </c>
      <c r="D1502" s="280">
        <f>'Profits 2016'!K6715</f>
        <v>16950</v>
      </c>
      <c r="E1502" s="276">
        <f>'Profits 2016'!L6715</f>
        <v>766</v>
      </c>
      <c r="F1502" s="275" t="str">
        <f>'Profits 2016'!P6715</f>
        <v>Priority</v>
      </c>
      <c r="G1502" s="292">
        <f>'Profits 2016'!N6715-'Profits 2016'!M6715</f>
        <v>766</v>
      </c>
      <c r="H1502" s="331">
        <v>0</v>
      </c>
      <c r="I1502" s="332">
        <v>1072194</v>
      </c>
      <c r="J1502" s="333">
        <v>42675</v>
      </c>
      <c r="K1502" s="333">
        <v>42681</v>
      </c>
      <c r="L1502" s="333">
        <v>42697</v>
      </c>
      <c r="M1502" s="331">
        <v>766</v>
      </c>
      <c r="N1502" s="334">
        <v>9479</v>
      </c>
      <c r="O1502" s="236" t="str">
        <f>'Profits 2016'!T6715</f>
        <v>UPS FREIGHT</v>
      </c>
      <c r="P1502" s="284" t="str">
        <f>'Profits 2016'!U6715</f>
        <v xml:space="preserve">229542703	</v>
      </c>
      <c r="AF1502" s="276">
        <f t="shared" si="179"/>
        <v>766</v>
      </c>
      <c r="AG1502" s="276">
        <f t="shared" si="180"/>
        <v>766</v>
      </c>
      <c r="AH1502" s="276">
        <f t="shared" si="181"/>
        <v>16184</v>
      </c>
      <c r="AI1502" s="283">
        <f t="shared" si="182"/>
        <v>21.127937336814622</v>
      </c>
    </row>
    <row r="1503" spans="1:35" x14ac:dyDescent="0.25">
      <c r="A1503" s="275">
        <f>'Profits 2016'!A6716</f>
        <v>0</v>
      </c>
      <c r="B1503" s="279">
        <f>'Profits 2016'!B6716</f>
        <v>0</v>
      </c>
      <c r="C1503" s="276">
        <f>'Profits 2016'!H6716</f>
        <v>0</v>
      </c>
      <c r="D1503" s="280">
        <f>'Profits 2016'!K6716</f>
        <v>0</v>
      </c>
      <c r="E1503" s="276">
        <f>'Profits 2016'!L6716</f>
        <v>20240</v>
      </c>
      <c r="F1503" s="275" t="str">
        <f>'Profits 2016'!P6716</f>
        <v>Priority</v>
      </c>
      <c r="G1503" s="292">
        <f>'Profits 2016'!N6716-'Profits 2016'!M6716</f>
        <v>10120</v>
      </c>
      <c r="H1503" s="331">
        <v>0</v>
      </c>
      <c r="I1503" s="332">
        <v>1072490</v>
      </c>
      <c r="J1503" s="333">
        <v>42676</v>
      </c>
      <c r="K1503" s="333">
        <v>42688</v>
      </c>
      <c r="L1503" s="333"/>
      <c r="M1503" s="331"/>
      <c r="N1503" s="334"/>
      <c r="O1503" s="236">
        <f>'Profits 2016'!T6716</f>
        <v>0</v>
      </c>
      <c r="P1503" s="284">
        <f>'Profits 2016'!U6716</f>
        <v>0</v>
      </c>
      <c r="AF1503" s="276">
        <f t="shared" si="179"/>
        <v>10120</v>
      </c>
      <c r="AG1503" s="276">
        <f t="shared" si="180"/>
        <v>0</v>
      </c>
      <c r="AH1503" s="276">
        <f t="shared" si="181"/>
        <v>0</v>
      </c>
      <c r="AI1503" s="283">
        <f t="shared" si="182"/>
        <v>0</v>
      </c>
    </row>
    <row r="1504" spans="1:35" x14ac:dyDescent="0.25">
      <c r="A1504" s="275">
        <f>'Profits 2016'!A6717</f>
        <v>0</v>
      </c>
      <c r="B1504" s="279">
        <f>'Profits 2016'!B6717</f>
        <v>0</v>
      </c>
      <c r="C1504" s="276">
        <f>'Profits 2016'!H6717</f>
        <v>0</v>
      </c>
      <c r="D1504" s="280">
        <f>'Profits 2016'!K6717</f>
        <v>0</v>
      </c>
      <c r="E1504" s="276">
        <f>'Profits 2016'!L6717</f>
        <v>14060</v>
      </c>
      <c r="F1504" s="275" t="str">
        <f>'Profits 2016'!P6717</f>
        <v>Priority</v>
      </c>
      <c r="G1504" s="292">
        <f>'Profits 2016'!N6717-'Profits 2016'!M6717</f>
        <v>3515</v>
      </c>
      <c r="H1504" s="331">
        <v>0</v>
      </c>
      <c r="I1504" s="332">
        <v>1072194</v>
      </c>
      <c r="J1504" s="333">
        <v>42675</v>
      </c>
      <c r="K1504" s="333">
        <v>42681</v>
      </c>
      <c r="L1504" s="333">
        <v>42697</v>
      </c>
      <c r="M1504" s="331">
        <v>3515</v>
      </c>
      <c r="N1504" s="334">
        <v>9479</v>
      </c>
      <c r="O1504" s="236">
        <f>'Profits 2016'!T6717</f>
        <v>0</v>
      </c>
      <c r="P1504" s="284">
        <f>'Profits 2016'!U6717</f>
        <v>0</v>
      </c>
      <c r="AF1504" s="276">
        <f t="shared" si="179"/>
        <v>3515</v>
      </c>
      <c r="AG1504" s="276">
        <f t="shared" si="180"/>
        <v>3515</v>
      </c>
      <c r="AH1504" s="276">
        <f t="shared" si="181"/>
        <v>-3515</v>
      </c>
      <c r="AI1504" s="283">
        <f t="shared" si="182"/>
        <v>-1</v>
      </c>
    </row>
    <row r="1505" spans="1:35" ht="30" x14ac:dyDescent="0.25">
      <c r="A1505" s="275">
        <f>'Profits 2016'!A6718</f>
        <v>3005266</v>
      </c>
      <c r="B1505" s="279">
        <f>'Profits 2016'!B6718</f>
        <v>42674</v>
      </c>
      <c r="C1505" s="276">
        <f>'Profits 2016'!H6718</f>
        <v>513.04</v>
      </c>
      <c r="D1505" s="280">
        <f>'Profits 2016'!K6718</f>
        <v>436.08399999999995</v>
      </c>
      <c r="E1505" s="276">
        <f>'Profits 2016'!L6718</f>
        <v>1100</v>
      </c>
      <c r="F1505" s="275" t="str">
        <f>'Profits 2016'!P6718</f>
        <v>Nassau</v>
      </c>
      <c r="G1505" s="292">
        <f>'Profits 2016'!N6718-'Profits 2016'!M6718</f>
        <v>275</v>
      </c>
      <c r="H1505" s="331"/>
      <c r="I1505" s="332"/>
      <c r="J1505" s="333"/>
      <c r="K1505" s="333"/>
      <c r="L1505" s="333"/>
      <c r="M1505" s="331"/>
      <c r="N1505" s="334"/>
      <c r="O1505" s="236" t="str">
        <f>'Profits 2016'!T6718</f>
        <v>FEDEX GROUND</v>
      </c>
      <c r="P1505" s="284" t="str">
        <f>'Profits 2016'!U6718</f>
        <v>665645047894</v>
      </c>
      <c r="Q1505" s="284" t="s">
        <v>314</v>
      </c>
      <c r="R1505" s="276">
        <v>47.25</v>
      </c>
      <c r="S1505" s="275" t="s">
        <v>15907</v>
      </c>
      <c r="T1505" s="279">
        <v>42688</v>
      </c>
      <c r="U1505" s="279">
        <v>42691</v>
      </c>
      <c r="V1505" s="279">
        <v>42697</v>
      </c>
      <c r="W1505" s="293">
        <v>47.25</v>
      </c>
      <c r="X1505" s="236">
        <v>9494</v>
      </c>
      <c r="AF1505" s="276">
        <f t="shared" si="179"/>
        <v>322.25</v>
      </c>
      <c r="AG1505" s="276">
        <f t="shared" si="180"/>
        <v>47.25</v>
      </c>
      <c r="AH1505" s="276">
        <f t="shared" si="181"/>
        <v>388.83399999999995</v>
      </c>
      <c r="AI1505" s="283">
        <f t="shared" si="182"/>
        <v>1.2066221877424359</v>
      </c>
    </row>
    <row r="1506" spans="1:35" ht="30" x14ac:dyDescent="0.25">
      <c r="A1506" s="275">
        <f>'Profits 2016'!A6719</f>
        <v>3005267</v>
      </c>
      <c r="B1506" s="279">
        <f>'Profits 2016'!B6719</f>
        <v>42674</v>
      </c>
      <c r="C1506" s="276">
        <f>'Profits 2016'!H6719</f>
        <v>138.57</v>
      </c>
      <c r="D1506" s="280">
        <f>'Profits 2016'!K6719</f>
        <v>117.78449999999999</v>
      </c>
      <c r="E1506" s="276">
        <f>'Profits 2016'!L6719</f>
        <v>698</v>
      </c>
      <c r="F1506" s="275" t="str">
        <f>'Profits 2016'!P6719</f>
        <v>Nassau</v>
      </c>
      <c r="G1506" s="292">
        <f>'Profits 2016'!N6719-'Profits 2016'!M6719</f>
        <v>69.8</v>
      </c>
      <c r="H1506" s="319"/>
      <c r="I1506" s="320"/>
      <c r="J1506" s="321"/>
      <c r="K1506" s="321"/>
      <c r="L1506" s="321"/>
      <c r="M1506" s="319"/>
      <c r="N1506" s="322"/>
      <c r="O1506" s="236" t="str">
        <f>'Profits 2016'!T6719</f>
        <v>FEDEX GROUND</v>
      </c>
      <c r="P1506" s="284" t="str">
        <f>'Profits 2016'!U6719</f>
        <v>665645047953</v>
      </c>
      <c r="Q1506" s="284" t="s">
        <v>314</v>
      </c>
      <c r="R1506" s="276">
        <v>19.09</v>
      </c>
      <c r="S1506" s="275" t="s">
        <v>15907</v>
      </c>
      <c r="T1506" s="279">
        <v>42688</v>
      </c>
      <c r="U1506" s="279">
        <v>42691</v>
      </c>
      <c r="V1506" s="279">
        <v>42697</v>
      </c>
      <c r="W1506" s="293">
        <v>19.09</v>
      </c>
      <c r="X1506" s="236">
        <v>9494</v>
      </c>
      <c r="AF1506" s="276">
        <f t="shared" si="179"/>
        <v>88.89</v>
      </c>
      <c r="AG1506" s="276">
        <f t="shared" si="180"/>
        <v>19.09</v>
      </c>
      <c r="AH1506" s="276">
        <f t="shared" si="181"/>
        <v>98.694499999999991</v>
      </c>
      <c r="AI1506" s="283">
        <f t="shared" si="182"/>
        <v>1.1102992462594217</v>
      </c>
    </row>
    <row r="1507" spans="1:35" ht="30" x14ac:dyDescent="0.25">
      <c r="A1507" s="275">
        <f>'Profits 2016'!A6720</f>
        <v>3005268</v>
      </c>
      <c r="B1507" s="279">
        <f>'Profits 2016'!B6720</f>
        <v>42674</v>
      </c>
      <c r="C1507" s="276">
        <f>'Profits 2016'!H6720</f>
        <v>240.06</v>
      </c>
      <c r="D1507" s="280">
        <f>'Profits 2016'!K6720</f>
        <v>204.05099999999999</v>
      </c>
      <c r="E1507" s="276">
        <f>'Profits 2016'!L6720</f>
        <v>300</v>
      </c>
      <c r="F1507" s="275" t="str">
        <f>'Profits 2016'!P6720</f>
        <v>Nassau</v>
      </c>
      <c r="G1507" s="292">
        <f>'Profits 2016'!N6720-'Profits 2016'!M6720</f>
        <v>150</v>
      </c>
      <c r="H1507" s="319"/>
      <c r="I1507" s="320"/>
      <c r="J1507" s="321"/>
      <c r="K1507" s="321"/>
      <c r="L1507" s="321"/>
      <c r="M1507" s="319"/>
      <c r="N1507" s="322"/>
      <c r="O1507" s="236" t="str">
        <f>'Profits 2016'!T6720</f>
        <v>FEDEX GROUND</v>
      </c>
      <c r="P1507" s="284" t="str">
        <f>'Profits 2016'!U6720</f>
        <v>665645047986</v>
      </c>
      <c r="Q1507" s="284" t="s">
        <v>314</v>
      </c>
      <c r="R1507" s="276">
        <v>52.94</v>
      </c>
      <c r="S1507" s="275" t="s">
        <v>15847</v>
      </c>
      <c r="T1507" s="279">
        <v>42695</v>
      </c>
      <c r="U1507" s="279">
        <v>42702</v>
      </c>
      <c r="AF1507" s="276">
        <f t="shared" si="179"/>
        <v>202.94</v>
      </c>
      <c r="AG1507" s="276">
        <f t="shared" si="180"/>
        <v>52.94</v>
      </c>
      <c r="AH1507" s="276">
        <f t="shared" si="181"/>
        <v>151.11099999999999</v>
      </c>
      <c r="AI1507" s="283">
        <f t="shared" si="182"/>
        <v>0.74460924411156004</v>
      </c>
    </row>
    <row r="1508" spans="1:35" ht="30" x14ac:dyDescent="0.25">
      <c r="A1508" s="275">
        <f>'Profits 2016'!A6721</f>
        <v>3005269</v>
      </c>
      <c r="B1508" s="279">
        <f>'Profits 2016'!B6721</f>
        <v>42674</v>
      </c>
      <c r="C1508" s="276">
        <f>'Profits 2016'!H6721</f>
        <v>513.04</v>
      </c>
      <c r="D1508" s="280">
        <f>'Profits 2016'!K6721</f>
        <v>436.08399999999995</v>
      </c>
      <c r="E1508" s="276">
        <f>'Profits 2016'!L6721</f>
        <v>698</v>
      </c>
      <c r="F1508" s="275" t="str">
        <f>'Profits 2016'!P6721</f>
        <v>Nassau</v>
      </c>
      <c r="G1508" s="292">
        <f>'Profits 2016'!N6721-'Profits 2016'!M6721</f>
        <v>174.5</v>
      </c>
      <c r="H1508" s="319"/>
      <c r="I1508" s="320"/>
      <c r="J1508" s="321"/>
      <c r="K1508" s="321"/>
      <c r="L1508" s="321"/>
      <c r="M1508" s="319"/>
      <c r="N1508" s="322"/>
      <c r="O1508" s="236" t="str">
        <f>'Profits 2016'!T6721</f>
        <v>FEDEX GROUND</v>
      </c>
      <c r="P1508" s="284" t="str">
        <f>'Profits 2016'!U6721</f>
        <v>665645047910</v>
      </c>
      <c r="Q1508" s="284" t="s">
        <v>314</v>
      </c>
      <c r="R1508" s="276">
        <v>44.83</v>
      </c>
      <c r="S1508" s="275" t="s">
        <v>15907</v>
      </c>
      <c r="T1508" s="279">
        <v>42688</v>
      </c>
      <c r="U1508" s="279">
        <v>42691</v>
      </c>
      <c r="V1508" s="279">
        <v>42697</v>
      </c>
      <c r="W1508" s="293">
        <v>44.83</v>
      </c>
      <c r="X1508" s="236">
        <v>9494</v>
      </c>
      <c r="AF1508" s="276">
        <f t="shared" si="179"/>
        <v>219.32999999999998</v>
      </c>
      <c r="AG1508" s="276">
        <f t="shared" si="180"/>
        <v>44.83</v>
      </c>
      <c r="AH1508" s="276">
        <f t="shared" si="181"/>
        <v>391.25399999999996</v>
      </c>
      <c r="AI1508" s="283">
        <f t="shared" si="182"/>
        <v>1.7838599370811106</v>
      </c>
    </row>
    <row r="1509" spans="1:35" ht="30" x14ac:dyDescent="0.25">
      <c r="A1509" s="275">
        <f>'Profits 2016'!A6722</f>
        <v>3005270</v>
      </c>
      <c r="B1509" s="279">
        <f>'Profits 2016'!B6722</f>
        <v>42674</v>
      </c>
      <c r="C1509" s="276">
        <f>'Profits 2016'!H6722</f>
        <v>253.82</v>
      </c>
      <c r="D1509" s="280">
        <f>'Profits 2016'!K6722</f>
        <v>215.74699999999999</v>
      </c>
      <c r="E1509" s="276">
        <f>'Profits 2016'!L6722</f>
        <v>300</v>
      </c>
      <c r="F1509" s="275" t="str">
        <f>'Profits 2016'!P6722</f>
        <v>Nassau</v>
      </c>
      <c r="G1509" s="292">
        <f>'Profits 2016'!N6722-'Profits 2016'!M6722</f>
        <v>105</v>
      </c>
      <c r="H1509" s="319"/>
      <c r="I1509" s="320"/>
      <c r="J1509" s="321"/>
      <c r="K1509" s="321"/>
      <c r="L1509" s="321"/>
      <c r="M1509" s="319"/>
      <c r="N1509" s="322"/>
      <c r="O1509" s="236" t="str">
        <f>'Profits 2016'!T6722</f>
        <v>FEDEX GROUND</v>
      </c>
      <c r="P1509" s="284" t="str">
        <f>'Profits 2016'!U6722</f>
        <v>702723291701</v>
      </c>
      <c r="Q1509" s="284" t="s">
        <v>314</v>
      </c>
      <c r="R1509" s="276">
        <v>44.56</v>
      </c>
      <c r="S1509" s="275" t="s">
        <v>15847</v>
      </c>
      <c r="T1509" s="279">
        <v>42695</v>
      </c>
      <c r="U1509" s="279">
        <v>42702</v>
      </c>
      <c r="AF1509" s="276">
        <f t="shared" si="179"/>
        <v>149.56</v>
      </c>
      <c r="AG1509" s="276">
        <f t="shared" si="180"/>
        <v>44.56</v>
      </c>
      <c r="AH1509" s="276">
        <f t="shared" si="181"/>
        <v>171.18699999999998</v>
      </c>
      <c r="AI1509" s="283">
        <f t="shared" si="182"/>
        <v>1.1446041722385663</v>
      </c>
    </row>
    <row r="1510" spans="1:35" ht="30" x14ac:dyDescent="0.25">
      <c r="A1510" s="275">
        <f>'Profits 2016'!A6723</f>
        <v>3005271</v>
      </c>
      <c r="B1510" s="279">
        <f>'Profits 2016'!B6723</f>
        <v>42674</v>
      </c>
      <c r="C1510" s="276">
        <f>'Profits 2016'!H6723</f>
        <v>107</v>
      </c>
      <c r="D1510" s="280">
        <f>'Profits 2016'!K6723</f>
        <v>90.95</v>
      </c>
      <c r="E1510" s="276">
        <f>'Profits 2016'!L6723</f>
        <v>200</v>
      </c>
      <c r="F1510" s="275" t="str">
        <f>'Profits 2016'!P6723</f>
        <v>Nassau</v>
      </c>
      <c r="G1510" s="292">
        <f>'Profits 2016'!N6723-'Profits 2016'!M6723</f>
        <v>50</v>
      </c>
      <c r="H1510" s="319"/>
      <c r="I1510" s="320"/>
      <c r="J1510" s="321"/>
      <c r="K1510" s="321"/>
      <c r="L1510" s="321"/>
      <c r="M1510" s="319"/>
      <c r="N1510" s="322"/>
      <c r="O1510" s="236" t="str">
        <f>'Profits 2016'!T6723</f>
        <v>FEDEX GROUND</v>
      </c>
      <c r="P1510" s="284" t="str">
        <f>'Profits 2016'!U6723</f>
        <v>665645048033</v>
      </c>
      <c r="Q1510" s="284" t="s">
        <v>314</v>
      </c>
      <c r="R1510" s="276">
        <v>30.95</v>
      </c>
      <c r="S1510" s="275" t="s">
        <v>15847</v>
      </c>
      <c r="T1510" s="279">
        <v>42695</v>
      </c>
      <c r="U1510" s="279">
        <v>42702</v>
      </c>
      <c r="AF1510" s="276">
        <f t="shared" si="179"/>
        <v>80.95</v>
      </c>
      <c r="AG1510" s="276">
        <f t="shared" si="180"/>
        <v>30.95</v>
      </c>
      <c r="AH1510" s="276">
        <f t="shared" si="181"/>
        <v>60</v>
      </c>
      <c r="AI1510" s="283">
        <f t="shared" si="182"/>
        <v>0.74119827053736875</v>
      </c>
    </row>
    <row r="1511" spans="1:35" ht="30" x14ac:dyDescent="0.25">
      <c r="A1511" s="275">
        <f>'Profits 2016'!A6724</f>
        <v>3005272</v>
      </c>
      <c r="B1511" s="279">
        <f>'Profits 2016'!B6724</f>
        <v>42674</v>
      </c>
      <c r="C1511" s="276">
        <f>'Profits 2016'!H6724</f>
        <v>218.25</v>
      </c>
      <c r="D1511" s="280">
        <f>'Profits 2016'!K6724</f>
        <v>185.51249999999999</v>
      </c>
      <c r="E1511" s="276">
        <f>'Profits 2016'!L6724</f>
        <v>754</v>
      </c>
      <c r="F1511" s="275" t="str">
        <f>'Profits 2016'!P6724</f>
        <v>Direct</v>
      </c>
      <c r="G1511" s="292">
        <f>'Profits 2016'!N6724-'Profits 2016'!M6724</f>
        <v>75.400000000000006</v>
      </c>
      <c r="H1511" s="331">
        <v>0</v>
      </c>
      <c r="I1511" s="332">
        <v>75559</v>
      </c>
      <c r="J1511" s="333">
        <v>42675</v>
      </c>
      <c r="K1511" s="333">
        <v>42681</v>
      </c>
      <c r="L1511" s="333"/>
      <c r="M1511" s="331"/>
      <c r="N1511" s="334"/>
      <c r="O1511" s="236" t="str">
        <f>'Profits 2016'!T6724</f>
        <v>FEDEX GROUND</v>
      </c>
      <c r="P1511" s="284" t="str">
        <f>'Profits 2016'!U6724</f>
        <v>630512245589</v>
      </c>
      <c r="Q1511" s="284" t="s">
        <v>314</v>
      </c>
      <c r="R1511" s="276">
        <v>27.77</v>
      </c>
      <c r="S1511" s="275" t="s">
        <v>15907</v>
      </c>
      <c r="T1511" s="279">
        <v>42688</v>
      </c>
      <c r="U1511" s="279">
        <v>42691</v>
      </c>
      <c r="V1511" s="279">
        <v>42697</v>
      </c>
      <c r="W1511" s="293">
        <v>27.77</v>
      </c>
      <c r="X1511" s="236">
        <v>9494</v>
      </c>
      <c r="AF1511" s="276">
        <f t="shared" si="179"/>
        <v>103.17</v>
      </c>
      <c r="AG1511" s="276">
        <f t="shared" si="180"/>
        <v>27.77</v>
      </c>
      <c r="AH1511" s="276">
        <f t="shared" si="181"/>
        <v>157.74249999999998</v>
      </c>
      <c r="AI1511" s="283">
        <f t="shared" si="182"/>
        <v>1.52895706116119</v>
      </c>
    </row>
    <row r="1512" spans="1:35" x14ac:dyDescent="0.25">
      <c r="A1512" s="275">
        <f>'Profits 2016'!A6725</f>
        <v>0</v>
      </c>
      <c r="B1512" s="279">
        <f>'Profits 2016'!B6725</f>
        <v>0</v>
      </c>
      <c r="C1512" s="276">
        <f>'Profits 2016'!H6725</f>
        <v>0</v>
      </c>
      <c r="D1512" s="280">
        <f>'Profits 2016'!K6725</f>
        <v>0</v>
      </c>
      <c r="E1512" s="276">
        <f>'Profits 2016'!L6725</f>
        <v>754</v>
      </c>
      <c r="F1512" s="275" t="str">
        <f>'Profits 2016'!P6725</f>
        <v>Direct</v>
      </c>
      <c r="G1512" s="292">
        <f>'Profits 2016'!N6725-'Profits 2016'!M6725</f>
        <v>75.400000000000006</v>
      </c>
      <c r="H1512" s="331">
        <v>0</v>
      </c>
      <c r="I1512" s="332">
        <v>75559</v>
      </c>
      <c r="J1512" s="333">
        <v>42675</v>
      </c>
      <c r="K1512" s="333">
        <v>42681</v>
      </c>
      <c r="L1512" s="333"/>
      <c r="M1512" s="331"/>
      <c r="N1512" s="334"/>
      <c r="O1512" s="236">
        <f>'Profits 2016'!T6725</f>
        <v>0</v>
      </c>
      <c r="P1512" s="284">
        <f>'Profits 2016'!U6725</f>
        <v>0</v>
      </c>
      <c r="Q1512" s="284" t="s">
        <v>314</v>
      </c>
      <c r="R1512" s="276">
        <v>0</v>
      </c>
      <c r="S1512" s="275" t="s">
        <v>15907</v>
      </c>
      <c r="T1512" s="279">
        <v>42688</v>
      </c>
      <c r="U1512" s="279">
        <v>42691</v>
      </c>
      <c r="V1512" s="279">
        <v>42697</v>
      </c>
      <c r="W1512" s="293">
        <v>0</v>
      </c>
      <c r="X1512" s="236">
        <v>9494</v>
      </c>
      <c r="AF1512" s="276">
        <f t="shared" si="179"/>
        <v>75.400000000000006</v>
      </c>
      <c r="AG1512" s="276">
        <f t="shared" si="180"/>
        <v>0</v>
      </c>
      <c r="AH1512" s="276">
        <f t="shared" si="181"/>
        <v>0</v>
      </c>
      <c r="AI1512" s="283">
        <f t="shared" si="182"/>
        <v>0</v>
      </c>
    </row>
    <row r="1513" spans="1:35" ht="30" x14ac:dyDescent="0.25">
      <c r="A1513" s="275">
        <f>'Profits 2016'!A6726</f>
        <v>3005273</v>
      </c>
      <c r="B1513" s="279">
        <f>'Profits 2016'!B6726</f>
        <v>42674</v>
      </c>
      <c r="C1513" s="276">
        <f>'Profits 2016'!H6726</f>
        <v>140</v>
      </c>
      <c r="D1513" s="280">
        <f>'Profits 2016'!K6726</f>
        <v>119</v>
      </c>
      <c r="E1513" s="276">
        <f>'Profits 2016'!L6726</f>
        <v>424</v>
      </c>
      <c r="F1513" s="275" t="str">
        <f>'Profits 2016'!P6726</f>
        <v>Nassau</v>
      </c>
      <c r="G1513" s="292">
        <f>'Profits 2016'!N6726-'Profits 2016'!M6726</f>
        <v>74.2</v>
      </c>
      <c r="H1513" s="319"/>
      <c r="I1513" s="320"/>
      <c r="J1513" s="321"/>
      <c r="K1513" s="321"/>
      <c r="L1513" s="321"/>
      <c r="M1513" s="319"/>
      <c r="N1513" s="322"/>
      <c r="O1513" s="236" t="str">
        <f>'Profits 2016'!T6726</f>
        <v>FEDEX GROUND</v>
      </c>
      <c r="P1513" s="284" t="str">
        <f>'Profits 2016'!U6726</f>
        <v>665645047828</v>
      </c>
      <c r="Q1513" s="284" t="s">
        <v>314</v>
      </c>
      <c r="R1513" s="276">
        <v>29.47</v>
      </c>
      <c r="S1513" s="275" t="s">
        <v>15907</v>
      </c>
      <c r="T1513" s="279">
        <v>42688</v>
      </c>
      <c r="U1513" s="279">
        <v>42691</v>
      </c>
      <c r="V1513" s="279">
        <v>42697</v>
      </c>
      <c r="W1513" s="293">
        <v>29.47</v>
      </c>
      <c r="X1513" s="236">
        <v>9494</v>
      </c>
      <c r="AF1513" s="276">
        <f t="shared" si="179"/>
        <v>103.67</v>
      </c>
      <c r="AG1513" s="276">
        <f t="shared" si="180"/>
        <v>29.47</v>
      </c>
      <c r="AH1513" s="276">
        <f t="shared" si="181"/>
        <v>89.53</v>
      </c>
      <c r="AI1513" s="283">
        <f t="shared" si="182"/>
        <v>0.86360567184334913</v>
      </c>
    </row>
    <row r="1514" spans="1:35" ht="30" x14ac:dyDescent="0.25">
      <c r="A1514" s="275">
        <f>'Profits 2016'!A6727</f>
        <v>3005274</v>
      </c>
      <c r="B1514" s="279">
        <f>'Profits 2016'!B6727</f>
        <v>42674</v>
      </c>
      <c r="C1514" s="276">
        <f>'Profits 2016'!H6727</f>
        <v>226.68</v>
      </c>
      <c r="D1514" s="280">
        <f>'Profits 2016'!K6727</f>
        <v>192.678</v>
      </c>
      <c r="E1514" s="276">
        <f>'Profits 2016'!L6727</f>
        <v>300</v>
      </c>
      <c r="F1514" s="275" t="str">
        <f>'Profits 2016'!P6727</f>
        <v>Nassau</v>
      </c>
      <c r="G1514" s="292">
        <f>'Profits 2016'!N6727-'Profits 2016'!M6727</f>
        <v>150</v>
      </c>
      <c r="H1514" s="319"/>
      <c r="I1514" s="320"/>
      <c r="J1514" s="321"/>
      <c r="K1514" s="321"/>
      <c r="L1514" s="321"/>
      <c r="M1514" s="319"/>
      <c r="N1514" s="322"/>
      <c r="O1514" s="236" t="str">
        <f>'Profits 2016'!T6727</f>
        <v>FEDEX GROUND</v>
      </c>
      <c r="P1514" s="284" t="str">
        <f>'Profits 2016'!U6727</f>
        <v xml:space="preserve">665645047975
</v>
      </c>
      <c r="Q1514" s="284" t="s">
        <v>314</v>
      </c>
      <c r="R1514" s="276">
        <v>42.3</v>
      </c>
      <c r="S1514" s="275" t="s">
        <v>15907</v>
      </c>
      <c r="T1514" s="279">
        <v>42688</v>
      </c>
      <c r="U1514" s="279">
        <v>42691</v>
      </c>
      <c r="V1514" s="279">
        <v>42697</v>
      </c>
      <c r="W1514" s="293">
        <v>42.3</v>
      </c>
      <c r="X1514" s="236">
        <v>9494</v>
      </c>
      <c r="AF1514" s="276">
        <f t="shared" si="179"/>
        <v>192.3</v>
      </c>
      <c r="AG1514" s="276">
        <f t="shared" si="180"/>
        <v>42.3</v>
      </c>
      <c r="AH1514" s="276">
        <f t="shared" si="181"/>
        <v>150.37799999999999</v>
      </c>
      <c r="AI1514" s="283">
        <f t="shared" si="182"/>
        <v>0.78199687987519484</v>
      </c>
    </row>
    <row r="1515" spans="1:35" ht="30" x14ac:dyDescent="0.25">
      <c r="A1515" s="275">
        <f>'Profits 2016'!A6728</f>
        <v>3005275</v>
      </c>
      <c r="B1515" s="279">
        <f>'Profits 2016'!B6728</f>
        <v>42674</v>
      </c>
      <c r="C1515" s="276">
        <f>'Profits 2016'!H6728</f>
        <v>881.65</v>
      </c>
      <c r="D1515" s="280">
        <f>'Profits 2016'!K6728</f>
        <v>749.40249999999992</v>
      </c>
      <c r="E1515" s="276">
        <f>'Profits 2016'!L6728</f>
        <v>1450</v>
      </c>
      <c r="F1515" s="275" t="str">
        <f>'Profits 2016'!P6728</f>
        <v>Direct</v>
      </c>
      <c r="G1515" s="292">
        <f>'Profits 2016'!N6728-'Profits 2016'!M6728</f>
        <v>145</v>
      </c>
      <c r="H1515" s="331">
        <v>0</v>
      </c>
      <c r="I1515" s="332">
        <v>75550</v>
      </c>
      <c r="J1515" s="333">
        <v>42675</v>
      </c>
      <c r="K1515" s="333">
        <v>42681</v>
      </c>
      <c r="L1515" s="333"/>
      <c r="M1515" s="331"/>
      <c r="N1515" s="334"/>
      <c r="O1515" s="236" t="str">
        <f>'Profits 2016'!T6728</f>
        <v>FEDEX GROUND</v>
      </c>
      <c r="P1515" s="284" t="str">
        <f>'Profits 2016'!U6728</f>
        <v>639564016581</v>
      </c>
      <c r="Q1515" s="284" t="s">
        <v>314</v>
      </c>
      <c r="R1515" s="276">
        <v>38.07</v>
      </c>
      <c r="S1515" s="275" t="s">
        <v>15907</v>
      </c>
      <c r="T1515" s="279">
        <v>42688</v>
      </c>
      <c r="U1515" s="279">
        <v>42691</v>
      </c>
      <c r="V1515" s="279">
        <v>42697</v>
      </c>
      <c r="W1515" s="293">
        <v>38.07</v>
      </c>
      <c r="X1515" s="236">
        <v>9494</v>
      </c>
      <c r="AF1515" s="276">
        <f t="shared" si="179"/>
        <v>183.07</v>
      </c>
      <c r="AG1515" s="276">
        <f t="shared" si="180"/>
        <v>38.07</v>
      </c>
      <c r="AH1515" s="276">
        <f t="shared" si="181"/>
        <v>711.33249999999987</v>
      </c>
      <c r="AI1515" s="283">
        <f t="shared" si="182"/>
        <v>3.8855765554159607</v>
      </c>
    </row>
    <row r="1516" spans="1:35" x14ac:dyDescent="0.25">
      <c r="A1516" s="275">
        <f>'Profits 2016'!A6729</f>
        <v>0</v>
      </c>
      <c r="B1516" s="279">
        <f>'Profits 2016'!B6729</f>
        <v>0</v>
      </c>
      <c r="C1516" s="276">
        <f>'Profits 2016'!H6729</f>
        <v>0</v>
      </c>
      <c r="D1516" s="280">
        <f>'Profits 2016'!K6729</f>
        <v>0</v>
      </c>
      <c r="E1516" s="276">
        <f>'Profits 2016'!L6729</f>
        <v>1450</v>
      </c>
      <c r="F1516" s="275" t="str">
        <f>'Profits 2016'!P6729</f>
        <v>Direct</v>
      </c>
      <c r="G1516" s="292">
        <f>'Profits 2016'!N6729-'Profits 2016'!M6729</f>
        <v>145</v>
      </c>
      <c r="H1516" s="331">
        <v>0</v>
      </c>
      <c r="I1516" s="332">
        <v>75550</v>
      </c>
      <c r="J1516" s="333">
        <v>42675</v>
      </c>
      <c r="K1516" s="333">
        <v>42681</v>
      </c>
      <c r="L1516" s="333"/>
      <c r="M1516" s="331"/>
      <c r="N1516" s="334"/>
      <c r="O1516" s="236">
        <f>'Profits 2016'!T6729</f>
        <v>0</v>
      </c>
      <c r="P1516" s="284">
        <f>'Profits 2016'!U6729</f>
        <v>0</v>
      </c>
      <c r="AF1516" s="276">
        <f t="shared" si="179"/>
        <v>145</v>
      </c>
      <c r="AG1516" s="276">
        <f t="shared" si="180"/>
        <v>0</v>
      </c>
      <c r="AH1516" s="276">
        <f t="shared" si="181"/>
        <v>0</v>
      </c>
      <c r="AI1516" s="283">
        <f t="shared" si="182"/>
        <v>0</v>
      </c>
    </row>
    <row r="1517" spans="1:35" x14ac:dyDescent="0.25">
      <c r="A1517" s="275">
        <f>'Profits 2016'!A6730</f>
        <v>0</v>
      </c>
      <c r="B1517" s="279">
        <f>'Profits 2016'!B6730</f>
        <v>0</v>
      </c>
      <c r="C1517" s="276">
        <f>'Profits 2016'!H6730</f>
        <v>0</v>
      </c>
      <c r="D1517" s="280">
        <f>'Profits 2016'!K6730</f>
        <v>0</v>
      </c>
      <c r="E1517" s="276">
        <f>'Profits 2016'!L6730</f>
        <v>461</v>
      </c>
      <c r="F1517" s="275" t="str">
        <f>'Profits 2016'!P6730</f>
        <v>Direct</v>
      </c>
      <c r="G1517" s="292">
        <f>'Profits 2016'!N6730-'Profits 2016'!M6730</f>
        <v>46.1</v>
      </c>
      <c r="H1517" s="331">
        <v>0</v>
      </c>
      <c r="I1517" s="332">
        <v>75550</v>
      </c>
      <c r="J1517" s="333">
        <v>42675</v>
      </c>
      <c r="K1517" s="333">
        <v>42681</v>
      </c>
      <c r="L1517" s="333"/>
      <c r="M1517" s="331"/>
      <c r="N1517" s="334"/>
      <c r="O1517" s="236">
        <f>'Profits 2016'!T6730</f>
        <v>0</v>
      </c>
      <c r="P1517" s="284">
        <f>'Profits 2016'!U6730</f>
        <v>0</v>
      </c>
      <c r="AF1517" s="276">
        <f t="shared" si="179"/>
        <v>46.1</v>
      </c>
      <c r="AG1517" s="276">
        <f t="shared" si="180"/>
        <v>0</v>
      </c>
      <c r="AH1517" s="276">
        <f t="shared" si="181"/>
        <v>0</v>
      </c>
      <c r="AI1517" s="283">
        <f t="shared" si="182"/>
        <v>0</v>
      </c>
    </row>
    <row r="1518" spans="1:35" x14ac:dyDescent="0.25">
      <c r="A1518" s="275">
        <f>'Profits 2016'!A6731</f>
        <v>0</v>
      </c>
      <c r="B1518" s="279">
        <f>'Profits 2016'!B6731</f>
        <v>0</v>
      </c>
      <c r="C1518" s="276">
        <f>'Profits 2016'!H6731</f>
        <v>0</v>
      </c>
      <c r="D1518" s="280">
        <f>'Profits 2016'!K6731</f>
        <v>0</v>
      </c>
      <c r="E1518" s="276">
        <f>'Profits 2016'!L6731</f>
        <v>461</v>
      </c>
      <c r="F1518" s="275" t="str">
        <f>'Profits 2016'!P6731</f>
        <v>Direct</v>
      </c>
      <c r="G1518" s="292">
        <f>'Profits 2016'!N6731-'Profits 2016'!M6731</f>
        <v>46.099999999999994</v>
      </c>
      <c r="H1518" s="331">
        <v>0</v>
      </c>
      <c r="I1518" s="332">
        <v>75550</v>
      </c>
      <c r="J1518" s="333">
        <v>42675</v>
      </c>
      <c r="K1518" s="333">
        <v>42681</v>
      </c>
      <c r="L1518" s="333"/>
      <c r="M1518" s="331"/>
      <c r="N1518" s="334"/>
      <c r="O1518" s="236">
        <f>'Profits 2016'!T6731</f>
        <v>0</v>
      </c>
      <c r="P1518" s="284" t="str">
        <f>'Profits 2016'!U6731</f>
        <v>639564016592</v>
      </c>
      <c r="Q1518" s="284" t="s">
        <v>314</v>
      </c>
      <c r="R1518" s="276">
        <v>37.72</v>
      </c>
      <c r="S1518" s="275" t="s">
        <v>15907</v>
      </c>
      <c r="T1518" s="279">
        <v>42688</v>
      </c>
      <c r="U1518" s="279">
        <v>42691</v>
      </c>
      <c r="V1518" s="279">
        <v>42697</v>
      </c>
      <c r="W1518" s="293">
        <v>37.72</v>
      </c>
      <c r="X1518" s="236">
        <v>9494</v>
      </c>
      <c r="AF1518" s="276">
        <f t="shared" si="179"/>
        <v>83.82</v>
      </c>
      <c r="AG1518" s="276">
        <f t="shared" si="180"/>
        <v>37.72</v>
      </c>
      <c r="AH1518" s="276">
        <f t="shared" si="181"/>
        <v>-37.72</v>
      </c>
      <c r="AI1518" s="283">
        <f t="shared" si="182"/>
        <v>-0.45001193032689096</v>
      </c>
    </row>
    <row r="1519" spans="1:35" x14ac:dyDescent="0.25">
      <c r="A1519" s="275">
        <f>'Profits 2016'!A6732</f>
        <v>0</v>
      </c>
      <c r="B1519" s="279">
        <f>'Profits 2016'!B6732</f>
        <v>0</v>
      </c>
      <c r="C1519" s="276">
        <f>'Profits 2016'!H6732</f>
        <v>0</v>
      </c>
      <c r="D1519" s="280">
        <f>'Profits 2016'!K6732</f>
        <v>0</v>
      </c>
      <c r="E1519" s="276">
        <f>'Profits 2016'!L6732</f>
        <v>754</v>
      </c>
      <c r="F1519" s="275" t="str">
        <f>'Profits 2016'!P6732</f>
        <v>Direct</v>
      </c>
      <c r="G1519" s="292">
        <f>'Profits 2016'!N6732-'Profits 2016'!M6732</f>
        <v>75.400000000000006</v>
      </c>
      <c r="H1519" s="331">
        <v>0</v>
      </c>
      <c r="I1519" s="332">
        <v>75550</v>
      </c>
      <c r="J1519" s="333">
        <v>42675</v>
      </c>
      <c r="K1519" s="333">
        <v>42681</v>
      </c>
      <c r="L1519" s="333"/>
      <c r="M1519" s="331"/>
      <c r="N1519" s="334"/>
      <c r="O1519" s="236">
        <f>'Profits 2016'!T6732</f>
        <v>0</v>
      </c>
      <c r="P1519" s="284">
        <f>'Profits 2016'!U6732</f>
        <v>0</v>
      </c>
      <c r="AF1519" s="276">
        <f t="shared" si="179"/>
        <v>75.400000000000006</v>
      </c>
      <c r="AG1519" s="276">
        <f t="shared" si="180"/>
        <v>0</v>
      </c>
      <c r="AH1519" s="276">
        <f t="shared" si="181"/>
        <v>0</v>
      </c>
      <c r="AI1519" s="283">
        <f t="shared" si="182"/>
        <v>0</v>
      </c>
    </row>
    <row r="1520" spans="1:35" x14ac:dyDescent="0.25">
      <c r="A1520" s="275">
        <f>'Profits 2016'!A6733</f>
        <v>0</v>
      </c>
      <c r="B1520" s="279">
        <f>'Profits 2016'!B6733</f>
        <v>0</v>
      </c>
      <c r="C1520" s="276">
        <f>'Profits 2016'!H6733</f>
        <v>0</v>
      </c>
      <c r="D1520" s="280">
        <f>'Profits 2016'!K6733</f>
        <v>0</v>
      </c>
      <c r="E1520" s="276">
        <f>'Profits 2016'!L6733</f>
        <v>754</v>
      </c>
      <c r="F1520" s="275" t="str">
        <f>'Profits 2016'!P6733</f>
        <v>Direct</v>
      </c>
      <c r="G1520" s="292">
        <f>'Profits 2016'!N6733-'Profits 2016'!M6733</f>
        <v>75.400000000000006</v>
      </c>
      <c r="H1520" s="331">
        <v>0</v>
      </c>
      <c r="I1520" s="332">
        <v>75550</v>
      </c>
      <c r="J1520" s="333">
        <v>42675</v>
      </c>
      <c r="K1520" s="333">
        <v>42681</v>
      </c>
      <c r="L1520" s="333"/>
      <c r="M1520" s="331"/>
      <c r="N1520" s="334"/>
      <c r="O1520" s="236">
        <f>'Profits 2016'!T6733</f>
        <v>0</v>
      </c>
      <c r="P1520" s="284">
        <f>'Profits 2016'!U6733</f>
        <v>0</v>
      </c>
      <c r="AF1520" s="276">
        <f t="shared" si="179"/>
        <v>75.400000000000006</v>
      </c>
      <c r="AG1520" s="276">
        <f t="shared" si="180"/>
        <v>0</v>
      </c>
      <c r="AH1520" s="276">
        <f t="shared" si="181"/>
        <v>0</v>
      </c>
      <c r="AI1520" s="283">
        <f t="shared" si="182"/>
        <v>0</v>
      </c>
    </row>
    <row r="1521" spans="1:35" ht="30" x14ac:dyDescent="0.25">
      <c r="A1521" s="275">
        <f>'Profits 2016'!A6734</f>
        <v>3005276</v>
      </c>
      <c r="B1521" s="279">
        <f>'Profits 2016'!B6734</f>
        <v>42674</v>
      </c>
      <c r="C1521" s="276">
        <f>'Profits 2016'!H6734</f>
        <v>513.04</v>
      </c>
      <c r="D1521" s="280">
        <f>'Profits 2016'!K6734</f>
        <v>436.08399999999995</v>
      </c>
      <c r="E1521" s="276">
        <f>'Profits 2016'!L6734</f>
        <v>1100</v>
      </c>
      <c r="F1521" s="275" t="str">
        <f>'Profits 2016'!P6734</f>
        <v>Nassau</v>
      </c>
      <c r="G1521" s="292">
        <f>'Profits 2016'!N6734-'Profits 2016'!M6734</f>
        <v>275</v>
      </c>
      <c r="H1521" s="319"/>
      <c r="I1521" s="320"/>
      <c r="J1521" s="321"/>
      <c r="K1521" s="321"/>
      <c r="L1521" s="321"/>
      <c r="M1521" s="319"/>
      <c r="N1521" s="322"/>
      <c r="O1521" s="236" t="str">
        <f>'Profits 2016'!T6734</f>
        <v>FEDEX GROUND</v>
      </c>
      <c r="P1521" s="284" t="str">
        <f>'Profits 2016'!U6734</f>
        <v>665645047909</v>
      </c>
      <c r="Q1521" s="284" t="s">
        <v>314</v>
      </c>
      <c r="R1521" s="276">
        <v>48.67</v>
      </c>
      <c r="S1521" s="275" t="s">
        <v>15907</v>
      </c>
      <c r="T1521" s="279">
        <v>42688</v>
      </c>
      <c r="U1521" s="279">
        <v>42691</v>
      </c>
      <c r="V1521" s="279">
        <v>42697</v>
      </c>
      <c r="W1521" s="293">
        <v>48.67</v>
      </c>
      <c r="X1521" s="236">
        <v>9494</v>
      </c>
      <c r="AF1521" s="276">
        <f t="shared" si="179"/>
        <v>323.67</v>
      </c>
      <c r="AG1521" s="276">
        <f t="shared" si="180"/>
        <v>48.67</v>
      </c>
      <c r="AH1521" s="276">
        <f t="shared" si="181"/>
        <v>387.41399999999993</v>
      </c>
      <c r="AI1521" s="283">
        <f t="shared" si="182"/>
        <v>1.1969413291315225</v>
      </c>
    </row>
    <row r="1522" spans="1:35" ht="30" x14ac:dyDescent="0.25">
      <c r="A1522" s="275">
        <f>'Profits 2016'!A6735</f>
        <v>3005277</v>
      </c>
      <c r="B1522" s="279">
        <f>'Profits 2016'!B6735</f>
        <v>42674</v>
      </c>
      <c r="C1522" s="276">
        <f>'Profits 2016'!H6735</f>
        <v>160.38</v>
      </c>
      <c r="D1522" s="280">
        <f>'Profits 2016'!K6735</f>
        <v>136.32300000000001</v>
      </c>
      <c r="E1522" s="276">
        <f>'Profits 2016'!L6735</f>
        <v>424</v>
      </c>
      <c r="F1522" s="275" t="str">
        <f>'Profits 2016'!P6735</f>
        <v>Nassau</v>
      </c>
      <c r="G1522" s="292">
        <f>'Profits 2016'!N6735-'Profits 2016'!M6735</f>
        <v>63.6</v>
      </c>
      <c r="H1522" s="319"/>
      <c r="I1522" s="320"/>
      <c r="J1522" s="321"/>
      <c r="K1522" s="321"/>
      <c r="L1522" s="321"/>
      <c r="M1522" s="319"/>
      <c r="N1522" s="322"/>
      <c r="O1522" s="236" t="str">
        <f>'Profits 2016'!T6735</f>
        <v>FEDEX GROUND</v>
      </c>
      <c r="P1522" s="284" t="str">
        <f>'Profits 2016'!U6735</f>
        <v>665645047817</v>
      </c>
      <c r="Q1522" s="284" t="s">
        <v>314</v>
      </c>
      <c r="R1522" s="276">
        <v>23.46</v>
      </c>
      <c r="S1522" s="275" t="s">
        <v>15907</v>
      </c>
      <c r="T1522" s="279">
        <v>42688</v>
      </c>
      <c r="U1522" s="279">
        <v>42691</v>
      </c>
      <c r="V1522" s="279">
        <v>42697</v>
      </c>
      <c r="W1522" s="293">
        <v>23.46</v>
      </c>
      <c r="X1522" s="236">
        <v>9494</v>
      </c>
      <c r="AF1522" s="276">
        <f t="shared" si="179"/>
        <v>87.06</v>
      </c>
      <c r="AG1522" s="276">
        <f t="shared" si="180"/>
        <v>23.46</v>
      </c>
      <c r="AH1522" s="276">
        <f t="shared" si="181"/>
        <v>112.863</v>
      </c>
      <c r="AI1522" s="283">
        <f t="shared" si="182"/>
        <v>1.296381805651275</v>
      </c>
    </row>
    <row r="1523" spans="1:35" ht="30" x14ac:dyDescent="0.25">
      <c r="A1523" s="275">
        <f>'Profits 2016'!A6736</f>
        <v>3005278</v>
      </c>
      <c r="B1523" s="279">
        <f>'Profits 2016'!B6736</f>
        <v>42674</v>
      </c>
      <c r="C1523" s="276">
        <f>'Profits 2016'!H6736</f>
        <v>129.36000000000001</v>
      </c>
      <c r="D1523" s="280">
        <f>'Profits 2016'!K6736</f>
        <v>109.95600000000002</v>
      </c>
      <c r="E1523" s="276">
        <f>'Profits 2016'!L6736</f>
        <v>375</v>
      </c>
      <c r="F1523" s="275" t="str">
        <f>'Profits 2016'!P6736</f>
        <v>Thea</v>
      </c>
      <c r="G1523" s="292">
        <f>'Profits 2016'!N6736-'Profits 2016'!M6736</f>
        <v>56.249999999999993</v>
      </c>
      <c r="H1523" s="319"/>
      <c r="I1523" s="320"/>
      <c r="J1523" s="321"/>
      <c r="K1523" s="321"/>
      <c r="L1523" s="321"/>
      <c r="M1523" s="319"/>
      <c r="N1523" s="322"/>
      <c r="O1523" s="236" t="str">
        <f>'Profits 2016'!T6736</f>
        <v>FEDEX GROUND</v>
      </c>
      <c r="P1523" s="284" t="str">
        <f>'Profits 2016'!U6736</f>
        <v>675157531488</v>
      </c>
      <c r="Q1523" s="284" t="s">
        <v>314</v>
      </c>
      <c r="R1523" s="276">
        <v>26.35</v>
      </c>
      <c r="S1523" s="275" t="s">
        <v>15907</v>
      </c>
      <c r="T1523" s="279">
        <v>42688</v>
      </c>
      <c r="U1523" s="279">
        <v>42691</v>
      </c>
      <c r="V1523" s="279">
        <v>42697</v>
      </c>
      <c r="W1523" s="293">
        <v>26.35</v>
      </c>
      <c r="X1523" s="236">
        <v>9494</v>
      </c>
      <c r="AF1523" s="276">
        <f t="shared" si="179"/>
        <v>82.6</v>
      </c>
      <c r="AG1523" s="276">
        <f t="shared" si="180"/>
        <v>26.35</v>
      </c>
      <c r="AH1523" s="276">
        <f t="shared" si="181"/>
        <v>83.606000000000023</v>
      </c>
      <c r="AI1523" s="283">
        <f t="shared" si="182"/>
        <v>1.0121791767554482</v>
      </c>
    </row>
    <row r="1524" spans="1:35" ht="30" x14ac:dyDescent="0.25">
      <c r="A1524" s="275">
        <f>'Profits 2016'!A6737</f>
        <v>3005279</v>
      </c>
      <c r="B1524" s="279">
        <f>'Profits 2016'!B6737</f>
        <v>42674</v>
      </c>
      <c r="C1524" s="276">
        <f>'Profits 2016'!H6737</f>
        <v>237.3</v>
      </c>
      <c r="D1524" s="280">
        <f>'Profits 2016'!K6737</f>
        <v>201.70500000000001</v>
      </c>
      <c r="E1524" s="276">
        <f>'Profits 2016'!L6737</f>
        <v>424</v>
      </c>
      <c r="F1524" s="275" t="str">
        <f>'Profits 2016'!P6737</f>
        <v>Nassau</v>
      </c>
      <c r="G1524" s="292">
        <f>'Profits 2016'!N6737-'Profits 2016'!M6737</f>
        <v>127.19999999999999</v>
      </c>
      <c r="H1524" s="319"/>
      <c r="I1524" s="320"/>
      <c r="J1524" s="321"/>
      <c r="K1524" s="321"/>
      <c r="L1524" s="321"/>
      <c r="M1524" s="319"/>
      <c r="N1524" s="322"/>
      <c r="O1524" s="236" t="str">
        <f>'Profits 2016'!T6737</f>
        <v>FEDEX GROUND</v>
      </c>
      <c r="P1524" s="284" t="str">
        <f>'Profits 2016'!U6737</f>
        <v>665645047839</v>
      </c>
      <c r="Q1524" s="284" t="s">
        <v>314</v>
      </c>
      <c r="R1524" s="276">
        <v>54.1</v>
      </c>
      <c r="S1524" s="275" t="s">
        <v>15907</v>
      </c>
      <c r="T1524" s="279">
        <v>42688</v>
      </c>
      <c r="U1524" s="279">
        <v>42691</v>
      </c>
      <c r="V1524" s="279">
        <v>42697</v>
      </c>
      <c r="W1524" s="293">
        <v>54.1</v>
      </c>
      <c r="X1524" s="236">
        <v>9494</v>
      </c>
      <c r="AF1524" s="276">
        <f t="shared" si="179"/>
        <v>181.29999999999998</v>
      </c>
      <c r="AG1524" s="276">
        <f t="shared" si="180"/>
        <v>54.1</v>
      </c>
      <c r="AH1524" s="276">
        <f t="shared" si="181"/>
        <v>147.60500000000002</v>
      </c>
      <c r="AI1524" s="283">
        <f t="shared" si="182"/>
        <v>0.81414782129067864</v>
      </c>
    </row>
    <row r="1525" spans="1:35" ht="30" x14ac:dyDescent="0.25">
      <c r="A1525" s="275">
        <f>'Profits 2016'!A6738</f>
        <v>3005280</v>
      </c>
      <c r="B1525" s="279">
        <f>'Profits 2016'!B6738</f>
        <v>42674</v>
      </c>
      <c r="C1525" s="276">
        <f>'Profits 2016'!H6738</f>
        <v>200</v>
      </c>
      <c r="D1525" s="280">
        <f>'Profits 2016'!K6738</f>
        <v>170</v>
      </c>
      <c r="E1525" s="276">
        <f>'Profits 2016'!L6738</f>
        <v>950</v>
      </c>
      <c r="F1525" s="275" t="str">
        <f>'Profits 2016'!P6738</f>
        <v>Nassau</v>
      </c>
      <c r="G1525" s="292">
        <f>'Profits 2016'!N6738-'Profits 2016'!M6738</f>
        <v>95</v>
      </c>
      <c r="H1525" s="319"/>
      <c r="I1525" s="320"/>
      <c r="J1525" s="321"/>
      <c r="K1525" s="321"/>
      <c r="L1525" s="321"/>
      <c r="M1525" s="319"/>
      <c r="N1525" s="322"/>
      <c r="O1525" s="236" t="str">
        <f>'Profits 2016'!T6738</f>
        <v>FEDEX GROUND</v>
      </c>
      <c r="P1525" s="284" t="str">
        <f>'Profits 2016'!U6738</f>
        <v>665645047920</v>
      </c>
      <c r="Q1525" s="284" t="s">
        <v>314</v>
      </c>
      <c r="R1525" s="276">
        <v>31.89</v>
      </c>
      <c r="S1525" s="275" t="s">
        <v>15907</v>
      </c>
      <c r="T1525" s="279">
        <v>42688</v>
      </c>
      <c r="U1525" s="279">
        <v>42691</v>
      </c>
      <c r="V1525" s="279">
        <v>42697</v>
      </c>
      <c r="W1525" s="293">
        <v>31.89</v>
      </c>
      <c r="X1525" s="236">
        <v>9494</v>
      </c>
      <c r="AF1525" s="276">
        <f t="shared" si="179"/>
        <v>126.89</v>
      </c>
      <c r="AG1525" s="276">
        <f t="shared" si="180"/>
        <v>31.89</v>
      </c>
      <c r="AH1525" s="276">
        <f t="shared" si="181"/>
        <v>138.11000000000001</v>
      </c>
      <c r="AI1525" s="283">
        <f t="shared" si="182"/>
        <v>1.0884230435810545</v>
      </c>
    </row>
    <row r="1526" spans="1:35" ht="30" x14ac:dyDescent="0.25">
      <c r="A1526" s="275">
        <f>'Profits 2016'!A6739</f>
        <v>3005281</v>
      </c>
      <c r="B1526" s="279">
        <f>'Profits 2016'!B6739</f>
        <v>42674</v>
      </c>
      <c r="C1526" s="276">
        <f>'Profits 2016'!H6739</f>
        <v>160.38</v>
      </c>
      <c r="D1526" s="280">
        <f>'Profits 2016'!K6739</f>
        <v>136.32300000000001</v>
      </c>
      <c r="E1526" s="276">
        <f>'Profits 2016'!L6739</f>
        <v>424</v>
      </c>
      <c r="F1526" s="275" t="str">
        <f>'Profits 2016'!P6739</f>
        <v>Nassau</v>
      </c>
      <c r="G1526" s="292">
        <f>'Profits 2016'!N6739-'Profits 2016'!M6739</f>
        <v>63.599999999999994</v>
      </c>
      <c r="H1526" s="319"/>
      <c r="I1526" s="320"/>
      <c r="J1526" s="321"/>
      <c r="K1526" s="321"/>
      <c r="L1526" s="321"/>
      <c r="M1526" s="319"/>
      <c r="N1526" s="322"/>
      <c r="O1526" s="236" t="str">
        <f>'Profits 2016'!T6739</f>
        <v>FEDEX GROUND</v>
      </c>
      <c r="P1526" s="284" t="str">
        <f>'Profits 2016'!U6739</f>
        <v>665645047791</v>
      </c>
      <c r="Q1526" s="284" t="s">
        <v>314</v>
      </c>
      <c r="R1526" s="276">
        <v>31.62</v>
      </c>
      <c r="S1526" s="275" t="s">
        <v>15907</v>
      </c>
      <c r="T1526" s="279">
        <v>42688</v>
      </c>
      <c r="U1526" s="279">
        <v>42691</v>
      </c>
      <c r="V1526" s="279">
        <v>42697</v>
      </c>
      <c r="W1526" s="293">
        <v>31.62</v>
      </c>
      <c r="X1526" s="236">
        <v>9494</v>
      </c>
      <c r="AF1526" s="276">
        <f t="shared" si="179"/>
        <v>95.22</v>
      </c>
      <c r="AG1526" s="276">
        <f t="shared" si="180"/>
        <v>31.62</v>
      </c>
      <c r="AH1526" s="276">
        <f t="shared" si="181"/>
        <v>104.703</v>
      </c>
      <c r="AI1526" s="283">
        <f t="shared" si="182"/>
        <v>1.0995904221802142</v>
      </c>
    </row>
    <row r="1527" spans="1:35" ht="30" x14ac:dyDescent="0.25">
      <c r="A1527" s="275">
        <f>'Profits 2016'!A6740</f>
        <v>3005282</v>
      </c>
      <c r="B1527" s="279">
        <f>'Profits 2016'!B6740</f>
        <v>42674</v>
      </c>
      <c r="C1527" s="276">
        <f>'Profits 2016'!H6740</f>
        <v>240.06</v>
      </c>
      <c r="D1527" s="280">
        <f>'Profits 2016'!K6740</f>
        <v>204.05099999999999</v>
      </c>
      <c r="E1527" s="276">
        <f>'Profits 2016'!L6740</f>
        <v>300</v>
      </c>
      <c r="F1527" s="275" t="str">
        <f>'Profits 2016'!P6740</f>
        <v>Nassau</v>
      </c>
      <c r="G1527" s="292">
        <f>'Profits 2016'!N6740-'Profits 2016'!M6740</f>
        <v>150</v>
      </c>
      <c r="H1527" s="319"/>
      <c r="I1527" s="320"/>
      <c r="J1527" s="321"/>
      <c r="K1527" s="321"/>
      <c r="L1527" s="321"/>
      <c r="M1527" s="319"/>
      <c r="N1527" s="322"/>
      <c r="O1527" s="236" t="str">
        <f>'Profits 2016'!T6740</f>
        <v>FEDEX GROUND</v>
      </c>
      <c r="P1527" s="284" t="str">
        <f>'Profits 2016'!U6740</f>
        <v>665645047964</v>
      </c>
      <c r="AF1527" s="276">
        <f t="shared" ref="AF1527:AF1530" si="183">G1527+H1528+R1527+Y1527</f>
        <v>150</v>
      </c>
      <c r="AG1527" s="276">
        <f t="shared" ref="AG1527:AG1531" si="184">M1527+R1527+Y1527</f>
        <v>0</v>
      </c>
      <c r="AH1527" s="276">
        <f t="shared" ref="AH1527:AH1531" si="185">D1527-AG1527</f>
        <v>204.05099999999999</v>
      </c>
      <c r="AI1527" s="283">
        <f t="shared" ref="AI1527:AI1531" si="186">AH1527/AF1527</f>
        <v>1.3603399999999999</v>
      </c>
    </row>
    <row r="1528" spans="1:35" ht="30" x14ac:dyDescent="0.25">
      <c r="A1528" s="275">
        <f>'Profits 2016'!A6741</f>
        <v>3005283</v>
      </c>
      <c r="B1528" s="279">
        <f>'Profits 2016'!B6741</f>
        <v>42674</v>
      </c>
      <c r="C1528" s="276">
        <f>'Profits 2016'!H6741</f>
        <v>111.63</v>
      </c>
      <c r="D1528" s="280">
        <f>'Profits 2016'!K6741</f>
        <v>94.885499999999993</v>
      </c>
      <c r="E1528" s="276">
        <f>'Profits 2016'!L6741</f>
        <v>950</v>
      </c>
      <c r="F1528" s="275" t="str">
        <f>'Profits 2016'!P6741</f>
        <v>Nassau</v>
      </c>
      <c r="G1528" s="292">
        <f>'Profits 2016'!N6741-'Profits 2016'!M6741</f>
        <v>47.5</v>
      </c>
      <c r="H1528" s="319"/>
      <c r="I1528" s="320"/>
      <c r="J1528" s="321"/>
      <c r="K1528" s="321"/>
      <c r="L1528" s="321"/>
      <c r="M1528" s="319"/>
      <c r="N1528" s="322"/>
      <c r="O1528" s="236" t="str">
        <f>'Profits 2016'!T6741</f>
        <v>FEDEX GROUND</v>
      </c>
      <c r="P1528" s="284" t="str">
        <f>'Profits 2016'!U6741</f>
        <v>665645047942</v>
      </c>
      <c r="Q1528" s="284" t="s">
        <v>314</v>
      </c>
      <c r="R1528" s="276">
        <v>31.92</v>
      </c>
      <c r="S1528" s="275" t="s">
        <v>15847</v>
      </c>
      <c r="T1528" s="279">
        <v>42695</v>
      </c>
      <c r="U1528" s="279">
        <v>42702</v>
      </c>
      <c r="AF1528" s="276">
        <f t="shared" si="183"/>
        <v>79.42</v>
      </c>
      <c r="AG1528" s="276">
        <f t="shared" si="184"/>
        <v>31.92</v>
      </c>
      <c r="AH1528" s="276">
        <f t="shared" si="185"/>
        <v>62.965499999999992</v>
      </c>
      <c r="AI1528" s="283">
        <f t="shared" si="186"/>
        <v>0.79281667086376217</v>
      </c>
    </row>
    <row r="1529" spans="1:35" ht="30" x14ac:dyDescent="0.25">
      <c r="A1529" s="275">
        <f>'Profits 2016'!A6742</f>
        <v>3005284</v>
      </c>
      <c r="B1529" s="279">
        <f>'Profits 2016'!B6742</f>
        <v>42674</v>
      </c>
      <c r="C1529" s="276">
        <f>'Profits 2016'!H6742</f>
        <v>200</v>
      </c>
      <c r="D1529" s="280">
        <f>'Profits 2016'!K6742</f>
        <v>170</v>
      </c>
      <c r="E1529" s="276">
        <f>'Profits 2016'!L6742</f>
        <v>950</v>
      </c>
      <c r="F1529" s="275" t="str">
        <f>'Profits 2016'!P6742</f>
        <v>Nassau</v>
      </c>
      <c r="G1529" s="292">
        <f>'Profits 2016'!N6742-'Profits 2016'!M6742</f>
        <v>95</v>
      </c>
      <c r="H1529" s="319"/>
      <c r="I1529" s="320"/>
      <c r="J1529" s="321"/>
      <c r="K1529" s="321"/>
      <c r="L1529" s="321"/>
      <c r="M1529" s="319"/>
      <c r="N1529" s="322"/>
      <c r="O1529" s="236" t="str">
        <f>'Profits 2016'!T6742</f>
        <v>FEDEX GROUND</v>
      </c>
      <c r="P1529" s="284" t="str">
        <f>'Profits 2016'!U6742</f>
        <v>66564504793</v>
      </c>
      <c r="Q1529" s="284" t="s">
        <v>314</v>
      </c>
      <c r="R1529" s="276">
        <v>30.14</v>
      </c>
      <c r="S1529" s="275" t="s">
        <v>15907</v>
      </c>
      <c r="T1529" s="279">
        <v>42688</v>
      </c>
      <c r="U1529" s="279">
        <v>42691</v>
      </c>
      <c r="V1529" s="279">
        <v>42697</v>
      </c>
      <c r="W1529" s="293">
        <v>30.14</v>
      </c>
      <c r="X1529" s="236">
        <v>9494</v>
      </c>
      <c r="AF1529" s="276">
        <f t="shared" si="183"/>
        <v>125.14</v>
      </c>
      <c r="AG1529" s="276">
        <f t="shared" si="184"/>
        <v>30.14</v>
      </c>
      <c r="AH1529" s="276">
        <f t="shared" si="185"/>
        <v>139.86000000000001</v>
      </c>
      <c r="AI1529" s="283">
        <f t="shared" si="186"/>
        <v>1.1176282563528848</v>
      </c>
    </row>
    <row r="1530" spans="1:35" ht="30" x14ac:dyDescent="0.25">
      <c r="A1530" s="275">
        <f>'Profits 2016'!A6743</f>
        <v>3005285</v>
      </c>
      <c r="B1530" s="279">
        <f>'Profits 2016'!B6743</f>
        <v>42674</v>
      </c>
      <c r="C1530" s="276">
        <f>'Profits 2016'!H6743</f>
        <v>129.69</v>
      </c>
      <c r="D1530" s="280">
        <f>'Profits 2016'!K6743</f>
        <v>110.23650000000001</v>
      </c>
      <c r="E1530" s="276">
        <f>'Profits 2016'!L6743</f>
        <v>1322</v>
      </c>
      <c r="F1530" s="275" t="str">
        <f>'Profits 2016'!P6743</f>
        <v>Nassau</v>
      </c>
      <c r="G1530" s="292">
        <f>'Profits 2016'!N6743-'Profits 2016'!M6743</f>
        <v>66.100000000000009</v>
      </c>
      <c r="H1530" s="319"/>
      <c r="I1530" s="320"/>
      <c r="J1530" s="321"/>
      <c r="K1530" s="321"/>
      <c r="L1530" s="321"/>
      <c r="M1530" s="319"/>
      <c r="N1530" s="322"/>
      <c r="O1530" s="236" t="str">
        <f>'Profits 2016'!T6743</f>
        <v>FEDEX GROUND</v>
      </c>
      <c r="P1530" s="284" t="str">
        <f>'Profits 2016'!U6743</f>
        <v>665645048066</v>
      </c>
      <c r="AF1530" s="276">
        <f t="shared" si="183"/>
        <v>66.100000000000009</v>
      </c>
      <c r="AG1530" s="276">
        <f t="shared" si="184"/>
        <v>0</v>
      </c>
      <c r="AH1530" s="276">
        <f t="shared" si="185"/>
        <v>110.23650000000001</v>
      </c>
      <c r="AI1530" s="283">
        <f t="shared" si="186"/>
        <v>1.6677231467473523</v>
      </c>
    </row>
    <row r="1531" spans="1:35" ht="30" x14ac:dyDescent="0.25">
      <c r="A1531" s="275">
        <f>'Profits 2016'!A6744</f>
        <v>3005286</v>
      </c>
      <c r="B1531" s="279">
        <f>'Profits 2016'!B6744</f>
        <v>42674</v>
      </c>
      <c r="C1531" s="276">
        <f>'Profits 2016'!H6744</f>
        <v>379.42</v>
      </c>
      <c r="D1531" s="280">
        <f>'Profits 2016'!K6744</f>
        <v>322.50700000000001</v>
      </c>
      <c r="E1531" s="276">
        <f>'Profits 2016'!L6744</f>
        <v>560</v>
      </c>
      <c r="F1531" s="275" t="str">
        <f>'Profits 2016'!P6744</f>
        <v>Nassau</v>
      </c>
      <c r="G1531" s="292">
        <f>'Profits 2016'!N6744-'Profits 2016'!M6744</f>
        <v>140</v>
      </c>
      <c r="H1531" s="319"/>
      <c r="I1531" s="320"/>
      <c r="J1531" s="321"/>
      <c r="K1531" s="321"/>
      <c r="L1531" s="321"/>
      <c r="M1531" s="319"/>
      <c r="N1531" s="322"/>
      <c r="O1531" s="236" t="str">
        <f>'Profits 2016'!T6744</f>
        <v>FEDEX GROUND</v>
      </c>
      <c r="P1531" s="284" t="str">
        <f>'Profits 2016'!U6744</f>
        <v>665645048011</v>
      </c>
      <c r="Q1531" s="284" t="s">
        <v>314</v>
      </c>
      <c r="R1531" s="276">
        <v>48.09</v>
      </c>
      <c r="S1531" s="275" t="s">
        <v>15847</v>
      </c>
      <c r="T1531" s="279">
        <v>42695</v>
      </c>
      <c r="U1531" s="279">
        <v>42702</v>
      </c>
      <c r="AF1531" s="276" t="e">
        <f>G1531+#REF!+R1531+Y1531</f>
        <v>#REF!</v>
      </c>
      <c r="AG1531" s="276">
        <f t="shared" si="184"/>
        <v>48.09</v>
      </c>
      <c r="AH1531" s="276">
        <f t="shared" si="185"/>
        <v>274.41700000000003</v>
      </c>
      <c r="AI1531" s="283" t="e">
        <f t="shared" si="186"/>
        <v>#REF!</v>
      </c>
    </row>
    <row r="1532" spans="1:35" x14ac:dyDescent="0.25">
      <c r="A1532" s="275">
        <f>'Profits 2016'!A6745</f>
        <v>3005287</v>
      </c>
      <c r="B1532" s="279">
        <f>'Profits 2016'!B6745</f>
        <v>42674</v>
      </c>
      <c r="C1532" s="276">
        <f>'Profits 2016'!H6745</f>
        <v>44408.97</v>
      </c>
      <c r="D1532" s="280">
        <f>'Profits 2016'!K6745</f>
        <v>44408.97</v>
      </c>
      <c r="E1532" s="276">
        <f>'Profits 2016'!L6745</f>
        <v>1749</v>
      </c>
      <c r="F1532" s="275" t="str">
        <f>'Profits 2016'!P6745</f>
        <v>Southwire</v>
      </c>
      <c r="G1532" s="292">
        <f>'Profits 2016'!N6745-'Profits 2016'!M6745</f>
        <v>4633.1009999999997</v>
      </c>
      <c r="H1532" s="331">
        <v>0</v>
      </c>
      <c r="I1532" s="332">
        <v>91022892</v>
      </c>
      <c r="J1532" s="333">
        <v>42675</v>
      </c>
      <c r="K1532" s="333">
        <v>42681</v>
      </c>
      <c r="L1532" s="333"/>
      <c r="M1532" s="331"/>
      <c r="N1532" s="334"/>
      <c r="O1532" s="236" t="str">
        <f>'Profits 2016'!T6745</f>
        <v>FEDEX/DLS</v>
      </c>
      <c r="P1532" s="284" t="str">
        <f>'Profits 2016'!U6745</f>
        <v>3755786064</v>
      </c>
      <c r="Q1532" s="284" t="s">
        <v>15804</v>
      </c>
      <c r="R1532" s="276">
        <v>442.13</v>
      </c>
      <c r="S1532" s="275">
        <v>636942678</v>
      </c>
      <c r="T1532" s="279">
        <v>42683</v>
      </c>
      <c r="U1532" s="279">
        <v>42688</v>
      </c>
      <c r="V1532" s="279">
        <v>42692</v>
      </c>
      <c r="W1532" s="293">
        <v>442.13</v>
      </c>
      <c r="X1532" s="236">
        <v>9453</v>
      </c>
      <c r="AF1532" s="276">
        <f t="shared" si="179"/>
        <v>5075.2309999999998</v>
      </c>
      <c r="AG1532" s="276">
        <f t="shared" si="180"/>
        <v>442.13</v>
      </c>
      <c r="AH1532" s="276">
        <f t="shared" si="181"/>
        <v>43966.840000000004</v>
      </c>
      <c r="AI1532" s="283">
        <f t="shared" si="182"/>
        <v>8.6630224318853681</v>
      </c>
    </row>
    <row r="1533" spans="1:35" ht="30" x14ac:dyDescent="0.25">
      <c r="A1533" s="275">
        <f>'Profits 2016'!A6746</f>
        <v>3005288</v>
      </c>
      <c r="B1533" s="279">
        <f>'Profits 2016'!B6746</f>
        <v>42674</v>
      </c>
      <c r="C1533" s="276">
        <f>'Profits 2016'!H6746</f>
        <v>240</v>
      </c>
      <c r="D1533" s="280">
        <f>'Profits 2016'!K6746</f>
        <v>231.9</v>
      </c>
      <c r="E1533" s="276">
        <f>'Profits 2016'!L6746</f>
        <v>550</v>
      </c>
      <c r="F1533" s="275" t="str">
        <f>'Profits 2016'!P6746</f>
        <v>Nassau</v>
      </c>
      <c r="G1533" s="292">
        <f>'Profits 2016'!N6746-'Profits 2016'!M6746</f>
        <v>137.5</v>
      </c>
      <c r="H1533" s="319"/>
      <c r="I1533" s="320"/>
      <c r="J1533" s="321"/>
      <c r="K1533" s="321"/>
      <c r="L1533" s="321"/>
      <c r="M1533" s="319"/>
      <c r="N1533" s="322"/>
      <c r="O1533" s="236" t="str">
        <f>'Profits 2016'!T6746</f>
        <v>FEDEX GROUND</v>
      </c>
      <c r="P1533" s="284" t="str">
        <f>'Profits 2016'!U6746</f>
        <v>665645048022</v>
      </c>
      <c r="Q1533" s="284" t="s">
        <v>314</v>
      </c>
      <c r="R1533" s="276">
        <v>21.2</v>
      </c>
      <c r="S1533" s="275" t="s">
        <v>15907</v>
      </c>
      <c r="T1533" s="279">
        <v>42688</v>
      </c>
      <c r="U1533" s="279">
        <v>42691</v>
      </c>
      <c r="V1533" s="279">
        <v>42697</v>
      </c>
      <c r="W1533" s="293">
        <v>21.2</v>
      </c>
      <c r="X1533" s="236">
        <v>9494</v>
      </c>
      <c r="AF1533" s="276">
        <f t="shared" si="179"/>
        <v>158.69999999999999</v>
      </c>
      <c r="AG1533" s="276">
        <f t="shared" si="180"/>
        <v>21.2</v>
      </c>
      <c r="AH1533" s="276">
        <f t="shared" si="181"/>
        <v>210.70000000000002</v>
      </c>
      <c r="AI1533" s="283">
        <f t="shared" si="182"/>
        <v>1.3276622558286075</v>
      </c>
    </row>
    <row r="1534" spans="1:35" x14ac:dyDescent="0.25">
      <c r="A1534" s="275">
        <f>'Profits 2016'!A6747</f>
        <v>3005289</v>
      </c>
      <c r="B1534" s="279">
        <f>'Profits 2016'!B6747</f>
        <v>42674</v>
      </c>
      <c r="C1534" s="276">
        <f>'Profits 2016'!H6747</f>
        <v>100</v>
      </c>
      <c r="D1534" s="280">
        <f>'Profits 2016'!K6747</f>
        <v>97.5</v>
      </c>
      <c r="E1534" s="276">
        <f>'Profits 2016'!L6747</f>
        <v>0</v>
      </c>
      <c r="F1534" s="275">
        <f>'Profits 2016'!P6747</f>
        <v>0</v>
      </c>
      <c r="G1534" s="292">
        <f>'Profits 2016'!N6747-'Profits 2016'!M6747</f>
        <v>0</v>
      </c>
      <c r="H1534" s="331"/>
      <c r="I1534" s="332"/>
      <c r="J1534" s="333"/>
      <c r="K1534" s="333"/>
      <c r="L1534" s="333"/>
      <c r="M1534" s="331"/>
      <c r="N1534" s="334"/>
      <c r="O1534" s="236">
        <f>'Profits 2016'!T6747</f>
        <v>0</v>
      </c>
      <c r="P1534" s="284">
        <f>'Profits 2016'!U6747</f>
        <v>0</v>
      </c>
      <c r="Q1534" s="284" t="s">
        <v>314</v>
      </c>
      <c r="R1534" s="276">
        <v>0</v>
      </c>
      <c r="S1534" s="275" t="s">
        <v>15907</v>
      </c>
      <c r="T1534" s="279">
        <v>42688</v>
      </c>
      <c r="U1534" s="279">
        <v>42691</v>
      </c>
      <c r="V1534" s="279">
        <v>42697</v>
      </c>
      <c r="W1534" s="293">
        <v>0</v>
      </c>
      <c r="X1534" s="236">
        <v>9494</v>
      </c>
      <c r="AF1534" s="276">
        <f t="shared" si="179"/>
        <v>0</v>
      </c>
      <c r="AG1534" s="276">
        <f t="shared" si="180"/>
        <v>0</v>
      </c>
      <c r="AH1534" s="276">
        <f t="shared" si="181"/>
        <v>97.5</v>
      </c>
      <c r="AI1534" s="283" t="e">
        <f t="shared" si="182"/>
        <v>#DIV/0!</v>
      </c>
    </row>
    <row r="1535" spans="1:35" ht="30" x14ac:dyDescent="0.25">
      <c r="A1535" s="275">
        <f>'Profits 2016'!A6748</f>
        <v>3005290</v>
      </c>
      <c r="B1535" s="279">
        <f>'Profits 2016'!B6748</f>
        <v>42674</v>
      </c>
      <c r="C1535" s="276">
        <f>'Profits 2016'!H6748</f>
        <v>325</v>
      </c>
      <c r="D1535" s="280">
        <f>'Profits 2016'!K6748</f>
        <v>317.55</v>
      </c>
      <c r="E1535" s="276">
        <f>'Profits 2016'!L6748</f>
        <v>1095</v>
      </c>
      <c r="F1535" s="275" t="str">
        <f>'Profits 2016'!P6748</f>
        <v>WireXpress</v>
      </c>
      <c r="G1535" s="292">
        <f>'Profits 2016'!N6748-'Profits 2016'!M6748</f>
        <v>142.35</v>
      </c>
      <c r="H1535" s="331">
        <v>0</v>
      </c>
      <c r="I1535" s="332" t="s">
        <v>15918</v>
      </c>
      <c r="J1535" s="333">
        <v>42676</v>
      </c>
      <c r="K1535" s="333">
        <v>42681</v>
      </c>
      <c r="L1535" s="333"/>
      <c r="M1535" s="331"/>
      <c r="N1535" s="334"/>
      <c r="O1535" s="236" t="str">
        <f>'Profits 2016'!T6748</f>
        <v>FEDEX GROUND</v>
      </c>
      <c r="P1535" s="284" t="str">
        <f>'Profits 2016'!U6748</f>
        <v xml:space="preserve">052767285627942 </v>
      </c>
      <c r="Q1535" s="284" t="s">
        <v>314</v>
      </c>
      <c r="R1535" s="276">
        <v>23.22</v>
      </c>
      <c r="S1535" s="275" t="s">
        <v>15847</v>
      </c>
      <c r="T1535" s="279">
        <v>42695</v>
      </c>
      <c r="U1535" s="279">
        <v>42702</v>
      </c>
      <c r="AF1535" s="276">
        <f t="shared" si="179"/>
        <v>165.57</v>
      </c>
      <c r="AG1535" s="276">
        <f t="shared" si="180"/>
        <v>23.22</v>
      </c>
      <c r="AH1535" s="276">
        <f t="shared" si="181"/>
        <v>294.33000000000004</v>
      </c>
      <c r="AI1535" s="283">
        <f t="shared" si="182"/>
        <v>1.7776771154194604</v>
      </c>
    </row>
    <row r="1536" spans="1:35" x14ac:dyDescent="0.25">
      <c r="A1536" s="275">
        <f>'Profits 2016'!A6749</f>
        <v>3005291</v>
      </c>
      <c r="B1536" s="279">
        <f>'Profits 2016'!B6749</f>
        <v>42675</v>
      </c>
      <c r="C1536" s="276">
        <f>'Profits 2016'!H6749</f>
        <v>1250</v>
      </c>
      <c r="D1536" s="280">
        <f>'Profits 2016'!K6749</f>
        <v>1113.45</v>
      </c>
      <c r="E1536" s="276">
        <f>'Profits 2016'!L6749</f>
        <v>2325</v>
      </c>
      <c r="F1536" s="275" t="str">
        <f>'Profits 2016'!P6749</f>
        <v>Nassau</v>
      </c>
      <c r="G1536" s="292">
        <f>'Profits 2016'!N6749-'Profits 2016'!M6749</f>
        <v>813.75000000000023</v>
      </c>
      <c r="H1536" s="319"/>
      <c r="I1536" s="320"/>
      <c r="J1536" s="321"/>
      <c r="K1536" s="321"/>
      <c r="L1536" s="321"/>
      <c r="M1536" s="319"/>
      <c r="N1536" s="322"/>
      <c r="O1536" s="236" t="str">
        <f>'Profits 2016'!T6749</f>
        <v>NEMF/DLS</v>
      </c>
      <c r="P1536" s="284" t="str">
        <f>'Profits 2016'!U6749</f>
        <v>24103697</v>
      </c>
      <c r="Q1536" s="284" t="s">
        <v>15804</v>
      </c>
      <c r="R1536" s="276">
        <v>232.06</v>
      </c>
      <c r="S1536" s="275">
        <v>636940897</v>
      </c>
      <c r="T1536" s="279">
        <v>42683</v>
      </c>
      <c r="U1536" s="279">
        <v>42688</v>
      </c>
      <c r="V1536" s="279">
        <v>42692</v>
      </c>
      <c r="W1536" s="293">
        <v>232.06</v>
      </c>
      <c r="X1536" s="236">
        <v>9454</v>
      </c>
      <c r="AF1536" s="276">
        <f t="shared" si="179"/>
        <v>1045.8100000000002</v>
      </c>
      <c r="AG1536" s="276">
        <f t="shared" si="180"/>
        <v>232.06</v>
      </c>
      <c r="AH1536" s="276">
        <f t="shared" si="181"/>
        <v>881.3900000000001</v>
      </c>
      <c r="AI1536" s="283">
        <f t="shared" si="182"/>
        <v>0.84278214972126864</v>
      </c>
    </row>
    <row r="1537" spans="1:35" ht="30" x14ac:dyDescent="0.25">
      <c r="A1537" s="275">
        <f>'Profits 2016'!A6750</f>
        <v>3005292</v>
      </c>
      <c r="B1537" s="279">
        <f>'Profits 2016'!B6750</f>
        <v>42675</v>
      </c>
      <c r="C1537" s="276">
        <f>'Profits 2016'!H6750</f>
        <v>248</v>
      </c>
      <c r="D1537" s="280">
        <f>'Profits 2016'!K6750</f>
        <v>242.988</v>
      </c>
      <c r="E1537" s="276">
        <f>'Profits 2016'!L6750</f>
        <v>235</v>
      </c>
      <c r="F1537" s="275" t="str">
        <f>'Profits 2016'!P6750</f>
        <v>Nassau</v>
      </c>
      <c r="G1537" s="292">
        <f>'Profits 2016'!N6750-'Profits 2016'!M6750</f>
        <v>82.250000000000014</v>
      </c>
      <c r="H1537" s="319"/>
      <c r="I1537" s="320"/>
      <c r="J1537" s="321"/>
      <c r="K1537" s="321"/>
      <c r="L1537" s="321"/>
      <c r="M1537" s="319"/>
      <c r="N1537" s="322"/>
      <c r="O1537" s="236" t="str">
        <f>'Profits 2016'!T6750</f>
        <v>FEDEX GROUND</v>
      </c>
      <c r="P1537" s="284" t="str">
        <f>'Profits 2016'!U6750</f>
        <v>702723291436</v>
      </c>
      <c r="Q1537" s="284" t="s">
        <v>314</v>
      </c>
      <c r="R1537" s="276">
        <v>32.700000000000003</v>
      </c>
      <c r="S1537" s="275" t="s">
        <v>15907</v>
      </c>
      <c r="T1537" s="279">
        <v>42688</v>
      </c>
      <c r="U1537" s="279">
        <v>42691</v>
      </c>
      <c r="V1537" s="279">
        <v>42697</v>
      </c>
      <c r="W1537" s="293">
        <v>32.700000000000003</v>
      </c>
      <c r="X1537" s="236">
        <v>9494</v>
      </c>
      <c r="AF1537" s="276">
        <f t="shared" si="179"/>
        <v>114.95000000000002</v>
      </c>
      <c r="AG1537" s="276">
        <f t="shared" si="180"/>
        <v>32.700000000000003</v>
      </c>
      <c r="AH1537" s="276">
        <f t="shared" si="181"/>
        <v>210.28800000000001</v>
      </c>
      <c r="AI1537" s="283">
        <f t="shared" si="182"/>
        <v>1.8293866898651585</v>
      </c>
    </row>
    <row r="1538" spans="1:35" x14ac:dyDescent="0.25">
      <c r="A1538" s="275">
        <f>'Profits 2016'!A6751</f>
        <v>3005293</v>
      </c>
      <c r="B1538" s="279">
        <f>'Profits 2016'!B6751</f>
        <v>42675</v>
      </c>
      <c r="C1538" s="276">
        <f>'Profits 2016'!H6751</f>
        <v>875</v>
      </c>
      <c r="D1538" s="280">
        <f>'Profits 2016'!K6751</f>
        <v>855.45</v>
      </c>
      <c r="E1538" s="276">
        <f>'Profits 2016'!L6751</f>
        <v>424</v>
      </c>
      <c r="F1538" s="275" t="str">
        <f>'Profits 2016'!P6751</f>
        <v>Nassau</v>
      </c>
      <c r="G1538" s="292">
        <f>'Profits 2016'!N6751-'Profits 2016'!M6751</f>
        <v>424</v>
      </c>
      <c r="H1538" s="319"/>
      <c r="I1538" s="320"/>
      <c r="J1538" s="321"/>
      <c r="K1538" s="321"/>
      <c r="L1538" s="321"/>
      <c r="M1538" s="319"/>
      <c r="N1538" s="322"/>
      <c r="O1538" s="236" t="str">
        <f>'Profits 2016'!T6751</f>
        <v>XPO/DLS</v>
      </c>
      <c r="P1538" s="284" t="str">
        <f>'Profits 2016'!U6751</f>
        <v>284-742054</v>
      </c>
      <c r="Q1538" s="284" t="s">
        <v>15804</v>
      </c>
      <c r="R1538" s="276">
        <v>117.16</v>
      </c>
      <c r="S1538" s="275">
        <v>636942762</v>
      </c>
      <c r="T1538" s="279">
        <v>42683</v>
      </c>
      <c r="U1538" s="279">
        <v>42688</v>
      </c>
      <c r="V1538" s="279">
        <v>42692</v>
      </c>
      <c r="W1538" s="293">
        <v>117.16</v>
      </c>
      <c r="X1538" s="236">
        <v>9454</v>
      </c>
      <c r="AF1538" s="276">
        <f t="shared" si="179"/>
        <v>541.16</v>
      </c>
      <c r="AG1538" s="276">
        <f t="shared" si="180"/>
        <v>117.16</v>
      </c>
      <c r="AH1538" s="276">
        <f t="shared" si="181"/>
        <v>738.29000000000008</v>
      </c>
      <c r="AI1538" s="283">
        <f t="shared" si="182"/>
        <v>1.364273043092616</v>
      </c>
    </row>
    <row r="1539" spans="1:35" ht="30" x14ac:dyDescent="0.25">
      <c r="A1539" s="275">
        <f>'Profits 2016'!A6752</f>
        <v>3005294</v>
      </c>
      <c r="B1539" s="279">
        <f>'Profits 2016'!B6752</f>
        <v>42675</v>
      </c>
      <c r="C1539" s="276">
        <f>'Profits 2016'!H6752</f>
        <v>135</v>
      </c>
      <c r="D1539" s="280">
        <f>'Profits 2016'!K6752</f>
        <v>119.985</v>
      </c>
      <c r="E1539" s="276">
        <f>'Profits 2016'!L6752</f>
        <v>140</v>
      </c>
      <c r="F1539" s="275" t="str">
        <f>'Profits 2016'!P6752</f>
        <v>Priority</v>
      </c>
      <c r="G1539" s="292">
        <f>'Profits 2016'!N6752-'Profits 2016'!M6752</f>
        <v>70</v>
      </c>
      <c r="H1539" s="331">
        <v>0</v>
      </c>
      <c r="I1539" s="332">
        <v>1072779</v>
      </c>
      <c r="J1539" s="333">
        <v>42676</v>
      </c>
      <c r="K1539" s="333">
        <v>42688</v>
      </c>
      <c r="L1539" s="333"/>
      <c r="M1539" s="331"/>
      <c r="N1539" s="334"/>
      <c r="O1539" s="236" t="str">
        <f>'Profits 2016'!T6752</f>
        <v>FEDEX GROUND</v>
      </c>
      <c r="P1539" s="284" t="str">
        <f>'Profits 2016'!U6752</f>
        <v>616712877722</v>
      </c>
      <c r="Q1539" s="284" t="s">
        <v>15740</v>
      </c>
      <c r="R1539" s="276">
        <v>16.600000000000001</v>
      </c>
      <c r="S1539" s="275">
        <v>1072779</v>
      </c>
      <c r="T1539" s="279">
        <v>42676</v>
      </c>
      <c r="U1539" s="279">
        <v>42688</v>
      </c>
      <c r="AF1539" s="276">
        <f t="shared" si="179"/>
        <v>86.6</v>
      </c>
      <c r="AG1539" s="276">
        <f t="shared" si="180"/>
        <v>16.600000000000001</v>
      </c>
      <c r="AH1539" s="276">
        <f t="shared" si="181"/>
        <v>103.38499999999999</v>
      </c>
      <c r="AI1539" s="283">
        <f t="shared" si="182"/>
        <v>1.1938221709006929</v>
      </c>
    </row>
    <row r="1540" spans="1:35" ht="30" x14ac:dyDescent="0.25">
      <c r="A1540" s="275">
        <f>'Profits 2016'!A6753</f>
        <v>3005295</v>
      </c>
      <c r="B1540" s="279">
        <f>'Profits 2016'!B6753</f>
        <v>42675</v>
      </c>
      <c r="C1540" s="276">
        <f>'Profits 2016'!H6753</f>
        <v>229.5</v>
      </c>
      <c r="D1540" s="280">
        <f>'Profits 2016'!K6753</f>
        <v>204.18449999999999</v>
      </c>
      <c r="E1540" s="276">
        <f>'Profits 2016'!L6753</f>
        <v>589</v>
      </c>
      <c r="F1540" s="275" t="str">
        <f>'Profits 2016'!P6753</f>
        <v>Nassau</v>
      </c>
      <c r="G1540" s="292">
        <f>'Profits 2016'!N6753-'Profits 2016'!M6753</f>
        <v>88.35</v>
      </c>
      <c r="H1540" s="319"/>
      <c r="I1540" s="320"/>
      <c r="J1540" s="321"/>
      <c r="K1540" s="321"/>
      <c r="L1540" s="321"/>
      <c r="M1540" s="319"/>
      <c r="N1540" s="322"/>
      <c r="O1540" s="236" t="str">
        <f>'Profits 2016'!T6753</f>
        <v>FEDEX GROUND</v>
      </c>
      <c r="P1540" s="284" t="str">
        <f>'Profits 2016'!U6753</f>
        <v>702723291414</v>
      </c>
      <c r="Q1540" s="284" t="s">
        <v>314</v>
      </c>
      <c r="R1540" s="276">
        <v>31.03</v>
      </c>
      <c r="S1540" s="275" t="s">
        <v>15847</v>
      </c>
      <c r="T1540" s="279">
        <v>42695</v>
      </c>
      <c r="U1540" s="279">
        <v>42702</v>
      </c>
      <c r="AF1540" s="276">
        <f t="shared" si="179"/>
        <v>119.38</v>
      </c>
      <c r="AG1540" s="276">
        <f t="shared" si="180"/>
        <v>31.03</v>
      </c>
      <c r="AH1540" s="276">
        <f t="shared" si="181"/>
        <v>173.15449999999998</v>
      </c>
      <c r="AI1540" s="283">
        <f t="shared" si="182"/>
        <v>1.4504481487686378</v>
      </c>
    </row>
    <row r="1541" spans="1:35" ht="30" x14ac:dyDescent="0.25">
      <c r="A1541" s="275">
        <f>'Profits 2016'!A6754</f>
        <v>3005296</v>
      </c>
      <c r="B1541" s="279">
        <f>'Profits 2016'!B6754</f>
        <v>42675</v>
      </c>
      <c r="C1541" s="276">
        <f>'Profits 2016'!H6754</f>
        <v>750</v>
      </c>
      <c r="D1541" s="280">
        <f>'Profits 2016'!K6754</f>
        <v>667.95</v>
      </c>
      <c r="E1541" s="276">
        <f>'Profits 2016'!L6754</f>
        <v>1322</v>
      </c>
      <c r="F1541" s="275" t="str">
        <f>'Profits 2016'!P6754</f>
        <v>Nassau</v>
      </c>
      <c r="G1541" s="292">
        <f>'Profits 2016'!N6754-'Profits 2016'!M6754</f>
        <v>396.6</v>
      </c>
      <c r="H1541" s="319"/>
      <c r="I1541" s="320"/>
      <c r="J1541" s="321"/>
      <c r="K1541" s="321"/>
      <c r="L1541" s="321"/>
      <c r="M1541" s="319"/>
      <c r="N1541" s="322"/>
      <c r="O1541" s="236" t="str">
        <f>'Profits 2016'!T6754</f>
        <v>FEDEX/ECHO</v>
      </c>
      <c r="P1541" s="284" t="str">
        <f>'Profits 2016'!U6754</f>
        <v>270957825-5</v>
      </c>
      <c r="Q1541" s="284" t="s">
        <v>15767</v>
      </c>
      <c r="R1541" s="276">
        <v>138.15</v>
      </c>
      <c r="S1541" s="275" t="s">
        <v>15919</v>
      </c>
      <c r="T1541" s="279">
        <v>42688</v>
      </c>
      <c r="U1541" s="279">
        <v>42692</v>
      </c>
      <c r="AF1541" s="276">
        <f t="shared" si="179"/>
        <v>534.75</v>
      </c>
      <c r="AG1541" s="276">
        <f t="shared" si="180"/>
        <v>138.15</v>
      </c>
      <c r="AH1541" s="276">
        <f t="shared" si="181"/>
        <v>529.80000000000007</v>
      </c>
      <c r="AI1541" s="283">
        <f t="shared" si="182"/>
        <v>0.9907433380084153</v>
      </c>
    </row>
    <row r="1542" spans="1:35" x14ac:dyDescent="0.25">
      <c r="A1542" s="275">
        <f>'Profits 2016'!A6755</f>
        <v>3005297</v>
      </c>
      <c r="B1542" s="279">
        <f>'Profits 2016'!B6755</f>
        <v>42675</v>
      </c>
      <c r="C1542" s="276">
        <f>'Profits 2016'!H6755</f>
        <v>690</v>
      </c>
      <c r="D1542" s="280">
        <f>'Profits 2016'!K6755</f>
        <v>614.49</v>
      </c>
      <c r="E1542" s="276">
        <f>'Profits 2016'!L6755</f>
        <v>1322</v>
      </c>
      <c r="F1542" s="275" t="str">
        <f>'Profits 2016'!P6755</f>
        <v>Nassau</v>
      </c>
      <c r="G1542" s="292">
        <f>'Profits 2016'!N6755-'Profits 2016'!M6755</f>
        <v>396.6</v>
      </c>
      <c r="H1542" s="319"/>
      <c r="I1542" s="320"/>
      <c r="J1542" s="321"/>
      <c r="K1542" s="321"/>
      <c r="L1542" s="321"/>
      <c r="M1542" s="319"/>
      <c r="N1542" s="322"/>
      <c r="O1542" s="236" t="str">
        <f>'Profits 2016'!T6755</f>
        <v>R&amp;L/ECHO</v>
      </c>
      <c r="P1542" s="284">
        <f>'Profits 2016'!U6755</f>
        <v>568321425</v>
      </c>
      <c r="Q1542" s="284" t="s">
        <v>15767</v>
      </c>
      <c r="R1542" s="276">
        <v>114.9</v>
      </c>
      <c r="S1542" s="275" t="s">
        <v>15920</v>
      </c>
      <c r="T1542" s="279">
        <v>42683</v>
      </c>
      <c r="U1542" s="279">
        <v>42688</v>
      </c>
      <c r="AF1542" s="276">
        <f t="shared" si="179"/>
        <v>511.5</v>
      </c>
      <c r="AG1542" s="276">
        <f t="shared" si="180"/>
        <v>114.9</v>
      </c>
      <c r="AH1542" s="276">
        <f t="shared" si="181"/>
        <v>499.59000000000003</v>
      </c>
      <c r="AI1542" s="283">
        <f t="shared" si="182"/>
        <v>0.97671554252199422</v>
      </c>
    </row>
    <row r="1543" spans="1:35" ht="30" x14ac:dyDescent="0.25">
      <c r="A1543" s="275">
        <f>'Profits 2016'!A6756</f>
        <v>3005298</v>
      </c>
      <c r="B1543" s="279">
        <f>'Profits 2016'!B6756</f>
        <v>42675</v>
      </c>
      <c r="C1543" s="276">
        <f>'Profits 2016'!H6756</f>
        <v>168.27</v>
      </c>
      <c r="D1543" s="280">
        <f>'Profits 2016'!K6756</f>
        <v>149.62857</v>
      </c>
      <c r="E1543" s="276">
        <f>'Profits 2016'!L6756</f>
        <v>300</v>
      </c>
      <c r="F1543" s="275" t="str">
        <f>'Profits 2016'!P6756</f>
        <v>Nassau</v>
      </c>
      <c r="G1543" s="292">
        <f>'Profits 2016'!N6756-'Profits 2016'!M6756</f>
        <v>75</v>
      </c>
      <c r="H1543" s="319"/>
      <c r="I1543" s="320"/>
      <c r="J1543" s="321"/>
      <c r="K1543" s="321"/>
      <c r="L1543" s="321"/>
      <c r="M1543" s="319"/>
      <c r="N1543" s="322"/>
      <c r="O1543" s="236" t="str">
        <f>'Profits 2016'!T6756</f>
        <v>FEDEX GROUND</v>
      </c>
      <c r="P1543" s="284" t="str">
        <f>'Profits 2016'!U6756</f>
        <v>665645048044</v>
      </c>
      <c r="Q1543" s="284" t="s">
        <v>314</v>
      </c>
      <c r="R1543" s="276">
        <v>43.54</v>
      </c>
      <c r="S1543" s="275" t="s">
        <v>15847</v>
      </c>
      <c r="T1543" s="279">
        <v>42695</v>
      </c>
      <c r="U1543" s="279">
        <v>42702</v>
      </c>
      <c r="AF1543" s="276">
        <f t="shared" si="179"/>
        <v>118.53999999999999</v>
      </c>
      <c r="AG1543" s="276">
        <f t="shared" si="180"/>
        <v>43.54</v>
      </c>
      <c r="AH1543" s="276">
        <f t="shared" si="181"/>
        <v>106.08857</v>
      </c>
      <c r="AI1543" s="283">
        <f t="shared" si="182"/>
        <v>0.89496009785726349</v>
      </c>
    </row>
    <row r="1544" spans="1:35" ht="30" x14ac:dyDescent="0.25">
      <c r="A1544" s="275">
        <f>'Profits 2016'!A6757</f>
        <v>3005299</v>
      </c>
      <c r="B1544" s="279">
        <f>'Profits 2016'!B6757</f>
        <v>42675</v>
      </c>
      <c r="C1544" s="276">
        <f>'Profits 2016'!H6757</f>
        <v>168.27</v>
      </c>
      <c r="D1544" s="280">
        <f>'Profits 2016'!K6757</f>
        <v>149.62857</v>
      </c>
      <c r="E1544" s="276">
        <f>'Profits 2016'!L6757</f>
        <v>300</v>
      </c>
      <c r="F1544" s="275" t="str">
        <f>'Profits 2016'!P6757</f>
        <v>Nassau</v>
      </c>
      <c r="G1544" s="292">
        <f>'Profits 2016'!N6757-'Profits 2016'!M6757</f>
        <v>75</v>
      </c>
      <c r="H1544" s="319"/>
      <c r="I1544" s="320"/>
      <c r="J1544" s="321"/>
      <c r="K1544" s="321"/>
      <c r="L1544" s="321"/>
      <c r="M1544" s="319"/>
      <c r="N1544" s="322"/>
      <c r="O1544" s="236" t="str">
        <f>'Profits 2016'!T6757</f>
        <v>FEDEX GROUND</v>
      </c>
      <c r="P1544" s="284" t="str">
        <f>'Profits 2016'!U6757</f>
        <v>665645048055</v>
      </c>
      <c r="Q1544" s="284" t="s">
        <v>314</v>
      </c>
      <c r="R1544" s="276">
        <v>26.2</v>
      </c>
      <c r="S1544" s="275" t="s">
        <v>15907</v>
      </c>
      <c r="T1544" s="279">
        <v>42688</v>
      </c>
      <c r="U1544" s="279">
        <v>42691</v>
      </c>
      <c r="V1544" s="279">
        <v>42697</v>
      </c>
      <c r="W1544" s="293">
        <v>26.2</v>
      </c>
      <c r="X1544" s="236">
        <v>9494</v>
      </c>
      <c r="AF1544" s="276">
        <f t="shared" si="179"/>
        <v>111.2</v>
      </c>
      <c r="AG1544" s="276">
        <f t="shared" si="180"/>
        <v>26.2</v>
      </c>
      <c r="AH1544" s="276">
        <f t="shared" si="181"/>
        <v>123.42856999999999</v>
      </c>
      <c r="AI1544" s="283">
        <f t="shared" si="182"/>
        <v>1.1099691546762589</v>
      </c>
    </row>
    <row r="1545" spans="1:35" ht="30" x14ac:dyDescent="0.25">
      <c r="A1545" s="275">
        <f>'Profits 2016'!A6758</f>
        <v>3005300</v>
      </c>
      <c r="B1545" s="279">
        <f>'Profits 2016'!B6758</f>
        <v>42675</v>
      </c>
      <c r="C1545" s="276">
        <f>'Profits 2016'!H6758</f>
        <v>366.88</v>
      </c>
      <c r="D1545" s="280">
        <f>'Profits 2016'!K6758</f>
        <v>326.59008</v>
      </c>
      <c r="E1545" s="276">
        <f>'Profits 2016'!L6758</f>
        <v>3460</v>
      </c>
      <c r="F1545" s="275" t="str">
        <f>'Profits 2016'!P6758</f>
        <v>Priority</v>
      </c>
      <c r="G1545" s="292">
        <f>'Profits 2016'!N6758-'Profits 2016'!M6758</f>
        <v>173</v>
      </c>
      <c r="H1545" s="331">
        <v>10</v>
      </c>
      <c r="I1545" s="332">
        <v>1072537</v>
      </c>
      <c r="J1545" s="333">
        <v>42676</v>
      </c>
      <c r="K1545" s="333">
        <v>42688</v>
      </c>
      <c r="L1545" s="333"/>
      <c r="M1545" s="331"/>
      <c r="N1545" s="334"/>
      <c r="O1545" s="236" t="str">
        <f>'Profits 2016'!T6758</f>
        <v>FEDEX GROUND</v>
      </c>
      <c r="P1545" s="284" t="str">
        <f>'Profits 2016'!U6758</f>
        <v xml:space="preserve">	680993425754</v>
      </c>
      <c r="Q1545" s="284" t="s">
        <v>15740</v>
      </c>
      <c r="R1545" s="276">
        <v>27.83</v>
      </c>
      <c r="S1545" s="275">
        <v>1072537</v>
      </c>
      <c r="T1545" s="279">
        <v>42676</v>
      </c>
      <c r="U1545" s="279">
        <v>42688</v>
      </c>
      <c r="AF1545" s="276">
        <f t="shared" si="179"/>
        <v>200.82999999999998</v>
      </c>
      <c r="AG1545" s="276">
        <f t="shared" si="180"/>
        <v>27.83</v>
      </c>
      <c r="AH1545" s="276">
        <f t="shared" si="181"/>
        <v>298.76008000000002</v>
      </c>
      <c r="AI1545" s="283">
        <f t="shared" si="182"/>
        <v>1.4876267489916848</v>
      </c>
    </row>
    <row r="1546" spans="1:35" ht="30" x14ac:dyDescent="0.25">
      <c r="A1546" s="275">
        <f>'Profits 2016'!A6759</f>
        <v>3005301</v>
      </c>
      <c r="B1546" s="279">
        <f>'Profits 2016'!B6759</f>
        <v>42675</v>
      </c>
      <c r="C1546" s="276">
        <f>'Profits 2016'!H6759</f>
        <v>135.30000000000001</v>
      </c>
      <c r="D1546" s="280">
        <f>'Profits 2016'!K6759</f>
        <v>120.25230000000001</v>
      </c>
      <c r="E1546" s="276">
        <f>'Profits 2016'!L6759</f>
        <v>294</v>
      </c>
      <c r="F1546" s="275" t="str">
        <f>'Profits 2016'!P6759</f>
        <v>Priority</v>
      </c>
      <c r="G1546" s="292">
        <f>'Profits 2016'!N6759-'Profits 2016'!M6759</f>
        <v>73.5</v>
      </c>
      <c r="H1546" s="331">
        <v>0</v>
      </c>
      <c r="I1546" s="332">
        <v>1072829</v>
      </c>
      <c r="J1546" s="333">
        <v>42676</v>
      </c>
      <c r="K1546" s="333">
        <v>42688</v>
      </c>
      <c r="L1546" s="333"/>
      <c r="M1546" s="331"/>
      <c r="N1546" s="334"/>
      <c r="O1546" s="236" t="str">
        <f>'Profits 2016'!T6759</f>
        <v>FEDEX GROUND</v>
      </c>
      <c r="P1546" s="284" t="str">
        <f>'Profits 2016'!U6759</f>
        <v xml:space="preserve">	706898124605</v>
      </c>
      <c r="Q1546" s="284" t="s">
        <v>15740</v>
      </c>
      <c r="R1546" s="276">
        <v>20.75</v>
      </c>
      <c r="S1546" s="275">
        <v>1072829</v>
      </c>
      <c r="T1546" s="279">
        <v>42676</v>
      </c>
      <c r="U1546" s="279">
        <v>42688</v>
      </c>
      <c r="AF1546" s="276">
        <f t="shared" si="179"/>
        <v>94.25</v>
      </c>
      <c r="AG1546" s="276">
        <f t="shared" si="180"/>
        <v>20.75</v>
      </c>
      <c r="AH1546" s="276">
        <f t="shared" si="181"/>
        <v>99.502300000000005</v>
      </c>
      <c r="AI1546" s="283">
        <f t="shared" si="182"/>
        <v>1.0557273209549072</v>
      </c>
    </row>
    <row r="1547" spans="1:35" x14ac:dyDescent="0.25">
      <c r="A1547" s="275">
        <f>'Profits 2016'!A6760</f>
        <v>3005302</v>
      </c>
      <c r="B1547" s="279">
        <f>'Profits 2016'!B6760</f>
        <v>42675</v>
      </c>
      <c r="C1547" s="276">
        <f>'Profits 2016'!H6760</f>
        <v>2592.8000000000002</v>
      </c>
      <c r="D1547" s="280">
        <f>'Profits 2016'!K6760</f>
        <v>2203.88</v>
      </c>
      <c r="E1547" s="276">
        <f>'Profits 2016'!L6760</f>
        <v>1240</v>
      </c>
      <c r="F1547" s="275" t="str">
        <f>'Profits 2016'!P6760</f>
        <v>Nassau</v>
      </c>
      <c r="G1547" s="292">
        <f>'Profits 2016'!N6760-'Profits 2016'!M6760</f>
        <v>1860.0000000000002</v>
      </c>
      <c r="H1547" s="319"/>
      <c r="I1547" s="320"/>
      <c r="J1547" s="321"/>
      <c r="K1547" s="321"/>
      <c r="L1547" s="321"/>
      <c r="M1547" s="319"/>
      <c r="N1547" s="322"/>
      <c r="O1547" s="236" t="str">
        <f>'Profits 2016'!T6760</f>
        <v>ESTES/DLS</v>
      </c>
      <c r="P1547" s="284" t="str">
        <f>'Profits 2016'!U6760</f>
        <v>027-1899685</v>
      </c>
      <c r="Q1547" s="284" t="s">
        <v>15804</v>
      </c>
      <c r="R1547" s="276">
        <v>211.78</v>
      </c>
      <c r="S1547" s="275">
        <v>636934787</v>
      </c>
      <c r="T1547" s="279">
        <v>42682</v>
      </c>
      <c r="U1547" s="279">
        <v>42691</v>
      </c>
      <c r="V1547" s="279">
        <v>42697</v>
      </c>
      <c r="W1547" s="293">
        <v>211.78</v>
      </c>
      <c r="X1547" s="236">
        <v>9480</v>
      </c>
      <c r="AF1547" s="276">
        <f t="shared" si="179"/>
        <v>2071.7800000000002</v>
      </c>
      <c r="AG1547" s="276">
        <f t="shared" si="180"/>
        <v>211.78</v>
      </c>
      <c r="AH1547" s="276">
        <f t="shared" si="181"/>
        <v>1992.1000000000001</v>
      </c>
      <c r="AI1547" s="283">
        <f t="shared" si="182"/>
        <v>0.96154031798743111</v>
      </c>
    </row>
    <row r="1548" spans="1:35" ht="30" x14ac:dyDescent="0.25">
      <c r="A1548" s="275">
        <f>'Profits 2016'!A6761</f>
        <v>3005303</v>
      </c>
      <c r="B1548" s="279">
        <f>'Profits 2016'!B6761</f>
        <v>42675</v>
      </c>
      <c r="C1548" s="276">
        <f>'Profits 2016'!H6761</f>
        <v>120.78</v>
      </c>
      <c r="D1548" s="280">
        <f>'Profits 2016'!K6761</f>
        <v>102.663</v>
      </c>
      <c r="E1548" s="276">
        <f>'Profits 2016'!L6761</f>
        <v>1419</v>
      </c>
      <c r="F1548" s="275" t="str">
        <f>'Profits 2016'!P6761</f>
        <v>Direct</v>
      </c>
      <c r="G1548" s="292">
        <f>'Profits 2016'!N6761-'Profits 2016'!M6761</f>
        <v>35.475000000000001</v>
      </c>
      <c r="H1548" s="331">
        <v>0</v>
      </c>
      <c r="I1548" s="332">
        <v>75649</v>
      </c>
      <c r="J1548" s="333">
        <v>42676</v>
      </c>
      <c r="K1548" s="333">
        <v>42681</v>
      </c>
      <c r="L1548" s="333"/>
      <c r="M1548" s="331"/>
      <c r="N1548" s="334"/>
      <c r="O1548" s="236" t="str">
        <f>'Profits 2016'!T6761</f>
        <v>FEDEX GROUND</v>
      </c>
      <c r="P1548" s="284" t="str">
        <f>'Profits 2016'!U6761</f>
        <v>639794970239</v>
      </c>
      <c r="Q1548" s="284" t="s">
        <v>314</v>
      </c>
      <c r="R1548" s="276">
        <v>19.829999999999998</v>
      </c>
      <c r="S1548" s="275" t="s">
        <v>15907</v>
      </c>
      <c r="T1548" s="279">
        <v>42688</v>
      </c>
      <c r="U1548" s="279">
        <v>42691</v>
      </c>
      <c r="V1548" s="279">
        <v>42697</v>
      </c>
      <c r="W1548" s="293">
        <v>19.829999999999998</v>
      </c>
      <c r="X1548" s="236">
        <v>9494</v>
      </c>
      <c r="AF1548" s="276">
        <f t="shared" si="179"/>
        <v>55.305</v>
      </c>
      <c r="AG1548" s="276">
        <f t="shared" si="180"/>
        <v>19.829999999999998</v>
      </c>
      <c r="AH1548" s="276">
        <f t="shared" si="181"/>
        <v>82.832999999999998</v>
      </c>
      <c r="AI1548" s="283">
        <f t="shared" si="182"/>
        <v>1.497748847301329</v>
      </c>
    </row>
    <row r="1549" spans="1:35" x14ac:dyDescent="0.25">
      <c r="A1549" s="275">
        <f>'Profits 2016'!A6762</f>
        <v>0</v>
      </c>
      <c r="B1549" s="279">
        <f>'Profits 2016'!B6762</f>
        <v>0</v>
      </c>
      <c r="C1549" s="276">
        <f>'Profits 2016'!H6762</f>
        <v>0</v>
      </c>
      <c r="D1549" s="280">
        <f>'Profits 2016'!K6762</f>
        <v>0</v>
      </c>
      <c r="E1549" s="276">
        <f>'Profits 2016'!L6762</f>
        <v>1448</v>
      </c>
      <c r="F1549" s="275" t="str">
        <f>'Profits 2016'!P6762</f>
        <v>Direct</v>
      </c>
      <c r="G1549" s="292">
        <f>'Profits 2016'!N6762-'Profits 2016'!M6762</f>
        <v>36.200000000000003</v>
      </c>
      <c r="H1549" s="331">
        <v>0</v>
      </c>
      <c r="I1549" s="332">
        <v>75649</v>
      </c>
      <c r="J1549" s="333">
        <v>42676</v>
      </c>
      <c r="K1549" s="333">
        <v>42681</v>
      </c>
      <c r="L1549" s="333"/>
      <c r="M1549" s="331"/>
      <c r="N1549" s="334"/>
      <c r="O1549" s="236">
        <f>'Profits 2016'!T6762</f>
        <v>0</v>
      </c>
      <c r="P1549" s="284">
        <f>'Profits 2016'!U6762</f>
        <v>0</v>
      </c>
      <c r="Q1549" s="284" t="s">
        <v>314</v>
      </c>
      <c r="R1549" s="276">
        <v>0</v>
      </c>
      <c r="S1549" s="275" t="s">
        <v>15907</v>
      </c>
      <c r="T1549" s="279">
        <v>42688</v>
      </c>
      <c r="U1549" s="279">
        <v>42691</v>
      </c>
      <c r="V1549" s="279">
        <v>42697</v>
      </c>
      <c r="W1549" s="293">
        <v>0</v>
      </c>
      <c r="X1549" s="236">
        <v>9494</v>
      </c>
      <c r="AF1549" s="276">
        <f t="shared" si="179"/>
        <v>36.200000000000003</v>
      </c>
      <c r="AG1549" s="276">
        <f t="shared" si="180"/>
        <v>0</v>
      </c>
      <c r="AH1549" s="276">
        <f t="shared" si="181"/>
        <v>0</v>
      </c>
      <c r="AI1549" s="283">
        <f t="shared" si="182"/>
        <v>0</v>
      </c>
    </row>
    <row r="1550" spans="1:35" ht="30" x14ac:dyDescent="0.25">
      <c r="A1550" s="275">
        <f>'Profits 2016'!A6763</f>
        <v>3005304</v>
      </c>
      <c r="B1550" s="279">
        <f>'Profits 2016'!B6763</f>
        <v>42675</v>
      </c>
      <c r="C1550" s="276">
        <f>'Profits 2016'!H6763</f>
        <v>107</v>
      </c>
      <c r="D1550" s="280">
        <f>'Profits 2016'!K6763</f>
        <v>90.95</v>
      </c>
      <c r="E1550" s="276">
        <f>'Profits 2016'!L6763</f>
        <v>200</v>
      </c>
      <c r="F1550" s="275" t="str">
        <f>'Profits 2016'!P6763</f>
        <v>Nassau</v>
      </c>
      <c r="G1550" s="292">
        <f>'Profits 2016'!N6763-'Profits 2016'!M6763</f>
        <v>50</v>
      </c>
      <c r="H1550" s="319"/>
      <c r="I1550" s="320"/>
      <c r="J1550" s="321"/>
      <c r="K1550" s="321"/>
      <c r="L1550" s="321"/>
      <c r="M1550" s="319"/>
      <c r="N1550" s="322"/>
      <c r="O1550" s="236" t="str">
        <f>'Profits 2016'!T6763</f>
        <v>FEDEX GROUND</v>
      </c>
      <c r="P1550" s="284" t="str">
        <f>'Profits 2016'!U6763</f>
        <v>665645048125</v>
      </c>
      <c r="Q1550" s="284" t="s">
        <v>314</v>
      </c>
      <c r="R1550" s="276">
        <v>34.22</v>
      </c>
      <c r="S1550" s="275" t="s">
        <v>15847</v>
      </c>
      <c r="T1550" s="279">
        <v>42695</v>
      </c>
      <c r="U1550" s="279">
        <v>42702</v>
      </c>
      <c r="AF1550" s="276">
        <f t="shared" si="179"/>
        <v>84.22</v>
      </c>
      <c r="AG1550" s="276">
        <f t="shared" si="180"/>
        <v>34.22</v>
      </c>
      <c r="AH1550" s="276">
        <f t="shared" si="181"/>
        <v>56.730000000000004</v>
      </c>
      <c r="AI1550" s="283">
        <f t="shared" si="182"/>
        <v>0.67359297079078606</v>
      </c>
    </row>
    <row r="1551" spans="1:35" ht="30" x14ac:dyDescent="0.25">
      <c r="A1551" s="275">
        <f>'Profits 2016'!A6764</f>
        <v>3005305</v>
      </c>
      <c r="B1551" s="279">
        <f>'Profits 2016'!B6764</f>
        <v>42675</v>
      </c>
      <c r="C1551" s="276">
        <f>'Profits 2016'!H6764</f>
        <v>107.91</v>
      </c>
      <c r="D1551" s="280">
        <f>'Profits 2016'!K6764</f>
        <v>91.723500000000001</v>
      </c>
      <c r="E1551" s="276">
        <f>'Profits 2016'!L6764</f>
        <v>560</v>
      </c>
      <c r="F1551" s="275" t="str">
        <f>'Profits 2016'!P6764</f>
        <v>Nassau</v>
      </c>
      <c r="G1551" s="292">
        <f>'Profits 2016'!N6764-'Profits 2016'!M6764</f>
        <v>56</v>
      </c>
      <c r="H1551" s="319"/>
      <c r="I1551" s="320"/>
      <c r="J1551" s="321"/>
      <c r="K1551" s="321"/>
      <c r="L1551" s="321"/>
      <c r="M1551" s="319"/>
      <c r="N1551" s="322"/>
      <c r="O1551" s="236" t="str">
        <f>'Profits 2016'!T6764</f>
        <v>FEDEX GROUND</v>
      </c>
      <c r="P1551" s="284" t="str">
        <f>'Profits 2016'!U6764</f>
        <v>665645048114</v>
      </c>
      <c r="Q1551" s="284" t="s">
        <v>314</v>
      </c>
      <c r="R1551" s="276">
        <v>24.8</v>
      </c>
      <c r="S1551" s="275" t="s">
        <v>15907</v>
      </c>
      <c r="T1551" s="279">
        <v>42688</v>
      </c>
      <c r="U1551" s="279">
        <v>42691</v>
      </c>
      <c r="V1551" s="279">
        <v>42697</v>
      </c>
      <c r="W1551" s="293">
        <v>24.8</v>
      </c>
      <c r="X1551" s="236">
        <v>9494</v>
      </c>
      <c r="AF1551" s="276">
        <f t="shared" si="179"/>
        <v>80.8</v>
      </c>
      <c r="AG1551" s="276">
        <f t="shared" si="180"/>
        <v>24.8</v>
      </c>
      <c r="AH1551" s="276">
        <f t="shared" si="181"/>
        <v>66.923500000000004</v>
      </c>
      <c r="AI1551" s="283">
        <f t="shared" si="182"/>
        <v>0.82826113861386141</v>
      </c>
    </row>
    <row r="1552" spans="1:35" ht="30" x14ac:dyDescent="0.25">
      <c r="A1552" s="275">
        <f>'Profits 2016'!A6765</f>
        <v>3005306</v>
      </c>
      <c r="B1552" s="279">
        <f>'Profits 2016'!B6765</f>
        <v>42675</v>
      </c>
      <c r="C1552" s="276">
        <f>'Profits 2016'!H6765</f>
        <v>110.07</v>
      </c>
      <c r="D1552" s="280">
        <f>'Profits 2016'!K6765</f>
        <v>93.5595</v>
      </c>
      <c r="E1552" s="276">
        <f>'Profits 2016'!L6765</f>
        <v>900</v>
      </c>
      <c r="F1552" s="275" t="str">
        <f>'Profits 2016'!P6765</f>
        <v>Nassau</v>
      </c>
      <c r="G1552" s="292">
        <f>'Profits 2016'!N6765-'Profits 2016'!M6765</f>
        <v>45</v>
      </c>
      <c r="H1552" s="319"/>
      <c r="I1552" s="320"/>
      <c r="J1552" s="321"/>
      <c r="K1552" s="321"/>
      <c r="L1552" s="321"/>
      <c r="M1552" s="319"/>
      <c r="N1552" s="322"/>
      <c r="O1552" s="236" t="str">
        <f>'Profits 2016'!T6765</f>
        <v>FEDEX GROUND</v>
      </c>
      <c r="P1552" s="284" t="str">
        <f>'Profits 2016'!U6765</f>
        <v>665645048099</v>
      </c>
      <c r="Q1552" s="284" t="s">
        <v>314</v>
      </c>
      <c r="R1552" s="276">
        <v>25.31</v>
      </c>
      <c r="S1552" s="275" t="s">
        <v>15907</v>
      </c>
      <c r="T1552" s="279">
        <v>42688</v>
      </c>
      <c r="U1552" s="279">
        <v>42691</v>
      </c>
      <c r="V1552" s="279">
        <v>42697</v>
      </c>
      <c r="W1552" s="293">
        <v>25.34</v>
      </c>
      <c r="X1552" s="236">
        <v>9494</v>
      </c>
      <c r="AF1552" s="276">
        <f t="shared" si="179"/>
        <v>70.31</v>
      </c>
      <c r="AG1552" s="276">
        <f t="shared" si="180"/>
        <v>25.31</v>
      </c>
      <c r="AH1552" s="276">
        <f t="shared" si="181"/>
        <v>68.249499999999998</v>
      </c>
      <c r="AI1552" s="283">
        <f t="shared" si="182"/>
        <v>0.97069406912245759</v>
      </c>
    </row>
    <row r="1553" spans="1:35" ht="30" x14ac:dyDescent="0.25">
      <c r="A1553" s="275">
        <f>'Profits 2016'!A6766</f>
        <v>3005307</v>
      </c>
      <c r="B1553" s="279">
        <f>'Profits 2016'!B6766</f>
        <v>42675</v>
      </c>
      <c r="C1553" s="276">
        <f>'Profits 2016'!H6766</f>
        <v>107.91</v>
      </c>
      <c r="D1553" s="280">
        <f>'Profits 2016'!K6766</f>
        <v>91.723500000000001</v>
      </c>
      <c r="E1553" s="276">
        <f>'Profits 2016'!L6766</f>
        <v>754</v>
      </c>
      <c r="F1553" s="275" t="str">
        <f>'Profits 2016'!P6766</f>
        <v>Direct</v>
      </c>
      <c r="G1553" s="292">
        <f>'Profits 2016'!N6766-'Profits 2016'!M6766</f>
        <v>37.700000000000003</v>
      </c>
      <c r="H1553" s="331">
        <v>0</v>
      </c>
      <c r="I1553" s="332">
        <v>75650</v>
      </c>
      <c r="J1553" s="333">
        <v>42676</v>
      </c>
      <c r="K1553" s="333">
        <v>42681</v>
      </c>
      <c r="L1553" s="333"/>
      <c r="M1553" s="331"/>
      <c r="N1553" s="334"/>
      <c r="O1553" s="236" t="str">
        <f>'Profits 2016'!T6766</f>
        <v>FEDEX GROUND</v>
      </c>
      <c r="P1553" s="284" t="str">
        <f>'Profits 2016'!U6766</f>
        <v>630512245590</v>
      </c>
      <c r="Q1553" s="284" t="s">
        <v>314</v>
      </c>
      <c r="R1553" s="276">
        <v>12.13</v>
      </c>
      <c r="S1553" s="275" t="s">
        <v>15907</v>
      </c>
      <c r="T1553" s="279">
        <v>42688</v>
      </c>
      <c r="U1553" s="279">
        <v>42691</v>
      </c>
      <c r="V1553" s="279">
        <v>42697</v>
      </c>
      <c r="W1553" s="293">
        <v>12.13</v>
      </c>
      <c r="X1553" s="236">
        <v>9494</v>
      </c>
      <c r="AF1553" s="276">
        <f t="shared" ref="AF1553:AF1591" si="187">G1553+H1554+R1553+Y1553</f>
        <v>49.830000000000005</v>
      </c>
      <c r="AG1553" s="276">
        <f t="shared" ref="AG1553:AG1591" si="188">M1553+R1553+Y1553</f>
        <v>12.13</v>
      </c>
      <c r="AH1553" s="276">
        <f t="shared" ref="AH1553:AH1591" si="189">D1553-AG1553</f>
        <v>79.593500000000006</v>
      </c>
      <c r="AI1553" s="283">
        <f t="shared" ref="AI1553:AI1591" si="190">AH1553/AF1553</f>
        <v>1.5973008227975114</v>
      </c>
    </row>
    <row r="1554" spans="1:35" x14ac:dyDescent="0.25">
      <c r="A1554" s="275">
        <f>'Profits 2016'!A6767</f>
        <v>0</v>
      </c>
      <c r="B1554" s="279">
        <f>'Profits 2016'!B6767</f>
        <v>0</v>
      </c>
      <c r="C1554" s="276">
        <f>'Profits 2016'!H6767</f>
        <v>0</v>
      </c>
      <c r="D1554" s="280">
        <f>'Profits 2016'!K6767</f>
        <v>0</v>
      </c>
      <c r="E1554" s="276">
        <f>'Profits 2016'!L6767</f>
        <v>754</v>
      </c>
      <c r="F1554" s="275" t="str">
        <f>'Profits 2016'!P6767</f>
        <v>Direct</v>
      </c>
      <c r="G1554" s="292">
        <f>'Profits 2016'!N6767-'Profits 2016'!M6767</f>
        <v>37.700000000000003</v>
      </c>
      <c r="H1554" s="331">
        <v>0</v>
      </c>
      <c r="I1554" s="332">
        <v>75650</v>
      </c>
      <c r="J1554" s="333">
        <v>42676</v>
      </c>
      <c r="K1554" s="333">
        <v>42681</v>
      </c>
      <c r="L1554" s="333"/>
      <c r="M1554" s="331"/>
      <c r="N1554" s="334"/>
      <c r="O1554" s="236">
        <f>'Profits 2016'!T6767</f>
        <v>0</v>
      </c>
      <c r="P1554" s="284">
        <f>'Profits 2016'!U6767</f>
        <v>0</v>
      </c>
      <c r="Q1554" s="284" t="s">
        <v>314</v>
      </c>
      <c r="R1554" s="276">
        <v>0</v>
      </c>
      <c r="S1554" s="275" t="s">
        <v>15907</v>
      </c>
      <c r="T1554" s="279">
        <v>42688</v>
      </c>
      <c r="U1554" s="279">
        <v>42691</v>
      </c>
      <c r="V1554" s="279">
        <v>42697</v>
      </c>
      <c r="W1554" s="293">
        <v>0</v>
      </c>
      <c r="X1554" s="236">
        <v>9494</v>
      </c>
      <c r="AF1554" s="276">
        <f t="shared" si="187"/>
        <v>37.700000000000003</v>
      </c>
      <c r="AG1554" s="276">
        <f t="shared" si="188"/>
        <v>0</v>
      </c>
      <c r="AH1554" s="276">
        <f t="shared" si="189"/>
        <v>0</v>
      </c>
      <c r="AI1554" s="283">
        <f t="shared" si="190"/>
        <v>0</v>
      </c>
    </row>
    <row r="1555" spans="1:35" ht="30" x14ac:dyDescent="0.25">
      <c r="A1555" s="275">
        <f>'Profits 2016'!A6768</f>
        <v>3005308</v>
      </c>
      <c r="B1555" s="279">
        <f>'Profits 2016'!B6768</f>
        <v>42675</v>
      </c>
      <c r="C1555" s="276">
        <f>'Profits 2016'!H6768</f>
        <v>150.47999999999999</v>
      </c>
      <c r="D1555" s="280">
        <f>'Profits 2016'!K6768</f>
        <v>127.90799999999999</v>
      </c>
      <c r="E1555" s="276">
        <f>'Profits 2016'!L6768</f>
        <v>944</v>
      </c>
      <c r="F1555" s="275" t="str">
        <f>'Profits 2016'!P6768</f>
        <v>Direct</v>
      </c>
      <c r="G1555" s="292">
        <f>'Profits 2016'!N6768-'Profits 2016'!M6768</f>
        <v>47.2</v>
      </c>
      <c r="H1555" s="331">
        <v>0</v>
      </c>
      <c r="I1555" s="332">
        <v>75646</v>
      </c>
      <c r="J1555" s="333">
        <v>42676</v>
      </c>
      <c r="K1555" s="333">
        <v>42681</v>
      </c>
      <c r="L1555" s="333"/>
      <c r="M1555" s="331"/>
      <c r="N1555" s="334"/>
      <c r="O1555" s="236" t="str">
        <f>'Profits 2016'!T6768</f>
        <v>FEDEX GROUND</v>
      </c>
      <c r="P1555" s="284" t="str">
        <f>'Profits 2016'!U6768</f>
        <v>630512245615</v>
      </c>
      <c r="Q1555" s="284" t="s">
        <v>314</v>
      </c>
      <c r="R1555" s="276">
        <v>27.7</v>
      </c>
      <c r="S1555" s="275" t="s">
        <v>15847</v>
      </c>
      <c r="T1555" s="279">
        <v>42695</v>
      </c>
      <c r="U1555" s="279">
        <v>42702</v>
      </c>
      <c r="AF1555" s="276">
        <f t="shared" si="187"/>
        <v>74.900000000000006</v>
      </c>
      <c r="AG1555" s="276">
        <f t="shared" si="188"/>
        <v>27.7</v>
      </c>
      <c r="AH1555" s="276">
        <f t="shared" si="189"/>
        <v>100.20799999999998</v>
      </c>
      <c r="AI1555" s="283">
        <f t="shared" si="190"/>
        <v>1.3378905206942586</v>
      </c>
    </row>
    <row r="1556" spans="1:35" x14ac:dyDescent="0.25">
      <c r="A1556" s="275">
        <f>'Profits 2016'!A6769</f>
        <v>0</v>
      </c>
      <c r="B1556" s="279">
        <f>'Profits 2016'!B6769</f>
        <v>0</v>
      </c>
      <c r="C1556" s="276">
        <f>'Profits 2016'!H6769</f>
        <v>0</v>
      </c>
      <c r="D1556" s="280">
        <f>'Profits 2016'!K6769</f>
        <v>0</v>
      </c>
      <c r="E1556" s="276">
        <f>'Profits 2016'!L6769</f>
        <v>944</v>
      </c>
      <c r="F1556" s="275" t="str">
        <f>'Profits 2016'!P6769</f>
        <v>Direct</v>
      </c>
      <c r="G1556" s="292">
        <f>'Profits 2016'!N6769-'Profits 2016'!M6769</f>
        <v>47.2</v>
      </c>
      <c r="H1556" s="331">
        <v>0</v>
      </c>
      <c r="I1556" s="332">
        <v>75646</v>
      </c>
      <c r="J1556" s="333">
        <v>42676</v>
      </c>
      <c r="K1556" s="333">
        <v>42681</v>
      </c>
      <c r="L1556" s="333"/>
      <c r="M1556" s="331"/>
      <c r="N1556" s="334"/>
      <c r="O1556" s="236">
        <f>'Profits 2016'!T6769</f>
        <v>0</v>
      </c>
      <c r="P1556" s="284">
        <f>'Profits 2016'!U6769</f>
        <v>0</v>
      </c>
      <c r="Q1556" s="284" t="s">
        <v>314</v>
      </c>
      <c r="R1556" s="276">
        <v>0</v>
      </c>
      <c r="S1556" s="275" t="s">
        <v>15847</v>
      </c>
      <c r="T1556" s="279">
        <v>42695</v>
      </c>
      <c r="U1556" s="279">
        <v>42702</v>
      </c>
      <c r="AF1556" s="276">
        <f t="shared" si="187"/>
        <v>47.2</v>
      </c>
      <c r="AG1556" s="276">
        <f t="shared" si="188"/>
        <v>0</v>
      </c>
      <c r="AH1556" s="276">
        <f t="shared" si="189"/>
        <v>0</v>
      </c>
      <c r="AI1556" s="283">
        <f t="shared" si="190"/>
        <v>0</v>
      </c>
    </row>
    <row r="1557" spans="1:35" ht="30" x14ac:dyDescent="0.25">
      <c r="A1557" s="275">
        <f>'Profits 2016'!A6770</f>
        <v>3005309</v>
      </c>
      <c r="B1557" s="279">
        <f>'Profits 2016'!B6770</f>
        <v>42675</v>
      </c>
      <c r="C1557" s="276">
        <f>'Profits 2016'!H6770</f>
        <v>123.48</v>
      </c>
      <c r="D1557" s="280">
        <f>'Profits 2016'!K6770</f>
        <v>104.958</v>
      </c>
      <c r="E1557" s="276">
        <f>'Profits 2016'!L6770</f>
        <v>950</v>
      </c>
      <c r="F1557" s="275" t="str">
        <f>'Profits 2016'!P6770</f>
        <v>Nassau</v>
      </c>
      <c r="G1557" s="292">
        <f>'Profits 2016'!N6770-'Profits 2016'!M6770</f>
        <v>47.5</v>
      </c>
      <c r="H1557" s="319"/>
      <c r="I1557" s="320"/>
      <c r="J1557" s="321"/>
      <c r="K1557" s="321"/>
      <c r="L1557" s="321"/>
      <c r="M1557" s="319"/>
      <c r="N1557" s="322"/>
      <c r="O1557" s="236" t="str">
        <f>'Profits 2016'!T6770</f>
        <v>FEDEX GROUND</v>
      </c>
      <c r="P1557" s="284" t="str">
        <f>'Profits 2016'!U6770</f>
        <v>665645048103</v>
      </c>
      <c r="Q1557" s="284" t="s">
        <v>314</v>
      </c>
      <c r="R1557" s="276">
        <v>22.59</v>
      </c>
      <c r="S1557" s="275" t="s">
        <v>15847</v>
      </c>
      <c r="T1557" s="279">
        <v>42695</v>
      </c>
      <c r="U1557" s="279">
        <v>42702</v>
      </c>
      <c r="AF1557" s="276">
        <f t="shared" si="187"/>
        <v>70.09</v>
      </c>
      <c r="AG1557" s="276">
        <f t="shared" si="188"/>
        <v>22.59</v>
      </c>
      <c r="AH1557" s="276">
        <f t="shared" si="189"/>
        <v>82.367999999999995</v>
      </c>
      <c r="AI1557" s="283">
        <f t="shared" si="190"/>
        <v>1.1751747752889141</v>
      </c>
    </row>
    <row r="1558" spans="1:35" ht="30" x14ac:dyDescent="0.25">
      <c r="A1558" s="275">
        <f>'Profits 2016'!A6771</f>
        <v>3005310</v>
      </c>
      <c r="B1558" s="279">
        <f>'Profits 2016'!B6771</f>
        <v>42675</v>
      </c>
      <c r="C1558" s="276">
        <f>'Profits 2016'!H6771</f>
        <v>253.82</v>
      </c>
      <c r="D1558" s="280">
        <f>'Profits 2016'!K6771</f>
        <v>215.74699999999999</v>
      </c>
      <c r="E1558" s="276">
        <f>'Profits 2016'!L6771</f>
        <v>300</v>
      </c>
      <c r="F1558" s="275" t="str">
        <f>'Profits 2016'!P6771</f>
        <v>Thea</v>
      </c>
      <c r="G1558" s="292">
        <f>'Profits 2016'!N6771-'Profits 2016'!M6771</f>
        <v>105.00000000000001</v>
      </c>
      <c r="H1558" s="319"/>
      <c r="I1558" s="320"/>
      <c r="J1558" s="321"/>
      <c r="K1558" s="321"/>
      <c r="L1558" s="321"/>
      <c r="M1558" s="319"/>
      <c r="N1558" s="322"/>
      <c r="O1558" s="236" t="str">
        <f>'Profits 2016'!T6771</f>
        <v>FEDEX GROUND</v>
      </c>
      <c r="P1558" s="284" t="str">
        <f>'Profits 2016'!U6771</f>
        <v>675157531477</v>
      </c>
      <c r="Q1558" s="284" t="s">
        <v>314</v>
      </c>
      <c r="R1558" s="276">
        <v>67.83</v>
      </c>
      <c r="S1558" s="275" t="s">
        <v>15847</v>
      </c>
      <c r="T1558" s="279">
        <v>42695</v>
      </c>
      <c r="U1558" s="279">
        <v>42702</v>
      </c>
      <c r="AF1558" s="276">
        <f t="shared" si="187"/>
        <v>172.83</v>
      </c>
      <c r="AG1558" s="276">
        <f t="shared" si="188"/>
        <v>67.83</v>
      </c>
      <c r="AH1558" s="276">
        <f t="shared" si="189"/>
        <v>147.91699999999997</v>
      </c>
      <c r="AI1558" s="283">
        <f t="shared" si="190"/>
        <v>0.85585257189145381</v>
      </c>
    </row>
    <row r="1559" spans="1:35" ht="30" x14ac:dyDescent="0.25">
      <c r="A1559" s="275">
        <f>'Profits 2016'!A6772</f>
        <v>3005311</v>
      </c>
      <c r="B1559" s="279">
        <f>'Profits 2016'!B6772</f>
        <v>42675</v>
      </c>
      <c r="C1559" s="276">
        <f>'Profits 2016'!H6772</f>
        <v>107.91</v>
      </c>
      <c r="D1559" s="280">
        <f>'Profits 2016'!K6772</f>
        <v>91.723500000000001</v>
      </c>
      <c r="E1559" s="276">
        <f>'Profits 2016'!L6772</f>
        <v>754</v>
      </c>
      <c r="F1559" s="275" t="str">
        <f>'Profits 2016'!P6772</f>
        <v>Direct</v>
      </c>
      <c r="G1559" s="292">
        <f>'Profits 2016'!N6772-'Profits 2016'!M6772</f>
        <v>37.700000000000003</v>
      </c>
      <c r="H1559" s="331">
        <v>0</v>
      </c>
      <c r="I1559" s="332">
        <v>75648</v>
      </c>
      <c r="J1559" s="333">
        <v>42676</v>
      </c>
      <c r="K1559" s="333">
        <v>42681</v>
      </c>
      <c r="L1559" s="333"/>
      <c r="M1559" s="331"/>
      <c r="N1559" s="334"/>
      <c r="O1559" s="236" t="str">
        <f>'Profits 2016'!T6772</f>
        <v>FEDEX GROUND</v>
      </c>
      <c r="P1559" s="284" t="str">
        <f>'Profits 2016'!U6772</f>
        <v>630512245604</v>
      </c>
      <c r="Q1559" s="284" t="s">
        <v>314</v>
      </c>
      <c r="R1559" s="276">
        <v>22.64</v>
      </c>
      <c r="S1559" s="275" t="s">
        <v>15847</v>
      </c>
      <c r="T1559" s="279">
        <v>42695</v>
      </c>
      <c r="U1559" s="279">
        <v>42702</v>
      </c>
      <c r="AF1559" s="276">
        <f t="shared" si="187"/>
        <v>60.34</v>
      </c>
      <c r="AG1559" s="276">
        <f t="shared" si="188"/>
        <v>22.64</v>
      </c>
      <c r="AH1559" s="276">
        <f t="shared" si="189"/>
        <v>69.083500000000001</v>
      </c>
      <c r="AI1559" s="283">
        <f t="shared" si="190"/>
        <v>1.1449038780245275</v>
      </c>
    </row>
    <row r="1560" spans="1:35" x14ac:dyDescent="0.25">
      <c r="A1560" s="275">
        <f>'Profits 2016'!A6773</f>
        <v>0</v>
      </c>
      <c r="B1560" s="279">
        <f>'Profits 2016'!B6773</f>
        <v>0</v>
      </c>
      <c r="C1560" s="276">
        <f>'Profits 2016'!H6773</f>
        <v>0</v>
      </c>
      <c r="D1560" s="280">
        <f>'Profits 2016'!K6773</f>
        <v>0</v>
      </c>
      <c r="E1560" s="276">
        <f>'Profits 2016'!L6773</f>
        <v>754</v>
      </c>
      <c r="F1560" s="275" t="str">
        <f>'Profits 2016'!P6773</f>
        <v>Direct</v>
      </c>
      <c r="G1560" s="292">
        <f>'Profits 2016'!N6773-'Profits 2016'!M6773</f>
        <v>37.700000000000003</v>
      </c>
      <c r="H1560" s="331">
        <v>0</v>
      </c>
      <c r="I1560" s="332">
        <v>75648</v>
      </c>
      <c r="J1560" s="333">
        <v>42676</v>
      </c>
      <c r="K1560" s="333">
        <v>42681</v>
      </c>
      <c r="L1560" s="333"/>
      <c r="M1560" s="331"/>
      <c r="N1560" s="334"/>
      <c r="O1560" s="236">
        <f>'Profits 2016'!T6773</f>
        <v>0</v>
      </c>
      <c r="P1560" s="284">
        <f>'Profits 2016'!U6773</f>
        <v>0</v>
      </c>
      <c r="Q1560" s="284" t="s">
        <v>314</v>
      </c>
      <c r="R1560" s="276">
        <v>0</v>
      </c>
      <c r="S1560" s="275" t="s">
        <v>15847</v>
      </c>
      <c r="T1560" s="279">
        <v>42695</v>
      </c>
      <c r="U1560" s="279">
        <v>42702</v>
      </c>
      <c r="AF1560" s="276">
        <f t="shared" si="187"/>
        <v>37.700000000000003</v>
      </c>
      <c r="AG1560" s="276">
        <f t="shared" si="188"/>
        <v>0</v>
      </c>
      <c r="AH1560" s="276">
        <f t="shared" si="189"/>
        <v>0</v>
      </c>
      <c r="AI1560" s="283">
        <f t="shared" si="190"/>
        <v>0</v>
      </c>
    </row>
    <row r="1561" spans="1:35" ht="30" x14ac:dyDescent="0.25">
      <c r="A1561" s="275">
        <f>'Profits 2016'!A6774</f>
        <v>3005312</v>
      </c>
      <c r="B1561" s="279">
        <f>'Profits 2016'!B6774</f>
        <v>42675</v>
      </c>
      <c r="C1561" s="276">
        <f>'Profits 2016'!H6774</f>
        <v>176.81</v>
      </c>
      <c r="D1561" s="280">
        <f>'Profits 2016'!K6774</f>
        <v>150.2885</v>
      </c>
      <c r="E1561" s="276">
        <f>'Profits 2016'!L6774</f>
        <v>698</v>
      </c>
      <c r="F1561" s="275" t="str">
        <f>'Profits 2016'!P6774</f>
        <v>Nassau</v>
      </c>
      <c r="G1561" s="292">
        <f>'Profits 2016'!N6774-'Profits 2016'!M6774</f>
        <v>104.7</v>
      </c>
      <c r="H1561" s="319"/>
      <c r="I1561" s="320"/>
      <c r="J1561" s="321"/>
      <c r="K1561" s="321"/>
      <c r="L1561" s="321"/>
      <c r="M1561" s="319"/>
      <c r="N1561" s="322"/>
      <c r="O1561" s="236" t="str">
        <f>'Profits 2016'!T6774</f>
        <v>FEDEX GROUND</v>
      </c>
      <c r="P1561" s="284" t="str">
        <f>'Profits 2016'!U6774</f>
        <v>665645048077</v>
      </c>
      <c r="Q1561" s="284" t="s">
        <v>314</v>
      </c>
      <c r="R1561" s="276">
        <v>36.049999999999997</v>
      </c>
      <c r="S1561" s="275" t="s">
        <v>15847</v>
      </c>
      <c r="T1561" s="279">
        <v>42695</v>
      </c>
      <c r="U1561" s="279">
        <v>42702</v>
      </c>
      <c r="AF1561" s="276">
        <f t="shared" si="187"/>
        <v>140.75</v>
      </c>
      <c r="AG1561" s="276">
        <f t="shared" si="188"/>
        <v>36.049999999999997</v>
      </c>
      <c r="AH1561" s="276">
        <f t="shared" si="189"/>
        <v>114.2385</v>
      </c>
      <c r="AI1561" s="283">
        <f t="shared" si="190"/>
        <v>0.81164120781527538</v>
      </c>
    </row>
    <row r="1562" spans="1:35" ht="30" x14ac:dyDescent="0.25">
      <c r="A1562" s="275">
        <f>'Profits 2016'!A6775</f>
        <v>3005313</v>
      </c>
      <c r="B1562" s="279">
        <f>'Profits 2016'!B6775</f>
        <v>42675</v>
      </c>
      <c r="C1562" s="276">
        <f>'Profits 2016'!H6775</f>
        <v>567</v>
      </c>
      <c r="D1562" s="280">
        <f>'Profits 2016'!K6775</f>
        <v>504.89700000000005</v>
      </c>
      <c r="E1562" s="276">
        <f>'Profits 2016'!L6775</f>
        <v>909</v>
      </c>
      <c r="F1562" s="275" t="str">
        <f>'Profits 2016'!P6775</f>
        <v>Nassau</v>
      </c>
      <c r="G1562" s="292">
        <f>'Profits 2016'!N6775-'Profits 2016'!M6775</f>
        <v>227.25</v>
      </c>
      <c r="H1562" s="319"/>
      <c r="I1562" s="320"/>
      <c r="J1562" s="321"/>
      <c r="K1562" s="321"/>
      <c r="L1562" s="321"/>
      <c r="M1562" s="319"/>
      <c r="N1562" s="322"/>
      <c r="O1562" s="236" t="str">
        <f>'Profits 2016'!T6775</f>
        <v>FEDEX GROUND</v>
      </c>
      <c r="P1562" s="284" t="str">
        <f>'Profits 2016'!U6775</f>
        <v>665645048136</v>
      </c>
      <c r="Q1562" s="284" t="s">
        <v>314</v>
      </c>
      <c r="R1562" s="276">
        <v>38.39</v>
      </c>
      <c r="S1562" s="275" t="s">
        <v>15907</v>
      </c>
      <c r="T1562" s="279">
        <v>42688</v>
      </c>
      <c r="U1562" s="279">
        <v>42691</v>
      </c>
      <c r="V1562" s="279">
        <v>42697</v>
      </c>
      <c r="W1562" s="293">
        <v>38.39</v>
      </c>
      <c r="X1562" s="236">
        <v>9494</v>
      </c>
      <c r="AF1562" s="276">
        <f t="shared" si="187"/>
        <v>265.64</v>
      </c>
      <c r="AG1562" s="276">
        <f t="shared" si="188"/>
        <v>38.39</v>
      </c>
      <c r="AH1562" s="276">
        <f t="shared" si="189"/>
        <v>466.50700000000006</v>
      </c>
      <c r="AI1562" s="283">
        <f t="shared" si="190"/>
        <v>1.7561624755307939</v>
      </c>
    </row>
    <row r="1563" spans="1:35" ht="30" x14ac:dyDescent="0.25">
      <c r="A1563" s="275">
        <f>'Profits 2016'!A6776</f>
        <v>3005314</v>
      </c>
      <c r="B1563" s="279">
        <f>'Profits 2016'!B6776</f>
        <v>42675</v>
      </c>
      <c r="C1563" s="276">
        <f>'Profits 2016'!H6776</f>
        <v>1800</v>
      </c>
      <c r="D1563" s="280">
        <f>'Profits 2016'!K6776</f>
        <v>1760.1</v>
      </c>
      <c r="E1563" s="276">
        <f>'Profits 2016'!L6776</f>
        <v>2050</v>
      </c>
      <c r="F1563" s="275" t="str">
        <f>'Profits 2016'!P6776</f>
        <v>Direct</v>
      </c>
      <c r="G1563" s="292">
        <f>'Profits 2016'!N6776-'Profits 2016'!M6776</f>
        <v>1230</v>
      </c>
      <c r="H1563" s="331">
        <v>0</v>
      </c>
      <c r="I1563" s="332">
        <v>75790</v>
      </c>
      <c r="J1563" s="333">
        <v>42678</v>
      </c>
      <c r="K1563" s="333">
        <v>42683</v>
      </c>
      <c r="L1563" s="333"/>
      <c r="M1563" s="331"/>
      <c r="N1563" s="334"/>
      <c r="O1563" s="236" t="str">
        <f>'Profits 2016'!T6776</f>
        <v>FEDEX PRIORITY</v>
      </c>
      <c r="P1563" s="284" t="str">
        <f>'Profits 2016'!U6776</f>
        <v>2538592792</v>
      </c>
      <c r="AF1563" s="276">
        <f t="shared" si="187"/>
        <v>1230</v>
      </c>
      <c r="AG1563" s="276">
        <f t="shared" si="188"/>
        <v>0</v>
      </c>
      <c r="AH1563" s="276">
        <f t="shared" si="189"/>
        <v>1760.1</v>
      </c>
      <c r="AI1563" s="283">
        <f t="shared" si="190"/>
        <v>1.4309756097560975</v>
      </c>
    </row>
    <row r="1564" spans="1:35" x14ac:dyDescent="0.25">
      <c r="A1564" s="275">
        <f>'Profits 2016'!A6777</f>
        <v>0</v>
      </c>
      <c r="B1564" s="279">
        <f>'Profits 2016'!B6777</f>
        <v>0</v>
      </c>
      <c r="C1564" s="276">
        <f>'Profits 2016'!H6777</f>
        <v>0</v>
      </c>
      <c r="D1564" s="280">
        <f>'Profits 2016'!K6777</f>
        <v>0</v>
      </c>
      <c r="E1564" s="276">
        <f>'Profits 2016'!L6777</f>
        <v>0</v>
      </c>
      <c r="F1564" s="275">
        <f>'Profits 2016'!P6777</f>
        <v>0</v>
      </c>
      <c r="G1564" s="292" t="e">
        <f>'Profits 2016'!N6777-'Profits 2016'!M6777</f>
        <v>#VALUE!</v>
      </c>
      <c r="H1564" s="331"/>
      <c r="I1564" s="332"/>
      <c r="J1564" s="333"/>
      <c r="K1564" s="333"/>
      <c r="L1564" s="333"/>
      <c r="M1564" s="331"/>
      <c r="N1564" s="334"/>
      <c r="O1564" s="236">
        <f>'Profits 2016'!T6777</f>
        <v>0</v>
      </c>
      <c r="P1564" s="284">
        <f>'Profits 2016'!U6777</f>
        <v>0</v>
      </c>
      <c r="AF1564" s="276" t="e">
        <f t="shared" si="187"/>
        <v>#VALUE!</v>
      </c>
      <c r="AG1564" s="276">
        <f t="shared" si="188"/>
        <v>0</v>
      </c>
      <c r="AH1564" s="276">
        <f t="shared" si="189"/>
        <v>0</v>
      </c>
      <c r="AI1564" s="283" t="e">
        <f t="shared" si="190"/>
        <v>#VALUE!</v>
      </c>
    </row>
    <row r="1565" spans="1:35" ht="30" x14ac:dyDescent="0.25">
      <c r="A1565" s="275">
        <f>'Profits 2016'!A6778</f>
        <v>3005315</v>
      </c>
      <c r="B1565" s="279">
        <f>'Profits 2016'!B6778</f>
        <v>42675</v>
      </c>
      <c r="C1565" s="276">
        <f>'Profits 2016'!H6778</f>
        <v>2100</v>
      </c>
      <c r="D1565" s="280">
        <f>'Profits 2016'!K6778</f>
        <v>2053.5</v>
      </c>
      <c r="E1565" s="276">
        <f>'Profits 2016'!L6778</f>
        <v>2150</v>
      </c>
      <c r="F1565" s="275" t="str">
        <f>'Profits 2016'!P6778</f>
        <v>Nassau</v>
      </c>
      <c r="G1565" s="292">
        <f>'Profits 2016'!N6778-'Profits 2016'!M6778</f>
        <v>1075</v>
      </c>
      <c r="H1565" s="319"/>
      <c r="I1565" s="320"/>
      <c r="J1565" s="321"/>
      <c r="K1565" s="321"/>
      <c r="L1565" s="321"/>
      <c r="M1565" s="319"/>
      <c r="N1565" s="322"/>
      <c r="O1565" s="236" t="str">
        <f>'Profits 2016'!T6778</f>
        <v>CUSTOMER PICK UP</v>
      </c>
      <c r="P1565" s="284" t="str">
        <f>'Profits 2016'!U6778</f>
        <v>CUSTOMER PICK UP</v>
      </c>
      <c r="AF1565" s="276">
        <f t="shared" si="187"/>
        <v>1075</v>
      </c>
      <c r="AG1565" s="276">
        <f t="shared" si="188"/>
        <v>0</v>
      </c>
      <c r="AH1565" s="276">
        <f t="shared" si="189"/>
        <v>2053.5</v>
      </c>
      <c r="AI1565" s="283">
        <f t="shared" si="190"/>
        <v>1.910232558139535</v>
      </c>
    </row>
    <row r="1566" spans="1:35" x14ac:dyDescent="0.25">
      <c r="A1566" s="275">
        <f>'Profits 2016'!A6779</f>
        <v>3005316</v>
      </c>
      <c r="B1566" s="279">
        <f>'Profits 2016'!B6779</f>
        <v>42675</v>
      </c>
      <c r="C1566" s="276">
        <f>'Profits 2016'!H6779</f>
        <v>5410</v>
      </c>
      <c r="D1566" s="280">
        <f>'Profits 2016'!K6779</f>
        <v>5410</v>
      </c>
      <c r="E1566" s="276">
        <f>'Profits 2016'!L6779</f>
        <v>400</v>
      </c>
      <c r="F1566" s="275" t="str">
        <f>'Profits 2016'!P6779</f>
        <v>Nassau</v>
      </c>
      <c r="G1566" s="292">
        <f>'Profits 2016'!N6779-'Profits 2016'!M6779</f>
        <v>399.99999999999994</v>
      </c>
      <c r="H1566" s="319"/>
      <c r="I1566" s="320"/>
      <c r="J1566" s="321"/>
      <c r="K1566" s="321"/>
      <c r="L1566" s="321"/>
      <c r="M1566" s="319"/>
      <c r="N1566" s="322"/>
      <c r="O1566" s="236" t="str">
        <f>'Profits 2016'!T6779</f>
        <v>ESTES/DLS</v>
      </c>
      <c r="P1566" s="284" t="str">
        <f>'Profits 2016'!U6779</f>
        <v>027-2141081</v>
      </c>
      <c r="Q1566" s="284" t="s">
        <v>15804</v>
      </c>
      <c r="R1566" s="276">
        <v>260.04000000000002</v>
      </c>
      <c r="S1566" s="275">
        <v>636946874</v>
      </c>
      <c r="T1566" s="279">
        <v>42684</v>
      </c>
      <c r="U1566" s="279">
        <v>42692</v>
      </c>
      <c r="V1566" s="279">
        <v>42697</v>
      </c>
      <c r="W1566" s="293">
        <v>260.04000000000002</v>
      </c>
      <c r="X1566" s="236">
        <v>9493</v>
      </c>
      <c r="AF1566" s="276">
        <f t="shared" si="187"/>
        <v>660.04</v>
      </c>
      <c r="AG1566" s="276">
        <f t="shared" si="188"/>
        <v>260.04000000000002</v>
      </c>
      <c r="AH1566" s="276">
        <f t="shared" si="189"/>
        <v>5149.96</v>
      </c>
      <c r="AI1566" s="283">
        <f t="shared" si="190"/>
        <v>7.8024968183746441</v>
      </c>
    </row>
    <row r="1567" spans="1:35" x14ac:dyDescent="0.25">
      <c r="A1567" s="275">
        <f>'Profits 2016'!A6780</f>
        <v>0</v>
      </c>
      <c r="B1567" s="279">
        <f>'Profits 2016'!B6780</f>
        <v>0</v>
      </c>
      <c r="C1567" s="276">
        <f>'Profits 2016'!H6780</f>
        <v>0</v>
      </c>
      <c r="D1567" s="280">
        <f>'Profits 2016'!K6780</f>
        <v>0</v>
      </c>
      <c r="E1567" s="276">
        <f>'Profits 2016'!L6780</f>
        <v>616</v>
      </c>
      <c r="F1567" s="275" t="str">
        <f>'Profits 2016'!P6780</f>
        <v>Nassau</v>
      </c>
      <c r="G1567" s="292">
        <f>'Profits 2016'!N6780-'Profits 2016'!M6780</f>
        <v>616</v>
      </c>
      <c r="H1567" s="319"/>
      <c r="I1567" s="320"/>
      <c r="J1567" s="321"/>
      <c r="K1567" s="321"/>
      <c r="L1567" s="321"/>
      <c r="M1567" s="319"/>
      <c r="N1567" s="322"/>
      <c r="O1567" s="236">
        <f>'Profits 2016'!T6780</f>
        <v>0</v>
      </c>
      <c r="P1567" s="284">
        <f>'Profits 2016'!U6780</f>
        <v>0</v>
      </c>
      <c r="Q1567" s="284" t="s">
        <v>15804</v>
      </c>
      <c r="R1567" s="276">
        <v>0</v>
      </c>
      <c r="S1567" s="275">
        <v>636946874</v>
      </c>
      <c r="T1567" s="279">
        <v>42684</v>
      </c>
      <c r="U1567" s="279">
        <v>42692</v>
      </c>
      <c r="V1567" s="279">
        <v>42697</v>
      </c>
      <c r="W1567" s="293">
        <v>0</v>
      </c>
      <c r="X1567" s="236">
        <v>9493</v>
      </c>
      <c r="AF1567" s="276">
        <f t="shared" si="187"/>
        <v>616</v>
      </c>
      <c r="AG1567" s="276">
        <f t="shared" si="188"/>
        <v>0</v>
      </c>
      <c r="AH1567" s="276">
        <f t="shared" si="189"/>
        <v>0</v>
      </c>
      <c r="AI1567" s="283">
        <f t="shared" si="190"/>
        <v>0</v>
      </c>
    </row>
    <row r="1568" spans="1:35" x14ac:dyDescent="0.25">
      <c r="A1568" s="275">
        <f>'Profits 2016'!A6781</f>
        <v>0</v>
      </c>
      <c r="B1568" s="279">
        <f>'Profits 2016'!B6781</f>
        <v>0</v>
      </c>
      <c r="C1568" s="276">
        <f>'Profits 2016'!H6781</f>
        <v>0</v>
      </c>
      <c r="D1568" s="280">
        <f>'Profits 2016'!K6781</f>
        <v>0</v>
      </c>
      <c r="E1568" s="276">
        <f>'Profits 2016'!L6781</f>
        <v>1540</v>
      </c>
      <c r="F1568" s="275" t="str">
        <f>'Profits 2016'!P6781</f>
        <v>Nassau</v>
      </c>
      <c r="G1568" s="292">
        <f>'Profits 2016'!N6781-'Profits 2016'!M6781</f>
        <v>1540</v>
      </c>
      <c r="H1568" s="319"/>
      <c r="I1568" s="320"/>
      <c r="J1568" s="321"/>
      <c r="K1568" s="321"/>
      <c r="L1568" s="321"/>
      <c r="M1568" s="319"/>
      <c r="N1568" s="322"/>
      <c r="O1568" s="236">
        <f>'Profits 2016'!T6781</f>
        <v>0</v>
      </c>
      <c r="P1568" s="284">
        <f>'Profits 2016'!U6781</f>
        <v>0</v>
      </c>
      <c r="Q1568" s="284" t="s">
        <v>15804</v>
      </c>
      <c r="R1568" s="276">
        <v>0</v>
      </c>
      <c r="S1568" s="275">
        <v>636946874</v>
      </c>
      <c r="T1568" s="279">
        <v>42684</v>
      </c>
      <c r="U1568" s="279">
        <v>42692</v>
      </c>
      <c r="V1568" s="279">
        <v>42697</v>
      </c>
      <c r="W1568" s="293">
        <v>0</v>
      </c>
      <c r="X1568" s="236">
        <v>9493</v>
      </c>
      <c r="AF1568" s="276">
        <f t="shared" si="187"/>
        <v>1540</v>
      </c>
      <c r="AG1568" s="276">
        <f t="shared" si="188"/>
        <v>0</v>
      </c>
      <c r="AH1568" s="276">
        <f t="shared" si="189"/>
        <v>0</v>
      </c>
      <c r="AI1568" s="283">
        <f t="shared" si="190"/>
        <v>0</v>
      </c>
    </row>
    <row r="1569" spans="1:35" x14ac:dyDescent="0.25">
      <c r="A1569" s="275">
        <f>'Profits 2016'!A6782</f>
        <v>0</v>
      </c>
      <c r="B1569" s="279">
        <f>'Profits 2016'!B6782</f>
        <v>0</v>
      </c>
      <c r="C1569" s="276">
        <f>'Profits 2016'!H6782</f>
        <v>0</v>
      </c>
      <c r="D1569" s="280">
        <f>'Profits 2016'!K6782</f>
        <v>0</v>
      </c>
      <c r="E1569" s="276">
        <f>'Profits 2016'!L6782</f>
        <v>375</v>
      </c>
      <c r="F1569" s="275" t="str">
        <f>'Profits 2016'!P6782</f>
        <v>Nassau</v>
      </c>
      <c r="G1569" s="292">
        <f>'Profits 2016'!N6782-'Profits 2016'!M6782</f>
        <v>750</v>
      </c>
      <c r="H1569" s="319"/>
      <c r="I1569" s="320"/>
      <c r="J1569" s="321"/>
      <c r="K1569" s="321"/>
      <c r="L1569" s="321"/>
      <c r="M1569" s="319"/>
      <c r="N1569" s="322"/>
      <c r="O1569" s="236">
        <f>'Profits 2016'!T6782</f>
        <v>0</v>
      </c>
      <c r="P1569" s="284">
        <f>'Profits 2016'!U6782</f>
        <v>0</v>
      </c>
      <c r="Q1569" s="284" t="s">
        <v>15804</v>
      </c>
      <c r="R1569" s="276">
        <v>0</v>
      </c>
      <c r="S1569" s="275">
        <v>636946874</v>
      </c>
      <c r="T1569" s="279">
        <v>42684</v>
      </c>
      <c r="U1569" s="279">
        <v>42692</v>
      </c>
      <c r="V1569" s="279">
        <v>42697</v>
      </c>
      <c r="W1569" s="293">
        <v>0</v>
      </c>
      <c r="X1569" s="236">
        <v>9493</v>
      </c>
      <c r="AF1569" s="276">
        <f t="shared" si="187"/>
        <v>750</v>
      </c>
      <c r="AG1569" s="276">
        <f t="shared" si="188"/>
        <v>0</v>
      </c>
      <c r="AH1569" s="276">
        <f t="shared" si="189"/>
        <v>0</v>
      </c>
      <c r="AI1569" s="283">
        <f t="shared" si="190"/>
        <v>0</v>
      </c>
    </row>
    <row r="1570" spans="1:35" x14ac:dyDescent="0.25">
      <c r="A1570" s="275">
        <f>'Profits 2016'!A6783</f>
        <v>0</v>
      </c>
      <c r="B1570" s="279">
        <f>'Profits 2016'!B6783</f>
        <v>0</v>
      </c>
      <c r="C1570" s="276">
        <f>'Profits 2016'!H6783</f>
        <v>0</v>
      </c>
      <c r="D1570" s="280">
        <f>'Profits 2016'!K6783</f>
        <v>0</v>
      </c>
      <c r="E1570" s="276">
        <f>'Profits 2016'!L6783</f>
        <v>1040</v>
      </c>
      <c r="F1570" s="275" t="str">
        <f>'Profits 2016'!P6783</f>
        <v>Direct</v>
      </c>
      <c r="G1570" s="292">
        <f>'Profits 2016'!N6783-'Profits 2016'!M6783</f>
        <v>1040</v>
      </c>
      <c r="H1570" s="331">
        <v>0</v>
      </c>
      <c r="I1570" s="332">
        <v>75647</v>
      </c>
      <c r="J1570" s="333">
        <v>42676</v>
      </c>
      <c r="K1570" s="333">
        <v>42681</v>
      </c>
      <c r="L1570" s="333"/>
      <c r="M1570" s="331"/>
      <c r="N1570" s="334"/>
      <c r="O1570" s="236" t="str">
        <f>'Profits 2016'!T6783</f>
        <v>PITT OHIO</v>
      </c>
      <c r="P1570" s="284" t="str">
        <f>'Profits 2016'!U6783</f>
        <v>5011108612</v>
      </c>
      <c r="AF1570" s="276">
        <f t="shared" si="187"/>
        <v>1040</v>
      </c>
      <c r="AG1570" s="276">
        <f t="shared" si="188"/>
        <v>0</v>
      </c>
      <c r="AH1570" s="276">
        <f t="shared" si="189"/>
        <v>0</v>
      </c>
      <c r="AI1570" s="283">
        <f t="shared" si="190"/>
        <v>0</v>
      </c>
    </row>
    <row r="1571" spans="1:35" x14ac:dyDescent="0.25">
      <c r="A1571" s="275">
        <f>'Profits 2016'!A6784</f>
        <v>3005317</v>
      </c>
      <c r="B1571" s="279">
        <f>'Profits 2016'!B6784</f>
        <v>42675</v>
      </c>
      <c r="C1571" s="276">
        <f>'Profits 2016'!H6784</f>
        <v>900</v>
      </c>
      <c r="D1571" s="280">
        <f>'Profits 2016'!K6784</f>
        <v>900</v>
      </c>
      <c r="E1571" s="276">
        <f>'Profits 2016'!L6784</f>
        <v>980</v>
      </c>
      <c r="F1571" s="275" t="str">
        <f>'Profits 2016'!P6784</f>
        <v>Priority</v>
      </c>
      <c r="G1571" s="292">
        <f>'Profits 2016'!N6784-'Profits 2016'!M6784</f>
        <v>490</v>
      </c>
      <c r="H1571" s="331">
        <v>0</v>
      </c>
      <c r="I1571" s="332">
        <v>1072625</v>
      </c>
      <c r="J1571" s="333">
        <v>42676</v>
      </c>
      <c r="K1571" s="333">
        <v>42688</v>
      </c>
      <c r="L1571" s="333"/>
      <c r="M1571" s="331"/>
      <c r="N1571" s="334"/>
      <c r="O1571" s="236" t="str">
        <f>'Profits 2016'!T6784</f>
        <v>PITT OHIO</v>
      </c>
      <c r="P1571" s="284" t="str">
        <f>'Profits 2016'!U6784</f>
        <v>5010658890</v>
      </c>
      <c r="Q1571" s="284" t="s">
        <v>15740</v>
      </c>
      <c r="R1571" s="276">
        <v>191.85</v>
      </c>
      <c r="S1571" s="275">
        <v>1072625</v>
      </c>
      <c r="T1571" s="279">
        <v>42676</v>
      </c>
      <c r="U1571" s="279">
        <v>42688</v>
      </c>
      <c r="AF1571" s="276">
        <f t="shared" si="187"/>
        <v>681.85</v>
      </c>
      <c r="AG1571" s="276">
        <f t="shared" si="188"/>
        <v>191.85</v>
      </c>
      <c r="AH1571" s="276">
        <f t="shared" si="189"/>
        <v>708.15</v>
      </c>
      <c r="AI1571" s="283">
        <f t="shared" si="190"/>
        <v>1.0385715333284447</v>
      </c>
    </row>
    <row r="1572" spans="1:35" ht="30" x14ac:dyDescent="0.25">
      <c r="A1572" s="275">
        <f>'Profits 2016'!A6785</f>
        <v>3005318</v>
      </c>
      <c r="B1572" s="279">
        <f>'Profits 2016'!B6785</f>
        <v>42675</v>
      </c>
      <c r="C1572" s="276">
        <f>'Profits 2016'!H6785</f>
        <v>159.38999999999999</v>
      </c>
      <c r="D1572" s="280">
        <f>'Profits 2016'!K6785</f>
        <v>135.48149999999998</v>
      </c>
      <c r="E1572" s="276">
        <f>'Profits 2016'!L6785</f>
        <v>2200</v>
      </c>
      <c r="F1572" s="275" t="str">
        <f>'Profits 2016'!P6785</f>
        <v>Direct</v>
      </c>
      <c r="G1572" s="292">
        <f>'Profits 2016'!N6785-'Profits 2016'!M6785</f>
        <v>55.000000000000007</v>
      </c>
      <c r="H1572" s="331">
        <v>0</v>
      </c>
      <c r="I1572" s="332">
        <v>75768</v>
      </c>
      <c r="J1572" s="333">
        <v>42678</v>
      </c>
      <c r="K1572" s="333">
        <v>42683</v>
      </c>
      <c r="L1572" s="333"/>
      <c r="M1572" s="331"/>
      <c r="N1572" s="334"/>
      <c r="O1572" s="236" t="str">
        <f>'Profits 2016'!T6785</f>
        <v>FEDEX GROUND</v>
      </c>
      <c r="P1572" s="284" t="str">
        <f>'Profits 2016'!U6785</f>
        <v>630512245670</v>
      </c>
      <c r="Q1572" s="284" t="s">
        <v>314</v>
      </c>
      <c r="R1572" s="276">
        <v>14.65</v>
      </c>
      <c r="S1572" s="275" t="s">
        <v>15847</v>
      </c>
      <c r="T1572" s="279">
        <v>42695</v>
      </c>
      <c r="U1572" s="279">
        <v>42702</v>
      </c>
      <c r="AF1572" s="276">
        <f t="shared" si="187"/>
        <v>69.650000000000006</v>
      </c>
      <c r="AG1572" s="276">
        <f t="shared" si="188"/>
        <v>14.65</v>
      </c>
      <c r="AH1572" s="276">
        <f t="shared" si="189"/>
        <v>120.83149999999998</v>
      </c>
      <c r="AI1572" s="283">
        <f t="shared" si="190"/>
        <v>1.7348384781048094</v>
      </c>
    </row>
    <row r="1573" spans="1:35" x14ac:dyDescent="0.25">
      <c r="A1573" s="275">
        <f>'Profits 2016'!A6786</f>
        <v>0</v>
      </c>
      <c r="B1573" s="279">
        <f>'Profits 2016'!B6786</f>
        <v>0</v>
      </c>
      <c r="C1573" s="276">
        <f>'Profits 2016'!H6786</f>
        <v>0</v>
      </c>
      <c r="D1573" s="280">
        <f>'Profits 2016'!K6786</f>
        <v>0</v>
      </c>
      <c r="E1573" s="276">
        <f>'Profits 2016'!L6786</f>
        <v>2200</v>
      </c>
      <c r="F1573" s="275" t="str">
        <f>'Profits 2016'!P6786</f>
        <v>Direct</v>
      </c>
      <c r="G1573" s="292">
        <f>'Profits 2016'!N6786-'Profits 2016'!M6786</f>
        <v>55</v>
      </c>
      <c r="H1573" s="331">
        <v>0</v>
      </c>
      <c r="I1573" s="332">
        <v>75768</v>
      </c>
      <c r="J1573" s="333">
        <v>42678</v>
      </c>
      <c r="K1573" s="333">
        <v>42683</v>
      </c>
      <c r="L1573" s="333"/>
      <c r="M1573" s="331"/>
      <c r="N1573" s="334"/>
      <c r="O1573" s="236">
        <f>'Profits 2016'!T6786</f>
        <v>0</v>
      </c>
      <c r="P1573" s="284">
        <f>'Profits 2016'!U6786</f>
        <v>0</v>
      </c>
      <c r="Q1573" s="284" t="s">
        <v>314</v>
      </c>
      <c r="R1573" s="276">
        <v>0</v>
      </c>
      <c r="S1573" s="275" t="s">
        <v>15847</v>
      </c>
      <c r="T1573" s="279">
        <v>42695</v>
      </c>
      <c r="U1573" s="279">
        <v>42702</v>
      </c>
      <c r="AF1573" s="276">
        <f t="shared" si="187"/>
        <v>55</v>
      </c>
      <c r="AG1573" s="276">
        <f t="shared" si="188"/>
        <v>0</v>
      </c>
      <c r="AH1573" s="276">
        <f t="shared" si="189"/>
        <v>0</v>
      </c>
      <c r="AI1573" s="283">
        <f t="shared" si="190"/>
        <v>0</v>
      </c>
    </row>
    <row r="1574" spans="1:35" ht="30" x14ac:dyDescent="0.25">
      <c r="A1574" s="275">
        <f>'Profits 2016'!A6787</f>
        <v>3005319</v>
      </c>
      <c r="B1574" s="279">
        <f>'Profits 2016'!B6787</f>
        <v>42675</v>
      </c>
      <c r="C1574" s="276">
        <f>'Profits 2016'!H6787</f>
        <v>283.14</v>
      </c>
      <c r="D1574" s="280">
        <f>'Profits 2016'!K6787</f>
        <v>240.66899999999998</v>
      </c>
      <c r="E1574" s="276">
        <f>'Profits 2016'!L6787</f>
        <v>300</v>
      </c>
      <c r="F1574" s="275" t="str">
        <f>'Profits 2016'!P6787</f>
        <v>Nassau</v>
      </c>
      <c r="G1574" s="292">
        <f>'Profits 2016'!N6787-'Profits 2016'!M6787</f>
        <v>150</v>
      </c>
      <c r="H1574" s="319"/>
      <c r="I1574" s="320"/>
      <c r="J1574" s="321"/>
      <c r="K1574" s="321"/>
      <c r="L1574" s="321"/>
      <c r="M1574" s="319"/>
      <c r="N1574" s="322"/>
      <c r="O1574" s="236" t="str">
        <f>'Profits 2016'!T6787</f>
        <v>FEDEX GROUND</v>
      </c>
      <c r="P1574" s="284" t="str">
        <f>'Profits 2016'!U6787</f>
        <v>702723291425</v>
      </c>
      <c r="AF1574" s="276">
        <f t="shared" si="187"/>
        <v>150</v>
      </c>
      <c r="AG1574" s="276">
        <f t="shared" si="188"/>
        <v>0</v>
      </c>
      <c r="AH1574" s="276">
        <f t="shared" si="189"/>
        <v>240.66899999999998</v>
      </c>
      <c r="AI1574" s="283">
        <f t="shared" si="190"/>
        <v>1.6044599999999998</v>
      </c>
    </row>
    <row r="1575" spans="1:35" ht="30" x14ac:dyDescent="0.25">
      <c r="A1575" s="275">
        <f>'Profits 2016'!A6788</f>
        <v>3005320</v>
      </c>
      <c r="B1575" s="279">
        <f>'Profits 2016'!B6788</f>
        <v>42675</v>
      </c>
      <c r="C1575" s="276">
        <f>'Profits 2016'!H6788</f>
        <v>120</v>
      </c>
      <c r="D1575" s="280">
        <f>'Profits 2016'!K6788</f>
        <v>106.62</v>
      </c>
      <c r="E1575" s="276">
        <f>'Profits 2016'!L6788</f>
        <v>424</v>
      </c>
      <c r="F1575" s="275" t="str">
        <f>'Profits 2016'!P6788</f>
        <v>Nassau</v>
      </c>
      <c r="G1575" s="292">
        <f>'Profits 2016'!N6788-'Profits 2016'!M6788</f>
        <v>42.4</v>
      </c>
      <c r="H1575" s="319"/>
      <c r="I1575" s="320"/>
      <c r="J1575" s="321"/>
      <c r="K1575" s="321"/>
      <c r="L1575" s="321"/>
      <c r="M1575" s="319"/>
      <c r="N1575" s="322"/>
      <c r="O1575" s="236" t="str">
        <f>'Profits 2016'!T6788</f>
        <v>FEDEX GROUND</v>
      </c>
      <c r="P1575" s="284" t="str">
        <f>'Profits 2016'!U6788</f>
        <v>665645048088</v>
      </c>
      <c r="Q1575" s="284" t="s">
        <v>314</v>
      </c>
      <c r="R1575" s="276">
        <v>30.1</v>
      </c>
      <c r="S1575" s="275" t="s">
        <v>15907</v>
      </c>
      <c r="T1575" s="279">
        <v>42688</v>
      </c>
      <c r="U1575" s="279">
        <v>42691</v>
      </c>
      <c r="V1575" s="279">
        <v>42697</v>
      </c>
      <c r="W1575" s="293">
        <v>30.1</v>
      </c>
      <c r="X1575" s="236">
        <v>9494</v>
      </c>
      <c r="AF1575" s="276">
        <f t="shared" si="187"/>
        <v>72.5</v>
      </c>
      <c r="AG1575" s="276">
        <f t="shared" si="188"/>
        <v>30.1</v>
      </c>
      <c r="AH1575" s="276">
        <f t="shared" si="189"/>
        <v>76.52000000000001</v>
      </c>
      <c r="AI1575" s="283">
        <f t="shared" si="190"/>
        <v>1.0554482758620691</v>
      </c>
    </row>
    <row r="1576" spans="1:35" ht="30" x14ac:dyDescent="0.25">
      <c r="A1576" s="275">
        <f>'Profits 2016'!A6789</f>
        <v>3005321</v>
      </c>
      <c r="B1576" s="279">
        <f>'Profits 2016'!B6789</f>
        <v>42675</v>
      </c>
      <c r="C1576" s="276">
        <f>'Profits 2016'!H6789</f>
        <v>173.4</v>
      </c>
      <c r="D1576" s="280">
        <f>'Profits 2016'!K6789</f>
        <v>147.39000000000001</v>
      </c>
      <c r="E1576" s="276">
        <f>'Profits 2016'!L6789</f>
        <v>900</v>
      </c>
      <c r="F1576" s="275" t="str">
        <f>'Profits 2016'!P6789</f>
        <v>Nassau</v>
      </c>
      <c r="G1576" s="292">
        <f>'Profits 2016'!N6789-'Profits 2016'!M6789</f>
        <v>112.5</v>
      </c>
      <c r="H1576" s="319"/>
      <c r="I1576" s="320"/>
      <c r="J1576" s="321"/>
      <c r="K1576" s="321"/>
      <c r="L1576" s="321"/>
      <c r="M1576" s="319"/>
      <c r="N1576" s="322"/>
      <c r="O1576" s="236" t="str">
        <f>'Profits 2016'!T6789</f>
        <v>FEDEX GROUND</v>
      </c>
      <c r="P1576" s="284" t="str">
        <f>'Profits 2016'!U6789</f>
        <v>680483360770</v>
      </c>
      <c r="Q1576" s="284" t="s">
        <v>314</v>
      </c>
      <c r="R1576" s="276">
        <v>34.090000000000003</v>
      </c>
      <c r="S1576" s="275" t="s">
        <v>15907</v>
      </c>
      <c r="T1576" s="279">
        <v>42688</v>
      </c>
      <c r="U1576" s="279">
        <v>42691</v>
      </c>
      <c r="V1576" s="279">
        <v>42697</v>
      </c>
      <c r="W1576" s="293">
        <v>34.090000000000003</v>
      </c>
      <c r="X1576" s="236">
        <v>9494</v>
      </c>
      <c r="AF1576" s="276">
        <f t="shared" si="187"/>
        <v>146.59</v>
      </c>
      <c r="AG1576" s="276">
        <f t="shared" si="188"/>
        <v>34.090000000000003</v>
      </c>
      <c r="AH1576" s="276">
        <f t="shared" si="189"/>
        <v>113.30000000000001</v>
      </c>
      <c r="AI1576" s="283">
        <f t="shared" si="190"/>
        <v>0.77290401800941411</v>
      </c>
    </row>
    <row r="1577" spans="1:35" ht="45" x14ac:dyDescent="0.25">
      <c r="A1577" s="275">
        <f>'Profits 2016'!A6790</f>
        <v>3005322</v>
      </c>
      <c r="B1577" s="279">
        <f>'Profits 2016'!B6790</f>
        <v>42675</v>
      </c>
      <c r="C1577" s="276">
        <f>'Profits 2016'!H6790</f>
        <v>620</v>
      </c>
      <c r="D1577" s="280">
        <f>'Profits 2016'!K6790</f>
        <v>606.05999999999995</v>
      </c>
      <c r="E1577" s="276">
        <f>'Profits 2016'!L6790</f>
        <v>4640</v>
      </c>
      <c r="F1577" s="275" t="str">
        <f>'Profits 2016'!P6790</f>
        <v>Service</v>
      </c>
      <c r="G1577" s="292">
        <f>'Profits 2016'!N6790-'Profits 2016'!M6790</f>
        <v>464</v>
      </c>
      <c r="H1577" s="331"/>
      <c r="I1577" s="332"/>
      <c r="J1577" s="333"/>
      <c r="K1577" s="333"/>
      <c r="L1577" s="333"/>
      <c r="M1577" s="331"/>
      <c r="N1577" s="334"/>
      <c r="O1577" s="236" t="str">
        <f>'Profits 2016'!T6790</f>
        <v>FEDEX FREIGHT PRIORITY</v>
      </c>
      <c r="P1577" s="284" t="str">
        <f>'Profits 2016'!U6790</f>
        <v>3992420773</v>
      </c>
      <c r="AF1577" s="276">
        <f t="shared" si="187"/>
        <v>464</v>
      </c>
      <c r="AG1577" s="276">
        <f t="shared" si="188"/>
        <v>0</v>
      </c>
      <c r="AH1577" s="276">
        <f t="shared" si="189"/>
        <v>606.05999999999995</v>
      </c>
      <c r="AI1577" s="283">
        <f t="shared" si="190"/>
        <v>1.3061637931034482</v>
      </c>
    </row>
    <row r="1578" spans="1:35" ht="30" x14ac:dyDescent="0.25">
      <c r="A1578" s="275">
        <f>'Profits 2016'!A6791</f>
        <v>3005323</v>
      </c>
      <c r="B1578" s="279">
        <f>'Profits 2016'!B6791</f>
        <v>42675</v>
      </c>
      <c r="C1578" s="276">
        <f>'Profits 2016'!H6791</f>
        <v>1460.76</v>
      </c>
      <c r="D1578" s="280">
        <f>'Profits 2016'!K6791</f>
        <v>1412.9853000000001</v>
      </c>
      <c r="E1578" s="276">
        <f>'Profits 2016'!L6791</f>
        <v>947</v>
      </c>
      <c r="F1578" s="275" t="str">
        <f>'Profits 2016'!P6791</f>
        <v xml:space="preserve">West Virginia </v>
      </c>
      <c r="G1578" s="292">
        <f>'Profits 2016'!N6791-'Profits 2016'!M6791</f>
        <v>757.6</v>
      </c>
      <c r="H1578" s="331">
        <v>0</v>
      </c>
      <c r="I1578" s="332" t="s">
        <v>15921</v>
      </c>
      <c r="J1578" s="333">
        <v>42678</v>
      </c>
      <c r="K1578" s="333">
        <v>42689</v>
      </c>
      <c r="L1578" s="333">
        <v>42692</v>
      </c>
      <c r="M1578" s="331">
        <v>757.6</v>
      </c>
      <c r="N1578" s="334">
        <v>9459</v>
      </c>
      <c r="O1578" s="236" t="str">
        <f>'Profits 2016'!T6791</f>
        <v>FEDEX</v>
      </c>
      <c r="P1578" s="284">
        <f>'Profits 2016'!U6791</f>
        <v>3975513522</v>
      </c>
      <c r="AF1578" s="276">
        <f t="shared" si="187"/>
        <v>757.6</v>
      </c>
      <c r="AG1578" s="276">
        <f t="shared" si="188"/>
        <v>757.6</v>
      </c>
      <c r="AH1578" s="276">
        <f t="shared" si="189"/>
        <v>655.38530000000003</v>
      </c>
      <c r="AI1578" s="283">
        <f t="shared" si="190"/>
        <v>0.86508091341077087</v>
      </c>
    </row>
    <row r="1579" spans="1:35" x14ac:dyDescent="0.25">
      <c r="A1579" s="275">
        <f>'Profits 2016'!A6792</f>
        <v>3005324</v>
      </c>
      <c r="B1579" s="279">
        <f>'Profits 2016'!B6792</f>
        <v>42675</v>
      </c>
      <c r="C1579" s="276">
        <f>'Profits 2016'!H6792</f>
        <v>695.06</v>
      </c>
      <c r="D1579" s="280">
        <f>'Profits 2016'!K6792</f>
        <v>695.06</v>
      </c>
      <c r="E1579" s="276">
        <f>'Profits 2016'!L6792</f>
        <v>420</v>
      </c>
      <c r="F1579" s="275" t="str">
        <f>'Profits 2016'!P6792</f>
        <v>Priority</v>
      </c>
      <c r="G1579" s="292">
        <f>'Profits 2016'!N6792-'Profits 2016'!M6792</f>
        <v>125.99999999999999</v>
      </c>
      <c r="H1579" s="331">
        <v>0</v>
      </c>
      <c r="I1579" s="332">
        <v>1073092</v>
      </c>
      <c r="J1579" s="333">
        <v>42677</v>
      </c>
      <c r="K1579" s="333">
        <v>42688</v>
      </c>
      <c r="L1579" s="333"/>
      <c r="M1579" s="331"/>
      <c r="N1579" s="334"/>
      <c r="O1579" s="236" t="str">
        <f>'Profits 2016'!T6792</f>
        <v>FEDEX</v>
      </c>
      <c r="P1579" s="284" t="str">
        <f>'Profits 2016'!U6792</f>
        <v>711201624664</v>
      </c>
      <c r="Q1579" s="284" t="s">
        <v>15740</v>
      </c>
      <c r="R1579" s="276">
        <v>82.21</v>
      </c>
      <c r="S1579" s="332">
        <v>1073092</v>
      </c>
      <c r="T1579" s="333">
        <v>42677</v>
      </c>
      <c r="U1579" s="333">
        <v>42688</v>
      </c>
      <c r="AF1579" s="276">
        <f t="shared" si="187"/>
        <v>208.20999999999998</v>
      </c>
      <c r="AG1579" s="276">
        <f t="shared" si="188"/>
        <v>82.21</v>
      </c>
      <c r="AH1579" s="276">
        <f t="shared" si="189"/>
        <v>612.84999999999991</v>
      </c>
      <c r="AI1579" s="283">
        <f t="shared" si="190"/>
        <v>2.9434225061236252</v>
      </c>
    </row>
    <row r="1580" spans="1:35" ht="30" x14ac:dyDescent="0.25">
      <c r="A1580" s="275">
        <f>'Profits 2016'!A6793</f>
        <v>3005325</v>
      </c>
      <c r="B1580" s="279">
        <f>'Profits 2016'!B6793</f>
        <v>42675</v>
      </c>
      <c r="C1580" s="276">
        <f>'Profits 2016'!H6793</f>
        <v>427</v>
      </c>
      <c r="D1580" s="280">
        <f>'Profits 2016'!K6793</f>
        <v>427</v>
      </c>
      <c r="E1580" s="276">
        <f>'Profits 2016'!L6793</f>
        <v>420</v>
      </c>
      <c r="F1580" s="275" t="str">
        <f>'Profits 2016'!P6793</f>
        <v>Priority</v>
      </c>
      <c r="G1580" s="292">
        <f>'Profits 2016'!N6793-'Profits 2016'!M6793</f>
        <v>126</v>
      </c>
      <c r="H1580" s="331">
        <v>0</v>
      </c>
      <c r="I1580" s="332">
        <v>1072966</v>
      </c>
      <c r="J1580" s="333">
        <v>42677</v>
      </c>
      <c r="K1580" s="333">
        <v>42688</v>
      </c>
      <c r="L1580" s="333"/>
      <c r="M1580" s="331"/>
      <c r="N1580" s="334"/>
      <c r="O1580" s="236" t="str">
        <f>'Profits 2016'!T6793</f>
        <v>FEDEX GROUND</v>
      </c>
      <c r="P1580" s="284" t="str">
        <f>'Profits 2016'!U6793</f>
        <v xml:space="preserve">	711201624734</v>
      </c>
      <c r="Q1580" s="284" t="s">
        <v>15740</v>
      </c>
      <c r="R1580" s="276">
        <v>25.72</v>
      </c>
      <c r="S1580" s="332">
        <v>1072966</v>
      </c>
      <c r="T1580" s="333">
        <v>42677</v>
      </c>
      <c r="U1580" s="333">
        <v>42688</v>
      </c>
      <c r="AF1580" s="276">
        <f t="shared" si="187"/>
        <v>151.72</v>
      </c>
      <c r="AG1580" s="276">
        <f t="shared" si="188"/>
        <v>25.72</v>
      </c>
      <c r="AH1580" s="276">
        <f t="shared" si="189"/>
        <v>401.28</v>
      </c>
      <c r="AI1580" s="283">
        <f t="shared" si="190"/>
        <v>2.6448721328763511</v>
      </c>
    </row>
    <row r="1581" spans="1:35" ht="30" x14ac:dyDescent="0.25">
      <c r="A1581" s="275">
        <f>'Profits 2016'!A6794</f>
        <v>3005326</v>
      </c>
      <c r="B1581" s="279">
        <f>'Profits 2016'!B6794</f>
        <v>42675</v>
      </c>
      <c r="C1581" s="276">
        <f>'Profits 2016'!H6794</f>
        <v>427</v>
      </c>
      <c r="D1581" s="280">
        <f>'Profits 2016'!K6794</f>
        <v>427</v>
      </c>
      <c r="E1581" s="276">
        <f>'Profits 2016'!L6794</f>
        <v>420</v>
      </c>
      <c r="F1581" s="275" t="str">
        <f>'Profits 2016'!P6794</f>
        <v>Priority</v>
      </c>
      <c r="G1581" s="292">
        <f>'Profits 2016'!N6794-'Profits 2016'!M6794</f>
        <v>126</v>
      </c>
      <c r="H1581" s="331">
        <v>0</v>
      </c>
      <c r="I1581" s="332">
        <v>1072982</v>
      </c>
      <c r="J1581" s="333">
        <v>42677</v>
      </c>
      <c r="K1581" s="333">
        <v>42688</v>
      </c>
      <c r="L1581" s="333"/>
      <c r="M1581" s="331"/>
      <c r="N1581" s="334"/>
      <c r="O1581" s="236" t="str">
        <f>'Profits 2016'!T6794</f>
        <v>FEDEX GROUND</v>
      </c>
      <c r="P1581" s="284" t="str">
        <f>'Profits 2016'!U6794</f>
        <v xml:space="preserve">	711201624745</v>
      </c>
      <c r="Q1581" s="284" t="s">
        <v>15740</v>
      </c>
      <c r="R1581" s="276">
        <v>25.72</v>
      </c>
      <c r="S1581" s="332">
        <v>1072982</v>
      </c>
      <c r="T1581" s="333">
        <v>42677</v>
      </c>
      <c r="U1581" s="333">
        <v>42688</v>
      </c>
      <c r="AF1581" s="276">
        <f t="shared" si="187"/>
        <v>151.72</v>
      </c>
      <c r="AG1581" s="276">
        <f t="shared" si="188"/>
        <v>25.72</v>
      </c>
      <c r="AH1581" s="276">
        <f t="shared" si="189"/>
        <v>401.28</v>
      </c>
      <c r="AI1581" s="283">
        <f t="shared" si="190"/>
        <v>2.6448721328763511</v>
      </c>
    </row>
    <row r="1582" spans="1:35" ht="30" x14ac:dyDescent="0.25">
      <c r="A1582" s="275">
        <f>'Profits 2016'!A6795</f>
        <v>3005327</v>
      </c>
      <c r="B1582" s="279">
        <f>'Profits 2016'!B6795</f>
        <v>42675</v>
      </c>
      <c r="C1582" s="276">
        <f>'Profits 2016'!H6795</f>
        <v>427</v>
      </c>
      <c r="D1582" s="280">
        <f>'Profits 2016'!K6795</f>
        <v>427</v>
      </c>
      <c r="E1582" s="276">
        <f>'Profits 2016'!L6795</f>
        <v>420</v>
      </c>
      <c r="F1582" s="275" t="str">
        <f>'Profits 2016'!P6795</f>
        <v>Priority</v>
      </c>
      <c r="G1582" s="292">
        <f>'Profits 2016'!N6795-'Profits 2016'!M6795</f>
        <v>126</v>
      </c>
      <c r="H1582" s="331">
        <v>0</v>
      </c>
      <c r="I1582" s="332">
        <v>1074398</v>
      </c>
      <c r="J1582" s="333">
        <v>42682</v>
      </c>
      <c r="K1582" s="333">
        <v>42695</v>
      </c>
      <c r="L1582" s="333"/>
      <c r="M1582" s="331"/>
      <c r="N1582" s="334"/>
      <c r="O1582" s="236" t="str">
        <f>'Profits 2016'!T6795</f>
        <v>FEDEX GROUND</v>
      </c>
      <c r="P1582" s="284" t="str">
        <f>'Profits 2016'!U6795</f>
        <v>711201624712</v>
      </c>
      <c r="Q1582" s="284" t="s">
        <v>15740</v>
      </c>
      <c r="R1582" s="276">
        <v>25.72</v>
      </c>
      <c r="S1582" s="332">
        <v>1074398</v>
      </c>
      <c r="T1582" s="333">
        <v>42682</v>
      </c>
      <c r="U1582" s="333">
        <v>42695</v>
      </c>
      <c r="AF1582" s="276">
        <f t="shared" si="187"/>
        <v>151.72</v>
      </c>
      <c r="AG1582" s="276">
        <f t="shared" si="188"/>
        <v>25.72</v>
      </c>
      <c r="AH1582" s="276">
        <f t="shared" si="189"/>
        <v>401.28</v>
      </c>
      <c r="AI1582" s="283">
        <f t="shared" si="190"/>
        <v>2.6448721328763511</v>
      </c>
    </row>
    <row r="1583" spans="1:35" ht="30" x14ac:dyDescent="0.25">
      <c r="A1583" s="275">
        <f>'Profits 2016'!A6796</f>
        <v>3005328</v>
      </c>
      <c r="B1583" s="279">
        <f>'Profits 2016'!B6796</f>
        <v>42675</v>
      </c>
      <c r="C1583" s="276">
        <f>'Profits 2016'!H6796</f>
        <v>427</v>
      </c>
      <c r="D1583" s="280">
        <f>'Profits 2016'!K6796</f>
        <v>427</v>
      </c>
      <c r="E1583" s="276">
        <f>'Profits 2016'!L6796</f>
        <v>420</v>
      </c>
      <c r="F1583" s="275" t="str">
        <f>'Profits 2016'!P6796</f>
        <v>Priority</v>
      </c>
      <c r="G1583" s="292">
        <f>'Profits 2016'!N6796-'Profits 2016'!M6796</f>
        <v>126</v>
      </c>
      <c r="H1583" s="331">
        <v>0</v>
      </c>
      <c r="I1583" s="332">
        <v>1072983</v>
      </c>
      <c r="J1583" s="333">
        <v>42677</v>
      </c>
      <c r="K1583" s="333">
        <v>42688</v>
      </c>
      <c r="L1583" s="333"/>
      <c r="M1583" s="331"/>
      <c r="N1583" s="334"/>
      <c r="O1583" s="236" t="str">
        <f>'Profits 2016'!T6796</f>
        <v>FEDEX GROUND</v>
      </c>
      <c r="P1583" s="284" t="str">
        <f>'Profits 2016'!U6796</f>
        <v>711201624723</v>
      </c>
      <c r="Q1583" s="284" t="s">
        <v>15740</v>
      </c>
      <c r="R1583" s="276">
        <v>25.72</v>
      </c>
      <c r="S1583" s="332">
        <v>1072983</v>
      </c>
      <c r="T1583" s="333">
        <v>42677</v>
      </c>
      <c r="U1583" s="333">
        <v>42688</v>
      </c>
      <c r="AF1583" s="276">
        <f t="shared" si="187"/>
        <v>151.72</v>
      </c>
      <c r="AG1583" s="276">
        <f t="shared" si="188"/>
        <v>25.72</v>
      </c>
      <c r="AH1583" s="276">
        <f t="shared" si="189"/>
        <v>401.28</v>
      </c>
      <c r="AI1583" s="283">
        <f t="shared" si="190"/>
        <v>2.6448721328763511</v>
      </c>
    </row>
    <row r="1584" spans="1:35" ht="30" x14ac:dyDescent="0.25">
      <c r="A1584" s="275">
        <f>'Profits 2016'!A6797</f>
        <v>3005329</v>
      </c>
      <c r="B1584" s="279">
        <f>'Profits 2016'!B6797</f>
        <v>42676</v>
      </c>
      <c r="C1584" s="276">
        <f>'Profits 2016'!H6797</f>
        <v>159.5</v>
      </c>
      <c r="D1584" s="280">
        <f>'Profits 2016'!K6797</f>
        <v>141.81450000000001</v>
      </c>
      <c r="E1584" s="276">
        <f>'Profits 2016'!L6797</f>
        <v>370</v>
      </c>
      <c r="F1584" s="275" t="str">
        <f>'Profits 2016'!P6797</f>
        <v>Omni</v>
      </c>
      <c r="G1584" s="292">
        <f>'Profits 2016'!N6797-'Profits 2016'!M6797</f>
        <v>92.5</v>
      </c>
      <c r="H1584" s="331"/>
      <c r="I1584" s="332"/>
      <c r="J1584" s="333"/>
      <c r="K1584" s="333"/>
      <c r="L1584" s="333"/>
      <c r="M1584" s="331"/>
      <c r="N1584" s="334"/>
      <c r="O1584" s="236" t="str">
        <f>'Profits 2016'!T6797</f>
        <v>FEDEX GROUND</v>
      </c>
      <c r="P1584" s="284" t="str">
        <f>'Profits 2016'!U6797</f>
        <v>644640012856</v>
      </c>
      <c r="Q1584" s="284" t="s">
        <v>314</v>
      </c>
      <c r="R1584" s="276">
        <v>7.2</v>
      </c>
      <c r="S1584" s="275" t="s">
        <v>15907</v>
      </c>
      <c r="T1584" s="279">
        <v>42688</v>
      </c>
      <c r="U1584" s="279">
        <v>42691</v>
      </c>
      <c r="V1584" s="279">
        <v>42697</v>
      </c>
      <c r="W1584" s="293">
        <v>7.2</v>
      </c>
      <c r="X1584" s="236">
        <v>9494</v>
      </c>
      <c r="AF1584" s="276">
        <f t="shared" si="187"/>
        <v>99.7</v>
      </c>
      <c r="AG1584" s="276">
        <f t="shared" si="188"/>
        <v>7.2</v>
      </c>
      <c r="AH1584" s="276">
        <f t="shared" si="189"/>
        <v>134.61450000000002</v>
      </c>
      <c r="AI1584" s="283">
        <f t="shared" si="190"/>
        <v>1.3501955867602811</v>
      </c>
    </row>
    <row r="1585" spans="1:35" ht="30" x14ac:dyDescent="0.25">
      <c r="A1585" s="275">
        <f>'Profits 2016'!A6798</f>
        <v>3005330</v>
      </c>
      <c r="B1585" s="279">
        <f>'Profits 2016'!B6798</f>
        <v>42676</v>
      </c>
      <c r="C1585" s="276">
        <f>'Profits 2016'!H6798</f>
        <v>236</v>
      </c>
      <c r="D1585" s="280">
        <f>'Profits 2016'!K6798</f>
        <v>209.976</v>
      </c>
      <c r="E1585" s="276">
        <f>'Profits 2016'!L6798</f>
        <v>1322</v>
      </c>
      <c r="F1585" s="275" t="str">
        <f>'Profits 2016'!P6798</f>
        <v>Nassau</v>
      </c>
      <c r="G1585" s="292">
        <f>'Profits 2016'!N6798-'Profits 2016'!M6798</f>
        <v>132.20000000000002</v>
      </c>
      <c r="H1585" s="319"/>
      <c r="I1585" s="320"/>
      <c r="J1585" s="321"/>
      <c r="K1585" s="321"/>
      <c r="L1585" s="321"/>
      <c r="M1585" s="319"/>
      <c r="N1585" s="322"/>
      <c r="O1585" s="236" t="str">
        <f>'Profits 2016'!T6798</f>
        <v>FEDEX GROUND</v>
      </c>
      <c r="P1585" s="284" t="str">
        <f>'Profits 2016'!U6798</f>
        <v>680483360781</v>
      </c>
      <c r="Q1585" s="284" t="s">
        <v>314</v>
      </c>
      <c r="R1585" s="276">
        <v>15.22</v>
      </c>
      <c r="S1585" s="275" t="s">
        <v>15907</v>
      </c>
      <c r="T1585" s="279">
        <v>42688</v>
      </c>
      <c r="U1585" s="279">
        <v>42691</v>
      </c>
      <c r="V1585" s="279">
        <v>42697</v>
      </c>
      <c r="W1585" s="293">
        <v>15.22</v>
      </c>
      <c r="X1585" s="236">
        <v>9494</v>
      </c>
      <c r="AF1585" s="276">
        <f t="shared" si="187"/>
        <v>147.42000000000002</v>
      </c>
      <c r="AG1585" s="276">
        <f t="shared" si="188"/>
        <v>15.22</v>
      </c>
      <c r="AH1585" s="276">
        <f t="shared" si="189"/>
        <v>194.756</v>
      </c>
      <c r="AI1585" s="283">
        <f t="shared" si="190"/>
        <v>1.3210961877628542</v>
      </c>
    </row>
    <row r="1586" spans="1:35" ht="30" x14ac:dyDescent="0.25">
      <c r="A1586" s="275">
        <f>'Profits 2016'!A6799</f>
        <v>3005331</v>
      </c>
      <c r="B1586" s="279">
        <f>'Profits 2016'!B6799</f>
        <v>42676</v>
      </c>
      <c r="C1586" s="276">
        <f>'Profits 2016'!H6799</f>
        <v>107.91</v>
      </c>
      <c r="D1586" s="280">
        <f>'Profits 2016'!K6799</f>
        <v>91.723500000000001</v>
      </c>
      <c r="E1586" s="276">
        <f>'Profits 2016'!L6799</f>
        <v>754</v>
      </c>
      <c r="F1586" s="275" t="str">
        <f>'Profits 2016'!P6799</f>
        <v>Direct</v>
      </c>
      <c r="G1586" s="292">
        <f>'Profits 2016'!N6799-'Profits 2016'!M6799</f>
        <v>37.700000000000003</v>
      </c>
      <c r="H1586" s="331">
        <v>0</v>
      </c>
      <c r="I1586" s="332">
        <v>75710</v>
      </c>
      <c r="J1586" s="333">
        <v>42677</v>
      </c>
      <c r="K1586" s="333">
        <v>42681</v>
      </c>
      <c r="L1586" s="333"/>
      <c r="M1586" s="331"/>
      <c r="N1586" s="334"/>
      <c r="O1586" s="236" t="str">
        <f>'Profits 2016'!T6799</f>
        <v>FEDEX GROUND</v>
      </c>
      <c r="P1586" s="284" t="str">
        <f>'Profits 2016'!U6799</f>
        <v>630512245660</v>
      </c>
      <c r="Q1586" s="284" t="s">
        <v>314</v>
      </c>
      <c r="R1586" s="276">
        <v>10.64</v>
      </c>
      <c r="S1586" s="275" t="s">
        <v>15847</v>
      </c>
      <c r="T1586" s="279">
        <v>42695</v>
      </c>
      <c r="U1586" s="279">
        <v>42702</v>
      </c>
      <c r="AF1586" s="276">
        <f t="shared" si="187"/>
        <v>48.34</v>
      </c>
      <c r="AG1586" s="276">
        <f t="shared" si="188"/>
        <v>10.64</v>
      </c>
      <c r="AH1586" s="276">
        <f t="shared" si="189"/>
        <v>81.083500000000001</v>
      </c>
      <c r="AI1586" s="283">
        <f t="shared" si="190"/>
        <v>1.6773582954075299</v>
      </c>
    </row>
    <row r="1587" spans="1:35" x14ac:dyDescent="0.25">
      <c r="A1587" s="275">
        <f>'Profits 2016'!A6800</f>
        <v>0</v>
      </c>
      <c r="B1587" s="279">
        <f>'Profits 2016'!B6800</f>
        <v>0</v>
      </c>
      <c r="C1587" s="276">
        <f>'Profits 2016'!H6800</f>
        <v>0</v>
      </c>
      <c r="D1587" s="280">
        <f>'Profits 2016'!K6800</f>
        <v>0</v>
      </c>
      <c r="E1587" s="276">
        <f>'Profits 2016'!L6800</f>
        <v>754</v>
      </c>
      <c r="F1587" s="275" t="str">
        <f>'Profits 2016'!P6800</f>
        <v>Direct</v>
      </c>
      <c r="G1587" s="292">
        <f>'Profits 2016'!N6800-'Profits 2016'!M6800</f>
        <v>37.700000000000003</v>
      </c>
      <c r="H1587" s="331">
        <v>0</v>
      </c>
      <c r="I1587" s="332">
        <v>75710</v>
      </c>
      <c r="J1587" s="333">
        <v>42677</v>
      </c>
      <c r="K1587" s="333">
        <v>42681</v>
      </c>
      <c r="L1587" s="333"/>
      <c r="M1587" s="331"/>
      <c r="N1587" s="334"/>
      <c r="O1587" s="236">
        <f>'Profits 2016'!T6800</f>
        <v>0</v>
      </c>
      <c r="P1587" s="284">
        <f>'Profits 2016'!U6800</f>
        <v>0</v>
      </c>
      <c r="Q1587" s="284" t="s">
        <v>314</v>
      </c>
      <c r="R1587" s="276">
        <v>0</v>
      </c>
      <c r="S1587" s="275" t="s">
        <v>15847</v>
      </c>
      <c r="T1587" s="279">
        <v>42695</v>
      </c>
      <c r="U1587" s="279">
        <v>42702</v>
      </c>
      <c r="AF1587" s="276">
        <f t="shared" si="187"/>
        <v>37.700000000000003</v>
      </c>
      <c r="AG1587" s="276">
        <f t="shared" si="188"/>
        <v>0</v>
      </c>
      <c r="AH1587" s="276">
        <f t="shared" si="189"/>
        <v>0</v>
      </c>
      <c r="AI1587" s="283">
        <f t="shared" si="190"/>
        <v>0</v>
      </c>
    </row>
    <row r="1588" spans="1:35" ht="30" x14ac:dyDescent="0.25">
      <c r="A1588" s="275">
        <f>'Profits 2016'!A6801</f>
        <v>3005332</v>
      </c>
      <c r="B1588" s="279">
        <f>'Profits 2016'!B6801</f>
        <v>42676</v>
      </c>
      <c r="C1588" s="276">
        <f>'Profits 2016'!H6801</f>
        <v>150.47999999999999</v>
      </c>
      <c r="D1588" s="280">
        <f>'Profits 2016'!K6801</f>
        <v>127.90799999999999</v>
      </c>
      <c r="E1588" s="276">
        <f>'Profits 2016'!L6801</f>
        <v>944</v>
      </c>
      <c r="F1588" s="275" t="str">
        <f>'Profits 2016'!P6801</f>
        <v>Direct</v>
      </c>
      <c r="G1588" s="292">
        <f>'Profits 2016'!N6801-'Profits 2016'!M6801</f>
        <v>47.2</v>
      </c>
      <c r="H1588" s="331">
        <v>0</v>
      </c>
      <c r="I1588" s="332">
        <v>75711</v>
      </c>
      <c r="J1588" s="333">
        <v>42677</v>
      </c>
      <c r="K1588" s="333">
        <v>42681</v>
      </c>
      <c r="L1588" s="333"/>
      <c r="M1588" s="331"/>
      <c r="N1588" s="334"/>
      <c r="O1588" s="236" t="str">
        <f>'Profits 2016'!T6801</f>
        <v>FEDEX GROUND</v>
      </c>
      <c r="P1588" s="284" t="str">
        <f>'Profits 2016'!U6801</f>
        <v>630512245659</v>
      </c>
      <c r="Q1588" s="284" t="s">
        <v>314</v>
      </c>
      <c r="R1588" s="276">
        <v>10.42</v>
      </c>
      <c r="S1588" s="275" t="s">
        <v>15847</v>
      </c>
      <c r="T1588" s="279">
        <v>42695</v>
      </c>
      <c r="U1588" s="279">
        <v>42702</v>
      </c>
      <c r="AF1588" s="276">
        <f t="shared" si="187"/>
        <v>57.620000000000005</v>
      </c>
      <c r="AG1588" s="276">
        <f t="shared" si="188"/>
        <v>10.42</v>
      </c>
      <c r="AH1588" s="276">
        <f t="shared" si="189"/>
        <v>117.48799999999999</v>
      </c>
      <c r="AI1588" s="283">
        <f t="shared" si="190"/>
        <v>2.0390142311697321</v>
      </c>
    </row>
    <row r="1589" spans="1:35" x14ac:dyDescent="0.25">
      <c r="A1589" s="275">
        <f>'Profits 2016'!A6802</f>
        <v>0</v>
      </c>
      <c r="B1589" s="279">
        <f>'Profits 2016'!B6802</f>
        <v>0</v>
      </c>
      <c r="C1589" s="276">
        <f>'Profits 2016'!H6802</f>
        <v>0</v>
      </c>
      <c r="D1589" s="280">
        <f>'Profits 2016'!K6802</f>
        <v>0</v>
      </c>
      <c r="E1589" s="276">
        <f>'Profits 2016'!L6802</f>
        <v>944</v>
      </c>
      <c r="F1589" s="275" t="str">
        <f>'Profits 2016'!P6802</f>
        <v>Direct</v>
      </c>
      <c r="G1589" s="292">
        <f>'Profits 2016'!N6802-'Profits 2016'!M6802</f>
        <v>47.2</v>
      </c>
      <c r="H1589" s="331">
        <v>0</v>
      </c>
      <c r="I1589" s="332">
        <v>75711</v>
      </c>
      <c r="J1589" s="333">
        <v>42677</v>
      </c>
      <c r="K1589" s="333">
        <v>42681</v>
      </c>
      <c r="L1589" s="333"/>
      <c r="M1589" s="331"/>
      <c r="N1589" s="334"/>
      <c r="O1589" s="236">
        <f>'Profits 2016'!T6802</f>
        <v>0</v>
      </c>
      <c r="P1589" s="284">
        <f>'Profits 2016'!U6802</f>
        <v>0</v>
      </c>
      <c r="Q1589" s="284" t="s">
        <v>314</v>
      </c>
      <c r="R1589" s="276">
        <v>0</v>
      </c>
      <c r="S1589" s="275" t="s">
        <v>15847</v>
      </c>
      <c r="T1589" s="279">
        <v>42695</v>
      </c>
      <c r="U1589" s="279">
        <v>42702</v>
      </c>
      <c r="AF1589" s="276">
        <f t="shared" si="187"/>
        <v>47.2</v>
      </c>
      <c r="AG1589" s="276">
        <f t="shared" si="188"/>
        <v>0</v>
      </c>
      <c r="AH1589" s="276">
        <f t="shared" si="189"/>
        <v>0</v>
      </c>
      <c r="AI1589" s="283">
        <f t="shared" si="190"/>
        <v>0</v>
      </c>
    </row>
    <row r="1590" spans="1:35" ht="30" x14ac:dyDescent="0.25">
      <c r="A1590" s="275">
        <f>'Profits 2016'!A6803</f>
        <v>3005333</v>
      </c>
      <c r="B1590" s="279">
        <f>'Profits 2016'!B6803</f>
        <v>42676</v>
      </c>
      <c r="C1590" s="276">
        <f>'Profits 2016'!H6803</f>
        <v>271.66000000000003</v>
      </c>
      <c r="D1590" s="280">
        <f>'Profits 2016'!K6803</f>
        <v>230.91100000000003</v>
      </c>
      <c r="E1590" s="276">
        <f>'Profits 2016'!L6803</f>
        <v>622.45000000000005</v>
      </c>
      <c r="F1590" s="275" t="str">
        <f>'Profits 2016'!P6803</f>
        <v>Nassau</v>
      </c>
      <c r="G1590" s="292">
        <f>'Profits 2016'!N6803-'Profits 2016'!M6803</f>
        <v>155.61250000000001</v>
      </c>
      <c r="H1590" s="319"/>
      <c r="I1590" s="320"/>
      <c r="J1590" s="321"/>
      <c r="K1590" s="321"/>
      <c r="L1590" s="321"/>
      <c r="M1590" s="319"/>
      <c r="N1590" s="322"/>
      <c r="O1590" s="236" t="str">
        <f>'Profits 2016'!T6803</f>
        <v>FEDEX GROUND</v>
      </c>
      <c r="P1590" s="284" t="str">
        <f>'Profits 2016'!U6803</f>
        <v>680483360760</v>
      </c>
      <c r="Q1590" s="284" t="s">
        <v>314</v>
      </c>
      <c r="R1590" s="276">
        <v>19.940000000000001</v>
      </c>
      <c r="S1590" s="275" t="s">
        <v>15907</v>
      </c>
      <c r="T1590" s="279">
        <v>42688</v>
      </c>
      <c r="U1590" s="279">
        <v>42691</v>
      </c>
      <c r="V1590" s="279">
        <v>42697</v>
      </c>
      <c r="W1590" s="293">
        <v>19.940000000000001</v>
      </c>
      <c r="X1590" s="236">
        <v>9494</v>
      </c>
      <c r="AF1590" s="276">
        <f t="shared" si="187"/>
        <v>175.55250000000001</v>
      </c>
      <c r="AG1590" s="276">
        <f t="shared" si="188"/>
        <v>19.940000000000001</v>
      </c>
      <c r="AH1590" s="276">
        <f t="shared" si="189"/>
        <v>210.97100000000003</v>
      </c>
      <c r="AI1590" s="283">
        <f t="shared" si="190"/>
        <v>1.2017544609162503</v>
      </c>
    </row>
    <row r="1591" spans="1:35" ht="30" x14ac:dyDescent="0.25">
      <c r="A1591" s="275">
        <f>'Profits 2016'!A6804</f>
        <v>3005334</v>
      </c>
      <c r="B1591" s="279">
        <f>'Profits 2016'!B6804</f>
        <v>42676</v>
      </c>
      <c r="C1591" s="276">
        <f>'Profits 2016'!H6804</f>
        <v>116.23</v>
      </c>
      <c r="D1591" s="280">
        <f>'Profits 2016'!K6804</f>
        <v>98.795500000000004</v>
      </c>
      <c r="E1591" s="276">
        <f>'Profits 2016'!L6804</f>
        <v>950</v>
      </c>
      <c r="F1591" s="275" t="str">
        <f>'Profits 2016'!P6804</f>
        <v>Nassau</v>
      </c>
      <c r="G1591" s="292">
        <f>'Profits 2016'!N6804-'Profits 2016'!M6804</f>
        <v>47.499999999999993</v>
      </c>
      <c r="H1591" s="319"/>
      <c r="I1591" s="320"/>
      <c r="J1591" s="321"/>
      <c r="K1591" s="321"/>
      <c r="L1591" s="321"/>
      <c r="M1591" s="319"/>
      <c r="N1591" s="322"/>
      <c r="O1591" s="236" t="str">
        <f>'Profits 2016'!T6804</f>
        <v>FEDEX GROUND</v>
      </c>
      <c r="P1591" s="284" t="str">
        <f>'Profits 2016'!U6804</f>
        <v>680483360792</v>
      </c>
      <c r="Q1591" s="284" t="s">
        <v>314</v>
      </c>
      <c r="R1591" s="276">
        <v>26.57</v>
      </c>
      <c r="S1591" s="275" t="s">
        <v>15847</v>
      </c>
      <c r="T1591" s="279">
        <v>42695</v>
      </c>
      <c r="U1591" s="279">
        <v>42702</v>
      </c>
      <c r="AF1591" s="276">
        <f t="shared" si="187"/>
        <v>74.069999999999993</v>
      </c>
      <c r="AG1591" s="276">
        <f t="shared" si="188"/>
        <v>26.57</v>
      </c>
      <c r="AH1591" s="276">
        <f t="shared" si="189"/>
        <v>72.225500000000011</v>
      </c>
      <c r="AI1591" s="283">
        <f t="shared" si="190"/>
        <v>0.97509788038342138</v>
      </c>
    </row>
    <row r="1592" spans="1:35" ht="30" x14ac:dyDescent="0.25">
      <c r="A1592" s="275">
        <f>'Profits 2016'!A6805</f>
        <v>3005335</v>
      </c>
      <c r="B1592" s="279">
        <f>'Profits 2016'!B6805</f>
        <v>42676</v>
      </c>
      <c r="C1592" s="276">
        <f>'Profits 2016'!H6805</f>
        <v>140.33000000000001</v>
      </c>
      <c r="D1592" s="280">
        <f>'Profits 2016'!K6805</f>
        <v>119.28050000000002</v>
      </c>
      <c r="E1592" s="276">
        <f>'Profits 2016'!L6805</f>
        <v>424</v>
      </c>
      <c r="F1592" s="275" t="str">
        <f>'Profits 2016'!P6805</f>
        <v>Nassau</v>
      </c>
      <c r="G1592" s="292">
        <f>'Profits 2016'!N6805-'Profits 2016'!M6805</f>
        <v>74.2</v>
      </c>
      <c r="H1592" s="319"/>
      <c r="I1592" s="320"/>
      <c r="J1592" s="321"/>
      <c r="K1592" s="321"/>
      <c r="L1592" s="321"/>
      <c r="M1592" s="319"/>
      <c r="N1592" s="322"/>
      <c r="O1592" s="236" t="str">
        <f>'Profits 2016'!T6805</f>
        <v>FEDEX GROUND</v>
      </c>
      <c r="P1592" s="284" t="str">
        <f>'Profits 2016'!U6805</f>
        <v>702723291550</v>
      </c>
      <c r="Q1592" s="284" t="s">
        <v>314</v>
      </c>
      <c r="R1592" s="276">
        <v>41.14</v>
      </c>
      <c r="S1592" s="275" t="s">
        <v>15847</v>
      </c>
      <c r="T1592" s="279">
        <v>42695</v>
      </c>
      <c r="U1592" s="279">
        <v>42702</v>
      </c>
      <c r="AF1592" s="276">
        <f t="shared" ref="AF1592:AF1655" si="191">G1592+H1593+R1592+Y1592</f>
        <v>115.34</v>
      </c>
      <c r="AG1592" s="276">
        <f t="shared" ref="AG1592:AG1655" si="192">M1592+R1592+Y1592</f>
        <v>41.14</v>
      </c>
      <c r="AH1592" s="276">
        <f t="shared" ref="AH1592:AH1655" si="193">D1592-AG1592</f>
        <v>78.140500000000017</v>
      </c>
      <c r="AI1592" s="283">
        <f t="shared" ref="AI1592:AI1655" si="194">AH1592/AF1592</f>
        <v>0.67747962545517615</v>
      </c>
    </row>
    <row r="1593" spans="1:35" ht="30" x14ac:dyDescent="0.25">
      <c r="A1593" s="275">
        <f>'Profits 2016'!A6806</f>
        <v>3005337</v>
      </c>
      <c r="B1593" s="279">
        <f>'Profits 2016'!B6806</f>
        <v>42676</v>
      </c>
      <c r="C1593" s="276">
        <f>'Profits 2016'!H6806</f>
        <v>100</v>
      </c>
      <c r="D1593" s="280">
        <f>'Profits 2016'!K6806</f>
        <v>85</v>
      </c>
      <c r="E1593" s="276">
        <f>'Profits 2016'!L6806</f>
        <v>2200</v>
      </c>
      <c r="F1593" s="275" t="str">
        <f>'Profits 2016'!P6806</f>
        <v>Direct</v>
      </c>
      <c r="G1593" s="292">
        <f>'Profits 2016'!N6806-'Profits 2016'!M6806</f>
        <v>33</v>
      </c>
      <c r="H1593" s="331">
        <v>0</v>
      </c>
      <c r="I1593" s="332">
        <v>75784</v>
      </c>
      <c r="J1593" s="333">
        <v>42678</v>
      </c>
      <c r="K1593" s="333">
        <v>42683</v>
      </c>
      <c r="L1593" s="333"/>
      <c r="M1593" s="331"/>
      <c r="N1593" s="334"/>
      <c r="O1593" s="236" t="str">
        <f>'Profits 2016'!T6806</f>
        <v>FEDEX GROUND</v>
      </c>
      <c r="P1593" s="284" t="str">
        <f>'Profits 2016'!U6806</f>
        <v>639794970310</v>
      </c>
      <c r="Q1593" s="284" t="s">
        <v>314</v>
      </c>
      <c r="R1593" s="276">
        <v>23.59</v>
      </c>
      <c r="S1593" s="275" t="s">
        <v>15847</v>
      </c>
      <c r="T1593" s="279">
        <v>42695</v>
      </c>
      <c r="U1593" s="279">
        <v>42702</v>
      </c>
      <c r="AF1593" s="276">
        <f t="shared" si="191"/>
        <v>56.59</v>
      </c>
      <c r="AG1593" s="276">
        <f t="shared" si="192"/>
        <v>23.59</v>
      </c>
      <c r="AH1593" s="276">
        <f t="shared" si="193"/>
        <v>61.41</v>
      </c>
      <c r="AI1593" s="283">
        <f t="shared" si="194"/>
        <v>1.0851740590210284</v>
      </c>
    </row>
    <row r="1594" spans="1:35" x14ac:dyDescent="0.25">
      <c r="A1594" s="275">
        <f>'Profits 2016'!A6807</f>
        <v>0</v>
      </c>
      <c r="B1594" s="279">
        <f>'Profits 2016'!B6807</f>
        <v>0</v>
      </c>
      <c r="C1594" s="276">
        <f>'Profits 2016'!H6807</f>
        <v>0</v>
      </c>
      <c r="D1594" s="280">
        <f>'Profits 2016'!K6807</f>
        <v>0</v>
      </c>
      <c r="E1594" s="276">
        <f>'Profits 2016'!L6807</f>
        <v>2200</v>
      </c>
      <c r="F1594" s="275" t="str">
        <f>'Profits 2016'!P6807</f>
        <v>Direct</v>
      </c>
      <c r="G1594" s="292">
        <f>'Profits 2016'!N6807-'Profits 2016'!M6807</f>
        <v>33</v>
      </c>
      <c r="H1594" s="331">
        <v>0</v>
      </c>
      <c r="I1594" s="332">
        <v>75784</v>
      </c>
      <c r="J1594" s="333">
        <v>42678</v>
      </c>
      <c r="K1594" s="333">
        <v>42683</v>
      </c>
      <c r="L1594" s="333"/>
      <c r="M1594" s="331"/>
      <c r="N1594" s="334"/>
      <c r="O1594" s="236">
        <f>'Profits 2016'!T6807</f>
        <v>0</v>
      </c>
      <c r="P1594" s="284">
        <f>'Profits 2016'!U6807</f>
        <v>0</v>
      </c>
      <c r="Q1594" s="284" t="s">
        <v>314</v>
      </c>
      <c r="R1594" s="276">
        <v>0</v>
      </c>
      <c r="S1594" s="275" t="s">
        <v>15847</v>
      </c>
      <c r="T1594" s="279">
        <v>42695</v>
      </c>
      <c r="U1594" s="279">
        <v>42702</v>
      </c>
      <c r="AF1594" s="276">
        <f t="shared" si="191"/>
        <v>33</v>
      </c>
      <c r="AG1594" s="276">
        <f t="shared" si="192"/>
        <v>0</v>
      </c>
      <c r="AH1594" s="276">
        <f t="shared" si="193"/>
        <v>0</v>
      </c>
      <c r="AI1594" s="283">
        <f t="shared" si="194"/>
        <v>0</v>
      </c>
    </row>
    <row r="1595" spans="1:35" ht="30" x14ac:dyDescent="0.25">
      <c r="A1595" s="275">
        <f>'Profits 2016'!A6808</f>
        <v>3005338</v>
      </c>
      <c r="B1595" s="279">
        <f>'Profits 2016'!B6808</f>
        <v>42676</v>
      </c>
      <c r="C1595" s="276">
        <f>'Profits 2016'!H6808</f>
        <v>360</v>
      </c>
      <c r="D1595" s="280">
        <f>'Profits 2016'!K6808</f>
        <v>306</v>
      </c>
      <c r="E1595" s="276">
        <f>'Profits 2016'!L6808</f>
        <v>205</v>
      </c>
      <c r="F1595" s="275" t="str">
        <f>'Profits 2016'!P6808</f>
        <v>Nassau</v>
      </c>
      <c r="G1595" s="292">
        <f>'Profits 2016'!N6808-'Profits 2016'!M6808</f>
        <v>102.5</v>
      </c>
      <c r="H1595" s="319"/>
      <c r="I1595" s="320"/>
      <c r="J1595" s="321"/>
      <c r="K1595" s="321"/>
      <c r="L1595" s="321"/>
      <c r="M1595" s="319"/>
      <c r="N1595" s="322"/>
      <c r="O1595" s="236" t="str">
        <f>'Profits 2016'!T6808</f>
        <v>FEDEX GROUND</v>
      </c>
      <c r="P1595" s="284" t="str">
        <f>'Profits 2016'!U6808</f>
        <v>680483360759</v>
      </c>
      <c r="Q1595" s="284" t="s">
        <v>314</v>
      </c>
      <c r="R1595" s="276">
        <v>28.54</v>
      </c>
      <c r="S1595" s="275" t="s">
        <v>15907</v>
      </c>
      <c r="T1595" s="279">
        <v>42688</v>
      </c>
      <c r="U1595" s="279">
        <v>42691</v>
      </c>
      <c r="V1595" s="279">
        <v>42697</v>
      </c>
      <c r="W1595" s="293">
        <v>28.54</v>
      </c>
      <c r="X1595" s="236">
        <v>9494</v>
      </c>
      <c r="AF1595" s="276">
        <f t="shared" si="191"/>
        <v>131.04</v>
      </c>
      <c r="AG1595" s="276">
        <f t="shared" si="192"/>
        <v>28.54</v>
      </c>
      <c r="AH1595" s="276">
        <f t="shared" si="193"/>
        <v>277.45999999999998</v>
      </c>
      <c r="AI1595" s="283">
        <f t="shared" si="194"/>
        <v>2.1173687423687424</v>
      </c>
    </row>
    <row r="1596" spans="1:35" ht="30" x14ac:dyDescent="0.25">
      <c r="A1596" s="275">
        <f>'Profits 2016'!A6809</f>
        <v>3005339</v>
      </c>
      <c r="B1596" s="279">
        <f>'Profits 2016'!B6809</f>
        <v>42676</v>
      </c>
      <c r="C1596" s="276">
        <f>'Profits 2016'!H6809</f>
        <v>160.68</v>
      </c>
      <c r="D1596" s="280">
        <f>'Profits 2016'!K6809</f>
        <v>136.578</v>
      </c>
      <c r="E1596" s="276">
        <f>'Profits 2016'!L6809</f>
        <v>127</v>
      </c>
      <c r="F1596" s="275" t="str">
        <f>'Profits 2016'!P6809</f>
        <v>Kris-Tech</v>
      </c>
      <c r="G1596" s="292">
        <f>'Profits 2016'!N6809-'Profits 2016'!M6809</f>
        <v>126.99999999999999</v>
      </c>
      <c r="H1596" s="331">
        <v>0</v>
      </c>
      <c r="I1596" s="332">
        <v>122863</v>
      </c>
      <c r="J1596" s="333">
        <v>42678</v>
      </c>
      <c r="K1596" s="333">
        <v>42684</v>
      </c>
      <c r="L1596" s="333"/>
      <c r="M1596" s="331"/>
      <c r="N1596" s="334"/>
      <c r="O1596" s="236" t="str">
        <f>'Profits 2016'!T6809</f>
        <v>FEDEX GROUND</v>
      </c>
      <c r="P1596" s="284" t="str">
        <f>'Profits 2016'!U6809</f>
        <v>690306368495</v>
      </c>
      <c r="Q1596" s="284" t="s">
        <v>314</v>
      </c>
      <c r="R1596" s="276">
        <v>20.58</v>
      </c>
      <c r="S1596" s="275" t="s">
        <v>15847</v>
      </c>
      <c r="T1596" s="279">
        <v>42695</v>
      </c>
      <c r="U1596" s="279">
        <v>42702</v>
      </c>
      <c r="AF1596" s="276">
        <f t="shared" si="191"/>
        <v>147.57999999999998</v>
      </c>
      <c r="AG1596" s="276">
        <f t="shared" si="192"/>
        <v>20.58</v>
      </c>
      <c r="AH1596" s="276">
        <f t="shared" si="193"/>
        <v>115.998</v>
      </c>
      <c r="AI1596" s="283">
        <f t="shared" si="194"/>
        <v>0.78600081311830883</v>
      </c>
    </row>
    <row r="1597" spans="1:35" ht="30" x14ac:dyDescent="0.25">
      <c r="A1597" s="275">
        <f>'Profits 2016'!A6810</f>
        <v>3005340</v>
      </c>
      <c r="B1597" s="279">
        <f>'Profits 2016'!B6810</f>
        <v>42676</v>
      </c>
      <c r="C1597" s="276">
        <f>'Profits 2016'!H6810</f>
        <v>6400</v>
      </c>
      <c r="D1597" s="280">
        <f>'Profits 2016'!K6810</f>
        <v>6400</v>
      </c>
      <c r="E1597" s="276">
        <f>'Profits 2016'!L6810</f>
        <v>0</v>
      </c>
      <c r="F1597" s="275" t="str">
        <f>'Profits 2016'!P6810</f>
        <v>Atlanta</v>
      </c>
      <c r="G1597" s="292">
        <f>'Profits 2016'!N6810-'Profits 2016'!M6810</f>
        <v>0</v>
      </c>
      <c r="H1597" s="331"/>
      <c r="I1597" s="332"/>
      <c r="J1597" s="333"/>
      <c r="K1597" s="333"/>
      <c r="L1597" s="333"/>
      <c r="M1597" s="331"/>
      <c r="N1597" s="334"/>
      <c r="O1597" s="236" t="str">
        <f>'Profits 2016'!T6810</f>
        <v>ESTES/ECHO</v>
      </c>
      <c r="P1597" s="284" t="str">
        <f>'Profits 2016'!U6810</f>
        <v xml:space="preserve">	0542442963</v>
      </c>
      <c r="Q1597" s="284" t="s">
        <v>15767</v>
      </c>
      <c r="R1597" s="276">
        <v>266.33999999999997</v>
      </c>
      <c r="S1597" s="275" t="s">
        <v>15922</v>
      </c>
      <c r="T1597" s="279">
        <v>42688</v>
      </c>
      <c r="U1597" s="279">
        <v>42692</v>
      </c>
      <c r="AF1597" s="276">
        <f t="shared" si="191"/>
        <v>266.33999999999997</v>
      </c>
      <c r="AG1597" s="276">
        <f t="shared" si="192"/>
        <v>266.33999999999997</v>
      </c>
      <c r="AH1597" s="276">
        <f t="shared" si="193"/>
        <v>6133.66</v>
      </c>
      <c r="AI1597" s="283">
        <f t="shared" si="194"/>
        <v>23.02943605917249</v>
      </c>
    </row>
    <row r="1598" spans="1:35" x14ac:dyDescent="0.25">
      <c r="A1598" s="275">
        <f>'Profits 2016'!A6811</f>
        <v>0</v>
      </c>
      <c r="B1598" s="279">
        <f>'Profits 2016'!B6811</f>
        <v>0</v>
      </c>
      <c r="C1598" s="276">
        <f>'Profits 2016'!H6811</f>
        <v>0</v>
      </c>
      <c r="D1598" s="280">
        <f>'Profits 2016'!K6811</f>
        <v>0</v>
      </c>
      <c r="E1598" s="276">
        <f>'Profits 2016'!L6811</f>
        <v>0</v>
      </c>
      <c r="F1598" s="275" t="str">
        <f>'Profits 2016'!P6811</f>
        <v>Atlanta</v>
      </c>
      <c r="G1598" s="292">
        <f>'Profits 2016'!N6811-'Profits 2016'!M6811</f>
        <v>0</v>
      </c>
      <c r="H1598" s="331"/>
      <c r="I1598" s="332"/>
      <c r="J1598" s="333"/>
      <c r="K1598" s="333"/>
      <c r="L1598" s="333"/>
      <c r="M1598" s="331"/>
      <c r="N1598" s="334"/>
      <c r="O1598" s="236">
        <f>'Profits 2016'!T6811</f>
        <v>0</v>
      </c>
      <c r="P1598" s="284">
        <f>'Profits 2016'!U6811</f>
        <v>0</v>
      </c>
      <c r="Q1598" s="284" t="s">
        <v>15767</v>
      </c>
      <c r="R1598" s="276">
        <v>0</v>
      </c>
      <c r="S1598" s="275" t="s">
        <v>15922</v>
      </c>
      <c r="T1598" s="279">
        <v>42688</v>
      </c>
      <c r="U1598" s="279">
        <v>42692</v>
      </c>
      <c r="AF1598" s="276">
        <f t="shared" si="191"/>
        <v>0</v>
      </c>
      <c r="AG1598" s="276">
        <f t="shared" si="192"/>
        <v>0</v>
      </c>
      <c r="AH1598" s="276">
        <f t="shared" si="193"/>
        <v>0</v>
      </c>
      <c r="AI1598" s="283" t="e">
        <f t="shared" si="194"/>
        <v>#DIV/0!</v>
      </c>
    </row>
    <row r="1599" spans="1:35" x14ac:dyDescent="0.25">
      <c r="A1599" s="275">
        <f>'Profits 2016'!A6812</f>
        <v>0</v>
      </c>
      <c r="B1599" s="279">
        <f>'Profits 2016'!B6812</f>
        <v>0</v>
      </c>
      <c r="C1599" s="276">
        <f>'Profits 2016'!H6812</f>
        <v>0</v>
      </c>
      <c r="D1599" s="280">
        <f>'Profits 2016'!K6812</f>
        <v>0</v>
      </c>
      <c r="E1599" s="276">
        <f>'Profits 2016'!L6812</f>
        <v>0</v>
      </c>
      <c r="F1599" s="275" t="str">
        <f>'Profits 2016'!P6812</f>
        <v>Atlanta</v>
      </c>
      <c r="G1599" s="292">
        <f>'Profits 2016'!N6812-'Profits 2016'!M6812</f>
        <v>0</v>
      </c>
      <c r="H1599" s="331"/>
      <c r="I1599" s="332"/>
      <c r="J1599" s="333"/>
      <c r="K1599" s="333"/>
      <c r="L1599" s="333"/>
      <c r="M1599" s="331"/>
      <c r="N1599" s="334"/>
      <c r="O1599" s="236">
        <f>'Profits 2016'!T6812</f>
        <v>0</v>
      </c>
      <c r="P1599" s="284">
        <f>'Profits 2016'!U6812</f>
        <v>0</v>
      </c>
      <c r="Q1599" s="284" t="s">
        <v>15767</v>
      </c>
      <c r="R1599" s="276">
        <v>0</v>
      </c>
      <c r="S1599" s="275" t="s">
        <v>15922</v>
      </c>
      <c r="T1599" s="279">
        <v>42688</v>
      </c>
      <c r="U1599" s="279">
        <v>42692</v>
      </c>
      <c r="AF1599" s="276">
        <f t="shared" si="191"/>
        <v>0</v>
      </c>
      <c r="AG1599" s="276">
        <f t="shared" si="192"/>
        <v>0</v>
      </c>
      <c r="AH1599" s="276">
        <f t="shared" si="193"/>
        <v>0</v>
      </c>
      <c r="AI1599" s="283" t="e">
        <f t="shared" si="194"/>
        <v>#DIV/0!</v>
      </c>
    </row>
    <row r="1600" spans="1:35" x14ac:dyDescent="0.25">
      <c r="A1600" s="275">
        <f>'Profits 2016'!A6813</f>
        <v>0</v>
      </c>
      <c r="B1600" s="279">
        <f>'Profits 2016'!B6813</f>
        <v>0</v>
      </c>
      <c r="C1600" s="276">
        <f>'Profits 2016'!H6813</f>
        <v>0</v>
      </c>
      <c r="D1600" s="280">
        <f>'Profits 2016'!K6813</f>
        <v>0</v>
      </c>
      <c r="E1600" s="276">
        <f>'Profits 2016'!L6813</f>
        <v>0</v>
      </c>
      <c r="F1600" s="275" t="str">
        <f>'Profits 2016'!P6813</f>
        <v>Atlanta</v>
      </c>
      <c r="G1600" s="292">
        <f>'Profits 2016'!N6813-'Profits 2016'!M6813</f>
        <v>0</v>
      </c>
      <c r="H1600" s="331"/>
      <c r="I1600" s="332"/>
      <c r="J1600" s="333"/>
      <c r="K1600" s="333"/>
      <c r="L1600" s="333"/>
      <c r="M1600" s="331"/>
      <c r="N1600" s="334"/>
      <c r="O1600" s="236">
        <f>'Profits 2016'!T6813</f>
        <v>0</v>
      </c>
      <c r="P1600" s="284">
        <f>'Profits 2016'!U6813</f>
        <v>0</v>
      </c>
      <c r="Q1600" s="284" t="s">
        <v>15767</v>
      </c>
      <c r="R1600" s="276">
        <v>0</v>
      </c>
      <c r="S1600" s="275" t="s">
        <v>15922</v>
      </c>
      <c r="T1600" s="279">
        <v>42688</v>
      </c>
      <c r="U1600" s="279">
        <v>42692</v>
      </c>
      <c r="AF1600" s="276">
        <f t="shared" si="191"/>
        <v>0</v>
      </c>
      <c r="AG1600" s="276">
        <f t="shared" si="192"/>
        <v>0</v>
      </c>
      <c r="AH1600" s="276">
        <f t="shared" si="193"/>
        <v>0</v>
      </c>
      <c r="AI1600" s="283" t="e">
        <f t="shared" si="194"/>
        <v>#DIV/0!</v>
      </c>
    </row>
    <row r="1601" spans="1:35" ht="30" x14ac:dyDescent="0.25">
      <c r="A1601" s="275">
        <f>'Profits 2016'!A6814</f>
        <v>3005341</v>
      </c>
      <c r="B1601" s="279">
        <f>'Profits 2016'!B6814</f>
        <v>42676</v>
      </c>
      <c r="C1601" s="276">
        <f>'Profits 2016'!H6814</f>
        <v>128.80000000000001</v>
      </c>
      <c r="D1601" s="280">
        <f>'Profits 2016'!K6814</f>
        <v>114.46080000000001</v>
      </c>
      <c r="E1601" s="276">
        <f>'Profits 2016'!L6814</f>
        <v>950</v>
      </c>
      <c r="F1601" s="275" t="str">
        <f>'Profits 2016'!P6814</f>
        <v>Nassau</v>
      </c>
      <c r="G1601" s="292">
        <f>'Profits 2016'!N6814-'Profits 2016'!M6814</f>
        <v>47.5</v>
      </c>
      <c r="H1601" s="319"/>
      <c r="I1601" s="320"/>
      <c r="J1601" s="321"/>
      <c r="K1601" s="321"/>
      <c r="L1601" s="321"/>
      <c r="M1601" s="319"/>
      <c r="N1601" s="322"/>
      <c r="O1601" s="236" t="str">
        <f>'Profits 2016'!T6814</f>
        <v>FEDEX GROUND</v>
      </c>
      <c r="P1601" s="284" t="str">
        <f>'Profits 2016'!U6814</f>
        <v>702723291517</v>
      </c>
      <c r="Q1601" s="284" t="s">
        <v>314</v>
      </c>
      <c r="R1601" s="276">
        <v>18.02</v>
      </c>
      <c r="S1601" s="275" t="s">
        <v>15847</v>
      </c>
      <c r="T1601" s="279">
        <v>42695</v>
      </c>
      <c r="U1601" s="279">
        <v>42702</v>
      </c>
      <c r="AF1601" s="276">
        <f t="shared" si="191"/>
        <v>65.52</v>
      </c>
      <c r="AG1601" s="276">
        <f t="shared" si="192"/>
        <v>18.02</v>
      </c>
      <c r="AH1601" s="276">
        <f t="shared" si="193"/>
        <v>96.44080000000001</v>
      </c>
      <c r="AI1601" s="283">
        <f t="shared" si="194"/>
        <v>1.4719291819291822</v>
      </c>
    </row>
    <row r="1602" spans="1:35" ht="30" x14ac:dyDescent="0.25">
      <c r="A1602" s="275">
        <f>'Profits 2016'!A6815</f>
        <v>3005342</v>
      </c>
      <c r="B1602" s="279">
        <f>'Profits 2016'!B6815</f>
        <v>42676</v>
      </c>
      <c r="C1602" s="276">
        <f>'Profits 2016'!H6815</f>
        <v>186.11</v>
      </c>
      <c r="D1602" s="280">
        <f>'Profits 2016'!K6815</f>
        <v>165.52401</v>
      </c>
      <c r="E1602" s="276">
        <f>'Profits 2016'!L6815</f>
        <v>168</v>
      </c>
      <c r="F1602" s="275" t="str">
        <f>'Profits 2016'!P6815</f>
        <v>Nassau</v>
      </c>
      <c r="G1602" s="292">
        <f>'Profits 2016'!N6815-'Profits 2016'!M6815</f>
        <v>42</v>
      </c>
      <c r="H1602" s="319"/>
      <c r="I1602" s="320"/>
      <c r="J1602" s="321"/>
      <c r="K1602" s="321"/>
      <c r="L1602" s="321"/>
      <c r="M1602" s="319"/>
      <c r="N1602" s="322"/>
      <c r="O1602" s="236" t="str">
        <f>'Profits 2016'!T6815</f>
        <v>FEDEX GROUND</v>
      </c>
      <c r="P1602" s="284" t="str">
        <f>'Profits 2016'!U6815</f>
        <v>702723291540</v>
      </c>
      <c r="Q1602" s="284" t="s">
        <v>314</v>
      </c>
      <c r="R1602" s="276">
        <v>30.17</v>
      </c>
      <c r="S1602" s="275" t="s">
        <v>15847</v>
      </c>
      <c r="T1602" s="279">
        <v>42695</v>
      </c>
      <c r="U1602" s="279">
        <v>42702</v>
      </c>
      <c r="AF1602" s="276">
        <f t="shared" si="191"/>
        <v>72.17</v>
      </c>
      <c r="AG1602" s="276">
        <f t="shared" si="192"/>
        <v>30.17</v>
      </c>
      <c r="AH1602" s="276">
        <f t="shared" si="193"/>
        <v>135.35401000000002</v>
      </c>
      <c r="AI1602" s="283">
        <f t="shared" si="194"/>
        <v>1.875488568657337</v>
      </c>
    </row>
    <row r="1603" spans="1:35" ht="30" x14ac:dyDescent="0.25">
      <c r="A1603" s="275">
        <f>'Profits 2016'!A6816</f>
        <v>3005343</v>
      </c>
      <c r="B1603" s="279">
        <f>'Profits 2016'!B6816</f>
        <v>42676</v>
      </c>
      <c r="C1603" s="276">
        <f>'Profits 2016'!H6816</f>
        <v>5298.7</v>
      </c>
      <c r="D1603" s="280">
        <f>'Profits 2016'!K6816</f>
        <v>5126.1922500000001</v>
      </c>
      <c r="E1603" s="276">
        <f>'Profits 2016'!L6816</f>
        <v>0</v>
      </c>
      <c r="F1603" s="275" t="str">
        <f>'Profits 2016'!P6816</f>
        <v>Nassau</v>
      </c>
      <c r="G1603" s="292">
        <f>'Profits 2016'!N6816-'Profits 2016'!M6816</f>
        <v>0</v>
      </c>
      <c r="H1603" s="319"/>
      <c r="I1603" s="320"/>
      <c r="J1603" s="321"/>
      <c r="K1603" s="321"/>
      <c r="L1603" s="321"/>
      <c r="M1603" s="319"/>
      <c r="N1603" s="322"/>
      <c r="O1603" s="236" t="str">
        <f>'Profits 2016'!T6816</f>
        <v>CROWN TRUCK</v>
      </c>
      <c r="P1603" s="284" t="str">
        <f>'Profits 2016'!U6816</f>
        <v>CROWN TRUCK</v>
      </c>
      <c r="Q1603" s="284" t="s">
        <v>15751</v>
      </c>
      <c r="R1603" s="276">
        <v>350</v>
      </c>
      <c r="S1603" s="275">
        <v>10046171</v>
      </c>
      <c r="T1603" s="279">
        <v>42681</v>
      </c>
      <c r="U1603" s="279">
        <v>42688</v>
      </c>
      <c r="V1603" s="279">
        <v>42692</v>
      </c>
      <c r="W1603" s="293">
        <v>350</v>
      </c>
      <c r="X1603" s="236">
        <v>9434</v>
      </c>
      <c r="AF1603" s="276">
        <f t="shared" si="191"/>
        <v>350</v>
      </c>
      <c r="AG1603" s="276">
        <f t="shared" si="192"/>
        <v>350</v>
      </c>
      <c r="AH1603" s="276">
        <f t="shared" si="193"/>
        <v>4776.1922500000001</v>
      </c>
      <c r="AI1603" s="283">
        <f t="shared" si="194"/>
        <v>13.646263571428571</v>
      </c>
    </row>
    <row r="1604" spans="1:35" x14ac:dyDescent="0.25">
      <c r="A1604" s="275">
        <f>'Profits 2016'!A6817</f>
        <v>0</v>
      </c>
      <c r="B1604" s="279">
        <f>'Profits 2016'!B6817</f>
        <v>0</v>
      </c>
      <c r="C1604" s="276">
        <f>'Profits 2016'!H6817</f>
        <v>0</v>
      </c>
      <c r="D1604" s="280">
        <f>'Profits 2016'!K6817</f>
        <v>0</v>
      </c>
      <c r="E1604" s="276">
        <f>'Profits 2016'!L6817</f>
        <v>0</v>
      </c>
      <c r="F1604" s="275" t="str">
        <f>'Profits 2016'!P6817</f>
        <v>Nassau</v>
      </c>
      <c r="G1604" s="292">
        <f>'Profits 2016'!N6817-'Profits 2016'!M6817</f>
        <v>0</v>
      </c>
      <c r="H1604" s="319"/>
      <c r="I1604" s="320"/>
      <c r="J1604" s="321"/>
      <c r="K1604" s="321"/>
      <c r="L1604" s="321"/>
      <c r="M1604" s="319"/>
      <c r="N1604" s="322"/>
      <c r="O1604" s="236">
        <f>'Profits 2016'!T6817</f>
        <v>0</v>
      </c>
      <c r="P1604" s="284">
        <f>'Profits 2016'!U6817</f>
        <v>0</v>
      </c>
      <c r="Q1604" s="284" t="s">
        <v>15751</v>
      </c>
      <c r="R1604" s="276">
        <v>0</v>
      </c>
      <c r="S1604" s="275">
        <v>10046171</v>
      </c>
      <c r="T1604" s="279">
        <v>42681</v>
      </c>
      <c r="U1604" s="279">
        <v>42688</v>
      </c>
      <c r="V1604" s="279">
        <v>42692</v>
      </c>
      <c r="W1604" s="293">
        <v>0</v>
      </c>
      <c r="X1604" s="236">
        <v>9434</v>
      </c>
      <c r="AF1604" s="276">
        <f t="shared" si="191"/>
        <v>0</v>
      </c>
      <c r="AG1604" s="276">
        <f t="shared" si="192"/>
        <v>0</v>
      </c>
      <c r="AH1604" s="276">
        <f t="shared" si="193"/>
        <v>0</v>
      </c>
      <c r="AI1604" s="283" t="e">
        <f t="shared" si="194"/>
        <v>#DIV/0!</v>
      </c>
    </row>
    <row r="1605" spans="1:35" x14ac:dyDescent="0.25">
      <c r="A1605" s="275">
        <f>'Profits 2016'!A6818</f>
        <v>0</v>
      </c>
      <c r="B1605" s="279">
        <f>'Profits 2016'!B6818</f>
        <v>0</v>
      </c>
      <c r="C1605" s="276">
        <f>'Profits 2016'!H6818</f>
        <v>0</v>
      </c>
      <c r="D1605" s="280">
        <f>'Profits 2016'!K6818</f>
        <v>0</v>
      </c>
      <c r="E1605" s="276">
        <f>'Profits 2016'!L6818</f>
        <v>8338</v>
      </c>
      <c r="F1605" s="275" t="str">
        <f>'Profits 2016'!P6818</f>
        <v>Brazil</v>
      </c>
      <c r="G1605" s="292">
        <f>'Profits 2016'!N6818-'Profits 2016'!M6818</f>
        <v>291.83000000000004</v>
      </c>
      <c r="H1605" s="331">
        <v>0</v>
      </c>
      <c r="I1605" s="332">
        <v>91039027</v>
      </c>
      <c r="J1605" s="333">
        <v>42683</v>
      </c>
      <c r="K1605" s="333">
        <v>42688</v>
      </c>
      <c r="L1605" s="333"/>
      <c r="M1605" s="331"/>
      <c r="N1605" s="334"/>
      <c r="O1605" s="236" t="str">
        <f>'Profits 2016'!T6818</f>
        <v>DELIVERED</v>
      </c>
      <c r="P1605" s="284" t="str">
        <f>'Profits 2016'!U6818</f>
        <v>DELIVERED</v>
      </c>
      <c r="Q1605" s="284" t="s">
        <v>15866</v>
      </c>
      <c r="R1605" s="276">
        <v>101.92</v>
      </c>
      <c r="S1605" s="275">
        <v>91039027</v>
      </c>
      <c r="T1605" s="279">
        <v>42683</v>
      </c>
      <c r="U1605" s="279">
        <v>42688</v>
      </c>
      <c r="AF1605" s="276">
        <f t="shared" si="191"/>
        <v>293.75000000000006</v>
      </c>
      <c r="AG1605" s="276">
        <f t="shared" si="192"/>
        <v>101.92</v>
      </c>
      <c r="AH1605" s="276">
        <f t="shared" si="193"/>
        <v>-101.92</v>
      </c>
      <c r="AI1605" s="283">
        <f t="shared" si="194"/>
        <v>-0.34696170212765953</v>
      </c>
    </row>
    <row r="1606" spans="1:35" ht="29.25" customHeight="1" x14ac:dyDescent="0.25">
      <c r="A1606" s="275">
        <f>'Profits 2016'!A6819</f>
        <v>3005344</v>
      </c>
      <c r="B1606" s="279">
        <f>'Profits 2016'!B6819</f>
        <v>42676</v>
      </c>
      <c r="C1606" s="276">
        <f>'Profits 2016'!H6819</f>
        <v>8496.9599999999991</v>
      </c>
      <c r="D1606" s="280">
        <f>'Profits 2016'!K6819</f>
        <v>8309.7268799999983</v>
      </c>
      <c r="E1606" s="276">
        <f>'Profits 2016'!L6819</f>
        <v>950</v>
      </c>
      <c r="F1606" s="275" t="str">
        <f>'Profits 2016'!P6819</f>
        <v>ERCO</v>
      </c>
      <c r="G1606" s="292">
        <f>'Profits 2016'!N6819-'Profits 2016'!M6819</f>
        <v>638.4000000000002</v>
      </c>
      <c r="H1606" s="331">
        <v>-100</v>
      </c>
      <c r="I1606" s="332">
        <v>152502</v>
      </c>
      <c r="J1606" s="333">
        <v>42681</v>
      </c>
      <c r="K1606" s="333">
        <v>42688</v>
      </c>
      <c r="L1606" s="333"/>
      <c r="M1606" s="331"/>
      <c r="N1606" s="334"/>
      <c r="O1606" s="236" t="str">
        <f>'Profits 2016'!T6819</f>
        <v>ESTES/ECHO
CROWN</v>
      </c>
      <c r="P1606" s="284" t="str">
        <f>'Profits 2016'!U6819</f>
        <v>1651028954
799045814</v>
      </c>
      <c r="Q1606" s="284" t="s">
        <v>15751</v>
      </c>
      <c r="R1606" s="276">
        <v>225</v>
      </c>
      <c r="S1606" s="275">
        <v>10046247</v>
      </c>
      <c r="T1606" s="279">
        <v>42689</v>
      </c>
      <c r="U1606" s="279">
        <v>42695</v>
      </c>
      <c r="AF1606" s="276">
        <f t="shared" si="191"/>
        <v>863.4000000000002</v>
      </c>
      <c r="AG1606" s="276">
        <f t="shared" si="192"/>
        <v>225</v>
      </c>
      <c r="AH1606" s="276">
        <f t="shared" si="193"/>
        <v>8084.7268799999983</v>
      </c>
      <c r="AI1606" s="283">
        <f t="shared" si="194"/>
        <v>9.3638254343293905</v>
      </c>
    </row>
    <row r="1607" spans="1:35" x14ac:dyDescent="0.25">
      <c r="A1607" s="275">
        <f>'Profits 2016'!A6820</f>
        <v>0</v>
      </c>
      <c r="B1607" s="279">
        <f>'Profits 2016'!B6820</f>
        <v>0</v>
      </c>
      <c r="C1607" s="276">
        <f>'Profits 2016'!H6820</f>
        <v>0</v>
      </c>
      <c r="D1607" s="280">
        <f>'Profits 2016'!K6820</f>
        <v>0</v>
      </c>
      <c r="E1607" s="276">
        <f>'Profits 2016'!L6820</f>
        <v>950</v>
      </c>
      <c r="F1607" s="275" t="str">
        <f>'Profits 2016'!P6820</f>
        <v>ERCO</v>
      </c>
      <c r="G1607" s="292">
        <f>'Profits 2016'!N6820-'Profits 2016'!M6820</f>
        <v>698.25</v>
      </c>
      <c r="H1607" s="331">
        <v>0</v>
      </c>
      <c r="I1607" s="332">
        <v>152502</v>
      </c>
      <c r="J1607" s="333">
        <v>42681</v>
      </c>
      <c r="K1607" s="333">
        <v>42688</v>
      </c>
      <c r="L1607" s="333"/>
      <c r="M1607" s="331"/>
      <c r="N1607" s="334"/>
      <c r="O1607" s="236">
        <f>'Profits 2016'!T6820</f>
        <v>0</v>
      </c>
      <c r="P1607" s="284">
        <f>'Profits 2016'!U6820</f>
        <v>0</v>
      </c>
      <c r="Q1607" s="284" t="s">
        <v>15767</v>
      </c>
      <c r="R1607" s="276">
        <v>578.59</v>
      </c>
      <c r="S1607" s="275" t="s">
        <v>15923</v>
      </c>
      <c r="T1607" s="279">
        <v>42695</v>
      </c>
      <c r="U1607" s="279">
        <v>42702</v>
      </c>
      <c r="AF1607" s="276">
        <f t="shared" si="191"/>
        <v>1276.8400000000001</v>
      </c>
      <c r="AG1607" s="276">
        <f t="shared" si="192"/>
        <v>578.59</v>
      </c>
      <c r="AH1607" s="276">
        <f t="shared" si="193"/>
        <v>-578.59</v>
      </c>
      <c r="AI1607" s="283">
        <f t="shared" si="194"/>
        <v>-0.45314213213871746</v>
      </c>
    </row>
    <row r="1608" spans="1:35" x14ac:dyDescent="0.25">
      <c r="A1608" s="275">
        <f>'Profits 2016'!A6821</f>
        <v>0</v>
      </c>
      <c r="B1608" s="279">
        <f>'Profits 2016'!B6821</f>
        <v>0</v>
      </c>
      <c r="C1608" s="276">
        <f>'Profits 2016'!H6821</f>
        <v>0</v>
      </c>
      <c r="D1608" s="280">
        <f>'Profits 2016'!K6821</f>
        <v>0</v>
      </c>
      <c r="E1608" s="276">
        <f>'Profits 2016'!L6821</f>
        <v>950</v>
      </c>
      <c r="F1608" s="275" t="str">
        <f>'Profits 2016'!P6821</f>
        <v>ERCO</v>
      </c>
      <c r="G1608" s="292">
        <f>'Profits 2016'!N6821-'Profits 2016'!M6821</f>
        <v>1501</v>
      </c>
      <c r="H1608" s="331">
        <v>0</v>
      </c>
      <c r="I1608" s="332">
        <v>152502</v>
      </c>
      <c r="J1608" s="333">
        <v>42681</v>
      </c>
      <c r="K1608" s="333">
        <v>42688</v>
      </c>
      <c r="L1608" s="333"/>
      <c r="M1608" s="331"/>
      <c r="N1608" s="334"/>
      <c r="O1608" s="236">
        <f>'Profits 2016'!T6821</f>
        <v>0</v>
      </c>
      <c r="P1608" s="284">
        <f>'Profits 2016'!U6821</f>
        <v>0</v>
      </c>
      <c r="Q1608" s="284" t="s">
        <v>15767</v>
      </c>
      <c r="R1608" s="276">
        <v>0</v>
      </c>
      <c r="S1608" s="275" t="s">
        <v>15923</v>
      </c>
      <c r="T1608" s="279">
        <v>42695</v>
      </c>
      <c r="U1608" s="279">
        <v>42702</v>
      </c>
      <c r="AF1608" s="276">
        <f t="shared" si="191"/>
        <v>1501</v>
      </c>
      <c r="AG1608" s="276">
        <f t="shared" si="192"/>
        <v>0</v>
      </c>
      <c r="AH1608" s="276">
        <f t="shared" si="193"/>
        <v>0</v>
      </c>
      <c r="AI1608" s="283">
        <f t="shared" si="194"/>
        <v>0</v>
      </c>
    </row>
    <row r="1609" spans="1:35" x14ac:dyDescent="0.25">
      <c r="A1609" s="275">
        <f>'Profits 2016'!A6822</f>
        <v>0</v>
      </c>
      <c r="B1609" s="279">
        <f>'Profits 2016'!B6822</f>
        <v>0</v>
      </c>
      <c r="C1609" s="276">
        <f>'Profits 2016'!H6822</f>
        <v>0</v>
      </c>
      <c r="D1609" s="280">
        <f>'Profits 2016'!K6822</f>
        <v>0</v>
      </c>
      <c r="E1609" s="276">
        <f>'Profits 2016'!L6822</f>
        <v>375</v>
      </c>
      <c r="F1609" s="275" t="str">
        <f>'Profits 2016'!P6822</f>
        <v>Nassau</v>
      </c>
      <c r="G1609" s="292">
        <f>'Profits 2016'!N6822-'Profits 2016'!M6822</f>
        <v>262.5</v>
      </c>
      <c r="H1609" s="319"/>
      <c r="I1609" s="320"/>
      <c r="J1609" s="321"/>
      <c r="K1609" s="321"/>
      <c r="L1609" s="321"/>
      <c r="M1609" s="319"/>
      <c r="N1609" s="322"/>
      <c r="O1609" s="236" t="str">
        <f>'Profits 2016'!T6822</f>
        <v>TEALS</v>
      </c>
      <c r="P1609" s="284" t="str">
        <f>'Profits 2016'!U6822</f>
        <v>799045117</v>
      </c>
      <c r="Q1609" s="284" t="s">
        <v>15751</v>
      </c>
      <c r="R1609" s="276">
        <v>115</v>
      </c>
      <c r="S1609" s="275">
        <v>10046145</v>
      </c>
      <c r="T1609" s="279">
        <v>42681</v>
      </c>
      <c r="U1609" s="279">
        <v>42688</v>
      </c>
      <c r="V1609" s="279">
        <v>42692</v>
      </c>
      <c r="W1609" s="293">
        <v>115</v>
      </c>
      <c r="X1609" s="236">
        <v>9434</v>
      </c>
      <c r="AF1609" s="276">
        <f t="shared" si="191"/>
        <v>377.5</v>
      </c>
      <c r="AG1609" s="276">
        <f t="shared" si="192"/>
        <v>115</v>
      </c>
      <c r="AH1609" s="276">
        <f t="shared" si="193"/>
        <v>-115</v>
      </c>
      <c r="AI1609" s="283">
        <f t="shared" si="194"/>
        <v>-0.30463576158940397</v>
      </c>
    </row>
    <row r="1610" spans="1:35" x14ac:dyDescent="0.25">
      <c r="A1610" s="275">
        <f>'Profits 2016'!A6823</f>
        <v>0</v>
      </c>
      <c r="B1610" s="279">
        <f>'Profits 2016'!B6823</f>
        <v>0</v>
      </c>
      <c r="C1610" s="276">
        <f>'Profits 2016'!H6823</f>
        <v>0</v>
      </c>
      <c r="D1610" s="280">
        <f>'Profits 2016'!K6823</f>
        <v>0</v>
      </c>
      <c r="E1610" s="276">
        <f>'Profits 2016'!L6823</f>
        <v>375</v>
      </c>
      <c r="F1610" s="275" t="str">
        <f>'Profits 2016'!P6823</f>
        <v>Nassau</v>
      </c>
      <c r="G1610" s="292">
        <f>'Profits 2016'!N6823-'Profits 2016'!M6823</f>
        <v>337.5</v>
      </c>
      <c r="H1610" s="319"/>
      <c r="I1610" s="320"/>
      <c r="J1610" s="321"/>
      <c r="K1610" s="321"/>
      <c r="L1610" s="321"/>
      <c r="M1610" s="319"/>
      <c r="N1610" s="322"/>
      <c r="O1610" s="236">
        <f>'Profits 2016'!T6823</f>
        <v>0</v>
      </c>
      <c r="P1610" s="284">
        <f>'Profits 2016'!U6823</f>
        <v>0</v>
      </c>
      <c r="Q1610" s="284" t="s">
        <v>15751</v>
      </c>
      <c r="R1610" s="276">
        <v>0</v>
      </c>
      <c r="S1610" s="275">
        <v>10046145</v>
      </c>
      <c r="T1610" s="279">
        <v>42681</v>
      </c>
      <c r="U1610" s="279">
        <v>42688</v>
      </c>
      <c r="V1610" s="279">
        <v>42692</v>
      </c>
      <c r="W1610" s="293">
        <v>0</v>
      </c>
      <c r="X1610" s="236">
        <v>9434</v>
      </c>
      <c r="AF1610" s="276">
        <f t="shared" si="191"/>
        <v>337.5</v>
      </c>
      <c r="AG1610" s="276">
        <f t="shared" si="192"/>
        <v>0</v>
      </c>
      <c r="AH1610" s="276">
        <f t="shared" si="193"/>
        <v>0</v>
      </c>
      <c r="AI1610" s="283">
        <f t="shared" si="194"/>
        <v>0</v>
      </c>
    </row>
    <row r="1611" spans="1:35" x14ac:dyDescent="0.25">
      <c r="A1611" s="275">
        <f>'Profits 2016'!A6824</f>
        <v>0</v>
      </c>
      <c r="B1611" s="279">
        <f>'Profits 2016'!B6824</f>
        <v>0</v>
      </c>
      <c r="C1611" s="276">
        <f>'Profits 2016'!H6824</f>
        <v>0</v>
      </c>
      <c r="D1611" s="280">
        <f>'Profits 2016'!K6824</f>
        <v>0</v>
      </c>
      <c r="E1611" s="276">
        <f>'Profits 2016'!L6824</f>
        <v>375</v>
      </c>
      <c r="F1611" s="275" t="str">
        <f>'Profits 2016'!P6824</f>
        <v>Nassau</v>
      </c>
      <c r="G1611" s="292">
        <f>'Profits 2016'!N6824-'Profits 2016'!M6824</f>
        <v>562.5</v>
      </c>
      <c r="H1611" s="319"/>
      <c r="I1611" s="320"/>
      <c r="J1611" s="321"/>
      <c r="K1611" s="321"/>
      <c r="L1611" s="321"/>
      <c r="M1611" s="319"/>
      <c r="N1611" s="322"/>
      <c r="O1611" s="236">
        <f>'Profits 2016'!T6824</f>
        <v>0</v>
      </c>
      <c r="P1611" s="284">
        <f>'Profits 2016'!U6824</f>
        <v>0</v>
      </c>
      <c r="Q1611" s="284" t="s">
        <v>15751</v>
      </c>
      <c r="R1611" s="276">
        <v>0</v>
      </c>
      <c r="S1611" s="275">
        <v>10046145</v>
      </c>
      <c r="T1611" s="279">
        <v>42681</v>
      </c>
      <c r="U1611" s="279">
        <v>42688</v>
      </c>
      <c r="V1611" s="279">
        <v>42692</v>
      </c>
      <c r="W1611" s="293">
        <v>0</v>
      </c>
      <c r="X1611" s="236">
        <v>9434</v>
      </c>
      <c r="AF1611" s="276">
        <f t="shared" si="191"/>
        <v>562.5</v>
      </c>
      <c r="AG1611" s="276">
        <f t="shared" si="192"/>
        <v>0</v>
      </c>
      <c r="AH1611" s="276">
        <f t="shared" si="193"/>
        <v>0</v>
      </c>
      <c r="AI1611" s="283">
        <f t="shared" si="194"/>
        <v>0</v>
      </c>
    </row>
    <row r="1612" spans="1:35" x14ac:dyDescent="0.25">
      <c r="A1612" s="275">
        <f>'Profits 2016'!A6825</f>
        <v>0</v>
      </c>
      <c r="B1612" s="279">
        <f>'Profits 2016'!B6825</f>
        <v>0</v>
      </c>
      <c r="C1612" s="276">
        <f>'Profits 2016'!H6825</f>
        <v>0</v>
      </c>
      <c r="D1612" s="280">
        <f>'Profits 2016'!K6825</f>
        <v>0</v>
      </c>
      <c r="E1612" s="276">
        <f>'Profits 2016'!L6825</f>
        <v>375</v>
      </c>
      <c r="F1612" s="275" t="str">
        <f>'Profits 2016'!P6825</f>
        <v>Nassau</v>
      </c>
      <c r="G1612" s="292">
        <f>'Profits 2016'!N6825-'Profits 2016'!M6825</f>
        <v>37.5</v>
      </c>
      <c r="H1612" s="319"/>
      <c r="I1612" s="320"/>
      <c r="J1612" s="321"/>
      <c r="K1612" s="321"/>
      <c r="L1612" s="321"/>
      <c r="M1612" s="319"/>
      <c r="N1612" s="322"/>
      <c r="O1612" s="236">
        <f>'Profits 2016'!T6825</f>
        <v>0</v>
      </c>
      <c r="P1612" s="284">
        <f>'Profits 2016'!U6825</f>
        <v>0</v>
      </c>
      <c r="Q1612" s="284" t="s">
        <v>15751</v>
      </c>
      <c r="R1612" s="276">
        <v>0</v>
      </c>
      <c r="S1612" s="275">
        <v>10046145</v>
      </c>
      <c r="T1612" s="279">
        <v>42681</v>
      </c>
      <c r="U1612" s="279">
        <v>42688</v>
      </c>
      <c r="V1612" s="279">
        <v>42692</v>
      </c>
      <c r="W1612" s="293">
        <v>0</v>
      </c>
      <c r="X1612" s="236">
        <v>9434</v>
      </c>
      <c r="AF1612" s="276">
        <f t="shared" si="191"/>
        <v>37.5</v>
      </c>
      <c r="AG1612" s="276">
        <f t="shared" si="192"/>
        <v>0</v>
      </c>
      <c r="AH1612" s="276">
        <f t="shared" si="193"/>
        <v>0</v>
      </c>
      <c r="AI1612" s="283">
        <f t="shared" si="194"/>
        <v>0</v>
      </c>
    </row>
    <row r="1613" spans="1:35" x14ac:dyDescent="0.25">
      <c r="A1613" s="275">
        <f>'Profits 2016'!A6826</f>
        <v>0</v>
      </c>
      <c r="B1613" s="279">
        <f>'Profits 2016'!B6826</f>
        <v>0</v>
      </c>
      <c r="C1613" s="276">
        <f>'Profits 2016'!H6826</f>
        <v>0</v>
      </c>
      <c r="D1613" s="280">
        <f>'Profits 2016'!K6826</f>
        <v>0</v>
      </c>
      <c r="E1613" s="276">
        <f>'Profits 2016'!L6826</f>
        <v>375</v>
      </c>
      <c r="F1613" s="275" t="str">
        <f>'Profits 2016'!P6826</f>
        <v>Nassau</v>
      </c>
      <c r="G1613" s="292">
        <f>'Profits 2016'!N6826-'Profits 2016'!M6826</f>
        <v>360</v>
      </c>
      <c r="H1613" s="319"/>
      <c r="I1613" s="320"/>
      <c r="J1613" s="321"/>
      <c r="K1613" s="321"/>
      <c r="L1613" s="321"/>
      <c r="M1613" s="319"/>
      <c r="N1613" s="322"/>
      <c r="O1613" s="236">
        <f>'Profits 2016'!T6826</f>
        <v>0</v>
      </c>
      <c r="P1613" s="284">
        <f>'Profits 2016'!U6826</f>
        <v>0</v>
      </c>
      <c r="Q1613" s="284" t="s">
        <v>15751</v>
      </c>
      <c r="R1613" s="276">
        <v>0</v>
      </c>
      <c r="S1613" s="275">
        <v>10046145</v>
      </c>
      <c r="T1613" s="279">
        <v>42681</v>
      </c>
      <c r="U1613" s="279">
        <v>42688</v>
      </c>
      <c r="V1613" s="279">
        <v>42692</v>
      </c>
      <c r="W1613" s="293">
        <v>0</v>
      </c>
      <c r="X1613" s="236">
        <v>9434</v>
      </c>
      <c r="AF1613" s="276">
        <f t="shared" si="191"/>
        <v>460</v>
      </c>
      <c r="AG1613" s="276">
        <f t="shared" si="192"/>
        <v>0</v>
      </c>
      <c r="AH1613" s="276">
        <f t="shared" si="193"/>
        <v>0</v>
      </c>
      <c r="AI1613" s="283">
        <f t="shared" si="194"/>
        <v>0</v>
      </c>
    </row>
    <row r="1614" spans="1:35" x14ac:dyDescent="0.25">
      <c r="A1614" s="275">
        <f>'Profits 2016'!A6827</f>
        <v>0</v>
      </c>
      <c r="B1614" s="279">
        <f>'Profits 2016'!B6827</f>
        <v>0</v>
      </c>
      <c r="C1614" s="276">
        <f>'Profits 2016'!H6827</f>
        <v>0</v>
      </c>
      <c r="D1614" s="280">
        <f>'Profits 2016'!K6827</f>
        <v>0</v>
      </c>
      <c r="E1614" s="276">
        <f>'Profits 2016'!L6827</f>
        <v>342</v>
      </c>
      <c r="F1614" s="275" t="str">
        <f>'Profits 2016'!P6827</f>
        <v>Priority</v>
      </c>
      <c r="G1614" s="292">
        <f>'Profits 2016'!N6827-'Profits 2016'!M6827</f>
        <v>164.15999999999997</v>
      </c>
      <c r="H1614" s="331">
        <v>100</v>
      </c>
      <c r="I1614" s="332">
        <v>1075971</v>
      </c>
      <c r="J1614" s="333">
        <v>42685</v>
      </c>
      <c r="K1614" s="333">
        <v>42688</v>
      </c>
      <c r="L1614" s="333"/>
      <c r="M1614" s="331"/>
      <c r="N1614" s="334"/>
      <c r="O1614" s="236" t="str">
        <f>'Profits 2016'!T6827</f>
        <v>NEMF</v>
      </c>
      <c r="P1614" s="284" t="str">
        <f>'Profits 2016'!U6827</f>
        <v>23941627</v>
      </c>
      <c r="Q1614" s="284" t="s">
        <v>15740</v>
      </c>
      <c r="R1614" s="276">
        <v>105</v>
      </c>
      <c r="S1614" s="332">
        <v>1075971</v>
      </c>
      <c r="T1614" s="333">
        <v>42685</v>
      </c>
      <c r="U1614" s="333">
        <v>42688</v>
      </c>
      <c r="AF1614" s="276">
        <f t="shared" si="191"/>
        <v>369.15999999999997</v>
      </c>
      <c r="AG1614" s="276">
        <f t="shared" si="192"/>
        <v>105</v>
      </c>
      <c r="AH1614" s="276">
        <f t="shared" si="193"/>
        <v>-105</v>
      </c>
      <c r="AI1614" s="283">
        <f t="shared" si="194"/>
        <v>-0.28442951565716768</v>
      </c>
    </row>
    <row r="1615" spans="1:35" x14ac:dyDescent="0.25">
      <c r="A1615" s="275">
        <f>'Profits 2016'!A6828</f>
        <v>0</v>
      </c>
      <c r="B1615" s="279">
        <f>'Profits 2016'!B6828</f>
        <v>0</v>
      </c>
      <c r="C1615" s="276">
        <f>'Profits 2016'!H6828</f>
        <v>0</v>
      </c>
      <c r="D1615" s="280">
        <f>'Profits 2016'!K6828</f>
        <v>0</v>
      </c>
      <c r="E1615" s="276">
        <f>'Profits 2016'!L6828</f>
        <v>289</v>
      </c>
      <c r="F1615" s="275" t="str">
        <f>'Profits 2016'!P6828</f>
        <v>Priority</v>
      </c>
      <c r="G1615" s="292">
        <f>'Profits 2016'!N6828-'Profits 2016'!M6828</f>
        <v>184.96000000000004</v>
      </c>
      <c r="H1615" s="331">
        <v>100</v>
      </c>
      <c r="I1615" s="332">
        <v>1075971</v>
      </c>
      <c r="J1615" s="333">
        <v>42685</v>
      </c>
      <c r="K1615" s="333">
        <v>42688</v>
      </c>
      <c r="L1615" s="333"/>
      <c r="M1615" s="331"/>
      <c r="N1615" s="334"/>
      <c r="O1615" s="236">
        <f>'Profits 2016'!T6828</f>
        <v>0</v>
      </c>
      <c r="P1615" s="284">
        <f>'Profits 2016'!U6828</f>
        <v>0</v>
      </c>
      <c r="Q1615" s="284" t="s">
        <v>15740</v>
      </c>
      <c r="R1615" s="276">
        <v>0</v>
      </c>
      <c r="S1615" s="332">
        <v>1075971</v>
      </c>
      <c r="T1615" s="333">
        <v>42685</v>
      </c>
      <c r="U1615" s="333">
        <v>42688</v>
      </c>
      <c r="AF1615" s="276">
        <f t="shared" si="191"/>
        <v>184.96000000000004</v>
      </c>
      <c r="AG1615" s="276">
        <f t="shared" si="192"/>
        <v>0</v>
      </c>
      <c r="AH1615" s="276">
        <f t="shared" si="193"/>
        <v>0</v>
      </c>
      <c r="AI1615" s="283">
        <f t="shared" si="194"/>
        <v>0</v>
      </c>
    </row>
    <row r="1616" spans="1:35" ht="30" x14ac:dyDescent="0.25">
      <c r="A1616" s="275">
        <f>'Profits 2016'!A6829</f>
        <v>3005345</v>
      </c>
      <c r="B1616" s="279">
        <f>'Profits 2016'!B6829</f>
        <v>42677</v>
      </c>
      <c r="C1616" s="276">
        <f>'Profits 2016'!H6829</f>
        <v>300</v>
      </c>
      <c r="D1616" s="280">
        <f>'Profits 2016'!K6829</f>
        <v>294</v>
      </c>
      <c r="E1616" s="276">
        <f>'Profits 2016'!L6829</f>
        <v>0</v>
      </c>
      <c r="F1616" s="275" t="str">
        <f>'Profits 2016'!P6829</f>
        <v>Nassau</v>
      </c>
      <c r="G1616" s="292">
        <f>'Profits 2016'!N6829-'Profits 2016'!M6829</f>
        <v>0</v>
      </c>
      <c r="H1616" s="319"/>
      <c r="I1616" s="320"/>
      <c r="J1616" s="321"/>
      <c r="K1616" s="321"/>
      <c r="L1616" s="321"/>
      <c r="M1616" s="319"/>
      <c r="N1616" s="322"/>
      <c r="O1616" s="236" t="str">
        <f>'Profits 2016'!T6829</f>
        <v>FEDEX GROUND</v>
      </c>
      <c r="P1616" s="284" t="str">
        <f>'Profits 2016'!U6829</f>
        <v>702723291561</v>
      </c>
      <c r="Q1616" s="284" t="s">
        <v>314</v>
      </c>
      <c r="R1616" s="276">
        <v>54.82</v>
      </c>
      <c r="S1616" s="275" t="s">
        <v>15847</v>
      </c>
      <c r="T1616" s="279">
        <v>42695</v>
      </c>
      <c r="U1616" s="279">
        <v>42702</v>
      </c>
      <c r="AF1616" s="276">
        <f t="shared" si="191"/>
        <v>54.82</v>
      </c>
      <c r="AG1616" s="276">
        <f t="shared" si="192"/>
        <v>54.82</v>
      </c>
      <c r="AH1616" s="276">
        <f t="shared" si="193"/>
        <v>239.18</v>
      </c>
      <c r="AI1616" s="283">
        <f t="shared" si="194"/>
        <v>4.3630062021160159</v>
      </c>
    </row>
    <row r="1617" spans="1:35" ht="30" x14ac:dyDescent="0.25">
      <c r="A1617" s="275">
        <f>'Profits 2016'!A6830</f>
        <v>3005346</v>
      </c>
      <c r="B1617" s="279">
        <f>'Profits 2016'!B6830</f>
        <v>42677</v>
      </c>
      <c r="C1617" s="276">
        <f>'Profits 2016'!H6830</f>
        <v>249.6</v>
      </c>
      <c r="D1617" s="280">
        <f>'Profits 2016'!K6830</f>
        <v>222.09360000000001</v>
      </c>
      <c r="E1617" s="276">
        <f>'Profits 2016'!L6830</f>
        <v>424</v>
      </c>
      <c r="F1617" s="275" t="str">
        <f>'Profits 2016'!P6830</f>
        <v>Nassau</v>
      </c>
      <c r="G1617" s="292">
        <f>'Profits 2016'!N6830-'Profits 2016'!M6830</f>
        <v>93.28</v>
      </c>
      <c r="H1617" s="319"/>
      <c r="I1617" s="320"/>
      <c r="J1617" s="321"/>
      <c r="K1617" s="321"/>
      <c r="L1617" s="321"/>
      <c r="M1617" s="319"/>
      <c r="N1617" s="322"/>
      <c r="O1617" s="236" t="str">
        <f>'Profits 2016'!T6830</f>
        <v>FEDEX GROUND</v>
      </c>
      <c r="P1617" s="284" t="str">
        <f>'Profits 2016'!U6830</f>
        <v>702723291539</v>
      </c>
      <c r="Q1617" s="284" t="s">
        <v>314</v>
      </c>
      <c r="R1617" s="276">
        <v>42.16</v>
      </c>
      <c r="S1617" s="275" t="s">
        <v>15847</v>
      </c>
      <c r="T1617" s="279">
        <v>42695</v>
      </c>
      <c r="U1617" s="279">
        <v>42702</v>
      </c>
      <c r="AF1617" s="276">
        <f t="shared" si="191"/>
        <v>135.44</v>
      </c>
      <c r="AG1617" s="276">
        <f t="shared" si="192"/>
        <v>42.16</v>
      </c>
      <c r="AH1617" s="276">
        <f t="shared" si="193"/>
        <v>179.93360000000001</v>
      </c>
      <c r="AI1617" s="283">
        <f t="shared" si="194"/>
        <v>1.3285115180153575</v>
      </c>
    </row>
    <row r="1618" spans="1:35" ht="30" x14ac:dyDescent="0.25">
      <c r="A1618" s="275">
        <f>'Profits 2016'!A6831</f>
        <v>3005347</v>
      </c>
      <c r="B1618" s="279">
        <f>'Profits 2016'!B6831</f>
        <v>42677</v>
      </c>
      <c r="C1618" s="276">
        <f>'Profits 2016'!H6831</f>
        <v>256.77999999999997</v>
      </c>
      <c r="D1618" s="280">
        <f>'Profits 2016'!K6831</f>
        <v>228.49097999999998</v>
      </c>
      <c r="E1618" s="276">
        <f>'Profits 2016'!L6831</f>
        <v>1090</v>
      </c>
      <c r="F1618" s="275" t="str">
        <f>'Profits 2016'!P6831</f>
        <v>Nassau</v>
      </c>
      <c r="G1618" s="292">
        <f>'Profits 2016'!N6831-'Profits 2016'!M6831</f>
        <v>109</v>
      </c>
      <c r="H1618" s="319"/>
      <c r="I1618" s="320"/>
      <c r="J1618" s="321"/>
      <c r="K1618" s="321"/>
      <c r="L1618" s="321"/>
      <c r="M1618" s="319"/>
      <c r="N1618" s="322"/>
      <c r="O1618" s="236" t="str">
        <f>'Profits 2016'!T6831</f>
        <v>FEDEX GROUND</v>
      </c>
      <c r="P1618" s="284" t="str">
        <f>'Profits 2016'!U6831</f>
        <v>702723291594</v>
      </c>
      <c r="Q1618" s="284" t="s">
        <v>314</v>
      </c>
      <c r="R1618" s="276">
        <v>70.5</v>
      </c>
      <c r="S1618" s="275" t="s">
        <v>15847</v>
      </c>
      <c r="T1618" s="279">
        <v>42695</v>
      </c>
      <c r="U1618" s="279">
        <v>42702</v>
      </c>
      <c r="AF1618" s="276">
        <f t="shared" si="191"/>
        <v>179.5</v>
      </c>
      <c r="AG1618" s="276">
        <f t="shared" si="192"/>
        <v>70.5</v>
      </c>
      <c r="AH1618" s="276">
        <f t="shared" si="193"/>
        <v>157.99097999999998</v>
      </c>
      <c r="AI1618" s="283">
        <f t="shared" si="194"/>
        <v>0.88017259052924779</v>
      </c>
    </row>
    <row r="1619" spans="1:35" ht="30" x14ac:dyDescent="0.25">
      <c r="A1619" s="275">
        <f>'Profits 2016'!A6832</f>
        <v>3005348</v>
      </c>
      <c r="B1619" s="279">
        <f>'Profits 2016'!B6832</f>
        <v>42677</v>
      </c>
      <c r="C1619" s="276">
        <f>'Profits 2016'!H6832</f>
        <v>200.08</v>
      </c>
      <c r="D1619" s="280">
        <f>'Profits 2016'!K6832</f>
        <v>177.97128000000001</v>
      </c>
      <c r="E1619" s="276">
        <f>'Profits 2016'!L6832</f>
        <v>950</v>
      </c>
      <c r="F1619" s="275" t="str">
        <f>'Profits 2016'!P6832</f>
        <v>Nassau</v>
      </c>
      <c r="G1619" s="292">
        <f>'Profits 2016'!N6832-'Profits 2016'!M6832</f>
        <v>95</v>
      </c>
      <c r="H1619" s="319"/>
      <c r="I1619" s="320"/>
      <c r="J1619" s="321"/>
      <c r="K1619" s="321"/>
      <c r="L1619" s="321"/>
      <c r="M1619" s="319"/>
      <c r="N1619" s="322"/>
      <c r="O1619" s="236" t="str">
        <f>'Profits 2016'!T6832</f>
        <v>FEDEX GROUND</v>
      </c>
      <c r="P1619" s="284" t="str">
        <f>'Profits 2016'!U6832</f>
        <v>702723291469</v>
      </c>
      <c r="Q1619" s="284" t="s">
        <v>314</v>
      </c>
      <c r="R1619" s="276">
        <v>45.5</v>
      </c>
      <c r="S1619" s="275" t="s">
        <v>15847</v>
      </c>
      <c r="T1619" s="279">
        <v>42695</v>
      </c>
      <c r="U1619" s="279">
        <v>42702</v>
      </c>
      <c r="AF1619" s="276">
        <f t="shared" si="191"/>
        <v>140.5</v>
      </c>
      <c r="AG1619" s="276">
        <f t="shared" si="192"/>
        <v>45.5</v>
      </c>
      <c r="AH1619" s="276">
        <f t="shared" si="193"/>
        <v>132.47128000000001</v>
      </c>
      <c r="AI1619" s="283">
        <f t="shared" si="194"/>
        <v>0.9428560854092527</v>
      </c>
    </row>
    <row r="1620" spans="1:35" ht="30" x14ac:dyDescent="0.25">
      <c r="A1620" s="275">
        <f>'Profits 2016'!A6833</f>
        <v>3005349</v>
      </c>
      <c r="B1620" s="279">
        <f>'Profits 2016'!B6833</f>
        <v>42677</v>
      </c>
      <c r="C1620" s="276">
        <f>'Profits 2016'!H6833</f>
        <v>263.75</v>
      </c>
      <c r="D1620" s="280">
        <f>'Profits 2016'!K6833</f>
        <v>234.70124999999999</v>
      </c>
      <c r="E1620" s="276">
        <f>'Profits 2016'!L6833</f>
        <v>1240</v>
      </c>
      <c r="F1620" s="275" t="str">
        <f>'Profits 2016'!P6833</f>
        <v>Nassau</v>
      </c>
      <c r="G1620" s="292">
        <f>'Profits 2016'!N6833-'Profits 2016'!M6833</f>
        <v>117.8</v>
      </c>
      <c r="H1620" s="319"/>
      <c r="I1620" s="320"/>
      <c r="J1620" s="321"/>
      <c r="K1620" s="321"/>
      <c r="L1620" s="321"/>
      <c r="M1620" s="319"/>
      <c r="N1620" s="322"/>
      <c r="O1620" s="236" t="str">
        <f>'Profits 2016'!T6833</f>
        <v>FEDEX GROUND</v>
      </c>
      <c r="P1620" s="284" t="str">
        <f>'Profits 2016'!U6833</f>
        <v>702723291631</v>
      </c>
      <c r="Q1620" s="284" t="s">
        <v>314</v>
      </c>
      <c r="R1620" s="276">
        <v>53.89</v>
      </c>
      <c r="S1620" s="275" t="s">
        <v>15847</v>
      </c>
      <c r="T1620" s="279">
        <v>42695</v>
      </c>
      <c r="U1620" s="279">
        <v>42702</v>
      </c>
      <c r="AF1620" s="276">
        <f t="shared" si="191"/>
        <v>171.69</v>
      </c>
      <c r="AG1620" s="276">
        <f t="shared" si="192"/>
        <v>53.89</v>
      </c>
      <c r="AH1620" s="276">
        <f t="shared" si="193"/>
        <v>180.81124999999997</v>
      </c>
      <c r="AI1620" s="283">
        <f t="shared" si="194"/>
        <v>1.053126274098666</v>
      </c>
    </row>
    <row r="1621" spans="1:35" ht="30" x14ac:dyDescent="0.25">
      <c r="A1621" s="275">
        <f>'Profits 2016'!A6834</f>
        <v>3005350</v>
      </c>
      <c r="B1621" s="279">
        <f>'Profits 2016'!B6834</f>
        <v>42677</v>
      </c>
      <c r="C1621" s="276">
        <f>'Profits 2016'!H6834</f>
        <v>213.77</v>
      </c>
      <c r="D1621" s="280">
        <f>'Profits 2016'!K6834</f>
        <v>190.16907000000003</v>
      </c>
      <c r="E1621" s="276">
        <f>'Profits 2016'!L6834</f>
        <v>2150</v>
      </c>
      <c r="F1621" s="275" t="str">
        <f>'Profits 2016'!P6834</f>
        <v>Nassau</v>
      </c>
      <c r="G1621" s="292">
        <f>'Profits 2016'!N6834-'Profits 2016'!M6834</f>
        <v>107.49999999999999</v>
      </c>
      <c r="H1621" s="319"/>
      <c r="I1621" s="320"/>
      <c r="J1621" s="321"/>
      <c r="K1621" s="321"/>
      <c r="L1621" s="321"/>
      <c r="M1621" s="319"/>
      <c r="N1621" s="322"/>
      <c r="O1621" s="236" t="str">
        <f>'Profits 2016'!T6834</f>
        <v>FEDEX GROUND</v>
      </c>
      <c r="P1621" s="284" t="str">
        <f>'Profits 2016'!U6834</f>
        <v>702723291572</v>
      </c>
      <c r="Q1621" s="284" t="s">
        <v>314</v>
      </c>
      <c r="R1621" s="276">
        <v>22.73</v>
      </c>
      <c r="S1621" s="275" t="s">
        <v>15847</v>
      </c>
      <c r="T1621" s="279">
        <v>42695</v>
      </c>
      <c r="U1621" s="279">
        <v>42702</v>
      </c>
      <c r="AF1621" s="276">
        <f t="shared" si="191"/>
        <v>130.22999999999999</v>
      </c>
      <c r="AG1621" s="276">
        <f t="shared" si="192"/>
        <v>22.73</v>
      </c>
      <c r="AH1621" s="276">
        <f t="shared" si="193"/>
        <v>167.43907000000004</v>
      </c>
      <c r="AI1621" s="283">
        <f t="shared" si="194"/>
        <v>1.2857181141058132</v>
      </c>
    </row>
    <row r="1622" spans="1:35" ht="30" x14ac:dyDescent="0.25">
      <c r="A1622" s="275">
        <f>'Profits 2016'!A6835</f>
        <v>3005351</v>
      </c>
      <c r="B1622" s="279">
        <f>'Profits 2016'!B6835</f>
        <v>42677</v>
      </c>
      <c r="C1622" s="276">
        <f>'Profits 2016'!H6835</f>
        <v>133</v>
      </c>
      <c r="D1622" s="280">
        <f>'Profits 2016'!K6835</f>
        <v>118.203</v>
      </c>
      <c r="E1622" s="276">
        <f>'Profits 2016'!L6835</f>
        <v>220</v>
      </c>
      <c r="F1622" s="275" t="str">
        <f>'Profits 2016'!P6835</f>
        <v>Nassau</v>
      </c>
      <c r="G1622" s="292">
        <f>'Profits 2016'!N6835-'Profits 2016'!M6835</f>
        <v>55</v>
      </c>
      <c r="H1622" s="319"/>
      <c r="I1622" s="320"/>
      <c r="J1622" s="321"/>
      <c r="K1622" s="321"/>
      <c r="L1622" s="321"/>
      <c r="M1622" s="319"/>
      <c r="N1622" s="322"/>
      <c r="O1622" s="236" t="str">
        <f>'Profits 2016'!T6835</f>
        <v>FEDEX GROUND</v>
      </c>
      <c r="P1622" s="284" t="str">
        <f>'Profits 2016'!U6835</f>
        <v>702723291480</v>
      </c>
      <c r="Q1622" s="284" t="s">
        <v>314</v>
      </c>
      <c r="R1622" s="276">
        <v>17.309999999999999</v>
      </c>
      <c r="S1622" s="275" t="s">
        <v>15847</v>
      </c>
      <c r="T1622" s="279">
        <v>42695</v>
      </c>
      <c r="U1622" s="279">
        <v>42702</v>
      </c>
      <c r="AF1622" s="276">
        <f t="shared" si="191"/>
        <v>72.31</v>
      </c>
      <c r="AG1622" s="276">
        <f t="shared" si="192"/>
        <v>17.309999999999999</v>
      </c>
      <c r="AH1622" s="276">
        <f t="shared" si="193"/>
        <v>100.893</v>
      </c>
      <c r="AI1622" s="283">
        <f t="shared" si="194"/>
        <v>1.3952841930576683</v>
      </c>
    </row>
    <row r="1623" spans="1:35" ht="30" x14ac:dyDescent="0.25">
      <c r="A1623" s="275">
        <f>'Profits 2016'!A6836</f>
        <v>3005352</v>
      </c>
      <c r="B1623" s="279">
        <f>'Profits 2016'!B6836</f>
        <v>42677</v>
      </c>
      <c r="C1623" s="276">
        <f>'Profits 2016'!H6836</f>
        <v>257.99</v>
      </c>
      <c r="D1623" s="280">
        <f>'Profits 2016'!K6836</f>
        <v>229.56909000000002</v>
      </c>
      <c r="E1623" s="276">
        <f>'Profits 2016'!L6836</f>
        <v>400</v>
      </c>
      <c r="F1623" s="275" t="str">
        <f>'Profits 2016'!P6836</f>
        <v>Nassau</v>
      </c>
      <c r="G1623" s="292">
        <f>'Profits 2016'!N6836-'Profits 2016'!M6836</f>
        <v>80</v>
      </c>
      <c r="H1623" s="319"/>
      <c r="I1623" s="320"/>
      <c r="J1623" s="321"/>
      <c r="K1623" s="321"/>
      <c r="L1623" s="321"/>
      <c r="M1623" s="319"/>
      <c r="N1623" s="322"/>
      <c r="O1623" s="236" t="str">
        <f>'Profits 2016'!T6836</f>
        <v>FEDEX GROUND</v>
      </c>
      <c r="P1623" s="284" t="str">
        <f>'Profits 2016'!U6836</f>
        <v>702723291470</v>
      </c>
      <c r="Q1623" s="284" t="s">
        <v>314</v>
      </c>
      <c r="R1623" s="276">
        <v>20.100000000000001</v>
      </c>
      <c r="S1623" s="275" t="s">
        <v>15907</v>
      </c>
      <c r="T1623" s="279">
        <v>42688</v>
      </c>
      <c r="U1623" s="279">
        <v>42691</v>
      </c>
      <c r="V1623" s="279">
        <v>42697</v>
      </c>
      <c r="W1623" s="293">
        <v>20.100000000000001</v>
      </c>
      <c r="X1623" s="236">
        <v>9494</v>
      </c>
      <c r="AF1623" s="276">
        <f t="shared" si="191"/>
        <v>100.1</v>
      </c>
      <c r="AG1623" s="276">
        <f t="shared" si="192"/>
        <v>20.100000000000001</v>
      </c>
      <c r="AH1623" s="276">
        <f t="shared" si="193"/>
        <v>209.46909000000002</v>
      </c>
      <c r="AI1623" s="283">
        <f t="shared" si="194"/>
        <v>2.0925983016983021</v>
      </c>
    </row>
    <row r="1624" spans="1:35" x14ac:dyDescent="0.25">
      <c r="A1624" s="275">
        <f>'Profits 2016'!A6837</f>
        <v>3005353</v>
      </c>
      <c r="B1624" s="279">
        <f>'Profits 2016'!B6837</f>
        <v>42677</v>
      </c>
      <c r="C1624" s="276">
        <f>'Profits 2016'!H6837</f>
        <v>976.64</v>
      </c>
      <c r="D1624" s="280">
        <f>'Profits 2016'!K6837</f>
        <v>869.88623999999993</v>
      </c>
      <c r="E1624" s="276">
        <f>'Profits 2016'!L6837</f>
        <v>1795</v>
      </c>
      <c r="F1624" s="275" t="str">
        <f>'Profits 2016'!P6837</f>
        <v>Nassau</v>
      </c>
      <c r="G1624" s="292">
        <f>'Profits 2016'!N6837-'Profits 2016'!M6837</f>
        <v>448.74999999999994</v>
      </c>
      <c r="H1624" s="319"/>
      <c r="I1624" s="320"/>
      <c r="J1624" s="321"/>
      <c r="K1624" s="321"/>
      <c r="L1624" s="321"/>
      <c r="M1624" s="319"/>
      <c r="N1624" s="322"/>
      <c r="O1624" s="236" t="str">
        <f>'Profits 2016'!T6837</f>
        <v>XPO/DLS</v>
      </c>
      <c r="P1624" s="284" t="str">
        <f>'Profits 2016'!U6837</f>
        <v>284-742043</v>
      </c>
      <c r="Q1624" s="284" t="s">
        <v>15804</v>
      </c>
      <c r="R1624" s="276">
        <v>176.82</v>
      </c>
      <c r="S1624" s="275">
        <v>636953268</v>
      </c>
      <c r="T1624" s="279">
        <v>42685</v>
      </c>
      <c r="U1624" s="279">
        <v>42691</v>
      </c>
      <c r="V1624" s="279">
        <v>42697</v>
      </c>
      <c r="W1624" s="293">
        <v>176.82</v>
      </c>
      <c r="X1624" s="236">
        <v>9480</v>
      </c>
      <c r="AF1624" s="276">
        <f t="shared" si="191"/>
        <v>625.56999999999994</v>
      </c>
      <c r="AG1624" s="276">
        <f t="shared" si="192"/>
        <v>176.82</v>
      </c>
      <c r="AH1624" s="276">
        <f t="shared" si="193"/>
        <v>693.06623999999988</v>
      </c>
      <c r="AI1624" s="283">
        <f t="shared" si="194"/>
        <v>1.1078955832280959</v>
      </c>
    </row>
    <row r="1625" spans="1:35" ht="30" x14ac:dyDescent="0.25">
      <c r="A1625" s="275">
        <f>'Profits 2016'!A6838</f>
        <v>3005354</v>
      </c>
      <c r="B1625" s="279">
        <f>'Profits 2016'!B6838</f>
        <v>42677</v>
      </c>
      <c r="C1625" s="276">
        <f>'Profits 2016'!H6838</f>
        <v>168.04</v>
      </c>
      <c r="D1625" s="280">
        <f>'Profits 2016'!K6838</f>
        <v>142.834</v>
      </c>
      <c r="E1625" s="276">
        <f>'Profits 2016'!L6838</f>
        <v>2150</v>
      </c>
      <c r="F1625" s="275" t="str">
        <f>'Profits 2016'!P6838</f>
        <v>Nassau</v>
      </c>
      <c r="G1625" s="292">
        <f>'Profits 2016'!N6838-'Profits 2016'!M6838</f>
        <v>107.49999999999999</v>
      </c>
      <c r="H1625" s="319"/>
      <c r="I1625" s="320"/>
      <c r="J1625" s="321"/>
      <c r="K1625" s="321"/>
      <c r="L1625" s="321"/>
      <c r="M1625" s="319"/>
      <c r="N1625" s="322"/>
      <c r="O1625" s="236" t="str">
        <f>'Profits 2016'!T6838</f>
        <v>FEDEX GROUND</v>
      </c>
      <c r="P1625" s="284" t="str">
        <f>'Profits 2016'!U6838</f>
        <v>702723291583</v>
      </c>
      <c r="Q1625" s="284" t="s">
        <v>314</v>
      </c>
      <c r="R1625" s="276">
        <v>28.89</v>
      </c>
      <c r="S1625" s="275" t="s">
        <v>15847</v>
      </c>
      <c r="T1625" s="279">
        <v>42695</v>
      </c>
      <c r="U1625" s="279">
        <v>42702</v>
      </c>
      <c r="AF1625" s="276">
        <f t="shared" si="191"/>
        <v>136.38999999999999</v>
      </c>
      <c r="AG1625" s="276">
        <f t="shared" si="192"/>
        <v>28.89</v>
      </c>
      <c r="AH1625" s="276">
        <f t="shared" si="193"/>
        <v>113.944</v>
      </c>
      <c r="AI1625" s="283">
        <f t="shared" si="194"/>
        <v>0.83542781728865767</v>
      </c>
    </row>
    <row r="1626" spans="1:35" ht="30" x14ac:dyDescent="0.25">
      <c r="A1626" s="275">
        <f>'Profits 2016'!A6839</f>
        <v>3005355</v>
      </c>
      <c r="B1626" s="279">
        <f>'Profits 2016'!B6839</f>
        <v>42677</v>
      </c>
      <c r="C1626" s="276">
        <f>'Profits 2016'!H6839</f>
        <v>107.91</v>
      </c>
      <c r="D1626" s="280">
        <f>'Profits 2016'!K6839</f>
        <v>91.723500000000001</v>
      </c>
      <c r="E1626" s="276">
        <f>'Profits 2016'!L6839</f>
        <v>560</v>
      </c>
      <c r="F1626" s="275" t="str">
        <f>'Profits 2016'!P6839</f>
        <v>Nassau</v>
      </c>
      <c r="G1626" s="292">
        <f>'Profits 2016'!N6839-'Profits 2016'!M6839</f>
        <v>55.999999999999993</v>
      </c>
      <c r="H1626" s="319"/>
      <c r="I1626" s="320"/>
      <c r="J1626" s="321"/>
      <c r="K1626" s="321"/>
      <c r="L1626" s="321"/>
      <c r="M1626" s="319"/>
      <c r="N1626" s="322"/>
      <c r="O1626" s="236" t="str">
        <f>'Profits 2016'!T6839</f>
        <v>FEDEX GROUND</v>
      </c>
      <c r="P1626" s="284" t="str">
        <f>'Profits 2016'!U6839</f>
        <v>702723291491</v>
      </c>
      <c r="Q1626" s="284" t="s">
        <v>314</v>
      </c>
      <c r="R1626" s="276">
        <v>34.04</v>
      </c>
      <c r="S1626" s="275" t="s">
        <v>15847</v>
      </c>
      <c r="T1626" s="279">
        <v>42695</v>
      </c>
      <c r="U1626" s="279">
        <v>42702</v>
      </c>
      <c r="AF1626" s="276">
        <f t="shared" si="191"/>
        <v>90.039999999999992</v>
      </c>
      <c r="AG1626" s="276">
        <f t="shared" si="192"/>
        <v>34.04</v>
      </c>
      <c r="AH1626" s="276">
        <f t="shared" si="193"/>
        <v>57.683500000000002</v>
      </c>
      <c r="AI1626" s="283">
        <f t="shared" si="194"/>
        <v>0.64064304753442924</v>
      </c>
    </row>
    <row r="1627" spans="1:35" ht="30" x14ac:dyDescent="0.25">
      <c r="A1627" s="275">
        <f>'Profits 2016'!A6840</f>
        <v>3005356</v>
      </c>
      <c r="B1627" s="279">
        <f>'Profits 2016'!B6840</f>
        <v>42677</v>
      </c>
      <c r="C1627" s="276">
        <f>'Profits 2016'!H6840</f>
        <v>129.69</v>
      </c>
      <c r="D1627" s="280">
        <f>'Profits 2016'!K6840</f>
        <v>110.23650000000001</v>
      </c>
      <c r="E1627" s="276">
        <f>'Profits 2016'!L6840</f>
        <v>1322</v>
      </c>
      <c r="F1627" s="275" t="str">
        <f>'Profits 2016'!P6840</f>
        <v>Nassau</v>
      </c>
      <c r="G1627" s="292">
        <f>'Profits 2016'!N6840-'Profits 2016'!M6840</f>
        <v>66.100000000000009</v>
      </c>
      <c r="H1627" s="319"/>
      <c r="I1627" s="320"/>
      <c r="J1627" s="321"/>
      <c r="K1627" s="321"/>
      <c r="L1627" s="321"/>
      <c r="M1627" s="319"/>
      <c r="N1627" s="322"/>
      <c r="O1627" s="236" t="str">
        <f>'Profits 2016'!T6840</f>
        <v>FEDEX GROUND</v>
      </c>
      <c r="P1627" s="284" t="str">
        <f>'Profits 2016'!U6840</f>
        <v>702723291609</v>
      </c>
      <c r="Q1627" s="284" t="s">
        <v>314</v>
      </c>
      <c r="R1627" s="276">
        <v>41.67</v>
      </c>
      <c r="S1627" s="275" t="s">
        <v>15847</v>
      </c>
      <c r="T1627" s="279">
        <v>42695</v>
      </c>
      <c r="U1627" s="279">
        <v>42702</v>
      </c>
      <c r="AF1627" s="276">
        <f t="shared" si="191"/>
        <v>107.77000000000001</v>
      </c>
      <c r="AG1627" s="276">
        <f t="shared" si="192"/>
        <v>41.67</v>
      </c>
      <c r="AH1627" s="276">
        <f t="shared" si="193"/>
        <v>68.566500000000005</v>
      </c>
      <c r="AI1627" s="283">
        <f t="shared" si="194"/>
        <v>0.63622993411895701</v>
      </c>
    </row>
    <row r="1628" spans="1:35" ht="30" x14ac:dyDescent="0.25">
      <c r="A1628" s="275">
        <f>'Profits 2016'!A6841</f>
        <v>3005357</v>
      </c>
      <c r="B1628" s="279">
        <f>'Profits 2016'!B6841</f>
        <v>42677</v>
      </c>
      <c r="C1628" s="276">
        <f>'Profits 2016'!H6841</f>
        <v>150.35</v>
      </c>
      <c r="D1628" s="280">
        <f>'Profits 2016'!K6841</f>
        <v>127.7975</v>
      </c>
      <c r="E1628" s="276">
        <f>'Profits 2016'!L6841</f>
        <v>698</v>
      </c>
      <c r="F1628" s="275" t="str">
        <f>'Profits 2016'!P6841</f>
        <v>Nassau</v>
      </c>
      <c r="G1628" s="292">
        <f>'Profits 2016'!N6841-'Profits 2016'!M6841</f>
        <v>69.8</v>
      </c>
      <c r="H1628" s="319"/>
      <c r="I1628" s="320"/>
      <c r="J1628" s="321"/>
      <c r="K1628" s="321"/>
      <c r="L1628" s="321"/>
      <c r="M1628" s="319"/>
      <c r="N1628" s="322"/>
      <c r="O1628" s="236" t="str">
        <f>'Profits 2016'!T6841</f>
        <v>FEDEX GROUND</v>
      </c>
      <c r="P1628" s="284" t="str">
        <f>'Profits 2016'!U6841</f>
        <v>702723291506</v>
      </c>
      <c r="Q1628" s="284" t="s">
        <v>314</v>
      </c>
      <c r="R1628" s="276">
        <v>41.72</v>
      </c>
      <c r="S1628" s="275" t="s">
        <v>15847</v>
      </c>
      <c r="T1628" s="279">
        <v>42695</v>
      </c>
      <c r="U1628" s="279">
        <v>42702</v>
      </c>
      <c r="AF1628" s="276">
        <f t="shared" si="191"/>
        <v>111.52</v>
      </c>
      <c r="AG1628" s="276">
        <f t="shared" si="192"/>
        <v>41.72</v>
      </c>
      <c r="AH1628" s="276">
        <f t="shared" si="193"/>
        <v>86.077500000000001</v>
      </c>
      <c r="AI1628" s="283">
        <f t="shared" si="194"/>
        <v>0.77185706599713055</v>
      </c>
    </row>
    <row r="1629" spans="1:35" ht="30" x14ac:dyDescent="0.25">
      <c r="A1629" s="275">
        <f>'Profits 2016'!A6842</f>
        <v>3005358</v>
      </c>
      <c r="B1629" s="279">
        <f>'Profits 2016'!B6842</f>
        <v>42677</v>
      </c>
      <c r="C1629" s="276">
        <f>'Profits 2016'!H6842</f>
        <v>100</v>
      </c>
      <c r="D1629" s="280">
        <f>'Profits 2016'!K6842</f>
        <v>85</v>
      </c>
      <c r="E1629" s="276">
        <f>'Profits 2016'!L6842</f>
        <v>300</v>
      </c>
      <c r="F1629" s="275" t="str">
        <f>'Profits 2016'!P6842</f>
        <v>Nassau</v>
      </c>
      <c r="G1629" s="292">
        <f>'Profits 2016'!N6842-'Profits 2016'!M6842</f>
        <v>45</v>
      </c>
      <c r="H1629" s="319"/>
      <c r="I1629" s="320"/>
      <c r="J1629" s="321"/>
      <c r="K1629" s="321"/>
      <c r="L1629" s="321"/>
      <c r="M1629" s="319"/>
      <c r="N1629" s="322"/>
      <c r="O1629" s="236" t="str">
        <f>'Profits 2016'!T6842</f>
        <v>FEDEX GROUND</v>
      </c>
      <c r="P1629" s="284" t="str">
        <f>'Profits 2016'!U6842</f>
        <v>665645048147</v>
      </c>
      <c r="Q1629" s="284" t="s">
        <v>314</v>
      </c>
      <c r="R1629" s="276">
        <v>30.64</v>
      </c>
      <c r="S1629" s="275" t="s">
        <v>15847</v>
      </c>
      <c r="T1629" s="279">
        <v>42695</v>
      </c>
      <c r="U1629" s="279">
        <v>42702</v>
      </c>
      <c r="AF1629" s="276">
        <f t="shared" si="191"/>
        <v>101.02</v>
      </c>
      <c r="AG1629" s="276">
        <f t="shared" si="192"/>
        <v>30.64</v>
      </c>
      <c r="AH1629" s="276">
        <f t="shared" si="193"/>
        <v>54.36</v>
      </c>
      <c r="AI1629" s="283">
        <f t="shared" si="194"/>
        <v>0.53811126509602059</v>
      </c>
    </row>
    <row r="1630" spans="1:35" ht="30" x14ac:dyDescent="0.25">
      <c r="A1630" s="275">
        <f>'Profits 2016'!A6843</f>
        <v>3005359</v>
      </c>
      <c r="B1630" s="279">
        <f>'Profits 2016'!B6843</f>
        <v>42677</v>
      </c>
      <c r="C1630" s="276">
        <f>'Profits 2016'!H6843</f>
        <v>250</v>
      </c>
      <c r="D1630" s="280">
        <f>'Profits 2016'!K6843</f>
        <v>244.2</v>
      </c>
      <c r="E1630" s="276">
        <f>'Profits 2016'!L6843</f>
        <v>1150</v>
      </c>
      <c r="F1630" s="275" t="str">
        <f>'Profits 2016'!P6843</f>
        <v>General</v>
      </c>
      <c r="G1630" s="292">
        <f>'Profits 2016'!N6843-'Profits 2016'!M6843</f>
        <v>143.75</v>
      </c>
      <c r="H1630" s="331">
        <v>25.38</v>
      </c>
      <c r="I1630" s="332">
        <v>3784313</v>
      </c>
      <c r="J1630" s="333">
        <v>42681</v>
      </c>
      <c r="K1630" s="333">
        <v>42688</v>
      </c>
      <c r="L1630" s="333"/>
      <c r="M1630" s="331"/>
      <c r="N1630" s="334"/>
      <c r="O1630" s="236" t="str">
        <f>'Profits 2016'!T6843</f>
        <v>FEDEX GROUND</v>
      </c>
      <c r="P1630" s="284" t="str">
        <f>'Profits 2016'!U6843</f>
        <v>707658473790</v>
      </c>
      <c r="Q1630" s="284" t="s">
        <v>314</v>
      </c>
      <c r="R1630" s="276">
        <v>34.200000000000003</v>
      </c>
      <c r="S1630" s="275" t="s">
        <v>15847</v>
      </c>
      <c r="T1630" s="279">
        <v>42695</v>
      </c>
      <c r="U1630" s="279">
        <v>42702</v>
      </c>
      <c r="AF1630" s="276">
        <f t="shared" si="191"/>
        <v>177.95</v>
      </c>
      <c r="AG1630" s="276">
        <f t="shared" si="192"/>
        <v>34.200000000000003</v>
      </c>
      <c r="AH1630" s="276">
        <f t="shared" si="193"/>
        <v>210</v>
      </c>
      <c r="AI1630" s="283">
        <f t="shared" si="194"/>
        <v>1.1801067715650464</v>
      </c>
    </row>
    <row r="1631" spans="1:35" ht="30" x14ac:dyDescent="0.25">
      <c r="A1631" s="275">
        <f>'Profits 2016'!A6844</f>
        <v>3005360</v>
      </c>
      <c r="B1631" s="279">
        <f>'Profits 2016'!B6844</f>
        <v>42677</v>
      </c>
      <c r="C1631" s="276">
        <f>'Profits 2016'!H6844</f>
        <v>168.27</v>
      </c>
      <c r="D1631" s="280">
        <f>'Profits 2016'!K6844</f>
        <v>149.62857</v>
      </c>
      <c r="E1631" s="276">
        <f>'Profits 2016'!L6844</f>
        <v>300</v>
      </c>
      <c r="F1631" s="275" t="str">
        <f>'Profits 2016'!P6844</f>
        <v>Nassau</v>
      </c>
      <c r="G1631" s="292">
        <f>'Profits 2016'!N6844-'Profits 2016'!M6844</f>
        <v>75</v>
      </c>
      <c r="H1631" s="319"/>
      <c r="I1631" s="320"/>
      <c r="J1631" s="321"/>
      <c r="K1631" s="321"/>
      <c r="L1631" s="321"/>
      <c r="M1631" s="319"/>
      <c r="N1631" s="322"/>
      <c r="O1631" s="236" t="str">
        <f>'Profits 2016'!T6844</f>
        <v>FEDEX GROUND</v>
      </c>
      <c r="P1631" s="284" t="str">
        <f>'Profits 2016'!U6844</f>
        <v>702723291664</v>
      </c>
      <c r="Q1631" s="284" t="s">
        <v>314</v>
      </c>
      <c r="R1631" s="276">
        <v>13.89</v>
      </c>
      <c r="S1631" s="275" t="s">
        <v>15847</v>
      </c>
      <c r="T1631" s="279">
        <v>42695</v>
      </c>
      <c r="U1631" s="279">
        <v>42702</v>
      </c>
      <c r="AF1631" s="276">
        <f t="shared" si="191"/>
        <v>88.89</v>
      </c>
      <c r="AG1631" s="276">
        <f t="shared" si="192"/>
        <v>13.89</v>
      </c>
      <c r="AH1631" s="276">
        <f t="shared" si="193"/>
        <v>135.73856999999998</v>
      </c>
      <c r="AI1631" s="283">
        <f t="shared" si="194"/>
        <v>1.5270398245021934</v>
      </c>
    </row>
    <row r="1632" spans="1:35" ht="30" x14ac:dyDescent="0.25">
      <c r="A1632" s="275">
        <f>'Profits 2016'!A6845</f>
        <v>3005361</v>
      </c>
      <c r="B1632" s="279">
        <f>'Profits 2016'!B6845</f>
        <v>42677</v>
      </c>
      <c r="C1632" s="276">
        <f>'Profits 2016'!H6845</f>
        <v>95</v>
      </c>
      <c r="D1632" s="280">
        <f>'Profits 2016'!K6845</f>
        <v>92.61</v>
      </c>
      <c r="E1632" s="276">
        <f>'Profits 2016'!L6845</f>
        <v>120</v>
      </c>
      <c r="F1632" s="275" t="str">
        <f>'Profits 2016'!P6845</f>
        <v>Nassau</v>
      </c>
      <c r="G1632" s="292">
        <f>'Profits 2016'!N6845-'Profits 2016'!M6845</f>
        <v>11.999999999999996</v>
      </c>
      <c r="H1632" s="319"/>
      <c r="I1632" s="320"/>
      <c r="J1632" s="321"/>
      <c r="K1632" s="321"/>
      <c r="L1632" s="321"/>
      <c r="M1632" s="319"/>
      <c r="N1632" s="322"/>
      <c r="O1632" s="236" t="str">
        <f>'Profits 2016'!T6845</f>
        <v>FEDEX GROUND</v>
      </c>
      <c r="P1632" s="284" t="str">
        <f>'Profits 2016'!U6845</f>
        <v>702723291712</v>
      </c>
      <c r="Q1632" s="284" t="s">
        <v>314</v>
      </c>
      <c r="R1632" s="276">
        <v>21.52</v>
      </c>
      <c r="S1632" s="275" t="s">
        <v>15847</v>
      </c>
      <c r="T1632" s="279">
        <v>42695</v>
      </c>
      <c r="U1632" s="279">
        <v>42702</v>
      </c>
      <c r="AF1632" s="276">
        <f t="shared" si="191"/>
        <v>33.519999999999996</v>
      </c>
      <c r="AG1632" s="276">
        <f t="shared" si="192"/>
        <v>21.52</v>
      </c>
      <c r="AH1632" s="276">
        <f t="shared" si="193"/>
        <v>71.09</v>
      </c>
      <c r="AI1632" s="283">
        <f t="shared" si="194"/>
        <v>2.12082338902148</v>
      </c>
    </row>
    <row r="1633" spans="1:35" ht="30" x14ac:dyDescent="0.25">
      <c r="A1633" s="275">
        <f>'Profits 2016'!A6846</f>
        <v>3005362</v>
      </c>
      <c r="B1633" s="279">
        <f>'Profits 2016'!B6846</f>
        <v>42677</v>
      </c>
      <c r="C1633" s="276">
        <f>'Profits 2016'!H6846</f>
        <v>110</v>
      </c>
      <c r="D1633" s="280">
        <f>'Profits 2016'!K6846</f>
        <v>107.28</v>
      </c>
      <c r="E1633" s="276">
        <f>'Profits 2016'!L6846</f>
        <v>510</v>
      </c>
      <c r="F1633" s="275" t="str">
        <f>'Profits 2016'!P6846</f>
        <v>Nassau</v>
      </c>
      <c r="G1633" s="292">
        <f>'Profits 2016'!N6846-'Profits 2016'!M6846</f>
        <v>51</v>
      </c>
      <c r="H1633" s="319"/>
      <c r="I1633" s="320"/>
      <c r="J1633" s="321"/>
      <c r="K1633" s="321"/>
      <c r="L1633" s="321"/>
      <c r="M1633" s="319"/>
      <c r="N1633" s="322"/>
      <c r="O1633" s="236" t="str">
        <f>'Profits 2016'!T6846</f>
        <v>FEDEX GROUND</v>
      </c>
      <c r="P1633" s="284" t="str">
        <f>'Profits 2016'!U6846</f>
        <v>702723291642</v>
      </c>
      <c r="Q1633" s="284" t="s">
        <v>314</v>
      </c>
      <c r="R1633" s="276">
        <v>19.53</v>
      </c>
      <c r="S1633" s="275" t="s">
        <v>15847</v>
      </c>
      <c r="T1633" s="279">
        <v>42695</v>
      </c>
      <c r="U1633" s="279">
        <v>42702</v>
      </c>
      <c r="AF1633" s="276">
        <f t="shared" si="191"/>
        <v>70.53</v>
      </c>
      <c r="AG1633" s="276">
        <f t="shared" si="192"/>
        <v>19.53</v>
      </c>
      <c r="AH1633" s="276">
        <f t="shared" si="193"/>
        <v>87.75</v>
      </c>
      <c r="AI1633" s="283">
        <f t="shared" si="194"/>
        <v>1.2441514249255636</v>
      </c>
    </row>
    <row r="1634" spans="1:35" ht="30" x14ac:dyDescent="0.25">
      <c r="A1634" s="275">
        <f>'Profits 2016'!A6847</f>
        <v>3005363</v>
      </c>
      <c r="B1634" s="279">
        <f>'Profits 2016'!B6847</f>
        <v>42677</v>
      </c>
      <c r="C1634" s="276">
        <f>'Profits 2016'!H6847</f>
        <v>202.73</v>
      </c>
      <c r="D1634" s="280">
        <f>'Profits 2016'!K6847</f>
        <v>172.32049999999998</v>
      </c>
      <c r="E1634" s="276">
        <f>'Profits 2016'!L6847</f>
        <v>409</v>
      </c>
      <c r="F1634" s="275" t="str">
        <f>'Profits 2016'!P6847</f>
        <v>Nassau</v>
      </c>
      <c r="G1634" s="292">
        <f>'Profits 2016'!N6847-'Profits 2016'!M6847</f>
        <v>102.25000000000001</v>
      </c>
      <c r="H1634" s="319"/>
      <c r="I1634" s="320"/>
      <c r="J1634" s="321"/>
      <c r="K1634" s="321"/>
      <c r="L1634" s="321"/>
      <c r="M1634" s="319"/>
      <c r="N1634" s="322"/>
      <c r="O1634" s="236" t="str">
        <f>'Profits 2016'!T6847</f>
        <v>FEDEX GROUND</v>
      </c>
      <c r="P1634" s="284" t="str">
        <f>'Profits 2016'!U6847</f>
        <v>702723291620</v>
      </c>
      <c r="Q1634" s="284" t="s">
        <v>314</v>
      </c>
      <c r="R1634" s="276">
        <v>47.42</v>
      </c>
      <c r="S1634" s="275" t="s">
        <v>15847</v>
      </c>
      <c r="T1634" s="279">
        <v>42695</v>
      </c>
      <c r="U1634" s="279">
        <v>42702</v>
      </c>
      <c r="AF1634" s="276">
        <f t="shared" si="191"/>
        <v>149.67000000000002</v>
      </c>
      <c r="AG1634" s="276">
        <f t="shared" si="192"/>
        <v>47.42</v>
      </c>
      <c r="AH1634" s="276">
        <f t="shared" si="193"/>
        <v>124.90049999999998</v>
      </c>
      <c r="AI1634" s="283">
        <f t="shared" si="194"/>
        <v>0.83450591300861876</v>
      </c>
    </row>
    <row r="1635" spans="1:35" ht="30" x14ac:dyDescent="0.25">
      <c r="A1635" s="275">
        <f>'Profits 2016'!A6848</f>
        <v>3005364</v>
      </c>
      <c r="B1635" s="279">
        <f>'Profits 2016'!B6848</f>
        <v>42677</v>
      </c>
      <c r="C1635" s="276">
        <f>'Profits 2016'!H6848</f>
        <v>118.39</v>
      </c>
      <c r="D1635" s="280">
        <f>'Profits 2016'!K6848</f>
        <v>100.6315</v>
      </c>
      <c r="E1635" s="276">
        <f>'Profits 2016'!L6848</f>
        <v>250</v>
      </c>
      <c r="F1635" s="275" t="str">
        <f>'Profits 2016'!P6848</f>
        <v>Nassau</v>
      </c>
      <c r="G1635" s="292">
        <f>'Profits 2016'!N6848-'Profits 2016'!M6848</f>
        <v>50</v>
      </c>
      <c r="H1635" s="319"/>
      <c r="I1635" s="320"/>
      <c r="J1635" s="321"/>
      <c r="K1635" s="321"/>
      <c r="L1635" s="321"/>
      <c r="M1635" s="319"/>
      <c r="N1635" s="322"/>
      <c r="O1635" s="236" t="str">
        <f>'Profits 2016'!T6848</f>
        <v>FEDEX GROUND</v>
      </c>
      <c r="P1635" s="284" t="str">
        <f>'Profits 2016'!U6848</f>
        <v>702723291653</v>
      </c>
      <c r="Q1635" s="284" t="s">
        <v>314</v>
      </c>
      <c r="R1635" s="276">
        <v>22.16</v>
      </c>
      <c r="S1635" s="275" t="s">
        <v>15847</v>
      </c>
      <c r="T1635" s="279">
        <v>42695</v>
      </c>
      <c r="U1635" s="279">
        <v>42702</v>
      </c>
      <c r="AF1635" s="276">
        <f t="shared" si="191"/>
        <v>72.16</v>
      </c>
      <c r="AG1635" s="276">
        <f t="shared" si="192"/>
        <v>22.16</v>
      </c>
      <c r="AH1635" s="276">
        <f t="shared" si="193"/>
        <v>78.471500000000006</v>
      </c>
      <c r="AI1635" s="283">
        <f t="shared" si="194"/>
        <v>1.0874653547671842</v>
      </c>
    </row>
    <row r="1636" spans="1:35" ht="30" x14ac:dyDescent="0.25">
      <c r="A1636" s="275">
        <f>'Profits 2016'!A6849</f>
        <v>3005365</v>
      </c>
      <c r="B1636" s="279">
        <f>'Profits 2016'!B6849</f>
        <v>42677</v>
      </c>
      <c r="C1636" s="276">
        <f>'Profits 2016'!H6849</f>
        <v>115.59</v>
      </c>
      <c r="D1636" s="280">
        <f>'Profits 2016'!K6849</f>
        <v>98.251500000000007</v>
      </c>
      <c r="E1636" s="276">
        <f>'Profits 2016'!L6849</f>
        <v>200</v>
      </c>
      <c r="F1636" s="275" t="str">
        <f>'Profits 2016'!P6849</f>
        <v>Nassau</v>
      </c>
      <c r="G1636" s="292">
        <f>'Profits 2016'!N6849-'Profits 2016'!M6849</f>
        <v>50</v>
      </c>
      <c r="H1636" s="319"/>
      <c r="I1636" s="320"/>
      <c r="J1636" s="321"/>
      <c r="K1636" s="321"/>
      <c r="L1636" s="321"/>
      <c r="M1636" s="319"/>
      <c r="N1636" s="322"/>
      <c r="O1636" s="236" t="str">
        <f>'Profits 2016'!T6849</f>
        <v>FEDEX GROUND</v>
      </c>
      <c r="P1636" s="284" t="str">
        <f>'Profits 2016'!U6849</f>
        <v>702723291610</v>
      </c>
      <c r="Q1636" s="284" t="s">
        <v>314</v>
      </c>
      <c r="R1636" s="276">
        <v>20.37</v>
      </c>
      <c r="S1636" s="275" t="s">
        <v>15847</v>
      </c>
      <c r="T1636" s="279">
        <v>42695</v>
      </c>
      <c r="U1636" s="279">
        <v>42702</v>
      </c>
      <c r="AF1636" s="276">
        <f t="shared" si="191"/>
        <v>70.37</v>
      </c>
      <c r="AG1636" s="276">
        <f t="shared" si="192"/>
        <v>20.37</v>
      </c>
      <c r="AH1636" s="276">
        <f t="shared" si="193"/>
        <v>77.881500000000003</v>
      </c>
      <c r="AI1636" s="283">
        <f t="shared" si="194"/>
        <v>1.1067429302259486</v>
      </c>
    </row>
    <row r="1637" spans="1:35" ht="30" x14ac:dyDescent="0.25">
      <c r="A1637" s="275">
        <f>'Profits 2016'!A6850</f>
        <v>3005366</v>
      </c>
      <c r="B1637" s="279">
        <f>'Profits 2016'!B6850</f>
        <v>42677</v>
      </c>
      <c r="C1637" s="276">
        <f>'Profits 2016'!H6850</f>
        <v>1063.5</v>
      </c>
      <c r="D1637" s="280">
        <f>'Profits 2016'!K6850</f>
        <v>1063.5</v>
      </c>
      <c r="E1637" s="276">
        <f>'Profits 2016'!L6850</f>
        <v>480</v>
      </c>
      <c r="F1637" s="275" t="str">
        <f>'Profits 2016'!P6850</f>
        <v>Thea</v>
      </c>
      <c r="G1637" s="292">
        <f>'Profits 2016'!N6850-'Profits 2016'!M6850</f>
        <v>389.76</v>
      </c>
      <c r="H1637" s="319"/>
      <c r="I1637" s="320"/>
      <c r="J1637" s="321"/>
      <c r="K1637" s="321"/>
      <c r="L1637" s="321"/>
      <c r="M1637" s="319"/>
      <c r="N1637" s="322"/>
      <c r="O1637" s="236" t="str">
        <f>'Profits 2016'!T6850</f>
        <v>FEDEX/ECHO</v>
      </c>
      <c r="P1637" s="284" t="str">
        <f>'Profits 2016'!U6850</f>
        <v>371700294-0</v>
      </c>
      <c r="Q1637" s="284" t="s">
        <v>15767</v>
      </c>
      <c r="R1637" s="276">
        <v>120.09</v>
      </c>
      <c r="S1637" s="275" t="s">
        <v>15924</v>
      </c>
      <c r="T1637" s="279">
        <v>42688</v>
      </c>
      <c r="U1637" s="279">
        <v>42692</v>
      </c>
      <c r="AF1637" s="276">
        <f t="shared" si="191"/>
        <v>509.85</v>
      </c>
      <c r="AG1637" s="276">
        <f t="shared" si="192"/>
        <v>120.09</v>
      </c>
      <c r="AH1637" s="276">
        <f t="shared" si="193"/>
        <v>943.41</v>
      </c>
      <c r="AI1637" s="283">
        <f t="shared" si="194"/>
        <v>1.850367755222124</v>
      </c>
    </row>
    <row r="1638" spans="1:35" x14ac:dyDescent="0.25">
      <c r="A1638" s="275">
        <f>'Profits 2016'!A6851</f>
        <v>0</v>
      </c>
      <c r="B1638" s="279">
        <f>'Profits 2016'!B6851</f>
        <v>0</v>
      </c>
      <c r="C1638" s="276">
        <f>'Profits 2016'!H6851</f>
        <v>0</v>
      </c>
      <c r="D1638" s="280">
        <f>'Profits 2016'!K6851</f>
        <v>0</v>
      </c>
      <c r="E1638" s="276">
        <f>'Profits 2016'!L6851</f>
        <v>1322</v>
      </c>
      <c r="F1638" s="275" t="str">
        <f>'Profits 2016'!P6851</f>
        <v>Thea</v>
      </c>
      <c r="G1638" s="292">
        <f>'Profits 2016'!N6851-'Profits 2016'!M6851</f>
        <v>330.5</v>
      </c>
      <c r="H1638" s="319"/>
      <c r="I1638" s="320"/>
      <c r="J1638" s="321"/>
      <c r="K1638" s="321"/>
      <c r="L1638" s="321"/>
      <c r="M1638" s="319"/>
      <c r="N1638" s="322"/>
      <c r="O1638" s="236">
        <f>'Profits 2016'!T6851</f>
        <v>0</v>
      </c>
      <c r="P1638" s="284">
        <f>'Profits 2016'!U6851</f>
        <v>0</v>
      </c>
      <c r="Q1638" s="284" t="s">
        <v>15767</v>
      </c>
      <c r="R1638" s="276">
        <v>0</v>
      </c>
      <c r="S1638" s="275" t="s">
        <v>15924</v>
      </c>
      <c r="T1638" s="279">
        <v>42688</v>
      </c>
      <c r="U1638" s="279">
        <v>42692</v>
      </c>
      <c r="AF1638" s="276">
        <f t="shared" si="191"/>
        <v>360.5</v>
      </c>
      <c r="AG1638" s="276">
        <f t="shared" si="192"/>
        <v>0</v>
      </c>
      <c r="AH1638" s="276">
        <f t="shared" si="193"/>
        <v>0</v>
      </c>
      <c r="AI1638" s="283">
        <f t="shared" si="194"/>
        <v>0</v>
      </c>
    </row>
    <row r="1639" spans="1:35" x14ac:dyDescent="0.25">
      <c r="A1639" s="275">
        <f>'Profits 2016'!A6852</f>
        <v>3005367</v>
      </c>
      <c r="B1639" s="279">
        <f>'Profits 2016'!B6852</f>
        <v>42677</v>
      </c>
      <c r="C1639" s="276">
        <f>'Profits 2016'!H6852</f>
        <v>1331.2</v>
      </c>
      <c r="D1639" s="280">
        <f>'Profits 2016'!K6852</f>
        <v>1301.6136000000001</v>
      </c>
      <c r="E1639" s="276">
        <f>'Profits 2016'!L6852</f>
        <v>6658</v>
      </c>
      <c r="F1639" s="275" t="str">
        <f>'Profits 2016'!P6852</f>
        <v>Brazil</v>
      </c>
      <c r="G1639" s="292">
        <f>'Profits 2016'!N6852-'Profits 2016'!M6852</f>
        <v>1065.28</v>
      </c>
      <c r="H1639" s="331">
        <v>30</v>
      </c>
      <c r="I1639" s="332">
        <v>91033489</v>
      </c>
      <c r="J1639" s="333">
        <v>42681</v>
      </c>
      <c r="K1639" s="333">
        <v>42688</v>
      </c>
      <c r="L1639" s="333"/>
      <c r="M1639" s="331"/>
      <c r="N1639" s="334"/>
      <c r="O1639" s="236" t="str">
        <f>'Profits 2016'!T6852</f>
        <v>FEDEX</v>
      </c>
      <c r="P1639" s="284" t="str">
        <f>'Profits 2016'!U6852</f>
        <v>3927273394</v>
      </c>
      <c r="Q1639" s="284" t="s">
        <v>15866</v>
      </c>
      <c r="R1639" s="276">
        <v>145.04</v>
      </c>
      <c r="S1639" s="275">
        <v>91033489</v>
      </c>
      <c r="T1639" s="279">
        <v>42681</v>
      </c>
      <c r="U1639" s="279">
        <v>42688</v>
      </c>
      <c r="AF1639" s="276">
        <f t="shared" si="191"/>
        <v>1210.32</v>
      </c>
      <c r="AG1639" s="276">
        <f t="shared" si="192"/>
        <v>145.04</v>
      </c>
      <c r="AH1639" s="276">
        <f t="shared" si="193"/>
        <v>1156.5736000000002</v>
      </c>
      <c r="AI1639" s="283">
        <f t="shared" si="194"/>
        <v>0.95559323154207176</v>
      </c>
    </row>
    <row r="1640" spans="1:35" x14ac:dyDescent="0.25">
      <c r="A1640" s="275">
        <f>'Profits 2016'!A6853</f>
        <v>3005368</v>
      </c>
      <c r="B1640" s="279">
        <f>'Profits 2016'!B6853</f>
        <v>42677</v>
      </c>
      <c r="C1640" s="276">
        <f>'Profits 2016'!H6853</f>
        <v>2380</v>
      </c>
      <c r="D1640" s="280">
        <f>'Profits 2016'!K6853</f>
        <v>2302.35</v>
      </c>
      <c r="E1640" s="276">
        <f>'Profits 2016'!L6853</f>
        <v>1110</v>
      </c>
      <c r="F1640" s="275" t="str">
        <f>'Profits 2016'!P6853</f>
        <v>Cameron</v>
      </c>
      <c r="G1640" s="292">
        <f>'Profits 2016'!N6853-'Profits 2016'!M6853</f>
        <v>1554.0000000000002</v>
      </c>
      <c r="H1640" s="331"/>
      <c r="I1640" s="332"/>
      <c r="J1640" s="333"/>
      <c r="K1640" s="333"/>
      <c r="L1640" s="333"/>
      <c r="M1640" s="331"/>
      <c r="N1640" s="334"/>
      <c r="O1640" s="236" t="str">
        <f>'Profits 2016'!T6853</f>
        <v>ESTES</v>
      </c>
      <c r="P1640" s="284" t="str">
        <f>'Profits 2016'!U6853</f>
        <v>1651693591</v>
      </c>
      <c r="AF1640" s="276">
        <f t="shared" si="191"/>
        <v>1554.0000000000002</v>
      </c>
      <c r="AG1640" s="276">
        <f t="shared" si="192"/>
        <v>0</v>
      </c>
      <c r="AH1640" s="276">
        <f t="shared" si="193"/>
        <v>2302.35</v>
      </c>
      <c r="AI1640" s="283">
        <f t="shared" si="194"/>
        <v>1.4815637065637064</v>
      </c>
    </row>
    <row r="1641" spans="1:35" x14ac:dyDescent="0.25">
      <c r="A1641" s="275">
        <f>'Profits 2016'!A6854</f>
        <v>3005369</v>
      </c>
      <c r="B1641" s="279">
        <f>'Profits 2016'!B6854</f>
        <v>42677</v>
      </c>
      <c r="C1641" s="276">
        <f>'Profits 2016'!H6854</f>
        <v>380</v>
      </c>
      <c r="D1641" s="280">
        <f>'Profits 2016'!K6854</f>
        <v>367.35</v>
      </c>
      <c r="E1641" s="276">
        <f>'Profits 2016'!L6854</f>
        <v>507.15</v>
      </c>
      <c r="F1641" s="275" t="str">
        <f>'Profits 2016'!P6854</f>
        <v>Kalas</v>
      </c>
      <c r="G1641" s="292">
        <f>'Profits 2016'!N6854-'Profits 2016'!M6854</f>
        <v>253.57499999999999</v>
      </c>
      <c r="H1641" s="331">
        <v>0</v>
      </c>
      <c r="I1641" s="332" t="s">
        <v>15925</v>
      </c>
      <c r="J1641" s="333">
        <v>42682</v>
      </c>
      <c r="K1641" s="333">
        <v>42688</v>
      </c>
      <c r="L1641" s="333"/>
      <c r="M1641" s="331"/>
      <c r="N1641" s="334"/>
      <c r="O1641" s="236" t="str">
        <f>'Profits 2016'!T6854</f>
        <v>FEDEX</v>
      </c>
      <c r="P1641" s="284" t="str">
        <f>'Profits 2016'!U6854</f>
        <v>1978741295</v>
      </c>
      <c r="Q1641" s="284" t="s">
        <v>15926</v>
      </c>
      <c r="R1641" s="276">
        <v>91.05</v>
      </c>
      <c r="S1641" s="275" t="s">
        <v>15925</v>
      </c>
      <c r="T1641" s="279">
        <v>42682</v>
      </c>
      <c r="U1641" s="279">
        <v>42689</v>
      </c>
      <c r="AF1641" s="276">
        <f t="shared" si="191"/>
        <v>344.625</v>
      </c>
      <c r="AG1641" s="276">
        <f t="shared" si="192"/>
        <v>91.05</v>
      </c>
      <c r="AH1641" s="276">
        <f t="shared" si="193"/>
        <v>276.3</v>
      </c>
      <c r="AI1641" s="283">
        <f t="shared" si="194"/>
        <v>0.80174102285092497</v>
      </c>
    </row>
    <row r="1642" spans="1:35" ht="30" x14ac:dyDescent="0.25">
      <c r="A1642" s="275">
        <f>'Profits 2016'!A6855</f>
        <v>3005370</v>
      </c>
      <c r="B1642" s="279">
        <f>'Profits 2016'!B6855</f>
        <v>42677</v>
      </c>
      <c r="C1642" s="276">
        <f>'Profits 2016'!H6855</f>
        <v>298</v>
      </c>
      <c r="D1642" s="280">
        <f>'Profits 2016'!K6855</f>
        <v>292.03800000000001</v>
      </c>
      <c r="E1642" s="276">
        <f>'Profits 2016'!L6855</f>
        <v>431</v>
      </c>
      <c r="F1642" s="275" t="str">
        <f>'Profits 2016'!P6855</f>
        <v>Nassau</v>
      </c>
      <c r="G1642" s="292">
        <f>'Profits 2016'!N6855-'Profits 2016'!M6855</f>
        <v>129.29999999999995</v>
      </c>
      <c r="H1642" s="365"/>
      <c r="I1642" s="366"/>
      <c r="J1642" s="367"/>
      <c r="K1642" s="367"/>
      <c r="L1642" s="367"/>
      <c r="M1642" s="365"/>
      <c r="N1642" s="368"/>
      <c r="O1642" s="236" t="str">
        <f>'Profits 2016'!T6855</f>
        <v>FEDEX GROUND</v>
      </c>
      <c r="P1642" s="284" t="str">
        <f>'Profits 2016'!U6855</f>
        <v>680483360830</v>
      </c>
      <c r="Q1642" s="284" t="s">
        <v>314</v>
      </c>
      <c r="R1642" s="276">
        <v>40.549999999999997</v>
      </c>
      <c r="S1642" s="275" t="s">
        <v>15847</v>
      </c>
      <c r="T1642" s="279">
        <v>42695</v>
      </c>
      <c r="U1642" s="279">
        <v>42702</v>
      </c>
      <c r="AF1642" s="276">
        <f t="shared" si="191"/>
        <v>169.84999999999997</v>
      </c>
      <c r="AG1642" s="276">
        <f t="shared" si="192"/>
        <v>40.549999999999997</v>
      </c>
      <c r="AH1642" s="276">
        <f t="shared" si="193"/>
        <v>251.488</v>
      </c>
      <c r="AI1642" s="283">
        <f t="shared" si="194"/>
        <v>1.4806476302619962</v>
      </c>
    </row>
    <row r="1643" spans="1:35" ht="30" x14ac:dyDescent="0.25">
      <c r="A1643" s="275">
        <f>'Profits 2016'!A6856</f>
        <v>3005371</v>
      </c>
      <c r="B1643" s="279">
        <f>'Profits 2016'!B6856</f>
        <v>42677</v>
      </c>
      <c r="C1643" s="276">
        <f>'Profits 2016'!H6856</f>
        <v>844.32</v>
      </c>
      <c r="D1643" s="280">
        <f>'Profits 2016'!K6856</f>
        <v>844.32</v>
      </c>
      <c r="E1643" s="276">
        <f>'Profits 2016'!L6856</f>
        <v>420</v>
      </c>
      <c r="F1643" s="275" t="str">
        <f>'Profits 2016'!P6856</f>
        <v>Priority</v>
      </c>
      <c r="G1643" s="292">
        <f>'Profits 2016'!N6856-'Profits 2016'!M6856</f>
        <v>126</v>
      </c>
      <c r="H1643" s="331">
        <v>0</v>
      </c>
      <c r="I1643" s="332">
        <v>1073533</v>
      </c>
      <c r="J1643" s="333">
        <v>42678</v>
      </c>
      <c r="K1643" s="333">
        <v>42688</v>
      </c>
      <c r="L1643" s="333"/>
      <c r="M1643" s="331"/>
      <c r="N1643" s="334"/>
      <c r="O1643" s="236" t="str">
        <f>'Profits 2016'!T6856</f>
        <v>FEDEX PRIORITY</v>
      </c>
      <c r="P1643" s="284" t="str">
        <f>'Profits 2016'!U6856</f>
        <v>711201624962</v>
      </c>
      <c r="Q1643" s="284" t="s">
        <v>15740</v>
      </c>
      <c r="R1643" s="276">
        <v>143.56</v>
      </c>
      <c r="S1643" s="332">
        <v>1073533</v>
      </c>
      <c r="T1643" s="333">
        <v>42678</v>
      </c>
      <c r="U1643" s="333">
        <v>42688</v>
      </c>
      <c r="AF1643" s="276">
        <f t="shared" si="191"/>
        <v>269.56</v>
      </c>
      <c r="AG1643" s="276">
        <f t="shared" si="192"/>
        <v>143.56</v>
      </c>
      <c r="AH1643" s="276">
        <f t="shared" si="193"/>
        <v>700.76</v>
      </c>
      <c r="AI1643" s="283">
        <f t="shared" si="194"/>
        <v>2.5996438640747885</v>
      </c>
    </row>
    <row r="1644" spans="1:35" ht="30" x14ac:dyDescent="0.25">
      <c r="A1644" s="275">
        <f>'Profits 2016'!A6857</f>
        <v>3005372</v>
      </c>
      <c r="B1644" s="279">
        <f>'Profits 2016'!B6857</f>
        <v>42677</v>
      </c>
      <c r="C1644" s="276">
        <f>'Profits 2016'!H6857</f>
        <v>844.32</v>
      </c>
      <c r="D1644" s="280">
        <f>'Profits 2016'!K6857</f>
        <v>844.32</v>
      </c>
      <c r="E1644" s="276">
        <f>'Profits 2016'!L6857</f>
        <v>420</v>
      </c>
      <c r="F1644" s="275" t="str">
        <f>'Profits 2016'!P6857</f>
        <v>Priority</v>
      </c>
      <c r="G1644" s="292">
        <f>'Profits 2016'!N6857-'Profits 2016'!M6857</f>
        <v>126.00000000000003</v>
      </c>
      <c r="H1644" s="331">
        <v>0</v>
      </c>
      <c r="I1644" s="332">
        <v>1073534</v>
      </c>
      <c r="J1644" s="333">
        <v>42678</v>
      </c>
      <c r="K1644" s="333">
        <v>42688</v>
      </c>
      <c r="L1644" s="333"/>
      <c r="M1644" s="331"/>
      <c r="N1644" s="334"/>
      <c r="O1644" s="236" t="str">
        <f>'Profits 2016'!T6857</f>
        <v>FEDEX PRIORITY</v>
      </c>
      <c r="P1644" s="284" t="str">
        <f>'Profits 2016'!U6857</f>
        <v xml:space="preserve">	711201624973</v>
      </c>
      <c r="Q1644" s="284" t="s">
        <v>15740</v>
      </c>
      <c r="R1644" s="276">
        <v>131.83000000000001</v>
      </c>
      <c r="S1644" s="332">
        <v>1073534</v>
      </c>
      <c r="T1644" s="333">
        <v>42678</v>
      </c>
      <c r="U1644" s="333">
        <v>42688</v>
      </c>
      <c r="AF1644" s="276">
        <f t="shared" si="191"/>
        <v>257.83000000000004</v>
      </c>
      <c r="AG1644" s="276">
        <f t="shared" si="192"/>
        <v>131.83000000000001</v>
      </c>
      <c r="AH1644" s="276">
        <f t="shared" si="193"/>
        <v>712.49</v>
      </c>
      <c r="AI1644" s="283">
        <f t="shared" si="194"/>
        <v>2.7634099988364422</v>
      </c>
    </row>
    <row r="1645" spans="1:35" ht="30" x14ac:dyDescent="0.25">
      <c r="A1645" s="275">
        <f>'Profits 2016'!A6858</f>
        <v>3005373</v>
      </c>
      <c r="B1645" s="279">
        <f>'Profits 2016'!B6858</f>
        <v>42677</v>
      </c>
      <c r="C1645" s="276">
        <f>'Profits 2016'!H6858</f>
        <v>844.32</v>
      </c>
      <c r="D1645" s="280">
        <f>'Profits 2016'!K6858</f>
        <v>844.32</v>
      </c>
      <c r="E1645" s="276">
        <f>'Profits 2016'!L6858</f>
        <v>420</v>
      </c>
      <c r="F1645" s="275" t="str">
        <f>'Profits 2016'!P6858</f>
        <v>Priority</v>
      </c>
      <c r="G1645" s="292">
        <f>'Profits 2016'!N6858-'Profits 2016'!M6858</f>
        <v>126</v>
      </c>
      <c r="H1645" s="331">
        <v>0</v>
      </c>
      <c r="I1645" s="332">
        <v>1073528</v>
      </c>
      <c r="J1645" s="333">
        <v>42678</v>
      </c>
      <c r="K1645" s="333">
        <v>42688</v>
      </c>
      <c r="L1645" s="333"/>
      <c r="M1645" s="331"/>
      <c r="N1645" s="334"/>
      <c r="O1645" s="236" t="str">
        <f>'Profits 2016'!T6858</f>
        <v>FEDEX PRIORITY</v>
      </c>
      <c r="P1645" s="284" t="str">
        <f>'Profits 2016'!U6858</f>
        <v>711201624940</v>
      </c>
      <c r="Q1645" s="284" t="s">
        <v>15740</v>
      </c>
      <c r="R1645" s="276">
        <v>146.06</v>
      </c>
      <c r="S1645" s="332">
        <v>1073528</v>
      </c>
      <c r="T1645" s="333">
        <v>42678</v>
      </c>
      <c r="U1645" s="333">
        <v>42688</v>
      </c>
      <c r="AF1645" s="276">
        <f t="shared" si="191"/>
        <v>272.06</v>
      </c>
      <c r="AG1645" s="276">
        <f t="shared" si="192"/>
        <v>146.06</v>
      </c>
      <c r="AH1645" s="276">
        <f t="shared" si="193"/>
        <v>698.26</v>
      </c>
      <c r="AI1645" s="283">
        <f t="shared" si="194"/>
        <v>2.5665661986326547</v>
      </c>
    </row>
    <row r="1646" spans="1:35" ht="30" x14ac:dyDescent="0.25">
      <c r="A1646" s="275">
        <f>'Profits 2016'!A6859</f>
        <v>3005374</v>
      </c>
      <c r="B1646" s="279">
        <f>'Profits 2016'!B6859</f>
        <v>42677</v>
      </c>
      <c r="C1646" s="276">
        <f>'Profits 2016'!H6859</f>
        <v>844.32</v>
      </c>
      <c r="D1646" s="280">
        <f>'Profits 2016'!K6859</f>
        <v>844.32</v>
      </c>
      <c r="E1646" s="276">
        <f>'Profits 2016'!L6859</f>
        <v>420</v>
      </c>
      <c r="F1646" s="275" t="str">
        <f>'Profits 2016'!P6859</f>
        <v>Priority</v>
      </c>
      <c r="G1646" s="292">
        <f>'Profits 2016'!N6859-'Profits 2016'!M6859</f>
        <v>126</v>
      </c>
      <c r="H1646" s="331">
        <v>0</v>
      </c>
      <c r="I1646" s="332">
        <v>1073525</v>
      </c>
      <c r="J1646" s="333">
        <v>42678</v>
      </c>
      <c r="K1646" s="333">
        <v>42688</v>
      </c>
      <c r="L1646" s="333"/>
      <c r="M1646" s="331"/>
      <c r="N1646" s="334"/>
      <c r="O1646" s="236" t="str">
        <f>'Profits 2016'!T6859</f>
        <v>FEDEX PRIORITY</v>
      </c>
      <c r="P1646" s="284" t="str">
        <f>'Profits 2016'!U6859</f>
        <v>711201624930</v>
      </c>
      <c r="Q1646" s="284" t="s">
        <v>15740</v>
      </c>
      <c r="R1646" s="276">
        <v>146.06</v>
      </c>
      <c r="S1646" s="332">
        <v>1073525</v>
      </c>
      <c r="T1646" s="333">
        <v>42678</v>
      </c>
      <c r="U1646" s="333">
        <v>42688</v>
      </c>
      <c r="AF1646" s="276">
        <f t="shared" si="191"/>
        <v>272.06</v>
      </c>
      <c r="AG1646" s="276">
        <f t="shared" si="192"/>
        <v>146.06</v>
      </c>
      <c r="AH1646" s="276">
        <f t="shared" si="193"/>
        <v>698.26</v>
      </c>
      <c r="AI1646" s="283">
        <f t="shared" si="194"/>
        <v>2.5665661986326547</v>
      </c>
    </row>
    <row r="1647" spans="1:35" ht="30" x14ac:dyDescent="0.25">
      <c r="A1647" s="275">
        <f>'Profits 2016'!A6860</f>
        <v>3005375</v>
      </c>
      <c r="B1647" s="279">
        <f>'Profits 2016'!B6860</f>
        <v>3</v>
      </c>
      <c r="C1647" s="276">
        <f>'Profits 2016'!H6860</f>
        <v>844.32</v>
      </c>
      <c r="D1647" s="280">
        <f>'Profits 2016'!K6860</f>
        <v>844.32</v>
      </c>
      <c r="E1647" s="276">
        <f>'Profits 2016'!L6860</f>
        <v>420</v>
      </c>
      <c r="F1647" s="275" t="str">
        <f>'Profits 2016'!P6860</f>
        <v>Priority</v>
      </c>
      <c r="G1647" s="292">
        <f>'Profits 2016'!N6860-'Profits 2016'!M6860</f>
        <v>126</v>
      </c>
      <c r="H1647" s="331">
        <v>0</v>
      </c>
      <c r="I1647" s="332">
        <v>1073535</v>
      </c>
      <c r="J1647" s="333">
        <v>42678</v>
      </c>
      <c r="K1647" s="333">
        <v>42688</v>
      </c>
      <c r="L1647" s="333"/>
      <c r="M1647" s="331"/>
      <c r="N1647" s="334"/>
      <c r="O1647" s="236" t="str">
        <f>'Profits 2016'!T6860</f>
        <v>FEDEX PRIORITY</v>
      </c>
      <c r="P1647" s="284" t="str">
        <f>'Profits 2016'!U6860</f>
        <v xml:space="preserve">	711201624951</v>
      </c>
      <c r="Q1647" s="284" t="s">
        <v>15740</v>
      </c>
      <c r="R1647" s="276">
        <v>146.06</v>
      </c>
      <c r="S1647" s="332">
        <v>1073535</v>
      </c>
      <c r="T1647" s="333">
        <v>42678</v>
      </c>
      <c r="U1647" s="333">
        <v>42688</v>
      </c>
      <c r="AF1647" s="276">
        <f t="shared" si="191"/>
        <v>272.06</v>
      </c>
      <c r="AG1647" s="276">
        <f t="shared" si="192"/>
        <v>146.06</v>
      </c>
      <c r="AH1647" s="276">
        <f t="shared" si="193"/>
        <v>698.26</v>
      </c>
      <c r="AI1647" s="283">
        <f t="shared" si="194"/>
        <v>2.5665661986326547</v>
      </c>
    </row>
    <row r="1648" spans="1:35" ht="30" x14ac:dyDescent="0.25">
      <c r="A1648" s="275">
        <f>'Profits 2016'!A6861</f>
        <v>3005376</v>
      </c>
      <c r="B1648" s="279">
        <f>'Profits 2016'!B6861</f>
        <v>42677</v>
      </c>
      <c r="C1648" s="276">
        <f>'Profits 2016'!H6861</f>
        <v>1572</v>
      </c>
      <c r="D1648" s="280">
        <f>'Profits 2016'!K6861</f>
        <v>1572</v>
      </c>
      <c r="E1648" s="276">
        <f>'Profits 2016'!L6861</f>
        <v>770</v>
      </c>
      <c r="F1648" s="275" t="str">
        <f>'Profits 2016'!P6861</f>
        <v>Priority</v>
      </c>
      <c r="G1648" s="292">
        <f>'Profits 2016'!N6861-'Profits 2016'!M6861</f>
        <v>231</v>
      </c>
      <c r="H1648" s="331">
        <v>0</v>
      </c>
      <c r="I1648" s="332">
        <v>1073561</v>
      </c>
      <c r="J1648" s="333">
        <v>42678</v>
      </c>
      <c r="K1648" s="333">
        <v>42688</v>
      </c>
      <c r="L1648" s="333"/>
      <c r="M1648" s="331"/>
      <c r="N1648" s="334"/>
      <c r="O1648" s="236" t="str">
        <f>'Profits 2016'!T6861</f>
        <v>FEDEX PRIORITY</v>
      </c>
      <c r="P1648" s="284" t="str">
        <f>'Profits 2016'!U6861</f>
        <v xml:space="preserve">	3963552902</v>
      </c>
      <c r="Q1648" s="284" t="s">
        <v>15740</v>
      </c>
      <c r="R1648" s="276">
        <v>259.39999999999998</v>
      </c>
      <c r="S1648" s="332">
        <v>1073561</v>
      </c>
      <c r="T1648" s="333">
        <v>42678</v>
      </c>
      <c r="U1648" s="333">
        <v>42688</v>
      </c>
      <c r="AF1648" s="276">
        <f t="shared" si="191"/>
        <v>490.4</v>
      </c>
      <c r="AG1648" s="276">
        <f t="shared" si="192"/>
        <v>259.39999999999998</v>
      </c>
      <c r="AH1648" s="276">
        <f t="shared" si="193"/>
        <v>1312.6</v>
      </c>
      <c r="AI1648" s="283">
        <f t="shared" si="194"/>
        <v>2.6765905383360522</v>
      </c>
    </row>
    <row r="1649" spans="1:35" ht="30" x14ac:dyDescent="0.25">
      <c r="A1649" s="275">
        <f>'Profits 2016'!A6862</f>
        <v>3005377</v>
      </c>
      <c r="B1649" s="279">
        <f>'Profits 2016'!B6862</f>
        <v>42677</v>
      </c>
      <c r="C1649" s="276">
        <f>'Profits 2016'!H6862</f>
        <v>213.26</v>
      </c>
      <c r="D1649" s="280">
        <f>'Profits 2016'!K6862</f>
        <v>208.26828</v>
      </c>
      <c r="E1649" s="276">
        <f>'Profits 2016'!L6862</f>
        <v>480</v>
      </c>
      <c r="F1649" s="275" t="str">
        <f>'Profits 2016'!P6862</f>
        <v>Thea</v>
      </c>
      <c r="G1649" s="292">
        <f>'Profits 2016'!N6862-'Profits 2016'!M6862</f>
        <v>108</v>
      </c>
      <c r="H1649" s="319"/>
      <c r="I1649" s="320"/>
      <c r="J1649" s="321"/>
      <c r="K1649" s="321"/>
      <c r="L1649" s="321"/>
      <c r="M1649" s="319"/>
      <c r="N1649" s="322"/>
      <c r="O1649" s="236" t="str">
        <f>'Profits 2016'!T6862</f>
        <v>FEDEX GROUND</v>
      </c>
      <c r="P1649" s="284" t="str">
        <f>'Profits 2016'!U6862</f>
        <v>675157531753</v>
      </c>
      <c r="Q1649" s="284" t="s">
        <v>314</v>
      </c>
      <c r="R1649" s="276">
        <v>61.85</v>
      </c>
      <c r="S1649" s="275" t="s">
        <v>15847</v>
      </c>
      <c r="T1649" s="279">
        <v>42695</v>
      </c>
      <c r="U1649" s="279">
        <v>42702</v>
      </c>
      <c r="AF1649" s="276">
        <f t="shared" si="191"/>
        <v>169.85</v>
      </c>
      <c r="AG1649" s="276">
        <f t="shared" si="192"/>
        <v>61.85</v>
      </c>
      <c r="AH1649" s="276">
        <f t="shared" si="193"/>
        <v>146.41828000000001</v>
      </c>
      <c r="AI1649" s="283">
        <f t="shared" si="194"/>
        <v>0.86204462761259948</v>
      </c>
    </row>
    <row r="1650" spans="1:35" ht="30" x14ac:dyDescent="0.25">
      <c r="A1650" s="275">
        <f>'Profits 2016'!A6863</f>
        <v>3005378</v>
      </c>
      <c r="B1650" s="279">
        <f>'Profits 2016'!B6863</f>
        <v>42678</v>
      </c>
      <c r="C1650" s="276">
        <f>'Profits 2016'!H6863</f>
        <v>125.19</v>
      </c>
      <c r="D1650" s="280">
        <f>'Profits 2016'!K6863</f>
        <v>111.24428999999999</v>
      </c>
      <c r="E1650" s="276">
        <f>'Profits 2016'!L6863</f>
        <v>670</v>
      </c>
      <c r="F1650" s="275" t="str">
        <f>'Profits 2016'!P6863</f>
        <v>Thea</v>
      </c>
      <c r="G1650" s="292">
        <f>'Profits 2016'!N6863-'Profits 2016'!M6863</f>
        <v>51.589999999999996</v>
      </c>
      <c r="H1650" s="319"/>
      <c r="I1650" s="320"/>
      <c r="J1650" s="321"/>
      <c r="K1650" s="321"/>
      <c r="L1650" s="321"/>
      <c r="M1650" s="319"/>
      <c r="N1650" s="322"/>
      <c r="O1650" s="236" t="str">
        <f>'Profits 2016'!T6863</f>
        <v>FEDEX GROUND</v>
      </c>
      <c r="P1650" s="284" t="str">
        <f>'Profits 2016'!U6863</f>
        <v>675157531694</v>
      </c>
      <c r="Q1650" s="284" t="s">
        <v>314</v>
      </c>
      <c r="R1650" s="276">
        <v>50.88</v>
      </c>
      <c r="S1650" s="275" t="s">
        <v>15847</v>
      </c>
      <c r="T1650" s="279">
        <v>42695</v>
      </c>
      <c r="U1650" s="279">
        <v>42702</v>
      </c>
      <c r="AF1650" s="276">
        <f t="shared" si="191"/>
        <v>132.47</v>
      </c>
      <c r="AG1650" s="276">
        <f t="shared" si="192"/>
        <v>50.88</v>
      </c>
      <c r="AH1650" s="276">
        <f t="shared" si="193"/>
        <v>60.36428999999999</v>
      </c>
      <c r="AI1650" s="283">
        <f t="shared" si="194"/>
        <v>0.45568272061598847</v>
      </c>
    </row>
    <row r="1651" spans="1:35" ht="30" x14ac:dyDescent="0.25">
      <c r="A1651" s="275">
        <f>'Profits 2016'!A6864</f>
        <v>3005379</v>
      </c>
      <c r="B1651" s="279">
        <f>'Profits 2016'!B6864</f>
        <v>42678</v>
      </c>
      <c r="C1651" s="276">
        <f>'Profits 2016'!H6864</f>
        <v>394.25</v>
      </c>
      <c r="D1651" s="280">
        <f>'Profits 2016'!K6864</f>
        <v>350.97674999999998</v>
      </c>
      <c r="E1651" s="276">
        <f>'Profits 2016'!L6864</f>
        <v>1020</v>
      </c>
      <c r="F1651" s="275" t="str">
        <f>'Profits 2016'!P6864</f>
        <v>Brazil</v>
      </c>
      <c r="G1651" s="292">
        <f>'Profits 2016'!N6864-'Profits 2016'!M6864</f>
        <v>255</v>
      </c>
      <c r="H1651" s="331">
        <v>30</v>
      </c>
      <c r="I1651" s="332">
        <v>91045021</v>
      </c>
      <c r="J1651" s="333">
        <v>42685</v>
      </c>
      <c r="K1651" s="333">
        <v>42691</v>
      </c>
      <c r="L1651" s="333"/>
      <c r="M1651" s="331"/>
      <c r="N1651" s="334"/>
      <c r="O1651" s="236" t="str">
        <f>'Profits 2016'!T6864</f>
        <v>FEDEX GROUND</v>
      </c>
      <c r="P1651" s="284" t="str">
        <f>'Profits 2016'!U6864</f>
        <v>658765766468</v>
      </c>
      <c r="AF1651" s="276">
        <f t="shared" si="191"/>
        <v>255</v>
      </c>
      <c r="AG1651" s="276">
        <f t="shared" si="192"/>
        <v>0</v>
      </c>
      <c r="AH1651" s="276">
        <f t="shared" si="193"/>
        <v>350.97674999999998</v>
      </c>
      <c r="AI1651" s="283">
        <f t="shared" si="194"/>
        <v>1.3763794117647059</v>
      </c>
    </row>
    <row r="1652" spans="1:35" ht="30" x14ac:dyDescent="0.25">
      <c r="A1652" s="275">
        <f>'Profits 2016'!A6865</f>
        <v>3005380</v>
      </c>
      <c r="B1652" s="279">
        <f>'Profits 2016'!B6865</f>
        <v>42678</v>
      </c>
      <c r="C1652" s="276">
        <f>'Profits 2016'!H6865</f>
        <v>291.85000000000002</v>
      </c>
      <c r="D1652" s="280">
        <f>'Profits 2016'!K6865</f>
        <v>259.73835000000003</v>
      </c>
      <c r="E1652" s="276">
        <f>'Profits 2016'!L6865</f>
        <v>300</v>
      </c>
      <c r="F1652" s="275" t="str">
        <f>'Profits 2016'!P6865</f>
        <v>Nassau</v>
      </c>
      <c r="G1652" s="292">
        <f>'Profits 2016'!N6865-'Profits 2016'!M6865</f>
        <v>150</v>
      </c>
      <c r="H1652" s="319"/>
      <c r="I1652" s="320"/>
      <c r="J1652" s="321"/>
      <c r="K1652" s="321"/>
      <c r="L1652" s="321"/>
      <c r="M1652" s="319"/>
      <c r="N1652" s="322"/>
      <c r="O1652" s="236" t="str">
        <f>'Profits 2016'!T6865</f>
        <v>FEDEX GROUND</v>
      </c>
      <c r="P1652" s="284" t="str">
        <f>'Profits 2016'!U6865</f>
        <v>680483360895</v>
      </c>
      <c r="Q1652" s="284" t="s">
        <v>314</v>
      </c>
      <c r="R1652" s="276">
        <v>28.48</v>
      </c>
      <c r="S1652" s="275" t="s">
        <v>15847</v>
      </c>
      <c r="T1652" s="279">
        <v>42695</v>
      </c>
      <c r="U1652" s="279">
        <v>42702</v>
      </c>
      <c r="AF1652" s="276">
        <f t="shared" si="191"/>
        <v>178.48</v>
      </c>
      <c r="AG1652" s="276">
        <f t="shared" si="192"/>
        <v>28.48</v>
      </c>
      <c r="AH1652" s="276">
        <f t="shared" si="193"/>
        <v>231.25835000000004</v>
      </c>
      <c r="AI1652" s="283">
        <f t="shared" si="194"/>
        <v>1.2957101636037653</v>
      </c>
    </row>
    <row r="1653" spans="1:35" ht="30" x14ac:dyDescent="0.25">
      <c r="A1653" s="275">
        <f>'Profits 2016'!A6866</f>
        <v>3005381</v>
      </c>
      <c r="B1653" s="279">
        <f>'Profits 2016'!B6866</f>
        <v>42678</v>
      </c>
      <c r="C1653" s="276">
        <f>'Profits 2016'!H6866</f>
        <v>182.68</v>
      </c>
      <c r="D1653" s="280">
        <f>'Profits 2016'!K6866</f>
        <v>162.46788000000001</v>
      </c>
      <c r="E1653" s="276">
        <f>'Profits 2016'!L6866</f>
        <v>235</v>
      </c>
      <c r="F1653" s="275" t="str">
        <f>'Profits 2016'!P6866</f>
        <v>Nassau</v>
      </c>
      <c r="G1653" s="292">
        <f>'Profits 2016'!N6866-'Profits 2016'!M6866</f>
        <v>58.75</v>
      </c>
      <c r="H1653" s="319"/>
      <c r="I1653" s="320"/>
      <c r="J1653" s="321"/>
      <c r="K1653" s="321"/>
      <c r="L1653" s="321"/>
      <c r="M1653" s="319"/>
      <c r="N1653" s="322"/>
      <c r="O1653" s="236" t="str">
        <f>'Profits 2016'!T6866</f>
        <v>FEDEX GROUND</v>
      </c>
      <c r="P1653" s="284" t="str">
        <f>'Profits 2016'!U6866</f>
        <v>680483360829</v>
      </c>
      <c r="Q1653" s="284" t="s">
        <v>314</v>
      </c>
      <c r="R1653" s="276">
        <v>35.33</v>
      </c>
      <c r="S1653" s="275" t="s">
        <v>15847</v>
      </c>
      <c r="T1653" s="279">
        <v>42695</v>
      </c>
      <c r="U1653" s="279">
        <v>42702</v>
      </c>
      <c r="AF1653" s="276">
        <f t="shared" si="191"/>
        <v>94.08</v>
      </c>
      <c r="AG1653" s="276">
        <f t="shared" si="192"/>
        <v>35.33</v>
      </c>
      <c r="AH1653" s="276">
        <f t="shared" si="193"/>
        <v>127.13788000000001</v>
      </c>
      <c r="AI1653" s="283">
        <f t="shared" si="194"/>
        <v>1.3513805272108845</v>
      </c>
    </row>
    <row r="1654" spans="1:35" ht="30" x14ac:dyDescent="0.25">
      <c r="A1654" s="275">
        <f>'Profits 2016'!A6867</f>
        <v>3005382</v>
      </c>
      <c r="B1654" s="279">
        <f>'Profits 2016'!B6867</f>
        <v>42678</v>
      </c>
      <c r="C1654" s="276">
        <f>'Profits 2016'!H6867</f>
        <v>185.9</v>
      </c>
      <c r="D1654" s="280">
        <f>'Profits 2016'!K6867</f>
        <v>165.33690000000001</v>
      </c>
      <c r="E1654" s="276">
        <f>'Profits 2016'!L6867</f>
        <v>424</v>
      </c>
      <c r="F1654" s="275" t="str">
        <f>'Profits 2016'!P6867</f>
        <v>Nassau</v>
      </c>
      <c r="G1654" s="292">
        <f>'Profits 2016'!N6867-'Profits 2016'!M6867</f>
        <v>63.599999999999994</v>
      </c>
      <c r="H1654" s="319"/>
      <c r="I1654" s="320"/>
      <c r="J1654" s="321"/>
      <c r="K1654" s="321"/>
      <c r="L1654" s="321"/>
      <c r="M1654" s="319"/>
      <c r="N1654" s="322"/>
      <c r="O1654" s="236" t="str">
        <f>'Profits 2016'!T6867</f>
        <v>FEDEX GROUND</v>
      </c>
      <c r="P1654" s="284" t="str">
        <f>'Profits 2016'!U6867</f>
        <v>680483360840</v>
      </c>
      <c r="Q1654" s="284" t="s">
        <v>314</v>
      </c>
      <c r="R1654" s="276">
        <v>39.799999999999997</v>
      </c>
      <c r="S1654" s="275" t="s">
        <v>15847</v>
      </c>
      <c r="T1654" s="279">
        <v>42695</v>
      </c>
      <c r="U1654" s="279">
        <v>42702</v>
      </c>
      <c r="AF1654" s="276">
        <f t="shared" si="191"/>
        <v>103.39999999999999</v>
      </c>
      <c r="AG1654" s="276">
        <f t="shared" si="192"/>
        <v>39.799999999999997</v>
      </c>
      <c r="AH1654" s="276">
        <f t="shared" si="193"/>
        <v>125.53690000000002</v>
      </c>
      <c r="AI1654" s="283">
        <f t="shared" si="194"/>
        <v>1.214089941972921</v>
      </c>
    </row>
    <row r="1655" spans="1:35" ht="30" x14ac:dyDescent="0.25">
      <c r="A1655" s="275">
        <f>'Profits 2016'!A6868</f>
        <v>3005383</v>
      </c>
      <c r="B1655" s="279">
        <f>'Profits 2016'!B6868</f>
        <v>42678</v>
      </c>
      <c r="C1655" s="276">
        <f>'Profits 2016'!H6868</f>
        <v>132.62</v>
      </c>
      <c r="D1655" s="280">
        <f>'Profits 2016'!K6868</f>
        <v>117.86442000000001</v>
      </c>
      <c r="E1655" s="276">
        <f>'Profits 2016'!L6868</f>
        <v>424</v>
      </c>
      <c r="F1655" s="275" t="str">
        <f>'Profits 2016'!P6868</f>
        <v>Nassau</v>
      </c>
      <c r="G1655" s="292">
        <f>'Profits 2016'!N6868-'Profits 2016'!M6868</f>
        <v>42.4</v>
      </c>
      <c r="H1655" s="319"/>
      <c r="I1655" s="320"/>
      <c r="J1655" s="321"/>
      <c r="K1655" s="321"/>
      <c r="L1655" s="321"/>
      <c r="M1655" s="319"/>
      <c r="N1655" s="322"/>
      <c r="O1655" s="236" t="str">
        <f>'Profits 2016'!T6868</f>
        <v>FEDEX GROUND</v>
      </c>
      <c r="P1655" s="284" t="str">
        <f>'Profits 2016'!U6868</f>
        <v>680483360884</v>
      </c>
      <c r="Q1655" s="284" t="s">
        <v>314</v>
      </c>
      <c r="R1655" s="276">
        <v>26.35</v>
      </c>
      <c r="S1655" s="275" t="s">
        <v>15847</v>
      </c>
      <c r="T1655" s="279">
        <v>42695</v>
      </c>
      <c r="U1655" s="279">
        <v>42702</v>
      </c>
      <c r="AF1655" s="276">
        <f t="shared" si="191"/>
        <v>68.75</v>
      </c>
      <c r="AG1655" s="276">
        <f t="shared" si="192"/>
        <v>26.35</v>
      </c>
      <c r="AH1655" s="276">
        <f t="shared" si="193"/>
        <v>91.514420000000001</v>
      </c>
      <c r="AI1655" s="283">
        <f t="shared" si="194"/>
        <v>1.3311188363636364</v>
      </c>
    </row>
    <row r="1656" spans="1:35" ht="30" x14ac:dyDescent="0.25">
      <c r="A1656" s="275">
        <f>'Profits 2016'!A6869</f>
        <v>3005384</v>
      </c>
      <c r="B1656" s="279">
        <f>'Profits 2016'!B6869</f>
        <v>42678</v>
      </c>
      <c r="C1656" s="276">
        <f>'Profits 2016'!H6869</f>
        <v>389.21</v>
      </c>
      <c r="D1656" s="280">
        <f>'Profits 2016'!K6869</f>
        <v>346.48610999999994</v>
      </c>
      <c r="E1656" s="276">
        <f>'Profits 2016'!L6869</f>
        <v>1540</v>
      </c>
      <c r="F1656" s="275" t="str">
        <f>'Profits 2016'!P6869</f>
        <v>Nassau</v>
      </c>
      <c r="G1656" s="292">
        <f>'Profits 2016'!N6869-'Profits 2016'!M6869</f>
        <v>154</v>
      </c>
      <c r="H1656" s="319"/>
      <c r="I1656" s="320"/>
      <c r="J1656" s="321"/>
      <c r="K1656" s="321"/>
      <c r="L1656" s="321"/>
      <c r="M1656" s="319"/>
      <c r="N1656" s="322"/>
      <c r="O1656" s="236" t="str">
        <f>'Profits 2016'!T6869</f>
        <v>FEDEX GROUND</v>
      </c>
      <c r="P1656" s="284" t="str">
        <f>'Profits 2016'!U6869</f>
        <v>680483360862</v>
      </c>
      <c r="Q1656" s="284" t="s">
        <v>314</v>
      </c>
      <c r="R1656" s="276">
        <v>43.71</v>
      </c>
      <c r="S1656" s="275" t="s">
        <v>15847</v>
      </c>
      <c r="T1656" s="279">
        <v>42695</v>
      </c>
      <c r="U1656" s="279">
        <v>42702</v>
      </c>
      <c r="AF1656" s="276">
        <f t="shared" ref="AF1656:AF1719" si="195">G1656+H1657+R1656+Y1656</f>
        <v>198.37</v>
      </c>
      <c r="AG1656" s="276">
        <f t="shared" ref="AG1656:AG1719" si="196">M1656+R1656+Y1656</f>
        <v>43.71</v>
      </c>
      <c r="AH1656" s="276">
        <f t="shared" ref="AH1656:AH1719" si="197">D1656-AG1656</f>
        <v>302.77610999999996</v>
      </c>
      <c r="AI1656" s="283">
        <f t="shared" ref="AI1656:AI1719" si="198">AH1656/AF1656</f>
        <v>1.5263200584765839</v>
      </c>
    </row>
    <row r="1657" spans="1:35" ht="30" x14ac:dyDescent="0.25">
      <c r="A1657" s="275">
        <f>'Profits 2016'!A6870</f>
        <v>3005385</v>
      </c>
      <c r="B1657" s="279">
        <f>'Profits 2016'!B6870</f>
        <v>42678</v>
      </c>
      <c r="C1657" s="276">
        <f>'Profits 2016'!H6870</f>
        <v>332.6</v>
      </c>
      <c r="D1657" s="280">
        <f>'Profits 2016'!K6870</f>
        <v>296.04660000000001</v>
      </c>
      <c r="E1657" s="276">
        <f>'Profits 2016'!L6870</f>
        <v>642.99</v>
      </c>
      <c r="F1657" s="275" t="str">
        <f>'Profits 2016'!P6870</f>
        <v>General</v>
      </c>
      <c r="G1657" s="292">
        <f>'Profits 2016'!N6870-'Profits 2016'!M6870</f>
        <v>160.7475</v>
      </c>
      <c r="H1657" s="331">
        <v>0.66</v>
      </c>
      <c r="I1657" s="332">
        <v>3784314</v>
      </c>
      <c r="J1657" s="333">
        <v>42681</v>
      </c>
      <c r="K1657" s="333">
        <v>42688</v>
      </c>
      <c r="L1657" s="333"/>
      <c r="M1657" s="331"/>
      <c r="N1657" s="334"/>
      <c r="O1657" s="236" t="str">
        <f>'Profits 2016'!T6870</f>
        <v>UPS GROUND</v>
      </c>
      <c r="P1657" s="284" t="str">
        <f>'Profits 2016'!U6870</f>
        <v>1Z9X760X0363919531</v>
      </c>
      <c r="Q1657" s="284" t="s">
        <v>15741</v>
      </c>
      <c r="R1657" s="276">
        <v>90.26</v>
      </c>
      <c r="S1657" s="275">
        <v>3784314</v>
      </c>
      <c r="T1657" s="279">
        <v>42681</v>
      </c>
      <c r="U1657" s="279">
        <v>42688</v>
      </c>
      <c r="AF1657" s="276">
        <f t="shared" si="195"/>
        <v>251.00749999999999</v>
      </c>
      <c r="AG1657" s="276">
        <f t="shared" si="196"/>
        <v>90.26</v>
      </c>
      <c r="AH1657" s="276">
        <f t="shared" si="197"/>
        <v>205.78660000000002</v>
      </c>
      <c r="AI1657" s="283">
        <f t="shared" si="198"/>
        <v>0.81984243498700249</v>
      </c>
    </row>
    <row r="1658" spans="1:35" ht="30" x14ac:dyDescent="0.25">
      <c r="A1658" s="275">
        <f>'Profits 2016'!A6871</f>
        <v>3005386</v>
      </c>
      <c r="B1658" s="279">
        <f>'Profits 2016'!B6871</f>
        <v>42678</v>
      </c>
      <c r="C1658" s="276">
        <f>'Profits 2016'!H6871</f>
        <v>218.55</v>
      </c>
      <c r="D1658" s="280">
        <f>'Profits 2016'!K6871</f>
        <v>194.42805000000001</v>
      </c>
      <c r="E1658" s="276">
        <f>'Profits 2016'!L6871</f>
        <v>616</v>
      </c>
      <c r="F1658" s="275" t="str">
        <f>'Profits 2016'!P6871</f>
        <v>Nassau</v>
      </c>
      <c r="G1658" s="292">
        <f>'Profits 2016'!N6871-'Profits 2016'!M6871</f>
        <v>61.600000000000009</v>
      </c>
      <c r="H1658" s="319"/>
      <c r="I1658" s="320"/>
      <c r="J1658" s="321"/>
      <c r="K1658" s="321"/>
      <c r="L1658" s="321"/>
      <c r="M1658" s="319"/>
      <c r="N1658" s="322"/>
      <c r="O1658" s="236" t="str">
        <f>'Profits 2016'!T6871</f>
        <v>FEDEX GROUND</v>
      </c>
      <c r="P1658" s="284" t="str">
        <f>'Profits 2016'!U6871</f>
        <v>680483360851</v>
      </c>
      <c r="Q1658" s="284" t="s">
        <v>314</v>
      </c>
      <c r="R1658" s="276">
        <v>20.13</v>
      </c>
      <c r="S1658" s="275" t="s">
        <v>15847</v>
      </c>
      <c r="T1658" s="279">
        <v>42695</v>
      </c>
      <c r="U1658" s="279">
        <v>42702</v>
      </c>
      <c r="AF1658" s="276">
        <f t="shared" si="195"/>
        <v>81.73</v>
      </c>
      <c r="AG1658" s="276">
        <f t="shared" si="196"/>
        <v>20.13</v>
      </c>
      <c r="AH1658" s="276">
        <f t="shared" si="197"/>
        <v>174.29805000000002</v>
      </c>
      <c r="AI1658" s="283">
        <f t="shared" si="198"/>
        <v>2.1326079774868472</v>
      </c>
    </row>
    <row r="1659" spans="1:35" ht="30" x14ac:dyDescent="0.25">
      <c r="A1659" s="275">
        <f>'Profits 2016'!A6872</f>
        <v>3005387</v>
      </c>
      <c r="B1659" s="279">
        <f>'Profits 2016'!B6872</f>
        <v>42678</v>
      </c>
      <c r="C1659" s="276">
        <f>'Profits 2016'!H6872</f>
        <v>100</v>
      </c>
      <c r="D1659" s="280">
        <f>'Profits 2016'!K6872</f>
        <v>85</v>
      </c>
      <c r="E1659" s="276">
        <f>'Profits 2016'!L6872</f>
        <v>424</v>
      </c>
      <c r="F1659" s="275" t="str">
        <f>'Profits 2016'!P6872</f>
        <v>Nassau</v>
      </c>
      <c r="G1659" s="292">
        <f>'Profits 2016'!N6872-'Profits 2016'!M6872</f>
        <v>42.400000000000006</v>
      </c>
      <c r="H1659" s="319"/>
      <c r="I1659" s="320"/>
      <c r="J1659" s="321"/>
      <c r="K1659" s="321"/>
      <c r="L1659" s="321"/>
      <c r="M1659" s="319"/>
      <c r="N1659" s="322"/>
      <c r="O1659" s="236" t="str">
        <f>'Profits 2016'!T6872</f>
        <v>FEDEX GROUND</v>
      </c>
      <c r="P1659" s="284" t="str">
        <f>'Profits 2016'!U6872</f>
        <v>680483360873</v>
      </c>
      <c r="Q1659" s="284" t="s">
        <v>314</v>
      </c>
      <c r="R1659" s="276">
        <v>36.159999999999997</v>
      </c>
      <c r="S1659" s="275" t="s">
        <v>15847</v>
      </c>
      <c r="T1659" s="279">
        <v>42695</v>
      </c>
      <c r="U1659" s="279">
        <v>42702</v>
      </c>
      <c r="AF1659" s="276">
        <f t="shared" si="195"/>
        <v>78.56</v>
      </c>
      <c r="AG1659" s="276">
        <f t="shared" si="196"/>
        <v>36.159999999999997</v>
      </c>
      <c r="AH1659" s="276">
        <f t="shared" si="197"/>
        <v>48.84</v>
      </c>
      <c r="AI1659" s="283">
        <f t="shared" si="198"/>
        <v>0.62169042769857441</v>
      </c>
    </row>
    <row r="1660" spans="1:35" ht="30" x14ac:dyDescent="0.25">
      <c r="A1660" s="275">
        <f>'Profits 2016'!A6873</f>
        <v>3005388</v>
      </c>
      <c r="B1660" s="279">
        <f>'Profits 2016'!B6873</f>
        <v>42678</v>
      </c>
      <c r="C1660" s="276">
        <f>'Profits 2016'!H6873</f>
        <v>950</v>
      </c>
      <c r="D1660" s="280">
        <f>'Profits 2016'!K6873</f>
        <v>950</v>
      </c>
      <c r="E1660" s="276">
        <f>'Profits 2016'!L6873</f>
        <v>944.01</v>
      </c>
      <c r="F1660" s="275" t="str">
        <f>'Profits 2016'!P6873</f>
        <v>Kalas</v>
      </c>
      <c r="G1660" s="292">
        <f>'Profits 2016'!N6873-'Profits 2016'!M6873</f>
        <v>472.005</v>
      </c>
      <c r="H1660" s="331">
        <v>0</v>
      </c>
      <c r="I1660" s="332" t="s">
        <v>15927</v>
      </c>
      <c r="J1660" s="333">
        <v>42681</v>
      </c>
      <c r="K1660" s="333">
        <v>42688</v>
      </c>
      <c r="L1660" s="333"/>
      <c r="M1660" s="331"/>
      <c r="N1660" s="334"/>
      <c r="O1660" s="236" t="str">
        <f>'Profits 2016'!T6873</f>
        <v>UPS FREIGHT</v>
      </c>
      <c r="P1660" s="284" t="str">
        <f>'Profits 2016'!U6873</f>
        <v>568832644</v>
      </c>
      <c r="AF1660" s="276">
        <f t="shared" si="195"/>
        <v>472.005</v>
      </c>
      <c r="AG1660" s="276">
        <f t="shared" si="196"/>
        <v>0</v>
      </c>
      <c r="AH1660" s="276">
        <f t="shared" si="197"/>
        <v>950</v>
      </c>
      <c r="AI1660" s="283">
        <f t="shared" si="198"/>
        <v>2.0126905435323779</v>
      </c>
    </row>
    <row r="1661" spans="1:35" x14ac:dyDescent="0.25">
      <c r="A1661" s="275">
        <f>'Profits 2016'!A6874</f>
        <v>3005389</v>
      </c>
      <c r="B1661" s="279">
        <f>'Profits 2016'!B6874</f>
        <v>42678</v>
      </c>
      <c r="C1661" s="276">
        <f>'Profits 2016'!H6874</f>
        <v>1297.5999999999999</v>
      </c>
      <c r="D1661" s="280">
        <f>'Profits 2016'!K6874</f>
        <v>1102.96</v>
      </c>
      <c r="E1661" s="276">
        <f>'Profits 2016'!L6874</f>
        <v>1100</v>
      </c>
      <c r="F1661" s="275" t="str">
        <f>'Profits 2016'!P6874</f>
        <v>Nassau</v>
      </c>
      <c r="G1661" s="292">
        <f>'Profits 2016'!N6874-'Profits 2016'!M6874</f>
        <v>1100</v>
      </c>
      <c r="H1661" s="331"/>
      <c r="I1661" s="332"/>
      <c r="J1661" s="333"/>
      <c r="K1661" s="333"/>
      <c r="L1661" s="333"/>
      <c r="M1661" s="331"/>
      <c r="N1661" s="334"/>
      <c r="O1661" s="236" t="str">
        <f>'Profits 2016'!T6874</f>
        <v>R&amp;L/ECHO</v>
      </c>
      <c r="P1661" s="284" t="str">
        <f>'Profits 2016'!U6874</f>
        <v>56832832-8</v>
      </c>
      <c r="AF1661" s="276">
        <f t="shared" si="195"/>
        <v>1100</v>
      </c>
      <c r="AG1661" s="276">
        <f t="shared" si="196"/>
        <v>0</v>
      </c>
      <c r="AH1661" s="276">
        <f t="shared" si="197"/>
        <v>1102.96</v>
      </c>
      <c r="AI1661" s="283">
        <f t="shared" si="198"/>
        <v>1.0026909090909091</v>
      </c>
    </row>
    <row r="1662" spans="1:35" ht="30" x14ac:dyDescent="0.25">
      <c r="A1662" s="275">
        <f>'Profits 2016'!A6875</f>
        <v>3005390</v>
      </c>
      <c r="B1662" s="279">
        <f>'Profits 2016'!B6875</f>
        <v>42678</v>
      </c>
      <c r="C1662" s="276">
        <f>'Profits 2016'!H6875</f>
        <v>5166</v>
      </c>
      <c r="D1662" s="280">
        <f>'Profits 2016'!K6875</f>
        <v>5052.0479999999998</v>
      </c>
      <c r="E1662" s="276">
        <f>'Profits 2016'!L6875</f>
        <v>5891.6</v>
      </c>
      <c r="F1662" s="275" t="str">
        <f>'Profits 2016'!P6875</f>
        <v>Service</v>
      </c>
      <c r="G1662" s="292">
        <f>'Profits 2016'!N6875-'Profits 2016'!M6875</f>
        <v>3711.7080000000001</v>
      </c>
      <c r="H1662" s="331">
        <v>0</v>
      </c>
      <c r="I1662" s="332">
        <v>50266480</v>
      </c>
      <c r="J1662" s="333">
        <v>42681</v>
      </c>
      <c r="K1662" s="333">
        <v>42688</v>
      </c>
      <c r="L1662" s="333"/>
      <c r="M1662" s="331"/>
      <c r="N1662" s="334"/>
      <c r="O1662" s="236" t="str">
        <f>'Profits 2016'!T6875</f>
        <v>XPO LOGISTICS</v>
      </c>
      <c r="P1662" s="284" t="str">
        <f>'Profits 2016'!U6875</f>
        <v>802371894</v>
      </c>
      <c r="AF1662" s="276">
        <f t="shared" si="195"/>
        <v>3711.7080000000001</v>
      </c>
      <c r="AG1662" s="276">
        <f t="shared" si="196"/>
        <v>0</v>
      </c>
      <c r="AH1662" s="276">
        <f t="shared" si="197"/>
        <v>5052.0479999999998</v>
      </c>
      <c r="AI1662" s="283">
        <f t="shared" si="198"/>
        <v>1.3611113805288562</v>
      </c>
    </row>
    <row r="1663" spans="1:35" ht="30" x14ac:dyDescent="0.25">
      <c r="A1663" s="275">
        <f>'Profits 2016'!A6876</f>
        <v>3005391</v>
      </c>
      <c r="B1663" s="279">
        <f>'Profits 2016'!B6876</f>
        <v>42678</v>
      </c>
      <c r="C1663" s="276">
        <f>'Profits 2016'!H6876</f>
        <v>575</v>
      </c>
      <c r="D1663" s="280">
        <f>'Profits 2016'!K6876</f>
        <v>563.77499999999998</v>
      </c>
      <c r="E1663" s="276">
        <f>'Profits 2016'!L6876</f>
        <v>607</v>
      </c>
      <c r="F1663" s="275" t="str">
        <f>'Profits 2016'!P6876</f>
        <v>Brazil</v>
      </c>
      <c r="G1663" s="292">
        <f>'Profits 2016'!N6876-'Profits 2016'!M6876</f>
        <v>303.5</v>
      </c>
      <c r="H1663" s="331">
        <v>0</v>
      </c>
      <c r="I1663" s="332">
        <v>91036125</v>
      </c>
      <c r="J1663" s="333">
        <v>42682</v>
      </c>
      <c r="K1663" s="333">
        <v>42688</v>
      </c>
      <c r="L1663" s="333"/>
      <c r="M1663" s="331"/>
      <c r="N1663" s="334"/>
      <c r="O1663" s="236" t="str">
        <f>'Profits 2016'!T6876</f>
        <v>FEDEX GROUND</v>
      </c>
      <c r="P1663" s="284" t="str">
        <f>'Profits 2016'!U6876</f>
        <v>708082940899</v>
      </c>
      <c r="Q1663" s="284" t="s">
        <v>314</v>
      </c>
      <c r="R1663" s="276">
        <v>32.61</v>
      </c>
      <c r="S1663" s="275" t="s">
        <v>15847</v>
      </c>
      <c r="T1663" s="279">
        <v>42695</v>
      </c>
      <c r="U1663" s="279">
        <v>42702</v>
      </c>
      <c r="AF1663" s="276">
        <f t="shared" si="195"/>
        <v>336.11</v>
      </c>
      <c r="AG1663" s="276">
        <f t="shared" si="196"/>
        <v>32.61</v>
      </c>
      <c r="AH1663" s="276">
        <f t="shared" si="197"/>
        <v>531.16499999999996</v>
      </c>
      <c r="AI1663" s="283">
        <f t="shared" si="198"/>
        <v>1.5803308440689059</v>
      </c>
    </row>
    <row r="1664" spans="1:35" ht="30" x14ac:dyDescent="0.25">
      <c r="A1664" s="275">
        <f>'Profits 2016'!A6877</f>
        <v>3005392</v>
      </c>
      <c r="B1664" s="279">
        <f>'Profits 2016'!B6877</f>
        <v>42678</v>
      </c>
      <c r="C1664" s="276">
        <f>'Profits 2016'!H6877</f>
        <v>250</v>
      </c>
      <c r="D1664" s="280">
        <f>'Profits 2016'!K6877</f>
        <v>212.5</v>
      </c>
      <c r="E1664" s="276">
        <f>'Profits 2016'!L6877</f>
        <v>195</v>
      </c>
      <c r="F1664" s="275" t="str">
        <f>'Profits 2016'!P6877</f>
        <v>Wirexpress</v>
      </c>
      <c r="G1664" s="292">
        <f>'Profits 2016'!N6877-'Profits 2016'!M6877</f>
        <v>97.5</v>
      </c>
      <c r="H1664" s="331">
        <v>0</v>
      </c>
      <c r="I1664" s="332" t="s">
        <v>15928</v>
      </c>
      <c r="J1664" s="333">
        <v>42678</v>
      </c>
      <c r="K1664" s="333">
        <v>42688</v>
      </c>
      <c r="L1664" s="333"/>
      <c r="M1664" s="331"/>
      <c r="N1664" s="334"/>
      <c r="O1664" s="236" t="str">
        <f>'Profits 2016'!T6877</f>
        <v>FEDEX GROUND</v>
      </c>
      <c r="P1664" s="284" t="str">
        <f>'Profits 2016'!U6877</f>
        <v xml:space="preserve">744934370393745 </v>
      </c>
      <c r="Q1664" s="284" t="s">
        <v>314</v>
      </c>
      <c r="R1664" s="276">
        <v>21.85</v>
      </c>
      <c r="S1664" s="275" t="s">
        <v>15847</v>
      </c>
      <c r="T1664" s="279">
        <v>42695</v>
      </c>
      <c r="U1664" s="279">
        <v>42702</v>
      </c>
      <c r="AF1664" s="276">
        <f t="shared" si="195"/>
        <v>119.35</v>
      </c>
      <c r="AG1664" s="276">
        <f t="shared" si="196"/>
        <v>21.85</v>
      </c>
      <c r="AH1664" s="276">
        <f t="shared" si="197"/>
        <v>190.65</v>
      </c>
      <c r="AI1664" s="283">
        <f t="shared" si="198"/>
        <v>1.5974025974025976</v>
      </c>
    </row>
    <row r="1665" spans="1:35" ht="30" x14ac:dyDescent="0.25">
      <c r="A1665" s="275">
        <f>'Profits 2016'!A6878</f>
        <v>3005393</v>
      </c>
      <c r="B1665" s="279">
        <f>'Profits 2016'!B6878</f>
        <v>42678</v>
      </c>
      <c r="C1665" s="276">
        <f>'Profits 2016'!H6878</f>
        <v>160.38</v>
      </c>
      <c r="D1665" s="280">
        <f>'Profits 2016'!K6878</f>
        <v>136.32300000000001</v>
      </c>
      <c r="E1665" s="276">
        <f>'Profits 2016'!L6878</f>
        <v>424</v>
      </c>
      <c r="F1665" s="275" t="str">
        <f>'Profits 2016'!P6878</f>
        <v>Nassau</v>
      </c>
      <c r="G1665" s="292">
        <f>'Profits 2016'!N6878-'Profits 2016'!M6878</f>
        <v>63.599999999999994</v>
      </c>
      <c r="H1665" s="319"/>
      <c r="I1665" s="320"/>
      <c r="J1665" s="321"/>
      <c r="K1665" s="321"/>
      <c r="L1665" s="321"/>
      <c r="M1665" s="319"/>
      <c r="N1665" s="322"/>
      <c r="O1665" s="236" t="str">
        <f>'Profits 2016'!T6878</f>
        <v>FEDEX GROUND</v>
      </c>
      <c r="P1665" s="284" t="str">
        <f>'Profits 2016'!U6878</f>
        <v>702723291723</v>
      </c>
      <c r="Q1665" s="284" t="s">
        <v>314</v>
      </c>
      <c r="R1665" s="276">
        <v>37.11</v>
      </c>
      <c r="S1665" s="275" t="s">
        <v>15847</v>
      </c>
      <c r="T1665" s="279">
        <v>42695</v>
      </c>
      <c r="U1665" s="279">
        <v>42702</v>
      </c>
      <c r="AF1665" s="276">
        <f t="shared" si="195"/>
        <v>100.71</v>
      </c>
      <c r="AG1665" s="276">
        <f t="shared" si="196"/>
        <v>37.11</v>
      </c>
      <c r="AH1665" s="276">
        <f t="shared" si="197"/>
        <v>99.213000000000008</v>
      </c>
      <c r="AI1665" s="283">
        <f t="shared" si="198"/>
        <v>0.98513553768245476</v>
      </c>
    </row>
    <row r="1666" spans="1:35" ht="30" x14ac:dyDescent="0.25">
      <c r="A1666" s="275">
        <f>'Profits 2016'!A6879</f>
        <v>3005394</v>
      </c>
      <c r="B1666" s="279">
        <f>'Profits 2016'!B6879</f>
        <v>42678</v>
      </c>
      <c r="C1666" s="276">
        <f>'Profits 2016'!H6879</f>
        <v>153.82</v>
      </c>
      <c r="D1666" s="280">
        <f>'Profits 2016'!K6879</f>
        <v>130.74699999999999</v>
      </c>
      <c r="E1666" s="276">
        <f>'Profits 2016'!L6879</f>
        <v>380</v>
      </c>
      <c r="F1666" s="275" t="str">
        <f>'Profits 2016'!P6879</f>
        <v>Thea</v>
      </c>
      <c r="G1666" s="292">
        <f>'Profits 2016'!N6879-'Profits 2016'!M6879</f>
        <v>95</v>
      </c>
      <c r="H1666" s="319"/>
      <c r="I1666" s="320"/>
      <c r="J1666" s="321"/>
      <c r="K1666" s="321"/>
      <c r="L1666" s="321"/>
      <c r="M1666" s="319"/>
      <c r="N1666" s="322"/>
      <c r="O1666" s="236" t="str">
        <f>'Profits 2016'!T6879</f>
        <v>FEDEX GROUND</v>
      </c>
      <c r="P1666" s="284" t="str">
        <f>'Profits 2016'!U6879</f>
        <v>675157531710</v>
      </c>
      <c r="AF1666" s="276">
        <f t="shared" si="195"/>
        <v>95</v>
      </c>
      <c r="AG1666" s="276">
        <f t="shared" si="196"/>
        <v>0</v>
      </c>
      <c r="AH1666" s="276">
        <f t="shared" si="197"/>
        <v>130.74699999999999</v>
      </c>
      <c r="AI1666" s="283">
        <f t="shared" si="198"/>
        <v>1.3762842105263156</v>
      </c>
    </row>
    <row r="1667" spans="1:35" ht="30" x14ac:dyDescent="0.25">
      <c r="A1667" s="275">
        <f>'Profits 2016'!A6880</f>
        <v>3005395</v>
      </c>
      <c r="B1667" s="279">
        <f>'Profits 2016'!B6880</f>
        <v>42678</v>
      </c>
      <c r="C1667" s="276">
        <f>'Profits 2016'!H6880</f>
        <v>215</v>
      </c>
      <c r="D1667" s="280">
        <f>'Profits 2016'!K6880</f>
        <v>191.26500000000001</v>
      </c>
      <c r="E1667" s="276">
        <f>'Profits 2016'!L6880</f>
        <v>781</v>
      </c>
      <c r="F1667" s="275" t="str">
        <f>'Profits 2016'!P6880</f>
        <v>Priority</v>
      </c>
      <c r="G1667" s="292">
        <f>'Profits 2016'!N6880-'Profits 2016'!M6880</f>
        <v>117.14999999999999</v>
      </c>
      <c r="H1667" s="331">
        <v>0</v>
      </c>
      <c r="I1667" s="332">
        <v>1074444</v>
      </c>
      <c r="J1667" s="333">
        <v>42682</v>
      </c>
      <c r="K1667" s="333">
        <v>42695</v>
      </c>
      <c r="L1667" s="333"/>
      <c r="M1667" s="331"/>
      <c r="N1667" s="334"/>
      <c r="O1667" s="236" t="str">
        <f>'Profits 2016'!T6880</f>
        <v>FEDEX GROUND</v>
      </c>
      <c r="P1667" s="284" t="str">
        <f>'Profits 2016'!U6880</f>
        <v xml:space="preserve">	616712878030</v>
      </c>
      <c r="Q1667" s="284" t="s">
        <v>15740</v>
      </c>
      <c r="R1667" s="276">
        <v>17.989999999999998</v>
      </c>
      <c r="S1667" s="275">
        <v>1074444</v>
      </c>
      <c r="T1667" s="279">
        <v>42682</v>
      </c>
      <c r="U1667" s="279">
        <v>42695</v>
      </c>
      <c r="AF1667" s="276">
        <f t="shared" si="195"/>
        <v>135.13999999999999</v>
      </c>
      <c r="AG1667" s="276">
        <f t="shared" si="196"/>
        <v>17.989999999999998</v>
      </c>
      <c r="AH1667" s="276">
        <f t="shared" si="197"/>
        <v>173.27500000000001</v>
      </c>
      <c r="AI1667" s="283">
        <f t="shared" si="198"/>
        <v>1.2821888412017168</v>
      </c>
    </row>
    <row r="1668" spans="1:35" ht="30" x14ac:dyDescent="0.25">
      <c r="A1668" s="275">
        <f>'Profits 2016'!A6881</f>
        <v>3005396</v>
      </c>
      <c r="B1668" s="279">
        <f>'Profits 2016'!B6881</f>
        <v>42678</v>
      </c>
      <c r="C1668" s="276">
        <f>'Profits 2016'!H6881</f>
        <v>500</v>
      </c>
      <c r="D1668" s="280">
        <f>'Profits 2016'!K6881</f>
        <v>488.7</v>
      </c>
      <c r="E1668" s="276">
        <f>'Profits 2016'!L6881</f>
        <v>1322</v>
      </c>
      <c r="F1668" s="275" t="str">
        <f>'Profits 2016'!P6881</f>
        <v>Nassau</v>
      </c>
      <c r="G1668" s="292">
        <f>'Profits 2016'!N6881-'Profits 2016'!M6881</f>
        <v>330.5</v>
      </c>
      <c r="H1668" s="319"/>
      <c r="I1668" s="320"/>
      <c r="J1668" s="321"/>
      <c r="K1668" s="321"/>
      <c r="L1668" s="321"/>
      <c r="M1668" s="319"/>
      <c r="N1668" s="322"/>
      <c r="O1668" s="236" t="str">
        <f>'Profits 2016'!T6881</f>
        <v>FEDEX GROUND</v>
      </c>
      <c r="P1668" s="284" t="str">
        <f>'Profits 2016'!U6881</f>
        <v xml:space="preserve">702723291778  ,  702723291789 </v>
      </c>
      <c r="Q1668" s="284" t="s">
        <v>314</v>
      </c>
      <c r="R1668" s="276">
        <f>19.17+19.17</f>
        <v>38.340000000000003</v>
      </c>
      <c r="S1668" s="275" t="s">
        <v>15847</v>
      </c>
      <c r="T1668" s="279">
        <v>42695</v>
      </c>
      <c r="U1668" s="279">
        <v>42702</v>
      </c>
      <c r="AF1668" s="276">
        <f t="shared" si="195"/>
        <v>368.84000000000003</v>
      </c>
      <c r="AG1668" s="276">
        <f t="shared" si="196"/>
        <v>38.340000000000003</v>
      </c>
      <c r="AH1668" s="276">
        <f t="shared" si="197"/>
        <v>450.36</v>
      </c>
      <c r="AI1668" s="283">
        <f t="shared" si="198"/>
        <v>1.2210172432491053</v>
      </c>
    </row>
    <row r="1669" spans="1:35" ht="30" x14ac:dyDescent="0.25">
      <c r="A1669" s="275">
        <f>'Profits 2016'!A6882</f>
        <v>3005397</v>
      </c>
      <c r="B1669" s="279">
        <f>'Profits 2016'!B6882</f>
        <v>42681</v>
      </c>
      <c r="C1669" s="276">
        <f>'Profits 2016'!H6882</f>
        <v>2860</v>
      </c>
      <c r="D1669" s="280">
        <f>'Profits 2016'!K6882</f>
        <v>2796.78</v>
      </c>
      <c r="E1669" s="276">
        <f>'Profits 2016'!L6882</f>
        <v>1099</v>
      </c>
      <c r="F1669" s="275" t="str">
        <f>'Profits 2016'!P6882</f>
        <v>West Virginia</v>
      </c>
      <c r="G1669" s="292">
        <f>'Profits 2016'!N6882-'Profits 2016'!M6882</f>
        <v>2198</v>
      </c>
      <c r="H1669" s="331"/>
      <c r="I1669" s="332"/>
      <c r="J1669" s="333"/>
      <c r="K1669" s="333"/>
      <c r="L1669" s="333"/>
      <c r="M1669" s="331"/>
      <c r="N1669" s="334"/>
      <c r="O1669" s="236" t="str">
        <f>'Profits 2016'!T6882</f>
        <v>R&amp;L/DLS</v>
      </c>
      <c r="P1669" s="284" t="str">
        <f>'Profits 2016'!U6882</f>
        <v>I707473359</v>
      </c>
      <c r="Q1669" s="284" t="s">
        <v>15804</v>
      </c>
      <c r="R1669" s="276">
        <v>305.5</v>
      </c>
      <c r="S1669" s="275">
        <v>636981231</v>
      </c>
      <c r="T1669" s="279">
        <v>42692</v>
      </c>
      <c r="U1669" s="279">
        <v>42702</v>
      </c>
      <c r="AF1669" s="276">
        <f t="shared" si="195"/>
        <v>2503.5</v>
      </c>
      <c r="AG1669" s="276">
        <f t="shared" si="196"/>
        <v>305.5</v>
      </c>
      <c r="AH1669" s="276">
        <f t="shared" si="197"/>
        <v>2491.2800000000002</v>
      </c>
      <c r="AI1669" s="283">
        <f t="shared" si="198"/>
        <v>0.99511883363291398</v>
      </c>
    </row>
    <row r="1670" spans="1:35" ht="30" x14ac:dyDescent="0.25">
      <c r="A1670" s="275">
        <f>'Profits 2016'!A6883</f>
        <v>3005398</v>
      </c>
      <c r="B1670" s="279">
        <f>'Profits 2016'!B6883</f>
        <v>42681</v>
      </c>
      <c r="C1670" s="276">
        <f>'Profits 2016'!H6883</f>
        <v>22562.74</v>
      </c>
      <c r="D1670" s="280">
        <f>'Profits 2016'!K6883</f>
        <v>22066.059720000001</v>
      </c>
      <c r="E1670" s="276">
        <f>'Profits 2016'!L6883</f>
        <v>10380</v>
      </c>
      <c r="F1670" s="275" t="str">
        <f>'Profits 2016'!P6883</f>
        <v>Southwire</v>
      </c>
      <c r="G1670" s="292">
        <f>'Profits 2016'!N6883-'Profits 2016'!M6883</f>
        <v>8771.1</v>
      </c>
      <c r="H1670" s="331">
        <v>0</v>
      </c>
      <c r="I1670" s="332" t="s">
        <v>15929</v>
      </c>
      <c r="J1670" s="333" t="s">
        <v>15930</v>
      </c>
      <c r="K1670" s="333">
        <v>42691</v>
      </c>
      <c r="L1670" s="333"/>
      <c r="M1670" s="331"/>
      <c r="N1670" s="334"/>
      <c r="O1670" s="236" t="str">
        <f>'Profits 2016'!T6883</f>
        <v>FEDEX</v>
      </c>
      <c r="P1670" s="284">
        <f>'Profits 2016'!U6883</f>
        <v>4236688750</v>
      </c>
      <c r="AF1670" s="276">
        <f t="shared" si="195"/>
        <v>8771.1</v>
      </c>
      <c r="AG1670" s="276">
        <f t="shared" si="196"/>
        <v>0</v>
      </c>
      <c r="AH1670" s="276">
        <f t="shared" si="197"/>
        <v>22066.059720000001</v>
      </c>
      <c r="AI1670" s="283">
        <f t="shared" si="198"/>
        <v>2.5157687998084617</v>
      </c>
    </row>
    <row r="1671" spans="1:35" x14ac:dyDescent="0.25">
      <c r="A1671" s="275">
        <f>'Profits 2016'!A6884</f>
        <v>0</v>
      </c>
      <c r="B1671" s="279">
        <f>'Profits 2016'!B6884</f>
        <v>0</v>
      </c>
      <c r="C1671" s="276">
        <f>'Profits 2016'!H6884</f>
        <v>0</v>
      </c>
      <c r="D1671" s="280">
        <f>'Profits 2016'!K6884</f>
        <v>0</v>
      </c>
      <c r="E1671" s="276">
        <f>'Profits 2016'!L6884</f>
        <v>17570</v>
      </c>
      <c r="F1671" s="275" t="str">
        <f>'Profits 2016'!P6884</f>
        <v>Southwire</v>
      </c>
      <c r="G1671" s="292">
        <f>'Profits 2016'!N6884-'Profits 2016'!M6884</f>
        <v>11069.1</v>
      </c>
      <c r="H1671" s="331">
        <v>0</v>
      </c>
      <c r="I1671" s="332">
        <v>91041626</v>
      </c>
      <c r="J1671" s="333">
        <v>42676</v>
      </c>
      <c r="K1671" s="333">
        <v>42690</v>
      </c>
      <c r="L1671" s="333"/>
      <c r="M1671" s="331"/>
      <c r="N1671" s="334"/>
      <c r="O1671" s="236" t="str">
        <f>'Profits 2016'!T6884</f>
        <v>SEFL</v>
      </c>
      <c r="P1671" s="284" t="str">
        <f>'Profits 2016'!U6884</f>
        <v>330821181 368356141</v>
      </c>
      <c r="AF1671" s="276">
        <f t="shared" si="195"/>
        <v>11079.1</v>
      </c>
      <c r="AG1671" s="276">
        <f t="shared" si="196"/>
        <v>0</v>
      </c>
      <c r="AH1671" s="276">
        <f t="shared" si="197"/>
        <v>0</v>
      </c>
      <c r="AI1671" s="283">
        <f t="shared" si="198"/>
        <v>0</v>
      </c>
    </row>
    <row r="1672" spans="1:35" ht="30" x14ac:dyDescent="0.25">
      <c r="A1672" s="275">
        <f>'Profits 2016'!A6885</f>
        <v>3005399</v>
      </c>
      <c r="B1672" s="279">
        <f>'Profits 2016'!B6885</f>
        <v>42681</v>
      </c>
      <c r="C1672" s="276">
        <f>'Profits 2016'!H6885</f>
        <v>216.5</v>
      </c>
      <c r="D1672" s="280">
        <f>'Profits 2016'!K6885</f>
        <v>209.16374999999999</v>
      </c>
      <c r="E1672" s="276">
        <f>'Profits 2016'!L6885</f>
        <v>3460</v>
      </c>
      <c r="F1672" s="275" t="str">
        <f>'Profits 2016'!P6885</f>
        <v>Priority</v>
      </c>
      <c r="G1672" s="292">
        <f>'Profits 2016'!N6885-'Profits 2016'!M6885</f>
        <v>86.5</v>
      </c>
      <c r="H1672" s="331">
        <v>10</v>
      </c>
      <c r="I1672" s="332">
        <v>1074276</v>
      </c>
      <c r="J1672" s="333">
        <v>42681</v>
      </c>
      <c r="K1672" s="333">
        <v>42688</v>
      </c>
      <c r="L1672" s="333"/>
      <c r="M1672" s="331"/>
      <c r="N1672" s="334"/>
      <c r="O1672" s="236" t="str">
        <f>'Profits 2016'!T6885</f>
        <v>FEDEX GROUND</v>
      </c>
      <c r="P1672" s="284" t="str">
        <f>'Profits 2016'!U6885</f>
        <v>616712877983</v>
      </c>
      <c r="Q1672" s="284" t="s">
        <v>15740</v>
      </c>
      <c r="R1672" s="276">
        <v>18.239999999999998</v>
      </c>
      <c r="S1672" s="275">
        <v>1074276</v>
      </c>
      <c r="T1672" s="279">
        <v>42681</v>
      </c>
      <c r="U1672" s="279">
        <v>42688</v>
      </c>
      <c r="AF1672" s="276">
        <f t="shared" si="195"/>
        <v>104.74</v>
      </c>
      <c r="AG1672" s="276">
        <f t="shared" si="196"/>
        <v>18.239999999999998</v>
      </c>
      <c r="AH1672" s="276">
        <f t="shared" si="197"/>
        <v>190.92374999999998</v>
      </c>
      <c r="AI1672" s="283">
        <f t="shared" si="198"/>
        <v>1.8228351155241549</v>
      </c>
    </row>
    <row r="1673" spans="1:35" ht="30" x14ac:dyDescent="0.25">
      <c r="A1673" s="275">
        <f>'Profits 2016'!A6886</f>
        <v>3005400</v>
      </c>
      <c r="B1673" s="279">
        <f>'Profits 2016'!B6886</f>
        <v>42681</v>
      </c>
      <c r="C1673" s="276">
        <f>'Profits 2016'!H6886</f>
        <v>2133</v>
      </c>
      <c r="D1673" s="280">
        <f>'Profits 2016'!K6886</f>
        <v>2085.7739999999999</v>
      </c>
      <c r="E1673" s="276">
        <f>'Profits 2016'!L6886</f>
        <v>11360</v>
      </c>
      <c r="F1673" s="275" t="str">
        <f>'Profits 2016'!P6886</f>
        <v>Priority</v>
      </c>
      <c r="G1673" s="292">
        <f>'Profits 2016'!N6886-'Profits 2016'!M6886</f>
        <v>1476.8</v>
      </c>
      <c r="H1673" s="331">
        <v>0</v>
      </c>
      <c r="I1673" s="332">
        <v>1074196</v>
      </c>
      <c r="J1673" s="333">
        <v>42681</v>
      </c>
      <c r="K1673" s="333">
        <v>42688</v>
      </c>
      <c r="L1673" s="333"/>
      <c r="M1673" s="331"/>
      <c r="N1673" s="334"/>
      <c r="O1673" s="236" t="str">
        <f>'Profits 2016'!T6886</f>
        <v>Customer Pick Up</v>
      </c>
      <c r="P1673" s="284" t="str">
        <f>'Profits 2016'!U6886</f>
        <v>Customer PIck up</v>
      </c>
      <c r="AF1673" s="276">
        <f t="shared" si="195"/>
        <v>1476.8</v>
      </c>
      <c r="AG1673" s="276">
        <f t="shared" si="196"/>
        <v>0</v>
      </c>
      <c r="AH1673" s="276">
        <f t="shared" si="197"/>
        <v>2085.7739999999999</v>
      </c>
      <c r="AI1673" s="283">
        <f t="shared" si="198"/>
        <v>1.4123605092091007</v>
      </c>
    </row>
    <row r="1674" spans="1:35" ht="30" x14ac:dyDescent="0.25">
      <c r="A1674" s="275">
        <f>'Profits 2016'!A6887</f>
        <v>3005401</v>
      </c>
      <c r="B1674" s="279">
        <f>'Profits 2016'!B6887</f>
        <v>42681</v>
      </c>
      <c r="C1674" s="276">
        <f>'Profits 2016'!H6887</f>
        <v>1250</v>
      </c>
      <c r="D1674" s="280">
        <f>'Profits 2016'!K6887</f>
        <v>1225.95</v>
      </c>
      <c r="E1674" s="276">
        <f>'Profits 2016'!L6887</f>
        <v>2050</v>
      </c>
      <c r="F1674" s="275" t="str">
        <f>'Profits 2016'!P6887</f>
        <v>Direct</v>
      </c>
      <c r="G1674" s="292">
        <f>'Profits 2016'!N6887-'Profits 2016'!M6887</f>
        <v>1025</v>
      </c>
      <c r="H1674" s="331">
        <v>0</v>
      </c>
      <c r="I1674" s="332">
        <v>75944</v>
      </c>
      <c r="J1674" s="333">
        <v>42682</v>
      </c>
      <c r="K1674" s="333">
        <v>42688</v>
      </c>
      <c r="L1674" s="333">
        <v>42692</v>
      </c>
      <c r="M1674" s="331">
        <v>1004.5</v>
      </c>
      <c r="N1674" s="334">
        <v>9436</v>
      </c>
      <c r="O1674" s="236" t="str">
        <f>'Profits 2016'!T6887</f>
        <v>FEDEX PRIORITY</v>
      </c>
      <c r="P1674" s="284" t="str">
        <f>'Profits 2016'!U6887</f>
        <v>399050291-3</v>
      </c>
      <c r="AF1674" s="276">
        <f t="shared" si="195"/>
        <v>1025</v>
      </c>
      <c r="AG1674" s="276">
        <f t="shared" si="196"/>
        <v>1004.5</v>
      </c>
      <c r="AH1674" s="276">
        <f t="shared" si="197"/>
        <v>221.45000000000005</v>
      </c>
      <c r="AI1674" s="283">
        <f t="shared" si="198"/>
        <v>0.21604878048780493</v>
      </c>
    </row>
    <row r="1675" spans="1:35" ht="30" x14ac:dyDescent="0.25">
      <c r="A1675" s="275">
        <f>'Profits 2016'!A6888</f>
        <v>3005402</v>
      </c>
      <c r="B1675" s="279">
        <f>'Profits 2016'!B6888</f>
        <v>42681</v>
      </c>
      <c r="C1675" s="276">
        <f>'Profits 2016'!H6888</f>
        <v>286</v>
      </c>
      <c r="D1675" s="280">
        <f>'Profits 2016'!K6888</f>
        <v>279.40800000000002</v>
      </c>
      <c r="E1675" s="276">
        <f>'Profits 2016'!L6888</f>
        <v>0</v>
      </c>
      <c r="F1675" s="275" t="str">
        <f>'Profits 2016'!P6888</f>
        <v>Nassau</v>
      </c>
      <c r="G1675" s="292">
        <f>'Profits 2016'!N6888-'Profits 2016'!M6888</f>
        <v>0</v>
      </c>
      <c r="H1675" s="319"/>
      <c r="I1675" s="320"/>
      <c r="J1675" s="321"/>
      <c r="K1675" s="321"/>
      <c r="L1675" s="321"/>
      <c r="M1675" s="319"/>
      <c r="N1675" s="322"/>
      <c r="O1675" s="236" t="str">
        <f>'Profits 2016'!T6888</f>
        <v>FEDEX GROUND</v>
      </c>
      <c r="P1675" s="284" t="str">
        <f>'Profits 2016'!U6888</f>
        <v>702723291745</v>
      </c>
      <c r="Q1675" s="284" t="s">
        <v>314</v>
      </c>
      <c r="R1675" s="276">
        <v>41</v>
      </c>
      <c r="S1675" s="275" t="s">
        <v>15847</v>
      </c>
      <c r="T1675" s="279">
        <v>42695</v>
      </c>
      <c r="U1675" s="279">
        <v>42702</v>
      </c>
      <c r="AF1675" s="276">
        <f t="shared" si="195"/>
        <v>41</v>
      </c>
      <c r="AG1675" s="276">
        <f t="shared" si="196"/>
        <v>41</v>
      </c>
      <c r="AH1675" s="276">
        <f t="shared" si="197"/>
        <v>238.40800000000002</v>
      </c>
      <c r="AI1675" s="283">
        <f t="shared" si="198"/>
        <v>5.8148292682926837</v>
      </c>
    </row>
    <row r="1676" spans="1:35" x14ac:dyDescent="0.25">
      <c r="A1676" s="275">
        <f>'Profits 2016'!A6889</f>
        <v>3005403</v>
      </c>
      <c r="B1676" s="279">
        <f>'Profits 2016'!B6889</f>
        <v>42681</v>
      </c>
      <c r="C1676" s="276">
        <f>'Profits 2016'!H6889</f>
        <v>35375</v>
      </c>
      <c r="D1676" s="280">
        <f>'Profits 2016'!K6889</f>
        <v>34596.449999999997</v>
      </c>
      <c r="E1676" s="276">
        <f>'Profits 2016'!L6889</f>
        <v>6634.51</v>
      </c>
      <c r="F1676" s="275" t="str">
        <f>'Profits 2016'!P6889</f>
        <v>General</v>
      </c>
      <c r="G1676" s="292">
        <f>'Profits 2016'!N6889-'Profits 2016'!M6889</f>
        <v>26538.04</v>
      </c>
      <c r="H1676" s="331">
        <v>0</v>
      </c>
      <c r="I1676" s="332">
        <v>3787442</v>
      </c>
      <c r="J1676" s="333">
        <v>42684</v>
      </c>
      <c r="K1676" s="333">
        <v>42692</v>
      </c>
      <c r="L1676" s="333"/>
      <c r="M1676" s="331"/>
      <c r="N1676" s="334"/>
      <c r="O1676" s="236" t="str">
        <f>'Profits 2016'!T6889</f>
        <v>PITT OHIO</v>
      </c>
      <c r="P1676" s="284" t="str">
        <f>'Profits 2016'!U6889</f>
        <v>5011219372</v>
      </c>
      <c r="AF1676" s="276">
        <f t="shared" si="195"/>
        <v>26538.04</v>
      </c>
      <c r="AG1676" s="276">
        <f t="shared" si="196"/>
        <v>0</v>
      </c>
      <c r="AH1676" s="276">
        <f t="shared" si="197"/>
        <v>34596.449999999997</v>
      </c>
      <c r="AI1676" s="283">
        <f t="shared" si="198"/>
        <v>1.3036550551585571</v>
      </c>
    </row>
    <row r="1677" spans="1:35" x14ac:dyDescent="0.25">
      <c r="A1677" s="275">
        <f>'Profits 2016'!A6890</f>
        <v>0</v>
      </c>
      <c r="B1677" s="279">
        <f>'Profits 2016'!B6890</f>
        <v>0</v>
      </c>
      <c r="C1677" s="276">
        <f>'Profits 2016'!H6890</f>
        <v>0</v>
      </c>
      <c r="D1677" s="280">
        <f>'Profits 2016'!K6890</f>
        <v>0</v>
      </c>
      <c r="E1677" s="276">
        <f>'Profits 2016'!L6890</f>
        <v>3100</v>
      </c>
      <c r="F1677" s="275" t="str">
        <f>'Profits 2016'!P6890</f>
        <v>Basic</v>
      </c>
      <c r="G1677" s="292">
        <f>'Profits 2016'!N6890-'Profits 2016'!M6890</f>
        <v>4650</v>
      </c>
      <c r="H1677" s="331"/>
      <c r="I1677" s="332"/>
      <c r="J1677" s="333"/>
      <c r="K1677" s="333"/>
      <c r="L1677" s="333"/>
      <c r="M1677" s="331"/>
      <c r="N1677" s="334"/>
      <c r="O1677" s="236">
        <f>'Profits 2016'!T6890</f>
        <v>0</v>
      </c>
      <c r="P1677" s="284">
        <f>'Profits 2016'!U6890</f>
        <v>0</v>
      </c>
      <c r="AF1677" s="276">
        <f t="shared" si="195"/>
        <v>4650</v>
      </c>
      <c r="AG1677" s="276">
        <f t="shared" si="196"/>
        <v>0</v>
      </c>
      <c r="AH1677" s="276">
        <f t="shared" si="197"/>
        <v>0</v>
      </c>
      <c r="AI1677" s="283">
        <f t="shared" si="198"/>
        <v>0</v>
      </c>
    </row>
    <row r="1678" spans="1:35" ht="30" x14ac:dyDescent="0.25">
      <c r="A1678" s="275">
        <f>'Profits 2016'!A6891</f>
        <v>3005404</v>
      </c>
      <c r="B1678" s="279">
        <f>'Profits 2016'!B6891</f>
        <v>42681</v>
      </c>
      <c r="C1678" s="276">
        <f>'Profits 2016'!H6891</f>
        <v>129.47</v>
      </c>
      <c r="D1678" s="280">
        <f>'Profits 2016'!K6891</f>
        <v>115.05777</v>
      </c>
      <c r="E1678" s="276">
        <f>'Profits 2016'!L6891</f>
        <v>235</v>
      </c>
      <c r="F1678" s="275" t="str">
        <f>'Profits 2016'!P6891</f>
        <v>Nassau</v>
      </c>
      <c r="G1678" s="292">
        <f>'Profits 2016'!N6891-'Profits 2016'!M6891</f>
        <v>35.250000000000007</v>
      </c>
      <c r="H1678" s="319"/>
      <c r="I1678" s="320"/>
      <c r="J1678" s="321"/>
      <c r="K1678" s="321"/>
      <c r="L1678" s="321"/>
      <c r="M1678" s="319"/>
      <c r="N1678" s="322"/>
      <c r="O1678" s="236" t="str">
        <f>'Profits 2016'!T6891</f>
        <v>FEDEX GROUND</v>
      </c>
      <c r="P1678" s="284" t="str">
        <f>'Profits 2016'!U6891</f>
        <v>680483360900</v>
      </c>
      <c r="Q1678" s="284" t="s">
        <v>314</v>
      </c>
      <c r="R1678" s="276">
        <v>29.18</v>
      </c>
      <c r="S1678" s="275" t="s">
        <v>15847</v>
      </c>
      <c r="T1678" s="279">
        <v>42695</v>
      </c>
      <c r="U1678" s="279">
        <v>42702</v>
      </c>
      <c r="AF1678" s="276">
        <f t="shared" si="195"/>
        <v>64.430000000000007</v>
      </c>
      <c r="AG1678" s="276">
        <f t="shared" si="196"/>
        <v>29.18</v>
      </c>
      <c r="AH1678" s="276">
        <f t="shared" si="197"/>
        <v>85.877769999999998</v>
      </c>
      <c r="AI1678" s="283">
        <f t="shared" si="198"/>
        <v>1.3328848362564021</v>
      </c>
    </row>
    <row r="1679" spans="1:35" ht="30" x14ac:dyDescent="0.25">
      <c r="A1679" s="275">
        <f>'Profits 2016'!A6892</f>
        <v>3005405</v>
      </c>
      <c r="B1679" s="279">
        <f>'Profits 2016'!B6892</f>
        <v>42681</v>
      </c>
      <c r="C1679" s="276">
        <f>'Profits 2016'!H6892</f>
        <v>382.96</v>
      </c>
      <c r="D1679" s="280">
        <f>'Profits 2016'!K6892</f>
        <v>340.91735999999997</v>
      </c>
      <c r="E1679" s="276">
        <f>'Profits 2016'!L6892</f>
        <v>375</v>
      </c>
      <c r="F1679" s="275" t="str">
        <f>'Profits 2016'!P6892</f>
        <v>Thea</v>
      </c>
      <c r="G1679" s="292">
        <f>'Profits 2016'!N6892-'Profits 2016'!M6892</f>
        <v>150</v>
      </c>
      <c r="H1679" s="319"/>
      <c r="I1679" s="320"/>
      <c r="J1679" s="321"/>
      <c r="K1679" s="321"/>
      <c r="L1679" s="321"/>
      <c r="M1679" s="319"/>
      <c r="N1679" s="322"/>
      <c r="O1679" s="236" t="str">
        <f>'Profits 2016'!T6892</f>
        <v>FEDEX GROUND</v>
      </c>
      <c r="P1679" s="284" t="str">
        <f>'Profits 2016'!U6892</f>
        <v>675157531731</v>
      </c>
      <c r="Q1679" s="284" t="s">
        <v>314</v>
      </c>
      <c r="R1679" s="276">
        <v>58.7</v>
      </c>
      <c r="S1679" s="275" t="s">
        <v>15847</v>
      </c>
      <c r="T1679" s="279">
        <v>42695</v>
      </c>
      <c r="U1679" s="279">
        <v>42702</v>
      </c>
      <c r="AF1679" s="276">
        <f t="shared" si="195"/>
        <v>208.7</v>
      </c>
      <c r="AG1679" s="276">
        <f t="shared" si="196"/>
        <v>58.7</v>
      </c>
      <c r="AH1679" s="276">
        <f t="shared" si="197"/>
        <v>282.21735999999999</v>
      </c>
      <c r="AI1679" s="283">
        <f t="shared" si="198"/>
        <v>1.352263344513656</v>
      </c>
    </row>
    <row r="1680" spans="1:35" ht="30" x14ac:dyDescent="0.25">
      <c r="A1680" s="275">
        <f>'Profits 2016'!A6893</f>
        <v>3005406</v>
      </c>
      <c r="B1680" s="279">
        <f>'Profits 2016'!B6893</f>
        <v>42681</v>
      </c>
      <c r="C1680" s="276">
        <f>'Profits 2016'!H6893</f>
        <v>173.65</v>
      </c>
      <c r="D1680" s="280">
        <f>'Profits 2016'!K6893</f>
        <v>154.42215000000002</v>
      </c>
      <c r="E1680" s="276">
        <f>'Profits 2016'!L6893</f>
        <v>1229</v>
      </c>
      <c r="F1680" s="275" t="str">
        <f>'Profits 2016'!P6893</f>
        <v>Priority</v>
      </c>
      <c r="G1680" s="292">
        <f>'Profits 2016'!N6893-'Profits 2016'!M6893</f>
        <v>61.45</v>
      </c>
      <c r="H1680" s="331">
        <v>0</v>
      </c>
      <c r="I1680" s="332">
        <v>1074491</v>
      </c>
      <c r="J1680" s="333">
        <v>42682</v>
      </c>
      <c r="K1680" s="333">
        <v>42695</v>
      </c>
      <c r="L1680" s="333"/>
      <c r="M1680" s="331"/>
      <c r="N1680" s="334"/>
      <c r="O1680" s="236" t="str">
        <f>'Profits 2016'!T6893</f>
        <v>FEDEX GROUND</v>
      </c>
      <c r="P1680" s="284" t="str">
        <f>'Profits 2016'!U6893</f>
        <v>614697969580</v>
      </c>
      <c r="Q1680" s="284" t="s">
        <v>15740</v>
      </c>
      <c r="R1680" s="276">
        <v>24.66</v>
      </c>
      <c r="S1680" s="275">
        <v>1074491</v>
      </c>
      <c r="T1680" s="279">
        <v>42682</v>
      </c>
      <c r="U1680" s="279">
        <v>42695</v>
      </c>
      <c r="AF1680" s="276">
        <f t="shared" si="195"/>
        <v>86.11</v>
      </c>
      <c r="AG1680" s="276">
        <f t="shared" si="196"/>
        <v>24.66</v>
      </c>
      <c r="AH1680" s="276">
        <f t="shared" si="197"/>
        <v>129.76215000000002</v>
      </c>
      <c r="AI1680" s="283">
        <f t="shared" si="198"/>
        <v>1.5069347346417377</v>
      </c>
    </row>
    <row r="1681" spans="1:35" ht="30" x14ac:dyDescent="0.25">
      <c r="A1681" s="275">
        <f>'Profits 2016'!A6894</f>
        <v>3005407</v>
      </c>
      <c r="B1681" s="279">
        <f>'Profits 2016'!B6894</f>
        <v>42681</v>
      </c>
      <c r="C1681" s="276">
        <f>'Profits 2016'!H6894</f>
        <v>314.86</v>
      </c>
      <c r="D1681" s="280">
        <f>'Profits 2016'!K6894</f>
        <v>280.24026000000003</v>
      </c>
      <c r="E1681" s="276">
        <f>'Profits 2016'!L6894</f>
        <v>375</v>
      </c>
      <c r="F1681" s="275" t="str">
        <f>'Profits 2016'!P6894</f>
        <v>Thea</v>
      </c>
      <c r="G1681" s="292">
        <f>'Profits 2016'!N6894-'Profits 2016'!M6894</f>
        <v>131.25</v>
      </c>
      <c r="H1681" s="319"/>
      <c r="I1681" s="320"/>
      <c r="J1681" s="321"/>
      <c r="K1681" s="321"/>
      <c r="L1681" s="321"/>
      <c r="M1681" s="319"/>
      <c r="N1681" s="322"/>
      <c r="O1681" s="236" t="str">
        <f>'Profits 2016'!T6894</f>
        <v>FEDEX GROUND</v>
      </c>
      <c r="P1681" s="284" t="str">
        <f>'Profits 2016'!U6894</f>
        <v>675157531720</v>
      </c>
      <c r="Q1681" s="284" t="s">
        <v>314</v>
      </c>
      <c r="R1681" s="276">
        <v>65.14</v>
      </c>
      <c r="S1681" s="275" t="s">
        <v>15847</v>
      </c>
      <c r="T1681" s="279">
        <v>42695</v>
      </c>
      <c r="U1681" s="279">
        <v>42702</v>
      </c>
      <c r="AF1681" s="276">
        <f t="shared" si="195"/>
        <v>196.39</v>
      </c>
      <c r="AG1681" s="276">
        <f t="shared" si="196"/>
        <v>65.14</v>
      </c>
      <c r="AH1681" s="276">
        <f t="shared" si="197"/>
        <v>215.10026000000005</v>
      </c>
      <c r="AI1681" s="283">
        <f t="shared" si="198"/>
        <v>1.0952709404755847</v>
      </c>
    </row>
    <row r="1682" spans="1:35" ht="30" x14ac:dyDescent="0.25">
      <c r="A1682" s="275">
        <f>'Profits 2016'!A6895</f>
        <v>3005408</v>
      </c>
      <c r="B1682" s="279">
        <f>'Profits 2016'!B6895</f>
        <v>42681</v>
      </c>
      <c r="C1682" s="276">
        <f>'Profits 2016'!H6895</f>
        <v>320</v>
      </c>
      <c r="D1682" s="280">
        <f>'Profits 2016'!K6895</f>
        <v>284.82</v>
      </c>
      <c r="E1682" s="276">
        <f>'Profits 2016'!L6895</f>
        <v>750</v>
      </c>
      <c r="F1682" s="275" t="str">
        <f>'Profits 2016'!P6895</f>
        <v>Nassau</v>
      </c>
      <c r="G1682" s="292">
        <f>'Profits 2016'!N6895-'Profits 2016'!M6895</f>
        <v>187.5</v>
      </c>
      <c r="H1682" s="319"/>
      <c r="I1682" s="320"/>
      <c r="J1682" s="321"/>
      <c r="K1682" s="321"/>
      <c r="L1682" s="321"/>
      <c r="M1682" s="319"/>
      <c r="N1682" s="322"/>
      <c r="O1682" s="236" t="str">
        <f>'Profits 2016'!T6895</f>
        <v>FEDEX GROUND</v>
      </c>
      <c r="P1682" s="284" t="str">
        <f>'Profits 2016'!U6895</f>
        <v>680483360965</v>
      </c>
      <c r="Q1682" s="284" t="s">
        <v>314</v>
      </c>
      <c r="R1682" s="276">
        <v>37.520000000000003</v>
      </c>
      <c r="S1682" s="275" t="s">
        <v>15847</v>
      </c>
      <c r="T1682" s="279">
        <v>42695</v>
      </c>
      <c r="U1682" s="279">
        <v>42702</v>
      </c>
      <c r="AF1682" s="276">
        <f t="shared" si="195"/>
        <v>225.02</v>
      </c>
      <c r="AG1682" s="276">
        <f t="shared" si="196"/>
        <v>37.520000000000003</v>
      </c>
      <c r="AH1682" s="276">
        <f t="shared" si="197"/>
        <v>247.29999999999998</v>
      </c>
      <c r="AI1682" s="283">
        <f t="shared" si="198"/>
        <v>1.0990134210292417</v>
      </c>
    </row>
    <row r="1683" spans="1:35" ht="30" x14ac:dyDescent="0.25">
      <c r="A1683" s="275">
        <f>'Profits 2016'!A6896</f>
        <v>3005409</v>
      </c>
      <c r="B1683" s="279">
        <f>'Profits 2016'!B6896</f>
        <v>42681</v>
      </c>
      <c r="C1683" s="276">
        <f>'Profits 2016'!H6896</f>
        <v>267.17</v>
      </c>
      <c r="D1683" s="280">
        <f>'Profits 2016'!K6896</f>
        <v>237.74847000000003</v>
      </c>
      <c r="E1683" s="276">
        <f>'Profits 2016'!L6896</f>
        <v>350</v>
      </c>
      <c r="F1683" s="275" t="str">
        <f>'Profits 2016'!P6896</f>
        <v>Nassau</v>
      </c>
      <c r="G1683" s="292">
        <f>'Profits 2016'!N6896-'Profits 2016'!M6896</f>
        <v>105</v>
      </c>
      <c r="H1683" s="319"/>
      <c r="I1683" s="320"/>
      <c r="J1683" s="321"/>
      <c r="K1683" s="321"/>
      <c r="L1683" s="321"/>
      <c r="M1683" s="319"/>
      <c r="N1683" s="322"/>
      <c r="O1683" s="236" t="str">
        <f>'Profits 2016'!T6896</f>
        <v>FEDEX GROUND</v>
      </c>
      <c r="P1683" s="284" t="str">
        <f>'Profits 2016'!U6896</f>
        <v>702723291790</v>
      </c>
      <c r="Q1683" s="284" t="s">
        <v>314</v>
      </c>
      <c r="R1683" s="276">
        <v>41.46</v>
      </c>
      <c r="S1683" s="275" t="s">
        <v>15847</v>
      </c>
      <c r="T1683" s="279">
        <v>42695</v>
      </c>
      <c r="U1683" s="279">
        <v>42702</v>
      </c>
      <c r="AF1683" s="276">
        <f t="shared" si="195"/>
        <v>146.46</v>
      </c>
      <c r="AG1683" s="276">
        <f t="shared" si="196"/>
        <v>41.46</v>
      </c>
      <c r="AH1683" s="276">
        <f t="shared" si="197"/>
        <v>196.28847000000002</v>
      </c>
      <c r="AI1683" s="283">
        <f t="shared" si="198"/>
        <v>1.3402189676362146</v>
      </c>
    </row>
    <row r="1684" spans="1:35" ht="30" x14ac:dyDescent="0.25">
      <c r="A1684" s="275">
        <f>'Profits 2016'!A6897</f>
        <v>3005410</v>
      </c>
      <c r="B1684" s="279">
        <f>'Profits 2016'!B6897</f>
        <v>42681</v>
      </c>
      <c r="C1684" s="276">
        <f>'Profits 2016'!H6897</f>
        <v>131.91</v>
      </c>
      <c r="D1684" s="280">
        <f>'Profits 2016'!K6897</f>
        <v>117.23181</v>
      </c>
      <c r="E1684" s="276">
        <f>'Profits 2016'!L6897</f>
        <v>431</v>
      </c>
      <c r="F1684" s="275" t="str">
        <f>'Profits 2016'!P6897</f>
        <v>Nassau</v>
      </c>
      <c r="G1684" s="292">
        <f>'Profits 2016'!N6897-'Profits 2016'!M6897</f>
        <v>43.1</v>
      </c>
      <c r="H1684" s="319"/>
      <c r="I1684" s="320"/>
      <c r="J1684" s="321"/>
      <c r="K1684" s="321"/>
      <c r="L1684" s="321"/>
      <c r="M1684" s="319"/>
      <c r="N1684" s="322"/>
      <c r="O1684" s="236" t="str">
        <f>'Profits 2016'!T6897</f>
        <v>FEDEX GROUND</v>
      </c>
      <c r="P1684" s="284" t="str">
        <f>'Profits 2016'!U6897</f>
        <v>702723291815</v>
      </c>
      <c r="Q1684" s="284" t="s">
        <v>314</v>
      </c>
      <c r="R1684" s="276">
        <v>17.21</v>
      </c>
      <c r="S1684" s="275" t="s">
        <v>15847</v>
      </c>
      <c r="T1684" s="279">
        <v>42695</v>
      </c>
      <c r="U1684" s="279">
        <v>42702</v>
      </c>
      <c r="AF1684" s="276">
        <f t="shared" si="195"/>
        <v>60.31</v>
      </c>
      <c r="AG1684" s="276">
        <f t="shared" si="196"/>
        <v>17.21</v>
      </c>
      <c r="AH1684" s="276">
        <f t="shared" si="197"/>
        <v>100.02180999999999</v>
      </c>
      <c r="AI1684" s="283">
        <f t="shared" si="198"/>
        <v>1.6584614491792404</v>
      </c>
    </row>
    <row r="1685" spans="1:35" ht="30" x14ac:dyDescent="0.25">
      <c r="A1685" s="275">
        <f>'Profits 2016'!A6898</f>
        <v>3005411</v>
      </c>
      <c r="B1685" s="279">
        <f>'Profits 2016'!B6898</f>
        <v>42681</v>
      </c>
      <c r="C1685" s="276">
        <f>'Profits 2016'!H6898</f>
        <v>350</v>
      </c>
      <c r="D1685" s="280">
        <f>'Profits 2016'!K6898</f>
        <v>311.55</v>
      </c>
      <c r="E1685" s="276">
        <f>'Profits 2016'!L6898</f>
        <v>0</v>
      </c>
      <c r="F1685" s="275" t="str">
        <f>'Profits 2016'!P6898</f>
        <v>Nassau</v>
      </c>
      <c r="G1685" s="292">
        <f>'Profits 2016'!N6898-'Profits 2016'!M6898</f>
        <v>0</v>
      </c>
      <c r="H1685" s="319"/>
      <c r="I1685" s="320"/>
      <c r="J1685" s="321"/>
      <c r="K1685" s="321"/>
      <c r="L1685" s="321"/>
      <c r="M1685" s="319"/>
      <c r="N1685" s="322"/>
      <c r="O1685" s="236" t="str">
        <f>'Profits 2016'!T6898</f>
        <v>FEDEX GROUND</v>
      </c>
      <c r="P1685" s="284" t="str">
        <f>'Profits 2016'!U6898</f>
        <v>680483360976</v>
      </c>
      <c r="Q1685" s="284" t="s">
        <v>314</v>
      </c>
      <c r="R1685" s="276">
        <v>41.74</v>
      </c>
      <c r="S1685" s="275" t="s">
        <v>15847</v>
      </c>
      <c r="T1685" s="279">
        <v>42695</v>
      </c>
      <c r="U1685" s="279">
        <v>42702</v>
      </c>
      <c r="AF1685" s="276">
        <f t="shared" si="195"/>
        <v>41.74</v>
      </c>
      <c r="AG1685" s="276">
        <f t="shared" si="196"/>
        <v>41.74</v>
      </c>
      <c r="AH1685" s="276">
        <f t="shared" si="197"/>
        <v>269.81</v>
      </c>
      <c r="AI1685" s="283">
        <f t="shared" si="198"/>
        <v>6.4640632486823186</v>
      </c>
    </row>
    <row r="1686" spans="1:35" ht="30" x14ac:dyDescent="0.25">
      <c r="A1686" s="275">
        <f>'Profits 2016'!A6899</f>
        <v>3005412</v>
      </c>
      <c r="B1686" s="279">
        <f>'Profits 2016'!B6899</f>
        <v>42681</v>
      </c>
      <c r="C1686" s="276">
        <f>'Profits 2016'!H6899</f>
        <v>201.57</v>
      </c>
      <c r="D1686" s="280">
        <f>'Profits 2016'!K6899</f>
        <v>179.29886999999999</v>
      </c>
      <c r="E1686" s="276">
        <f>'Profits 2016'!L6899</f>
        <v>375</v>
      </c>
      <c r="F1686" s="275" t="str">
        <f>'Profits 2016'!P6899</f>
        <v>Thea</v>
      </c>
      <c r="G1686" s="292">
        <f>'Profits 2016'!N6899-'Profits 2016'!M6899</f>
        <v>75</v>
      </c>
      <c r="H1686" s="319"/>
      <c r="I1686" s="320"/>
      <c r="J1686" s="321"/>
      <c r="K1686" s="321"/>
      <c r="L1686" s="321"/>
      <c r="M1686" s="319"/>
      <c r="N1686" s="322"/>
      <c r="O1686" s="236" t="str">
        <f>'Profits 2016'!T6899</f>
        <v>FEDEX GROUND</v>
      </c>
      <c r="P1686" s="284" t="str">
        <f>'Profits 2016'!U6899</f>
        <v>675157531672</v>
      </c>
      <c r="AF1686" s="276">
        <f t="shared" si="195"/>
        <v>75</v>
      </c>
      <c r="AG1686" s="276">
        <f t="shared" si="196"/>
        <v>0</v>
      </c>
      <c r="AH1686" s="276">
        <f t="shared" si="197"/>
        <v>179.29886999999999</v>
      </c>
      <c r="AI1686" s="283">
        <f t="shared" si="198"/>
        <v>2.3906516</v>
      </c>
    </row>
    <row r="1687" spans="1:35" ht="30" x14ac:dyDescent="0.25">
      <c r="A1687" s="275">
        <f>'Profits 2016'!A6900</f>
        <v>3005413</v>
      </c>
      <c r="B1687" s="279">
        <f>'Profits 2016'!B6900</f>
        <v>42681</v>
      </c>
      <c r="C1687" s="276">
        <f>'Profits 2016'!H6900</f>
        <v>152</v>
      </c>
      <c r="D1687" s="280">
        <f>'Profits 2016'!K6900</f>
        <v>135.13200000000001</v>
      </c>
      <c r="E1687" s="276">
        <f>'Profits 2016'!L6900</f>
        <v>616</v>
      </c>
      <c r="F1687" s="275" t="str">
        <f>'Profits 2016'!P6900</f>
        <v>Nassau</v>
      </c>
      <c r="G1687" s="292">
        <f>'Profits 2016'!N6900-'Profits 2016'!M6900</f>
        <v>46.199999999999996</v>
      </c>
      <c r="H1687" s="319"/>
      <c r="I1687" s="320"/>
      <c r="J1687" s="321"/>
      <c r="K1687" s="321"/>
      <c r="L1687" s="321"/>
      <c r="M1687" s="319"/>
      <c r="N1687" s="322"/>
      <c r="O1687" s="236" t="str">
        <f>'Profits 2016'!T6900</f>
        <v>FEDEX GROUND</v>
      </c>
      <c r="P1687" s="284" t="str">
        <f>'Profits 2016'!U6900</f>
        <v>702723291804</v>
      </c>
      <c r="Q1687" s="284" t="s">
        <v>314</v>
      </c>
      <c r="R1687" s="276">
        <v>14.03</v>
      </c>
      <c r="S1687" s="275" t="s">
        <v>15847</v>
      </c>
      <c r="T1687" s="279">
        <v>42695</v>
      </c>
      <c r="U1687" s="279">
        <v>42702</v>
      </c>
      <c r="AF1687" s="276">
        <f t="shared" si="195"/>
        <v>60.23</v>
      </c>
      <c r="AG1687" s="276">
        <f t="shared" si="196"/>
        <v>14.03</v>
      </c>
      <c r="AH1687" s="276">
        <f t="shared" si="197"/>
        <v>121.102</v>
      </c>
      <c r="AI1687" s="283">
        <f t="shared" si="198"/>
        <v>2.0106591399634737</v>
      </c>
    </row>
    <row r="1688" spans="1:35" ht="30" x14ac:dyDescent="0.25">
      <c r="A1688" s="275">
        <f>'Profits 2016'!A6901</f>
        <v>3005414</v>
      </c>
      <c r="B1688" s="279">
        <f>'Profits 2016'!B6901</f>
        <v>42681</v>
      </c>
      <c r="C1688" s="276">
        <f>'Profits 2016'!H6901</f>
        <v>182.68</v>
      </c>
      <c r="D1688" s="280">
        <f>'Profits 2016'!K6901</f>
        <v>162.46788000000001</v>
      </c>
      <c r="E1688" s="276">
        <f>'Profits 2016'!L6901</f>
        <v>235</v>
      </c>
      <c r="F1688" s="275" t="str">
        <f>'Profits 2016'!P6901</f>
        <v>Nassau</v>
      </c>
      <c r="G1688" s="292">
        <f>'Profits 2016'!N6901-'Profits 2016'!M6901</f>
        <v>58.75</v>
      </c>
      <c r="H1688" s="319"/>
      <c r="I1688" s="320"/>
      <c r="J1688" s="321"/>
      <c r="K1688" s="321"/>
      <c r="L1688" s="321"/>
      <c r="M1688" s="319"/>
      <c r="N1688" s="322"/>
      <c r="O1688" s="236" t="str">
        <f>'Profits 2016'!T6901</f>
        <v>FEDEX GROUND</v>
      </c>
      <c r="P1688" s="284" t="str">
        <f>'Profits 2016'!U6901</f>
        <v>680483360921</v>
      </c>
      <c r="Q1688" s="284" t="s">
        <v>314</v>
      </c>
      <c r="R1688" s="276">
        <v>34.25</v>
      </c>
      <c r="S1688" s="275" t="s">
        <v>15847</v>
      </c>
      <c r="T1688" s="279">
        <v>42695</v>
      </c>
      <c r="U1688" s="279">
        <v>42702</v>
      </c>
      <c r="AF1688" s="276">
        <f t="shared" si="195"/>
        <v>93</v>
      </c>
      <c r="AG1688" s="276">
        <f t="shared" si="196"/>
        <v>34.25</v>
      </c>
      <c r="AH1688" s="276">
        <f t="shared" si="197"/>
        <v>128.21788000000001</v>
      </c>
      <c r="AI1688" s="283">
        <f t="shared" si="198"/>
        <v>1.3786868817204303</v>
      </c>
    </row>
    <row r="1689" spans="1:35" ht="30" x14ac:dyDescent="0.25">
      <c r="A1689" s="275">
        <f>'Profits 2016'!A6902</f>
        <v>3005415</v>
      </c>
      <c r="B1689" s="279">
        <f>'Profits 2016'!B6902</f>
        <v>42681</v>
      </c>
      <c r="C1689" s="276">
        <f>'Profits 2016'!H6902</f>
        <v>201.12</v>
      </c>
      <c r="D1689" s="280">
        <f>'Profits 2016'!K6902</f>
        <v>178.89792</v>
      </c>
      <c r="E1689" s="276">
        <f>'Profits 2016'!L6902</f>
        <v>235</v>
      </c>
      <c r="F1689" s="275" t="str">
        <f>'Profits 2016'!P6902</f>
        <v>Nassau</v>
      </c>
      <c r="G1689" s="292">
        <f>'Profits 2016'!N6902-'Profits 2016'!M6902</f>
        <v>46.999999999999993</v>
      </c>
      <c r="H1689" s="319"/>
      <c r="I1689" s="320"/>
      <c r="J1689" s="321"/>
      <c r="K1689" s="321"/>
      <c r="L1689" s="321"/>
      <c r="M1689" s="319"/>
      <c r="N1689" s="322"/>
      <c r="O1689" s="236" t="str">
        <f>'Profits 2016'!T6902</f>
        <v>FEDEX GROUND</v>
      </c>
      <c r="P1689" s="284" t="str">
        <f>'Profits 2016'!U6902</f>
        <v>702723291756</v>
      </c>
      <c r="Q1689" s="284" t="s">
        <v>314</v>
      </c>
      <c r="R1689" s="276">
        <v>33.51</v>
      </c>
      <c r="S1689" s="275" t="s">
        <v>15847</v>
      </c>
      <c r="T1689" s="279">
        <v>42695</v>
      </c>
      <c r="U1689" s="279">
        <v>42702</v>
      </c>
      <c r="AF1689" s="276">
        <f t="shared" si="195"/>
        <v>80.509999999999991</v>
      </c>
      <c r="AG1689" s="276">
        <f t="shared" si="196"/>
        <v>33.51</v>
      </c>
      <c r="AH1689" s="276">
        <f t="shared" si="197"/>
        <v>145.38792000000001</v>
      </c>
      <c r="AI1689" s="283">
        <f t="shared" si="198"/>
        <v>1.8058367904608126</v>
      </c>
    </row>
    <row r="1690" spans="1:35" x14ac:dyDescent="0.25">
      <c r="A1690" s="275">
        <f>'Profits 2016'!A6903</f>
        <v>0</v>
      </c>
      <c r="B1690" s="279">
        <f>'Profits 2016'!B6903</f>
        <v>0</v>
      </c>
      <c r="C1690" s="276">
        <f>'Profits 2016'!H6903</f>
        <v>0</v>
      </c>
      <c r="D1690" s="280">
        <f>'Profits 2016'!K6903</f>
        <v>0</v>
      </c>
      <c r="E1690" s="276">
        <f>'Profits 2016'!L6903</f>
        <v>424</v>
      </c>
      <c r="F1690" s="275" t="str">
        <f>'Profits 2016'!P6903</f>
        <v>Nassau</v>
      </c>
      <c r="G1690" s="292">
        <f>'Profits 2016'!N6903-'Profits 2016'!M6903</f>
        <v>21.200000000000003</v>
      </c>
      <c r="H1690" s="319"/>
      <c r="I1690" s="320"/>
      <c r="J1690" s="321"/>
      <c r="K1690" s="321"/>
      <c r="L1690" s="321"/>
      <c r="M1690" s="319"/>
      <c r="N1690" s="322"/>
      <c r="O1690" s="236">
        <f>'Profits 2016'!T6903</f>
        <v>0</v>
      </c>
      <c r="P1690" s="284">
        <f>'Profits 2016'!U6903</f>
        <v>0</v>
      </c>
      <c r="Q1690" s="284" t="s">
        <v>314</v>
      </c>
      <c r="R1690" s="276">
        <v>0</v>
      </c>
      <c r="S1690" s="275" t="s">
        <v>15847</v>
      </c>
      <c r="T1690" s="279">
        <v>42695</v>
      </c>
      <c r="U1690" s="279">
        <v>42702</v>
      </c>
      <c r="AF1690" s="276">
        <f t="shared" si="195"/>
        <v>21.200000000000003</v>
      </c>
      <c r="AG1690" s="276">
        <f t="shared" si="196"/>
        <v>0</v>
      </c>
      <c r="AH1690" s="276">
        <f t="shared" si="197"/>
        <v>0</v>
      </c>
      <c r="AI1690" s="283">
        <f t="shared" si="198"/>
        <v>0</v>
      </c>
    </row>
    <row r="1691" spans="1:35" ht="30" x14ac:dyDescent="0.25">
      <c r="A1691" s="275">
        <f>'Profits 2016'!A6904</f>
        <v>3005416</v>
      </c>
      <c r="B1691" s="279">
        <f>'Profits 2016'!B6904</f>
        <v>42681</v>
      </c>
      <c r="C1691" s="276">
        <f>'Profits 2016'!H6904</f>
        <v>225</v>
      </c>
      <c r="D1691" s="280">
        <f>'Profits 2016'!K6904</f>
        <v>200.17500000000001</v>
      </c>
      <c r="E1691" s="276">
        <f>'Profits 2016'!L6904</f>
        <v>409</v>
      </c>
      <c r="F1691" s="275" t="str">
        <f>'Profits 2016'!P6904</f>
        <v>Nassau</v>
      </c>
      <c r="G1691" s="292">
        <f>'Profits 2016'!N6904-'Profits 2016'!M6904</f>
        <v>102.25</v>
      </c>
      <c r="H1691" s="319"/>
      <c r="I1691" s="320"/>
      <c r="J1691" s="321"/>
      <c r="K1691" s="321"/>
      <c r="L1691" s="321"/>
      <c r="M1691" s="319"/>
      <c r="N1691" s="322"/>
      <c r="O1691" s="236" t="str">
        <f>'Profits 2016'!T6904</f>
        <v>FEDEX GROUND</v>
      </c>
      <c r="P1691" s="284" t="str">
        <f>'Profits 2016'!U6904</f>
        <v>680483360932</v>
      </c>
      <c r="Q1691" s="284" t="s">
        <v>314</v>
      </c>
      <c r="R1691" s="276">
        <v>18.190000000000001</v>
      </c>
      <c r="S1691" s="275" t="s">
        <v>15847</v>
      </c>
      <c r="T1691" s="279">
        <v>42695</v>
      </c>
      <c r="U1691" s="279">
        <v>42702</v>
      </c>
      <c r="AF1691" s="276">
        <f t="shared" si="195"/>
        <v>120.44</v>
      </c>
      <c r="AG1691" s="276">
        <f t="shared" si="196"/>
        <v>18.190000000000001</v>
      </c>
      <c r="AH1691" s="276">
        <f t="shared" si="197"/>
        <v>181.98500000000001</v>
      </c>
      <c r="AI1691" s="283">
        <f t="shared" si="198"/>
        <v>1.5110013284623049</v>
      </c>
    </row>
    <row r="1692" spans="1:35" ht="30" x14ac:dyDescent="0.25">
      <c r="A1692" s="275">
        <f>'Profits 2016'!A6905</f>
        <v>3005417</v>
      </c>
      <c r="B1692" s="279">
        <f>'Profits 2016'!B6905</f>
        <v>42681</v>
      </c>
      <c r="C1692" s="276">
        <f>'Profits 2016'!H6905</f>
        <v>106.52</v>
      </c>
      <c r="D1692" s="280">
        <f>'Profits 2016'!K6905</f>
        <v>94.609319999999997</v>
      </c>
      <c r="E1692" s="276">
        <f>'Profits 2016'!L6905</f>
        <v>300</v>
      </c>
      <c r="F1692" s="275" t="str">
        <f>'Profits 2016'!P6905</f>
        <v>A-Z</v>
      </c>
      <c r="G1692" s="292">
        <f>'Profits 2016'!N6905-'Profits 2016'!M6905</f>
        <v>75</v>
      </c>
      <c r="H1692" s="331">
        <v>0</v>
      </c>
      <c r="I1692" s="332">
        <v>409018</v>
      </c>
      <c r="J1692" s="333">
        <v>42683</v>
      </c>
      <c r="K1692" s="333">
        <v>42688</v>
      </c>
      <c r="L1692" s="333"/>
      <c r="M1692" s="331"/>
      <c r="N1692" s="334"/>
      <c r="O1692" s="236" t="str">
        <f>'Profits 2016'!T6905</f>
        <v>FEDEX GROUND</v>
      </c>
      <c r="P1692" s="284" t="str">
        <f>'Profits 2016'!U6905</f>
        <v>676563249430</v>
      </c>
      <c r="AF1692" s="276">
        <f t="shared" si="195"/>
        <v>75</v>
      </c>
      <c r="AG1692" s="276">
        <f t="shared" si="196"/>
        <v>0</v>
      </c>
      <c r="AH1692" s="276">
        <f t="shared" si="197"/>
        <v>94.609319999999997</v>
      </c>
      <c r="AI1692" s="283">
        <f t="shared" si="198"/>
        <v>1.2614576</v>
      </c>
    </row>
    <row r="1693" spans="1:35" ht="30" x14ac:dyDescent="0.25">
      <c r="A1693" s="275">
        <f>'Profits 2016'!A6906</f>
        <v>3005418</v>
      </c>
      <c r="B1693" s="279">
        <f>'Profits 2016'!B6906</f>
        <v>42681</v>
      </c>
      <c r="C1693" s="276">
        <f>'Profits 2016'!H6906</f>
        <v>341.55</v>
      </c>
      <c r="D1693" s="280">
        <f>'Profits 2016'!K6906</f>
        <v>304.02105</v>
      </c>
      <c r="E1693" s="276">
        <f>'Profits 2016'!L6906</f>
        <v>1322</v>
      </c>
      <c r="F1693" s="275" t="str">
        <f>'Profits 2016'!P6906</f>
        <v>Nassau</v>
      </c>
      <c r="G1693" s="292">
        <f>'Profits 2016'!N6906-'Profits 2016'!M6906</f>
        <v>198.29999999999998</v>
      </c>
      <c r="H1693" s="319"/>
      <c r="I1693" s="320"/>
      <c r="J1693" s="321"/>
      <c r="K1693" s="321"/>
      <c r="L1693" s="321"/>
      <c r="M1693" s="319"/>
      <c r="N1693" s="322"/>
      <c r="O1693" s="236" t="str">
        <f>'Profits 2016'!T6906</f>
        <v>FEDEX GROUND</v>
      </c>
      <c r="P1693" s="284" t="str">
        <f>'Profits 2016'!U6906</f>
        <v>702723291767</v>
      </c>
      <c r="Q1693" s="284" t="s">
        <v>314</v>
      </c>
      <c r="R1693" s="276">
        <v>39.479999999999997</v>
      </c>
      <c r="S1693" s="275" t="s">
        <v>15847</v>
      </c>
      <c r="T1693" s="279">
        <v>42695</v>
      </c>
      <c r="U1693" s="279">
        <v>42702</v>
      </c>
      <c r="AF1693" s="276">
        <f t="shared" si="195"/>
        <v>237.77999999999997</v>
      </c>
      <c r="AG1693" s="276">
        <f t="shared" si="196"/>
        <v>39.479999999999997</v>
      </c>
      <c r="AH1693" s="276">
        <f t="shared" si="197"/>
        <v>264.54104999999998</v>
      </c>
      <c r="AI1693" s="283">
        <f t="shared" si="198"/>
        <v>1.1125454201362606</v>
      </c>
    </row>
    <row r="1694" spans="1:35" ht="30" x14ac:dyDescent="0.25">
      <c r="A1694" s="275">
        <f>'Profits 2016'!A6907</f>
        <v>3005419</v>
      </c>
      <c r="B1694" s="279">
        <f>'Profits 2016'!B6907</f>
        <v>42681</v>
      </c>
      <c r="C1694" s="276">
        <f>'Profits 2016'!H6907</f>
        <v>382.96</v>
      </c>
      <c r="D1694" s="280">
        <f>'Profits 2016'!K6907</f>
        <v>340.91735999999997</v>
      </c>
      <c r="E1694" s="276">
        <f>'Profits 2016'!L6907</f>
        <v>375</v>
      </c>
      <c r="F1694" s="275" t="str">
        <f>'Profits 2016'!P6907</f>
        <v>Thea</v>
      </c>
      <c r="G1694" s="292">
        <f>'Profits 2016'!N6907-'Profits 2016'!M6907</f>
        <v>150</v>
      </c>
      <c r="H1694" s="319"/>
      <c r="I1694" s="320"/>
      <c r="J1694" s="321"/>
      <c r="K1694" s="321"/>
      <c r="L1694" s="321"/>
      <c r="M1694" s="319"/>
      <c r="N1694" s="322"/>
      <c r="O1694" s="236" t="str">
        <f>'Profits 2016'!T6907</f>
        <v>FEDEX GROUND</v>
      </c>
      <c r="P1694" s="284" t="str">
        <f>'Profits 2016'!U6907</f>
        <v>675157531742</v>
      </c>
      <c r="AF1694" s="276">
        <f t="shared" si="195"/>
        <v>150</v>
      </c>
      <c r="AG1694" s="276">
        <f t="shared" si="196"/>
        <v>0</v>
      </c>
      <c r="AH1694" s="276">
        <f t="shared" si="197"/>
        <v>340.91735999999997</v>
      </c>
      <c r="AI1694" s="283">
        <f t="shared" si="198"/>
        <v>2.2727823999999996</v>
      </c>
    </row>
    <row r="1695" spans="1:35" ht="30" x14ac:dyDescent="0.25">
      <c r="A1695" s="275">
        <f>'Profits 2016'!A6908</f>
        <v>3005420</v>
      </c>
      <c r="B1695" s="279">
        <f>'Profits 2016'!B6908</f>
        <v>42681</v>
      </c>
      <c r="C1695" s="276">
        <f>'Profits 2016'!H6908</f>
        <v>247</v>
      </c>
      <c r="D1695" s="280">
        <f>'Profits 2016'!K6908</f>
        <v>219.77700000000002</v>
      </c>
      <c r="E1695" s="276">
        <f>'Profits 2016'!L6908</f>
        <v>1229</v>
      </c>
      <c r="F1695" s="275" t="str">
        <f>'Profits 2016'!P6908</f>
        <v>Priority</v>
      </c>
      <c r="G1695" s="292">
        <f>'Profits 2016'!N6908-'Profits 2016'!M6908</f>
        <v>145.02200000000002</v>
      </c>
      <c r="H1695" s="331">
        <v>0</v>
      </c>
      <c r="I1695" s="332">
        <v>1074450</v>
      </c>
      <c r="J1695" s="333">
        <v>42682</v>
      </c>
      <c r="K1695" s="333">
        <v>42695</v>
      </c>
      <c r="L1695" s="333"/>
      <c r="M1695" s="331"/>
      <c r="N1695" s="334"/>
      <c r="O1695" s="236" t="str">
        <f>'Profits 2016'!T6908</f>
        <v>FEDEX GROUND</v>
      </c>
      <c r="P1695" s="284" t="str">
        <f>'Profits 2016'!U6908</f>
        <v xml:space="preserve">	616712878020</v>
      </c>
      <c r="Q1695" s="284" t="s">
        <v>15740</v>
      </c>
      <c r="R1695" s="276">
        <v>34.5</v>
      </c>
      <c r="S1695" s="275">
        <v>1074450</v>
      </c>
      <c r="T1695" s="279">
        <v>42682</v>
      </c>
      <c r="U1695" s="279">
        <v>42695</v>
      </c>
      <c r="AF1695" s="276">
        <f t="shared" si="195"/>
        <v>179.52200000000002</v>
      </c>
      <c r="AG1695" s="276">
        <f t="shared" si="196"/>
        <v>34.5</v>
      </c>
      <c r="AH1695" s="276">
        <f t="shared" si="197"/>
        <v>185.27700000000002</v>
      </c>
      <c r="AI1695" s="283">
        <f t="shared" si="198"/>
        <v>1.0320573523022247</v>
      </c>
    </row>
    <row r="1696" spans="1:35" ht="30" x14ac:dyDescent="0.25">
      <c r="A1696" s="275">
        <f>'Profits 2016'!A6909</f>
        <v>3005421</v>
      </c>
      <c r="B1696" s="279">
        <f>'Profits 2016'!B6909</f>
        <v>42681</v>
      </c>
      <c r="C1696" s="276">
        <f>'Profits 2016'!H6909</f>
        <v>133</v>
      </c>
      <c r="D1696" s="280">
        <f>'Profits 2016'!K6909</f>
        <v>118.203</v>
      </c>
      <c r="E1696" s="276">
        <f>'Profits 2016'!L6909</f>
        <v>220</v>
      </c>
      <c r="F1696" s="275" t="str">
        <f>'Profits 2016'!P6909</f>
        <v>Nassau</v>
      </c>
      <c r="G1696" s="292">
        <f>'Profits 2016'!N6909-'Profits 2016'!M6909</f>
        <v>55</v>
      </c>
      <c r="H1696" s="319"/>
      <c r="I1696" s="320"/>
      <c r="J1696" s="321"/>
      <c r="K1696" s="321"/>
      <c r="L1696" s="321"/>
      <c r="M1696" s="319"/>
      <c r="N1696" s="322"/>
      <c r="O1696" s="236" t="str">
        <f>'Profits 2016'!T6909</f>
        <v>FEDEX GROUND</v>
      </c>
      <c r="P1696" s="284" t="str">
        <f>'Profits 2016'!U6909</f>
        <v>680483360910</v>
      </c>
      <c r="Q1696" s="284" t="s">
        <v>314</v>
      </c>
      <c r="R1696" s="276">
        <v>14.39</v>
      </c>
      <c r="S1696" s="275" t="s">
        <v>15847</v>
      </c>
      <c r="T1696" s="279">
        <v>42695</v>
      </c>
      <c r="U1696" s="279">
        <v>42702</v>
      </c>
      <c r="AF1696" s="276">
        <f t="shared" si="195"/>
        <v>69.39</v>
      </c>
      <c r="AG1696" s="276">
        <f t="shared" si="196"/>
        <v>14.39</v>
      </c>
      <c r="AH1696" s="276">
        <f t="shared" si="197"/>
        <v>103.813</v>
      </c>
      <c r="AI1696" s="283">
        <f t="shared" si="198"/>
        <v>1.4960801268194264</v>
      </c>
    </row>
    <row r="1697" spans="1:35" ht="30" x14ac:dyDescent="0.25">
      <c r="A1697" s="275">
        <f>'Profits 2016'!A6910</f>
        <v>3005422</v>
      </c>
      <c r="B1697" s="279">
        <f>'Profits 2016'!B6910</f>
        <v>42681</v>
      </c>
      <c r="C1697" s="276">
        <f>'Profits 2016'!H6910</f>
        <v>835.3</v>
      </c>
      <c r="D1697" s="280">
        <f>'Profits 2016'!K6910</f>
        <v>743.95229999999992</v>
      </c>
      <c r="E1697" s="276">
        <f>'Profits 2016'!L6910</f>
        <v>530</v>
      </c>
      <c r="F1697" s="275" t="str">
        <f>'Profits 2016'!P6910</f>
        <v>Priority</v>
      </c>
      <c r="G1697" s="292">
        <f>'Profits 2016'!N6910-'Profits 2016'!M6910</f>
        <v>265</v>
      </c>
      <c r="H1697" s="331">
        <v>0</v>
      </c>
      <c r="I1697" s="332">
        <v>1074432</v>
      </c>
      <c r="J1697" s="333">
        <v>42682</v>
      </c>
      <c r="K1697" s="333">
        <v>42695</v>
      </c>
      <c r="L1697" s="333"/>
      <c r="M1697" s="331"/>
      <c r="N1697" s="334"/>
      <c r="O1697" s="236" t="str">
        <f>'Profits 2016'!T6910</f>
        <v>FEDEX GROUND</v>
      </c>
      <c r="P1697" s="284" t="str">
        <f>'Profits 2016'!U6910</f>
        <v xml:space="preserve">	616712878008</v>
      </c>
      <c r="Q1697" s="284" t="s">
        <v>15740</v>
      </c>
      <c r="R1697" s="276">
        <v>57.14</v>
      </c>
      <c r="S1697" s="275">
        <v>1074432</v>
      </c>
      <c r="T1697" s="279">
        <v>42682</v>
      </c>
      <c r="U1697" s="279">
        <v>42695</v>
      </c>
      <c r="AF1697" s="276">
        <f t="shared" si="195"/>
        <v>322.14</v>
      </c>
      <c r="AG1697" s="276">
        <f t="shared" si="196"/>
        <v>57.14</v>
      </c>
      <c r="AH1697" s="276">
        <f t="shared" si="197"/>
        <v>686.81229999999994</v>
      </c>
      <c r="AI1697" s="283">
        <f t="shared" si="198"/>
        <v>2.1320304836406532</v>
      </c>
    </row>
    <row r="1698" spans="1:35" x14ac:dyDescent="0.25">
      <c r="A1698" s="275">
        <f>'Profits 2016'!A6911</f>
        <v>0</v>
      </c>
      <c r="B1698" s="279">
        <f>'Profits 2016'!B6911</f>
        <v>0</v>
      </c>
      <c r="C1698" s="276">
        <f>'Profits 2016'!H6911</f>
        <v>0</v>
      </c>
      <c r="D1698" s="280">
        <f>'Profits 2016'!K6911</f>
        <v>0</v>
      </c>
      <c r="E1698" s="276">
        <f>'Profits 2016'!L6911</f>
        <v>240</v>
      </c>
      <c r="F1698" s="275" t="str">
        <f>'Profits 2016'!P6911</f>
        <v>Priority</v>
      </c>
      <c r="G1698" s="292">
        <f>'Profits 2016'!N6911-'Profits 2016'!M6911</f>
        <v>120</v>
      </c>
      <c r="H1698" s="331">
        <v>0</v>
      </c>
      <c r="I1698" s="332">
        <v>1074432</v>
      </c>
      <c r="J1698" s="333">
        <v>42682</v>
      </c>
      <c r="K1698" s="333">
        <v>42695</v>
      </c>
      <c r="L1698" s="333"/>
      <c r="M1698" s="331"/>
      <c r="N1698" s="334"/>
      <c r="O1698" s="236">
        <f>'Profits 2016'!T6911</f>
        <v>0</v>
      </c>
      <c r="P1698" s="284" t="str">
        <f>'Profits 2016'!U6911</f>
        <v>616712878019</v>
      </c>
      <c r="Q1698" s="284" t="s">
        <v>15740</v>
      </c>
      <c r="R1698" s="276">
        <v>0</v>
      </c>
      <c r="S1698" s="275">
        <v>1074432</v>
      </c>
      <c r="T1698" s="279">
        <v>42682</v>
      </c>
      <c r="U1698" s="279">
        <v>42695</v>
      </c>
      <c r="AF1698" s="276">
        <f t="shared" si="195"/>
        <v>120</v>
      </c>
      <c r="AG1698" s="276">
        <f t="shared" si="196"/>
        <v>0</v>
      </c>
      <c r="AH1698" s="276">
        <f t="shared" si="197"/>
        <v>0</v>
      </c>
      <c r="AI1698" s="283">
        <f t="shared" si="198"/>
        <v>0</v>
      </c>
    </row>
    <row r="1699" spans="1:35" ht="30" x14ac:dyDescent="0.25">
      <c r="A1699" s="275">
        <f>'Profits 2016'!A6912</f>
        <v>3005423</v>
      </c>
      <c r="B1699" s="279">
        <f>'Profits 2016'!B6912</f>
        <v>42681</v>
      </c>
      <c r="C1699" s="276">
        <f>'Profits 2016'!H6912</f>
        <v>319.8</v>
      </c>
      <c r="D1699" s="280">
        <f>'Profits 2016'!K6912</f>
        <v>284.64180000000005</v>
      </c>
      <c r="E1699" s="276">
        <f>'Profits 2016'!L6912</f>
        <v>670</v>
      </c>
      <c r="F1699" s="275" t="str">
        <f>'Profits 2016'!P6912</f>
        <v>Thea</v>
      </c>
      <c r="G1699" s="292">
        <f>'Profits 2016'!N6912-'Profits 2016'!M6912</f>
        <v>127.30000000000001</v>
      </c>
      <c r="H1699" s="319"/>
      <c r="I1699" s="320"/>
      <c r="J1699" s="321"/>
      <c r="K1699" s="321"/>
      <c r="L1699" s="321"/>
      <c r="M1699" s="319"/>
      <c r="N1699" s="322"/>
      <c r="O1699" s="236" t="str">
        <f>'Profits 2016'!T6912</f>
        <v>FEDEX GROUND</v>
      </c>
      <c r="P1699" s="284" t="str">
        <f>'Profits 2016'!U6912</f>
        <v>675157531683</v>
      </c>
      <c r="Q1699" s="284" t="s">
        <v>314</v>
      </c>
      <c r="R1699" s="276">
        <v>50.88</v>
      </c>
      <c r="S1699" s="275" t="s">
        <v>15847</v>
      </c>
      <c r="T1699" s="279">
        <v>42695</v>
      </c>
      <c r="U1699" s="279">
        <v>42702</v>
      </c>
      <c r="AF1699" s="276">
        <f t="shared" si="195"/>
        <v>178.18</v>
      </c>
      <c r="AG1699" s="276">
        <f t="shared" si="196"/>
        <v>50.88</v>
      </c>
      <c r="AH1699" s="276">
        <f t="shared" si="197"/>
        <v>233.76180000000005</v>
      </c>
      <c r="AI1699" s="283">
        <f t="shared" si="198"/>
        <v>1.3119418565495569</v>
      </c>
    </row>
    <row r="1700" spans="1:35" ht="30" x14ac:dyDescent="0.25">
      <c r="A1700" s="275">
        <f>'Profits 2016'!A6913</f>
        <v>3005424</v>
      </c>
      <c r="B1700" s="279">
        <f>'Profits 2016'!B6913</f>
        <v>42681</v>
      </c>
      <c r="C1700" s="276">
        <f>'Profits 2016'!H6913</f>
        <v>236</v>
      </c>
      <c r="D1700" s="280">
        <f>'Profits 2016'!K6913</f>
        <v>209.976</v>
      </c>
      <c r="E1700" s="276">
        <f>'Profits 2016'!L6913</f>
        <v>1322</v>
      </c>
      <c r="F1700" s="275" t="str">
        <f>'Profits 2016'!P6913</f>
        <v>Nassau</v>
      </c>
      <c r="G1700" s="292">
        <f>'Profits 2016'!N6913-'Profits 2016'!M6913</f>
        <v>132.20000000000002</v>
      </c>
      <c r="H1700" s="319"/>
      <c r="I1700" s="320"/>
      <c r="J1700" s="321"/>
      <c r="K1700" s="321"/>
      <c r="L1700" s="321"/>
      <c r="M1700" s="319"/>
      <c r="N1700" s="322"/>
      <c r="O1700" s="236" t="str">
        <f>'Profits 2016'!T6913</f>
        <v>FEDEX GROUND</v>
      </c>
      <c r="P1700" s="284" t="str">
        <f>'Profits 2016'!U6913</f>
        <v>680483360998</v>
      </c>
      <c r="AF1700" s="276">
        <f t="shared" si="195"/>
        <v>132.20000000000002</v>
      </c>
      <c r="AG1700" s="276">
        <f t="shared" si="196"/>
        <v>0</v>
      </c>
      <c r="AH1700" s="276">
        <f t="shared" si="197"/>
        <v>209.976</v>
      </c>
      <c r="AI1700" s="283">
        <f t="shared" si="198"/>
        <v>1.5883207261724657</v>
      </c>
    </row>
    <row r="1701" spans="1:35" ht="30" x14ac:dyDescent="0.25">
      <c r="A1701" s="275">
        <f>'Profits 2016'!A6914</f>
        <v>3005425</v>
      </c>
      <c r="B1701" s="279">
        <f>'Profits 2016'!B6914</f>
        <v>42681</v>
      </c>
      <c r="C1701" s="276">
        <f>'Profits 2016'!H6914</f>
        <v>123.94</v>
      </c>
      <c r="D1701" s="280">
        <f>'Profits 2016'!K6914</f>
        <v>110.13054</v>
      </c>
      <c r="E1701" s="276">
        <f>'Profits 2016'!L6914</f>
        <v>424</v>
      </c>
      <c r="F1701" s="275" t="str">
        <f>'Profits 2016'!P6914</f>
        <v>Nassau</v>
      </c>
      <c r="G1701" s="292">
        <f>'Profits 2016'!N6914-'Profits 2016'!M6914</f>
        <v>42.400000000000006</v>
      </c>
      <c r="H1701" s="319"/>
      <c r="I1701" s="320"/>
      <c r="J1701" s="321"/>
      <c r="K1701" s="321"/>
      <c r="L1701" s="321"/>
      <c r="M1701" s="319"/>
      <c r="N1701" s="322"/>
      <c r="O1701" s="236" t="str">
        <f>'Profits 2016'!T6914</f>
        <v>FEDEX GROUND</v>
      </c>
      <c r="P1701" s="284" t="str">
        <f>'Profits 2016'!U6914</f>
        <v>680483360943</v>
      </c>
      <c r="Q1701" s="284" t="s">
        <v>314</v>
      </c>
      <c r="R1701" s="276">
        <v>19.899999999999999</v>
      </c>
      <c r="S1701" s="275" t="s">
        <v>15847</v>
      </c>
      <c r="T1701" s="279">
        <v>42695</v>
      </c>
      <c r="U1701" s="279">
        <v>42702</v>
      </c>
      <c r="AF1701" s="276">
        <f t="shared" si="195"/>
        <v>62.300000000000004</v>
      </c>
      <c r="AG1701" s="276">
        <f t="shared" si="196"/>
        <v>19.899999999999999</v>
      </c>
      <c r="AH1701" s="276">
        <f t="shared" si="197"/>
        <v>90.230539999999991</v>
      </c>
      <c r="AI1701" s="283">
        <f t="shared" si="198"/>
        <v>1.4483232744783303</v>
      </c>
    </row>
    <row r="1702" spans="1:35" ht="30" x14ac:dyDescent="0.25">
      <c r="A1702" s="275">
        <f>'Profits 2016'!A6915</f>
        <v>3005426</v>
      </c>
      <c r="B1702" s="279">
        <f>'Profits 2016'!B6915</f>
        <v>42681</v>
      </c>
      <c r="C1702" s="276">
        <f>'Profits 2016'!H6915</f>
        <v>320</v>
      </c>
      <c r="D1702" s="280">
        <f>'Profits 2016'!K6915</f>
        <v>284.82</v>
      </c>
      <c r="E1702" s="276">
        <f>'Profits 2016'!L6915</f>
        <v>750</v>
      </c>
      <c r="F1702" s="275" t="str">
        <f>'Profits 2016'!P6915</f>
        <v>Nassau</v>
      </c>
      <c r="G1702" s="292">
        <f>'Profits 2016'!N6915-'Profits 2016'!M6915</f>
        <v>187.5</v>
      </c>
      <c r="H1702" s="319"/>
      <c r="I1702" s="320"/>
      <c r="J1702" s="321"/>
      <c r="K1702" s="321"/>
      <c r="L1702" s="321"/>
      <c r="M1702" s="319"/>
      <c r="N1702" s="322"/>
      <c r="O1702" s="236" t="str">
        <f>'Profits 2016'!T6915</f>
        <v>FEDEX GROUND</v>
      </c>
      <c r="P1702" s="284" t="str">
        <f>'Profits 2016'!U6915</f>
        <v>702723291826</v>
      </c>
      <c r="AF1702" s="276">
        <f t="shared" si="195"/>
        <v>187.5</v>
      </c>
      <c r="AG1702" s="276">
        <f t="shared" si="196"/>
        <v>0</v>
      </c>
      <c r="AH1702" s="276">
        <f t="shared" si="197"/>
        <v>284.82</v>
      </c>
      <c r="AI1702" s="283">
        <f t="shared" si="198"/>
        <v>1.5190399999999999</v>
      </c>
    </row>
    <row r="1703" spans="1:35" ht="30" x14ac:dyDescent="0.25">
      <c r="A1703" s="275">
        <f>'Profits 2016'!A6916</f>
        <v>3005427</v>
      </c>
      <c r="B1703" s="279">
        <f>'Profits 2016'!B6916</f>
        <v>42681</v>
      </c>
      <c r="C1703" s="276">
        <f>'Profits 2016'!H6916</f>
        <v>683.85</v>
      </c>
      <c r="D1703" s="280">
        <f>'Profits 2016'!K6916</f>
        <v>581.27250000000004</v>
      </c>
      <c r="E1703" s="276">
        <f>'Profits 2016'!L6916</f>
        <v>940</v>
      </c>
      <c r="F1703" s="275" t="str">
        <f>'Profits 2016'!P6916</f>
        <v>West Virgina</v>
      </c>
      <c r="G1703" s="292">
        <f>'Profits 2016'!N6916-'Profits 2016'!M6916</f>
        <v>470</v>
      </c>
      <c r="H1703" s="331">
        <v>0</v>
      </c>
      <c r="I1703" s="332" t="s">
        <v>15931</v>
      </c>
      <c r="J1703" s="333">
        <v>42683</v>
      </c>
      <c r="K1703" s="333">
        <v>42702</v>
      </c>
      <c r="L1703" s="333"/>
      <c r="M1703" s="331"/>
      <c r="N1703" s="334"/>
      <c r="O1703" s="236" t="str">
        <f>'Profits 2016'!T6916</f>
        <v>EXLA</v>
      </c>
      <c r="P1703" s="284" t="str">
        <f>'Profits 2016'!U6916</f>
        <v>010-6196429-2</v>
      </c>
      <c r="AF1703" s="276">
        <f t="shared" si="195"/>
        <v>470</v>
      </c>
      <c r="AG1703" s="276">
        <f t="shared" si="196"/>
        <v>0</v>
      </c>
      <c r="AH1703" s="276">
        <f t="shared" si="197"/>
        <v>581.27250000000004</v>
      </c>
      <c r="AI1703" s="283">
        <f t="shared" si="198"/>
        <v>1.23675</v>
      </c>
    </row>
    <row r="1704" spans="1:35" ht="30" x14ac:dyDescent="0.25">
      <c r="A1704" s="275">
        <f>'Profits 2016'!A6917</f>
        <v>3005428</v>
      </c>
      <c r="B1704" s="279">
        <f>'Profits 2016'!B6917</f>
        <v>42681</v>
      </c>
      <c r="C1704" s="276">
        <f>'Profits 2016'!H6917</f>
        <v>205.62</v>
      </c>
      <c r="D1704" s="280">
        <f>'Profits 2016'!K6917</f>
        <v>174.77700000000002</v>
      </c>
      <c r="E1704" s="276">
        <f>'Profits 2016'!L6917</f>
        <v>265</v>
      </c>
      <c r="F1704" s="275" t="str">
        <f>'Profits 2016'!P6917</f>
        <v>Priority</v>
      </c>
      <c r="G1704" s="292">
        <f>'Profits 2016'!N6917-'Profits 2016'!M6917</f>
        <v>79.5</v>
      </c>
      <c r="H1704" s="331">
        <v>0</v>
      </c>
      <c r="I1704" s="332">
        <v>1074431</v>
      </c>
      <c r="J1704" s="333">
        <v>42682</v>
      </c>
      <c r="K1704" s="333">
        <v>42695</v>
      </c>
      <c r="L1704" s="333"/>
      <c r="M1704" s="331"/>
      <c r="N1704" s="334"/>
      <c r="O1704" s="236" t="str">
        <f>'Profits 2016'!T6917</f>
        <v>FEDEX GROUND</v>
      </c>
      <c r="P1704" s="284" t="str">
        <f>'Profits 2016'!U6917</f>
        <v xml:space="preserve">	574454203332</v>
      </c>
      <c r="Q1704" s="284" t="s">
        <v>15740</v>
      </c>
      <c r="R1704" s="276">
        <v>17.95</v>
      </c>
      <c r="S1704" s="275">
        <v>1074431</v>
      </c>
      <c r="T1704" s="279">
        <v>42682</v>
      </c>
      <c r="U1704" s="279">
        <v>42695</v>
      </c>
      <c r="AF1704" s="276">
        <f t="shared" si="195"/>
        <v>97.45</v>
      </c>
      <c r="AG1704" s="276">
        <f t="shared" si="196"/>
        <v>17.95</v>
      </c>
      <c r="AH1704" s="276">
        <f t="shared" si="197"/>
        <v>156.82700000000003</v>
      </c>
      <c r="AI1704" s="283">
        <f t="shared" si="198"/>
        <v>1.6093073370959468</v>
      </c>
    </row>
    <row r="1705" spans="1:35" ht="30" x14ac:dyDescent="0.25">
      <c r="A1705" s="275">
        <f>'Profits 2016'!A6918</f>
        <v>3005429</v>
      </c>
      <c r="B1705" s="279">
        <f>'Profits 2016'!B6918</f>
        <v>42681</v>
      </c>
      <c r="C1705" s="276">
        <f>'Profits 2016'!H6918</f>
        <v>151.76</v>
      </c>
      <c r="D1705" s="280">
        <f>'Profits 2016'!K6918</f>
        <v>128.99599999999998</v>
      </c>
      <c r="E1705" s="276">
        <f>'Profits 2016'!L6918</f>
        <v>424</v>
      </c>
      <c r="F1705" s="275" t="str">
        <f>'Profits 2016'!P6918</f>
        <v>Nassau</v>
      </c>
      <c r="G1705" s="292">
        <f>'Profits 2016'!N6918-'Profits 2016'!M6918</f>
        <v>84.800000000000011</v>
      </c>
      <c r="H1705" s="319"/>
      <c r="I1705" s="320"/>
      <c r="J1705" s="321"/>
      <c r="K1705" s="321"/>
      <c r="L1705" s="321"/>
      <c r="M1705" s="319"/>
      <c r="N1705" s="322"/>
      <c r="O1705" s="236" t="str">
        <f>'Profits 2016'!T6918</f>
        <v>FEDEX GROUND</v>
      </c>
      <c r="P1705" s="284" t="str">
        <f>'Profits 2016'!U6918</f>
        <v>680483361001</v>
      </c>
      <c r="Q1705" s="284" t="s">
        <v>314</v>
      </c>
      <c r="R1705" s="276">
        <v>39.14</v>
      </c>
      <c r="S1705" s="275" t="s">
        <v>15847</v>
      </c>
      <c r="T1705" s="279">
        <v>42695</v>
      </c>
      <c r="U1705" s="279">
        <v>42702</v>
      </c>
      <c r="AF1705" s="276">
        <f t="shared" si="195"/>
        <v>123.94000000000001</v>
      </c>
      <c r="AG1705" s="276">
        <f t="shared" si="196"/>
        <v>39.14</v>
      </c>
      <c r="AH1705" s="276">
        <f t="shared" si="197"/>
        <v>89.85599999999998</v>
      </c>
      <c r="AI1705" s="283">
        <f t="shared" si="198"/>
        <v>0.72499596578989811</v>
      </c>
    </row>
    <row r="1706" spans="1:35" ht="30" x14ac:dyDescent="0.25">
      <c r="A1706" s="275">
        <f>'Profits 2016'!A6919</f>
        <v>3005430</v>
      </c>
      <c r="B1706" s="279">
        <f>'Profits 2016'!B6919</f>
        <v>42681</v>
      </c>
      <c r="C1706" s="276">
        <f>'Profits 2016'!H6919</f>
        <v>127.1</v>
      </c>
      <c r="D1706" s="280">
        <f>'Profits 2016'!K6919</f>
        <v>108.035</v>
      </c>
      <c r="E1706" s="276">
        <f>'Profits 2016'!L6919</f>
        <v>1322</v>
      </c>
      <c r="F1706" s="275" t="str">
        <f>'Profits 2016'!P6919</f>
        <v>Nassau</v>
      </c>
      <c r="G1706" s="292">
        <f>'Profits 2016'!N6919-'Profits 2016'!M6919</f>
        <v>66.100000000000009</v>
      </c>
      <c r="H1706" s="319"/>
      <c r="I1706" s="320"/>
      <c r="J1706" s="321"/>
      <c r="K1706" s="321"/>
      <c r="L1706" s="321"/>
      <c r="M1706" s="319"/>
      <c r="N1706" s="322"/>
      <c r="O1706" s="236" t="str">
        <f>'Profits 2016'!T6919</f>
        <v>FEDEX GROUND</v>
      </c>
      <c r="P1706" s="284" t="str">
        <f>'Profits 2016'!U6919</f>
        <v>680483361045</v>
      </c>
      <c r="Q1706" s="284" t="s">
        <v>314</v>
      </c>
      <c r="R1706" s="276">
        <v>29.53</v>
      </c>
      <c r="S1706" s="275" t="s">
        <v>15847</v>
      </c>
      <c r="T1706" s="279">
        <v>42695</v>
      </c>
      <c r="U1706" s="279">
        <v>42702</v>
      </c>
      <c r="AF1706" s="276">
        <f t="shared" si="195"/>
        <v>95.63000000000001</v>
      </c>
      <c r="AG1706" s="276">
        <f t="shared" si="196"/>
        <v>29.53</v>
      </c>
      <c r="AH1706" s="276">
        <f t="shared" si="197"/>
        <v>78.504999999999995</v>
      </c>
      <c r="AI1706" s="283">
        <f t="shared" si="198"/>
        <v>0.82092439611000723</v>
      </c>
    </row>
    <row r="1707" spans="1:35" ht="30" x14ac:dyDescent="0.25">
      <c r="A1707" s="275">
        <f>'Profits 2016'!A6920</f>
        <v>3005431</v>
      </c>
      <c r="B1707" s="279">
        <f>'Profits 2016'!B6920</f>
        <v>42681</v>
      </c>
      <c r="C1707" s="276">
        <f>'Profits 2016'!H6920</f>
        <v>160.38</v>
      </c>
      <c r="D1707" s="280">
        <f>'Profits 2016'!K6920</f>
        <v>136.32300000000001</v>
      </c>
      <c r="E1707" s="276">
        <f>'Profits 2016'!L6920</f>
        <v>424</v>
      </c>
      <c r="F1707" s="275" t="str">
        <f>'Profits 2016'!P6920</f>
        <v>Nassau</v>
      </c>
      <c r="G1707" s="292">
        <f>'Profits 2016'!N6920-'Profits 2016'!M6920</f>
        <v>63.6</v>
      </c>
      <c r="H1707" s="319"/>
      <c r="I1707" s="320"/>
      <c r="J1707" s="321"/>
      <c r="K1707" s="321"/>
      <c r="L1707" s="321"/>
      <c r="M1707" s="319"/>
      <c r="N1707" s="322"/>
      <c r="O1707" s="236" t="str">
        <f>'Profits 2016'!T6920</f>
        <v>FEDEX GROUND</v>
      </c>
      <c r="P1707" s="284" t="str">
        <f>'Profits 2016'!U6920</f>
        <v>680483360987</v>
      </c>
      <c r="Q1707" s="284" t="s">
        <v>314</v>
      </c>
      <c r="R1707" s="276">
        <v>32.119999999999997</v>
      </c>
      <c r="S1707" s="275" t="s">
        <v>15847</v>
      </c>
      <c r="T1707" s="279">
        <v>42695</v>
      </c>
      <c r="U1707" s="279">
        <v>42702</v>
      </c>
      <c r="AF1707" s="276">
        <f t="shared" si="195"/>
        <v>95.72</v>
      </c>
      <c r="AG1707" s="276">
        <f t="shared" si="196"/>
        <v>32.119999999999997</v>
      </c>
      <c r="AH1707" s="276">
        <f t="shared" si="197"/>
        <v>104.203</v>
      </c>
      <c r="AI1707" s="283">
        <f t="shared" si="198"/>
        <v>1.0886230672795654</v>
      </c>
    </row>
    <row r="1708" spans="1:35" ht="30" x14ac:dyDescent="0.25">
      <c r="A1708" s="275">
        <f>'Profits 2016'!A6921</f>
        <v>3005432</v>
      </c>
      <c r="B1708" s="279">
        <f>'Profits 2016'!B6921</f>
        <v>42681</v>
      </c>
      <c r="C1708" s="276">
        <f>'Profits 2016'!H6921</f>
        <v>195.12</v>
      </c>
      <c r="D1708" s="280">
        <f>'Profits 2016'!K6921</f>
        <v>165.852</v>
      </c>
      <c r="E1708" s="276">
        <f>'Profits 2016'!L6921</f>
        <v>461</v>
      </c>
      <c r="F1708" s="275" t="str">
        <f>'Profits 2016'!P6921</f>
        <v>Direct</v>
      </c>
      <c r="G1708" s="292">
        <f>'Profits 2016'!N6921-'Profits 2016'!M6921</f>
        <v>46.099999999999994</v>
      </c>
      <c r="H1708" s="331">
        <v>0</v>
      </c>
      <c r="I1708" s="332">
        <v>76021</v>
      </c>
      <c r="J1708" s="333">
        <v>42682</v>
      </c>
      <c r="K1708" s="333">
        <v>42688</v>
      </c>
      <c r="L1708" s="333">
        <v>42692</v>
      </c>
      <c r="M1708" s="331">
        <v>90.36</v>
      </c>
      <c r="N1708" s="334">
        <v>9436</v>
      </c>
      <c r="O1708" s="236" t="str">
        <f>'Profits 2016'!T6921</f>
        <v>FEDEX GROUND</v>
      </c>
      <c r="P1708" s="284" t="str">
        <f>'Profits 2016'!U6921</f>
        <v>630512245707</v>
      </c>
      <c r="Q1708" s="284" t="s">
        <v>314</v>
      </c>
      <c r="R1708" s="276">
        <v>56.75</v>
      </c>
      <c r="S1708" s="275" t="s">
        <v>15932</v>
      </c>
      <c r="T1708" s="279">
        <v>42696</v>
      </c>
      <c r="U1708" s="279">
        <v>42702</v>
      </c>
      <c r="AF1708" s="276">
        <f t="shared" si="195"/>
        <v>102.85</v>
      </c>
      <c r="AG1708" s="276">
        <f t="shared" si="196"/>
        <v>147.11000000000001</v>
      </c>
      <c r="AH1708" s="276">
        <f t="shared" si="197"/>
        <v>18.74199999999999</v>
      </c>
      <c r="AI1708" s="283">
        <f t="shared" si="198"/>
        <v>0.18222654350996589</v>
      </c>
    </row>
    <row r="1709" spans="1:35" x14ac:dyDescent="0.25">
      <c r="A1709" s="275">
        <f>'Profits 2016'!A6922</f>
        <v>0</v>
      </c>
      <c r="B1709" s="279">
        <f>'Profits 2016'!B6922</f>
        <v>0</v>
      </c>
      <c r="C1709" s="276">
        <f>'Profits 2016'!H6922</f>
        <v>0</v>
      </c>
      <c r="D1709" s="280">
        <f>'Profits 2016'!K6922</f>
        <v>0</v>
      </c>
      <c r="E1709" s="276">
        <f>'Profits 2016'!L6922</f>
        <v>461</v>
      </c>
      <c r="F1709" s="275" t="str">
        <f>'Profits 2016'!P6922</f>
        <v>Direct</v>
      </c>
      <c r="G1709" s="292">
        <f>'Profits 2016'!N6922-'Profits 2016'!M6922</f>
        <v>46.1</v>
      </c>
      <c r="H1709" s="331">
        <v>0</v>
      </c>
      <c r="I1709" s="332">
        <v>76021</v>
      </c>
      <c r="J1709" s="333">
        <v>42682</v>
      </c>
      <c r="K1709" s="333">
        <v>42688</v>
      </c>
      <c r="L1709" s="333">
        <v>42692</v>
      </c>
      <c r="M1709" s="331">
        <v>0</v>
      </c>
      <c r="N1709" s="334">
        <v>9436</v>
      </c>
      <c r="O1709" s="236">
        <f>'Profits 2016'!T6922</f>
        <v>0</v>
      </c>
      <c r="P1709" s="284">
        <f>'Profits 2016'!U6922</f>
        <v>0</v>
      </c>
      <c r="AF1709" s="276">
        <f t="shared" si="195"/>
        <v>46.1</v>
      </c>
      <c r="AG1709" s="276">
        <f t="shared" si="196"/>
        <v>0</v>
      </c>
      <c r="AH1709" s="276">
        <f t="shared" si="197"/>
        <v>0</v>
      </c>
      <c r="AI1709" s="283">
        <f t="shared" si="198"/>
        <v>0</v>
      </c>
    </row>
    <row r="1710" spans="1:35" ht="30" x14ac:dyDescent="0.25">
      <c r="A1710" s="275">
        <f>'Profits 2016'!A6923</f>
        <v>3005433</v>
      </c>
      <c r="B1710" s="279">
        <f>'Profits 2016'!B6923</f>
        <v>42681</v>
      </c>
      <c r="C1710" s="276">
        <f>'Profits 2016'!H6923</f>
        <v>129.36000000000001</v>
      </c>
      <c r="D1710" s="280">
        <f>'Profits 2016'!K6923</f>
        <v>109.95600000000002</v>
      </c>
      <c r="E1710" s="276">
        <f>'Profits 2016'!L6923</f>
        <v>300</v>
      </c>
      <c r="F1710" s="275" t="str">
        <f>'Profits 2016'!P6923</f>
        <v>Thea</v>
      </c>
      <c r="G1710" s="292">
        <f>'Profits 2016'!N6923-'Profits 2016'!M6923</f>
        <v>45</v>
      </c>
      <c r="H1710" s="319"/>
      <c r="I1710" s="320"/>
      <c r="J1710" s="321"/>
      <c r="K1710" s="321"/>
      <c r="L1710" s="321"/>
      <c r="M1710" s="319"/>
      <c r="N1710" s="322"/>
      <c r="O1710" s="236" t="str">
        <f>'Profits 2016'!T6923</f>
        <v>FEDEX GROUND</v>
      </c>
      <c r="P1710" s="284" t="str">
        <f>'Profits 2016'!U6923</f>
        <v>675157531709</v>
      </c>
      <c r="AF1710" s="276">
        <f t="shared" si="195"/>
        <v>45</v>
      </c>
      <c r="AG1710" s="276">
        <f t="shared" si="196"/>
        <v>0</v>
      </c>
      <c r="AH1710" s="276">
        <f t="shared" si="197"/>
        <v>109.95600000000002</v>
      </c>
      <c r="AI1710" s="283">
        <f t="shared" si="198"/>
        <v>2.4434666666666671</v>
      </c>
    </row>
    <row r="1711" spans="1:35" ht="30" x14ac:dyDescent="0.25">
      <c r="A1711" s="275">
        <f>'Profits 2016'!A6924</f>
        <v>3005434</v>
      </c>
      <c r="B1711" s="279">
        <f>'Profits 2016'!B6924</f>
        <v>42681</v>
      </c>
      <c r="C1711" s="276">
        <f>'Profits 2016'!H6924</f>
        <v>178</v>
      </c>
      <c r="D1711" s="280">
        <f>'Profits 2016'!K6924</f>
        <v>151.30000000000001</v>
      </c>
      <c r="E1711" s="276">
        <f>'Profits 2016'!L6924</f>
        <v>1160</v>
      </c>
      <c r="F1711" s="275" t="str">
        <f>'Profits 2016'!P6924</f>
        <v>Direct</v>
      </c>
      <c r="G1711" s="292">
        <f>'Profits 2016'!N6924-'Profits 2016'!M6924</f>
        <v>58</v>
      </c>
      <c r="H1711" s="331">
        <v>0</v>
      </c>
      <c r="I1711" s="332">
        <v>76077</v>
      </c>
      <c r="J1711" s="333">
        <v>42683</v>
      </c>
      <c r="K1711" s="333">
        <v>42688</v>
      </c>
      <c r="L1711" s="333">
        <v>42692</v>
      </c>
      <c r="M1711" s="331">
        <v>113.68</v>
      </c>
      <c r="N1711" s="334">
        <v>9436</v>
      </c>
      <c r="O1711" s="236" t="str">
        <f>'Profits 2016'!T6924</f>
        <v>FEDEX GROUND</v>
      </c>
      <c r="P1711" s="284" t="str">
        <f>'Profits 2016'!U6924</f>
        <v>639794970364</v>
      </c>
      <c r="Q1711" s="284" t="s">
        <v>314</v>
      </c>
      <c r="R1711" s="276">
        <v>19.5</v>
      </c>
      <c r="S1711" s="275" t="s">
        <v>15932</v>
      </c>
      <c r="T1711" s="279">
        <v>42696</v>
      </c>
      <c r="U1711" s="279">
        <v>42702</v>
      </c>
      <c r="AF1711" s="276">
        <f t="shared" si="195"/>
        <v>77.5</v>
      </c>
      <c r="AG1711" s="276">
        <f t="shared" si="196"/>
        <v>133.18</v>
      </c>
      <c r="AH1711" s="276">
        <f t="shared" si="197"/>
        <v>18.120000000000005</v>
      </c>
      <c r="AI1711" s="283">
        <f t="shared" si="198"/>
        <v>0.23380645161290328</v>
      </c>
    </row>
    <row r="1712" spans="1:35" x14ac:dyDescent="0.25">
      <c r="A1712" s="275">
        <f>'Profits 2016'!A6925</f>
        <v>0</v>
      </c>
      <c r="B1712" s="279">
        <f>'Profits 2016'!B6925</f>
        <v>0</v>
      </c>
      <c r="C1712" s="276">
        <f>'Profits 2016'!H6925</f>
        <v>0</v>
      </c>
      <c r="D1712" s="280">
        <f>'Profits 2016'!K6925</f>
        <v>0</v>
      </c>
      <c r="E1712" s="276">
        <f>'Profits 2016'!L6925</f>
        <v>1160</v>
      </c>
      <c r="F1712" s="275" t="str">
        <f>'Profits 2016'!P6925</f>
        <v>Direct</v>
      </c>
      <c r="G1712" s="292">
        <f>'Profits 2016'!N6925-'Profits 2016'!M6925</f>
        <v>58</v>
      </c>
      <c r="H1712" s="331">
        <v>0</v>
      </c>
      <c r="I1712" s="332">
        <v>76077</v>
      </c>
      <c r="J1712" s="333">
        <v>42683</v>
      </c>
      <c r="K1712" s="333">
        <v>42688</v>
      </c>
      <c r="L1712" s="333">
        <v>42692</v>
      </c>
      <c r="M1712" s="331">
        <v>0</v>
      </c>
      <c r="N1712" s="334">
        <v>9436</v>
      </c>
      <c r="O1712" s="236">
        <f>'Profits 2016'!T6925</f>
        <v>0</v>
      </c>
      <c r="P1712" s="284">
        <f>'Profits 2016'!U6925</f>
        <v>0</v>
      </c>
      <c r="Q1712" s="284" t="s">
        <v>314</v>
      </c>
      <c r="R1712" s="276">
        <v>0</v>
      </c>
      <c r="S1712" s="275" t="s">
        <v>15932</v>
      </c>
      <c r="T1712" s="279">
        <v>42696</v>
      </c>
      <c r="U1712" s="279">
        <v>42702</v>
      </c>
      <c r="AF1712" s="276">
        <f t="shared" si="195"/>
        <v>58</v>
      </c>
      <c r="AG1712" s="276">
        <f t="shared" si="196"/>
        <v>0</v>
      </c>
      <c r="AH1712" s="276">
        <f t="shared" si="197"/>
        <v>0</v>
      </c>
      <c r="AI1712" s="283">
        <f t="shared" si="198"/>
        <v>0</v>
      </c>
    </row>
    <row r="1713" spans="1:35" ht="30" x14ac:dyDescent="0.25">
      <c r="A1713" s="275">
        <f>'Profits 2016'!A6926</f>
        <v>3005435</v>
      </c>
      <c r="B1713" s="279">
        <f>'Profits 2016'!B6926</f>
        <v>42681</v>
      </c>
      <c r="C1713" s="276">
        <f>'Profits 2016'!H6926</f>
        <v>289</v>
      </c>
      <c r="D1713" s="280">
        <f>'Profits 2016'!K6926</f>
        <v>245.65</v>
      </c>
      <c r="E1713" s="276">
        <f>'Profits 2016'!L6926</f>
        <v>1693</v>
      </c>
      <c r="F1713" s="275" t="str">
        <f>'Profits 2016'!P6926</f>
        <v>Nassau</v>
      </c>
      <c r="G1713" s="292">
        <f>'Profits 2016'!N6926-'Profits 2016'!M6926</f>
        <v>169.3</v>
      </c>
      <c r="H1713" s="319"/>
      <c r="I1713" s="320"/>
      <c r="J1713" s="321"/>
      <c r="K1713" s="321"/>
      <c r="L1713" s="321"/>
      <c r="M1713" s="319"/>
      <c r="N1713" s="322"/>
      <c r="O1713" s="236" t="str">
        <f>'Profits 2016'!T6926</f>
        <v>FEDEX GROUND</v>
      </c>
      <c r="P1713" s="284" t="str">
        <f>'Profits 2016'!U6926</f>
        <v>702723291951</v>
      </c>
      <c r="AF1713" s="276">
        <f t="shared" si="195"/>
        <v>169.3</v>
      </c>
      <c r="AG1713" s="276">
        <f t="shared" si="196"/>
        <v>0</v>
      </c>
      <c r="AH1713" s="276">
        <f t="shared" si="197"/>
        <v>245.65</v>
      </c>
      <c r="AI1713" s="283">
        <f t="shared" si="198"/>
        <v>1.4509746012994684</v>
      </c>
    </row>
    <row r="1714" spans="1:35" ht="30" x14ac:dyDescent="0.25">
      <c r="A1714" s="275">
        <f>'Profits 2016'!A6927</f>
        <v>3005436</v>
      </c>
      <c r="B1714" s="279">
        <f>'Profits 2016'!B6927</f>
        <v>42681</v>
      </c>
      <c r="C1714" s="276">
        <f>'Profits 2016'!H6927</f>
        <v>118.6</v>
      </c>
      <c r="D1714" s="280">
        <f>'Profits 2016'!K6927</f>
        <v>100.81</v>
      </c>
      <c r="E1714" s="276">
        <f>'Profits 2016'!L6927</f>
        <v>950</v>
      </c>
      <c r="F1714" s="275" t="str">
        <f>'Profits 2016'!P6927</f>
        <v>Nassau</v>
      </c>
      <c r="G1714" s="292">
        <f>'Profits 2016'!N6927-'Profits 2016'!M6927</f>
        <v>47.5</v>
      </c>
      <c r="H1714" s="319"/>
      <c r="I1714" s="320"/>
      <c r="J1714" s="321"/>
      <c r="K1714" s="321"/>
      <c r="L1714" s="321"/>
      <c r="M1714" s="319"/>
      <c r="N1714" s="322"/>
      <c r="O1714" s="236" t="str">
        <f>'Profits 2016'!T6927</f>
        <v>FEDEX GROUND</v>
      </c>
      <c r="P1714" s="284" t="str">
        <f>'Profits 2016'!U6927</f>
        <v>680483361056</v>
      </c>
      <c r="Q1714" s="284" t="s">
        <v>314</v>
      </c>
      <c r="R1714" s="276">
        <v>25.84</v>
      </c>
      <c r="S1714" s="275" t="s">
        <v>15847</v>
      </c>
      <c r="T1714" s="279">
        <v>42695</v>
      </c>
      <c r="U1714" s="279">
        <v>42702</v>
      </c>
      <c r="AF1714" s="276">
        <f t="shared" si="195"/>
        <v>73.34</v>
      </c>
      <c r="AG1714" s="276">
        <f t="shared" si="196"/>
        <v>25.84</v>
      </c>
      <c r="AH1714" s="276">
        <f t="shared" si="197"/>
        <v>74.97</v>
      </c>
      <c r="AI1714" s="283">
        <f t="shared" si="198"/>
        <v>1.0222252522497954</v>
      </c>
    </row>
    <row r="1715" spans="1:35" ht="30" x14ac:dyDescent="0.25">
      <c r="A1715" s="275">
        <f>'Profits 2016'!A6928</f>
        <v>3005437</v>
      </c>
      <c r="B1715" s="279">
        <f>'Profits 2016'!B6928</f>
        <v>42681</v>
      </c>
      <c r="C1715" s="276">
        <f>'Profits 2016'!H6928</f>
        <v>116.23</v>
      </c>
      <c r="D1715" s="280">
        <f>'Profits 2016'!K6928</f>
        <v>98.795500000000004</v>
      </c>
      <c r="E1715" s="276">
        <f>'Profits 2016'!L6928</f>
        <v>950</v>
      </c>
      <c r="F1715" s="275" t="str">
        <f>'Profits 2016'!P6928</f>
        <v>Nassau</v>
      </c>
      <c r="G1715" s="292">
        <f>'Profits 2016'!N6928-'Profits 2016'!M6928</f>
        <v>47.499999999999993</v>
      </c>
      <c r="H1715" s="319"/>
      <c r="I1715" s="320"/>
      <c r="J1715" s="321"/>
      <c r="K1715" s="321"/>
      <c r="L1715" s="321"/>
      <c r="M1715" s="319"/>
      <c r="N1715" s="322"/>
      <c r="O1715" s="236" t="str">
        <f>'Profits 2016'!T6928</f>
        <v>FEDEX GROUND</v>
      </c>
      <c r="P1715" s="284" t="str">
        <f>'Profits 2016'!U6928</f>
        <v>680483361067</v>
      </c>
      <c r="Q1715" s="284" t="s">
        <v>314</v>
      </c>
      <c r="R1715" s="276">
        <v>27.85</v>
      </c>
      <c r="S1715" s="275" t="s">
        <v>15847</v>
      </c>
      <c r="T1715" s="279">
        <v>42695</v>
      </c>
      <c r="U1715" s="279">
        <v>42702</v>
      </c>
      <c r="AF1715" s="276">
        <f t="shared" si="195"/>
        <v>75.349999999999994</v>
      </c>
      <c r="AG1715" s="276">
        <f t="shared" si="196"/>
        <v>27.85</v>
      </c>
      <c r="AH1715" s="276">
        <f t="shared" si="197"/>
        <v>70.94550000000001</v>
      </c>
      <c r="AI1715" s="283">
        <f t="shared" si="198"/>
        <v>0.94154611811546141</v>
      </c>
    </row>
    <row r="1716" spans="1:35" ht="30" x14ac:dyDescent="0.25">
      <c r="A1716" s="275">
        <f>'Profits 2016'!A6929</f>
        <v>3005438</v>
      </c>
      <c r="B1716" s="279">
        <f>'Profits 2016'!B6929</f>
        <v>42681</v>
      </c>
      <c r="C1716" s="276">
        <f>'Profits 2016'!H6929</f>
        <v>283.14</v>
      </c>
      <c r="D1716" s="280">
        <f>'Profits 2016'!K6929</f>
        <v>240.66899999999998</v>
      </c>
      <c r="E1716" s="276">
        <f>'Profits 2016'!L6929</f>
        <v>300</v>
      </c>
      <c r="F1716" s="275" t="str">
        <f>'Profits 2016'!P6929</f>
        <v>Nassau</v>
      </c>
      <c r="G1716" s="292">
        <f>'Profits 2016'!N6929-'Profits 2016'!M6929</f>
        <v>150</v>
      </c>
      <c r="H1716" s="319"/>
      <c r="I1716" s="320"/>
      <c r="J1716" s="321"/>
      <c r="K1716" s="321"/>
      <c r="L1716" s="321"/>
      <c r="M1716" s="319"/>
      <c r="N1716" s="322"/>
      <c r="O1716" s="236" t="str">
        <f>'Profits 2016'!T6929</f>
        <v>FEDEX GROUND</v>
      </c>
      <c r="P1716" s="284" t="str">
        <f>'Profits 2016'!U6929</f>
        <v>702723291837</v>
      </c>
      <c r="Q1716" s="284" t="s">
        <v>314</v>
      </c>
      <c r="R1716" s="276">
        <v>25.09</v>
      </c>
      <c r="S1716" s="275" t="s">
        <v>15847</v>
      </c>
      <c r="T1716" s="279">
        <v>42695</v>
      </c>
      <c r="U1716" s="279">
        <v>42702</v>
      </c>
      <c r="AF1716" s="276">
        <f t="shared" si="195"/>
        <v>175.09</v>
      </c>
      <c r="AG1716" s="276">
        <f t="shared" si="196"/>
        <v>25.09</v>
      </c>
      <c r="AH1716" s="276">
        <f t="shared" si="197"/>
        <v>215.57899999999998</v>
      </c>
      <c r="AI1716" s="283">
        <f t="shared" si="198"/>
        <v>1.2312467873664972</v>
      </c>
    </row>
    <row r="1717" spans="1:35" ht="30" x14ac:dyDescent="0.25">
      <c r="A1717" s="275">
        <f>'Profits 2016'!A6930</f>
        <v>3005439</v>
      </c>
      <c r="B1717" s="279">
        <f>'Profits 2016'!B6930</f>
        <v>42681</v>
      </c>
      <c r="C1717" s="276">
        <f>'Profits 2016'!H6930</f>
        <v>100</v>
      </c>
      <c r="D1717" s="280">
        <f>'Profits 2016'!K6930</f>
        <v>85</v>
      </c>
      <c r="E1717" s="276">
        <f>'Profits 2016'!L6930</f>
        <v>622.45000000000005</v>
      </c>
      <c r="F1717" s="275" t="str">
        <f>'Profits 2016'!P6930</f>
        <v>Nassau</v>
      </c>
      <c r="G1717" s="292">
        <f>'Profits 2016'!N6930-'Profits 2016'!M6930</f>
        <v>31.122499999999999</v>
      </c>
      <c r="H1717" s="319"/>
      <c r="I1717" s="320"/>
      <c r="J1717" s="321"/>
      <c r="K1717" s="321"/>
      <c r="L1717" s="321"/>
      <c r="M1717" s="319"/>
      <c r="N1717" s="322"/>
      <c r="O1717" s="236" t="str">
        <f>'Profits 2016'!T6930</f>
        <v>FEDEX GROUND</v>
      </c>
      <c r="P1717" s="284" t="str">
        <f>'Profits 2016'!U6930</f>
        <v>680483361023</v>
      </c>
      <c r="Q1717" s="284" t="s">
        <v>314</v>
      </c>
      <c r="R1717" s="276">
        <v>22.05</v>
      </c>
      <c r="S1717" s="275" t="s">
        <v>15847</v>
      </c>
      <c r="T1717" s="279">
        <v>42695</v>
      </c>
      <c r="U1717" s="279">
        <v>42702</v>
      </c>
      <c r="AF1717" s="276">
        <f t="shared" si="195"/>
        <v>53.172499999999999</v>
      </c>
      <c r="AG1717" s="276">
        <f t="shared" si="196"/>
        <v>22.05</v>
      </c>
      <c r="AH1717" s="276">
        <f t="shared" si="197"/>
        <v>62.95</v>
      </c>
      <c r="AI1717" s="283">
        <f t="shared" si="198"/>
        <v>1.1838826461046594</v>
      </c>
    </row>
    <row r="1718" spans="1:35" ht="30" x14ac:dyDescent="0.25">
      <c r="A1718" s="275">
        <f>'Profits 2016'!A6931</f>
        <v>3005440</v>
      </c>
      <c r="B1718" s="279">
        <f>'Profits 2016'!B6931</f>
        <v>42681</v>
      </c>
      <c r="C1718" s="276">
        <f>'Profits 2016'!H6931</f>
        <v>178.77</v>
      </c>
      <c r="D1718" s="280">
        <f>'Profits 2016'!K6931</f>
        <v>151.9545</v>
      </c>
      <c r="E1718" s="276">
        <f>'Profits 2016'!L6931</f>
        <v>900</v>
      </c>
      <c r="F1718" s="275" t="str">
        <f>'Profits 2016'!P6931</f>
        <v>Nassau</v>
      </c>
      <c r="G1718" s="292">
        <f>'Profits 2016'!N6931-'Profits 2016'!M6931</f>
        <v>112.50000000000001</v>
      </c>
      <c r="H1718" s="319"/>
      <c r="I1718" s="320"/>
      <c r="J1718" s="321"/>
      <c r="K1718" s="321"/>
      <c r="L1718" s="321"/>
      <c r="M1718" s="319"/>
      <c r="N1718" s="322"/>
      <c r="O1718" s="236" t="str">
        <f>'Profits 2016'!T6931</f>
        <v>FEDEX GROUND</v>
      </c>
      <c r="P1718" s="284" t="str">
        <f>'Profits 2016'!U6931</f>
        <v>680483361034</v>
      </c>
      <c r="Q1718" s="284" t="s">
        <v>314</v>
      </c>
      <c r="R1718" s="276">
        <v>31.67</v>
      </c>
      <c r="S1718" s="275" t="s">
        <v>15847</v>
      </c>
      <c r="T1718" s="279">
        <v>42695</v>
      </c>
      <c r="U1718" s="279">
        <v>42702</v>
      </c>
      <c r="AF1718" s="276">
        <f t="shared" si="195"/>
        <v>144.17000000000002</v>
      </c>
      <c r="AG1718" s="276">
        <f t="shared" si="196"/>
        <v>31.67</v>
      </c>
      <c r="AH1718" s="276">
        <f t="shared" si="197"/>
        <v>120.28449999999999</v>
      </c>
      <c r="AI1718" s="283">
        <f t="shared" si="198"/>
        <v>0.83432406187140173</v>
      </c>
    </row>
    <row r="1719" spans="1:35" ht="30" x14ac:dyDescent="0.25">
      <c r="A1719" s="275">
        <f>'Profits 2016'!A6932</f>
        <v>3005441</v>
      </c>
      <c r="B1719" s="279">
        <f>'Profits 2016'!B6932</f>
        <v>42681</v>
      </c>
      <c r="C1719" s="276">
        <f>'Profits 2016'!H6932</f>
        <v>140</v>
      </c>
      <c r="D1719" s="280">
        <f>'Profits 2016'!K6932</f>
        <v>136.62</v>
      </c>
      <c r="E1719" s="276">
        <f>'Profits 2016'!L6932</f>
        <v>424</v>
      </c>
      <c r="F1719" s="275" t="str">
        <f>'Profits 2016'!P6932</f>
        <v>Nassau</v>
      </c>
      <c r="G1719" s="292">
        <f>'Profits 2016'!N6932-'Profits 2016'!M6932</f>
        <v>63.599999999999994</v>
      </c>
      <c r="H1719" s="319"/>
      <c r="I1719" s="320"/>
      <c r="J1719" s="321"/>
      <c r="K1719" s="321"/>
      <c r="L1719" s="321"/>
      <c r="M1719" s="319"/>
      <c r="N1719" s="322"/>
      <c r="O1719" s="236" t="str">
        <f>'Profits 2016'!T6932</f>
        <v>FEDEX GROUND</v>
      </c>
      <c r="P1719" s="284" t="str">
        <f>'Profits 2016'!U6932</f>
        <v>680483360954</v>
      </c>
      <c r="Q1719" s="284" t="s">
        <v>314</v>
      </c>
      <c r="R1719" s="276">
        <v>33.340000000000003</v>
      </c>
      <c r="S1719" s="275" t="s">
        <v>15847</v>
      </c>
      <c r="T1719" s="279">
        <v>42695</v>
      </c>
      <c r="U1719" s="279">
        <v>42702</v>
      </c>
      <c r="AF1719" s="276">
        <f t="shared" si="195"/>
        <v>96.94</v>
      </c>
      <c r="AG1719" s="276">
        <f t="shared" si="196"/>
        <v>33.340000000000003</v>
      </c>
      <c r="AH1719" s="276">
        <f t="shared" si="197"/>
        <v>103.28</v>
      </c>
      <c r="AI1719" s="283">
        <f t="shared" si="198"/>
        <v>1.0654012791417371</v>
      </c>
    </row>
    <row r="1720" spans="1:35" ht="30" x14ac:dyDescent="0.25">
      <c r="A1720" s="275">
        <f>'Profits 2016'!A6933</f>
        <v>3005442</v>
      </c>
      <c r="B1720" s="279">
        <f>'Profits 2016'!B6933</f>
        <v>42681</v>
      </c>
      <c r="C1720" s="276">
        <f>'Profits 2016'!H6933</f>
        <v>2500</v>
      </c>
      <c r="D1720" s="280">
        <f>'Profits 2016'!K6933</f>
        <v>2227.1999999999998</v>
      </c>
      <c r="E1720" s="276">
        <f>'Profits 2016'!L6933</f>
        <v>4090</v>
      </c>
      <c r="F1720" s="275" t="str">
        <f>'Profits 2016'!P6933</f>
        <v>Service</v>
      </c>
      <c r="G1720" s="292">
        <f>'Profits 2016'!N6933-'Profits 2016'!M6933</f>
        <v>2045</v>
      </c>
      <c r="H1720" s="331">
        <v>0</v>
      </c>
      <c r="I1720" s="332">
        <v>50266610</v>
      </c>
      <c r="J1720" s="333">
        <v>42682</v>
      </c>
      <c r="K1720" s="333">
        <v>42688</v>
      </c>
      <c r="L1720" s="333"/>
      <c r="M1720" s="331"/>
      <c r="N1720" s="334"/>
      <c r="O1720" s="236" t="str">
        <f>'Profits 2016'!T6933</f>
        <v>XPO LOGISTICS</v>
      </c>
      <c r="P1720" s="284" t="str">
        <f>'Profits 2016'!U6933</f>
        <v>257680032</v>
      </c>
      <c r="AF1720" s="276">
        <f t="shared" ref="AF1720:AF1783" si="199">G1720+H1721+R1720+Y1720</f>
        <v>2045</v>
      </c>
      <c r="AG1720" s="276">
        <f t="shared" ref="AG1720:AG1783" si="200">M1720+R1720+Y1720</f>
        <v>0</v>
      </c>
      <c r="AH1720" s="276">
        <f t="shared" ref="AH1720:AH1783" si="201">D1720-AG1720</f>
        <v>2227.1999999999998</v>
      </c>
      <c r="AI1720" s="283">
        <f t="shared" ref="AI1720:AI1783" si="202">AH1720/AF1720</f>
        <v>1.0890953545232274</v>
      </c>
    </row>
    <row r="1721" spans="1:35" x14ac:dyDescent="0.25">
      <c r="A1721" s="275">
        <f>'Profits 2016'!A6934</f>
        <v>3005443</v>
      </c>
      <c r="B1721" s="279">
        <f>'Profits 2016'!B6934</f>
        <v>42681</v>
      </c>
      <c r="C1721" s="276">
        <f>'Profits 2016'!H6934</f>
        <v>1225</v>
      </c>
      <c r="D1721" s="280">
        <f>'Profits 2016'!K6934</f>
        <v>1225</v>
      </c>
      <c r="E1721" s="276">
        <f>'Profits 2016'!L6934</f>
        <v>300</v>
      </c>
      <c r="F1721" s="275" t="str">
        <f>'Profits 2016'!P6934</f>
        <v>Nassau</v>
      </c>
      <c r="G1721" s="292">
        <f>'Profits 2016'!N6934-'Profits 2016'!M6934</f>
        <v>750</v>
      </c>
      <c r="H1721" s="331"/>
      <c r="I1721" s="332"/>
      <c r="J1721" s="333"/>
      <c r="K1721" s="333"/>
      <c r="L1721" s="333"/>
      <c r="M1721" s="331"/>
      <c r="N1721" s="334"/>
      <c r="O1721" s="236" t="str">
        <f>'Profits 2016'!T6934</f>
        <v>UPS/DLS</v>
      </c>
      <c r="P1721" s="284" t="str">
        <f>'Profits 2016'!U6934</f>
        <v>736753474</v>
      </c>
      <c r="AF1721" s="276">
        <f t="shared" si="199"/>
        <v>750</v>
      </c>
      <c r="AG1721" s="276">
        <f t="shared" si="200"/>
        <v>0</v>
      </c>
      <c r="AH1721" s="276">
        <f t="shared" si="201"/>
        <v>1225</v>
      </c>
      <c r="AI1721" s="283">
        <f t="shared" si="202"/>
        <v>1.6333333333333333</v>
      </c>
    </row>
    <row r="1722" spans="1:35" ht="30" x14ac:dyDescent="0.25">
      <c r="A1722" s="275">
        <f>'Profits 2016'!A6935</f>
        <v>3005444</v>
      </c>
      <c r="B1722" s="279">
        <f>'Profits 2016'!B6935</f>
        <v>42681</v>
      </c>
      <c r="C1722" s="276">
        <f>'Profits 2016'!H6935</f>
        <v>221</v>
      </c>
      <c r="D1722" s="280">
        <f>'Profits 2016'!K6935</f>
        <v>215.83799999999999</v>
      </c>
      <c r="E1722" s="276">
        <f>'Profits 2016'!L6935</f>
        <v>1035</v>
      </c>
      <c r="F1722" s="275" t="str">
        <f>'Profits 2016'!P6935</f>
        <v>Nassau</v>
      </c>
      <c r="G1722" s="292">
        <f>'Profits 2016'!N6935-'Profits 2016'!M6935</f>
        <v>103.5</v>
      </c>
      <c r="H1722" s="319"/>
      <c r="I1722" s="320"/>
      <c r="J1722" s="321"/>
      <c r="K1722" s="321"/>
      <c r="L1722" s="321"/>
      <c r="M1722" s="319"/>
      <c r="N1722" s="322"/>
      <c r="O1722" s="236" t="str">
        <f>'Profits 2016'!T6935</f>
        <v>FEDEX GROUND</v>
      </c>
      <c r="P1722" s="284" t="str">
        <f>'Profits 2016'!U6935</f>
        <v>680483361012</v>
      </c>
      <c r="Q1722" s="284" t="s">
        <v>314</v>
      </c>
      <c r="R1722" s="276">
        <v>42.21</v>
      </c>
      <c r="S1722" s="275" t="s">
        <v>15847</v>
      </c>
      <c r="T1722" s="279">
        <v>42695</v>
      </c>
      <c r="U1722" s="279">
        <v>42702</v>
      </c>
      <c r="AF1722" s="276">
        <f t="shared" si="199"/>
        <v>145.71</v>
      </c>
      <c r="AG1722" s="276">
        <f t="shared" si="200"/>
        <v>42.21</v>
      </c>
      <c r="AH1722" s="276">
        <f t="shared" si="201"/>
        <v>173.62799999999999</v>
      </c>
      <c r="AI1722" s="283">
        <f t="shared" si="202"/>
        <v>1.1915997529339097</v>
      </c>
    </row>
    <row r="1723" spans="1:35" x14ac:dyDescent="0.25">
      <c r="A1723" s="275">
        <f>'Profits 2016'!A6936</f>
        <v>3005445</v>
      </c>
      <c r="B1723" s="279">
        <f>'Profits 2016'!B6936</f>
        <v>42681</v>
      </c>
      <c r="C1723" s="276">
        <f>'Profits 2016'!H6936</f>
        <v>626</v>
      </c>
      <c r="D1723" s="280">
        <f>'Profits 2016'!K6936</f>
        <v>611.928</v>
      </c>
      <c r="E1723" s="276">
        <f>'Profits 2016'!L6936</f>
        <v>120</v>
      </c>
      <c r="F1723" s="275" t="str">
        <f>'Profits 2016'!P6936</f>
        <v>Priority</v>
      </c>
      <c r="G1723" s="292">
        <f>'Profits 2016'!N6936-'Profits 2016'!M6936</f>
        <v>240</v>
      </c>
      <c r="H1723" s="331">
        <v>0</v>
      </c>
      <c r="I1723" s="332">
        <v>1074634</v>
      </c>
      <c r="J1723" s="333">
        <v>42682</v>
      </c>
      <c r="K1723" s="333">
        <v>42703</v>
      </c>
      <c r="L1723" s="333"/>
      <c r="M1723" s="331"/>
      <c r="N1723" s="334"/>
      <c r="O1723" s="236" t="str">
        <f>'Profits 2016'!T6936</f>
        <v>SEFL</v>
      </c>
      <c r="P1723" s="284" t="str">
        <f>'Profits 2016'!U6936</f>
        <v>293024138</v>
      </c>
      <c r="Q1723" s="284" t="s">
        <v>15740</v>
      </c>
      <c r="R1723" s="276">
        <v>140.19999999999999</v>
      </c>
      <c r="S1723" s="332">
        <v>1074634</v>
      </c>
      <c r="T1723" s="333">
        <v>42682</v>
      </c>
      <c r="U1723" s="333">
        <v>42703</v>
      </c>
      <c r="AF1723" s="276">
        <f t="shared" si="199"/>
        <v>380.2</v>
      </c>
      <c r="AG1723" s="276">
        <f t="shared" si="200"/>
        <v>140.19999999999999</v>
      </c>
      <c r="AH1723" s="276">
        <f t="shared" si="201"/>
        <v>471.72800000000001</v>
      </c>
      <c r="AI1723" s="283">
        <f t="shared" si="202"/>
        <v>1.2407364544976329</v>
      </c>
    </row>
    <row r="1724" spans="1:35" ht="30" x14ac:dyDescent="0.25">
      <c r="A1724" s="275">
        <f>'Profits 2016'!A6937</f>
        <v>3005446</v>
      </c>
      <c r="B1724" s="279">
        <f>'Profits 2016'!B6937</f>
        <v>42681</v>
      </c>
      <c r="C1724" s="276">
        <f>'Profits 2016'!H6937</f>
        <v>500</v>
      </c>
      <c r="D1724" s="280">
        <f>'Profits 2016'!K6937</f>
        <v>488.7</v>
      </c>
      <c r="E1724" s="276">
        <f>'Profits 2016'!L6937</f>
        <v>130</v>
      </c>
      <c r="F1724" s="275" t="str">
        <f>'Profits 2016'!P6937</f>
        <v>Priority</v>
      </c>
      <c r="G1724" s="292">
        <f>'Profits 2016'!N6937-'Profits 2016'!M6937</f>
        <v>130</v>
      </c>
      <c r="H1724" s="331">
        <v>0</v>
      </c>
      <c r="I1724" s="332">
        <v>1074429</v>
      </c>
      <c r="J1724" s="333">
        <v>42682</v>
      </c>
      <c r="K1724" s="333">
        <v>42695</v>
      </c>
      <c r="L1724" s="333"/>
      <c r="M1724" s="331"/>
      <c r="N1724" s="334"/>
      <c r="O1724" s="236" t="str">
        <f>'Profits 2016'!T6937</f>
        <v>FEDEX GROUND</v>
      </c>
      <c r="P1724" s="284">
        <f>'Profits 2016'!U6937</f>
        <v>700044013660</v>
      </c>
      <c r="Q1724" s="284" t="s">
        <v>15740</v>
      </c>
      <c r="R1724" s="276">
        <v>23.36</v>
      </c>
      <c r="S1724" s="332">
        <v>1074429</v>
      </c>
      <c r="T1724" s="279">
        <v>42682</v>
      </c>
      <c r="U1724" s="279">
        <v>42695</v>
      </c>
      <c r="AF1724" s="276">
        <f t="shared" si="199"/>
        <v>153.36000000000001</v>
      </c>
      <c r="AG1724" s="276">
        <f t="shared" si="200"/>
        <v>23.36</v>
      </c>
      <c r="AH1724" s="276">
        <f t="shared" si="201"/>
        <v>465.34</v>
      </c>
      <c r="AI1724" s="283">
        <f t="shared" si="202"/>
        <v>3.0342983828899319</v>
      </c>
    </row>
    <row r="1725" spans="1:35" ht="30" x14ac:dyDescent="0.25">
      <c r="A1725" s="275">
        <f>'Profits 2016'!A6938</f>
        <v>3005447</v>
      </c>
      <c r="B1725" s="279">
        <f>'Profits 2016'!B6938</f>
        <v>42681</v>
      </c>
      <c r="C1725" s="276">
        <f>'Profits 2016'!H6938</f>
        <v>260.3</v>
      </c>
      <c r="D1725" s="280">
        <f>'Profits 2016'!K6938</f>
        <v>260.3</v>
      </c>
      <c r="E1725" s="276">
        <f>'Profits 2016'!L6938</f>
        <v>474</v>
      </c>
      <c r="F1725" s="275" t="str">
        <f>'Profits 2016'!P6938</f>
        <v>Priority</v>
      </c>
      <c r="G1725" s="292">
        <f>'Profits 2016'!N6938-'Profits 2016'!M6938</f>
        <v>129.876</v>
      </c>
      <c r="H1725" s="331">
        <v>0</v>
      </c>
      <c r="I1725" s="332">
        <v>1074485</v>
      </c>
      <c r="J1725" s="333">
        <v>42682</v>
      </c>
      <c r="K1725" s="333">
        <v>42695</v>
      </c>
      <c r="L1725" s="333"/>
      <c r="M1725" s="331"/>
      <c r="N1725" s="334"/>
      <c r="O1725" s="236" t="str">
        <f>'Profits 2016'!T6938</f>
        <v>UPS NEXT DAY</v>
      </c>
      <c r="P1725" s="284" t="str">
        <f>'Profits 2016'!U6938</f>
        <v>1ZV147610147019446</v>
      </c>
      <c r="S1725" s="373"/>
      <c r="AF1725" s="276">
        <f t="shared" si="199"/>
        <v>129.876</v>
      </c>
      <c r="AG1725" s="276">
        <f t="shared" si="200"/>
        <v>0</v>
      </c>
      <c r="AH1725" s="276">
        <f t="shared" si="201"/>
        <v>260.3</v>
      </c>
      <c r="AI1725" s="283">
        <f t="shared" si="202"/>
        <v>2.0042194092827006</v>
      </c>
    </row>
    <row r="1726" spans="1:35" x14ac:dyDescent="0.25">
      <c r="A1726" s="275">
        <f>'Profits 2016'!A6939</f>
        <v>3005448</v>
      </c>
      <c r="B1726" s="279">
        <f>'Profits 2016'!B6939</f>
        <v>42681</v>
      </c>
      <c r="C1726" s="276">
        <f>'Profits 2016'!H6939</f>
        <v>4273.5</v>
      </c>
      <c r="D1726" s="280">
        <f>'Profits 2016'!K6939</f>
        <v>4273.5</v>
      </c>
      <c r="E1726" s="276">
        <f>'Profits 2016'!L6939</f>
        <v>2500</v>
      </c>
      <c r="F1726" s="275" t="str">
        <f>'Profits 2016'!P6939</f>
        <v>Eutex</v>
      </c>
      <c r="G1726" s="292">
        <f>'Profits 2016'!N6939-'Profits 2016'!M6939</f>
        <v>2625</v>
      </c>
      <c r="H1726" s="331"/>
      <c r="I1726" s="332"/>
      <c r="J1726" s="333"/>
      <c r="K1726" s="333"/>
      <c r="L1726" s="333"/>
      <c r="M1726" s="331"/>
      <c r="N1726" s="334"/>
      <c r="O1726" s="236" t="str">
        <f>'Profits 2016'!T6939</f>
        <v>FEDEX/DLS</v>
      </c>
      <c r="P1726" s="284" t="str">
        <f>'Profits 2016'!U6939</f>
        <v>4062655752</v>
      </c>
      <c r="AF1726" s="276">
        <f t="shared" si="199"/>
        <v>2625</v>
      </c>
      <c r="AG1726" s="276">
        <f t="shared" si="200"/>
        <v>0</v>
      </c>
      <c r="AH1726" s="276">
        <f t="shared" si="201"/>
        <v>4273.5</v>
      </c>
      <c r="AI1726" s="283">
        <f t="shared" si="202"/>
        <v>1.6279999999999999</v>
      </c>
    </row>
    <row r="1727" spans="1:35" ht="30" x14ac:dyDescent="0.25">
      <c r="A1727" s="275">
        <f>'Profits 2016'!A6940</f>
        <v>3005449</v>
      </c>
      <c r="B1727" s="279">
        <f>'Profits 2016'!B6940</f>
        <v>42681</v>
      </c>
      <c r="C1727" s="276">
        <f>'Profits 2016'!H6940</f>
        <v>2538.75</v>
      </c>
      <c r="D1727" s="280">
        <f>'Profits 2016'!K6940</f>
        <v>2482.5974999999999</v>
      </c>
      <c r="E1727" s="276">
        <f>'Profits 2016'!L6940</f>
        <v>2050</v>
      </c>
      <c r="F1727" s="275" t="str">
        <f>'Profits 2016'!P6940</f>
        <v>A-Z</v>
      </c>
      <c r="G1727" s="292">
        <f>'Profits 2016'!N6940-'Profits 2016'!M6940</f>
        <v>2050</v>
      </c>
      <c r="H1727" s="331">
        <v>0</v>
      </c>
      <c r="I1727" s="332">
        <v>409414</v>
      </c>
      <c r="J1727" s="333">
        <v>42684</v>
      </c>
      <c r="K1727" s="333">
        <v>42692</v>
      </c>
      <c r="L1727" s="333"/>
      <c r="M1727" s="331"/>
      <c r="N1727" s="334"/>
      <c r="O1727" s="236" t="str">
        <f>'Profits 2016'!T6940</f>
        <v>XPO LOGISTICS</v>
      </c>
      <c r="P1727" s="284" t="str">
        <f>'Profits 2016'!U6940</f>
        <v>118-581890</v>
      </c>
      <c r="Q1727" s="284" t="s">
        <v>15804</v>
      </c>
      <c r="R1727" s="276">
        <v>165.62</v>
      </c>
      <c r="S1727" s="275">
        <v>636978015</v>
      </c>
      <c r="T1727" s="279">
        <v>42691</v>
      </c>
      <c r="U1727" s="279">
        <v>42702</v>
      </c>
      <c r="AF1727" s="276">
        <f t="shared" si="199"/>
        <v>2215.62</v>
      </c>
      <c r="AG1727" s="276">
        <f t="shared" si="200"/>
        <v>165.62</v>
      </c>
      <c r="AH1727" s="276">
        <f t="shared" si="201"/>
        <v>2316.9775</v>
      </c>
      <c r="AI1727" s="283">
        <f t="shared" si="202"/>
        <v>1.0457467887092553</v>
      </c>
    </row>
    <row r="1728" spans="1:35" ht="30" x14ac:dyDescent="0.25">
      <c r="A1728" s="275">
        <f>'Profits 2016'!A6941</f>
        <v>3005450</v>
      </c>
      <c r="B1728" s="279">
        <f>'Profits 2016'!B6941</f>
        <v>42681</v>
      </c>
      <c r="C1728" s="276">
        <f>'Profits 2016'!H6941</f>
        <v>664.26</v>
      </c>
      <c r="D1728" s="280">
        <f>'Profits 2016'!K6941</f>
        <v>564.62099999999998</v>
      </c>
      <c r="E1728" s="276">
        <f>'Profits 2016'!L6941</f>
        <v>225</v>
      </c>
      <c r="F1728" s="275" t="str">
        <f>'Profits 2016'!P6941</f>
        <v>Omni</v>
      </c>
      <c r="G1728" s="292">
        <f>'Profits 2016'!N6941-'Profits 2016'!M6941</f>
        <v>337.5</v>
      </c>
      <c r="H1728" s="331"/>
      <c r="I1728" s="332"/>
      <c r="J1728" s="333"/>
      <c r="K1728" s="333"/>
      <c r="L1728" s="333"/>
      <c r="M1728" s="331"/>
      <c r="N1728" s="334"/>
      <c r="O1728" s="236" t="str">
        <f>'Profits 2016'!T6941</f>
        <v>FEDEX GROUND</v>
      </c>
      <c r="P1728" s="284" t="str">
        <f>'Profits 2016'!U6941</f>
        <v>680123397980</v>
      </c>
      <c r="AF1728" s="276">
        <f t="shared" si="199"/>
        <v>337.5</v>
      </c>
      <c r="AG1728" s="276">
        <f t="shared" si="200"/>
        <v>0</v>
      </c>
      <c r="AH1728" s="276">
        <f t="shared" si="201"/>
        <v>564.62099999999998</v>
      </c>
      <c r="AI1728" s="283">
        <f t="shared" si="202"/>
        <v>1.6729511111111111</v>
      </c>
    </row>
    <row r="1729" spans="1:35" ht="30" x14ac:dyDescent="0.25">
      <c r="A1729" s="275">
        <f>'Profits 2016'!A6942</f>
        <v>3005451</v>
      </c>
      <c r="B1729" s="279">
        <f>'Profits 2016'!B6942</f>
        <v>42681</v>
      </c>
      <c r="C1729" s="276">
        <f>'Profits 2016'!H6942</f>
        <v>100.7</v>
      </c>
      <c r="D1729" s="280">
        <f>'Profits 2016'!K6942</f>
        <v>85.594999999999999</v>
      </c>
      <c r="E1729" s="276">
        <f>'Profits 2016'!L6942</f>
        <v>628</v>
      </c>
      <c r="F1729" s="275" t="str">
        <f>'Profits 2016'!P6942</f>
        <v>Wire Express</v>
      </c>
      <c r="G1729" s="292">
        <f>'Profits 2016'!N6942-'Profits 2016'!M6942</f>
        <v>62.8</v>
      </c>
      <c r="H1729" s="331">
        <v>0</v>
      </c>
      <c r="I1729" s="332" t="s">
        <v>15933</v>
      </c>
      <c r="J1729" s="333">
        <v>42683</v>
      </c>
      <c r="K1729" s="333">
        <v>42688</v>
      </c>
      <c r="L1729" s="333"/>
      <c r="M1729" s="331"/>
      <c r="N1729" s="334"/>
      <c r="O1729" s="236" t="str">
        <f>'Profits 2016'!T6942</f>
        <v>FEDEX GROUND</v>
      </c>
      <c r="P1729" s="284" t="str">
        <f>'Profits 2016'!U6942</f>
        <v xml:space="preserve">118391272765895 </v>
      </c>
      <c r="Q1729" s="284" t="s">
        <v>314</v>
      </c>
      <c r="R1729" s="276">
        <v>11.28</v>
      </c>
      <c r="S1729" s="275" t="s">
        <v>15847</v>
      </c>
      <c r="T1729" s="279">
        <v>42695</v>
      </c>
      <c r="U1729" s="279">
        <v>42702</v>
      </c>
      <c r="AF1729" s="276">
        <f t="shared" si="199"/>
        <v>74.08</v>
      </c>
      <c r="AG1729" s="276">
        <f t="shared" si="200"/>
        <v>11.28</v>
      </c>
      <c r="AH1729" s="276">
        <f t="shared" si="201"/>
        <v>74.314999999999998</v>
      </c>
      <c r="AI1729" s="283">
        <f t="shared" si="202"/>
        <v>1.0031722462203023</v>
      </c>
    </row>
    <row r="1730" spans="1:35" ht="30" x14ac:dyDescent="0.25">
      <c r="A1730" s="275">
        <f>'Profits 2016'!A6943</f>
        <v>3005452</v>
      </c>
      <c r="B1730" s="279">
        <f>'Profits 2016'!B6943</f>
        <v>42682</v>
      </c>
      <c r="C1730" s="276">
        <f>'Profits 2016'!H6943</f>
        <v>278.62</v>
      </c>
      <c r="D1730" s="280">
        <f>'Profits 2016'!K6943</f>
        <v>247.95041999999998</v>
      </c>
      <c r="E1730" s="276">
        <f>'Profits 2016'!L6943</f>
        <v>1050</v>
      </c>
      <c r="F1730" s="275" t="str">
        <f>'Profits 2016'!P6943</f>
        <v>Priority</v>
      </c>
      <c r="G1730" s="292">
        <f>'Profits 2016'!N6943-'Profits 2016'!M6943</f>
        <v>131.25</v>
      </c>
      <c r="H1730" s="331">
        <v>0</v>
      </c>
      <c r="I1730" s="332">
        <v>1074474</v>
      </c>
      <c r="J1730" s="333">
        <v>42682</v>
      </c>
      <c r="K1730" s="333">
        <v>42695</v>
      </c>
      <c r="L1730" s="333"/>
      <c r="M1730" s="331"/>
      <c r="N1730" s="334"/>
      <c r="O1730" s="236" t="str">
        <f>'Profits 2016'!T6943</f>
        <v>Customer Pick Up</v>
      </c>
      <c r="P1730" s="284" t="str">
        <f>'Profits 2016'!U6943</f>
        <v>Customer Pick Up</v>
      </c>
      <c r="AF1730" s="276">
        <f t="shared" si="199"/>
        <v>131.25</v>
      </c>
      <c r="AG1730" s="276">
        <f t="shared" si="200"/>
        <v>0</v>
      </c>
      <c r="AH1730" s="276">
        <f t="shared" si="201"/>
        <v>247.95041999999998</v>
      </c>
      <c r="AI1730" s="283">
        <f t="shared" si="202"/>
        <v>1.8891460571428569</v>
      </c>
    </row>
    <row r="1731" spans="1:35" ht="30" x14ac:dyDescent="0.25">
      <c r="A1731" s="275">
        <f>'Profits 2016'!A6944</f>
        <v>3005453</v>
      </c>
      <c r="B1731" s="279">
        <f>'Profits 2016'!B6944</f>
        <v>42682</v>
      </c>
      <c r="C1731" s="276">
        <f>'Profits 2016'!H6944</f>
        <v>39</v>
      </c>
      <c r="D1731" s="280">
        <f>'Profits 2016'!K6944</f>
        <v>34.449000000000005</v>
      </c>
      <c r="E1731" s="276">
        <f>'Profits 2016'!L6944</f>
        <v>424</v>
      </c>
      <c r="F1731" s="275" t="str">
        <f>'Profits 2016'!P6944</f>
        <v>Nassau</v>
      </c>
      <c r="G1731" s="292">
        <f>'Profits 2016'!N6944-'Profits 2016'!M6944</f>
        <v>10.600000000000001</v>
      </c>
      <c r="H1731" s="319"/>
      <c r="I1731" s="320"/>
      <c r="J1731" s="321"/>
      <c r="K1731" s="321"/>
      <c r="L1731" s="321"/>
      <c r="M1731" s="319"/>
      <c r="N1731" s="322"/>
      <c r="O1731" s="236" t="str">
        <f>'Profits 2016'!T6944</f>
        <v>FEDEX GROUND</v>
      </c>
      <c r="P1731" s="284" t="str">
        <f>'Profits 2016'!U6944</f>
        <v>702723291995</v>
      </c>
      <c r="AF1731" s="276">
        <f t="shared" si="199"/>
        <v>10.600000000000001</v>
      </c>
      <c r="AG1731" s="276">
        <f t="shared" si="200"/>
        <v>0</v>
      </c>
      <c r="AH1731" s="276">
        <f t="shared" si="201"/>
        <v>34.449000000000005</v>
      </c>
      <c r="AI1731" s="283">
        <f t="shared" si="202"/>
        <v>3.2499056603773586</v>
      </c>
    </row>
    <row r="1732" spans="1:35" ht="30" x14ac:dyDescent="0.25">
      <c r="A1732" s="275">
        <f>'Profits 2016'!A6945</f>
        <v>3005454</v>
      </c>
      <c r="B1732" s="279">
        <f>'Profits 2016'!B6945</f>
        <v>42682</v>
      </c>
      <c r="C1732" s="276">
        <f>'Profits 2016'!H6945</f>
        <v>800.86</v>
      </c>
      <c r="D1732" s="280">
        <f>'Profits 2016'!K6945</f>
        <v>713.26625999999999</v>
      </c>
      <c r="E1732" s="276">
        <f>'Profits 2016'!L6945</f>
        <v>1000</v>
      </c>
      <c r="F1732" s="275" t="str">
        <f>'Profits 2016'!P6945</f>
        <v>West Virgina</v>
      </c>
      <c r="G1732" s="292">
        <f>'Profits 2016'!N6945-'Profits 2016'!M6945</f>
        <v>425</v>
      </c>
      <c r="H1732" s="331">
        <v>0</v>
      </c>
      <c r="I1732" s="332" t="s">
        <v>15934</v>
      </c>
      <c r="J1732" s="333">
        <v>42683</v>
      </c>
      <c r="K1732" s="333">
        <v>42702</v>
      </c>
      <c r="L1732" s="333"/>
      <c r="M1732" s="331"/>
      <c r="N1732" s="334"/>
      <c r="O1732" s="236" t="str">
        <f>'Profits 2016'!T6945</f>
        <v>FEDEX FREIGHT</v>
      </c>
      <c r="P1732" s="284" t="str">
        <f>'Profits 2016'!U6945</f>
        <v>3724345671</v>
      </c>
      <c r="AF1732" s="276">
        <f t="shared" si="199"/>
        <v>425</v>
      </c>
      <c r="AG1732" s="276">
        <f t="shared" si="200"/>
        <v>0</v>
      </c>
      <c r="AH1732" s="276">
        <f t="shared" si="201"/>
        <v>713.26625999999999</v>
      </c>
      <c r="AI1732" s="283">
        <f t="shared" si="202"/>
        <v>1.6782735529411765</v>
      </c>
    </row>
    <row r="1733" spans="1:35" ht="30" x14ac:dyDescent="0.25">
      <c r="A1733" s="275">
        <f>'Profits 2016'!A6946</f>
        <v>3005455</v>
      </c>
      <c r="B1733" s="279">
        <f>'Profits 2016'!B6946</f>
        <v>42682</v>
      </c>
      <c r="C1733" s="276">
        <f>'Profits 2016'!H6946</f>
        <v>168.27</v>
      </c>
      <c r="D1733" s="280">
        <f>'Profits 2016'!K6946</f>
        <v>149.62857</v>
      </c>
      <c r="E1733" s="276">
        <f>'Profits 2016'!L6946</f>
        <v>300</v>
      </c>
      <c r="F1733" s="275" t="str">
        <f>'Profits 2016'!P6946</f>
        <v>Nassau</v>
      </c>
      <c r="G1733" s="292">
        <f>'Profits 2016'!N6946-'Profits 2016'!M6946</f>
        <v>75</v>
      </c>
      <c r="H1733" s="319"/>
      <c r="I1733" s="320"/>
      <c r="J1733" s="321"/>
      <c r="K1733" s="321"/>
      <c r="L1733" s="321"/>
      <c r="M1733" s="319"/>
      <c r="N1733" s="322"/>
      <c r="O1733" s="236" t="str">
        <f>'Profits 2016'!T6946</f>
        <v>FEDEX GROUND</v>
      </c>
      <c r="P1733" s="284" t="str">
        <f>'Profits 2016'!U6946</f>
        <v>702723292020</v>
      </c>
      <c r="AF1733" s="276">
        <f t="shared" si="199"/>
        <v>75</v>
      </c>
      <c r="AG1733" s="276">
        <f t="shared" si="200"/>
        <v>0</v>
      </c>
      <c r="AH1733" s="276">
        <f t="shared" si="201"/>
        <v>149.62857</v>
      </c>
      <c r="AI1733" s="283">
        <f t="shared" si="202"/>
        <v>1.9950475999999999</v>
      </c>
    </row>
    <row r="1734" spans="1:35" ht="30" x14ac:dyDescent="0.25">
      <c r="A1734" s="275">
        <f>'Profits 2016'!A6947</f>
        <v>3005456</v>
      </c>
      <c r="B1734" s="279">
        <f>'Profits 2016'!B6947</f>
        <v>42682</v>
      </c>
      <c r="C1734" s="276">
        <f>'Profits 2016'!H6947</f>
        <v>186.52</v>
      </c>
      <c r="D1734" s="280">
        <f>'Profits 2016'!K6947</f>
        <v>165.88932</v>
      </c>
      <c r="E1734" s="276">
        <f>'Profits 2016'!L6947</f>
        <v>480</v>
      </c>
      <c r="F1734" s="275" t="str">
        <f>'Profits 2016'!P6947</f>
        <v>Nassau</v>
      </c>
      <c r="G1734" s="292">
        <f>'Profits 2016'!N6947-'Profits 2016'!M6947</f>
        <v>60</v>
      </c>
      <c r="H1734" s="319"/>
      <c r="I1734" s="320"/>
      <c r="J1734" s="321"/>
      <c r="K1734" s="321"/>
      <c r="L1734" s="321"/>
      <c r="M1734" s="319"/>
      <c r="N1734" s="322"/>
      <c r="O1734" s="236" t="str">
        <f>'Profits 2016'!T6947</f>
        <v>FEDEX GROUND</v>
      </c>
      <c r="P1734" s="284" t="str">
        <f>'Profits 2016'!U6947</f>
        <v>702723291962</v>
      </c>
      <c r="AF1734" s="276">
        <f t="shared" si="199"/>
        <v>60</v>
      </c>
      <c r="AG1734" s="276">
        <f t="shared" si="200"/>
        <v>0</v>
      </c>
      <c r="AH1734" s="276">
        <f t="shared" si="201"/>
        <v>165.88932</v>
      </c>
      <c r="AI1734" s="283">
        <f t="shared" si="202"/>
        <v>2.7648220000000001</v>
      </c>
    </row>
    <row r="1735" spans="1:35" ht="30" x14ac:dyDescent="0.25">
      <c r="A1735" s="275">
        <f>'Profits 2016'!A6948</f>
        <v>3005457</v>
      </c>
      <c r="B1735" s="279">
        <f>'Profits 2016'!B6948</f>
        <v>42682</v>
      </c>
      <c r="C1735" s="276">
        <f>'Profits 2016'!H6948</f>
        <v>261.14</v>
      </c>
      <c r="D1735" s="280">
        <f>'Profits 2016'!K6948</f>
        <v>232.37573999999998</v>
      </c>
      <c r="E1735" s="276">
        <f>'Profits 2016'!L6948</f>
        <v>480</v>
      </c>
      <c r="F1735" s="275" t="str">
        <f>'Profits 2016'!P6948</f>
        <v>Nassau</v>
      </c>
      <c r="G1735" s="292">
        <f>'Profits 2016'!N6948-'Profits 2016'!M6948</f>
        <v>84.000000000000014</v>
      </c>
      <c r="H1735" s="319"/>
      <c r="I1735" s="320"/>
      <c r="J1735" s="321"/>
      <c r="K1735" s="321"/>
      <c r="L1735" s="321"/>
      <c r="M1735" s="319"/>
      <c r="N1735" s="322"/>
      <c r="O1735" s="236" t="str">
        <f>'Profits 2016'!T6948</f>
        <v>FEDEX GROUND</v>
      </c>
      <c r="P1735" s="284" t="str">
        <f>'Profits 2016'!U6948</f>
        <v>702723291973</v>
      </c>
      <c r="Q1735" s="284" t="s">
        <v>314</v>
      </c>
      <c r="R1735" s="276">
        <v>20.63</v>
      </c>
      <c r="S1735" s="275" t="s">
        <v>15847</v>
      </c>
      <c r="T1735" s="279">
        <v>42695</v>
      </c>
      <c r="U1735" s="279">
        <v>42702</v>
      </c>
      <c r="AF1735" s="276">
        <f t="shared" si="199"/>
        <v>104.63000000000001</v>
      </c>
      <c r="AG1735" s="276">
        <f t="shared" si="200"/>
        <v>20.63</v>
      </c>
      <c r="AH1735" s="276">
        <f t="shared" si="201"/>
        <v>211.74573999999998</v>
      </c>
      <c r="AI1735" s="283">
        <f t="shared" si="202"/>
        <v>2.0237574309471467</v>
      </c>
    </row>
    <row r="1736" spans="1:35" ht="30" x14ac:dyDescent="0.25">
      <c r="A1736" s="275">
        <f>'Profits 2016'!A6949</f>
        <v>3005458</v>
      </c>
      <c r="B1736" s="279">
        <f>'Profits 2016'!B6949</f>
        <v>42682</v>
      </c>
      <c r="C1736" s="276">
        <f>'Profits 2016'!H6949</f>
        <v>197.99</v>
      </c>
      <c r="D1736" s="280">
        <f>'Profits 2016'!K6949</f>
        <v>176.10909000000001</v>
      </c>
      <c r="E1736" s="276">
        <f>'Profits 2016'!L6949</f>
        <v>395</v>
      </c>
      <c r="F1736" s="275" t="str">
        <f>'Profits 2016'!P6949</f>
        <v>Nassau</v>
      </c>
      <c r="G1736" s="292">
        <f>'Profits 2016'!N6949-'Profits 2016'!M6949</f>
        <v>98.75</v>
      </c>
      <c r="H1736" s="319"/>
      <c r="I1736" s="320"/>
      <c r="J1736" s="321"/>
      <c r="K1736" s="321"/>
      <c r="L1736" s="321"/>
      <c r="M1736" s="319"/>
      <c r="N1736" s="322"/>
      <c r="O1736" s="236" t="str">
        <f>'Profits 2016'!T6949</f>
        <v>FEDEX GROUND</v>
      </c>
      <c r="P1736" s="284" t="str">
        <f>'Profits 2016'!U6949</f>
        <v>702723292010</v>
      </c>
      <c r="AF1736" s="276">
        <f t="shared" si="199"/>
        <v>98.75</v>
      </c>
      <c r="AG1736" s="276">
        <f t="shared" si="200"/>
        <v>0</v>
      </c>
      <c r="AH1736" s="276">
        <f t="shared" si="201"/>
        <v>176.10909000000001</v>
      </c>
      <c r="AI1736" s="283">
        <f t="shared" si="202"/>
        <v>1.7833831898734178</v>
      </c>
    </row>
    <row r="1737" spans="1:35" ht="30" x14ac:dyDescent="0.25">
      <c r="A1737" s="275">
        <f>'Profits 2016'!A6950</f>
        <v>3005459</v>
      </c>
      <c r="B1737" s="279">
        <f>'Profits 2016'!B6950</f>
        <v>42682</v>
      </c>
      <c r="C1737" s="276">
        <f>'Profits 2016'!H6950</f>
        <v>123.94</v>
      </c>
      <c r="D1737" s="280">
        <f>'Profits 2016'!K6950</f>
        <v>110.13054</v>
      </c>
      <c r="E1737" s="276">
        <f>'Profits 2016'!L6950</f>
        <v>424</v>
      </c>
      <c r="F1737" s="275" t="str">
        <f>'Profits 2016'!P6950</f>
        <v>Nassau</v>
      </c>
      <c r="G1737" s="292">
        <f>'Profits 2016'!N6950-'Profits 2016'!M6950</f>
        <v>42.400000000000013</v>
      </c>
      <c r="H1737" s="319"/>
      <c r="I1737" s="320"/>
      <c r="J1737" s="321"/>
      <c r="K1737" s="321"/>
      <c r="L1737" s="321"/>
      <c r="M1737" s="319"/>
      <c r="N1737" s="322"/>
      <c r="O1737" s="236" t="str">
        <f>'Profits 2016'!T6950</f>
        <v>FEDEX GROUND</v>
      </c>
      <c r="P1737" s="284" t="str">
        <f>'Profits 2016'!U6950</f>
        <v>702723291984</v>
      </c>
      <c r="Q1737" s="284" t="s">
        <v>314</v>
      </c>
      <c r="R1737" s="276">
        <v>30.4</v>
      </c>
      <c r="S1737" s="275" t="s">
        <v>15847</v>
      </c>
      <c r="T1737" s="279">
        <v>42695</v>
      </c>
      <c r="U1737" s="279">
        <v>42702</v>
      </c>
      <c r="AF1737" s="276">
        <f t="shared" si="199"/>
        <v>72.800000000000011</v>
      </c>
      <c r="AG1737" s="276">
        <f t="shared" si="200"/>
        <v>30.4</v>
      </c>
      <c r="AH1737" s="276">
        <f t="shared" si="201"/>
        <v>79.730539999999991</v>
      </c>
      <c r="AI1737" s="283">
        <f t="shared" si="202"/>
        <v>1.095199725274725</v>
      </c>
    </row>
    <row r="1738" spans="1:35" ht="30" x14ac:dyDescent="0.25">
      <c r="A1738" s="275">
        <f>'Profits 2016'!A6951</f>
        <v>3005460</v>
      </c>
      <c r="B1738" s="279">
        <f>'Profits 2016'!B6951</f>
        <v>42682</v>
      </c>
      <c r="C1738" s="276">
        <f>'Profits 2016'!H6951</f>
        <v>159</v>
      </c>
      <c r="D1738" s="280">
        <f>'Profits 2016'!K6951</f>
        <v>135.15</v>
      </c>
      <c r="E1738" s="276">
        <f>'Profits 2016'!L6951</f>
        <v>461</v>
      </c>
      <c r="F1738" s="275" t="str">
        <f>'Profits 2016'!P6951</f>
        <v>Direct</v>
      </c>
      <c r="G1738" s="292">
        <f>'Profits 2016'!N6951-'Profits 2016'!M6951</f>
        <v>46.1</v>
      </c>
      <c r="H1738" s="331">
        <v>0</v>
      </c>
      <c r="I1738" s="332">
        <v>76173</v>
      </c>
      <c r="J1738" s="333">
        <v>42684</v>
      </c>
      <c r="K1738" s="333">
        <v>42691</v>
      </c>
      <c r="L1738" s="333">
        <v>42692</v>
      </c>
      <c r="M1738" s="331">
        <v>90.36</v>
      </c>
      <c r="N1738" s="334">
        <v>9439</v>
      </c>
      <c r="O1738" s="236" t="str">
        <f>'Profits 2016'!T6951</f>
        <v>FEDEX GROUND</v>
      </c>
      <c r="P1738" s="284" t="str">
        <f>'Profits 2016'!U6951</f>
        <v>642286529533</v>
      </c>
      <c r="AF1738" s="276">
        <f t="shared" si="199"/>
        <v>46.1</v>
      </c>
      <c r="AG1738" s="276">
        <f t="shared" si="200"/>
        <v>90.36</v>
      </c>
      <c r="AH1738" s="276">
        <f t="shared" si="201"/>
        <v>44.790000000000006</v>
      </c>
      <c r="AI1738" s="283">
        <f t="shared" si="202"/>
        <v>0.97158351409978316</v>
      </c>
    </row>
    <row r="1739" spans="1:35" x14ac:dyDescent="0.25">
      <c r="A1739" s="275">
        <f>'Profits 2016'!A6952</f>
        <v>0</v>
      </c>
      <c r="B1739" s="279">
        <f>'Profits 2016'!B6952</f>
        <v>0</v>
      </c>
      <c r="C1739" s="276">
        <f>'Profits 2016'!H6952</f>
        <v>0</v>
      </c>
      <c r="D1739" s="280">
        <f>'Profits 2016'!K6952</f>
        <v>0</v>
      </c>
      <c r="E1739" s="276">
        <f>'Profits 2016'!L6952</f>
        <v>461</v>
      </c>
      <c r="F1739" s="275" t="str">
        <f>'Profits 2016'!P6952</f>
        <v>Direct</v>
      </c>
      <c r="G1739" s="292">
        <f>'Profits 2016'!N6952-'Profits 2016'!M6952</f>
        <v>46.1</v>
      </c>
      <c r="H1739" s="331">
        <v>0</v>
      </c>
      <c r="I1739" s="332">
        <v>76173</v>
      </c>
      <c r="J1739" s="333">
        <v>42684</v>
      </c>
      <c r="K1739" s="333">
        <v>42691</v>
      </c>
      <c r="L1739" s="333">
        <v>42692</v>
      </c>
      <c r="M1739" s="331">
        <v>0</v>
      </c>
      <c r="N1739" s="334">
        <v>9439</v>
      </c>
      <c r="O1739" s="236">
        <f>'Profits 2016'!T6952</f>
        <v>0</v>
      </c>
      <c r="P1739" s="284">
        <f>'Profits 2016'!U6952</f>
        <v>0</v>
      </c>
      <c r="AF1739" s="276">
        <f t="shared" si="199"/>
        <v>46.1</v>
      </c>
      <c r="AG1739" s="276">
        <f t="shared" si="200"/>
        <v>0</v>
      </c>
      <c r="AH1739" s="276">
        <f t="shared" si="201"/>
        <v>0</v>
      </c>
      <c r="AI1739" s="283">
        <f t="shared" si="202"/>
        <v>0</v>
      </c>
    </row>
    <row r="1740" spans="1:35" ht="30" x14ac:dyDescent="0.25">
      <c r="A1740" s="275">
        <f>'Profits 2016'!A6953</f>
        <v>3005461</v>
      </c>
      <c r="B1740" s="279">
        <f>'Profits 2016'!B6953</f>
        <v>42682</v>
      </c>
      <c r="C1740" s="276">
        <f>'Profits 2016'!H6953</f>
        <v>259.7</v>
      </c>
      <c r="D1740" s="280">
        <f>'Profits 2016'!K6953</f>
        <v>220.745</v>
      </c>
      <c r="E1740" s="276">
        <f>'Profits 2016'!L6953</f>
        <v>480</v>
      </c>
      <c r="F1740" s="275" t="str">
        <f>'Profits 2016'!P6953</f>
        <v>Thea</v>
      </c>
      <c r="G1740" s="292">
        <f>'Profits 2016'!N6953-'Profits 2016'!M6953</f>
        <v>120</v>
      </c>
      <c r="H1740" s="319"/>
      <c r="I1740" s="320"/>
      <c r="J1740" s="321"/>
      <c r="K1740" s="321"/>
      <c r="L1740" s="321"/>
      <c r="M1740" s="319"/>
      <c r="N1740" s="322"/>
      <c r="O1740" s="236" t="str">
        <f>'Profits 2016'!T6953</f>
        <v>FEDEX GROUND</v>
      </c>
      <c r="P1740" s="284" t="str">
        <f>'Profits 2016'!U6953</f>
        <v>675157531867</v>
      </c>
      <c r="AF1740" s="276">
        <f t="shared" si="199"/>
        <v>120</v>
      </c>
      <c r="AG1740" s="276">
        <f t="shared" si="200"/>
        <v>0</v>
      </c>
      <c r="AH1740" s="276">
        <f t="shared" si="201"/>
        <v>220.745</v>
      </c>
      <c r="AI1740" s="283">
        <f t="shared" si="202"/>
        <v>1.8395416666666666</v>
      </c>
    </row>
    <row r="1741" spans="1:35" ht="30" x14ac:dyDescent="0.25">
      <c r="A1741" s="275">
        <f>'Profits 2016'!A6954</f>
        <v>3005462</v>
      </c>
      <c r="B1741" s="279">
        <f>'Profits 2016'!B6954</f>
        <v>42682</v>
      </c>
      <c r="C1741" s="276">
        <f>'Profits 2016'!H6954</f>
        <v>534.6</v>
      </c>
      <c r="D1741" s="280">
        <f>'Profits 2016'!K6954</f>
        <v>454.41</v>
      </c>
      <c r="E1741" s="276">
        <f>'Profits 2016'!L6954</f>
        <v>1100</v>
      </c>
      <c r="F1741" s="275" t="str">
        <f>'Profits 2016'!P6954</f>
        <v>Nassau</v>
      </c>
      <c r="G1741" s="292">
        <f>'Profits 2016'!N6954-'Profits 2016'!M6954</f>
        <v>275</v>
      </c>
      <c r="H1741" s="319"/>
      <c r="I1741" s="320"/>
      <c r="J1741" s="321"/>
      <c r="K1741" s="321"/>
      <c r="L1741" s="321"/>
      <c r="M1741" s="319"/>
      <c r="N1741" s="322"/>
      <c r="O1741" s="236" t="str">
        <f>'Profits 2016'!T6954</f>
        <v>FEDEX GROUND</v>
      </c>
      <c r="P1741" s="284" t="str">
        <f>'Profits 2016'!U6954</f>
        <v>702723292031</v>
      </c>
      <c r="Q1741" s="284" t="s">
        <v>314</v>
      </c>
      <c r="R1741" s="276">
        <v>45.71</v>
      </c>
      <c r="S1741" s="275" t="s">
        <v>15847</v>
      </c>
      <c r="T1741" s="279">
        <v>42695</v>
      </c>
      <c r="U1741" s="279">
        <v>42702</v>
      </c>
      <c r="AF1741" s="276">
        <f t="shared" si="199"/>
        <v>320.70999999999998</v>
      </c>
      <c r="AG1741" s="276">
        <f t="shared" si="200"/>
        <v>45.71</v>
      </c>
      <c r="AH1741" s="276">
        <f t="shared" si="201"/>
        <v>408.70000000000005</v>
      </c>
      <c r="AI1741" s="283">
        <f t="shared" si="202"/>
        <v>1.2743600137195599</v>
      </c>
    </row>
    <row r="1742" spans="1:35" ht="30" x14ac:dyDescent="0.25">
      <c r="A1742" s="275">
        <f>'Profits 2016'!A6955</f>
        <v>3005463</v>
      </c>
      <c r="B1742" s="279">
        <f>'Profits 2016'!B6955</f>
        <v>42682</v>
      </c>
      <c r="C1742" s="276">
        <f>'Profits 2016'!H6955</f>
        <v>190</v>
      </c>
      <c r="D1742" s="280">
        <f>'Profits 2016'!K6955</f>
        <v>161.5</v>
      </c>
      <c r="E1742" s="276">
        <f>'Profits 2016'!L6955</f>
        <v>900</v>
      </c>
      <c r="F1742" s="275" t="str">
        <f>'Profits 2016'!P6955</f>
        <v>Nassau</v>
      </c>
      <c r="G1742" s="292">
        <f>'Profits 2016'!N6955-'Profits 2016'!M6955</f>
        <v>90</v>
      </c>
      <c r="H1742" s="319"/>
      <c r="I1742" s="320"/>
      <c r="J1742" s="321"/>
      <c r="K1742" s="321"/>
      <c r="L1742" s="321"/>
      <c r="M1742" s="319"/>
      <c r="N1742" s="322"/>
      <c r="O1742" s="236" t="str">
        <f>'Profits 2016'!T6955</f>
        <v>FEDEX GROUND</v>
      </c>
      <c r="P1742" s="284" t="str">
        <f>'Profits 2016'!U6955</f>
        <v>702723292009</v>
      </c>
      <c r="AF1742" s="276">
        <f t="shared" si="199"/>
        <v>90</v>
      </c>
      <c r="AG1742" s="276">
        <f t="shared" si="200"/>
        <v>0</v>
      </c>
      <c r="AH1742" s="276">
        <f t="shared" si="201"/>
        <v>161.5</v>
      </c>
      <c r="AI1742" s="283">
        <f t="shared" si="202"/>
        <v>1.7944444444444445</v>
      </c>
    </row>
    <row r="1743" spans="1:35" ht="30" x14ac:dyDescent="0.25">
      <c r="A1743" s="275">
        <f>'Profits 2016'!A6956</f>
        <v>3005464</v>
      </c>
      <c r="B1743" s="279">
        <f>'Profits 2016'!B6956</f>
        <v>42682</v>
      </c>
      <c r="C1743" s="276">
        <f>'Profits 2016'!H6956</f>
        <v>116.23</v>
      </c>
      <c r="D1743" s="280">
        <f>'Profits 2016'!K6956</f>
        <v>98.795500000000004</v>
      </c>
      <c r="E1743" s="276">
        <f>'Profits 2016'!L6956</f>
        <v>950</v>
      </c>
      <c r="F1743" s="275" t="str">
        <f>'Profits 2016'!P6956</f>
        <v>Nassau</v>
      </c>
      <c r="G1743" s="292">
        <f>'Profits 2016'!N6956-'Profits 2016'!M6956</f>
        <v>47.499999999999993</v>
      </c>
      <c r="H1743" s="319"/>
      <c r="I1743" s="320"/>
      <c r="J1743" s="321"/>
      <c r="K1743" s="321"/>
      <c r="L1743" s="321"/>
      <c r="M1743" s="319"/>
      <c r="N1743" s="322"/>
      <c r="O1743" s="236" t="str">
        <f>'Profits 2016'!T6956</f>
        <v>FEDEX GROUND</v>
      </c>
      <c r="P1743" s="284" t="str">
        <f>'Profits 2016'!U6956</f>
        <v>702723292042</v>
      </c>
      <c r="Q1743" s="284" t="s">
        <v>314</v>
      </c>
      <c r="R1743" s="276">
        <v>28.57</v>
      </c>
      <c r="S1743" s="275" t="s">
        <v>15847</v>
      </c>
      <c r="T1743" s="279">
        <v>42695</v>
      </c>
      <c r="U1743" s="279">
        <v>42702</v>
      </c>
      <c r="AF1743" s="276">
        <f t="shared" si="199"/>
        <v>76.069999999999993</v>
      </c>
      <c r="AG1743" s="276">
        <f t="shared" si="200"/>
        <v>28.57</v>
      </c>
      <c r="AH1743" s="276">
        <f t="shared" si="201"/>
        <v>70.225500000000011</v>
      </c>
      <c r="AI1743" s="283">
        <f t="shared" si="202"/>
        <v>0.92316944919153432</v>
      </c>
    </row>
    <row r="1744" spans="1:35" ht="30" x14ac:dyDescent="0.25">
      <c r="A1744" s="275">
        <f>'Profits 2016'!A6957</f>
        <v>3005465</v>
      </c>
      <c r="B1744" s="279">
        <f>'Profits 2016'!B6957</f>
        <v>42682</v>
      </c>
      <c r="C1744" s="276">
        <f>'Profits 2016'!H6957</f>
        <v>115</v>
      </c>
      <c r="D1744" s="280">
        <f>'Profits 2016'!K6957</f>
        <v>97.75</v>
      </c>
      <c r="E1744" s="276">
        <f>'Profits 2016'!L6957</f>
        <v>341</v>
      </c>
      <c r="F1744" s="275" t="str">
        <f>'Profits 2016'!P6957</f>
        <v>Direct</v>
      </c>
      <c r="G1744" s="292">
        <f>'Profits 2016'!N6957-'Profits 2016'!M6957</f>
        <v>34.099999999999994</v>
      </c>
      <c r="H1744" s="331">
        <v>0</v>
      </c>
      <c r="I1744" s="332">
        <v>76094</v>
      </c>
      <c r="J1744" s="333">
        <v>42683</v>
      </c>
      <c r="K1744" s="333">
        <v>42688</v>
      </c>
      <c r="L1744" s="333">
        <v>42692</v>
      </c>
      <c r="M1744" s="331">
        <v>66.84</v>
      </c>
      <c r="N1744" s="334">
        <v>9438</v>
      </c>
      <c r="O1744" s="236" t="str">
        <f>'Profits 2016'!T6957</f>
        <v>FEDEX GROUND</v>
      </c>
      <c r="P1744" s="284" t="str">
        <f>'Profits 2016'!U6957</f>
        <v>639794970353</v>
      </c>
      <c r="Q1744" s="284" t="s">
        <v>314</v>
      </c>
      <c r="R1744" s="276">
        <v>16.010000000000002</v>
      </c>
      <c r="S1744" s="275" t="s">
        <v>15847</v>
      </c>
      <c r="T1744" s="279">
        <v>42695</v>
      </c>
      <c r="U1744" s="279">
        <v>42702</v>
      </c>
      <c r="AF1744" s="276">
        <f t="shared" si="199"/>
        <v>50.11</v>
      </c>
      <c r="AG1744" s="276">
        <f t="shared" si="200"/>
        <v>82.850000000000009</v>
      </c>
      <c r="AH1744" s="276">
        <f t="shared" si="201"/>
        <v>14.899999999999991</v>
      </c>
      <c r="AI1744" s="283">
        <f t="shared" si="202"/>
        <v>0.29734583915386131</v>
      </c>
    </row>
    <row r="1745" spans="1:35" x14ac:dyDescent="0.25">
      <c r="A1745" s="275">
        <f>'Profits 2016'!A6958</f>
        <v>0</v>
      </c>
      <c r="B1745" s="279">
        <f>'Profits 2016'!B6958</f>
        <v>0</v>
      </c>
      <c r="C1745" s="276">
        <f>'Profits 2016'!H6958</f>
        <v>0</v>
      </c>
      <c r="D1745" s="280">
        <f>'Profits 2016'!K6958</f>
        <v>0</v>
      </c>
      <c r="E1745" s="276">
        <f>'Profits 2016'!L6958</f>
        <v>341</v>
      </c>
      <c r="F1745" s="275" t="str">
        <f>'Profits 2016'!P6958</f>
        <v>Direct</v>
      </c>
      <c r="G1745" s="292">
        <f>'Profits 2016'!N6958-'Profits 2016'!M6958</f>
        <v>34.1</v>
      </c>
      <c r="H1745" s="331">
        <v>0</v>
      </c>
      <c r="I1745" s="332">
        <v>76094</v>
      </c>
      <c r="J1745" s="333">
        <v>42683</v>
      </c>
      <c r="K1745" s="333">
        <v>42688</v>
      </c>
      <c r="L1745" s="333">
        <v>42692</v>
      </c>
      <c r="M1745" s="331">
        <v>0</v>
      </c>
      <c r="N1745" s="334">
        <v>9438</v>
      </c>
      <c r="O1745" s="236">
        <f>'Profits 2016'!T6958</f>
        <v>0</v>
      </c>
      <c r="P1745" s="284">
        <f>'Profits 2016'!U6958</f>
        <v>0</v>
      </c>
      <c r="Q1745" s="284" t="s">
        <v>314</v>
      </c>
      <c r="R1745" s="276">
        <v>0</v>
      </c>
      <c r="S1745" s="275" t="s">
        <v>15847</v>
      </c>
      <c r="T1745" s="279">
        <v>42695</v>
      </c>
      <c r="U1745" s="279">
        <v>42702</v>
      </c>
      <c r="AF1745" s="276">
        <f t="shared" si="199"/>
        <v>34.1</v>
      </c>
      <c r="AG1745" s="276">
        <f t="shared" si="200"/>
        <v>0</v>
      </c>
      <c r="AH1745" s="276">
        <f t="shared" si="201"/>
        <v>0</v>
      </c>
      <c r="AI1745" s="283">
        <f t="shared" si="202"/>
        <v>0</v>
      </c>
    </row>
    <row r="1746" spans="1:35" ht="30" x14ac:dyDescent="0.25">
      <c r="A1746" s="275">
        <f>'Profits 2016'!A6959</f>
        <v>3005466</v>
      </c>
      <c r="B1746" s="279">
        <f>'Profits 2016'!B6959</f>
        <v>42682</v>
      </c>
      <c r="C1746" s="276">
        <f>'Profits 2016'!H6959</f>
        <v>180.18</v>
      </c>
      <c r="D1746" s="280">
        <f>'Profits 2016'!K6959</f>
        <v>153.15300000000002</v>
      </c>
      <c r="E1746" s="276">
        <f>'Profits 2016'!L6959</f>
        <v>1160</v>
      </c>
      <c r="F1746" s="275" t="str">
        <f>'Profits 2016'!P6959</f>
        <v>Direct</v>
      </c>
      <c r="G1746" s="292">
        <f>'Profits 2016'!N6959-'Profits 2016'!M6959</f>
        <v>116</v>
      </c>
      <c r="H1746" s="331">
        <v>0</v>
      </c>
      <c r="I1746" s="332">
        <v>76095</v>
      </c>
      <c r="J1746" s="333">
        <v>42683</v>
      </c>
      <c r="K1746" s="333">
        <v>42688</v>
      </c>
      <c r="L1746" s="333">
        <v>42692</v>
      </c>
      <c r="M1746" s="331">
        <v>113.68</v>
      </c>
      <c r="N1746" s="334">
        <v>9438</v>
      </c>
      <c r="O1746" s="236" t="str">
        <f>'Profits 2016'!T6959</f>
        <v>FEDEX GROUND</v>
      </c>
      <c r="P1746" s="284" t="str">
        <f>'Profits 2016'!U6959</f>
        <v>630512245718</v>
      </c>
      <c r="AF1746" s="276">
        <f t="shared" si="199"/>
        <v>116</v>
      </c>
      <c r="AG1746" s="276">
        <f t="shared" si="200"/>
        <v>113.68</v>
      </c>
      <c r="AH1746" s="276">
        <f t="shared" si="201"/>
        <v>39.473000000000013</v>
      </c>
      <c r="AI1746" s="283">
        <f t="shared" si="202"/>
        <v>0.34028448275862078</v>
      </c>
    </row>
    <row r="1747" spans="1:35" ht="30" x14ac:dyDescent="0.25">
      <c r="A1747" s="275">
        <f>'Profits 2016'!A6960</f>
        <v>3005467</v>
      </c>
      <c r="B1747" s="279">
        <f>'Profits 2016'!B6960</f>
        <v>42682</v>
      </c>
      <c r="C1747" s="276">
        <f>'Profits 2016'!H6960</f>
        <v>240</v>
      </c>
      <c r="D1747" s="280">
        <f>'Profits 2016'!K6960</f>
        <v>234.42</v>
      </c>
      <c r="E1747" s="276">
        <f>'Profits 2016'!L6960</f>
        <v>3500</v>
      </c>
      <c r="F1747" s="275" t="str">
        <f>'Profits 2016'!P6960</f>
        <v>A-Z</v>
      </c>
      <c r="G1747" s="292">
        <f>'Profits 2016'!N6960-'Profits 2016'!M6960</f>
        <v>105.00000000000001</v>
      </c>
      <c r="H1747" s="331">
        <v>0</v>
      </c>
      <c r="I1747" s="332">
        <v>409032</v>
      </c>
      <c r="J1747" s="333">
        <v>42683</v>
      </c>
      <c r="K1747" s="333">
        <v>42688</v>
      </c>
      <c r="L1747" s="333"/>
      <c r="M1747" s="331"/>
      <c r="N1747" s="334"/>
      <c r="O1747" s="236" t="str">
        <f>'Profits 2016'!T6960</f>
        <v>FEDEX GROUND</v>
      </c>
      <c r="P1747" s="284" t="str">
        <f>'Profits 2016'!U6960</f>
        <v>676563249407</v>
      </c>
      <c r="Q1747" s="284" t="s">
        <v>314</v>
      </c>
      <c r="R1747" s="276">
        <v>23.8</v>
      </c>
      <c r="S1747" s="275" t="s">
        <v>15847</v>
      </c>
      <c r="T1747" s="279">
        <v>42695</v>
      </c>
      <c r="U1747" s="279">
        <v>42702</v>
      </c>
      <c r="AF1747" s="276">
        <f t="shared" si="199"/>
        <v>128.80000000000001</v>
      </c>
      <c r="AG1747" s="276">
        <f t="shared" si="200"/>
        <v>23.8</v>
      </c>
      <c r="AH1747" s="276">
        <f t="shared" si="201"/>
        <v>210.61999999999998</v>
      </c>
      <c r="AI1747" s="283">
        <f t="shared" si="202"/>
        <v>1.6352484472049686</v>
      </c>
    </row>
    <row r="1748" spans="1:35" ht="45" x14ac:dyDescent="0.25">
      <c r="A1748" s="275">
        <f>'Profits 2016'!A6961</f>
        <v>3005468</v>
      </c>
      <c r="B1748" s="279">
        <f>'Profits 2016'!B6961</f>
        <v>42682</v>
      </c>
      <c r="C1748" s="276">
        <f>'Profits 2016'!H6961</f>
        <v>3399.07</v>
      </c>
      <c r="D1748" s="280">
        <f>'Profits 2016'!K6961</f>
        <v>3288.300225</v>
      </c>
      <c r="E1748" s="276">
        <f>'Profits 2016'!L6961</f>
        <v>3300</v>
      </c>
      <c r="F1748" s="275" t="str">
        <f>'Profits 2016'!P6961</f>
        <v>Nassau</v>
      </c>
      <c r="G1748" s="292">
        <f>'Profits 2016'!N6961-'Profits 2016'!M6961</f>
        <v>825</v>
      </c>
      <c r="H1748" s="319"/>
      <c r="I1748" s="320"/>
      <c r="J1748" s="321"/>
      <c r="K1748" s="321"/>
      <c r="L1748" s="321"/>
      <c r="M1748" s="319"/>
      <c r="N1748" s="322"/>
      <c r="O1748" s="236" t="str">
        <f>'Profits 2016'!T6961</f>
        <v>ROAD RUNNER/ECHO</v>
      </c>
      <c r="P1748" s="284" t="str">
        <f>'Profits 2016'!U6961</f>
        <v>336933387</v>
      </c>
      <c r="Q1748" s="284" t="s">
        <v>15767</v>
      </c>
      <c r="R1748" s="276">
        <v>161.52000000000001</v>
      </c>
      <c r="S1748" s="275" t="s">
        <v>15935</v>
      </c>
      <c r="T1748" s="279">
        <v>42695</v>
      </c>
      <c r="U1748" s="279">
        <v>42702</v>
      </c>
      <c r="AF1748" s="276">
        <f t="shared" si="199"/>
        <v>986.52</v>
      </c>
      <c r="AG1748" s="276">
        <f t="shared" si="200"/>
        <v>161.52000000000001</v>
      </c>
      <c r="AH1748" s="276">
        <f t="shared" si="201"/>
        <v>3126.780225</v>
      </c>
      <c r="AI1748" s="283">
        <f t="shared" si="202"/>
        <v>3.1695051544824233</v>
      </c>
    </row>
    <row r="1749" spans="1:35" x14ac:dyDescent="0.25">
      <c r="A1749" s="275">
        <f>'Profits 2016'!A6962</f>
        <v>0</v>
      </c>
      <c r="B1749" s="279">
        <f>'Profits 2016'!B6962</f>
        <v>0</v>
      </c>
      <c r="C1749" s="276">
        <f>'Profits 2016'!H6962</f>
        <v>0</v>
      </c>
      <c r="D1749" s="280">
        <f>'Profits 2016'!K6962</f>
        <v>0</v>
      </c>
      <c r="E1749" s="276">
        <f>'Profits 2016'!L6962</f>
        <v>2150</v>
      </c>
      <c r="F1749" s="275" t="str">
        <f>'Profits 2016'!P6962</f>
        <v>Nassau</v>
      </c>
      <c r="G1749" s="292">
        <f>'Profits 2016'!N6962-'Profits 2016'!M6962</f>
        <v>752.50000000000011</v>
      </c>
      <c r="H1749" s="319"/>
      <c r="I1749" s="320"/>
      <c r="J1749" s="321"/>
      <c r="K1749" s="321"/>
      <c r="L1749" s="321"/>
      <c r="M1749" s="319"/>
      <c r="N1749" s="322"/>
      <c r="O1749" s="236">
        <f>'Profits 2016'!T6962</f>
        <v>0</v>
      </c>
      <c r="P1749" s="284">
        <f>'Profits 2016'!U6962</f>
        <v>0</v>
      </c>
      <c r="Q1749" s="284" t="s">
        <v>15767</v>
      </c>
      <c r="R1749" s="276">
        <v>0</v>
      </c>
      <c r="S1749" s="275" t="s">
        <v>15935</v>
      </c>
      <c r="T1749" s="279">
        <v>42695</v>
      </c>
      <c r="U1749" s="279">
        <v>42702</v>
      </c>
      <c r="AF1749" s="276">
        <f t="shared" si="199"/>
        <v>752.50000000000011</v>
      </c>
      <c r="AG1749" s="276">
        <f t="shared" si="200"/>
        <v>0</v>
      </c>
      <c r="AH1749" s="276">
        <f t="shared" si="201"/>
        <v>0</v>
      </c>
      <c r="AI1749" s="283">
        <f t="shared" si="202"/>
        <v>0</v>
      </c>
    </row>
    <row r="1750" spans="1:35" x14ac:dyDescent="0.25">
      <c r="A1750" s="275">
        <f>'Profits 2016'!A6963</f>
        <v>0</v>
      </c>
      <c r="B1750" s="279">
        <f>'Profits 2016'!B6963</f>
        <v>0</v>
      </c>
      <c r="C1750" s="276">
        <f>'Profits 2016'!H6963</f>
        <v>0</v>
      </c>
      <c r="D1750" s="280">
        <f>'Profits 2016'!K6963</f>
        <v>0</v>
      </c>
      <c r="E1750" s="276">
        <f>'Profits 2016'!L6963</f>
        <v>1322</v>
      </c>
      <c r="F1750" s="275" t="str">
        <f>'Profits 2016'!P6963</f>
        <v>Nassau</v>
      </c>
      <c r="G1750" s="292">
        <f>'Profits 2016'!N6963-'Profits 2016'!M6963</f>
        <v>661</v>
      </c>
      <c r="H1750" s="319"/>
      <c r="I1750" s="320"/>
      <c r="J1750" s="321"/>
      <c r="K1750" s="321"/>
      <c r="L1750" s="321"/>
      <c r="M1750" s="319"/>
      <c r="N1750" s="322"/>
      <c r="O1750" s="236">
        <f>'Profits 2016'!T6963</f>
        <v>0</v>
      </c>
      <c r="P1750" s="284">
        <f>'Profits 2016'!U6963</f>
        <v>0</v>
      </c>
      <c r="Q1750" s="284" t="s">
        <v>15767</v>
      </c>
      <c r="R1750" s="276">
        <v>0</v>
      </c>
      <c r="S1750" s="275" t="s">
        <v>15935</v>
      </c>
      <c r="T1750" s="279">
        <v>42695</v>
      </c>
      <c r="U1750" s="279">
        <v>42702</v>
      </c>
      <c r="AF1750" s="276">
        <f t="shared" si="199"/>
        <v>661</v>
      </c>
      <c r="AG1750" s="276">
        <f t="shared" si="200"/>
        <v>0</v>
      </c>
      <c r="AH1750" s="276">
        <f t="shared" si="201"/>
        <v>0</v>
      </c>
      <c r="AI1750" s="283">
        <f t="shared" si="202"/>
        <v>0</v>
      </c>
    </row>
    <row r="1751" spans="1:35" ht="30" x14ac:dyDescent="0.25">
      <c r="A1751" s="275">
        <f>'Profits 2016'!A6964</f>
        <v>3005469</v>
      </c>
      <c r="B1751" s="279">
        <f>'Profits 2016'!B6964</f>
        <v>42682</v>
      </c>
      <c r="C1751" s="276">
        <f>'Profits 2016'!H6964</f>
        <v>168</v>
      </c>
      <c r="D1751" s="280">
        <f>'Profits 2016'!K6964</f>
        <v>162.24</v>
      </c>
      <c r="E1751" s="276">
        <f>'Profits 2016'!L6964</f>
        <v>538.08000000000004</v>
      </c>
      <c r="F1751" s="275" t="str">
        <f>'Profits 2016'!P6964</f>
        <v>Thea</v>
      </c>
      <c r="G1751" s="292">
        <f>'Profits 2016'!N6964-'Profits 2016'!M6964</f>
        <v>94.164000000000016</v>
      </c>
      <c r="H1751" s="319"/>
      <c r="I1751" s="320"/>
      <c r="J1751" s="321"/>
      <c r="K1751" s="321"/>
      <c r="L1751" s="321"/>
      <c r="M1751" s="319"/>
      <c r="N1751" s="322"/>
      <c r="O1751" s="236" t="str">
        <f>'Profits 2016'!T6964</f>
        <v>FEDEX GROUND</v>
      </c>
      <c r="P1751" s="284" t="str">
        <f>'Profits 2016'!U6964</f>
        <v>675157531937</v>
      </c>
      <c r="AF1751" s="276">
        <f t="shared" si="199"/>
        <v>94.164000000000016</v>
      </c>
      <c r="AG1751" s="276">
        <f t="shared" si="200"/>
        <v>0</v>
      </c>
      <c r="AH1751" s="276">
        <f t="shared" si="201"/>
        <v>162.24</v>
      </c>
      <c r="AI1751" s="283">
        <f t="shared" si="202"/>
        <v>1.7229514464126416</v>
      </c>
    </row>
    <row r="1752" spans="1:35" ht="45" x14ac:dyDescent="0.25">
      <c r="A1752" s="275">
        <f>'Profits 2016'!A6965</f>
        <v>3005470</v>
      </c>
      <c r="B1752" s="279">
        <f>'Profits 2016'!B6965</f>
        <v>42682</v>
      </c>
      <c r="C1752" s="276">
        <f>'Profits 2016'!H6965</f>
        <v>715</v>
      </c>
      <c r="D1752" s="280">
        <f>'Profits 2016'!K6965</f>
        <v>698.97</v>
      </c>
      <c r="E1752" s="276">
        <f>'Profits 2016'!L6965</f>
        <v>4500</v>
      </c>
      <c r="F1752" s="275" t="str">
        <f>'Profits 2016'!P6965</f>
        <v>Priority</v>
      </c>
      <c r="G1752" s="292">
        <f>'Profits 2016'!N6965-'Profits 2016'!M6965</f>
        <v>225</v>
      </c>
      <c r="H1752" s="331">
        <v>0</v>
      </c>
      <c r="I1752" s="332">
        <v>1075493</v>
      </c>
      <c r="J1752" s="333">
        <v>42684</v>
      </c>
      <c r="K1752" s="333">
        <v>42703</v>
      </c>
      <c r="L1752" s="333"/>
      <c r="M1752" s="331"/>
      <c r="N1752" s="334"/>
      <c r="O1752" s="236" t="str">
        <f>'Profits 2016'!T6965</f>
        <v>OLD DOMINION</v>
      </c>
      <c r="P1752" s="284" t="str">
        <f>'Profits 2016'!U6965</f>
        <v>03704241516</v>
      </c>
      <c r="Q1752" s="284" t="s">
        <v>15740</v>
      </c>
      <c r="R1752" s="276">
        <v>202.75</v>
      </c>
      <c r="S1752" s="275">
        <v>1075493</v>
      </c>
      <c r="T1752" s="279">
        <v>42684</v>
      </c>
      <c r="U1752" s="279">
        <v>42703</v>
      </c>
      <c r="AF1752" s="276">
        <f t="shared" si="199"/>
        <v>427.75</v>
      </c>
      <c r="AG1752" s="276">
        <f t="shared" si="200"/>
        <v>202.75</v>
      </c>
      <c r="AH1752" s="276">
        <f t="shared" si="201"/>
        <v>496.22</v>
      </c>
      <c r="AI1752" s="283">
        <f t="shared" si="202"/>
        <v>1.1600701344243134</v>
      </c>
    </row>
    <row r="1753" spans="1:35" x14ac:dyDescent="0.25">
      <c r="A1753" s="275">
        <f>'Profits 2016'!A6966</f>
        <v>3005471</v>
      </c>
      <c r="B1753" s="279">
        <f>'Profits 2016'!B6966</f>
        <v>42682</v>
      </c>
      <c r="C1753" s="276">
        <f>'Profits 2016'!H6966</f>
        <v>1300</v>
      </c>
      <c r="D1753" s="280">
        <f>'Profits 2016'!K6966</f>
        <v>1300</v>
      </c>
      <c r="E1753" s="276">
        <f>'Profits 2016'!L6966</f>
        <v>190</v>
      </c>
      <c r="F1753" s="275" t="str">
        <f>'Profits 2016'!P6966</f>
        <v>A-Z</v>
      </c>
      <c r="G1753" s="292">
        <f>'Profits 2016'!N6966-'Profits 2016'!M6966</f>
        <v>950</v>
      </c>
      <c r="H1753" s="331">
        <v>0</v>
      </c>
      <c r="I1753" s="332">
        <v>409347</v>
      </c>
      <c r="J1753" s="333">
        <v>42684</v>
      </c>
      <c r="K1753" s="333">
        <v>42692</v>
      </c>
      <c r="L1753" s="333"/>
      <c r="M1753" s="331"/>
      <c r="N1753" s="334"/>
      <c r="O1753" s="236" t="str">
        <f>'Profits 2016'!T6966</f>
        <v>R&amp;L</v>
      </c>
      <c r="P1753" s="284" t="str">
        <f>'Profits 2016'!U6966</f>
        <v>58645090-8</v>
      </c>
      <c r="Q1753" s="284" t="s">
        <v>235</v>
      </c>
      <c r="R1753" s="276">
        <v>119.7</v>
      </c>
      <c r="S1753" s="275">
        <v>409347</v>
      </c>
      <c r="T1753" s="279">
        <v>42684</v>
      </c>
      <c r="U1753" s="279">
        <v>42692</v>
      </c>
      <c r="AF1753" s="276">
        <f t="shared" si="199"/>
        <v>1069.7</v>
      </c>
      <c r="AG1753" s="276">
        <f t="shared" si="200"/>
        <v>119.7</v>
      </c>
      <c r="AH1753" s="276">
        <f t="shared" si="201"/>
        <v>1180.3</v>
      </c>
      <c r="AI1753" s="283">
        <f t="shared" si="202"/>
        <v>1.1033934748060203</v>
      </c>
    </row>
    <row r="1754" spans="1:35" ht="30" x14ac:dyDescent="0.25">
      <c r="A1754" s="275">
        <f>'Profits 2016'!A6967</f>
        <v>3005472</v>
      </c>
      <c r="B1754" s="279">
        <f>'Profits 2016'!B6967</f>
        <v>42682</v>
      </c>
      <c r="C1754" s="276">
        <f>'Profits 2016'!H6967</f>
        <v>450</v>
      </c>
      <c r="D1754" s="280">
        <f>'Profits 2016'!K6967</f>
        <v>435.07499999999999</v>
      </c>
      <c r="E1754" s="276">
        <f>'Profits 2016'!L6967</f>
        <v>1322</v>
      </c>
      <c r="F1754" s="275" t="str">
        <f>'Profits 2016'!P6967</f>
        <v>Nassau</v>
      </c>
      <c r="G1754" s="292">
        <f>'Profits 2016'!N6967-'Profits 2016'!M6967</f>
        <v>264.40000000000003</v>
      </c>
      <c r="H1754" s="319"/>
      <c r="I1754" s="320"/>
      <c r="J1754" s="321"/>
      <c r="K1754" s="321"/>
      <c r="L1754" s="321"/>
      <c r="M1754" s="319"/>
      <c r="N1754" s="322"/>
      <c r="O1754" s="236" t="str">
        <f>'Profits 2016'!T6967</f>
        <v>FEDEX GROUND</v>
      </c>
      <c r="P1754" s="284" t="str">
        <f>'Profits 2016'!U6967</f>
        <v>702723292064</v>
      </c>
      <c r="AF1754" s="276">
        <f t="shared" si="199"/>
        <v>264.40000000000003</v>
      </c>
      <c r="AG1754" s="276">
        <f t="shared" si="200"/>
        <v>0</v>
      </c>
      <c r="AH1754" s="276">
        <f t="shared" si="201"/>
        <v>435.07499999999999</v>
      </c>
      <c r="AI1754" s="283">
        <f t="shared" si="202"/>
        <v>1.6455181543116488</v>
      </c>
    </row>
    <row r="1755" spans="1:35" x14ac:dyDescent="0.25">
      <c r="A1755" s="275">
        <f>'Profits 2016'!A6968</f>
        <v>3005473</v>
      </c>
      <c r="B1755" s="279">
        <f>'Profits 2016'!B6968</f>
        <v>42682</v>
      </c>
      <c r="C1755" s="276">
        <f>'Profits 2016'!H6968</f>
        <v>148</v>
      </c>
      <c r="D1755" s="280">
        <f>'Profits 2016'!K6968</f>
        <v>142.88999999999999</v>
      </c>
      <c r="E1755" s="276">
        <f>'Profits 2016'!L6968</f>
        <v>37.49</v>
      </c>
      <c r="F1755" s="275" t="str">
        <f>'Profits 2016'!P6968</f>
        <v>Colonial</v>
      </c>
      <c r="G1755" s="292">
        <f>'Profits 2016'!N6968-'Profits 2016'!M6968</f>
        <v>74.98</v>
      </c>
      <c r="H1755" s="331">
        <v>0</v>
      </c>
      <c r="I1755" s="332" t="s">
        <v>15936</v>
      </c>
      <c r="J1755" s="333">
        <v>42684</v>
      </c>
      <c r="K1755" s="333">
        <v>42691</v>
      </c>
      <c r="L1755" s="333"/>
      <c r="M1755" s="331"/>
      <c r="N1755" s="334"/>
      <c r="O1755" s="236" t="str">
        <f>'Profits 2016'!T6968</f>
        <v>FEDEX</v>
      </c>
      <c r="P1755" s="284" t="str">
        <f>'Profits 2016'!U6968</f>
        <v>675157531786</v>
      </c>
      <c r="Q1755" s="284" t="s">
        <v>314</v>
      </c>
      <c r="R1755" s="276">
        <v>11.92</v>
      </c>
      <c r="S1755" s="275" t="s">
        <v>15847</v>
      </c>
      <c r="T1755" s="279">
        <v>42695</v>
      </c>
      <c r="U1755" s="279">
        <v>42702</v>
      </c>
      <c r="AF1755" s="276">
        <f t="shared" si="199"/>
        <v>86.9</v>
      </c>
      <c r="AG1755" s="276">
        <f t="shared" si="200"/>
        <v>11.92</v>
      </c>
      <c r="AH1755" s="276">
        <f t="shared" si="201"/>
        <v>130.97</v>
      </c>
      <c r="AI1755" s="283">
        <f t="shared" si="202"/>
        <v>1.5071346375143841</v>
      </c>
    </row>
    <row r="1756" spans="1:35" ht="30" x14ac:dyDescent="0.25">
      <c r="A1756" s="275">
        <f>'Profits 2016'!A6969</f>
        <v>3005474</v>
      </c>
      <c r="B1756" s="279">
        <f>'Profits 2016'!B6969</f>
        <v>42682</v>
      </c>
      <c r="C1756" s="276">
        <f>'Profits 2016'!H6969</f>
        <v>2010</v>
      </c>
      <c r="D1756" s="280">
        <f>'Profits 2016'!K6969</f>
        <v>1971.51</v>
      </c>
      <c r="E1756" s="276">
        <f>'Profits 2016'!L6969</f>
        <v>570</v>
      </c>
      <c r="F1756" s="275" t="str">
        <f>'Profits 2016'!P6969</f>
        <v>Nassau</v>
      </c>
      <c r="G1756" s="292">
        <f>'Profits 2016'!N6969-'Profits 2016'!M6969</f>
        <v>570</v>
      </c>
      <c r="H1756" s="319"/>
      <c r="I1756" s="320"/>
      <c r="J1756" s="321"/>
      <c r="K1756" s="321"/>
      <c r="L1756" s="321"/>
      <c r="M1756" s="319"/>
      <c r="N1756" s="322"/>
      <c r="O1756" s="236" t="str">
        <f>'Profits 2016'!T6969</f>
        <v>NEW PENN</v>
      </c>
      <c r="P1756" s="284" t="str">
        <f>'Profits 2016'!U6969</f>
        <v>88553788-6</v>
      </c>
      <c r="Q1756" s="284" t="s">
        <v>15751</v>
      </c>
      <c r="R1756" s="276">
        <v>128.99</v>
      </c>
      <c r="S1756" s="275">
        <v>10046195</v>
      </c>
      <c r="T1756" s="279">
        <v>42684</v>
      </c>
      <c r="U1756" s="279">
        <v>42691</v>
      </c>
      <c r="V1756" s="279">
        <v>42692</v>
      </c>
      <c r="W1756" s="293">
        <v>128.99</v>
      </c>
      <c r="X1756" s="236">
        <v>9433</v>
      </c>
      <c r="AF1756" s="276">
        <f t="shared" si="199"/>
        <v>713.07</v>
      </c>
      <c r="AG1756" s="276">
        <f t="shared" si="200"/>
        <v>128.99</v>
      </c>
      <c r="AH1756" s="276">
        <f t="shared" si="201"/>
        <v>1842.52</v>
      </c>
      <c r="AI1756" s="283">
        <f t="shared" si="202"/>
        <v>2.583925841782714</v>
      </c>
    </row>
    <row r="1757" spans="1:35" ht="30" x14ac:dyDescent="0.25">
      <c r="A1757" s="275">
        <f>'Profits 2016'!A6970</f>
        <v>0</v>
      </c>
      <c r="B1757" s="279">
        <f>'Profits 2016'!B6970</f>
        <v>0</v>
      </c>
      <c r="C1757" s="276">
        <f>'Profits 2016'!H6970</f>
        <v>0</v>
      </c>
      <c r="D1757" s="280">
        <f>'Profits 2016'!K6970</f>
        <v>0</v>
      </c>
      <c r="E1757" s="276">
        <f>'Profits 2016'!L6970</f>
        <v>1331.81</v>
      </c>
      <c r="F1757" s="275" t="str">
        <f>'Profits 2016'!P6970</f>
        <v>General</v>
      </c>
      <c r="G1757" s="292">
        <f>'Profits 2016'!N6970-'Profits 2016'!M6970</f>
        <v>332.95249999999999</v>
      </c>
      <c r="H1757" s="331">
        <v>14.08</v>
      </c>
      <c r="I1757" s="332">
        <v>3788530</v>
      </c>
      <c r="J1757" s="333">
        <v>42685</v>
      </c>
      <c r="K1757" s="333">
        <v>42692</v>
      </c>
      <c r="L1757" s="333"/>
      <c r="M1757" s="331"/>
      <c r="N1757" s="334"/>
      <c r="O1757" s="236" t="str">
        <f>'Profits 2016'!T6970</f>
        <v>NEW PENN</v>
      </c>
      <c r="P1757" s="284" t="str">
        <f>'Profits 2016'!U6970</f>
        <v>47682104</v>
      </c>
      <c r="Q1757" s="284" t="s">
        <v>15741</v>
      </c>
      <c r="R1757" s="276">
        <v>48</v>
      </c>
      <c r="S1757" s="275">
        <v>3788530</v>
      </c>
      <c r="T1757" s="279">
        <v>42685</v>
      </c>
      <c r="U1757" s="279">
        <v>42692</v>
      </c>
      <c r="AF1757" s="276">
        <f t="shared" si="199"/>
        <v>380.95249999999999</v>
      </c>
      <c r="AG1757" s="276">
        <f t="shared" si="200"/>
        <v>48</v>
      </c>
      <c r="AH1757" s="276">
        <f t="shared" si="201"/>
        <v>-48</v>
      </c>
      <c r="AI1757" s="283">
        <f t="shared" si="202"/>
        <v>-0.12599996062501231</v>
      </c>
    </row>
    <row r="1758" spans="1:35" ht="30" x14ac:dyDescent="0.25">
      <c r="A1758" s="275">
        <f>'Profits 2016'!A6971</f>
        <v>0</v>
      </c>
      <c r="B1758" s="279">
        <f>'Profits 2016'!B6971</f>
        <v>0</v>
      </c>
      <c r="C1758" s="276">
        <f>'Profits 2016'!H6971</f>
        <v>0</v>
      </c>
      <c r="D1758" s="280">
        <f>'Profits 2016'!K6971</f>
        <v>0</v>
      </c>
      <c r="E1758" s="276">
        <f>'Profits 2016'!L6971</f>
        <v>0</v>
      </c>
      <c r="F1758" s="275" t="str">
        <f>'Profits 2016'!P6971</f>
        <v>Nassau</v>
      </c>
      <c r="G1758" s="292">
        <f>'Profits 2016'!N6971-'Profits 2016'!M6971</f>
        <v>0</v>
      </c>
      <c r="H1758" s="319"/>
      <c r="I1758" s="320"/>
      <c r="J1758" s="321"/>
      <c r="K1758" s="321"/>
      <c r="L1758" s="321"/>
      <c r="M1758" s="319"/>
      <c r="N1758" s="322"/>
      <c r="O1758" s="236" t="str">
        <f>'Profits 2016'!T6971</f>
        <v>NEW PENN</v>
      </c>
      <c r="P1758" s="284" t="str">
        <f>'Profits 2016'!U6971</f>
        <v>88553788-6</v>
      </c>
      <c r="Q1758" s="284" t="s">
        <v>15751</v>
      </c>
      <c r="R1758" s="276">
        <v>0</v>
      </c>
      <c r="S1758" s="275">
        <v>10046195</v>
      </c>
      <c r="T1758" s="279">
        <v>42684</v>
      </c>
      <c r="U1758" s="279">
        <v>42691</v>
      </c>
      <c r="V1758" s="279">
        <v>42692</v>
      </c>
      <c r="W1758" s="293">
        <v>128.9</v>
      </c>
      <c r="X1758" s="236">
        <v>9433</v>
      </c>
      <c r="AF1758" s="276">
        <f t="shared" si="199"/>
        <v>0</v>
      </c>
      <c r="AG1758" s="276">
        <f t="shared" si="200"/>
        <v>0</v>
      </c>
      <c r="AH1758" s="276">
        <f t="shared" si="201"/>
        <v>0</v>
      </c>
      <c r="AI1758" s="283" t="e">
        <f t="shared" si="202"/>
        <v>#DIV/0!</v>
      </c>
    </row>
    <row r="1759" spans="1:35" ht="30" x14ac:dyDescent="0.25">
      <c r="A1759" s="275">
        <f>'Profits 2016'!A6972</f>
        <v>3005475</v>
      </c>
      <c r="B1759" s="279">
        <f>'Profits 2016'!B6972</f>
        <v>42683</v>
      </c>
      <c r="C1759" s="276">
        <f>'Profits 2016'!H6972</f>
        <v>218</v>
      </c>
      <c r="D1759" s="280">
        <f>'Profits 2016'!K6972</f>
        <v>185.3</v>
      </c>
      <c r="E1759" s="276">
        <f>'Profits 2016'!L6972</f>
        <v>134</v>
      </c>
      <c r="F1759" s="275" t="str">
        <f>'Profits 2016'!P6972</f>
        <v>Priority</v>
      </c>
      <c r="G1759" s="292">
        <f>'Profits 2016'!N6972-'Profits 2016'!M6972</f>
        <v>67</v>
      </c>
      <c r="H1759" s="331">
        <v>0</v>
      </c>
      <c r="I1759" s="332">
        <v>1075298</v>
      </c>
      <c r="J1759" s="333">
        <v>42684</v>
      </c>
      <c r="K1759" s="333">
        <v>42695</v>
      </c>
      <c r="L1759" s="333"/>
      <c r="M1759" s="331"/>
      <c r="N1759" s="334"/>
      <c r="O1759" s="236" t="str">
        <f>'Profits 2016'!T6972</f>
        <v>FEDEX GROUND</v>
      </c>
      <c r="P1759" s="284" t="str">
        <f>'Profits 2016'!U6972</f>
        <v xml:space="preserve">	680993425787</v>
      </c>
      <c r="Q1759" s="284" t="s">
        <v>15740</v>
      </c>
      <c r="R1759" s="276">
        <v>21.87</v>
      </c>
      <c r="S1759" s="275">
        <v>1075298</v>
      </c>
      <c r="T1759" s="279">
        <v>42684</v>
      </c>
      <c r="U1759" s="279">
        <v>42695</v>
      </c>
      <c r="AF1759" s="276">
        <f t="shared" si="199"/>
        <v>88.87</v>
      </c>
      <c r="AG1759" s="276">
        <f t="shared" si="200"/>
        <v>21.87</v>
      </c>
      <c r="AH1759" s="276">
        <f t="shared" si="201"/>
        <v>163.43</v>
      </c>
      <c r="AI1759" s="283">
        <f t="shared" si="202"/>
        <v>1.8389782828851131</v>
      </c>
    </row>
    <row r="1760" spans="1:35" ht="30" x14ac:dyDescent="0.25">
      <c r="A1760" s="275">
        <f>'Profits 2016'!A6973</f>
        <v>3005476</v>
      </c>
      <c r="B1760" s="279">
        <f>'Profits 2016'!B6973</f>
        <v>42683</v>
      </c>
      <c r="C1760" s="276">
        <f>'Profits 2016'!H6973</f>
        <v>172.83</v>
      </c>
      <c r="D1760" s="280">
        <f>'Profits 2016'!K6973</f>
        <v>146.90550000000002</v>
      </c>
      <c r="E1760" s="276">
        <f>'Profits 2016'!L6973</f>
        <v>0</v>
      </c>
      <c r="F1760" s="275" t="str">
        <f>'Profits 2016'!P6973</f>
        <v>Nassau</v>
      </c>
      <c r="G1760" s="292">
        <f>'Profits 2016'!N6973-'Profits 2016'!M6973</f>
        <v>0</v>
      </c>
      <c r="H1760" s="319"/>
      <c r="I1760" s="320"/>
      <c r="J1760" s="321"/>
      <c r="K1760" s="321"/>
      <c r="L1760" s="321"/>
      <c r="M1760" s="319"/>
      <c r="N1760" s="322"/>
      <c r="O1760" s="236" t="str">
        <f>'Profits 2016'!T6973</f>
        <v>FEDEX GROUND</v>
      </c>
      <c r="P1760" s="284" t="str">
        <f>'Profits 2016'!U6973</f>
        <v>702723292112</v>
      </c>
      <c r="AF1760" s="276">
        <f t="shared" si="199"/>
        <v>0</v>
      </c>
      <c r="AG1760" s="276">
        <f t="shared" si="200"/>
        <v>0</v>
      </c>
      <c r="AH1760" s="276">
        <f t="shared" si="201"/>
        <v>146.90550000000002</v>
      </c>
      <c r="AI1760" s="283" t="e">
        <f t="shared" si="202"/>
        <v>#DIV/0!</v>
      </c>
    </row>
    <row r="1761" spans="1:35" ht="30" x14ac:dyDescent="0.25">
      <c r="A1761" s="275">
        <f>'Profits 2016'!A6974</f>
        <v>3005477</v>
      </c>
      <c r="B1761" s="279">
        <f>'Profits 2016'!B6974</f>
        <v>42683</v>
      </c>
      <c r="C1761" s="276">
        <f>'Profits 2016'!H6974</f>
        <v>193</v>
      </c>
      <c r="D1761" s="280">
        <f>'Profits 2016'!K6974</f>
        <v>164.05</v>
      </c>
      <c r="E1761" s="276">
        <f>'Profits 2016'!L6974</f>
        <v>1100</v>
      </c>
      <c r="F1761" s="275" t="str">
        <f>'Profits 2016'!P6974</f>
        <v>A-Z</v>
      </c>
      <c r="G1761" s="292">
        <f>'Profits 2016'!N6974-'Profits 2016'!M6974</f>
        <v>110</v>
      </c>
      <c r="H1761" s="331">
        <v>0</v>
      </c>
      <c r="I1761" s="332">
        <v>409273</v>
      </c>
      <c r="J1761" s="333">
        <v>42684</v>
      </c>
      <c r="K1761" s="333">
        <v>42692</v>
      </c>
      <c r="L1761" s="333"/>
      <c r="M1761" s="331"/>
      <c r="N1761" s="334"/>
      <c r="O1761" s="236" t="str">
        <f>'Profits 2016'!T6974</f>
        <v>FEDEX GROUND</v>
      </c>
      <c r="P1761" s="284" t="str">
        <f>'Profits 2016'!U6974</f>
        <v>655044326813</v>
      </c>
      <c r="Q1761" s="284" t="s">
        <v>314</v>
      </c>
      <c r="R1761" s="276">
        <v>30.15</v>
      </c>
      <c r="S1761" s="275" t="s">
        <v>15847</v>
      </c>
      <c r="T1761" s="279">
        <v>42695</v>
      </c>
      <c r="U1761" s="279">
        <v>42702</v>
      </c>
      <c r="AF1761" s="276">
        <f t="shared" si="199"/>
        <v>140.15</v>
      </c>
      <c r="AG1761" s="276">
        <f t="shared" si="200"/>
        <v>30.15</v>
      </c>
      <c r="AH1761" s="276">
        <f t="shared" si="201"/>
        <v>133.9</v>
      </c>
      <c r="AI1761" s="283">
        <f t="shared" si="202"/>
        <v>0.95540492329646809</v>
      </c>
    </row>
    <row r="1762" spans="1:35" ht="30" x14ac:dyDescent="0.25">
      <c r="A1762" s="275">
        <f>'Profits 2016'!A6975</f>
        <v>3005478</v>
      </c>
      <c r="B1762" s="279">
        <f>'Profits 2016'!B6975</f>
        <v>42683</v>
      </c>
      <c r="C1762" s="276">
        <f>'Profits 2016'!H6975</f>
        <v>160.38</v>
      </c>
      <c r="D1762" s="280">
        <f>'Profits 2016'!K6975</f>
        <v>136.32300000000001</v>
      </c>
      <c r="E1762" s="276">
        <f>'Profits 2016'!L6975</f>
        <v>424</v>
      </c>
      <c r="F1762" s="275" t="str">
        <f>'Profits 2016'!P6975</f>
        <v>Nassau</v>
      </c>
      <c r="G1762" s="292">
        <f>'Profits 2016'!N6975-'Profits 2016'!M6975</f>
        <v>63.599999999999994</v>
      </c>
      <c r="H1762" s="319"/>
      <c r="I1762" s="320"/>
      <c r="J1762" s="321"/>
      <c r="K1762" s="321"/>
      <c r="L1762" s="321"/>
      <c r="M1762" s="319"/>
      <c r="N1762" s="322"/>
      <c r="O1762" s="236" t="str">
        <f>'Profits 2016'!T6975</f>
        <v>FEDEX GROUND</v>
      </c>
      <c r="P1762" s="284" t="str">
        <f>'Profits 2016'!U6975</f>
        <v>680483361104</v>
      </c>
      <c r="AF1762" s="276">
        <f t="shared" si="199"/>
        <v>63.599999999999994</v>
      </c>
      <c r="AG1762" s="276">
        <f t="shared" si="200"/>
        <v>0</v>
      </c>
      <c r="AH1762" s="276">
        <f t="shared" si="201"/>
        <v>136.32300000000001</v>
      </c>
      <c r="AI1762" s="283">
        <f t="shared" si="202"/>
        <v>2.1434433962264152</v>
      </c>
    </row>
    <row r="1763" spans="1:35" ht="30" x14ac:dyDescent="0.25">
      <c r="A1763" s="275">
        <f>'Profits 2016'!A6976</f>
        <v>3005479</v>
      </c>
      <c r="B1763" s="279">
        <f>'Profits 2016'!B6976</f>
        <v>42683</v>
      </c>
      <c r="C1763" s="276">
        <f>'Profits 2016'!H6976</f>
        <v>213.4</v>
      </c>
      <c r="D1763" s="280">
        <f>'Profits 2016'!K6976</f>
        <v>181.39000000000001</v>
      </c>
      <c r="E1763" s="276">
        <f>'Profits 2016'!L6976</f>
        <v>940</v>
      </c>
      <c r="F1763" s="275" t="str">
        <f>'Profits 2016'!P6976</f>
        <v>Direct</v>
      </c>
      <c r="G1763" s="292">
        <f>'Profits 2016'!N6976-'Profits 2016'!M6976</f>
        <v>141</v>
      </c>
      <c r="H1763" s="331">
        <v>0</v>
      </c>
      <c r="I1763" s="332">
        <v>76280</v>
      </c>
      <c r="J1763" s="333">
        <v>42685</v>
      </c>
      <c r="K1763" s="333">
        <v>42691</v>
      </c>
      <c r="L1763" s="333">
        <v>42692</v>
      </c>
      <c r="M1763" s="331">
        <v>138.18</v>
      </c>
      <c r="N1763" s="334">
        <v>9440</v>
      </c>
      <c r="O1763" s="236" t="str">
        <f>'Profits 2016'!T6976</f>
        <v>FEDEX GROUND</v>
      </c>
      <c r="P1763" s="284" t="str">
        <f>'Profits 2016'!U6976</f>
        <v>630512245730</v>
      </c>
      <c r="AF1763" s="276">
        <f t="shared" si="199"/>
        <v>141</v>
      </c>
      <c r="AG1763" s="276">
        <f t="shared" si="200"/>
        <v>138.18</v>
      </c>
      <c r="AH1763" s="276">
        <f t="shared" si="201"/>
        <v>43.210000000000008</v>
      </c>
      <c r="AI1763" s="283">
        <f t="shared" si="202"/>
        <v>0.30645390070921991</v>
      </c>
    </row>
    <row r="1764" spans="1:35" ht="30" x14ac:dyDescent="0.25">
      <c r="A1764" s="275">
        <f>'Profits 2016'!A6977</f>
        <v>3005480</v>
      </c>
      <c r="B1764" s="279">
        <f>'Profits 2016'!B6977</f>
        <v>42683</v>
      </c>
      <c r="C1764" s="276">
        <f>'Profits 2016'!H6977</f>
        <v>160.38</v>
      </c>
      <c r="D1764" s="280">
        <f>'Profits 2016'!K6977</f>
        <v>136.32300000000001</v>
      </c>
      <c r="E1764" s="276">
        <f>'Profits 2016'!L6977</f>
        <v>424</v>
      </c>
      <c r="F1764" s="275" t="str">
        <f>'Profits 2016'!P6977</f>
        <v>Nassau</v>
      </c>
      <c r="G1764" s="292">
        <f>'Profits 2016'!N6977-'Profits 2016'!M6977</f>
        <v>63.599999999999994</v>
      </c>
      <c r="H1764" s="319"/>
      <c r="I1764" s="320"/>
      <c r="J1764" s="321"/>
      <c r="K1764" s="321"/>
      <c r="L1764" s="321"/>
      <c r="M1764" s="319"/>
      <c r="N1764" s="322"/>
      <c r="O1764" s="236" t="str">
        <f>'Profits 2016'!T6977</f>
        <v>FEDEX GROUND</v>
      </c>
      <c r="P1764" s="284" t="str">
        <f>'Profits 2016'!U6977</f>
        <v>680483361090</v>
      </c>
      <c r="AF1764" s="276">
        <f t="shared" si="199"/>
        <v>63.599999999999994</v>
      </c>
      <c r="AG1764" s="276">
        <f t="shared" si="200"/>
        <v>0</v>
      </c>
      <c r="AH1764" s="276">
        <f t="shared" si="201"/>
        <v>136.32300000000001</v>
      </c>
      <c r="AI1764" s="283">
        <f t="shared" si="202"/>
        <v>2.1434433962264152</v>
      </c>
    </row>
    <row r="1765" spans="1:35" ht="30" x14ac:dyDescent="0.25">
      <c r="A1765" s="275">
        <f>'Profits 2016'!A6978</f>
        <v>3005481</v>
      </c>
      <c r="B1765" s="279">
        <f>'Profits 2016'!B6978</f>
        <v>42683</v>
      </c>
      <c r="C1765" s="276">
        <f>'Profits 2016'!H6978</f>
        <v>163.41</v>
      </c>
      <c r="D1765" s="280">
        <f>'Profits 2016'!K6978</f>
        <v>138.89850000000001</v>
      </c>
      <c r="E1765" s="276">
        <f>'Profits 2016'!L6978</f>
        <v>950</v>
      </c>
      <c r="F1765" s="275" t="str">
        <f>'Profits 2016'!P6978</f>
        <v>Nassau</v>
      </c>
      <c r="G1765" s="292">
        <f>'Profits 2016'!N6978-'Profits 2016'!M6978</f>
        <v>71.25</v>
      </c>
      <c r="H1765" s="319"/>
      <c r="I1765" s="320"/>
      <c r="J1765" s="321"/>
      <c r="K1765" s="321"/>
      <c r="L1765" s="321"/>
      <c r="M1765" s="319"/>
      <c r="N1765" s="322"/>
      <c r="O1765" s="236" t="str">
        <f>'Profits 2016'!T6978</f>
        <v>FEDEX GROUND</v>
      </c>
      <c r="P1765" s="284" t="str">
        <f>'Profits 2016'!U6978</f>
        <v>680483361078</v>
      </c>
      <c r="Q1765" s="284" t="s">
        <v>314</v>
      </c>
      <c r="R1765" s="276">
        <v>18.07</v>
      </c>
      <c r="S1765" s="275" t="s">
        <v>15847</v>
      </c>
      <c r="T1765" s="279">
        <v>42695</v>
      </c>
      <c r="U1765" s="279">
        <v>42702</v>
      </c>
      <c r="AF1765" s="276">
        <f t="shared" si="199"/>
        <v>89.32</v>
      </c>
      <c r="AG1765" s="276">
        <f t="shared" si="200"/>
        <v>18.07</v>
      </c>
      <c r="AH1765" s="276">
        <f t="shared" si="201"/>
        <v>120.82850000000002</v>
      </c>
      <c r="AI1765" s="283">
        <f t="shared" si="202"/>
        <v>1.3527597402597407</v>
      </c>
    </row>
    <row r="1766" spans="1:35" ht="30" x14ac:dyDescent="0.25">
      <c r="A1766" s="275">
        <f>'Profits 2016'!A6979</f>
        <v>3005482</v>
      </c>
      <c r="B1766" s="279">
        <f>'Profits 2016'!B6979</f>
        <v>42683</v>
      </c>
      <c r="C1766" s="276">
        <f>'Profits 2016'!H6979</f>
        <v>159.38999999999999</v>
      </c>
      <c r="D1766" s="280">
        <f>'Profits 2016'!K6979</f>
        <v>135.48149999999998</v>
      </c>
      <c r="E1766" s="276">
        <f>'Profits 2016'!L6979</f>
        <v>2200</v>
      </c>
      <c r="F1766" s="275" t="str">
        <f>'Profits 2016'!P6979</f>
        <v>Direct</v>
      </c>
      <c r="G1766" s="292">
        <f>'Profits 2016'!N6979-'Profits 2016'!M6979</f>
        <v>55</v>
      </c>
      <c r="H1766" s="331">
        <v>0</v>
      </c>
      <c r="I1766" s="332">
        <v>76172</v>
      </c>
      <c r="J1766" s="333">
        <v>42684</v>
      </c>
      <c r="K1766" s="333">
        <v>42691</v>
      </c>
      <c r="L1766" s="333">
        <v>42692</v>
      </c>
      <c r="M1766" s="331">
        <v>107.8</v>
      </c>
      <c r="N1766" s="334">
        <v>9438</v>
      </c>
      <c r="O1766" s="236" t="str">
        <f>'Profits 2016'!T6979</f>
        <v>FEDEX GROUND</v>
      </c>
      <c r="P1766" s="284" t="str">
        <f>'Profits 2016'!U6979</f>
        <v>642286529522</v>
      </c>
      <c r="AF1766" s="276">
        <f t="shared" si="199"/>
        <v>55</v>
      </c>
      <c r="AG1766" s="276">
        <f t="shared" si="200"/>
        <v>107.8</v>
      </c>
      <c r="AH1766" s="276">
        <f t="shared" si="201"/>
        <v>27.681499999999986</v>
      </c>
      <c r="AI1766" s="283">
        <f t="shared" si="202"/>
        <v>0.50329999999999975</v>
      </c>
    </row>
    <row r="1767" spans="1:35" x14ac:dyDescent="0.25">
      <c r="A1767" s="275">
        <f>'Profits 2016'!A6980</f>
        <v>0</v>
      </c>
      <c r="B1767" s="279">
        <f>'Profits 2016'!B6980</f>
        <v>0</v>
      </c>
      <c r="C1767" s="276">
        <f>'Profits 2016'!H6980</f>
        <v>0</v>
      </c>
      <c r="D1767" s="280">
        <f>'Profits 2016'!K6980</f>
        <v>0</v>
      </c>
      <c r="E1767" s="276">
        <f>'Profits 2016'!L6980</f>
        <v>2200</v>
      </c>
      <c r="F1767" s="275" t="str">
        <f>'Profits 2016'!P6980</f>
        <v>Direct</v>
      </c>
      <c r="G1767" s="292">
        <f>'Profits 2016'!N6980-'Profits 2016'!M6980</f>
        <v>55</v>
      </c>
      <c r="H1767" s="331">
        <v>0</v>
      </c>
      <c r="I1767" s="332">
        <v>76172</v>
      </c>
      <c r="J1767" s="333">
        <v>42684</v>
      </c>
      <c r="K1767" s="333">
        <v>42691</v>
      </c>
      <c r="L1767" s="333">
        <v>42692</v>
      </c>
      <c r="M1767" s="331">
        <v>0</v>
      </c>
      <c r="N1767" s="334">
        <v>9438</v>
      </c>
      <c r="O1767" s="236">
        <f>'Profits 2016'!T6980</f>
        <v>0</v>
      </c>
      <c r="P1767" s="284">
        <f>'Profits 2016'!U6980</f>
        <v>0</v>
      </c>
      <c r="AF1767" s="276">
        <f t="shared" si="199"/>
        <v>55</v>
      </c>
      <c r="AG1767" s="276">
        <f t="shared" si="200"/>
        <v>0</v>
      </c>
      <c r="AH1767" s="276">
        <f t="shared" si="201"/>
        <v>0</v>
      </c>
      <c r="AI1767" s="283">
        <f t="shared" si="202"/>
        <v>0</v>
      </c>
    </row>
    <row r="1768" spans="1:35" ht="30" x14ac:dyDescent="0.25">
      <c r="A1768" s="275">
        <f>'Profits 2016'!A6981</f>
        <v>3005483</v>
      </c>
      <c r="B1768" s="279">
        <f>'Profits 2016'!B6981</f>
        <v>42683</v>
      </c>
      <c r="C1768" s="276">
        <f>'Profits 2016'!H6981</f>
        <v>349.12</v>
      </c>
      <c r="D1768" s="280">
        <f>'Profits 2016'!K6981</f>
        <v>310.76591999999999</v>
      </c>
      <c r="E1768" s="276">
        <f>'Profits 2016'!L6981</f>
        <v>424</v>
      </c>
      <c r="F1768" s="275" t="str">
        <f>'Profits 2016'!P6981</f>
        <v>Nassau</v>
      </c>
      <c r="G1768" s="292">
        <f>'Profits 2016'!N6981-'Profits 2016'!M6981</f>
        <v>127.19999999999999</v>
      </c>
      <c r="H1768" s="319"/>
      <c r="I1768" s="320"/>
      <c r="J1768" s="321"/>
      <c r="K1768" s="321"/>
      <c r="L1768" s="321"/>
      <c r="M1768" s="319"/>
      <c r="N1768" s="322"/>
      <c r="O1768" s="236" t="str">
        <f>'Profits 2016'!T6981</f>
        <v>FEDEX GROUND</v>
      </c>
      <c r="P1768" s="284" t="str">
        <f>'Profits 2016'!U6981</f>
        <v>680483361089</v>
      </c>
      <c r="AF1768" s="276">
        <f t="shared" si="199"/>
        <v>137.19999999999999</v>
      </c>
      <c r="AG1768" s="276">
        <f t="shared" si="200"/>
        <v>0</v>
      </c>
      <c r="AH1768" s="276">
        <f t="shared" si="201"/>
        <v>310.76591999999999</v>
      </c>
      <c r="AI1768" s="283">
        <f t="shared" si="202"/>
        <v>2.2650577259475222</v>
      </c>
    </row>
    <row r="1769" spans="1:35" ht="30" x14ac:dyDescent="0.25">
      <c r="A1769" s="275">
        <f>'Profits 2016'!A6982</f>
        <v>3005484</v>
      </c>
      <c r="B1769" s="279">
        <f>'Profits 2016'!B6982</f>
        <v>42683</v>
      </c>
      <c r="C1769" s="276">
        <f>'Profits 2016'!H6982</f>
        <v>320</v>
      </c>
      <c r="D1769" s="280">
        <f>'Profits 2016'!K6982</f>
        <v>284.82</v>
      </c>
      <c r="E1769" s="276">
        <f>'Profits 2016'!L6982</f>
        <v>3150</v>
      </c>
      <c r="F1769" s="275" t="str">
        <f>'Profits 2016'!P6982</f>
        <v>Priority</v>
      </c>
      <c r="G1769" s="292">
        <f>'Profits 2016'!N6982-'Profits 2016'!M6982</f>
        <v>157.5</v>
      </c>
      <c r="H1769" s="331">
        <v>10</v>
      </c>
      <c r="I1769" s="332">
        <v>1075828</v>
      </c>
      <c r="J1769" s="333">
        <v>42685</v>
      </c>
      <c r="K1769" s="333">
        <v>42692</v>
      </c>
      <c r="L1769" s="333"/>
      <c r="M1769" s="331"/>
      <c r="N1769" s="334"/>
      <c r="O1769" s="236" t="str">
        <f>'Profits 2016'!T6982</f>
        <v>FEDEX GROUND</v>
      </c>
      <c r="P1769" s="284" t="str">
        <f>'Profits 2016'!U6982</f>
        <v xml:space="preserve">	616712878155</v>
      </c>
      <c r="Q1769" s="284" t="s">
        <v>15740</v>
      </c>
      <c r="R1769" s="276">
        <v>20.41</v>
      </c>
      <c r="S1769" s="275">
        <v>1075824</v>
      </c>
      <c r="T1769" s="279">
        <v>42685</v>
      </c>
      <c r="U1769" s="279">
        <v>42692</v>
      </c>
      <c r="AF1769" s="276">
        <f t="shared" si="199"/>
        <v>177.91</v>
      </c>
      <c r="AG1769" s="276">
        <f t="shared" si="200"/>
        <v>20.41</v>
      </c>
      <c r="AH1769" s="276">
        <f t="shared" si="201"/>
        <v>264.40999999999997</v>
      </c>
      <c r="AI1769" s="283">
        <f t="shared" si="202"/>
        <v>1.4862008880894833</v>
      </c>
    </row>
    <row r="1770" spans="1:35" ht="30" x14ac:dyDescent="0.25">
      <c r="A1770" s="275">
        <f>'Profits 2016'!A6983</f>
        <v>3005485</v>
      </c>
      <c r="B1770" s="279">
        <f>'Profits 2016'!B6983</f>
        <v>42683</v>
      </c>
      <c r="C1770" s="276">
        <f>'Profits 2016'!H6983</f>
        <v>109.82</v>
      </c>
      <c r="D1770" s="280">
        <f>'Profits 2016'!K6983</f>
        <v>97.549620000000004</v>
      </c>
      <c r="E1770" s="276">
        <f>'Profits 2016'!L6983</f>
        <v>229</v>
      </c>
      <c r="F1770" s="275" t="str">
        <f>'Profits 2016'!P6983</f>
        <v>Houston</v>
      </c>
      <c r="G1770" s="292">
        <f>'Profits 2016'!N6983-'Profits 2016'!M6983</f>
        <v>57.25</v>
      </c>
      <c r="H1770" s="331">
        <v>0</v>
      </c>
      <c r="I1770" s="332">
        <v>30923729</v>
      </c>
      <c r="J1770" s="333">
        <v>42688</v>
      </c>
      <c r="K1770" s="333">
        <v>42692</v>
      </c>
      <c r="L1770" s="333"/>
      <c r="M1770" s="331"/>
      <c r="N1770" s="334"/>
      <c r="O1770" s="236" t="str">
        <f>'Profits 2016'!T6983</f>
        <v>FEDEX GROUND</v>
      </c>
      <c r="P1770" s="284" t="str">
        <f>'Profits 2016'!U6983</f>
        <v>543369483108</v>
      </c>
      <c r="AF1770" s="276">
        <f t="shared" si="199"/>
        <v>57.25</v>
      </c>
      <c r="AG1770" s="276">
        <f t="shared" si="200"/>
        <v>0</v>
      </c>
      <c r="AH1770" s="276">
        <f t="shared" si="201"/>
        <v>97.549620000000004</v>
      </c>
      <c r="AI1770" s="283">
        <f t="shared" si="202"/>
        <v>1.7039234934497818</v>
      </c>
    </row>
    <row r="1771" spans="1:35" ht="30" x14ac:dyDescent="0.25">
      <c r="A1771" s="275">
        <f>'Profits 2016'!A6984</f>
        <v>3005486</v>
      </c>
      <c r="B1771" s="279">
        <f>'Profits 2016'!B6984</f>
        <v>42683</v>
      </c>
      <c r="C1771" s="276">
        <f>'Profits 2016'!H6984</f>
        <v>405</v>
      </c>
      <c r="D1771" s="280">
        <f>'Profits 2016'!K6984</f>
        <v>397.005</v>
      </c>
      <c r="E1771" s="276">
        <f>'Profits 2016'!L6984</f>
        <v>1406</v>
      </c>
      <c r="F1771" s="275" t="str">
        <f>'Profits 2016'!P6984</f>
        <v>Priority</v>
      </c>
      <c r="G1771" s="292">
        <f>'Profits 2016'!N6984-'Profits 2016'!M6984</f>
        <v>281.2</v>
      </c>
      <c r="H1771" s="331">
        <v>0</v>
      </c>
      <c r="I1771" s="332">
        <v>1075377</v>
      </c>
      <c r="J1771" s="333">
        <v>42684</v>
      </c>
      <c r="K1771" s="333">
        <v>42695</v>
      </c>
      <c r="L1771" s="333"/>
      <c r="M1771" s="331"/>
      <c r="N1771" s="334"/>
      <c r="O1771" s="236" t="str">
        <f>'Profits 2016'!T6984</f>
        <v>UPS GROUND</v>
      </c>
      <c r="P1771" s="284" t="str">
        <f>'Profits 2016'!U6984</f>
        <v>1ZV147610346070987</v>
      </c>
      <c r="Q1771" s="284" t="s">
        <v>15740</v>
      </c>
      <c r="R1771" s="276">
        <v>68.27</v>
      </c>
      <c r="S1771" s="275">
        <v>1075377</v>
      </c>
      <c r="T1771" s="279">
        <v>42684</v>
      </c>
      <c r="U1771" s="279">
        <v>42695</v>
      </c>
      <c r="AF1771" s="276">
        <f t="shared" si="199"/>
        <v>349.46999999999997</v>
      </c>
      <c r="AG1771" s="276">
        <f t="shared" si="200"/>
        <v>68.27</v>
      </c>
      <c r="AH1771" s="276">
        <f t="shared" si="201"/>
        <v>328.73500000000001</v>
      </c>
      <c r="AI1771" s="283">
        <f t="shared" si="202"/>
        <v>0.94066729619137568</v>
      </c>
    </row>
    <row r="1772" spans="1:35" ht="30" x14ac:dyDescent="0.25">
      <c r="A1772" s="275">
        <f>'Profits 2016'!A6985</f>
        <v>3005487</v>
      </c>
      <c r="B1772" s="279">
        <f>'Profits 2016'!B6985</f>
        <v>42683</v>
      </c>
      <c r="C1772" s="276">
        <f>'Profits 2016'!H6985</f>
        <v>232.5</v>
      </c>
      <c r="D1772" s="280">
        <f>'Profits 2016'!K6985</f>
        <v>227.08500000000001</v>
      </c>
      <c r="E1772" s="276">
        <f>'Profits 2016'!L6985</f>
        <v>670</v>
      </c>
      <c r="F1772" s="275" t="str">
        <f>'Profits 2016'!P6985</f>
        <v>Thea</v>
      </c>
      <c r="G1772" s="292">
        <f>'Profits 2016'!N6985-'Profits 2016'!M6985</f>
        <v>100.5</v>
      </c>
      <c r="H1772" s="319"/>
      <c r="I1772" s="320"/>
      <c r="J1772" s="321"/>
      <c r="K1772" s="321"/>
      <c r="L1772" s="321"/>
      <c r="M1772" s="319"/>
      <c r="N1772" s="322"/>
      <c r="O1772" s="236" t="str">
        <f>'Profits 2016'!T6985</f>
        <v>FEDEX GROUND</v>
      </c>
      <c r="P1772" s="284" t="str">
        <f>'Profits 2016'!U6985</f>
        <v>675157531948</v>
      </c>
      <c r="AF1772" s="276">
        <f t="shared" si="199"/>
        <v>100.5</v>
      </c>
      <c r="AG1772" s="276">
        <f t="shared" si="200"/>
        <v>0</v>
      </c>
      <c r="AH1772" s="276">
        <f t="shared" si="201"/>
        <v>227.08500000000001</v>
      </c>
      <c r="AI1772" s="283">
        <f t="shared" si="202"/>
        <v>2.2595522388059703</v>
      </c>
    </row>
    <row r="1773" spans="1:35" ht="30" x14ac:dyDescent="0.25">
      <c r="A1773" s="275">
        <f>'Profits 2016'!A6986</f>
        <v>3005488</v>
      </c>
      <c r="B1773" s="279">
        <f>'Profits 2016'!B6986</f>
        <v>42683</v>
      </c>
      <c r="C1773" s="276">
        <f>'Profits 2016'!H6986</f>
        <v>369.33</v>
      </c>
      <c r="D1773" s="280">
        <f>'Profits 2016'!K6986</f>
        <v>360.90474</v>
      </c>
      <c r="E1773" s="276">
        <f>'Profits 2016'!L6986</f>
        <v>1316</v>
      </c>
      <c r="F1773" s="275" t="str">
        <f>'Profits 2016'!P6986</f>
        <v>Priority</v>
      </c>
      <c r="G1773" s="292">
        <f>'Profits 2016'!N6986-'Profits 2016'!M6986</f>
        <v>263.2</v>
      </c>
      <c r="H1773" s="331">
        <v>0</v>
      </c>
      <c r="I1773" s="332">
        <v>1076096</v>
      </c>
      <c r="J1773" s="333">
        <v>42685</v>
      </c>
      <c r="K1773" s="333">
        <v>42692</v>
      </c>
      <c r="L1773" s="333"/>
      <c r="M1773" s="331"/>
      <c r="N1773" s="334"/>
      <c r="O1773" s="236" t="str">
        <f>'Profits 2016'!T6986</f>
        <v>Customer Pick Up</v>
      </c>
      <c r="P1773" s="284" t="str">
        <f>'Profits 2016'!U6986</f>
        <v>Customer Pick Up</v>
      </c>
      <c r="AF1773" s="276">
        <f t="shared" si="199"/>
        <v>263.2</v>
      </c>
      <c r="AG1773" s="276">
        <f t="shared" si="200"/>
        <v>0</v>
      </c>
      <c r="AH1773" s="276">
        <f t="shared" si="201"/>
        <v>360.90474</v>
      </c>
      <c r="AI1773" s="283">
        <f t="shared" si="202"/>
        <v>1.3712186170212766</v>
      </c>
    </row>
    <row r="1774" spans="1:35" ht="30" x14ac:dyDescent="0.25">
      <c r="A1774" s="275">
        <f>'Profits 2016'!A6987</f>
        <v>3005489</v>
      </c>
      <c r="B1774" s="279">
        <f>'Profits 2016'!B6987</f>
        <v>42683</v>
      </c>
      <c r="C1774" s="276">
        <f>'Profits 2016'!H6987</f>
        <v>155</v>
      </c>
      <c r="D1774" s="280">
        <f>'Profits 2016'!K6987</f>
        <v>151.29</v>
      </c>
      <c r="E1774" s="276">
        <f>'Profits 2016'!L6987</f>
        <v>350</v>
      </c>
      <c r="F1774" s="275" t="str">
        <f>'Profits 2016'!P6987</f>
        <v>A-Z</v>
      </c>
      <c r="G1774" s="292">
        <f>'Profits 2016'!N6987-'Profits 2016'!M6987</f>
        <v>70</v>
      </c>
      <c r="H1774" s="331">
        <v>0</v>
      </c>
      <c r="I1774" s="332">
        <v>409564</v>
      </c>
      <c r="J1774" s="333">
        <v>42685</v>
      </c>
      <c r="K1774" s="333">
        <v>42692</v>
      </c>
      <c r="L1774" s="333"/>
      <c r="M1774" s="331"/>
      <c r="N1774" s="334"/>
      <c r="O1774" s="236" t="str">
        <f>'Profits 2016'!T6987</f>
        <v>FEDEX GROUND</v>
      </c>
      <c r="P1774" s="284" t="str">
        <f>'Profits 2016'!U6987</f>
        <v>655044326905</v>
      </c>
      <c r="Q1774" s="284" t="s">
        <v>314</v>
      </c>
      <c r="R1774" s="276">
        <v>21.94</v>
      </c>
      <c r="S1774" s="275" t="s">
        <v>15847</v>
      </c>
      <c r="T1774" s="279">
        <v>42695</v>
      </c>
      <c r="U1774" s="279">
        <v>42702</v>
      </c>
      <c r="AF1774" s="276">
        <f t="shared" si="199"/>
        <v>91.94</v>
      </c>
      <c r="AG1774" s="276">
        <f t="shared" si="200"/>
        <v>21.94</v>
      </c>
      <c r="AH1774" s="276">
        <f t="shared" si="201"/>
        <v>129.35</v>
      </c>
      <c r="AI1774" s="283">
        <f t="shared" si="202"/>
        <v>1.4068958016097455</v>
      </c>
    </row>
    <row r="1775" spans="1:35" x14ac:dyDescent="0.25">
      <c r="A1775" s="275">
        <f>'Profits 2016'!A6988</f>
        <v>3005490</v>
      </c>
      <c r="B1775" s="279">
        <f>'Profits 2016'!B6988</f>
        <v>42683</v>
      </c>
      <c r="C1775" s="276">
        <f>'Profits 2016'!H6988</f>
        <v>840</v>
      </c>
      <c r="D1775" s="280">
        <f>'Profits 2016'!K6988</f>
        <v>840</v>
      </c>
      <c r="E1775" s="276">
        <f>'Profits 2016'!L6988</f>
        <v>2150</v>
      </c>
      <c r="F1775" s="275" t="str">
        <f>'Profits 2016'!P6988</f>
        <v>Nassau</v>
      </c>
      <c r="G1775" s="292">
        <f>'Profits 2016'!N6988-'Profits 2016'!M6988</f>
        <v>645</v>
      </c>
      <c r="H1775" s="319"/>
      <c r="I1775" s="320"/>
      <c r="J1775" s="321"/>
      <c r="K1775" s="321"/>
      <c r="L1775" s="321"/>
      <c r="M1775" s="319"/>
      <c r="N1775" s="322"/>
      <c r="O1775" s="236" t="str">
        <f>'Profits 2016'!T6988</f>
        <v>N/A</v>
      </c>
      <c r="P1775" s="284" t="str">
        <f>'Profits 2016'!U6988</f>
        <v>N/A</v>
      </c>
      <c r="AF1775" s="276">
        <f t="shared" si="199"/>
        <v>645</v>
      </c>
      <c r="AG1775" s="276">
        <f t="shared" si="200"/>
        <v>0</v>
      </c>
      <c r="AH1775" s="276">
        <f t="shared" si="201"/>
        <v>840</v>
      </c>
      <c r="AI1775" s="283">
        <f t="shared" si="202"/>
        <v>1.3023255813953489</v>
      </c>
    </row>
    <row r="1776" spans="1:35" x14ac:dyDescent="0.25">
      <c r="A1776" s="275">
        <f>'Profits 2016'!A6989</f>
        <v>3005491</v>
      </c>
      <c r="B1776" s="279">
        <f>'Profits 2016'!B6989</f>
        <v>42683</v>
      </c>
      <c r="C1776" s="276">
        <f>'Profits 2016'!H6989</f>
        <v>522.84</v>
      </c>
      <c r="D1776" s="280">
        <f>'Profits 2016'!K6989</f>
        <v>465.55043999999998</v>
      </c>
      <c r="E1776" s="276">
        <f>'Profits 2016'!L6989</f>
        <v>622</v>
      </c>
      <c r="F1776" s="275" t="str">
        <f>'Profits 2016'!P6989</f>
        <v>Nassau</v>
      </c>
      <c r="G1776" s="292">
        <f>'Profits 2016'!N6989-'Profits 2016'!M6989</f>
        <v>248.79999999999998</v>
      </c>
      <c r="H1776" s="331"/>
      <c r="I1776" s="332"/>
      <c r="J1776" s="333"/>
      <c r="K1776" s="333"/>
      <c r="L1776" s="333"/>
      <c r="M1776" s="331"/>
      <c r="N1776" s="334"/>
      <c r="O1776" s="236" t="str">
        <f>'Profits 2016'!T6989</f>
        <v>UPS/DLS</v>
      </c>
      <c r="P1776" s="284" t="str">
        <f>'Profits 2016'!U6989</f>
        <v>736753463</v>
      </c>
      <c r="Q1776" s="284" t="s">
        <v>15804</v>
      </c>
      <c r="R1776" s="276">
        <v>127.34</v>
      </c>
      <c r="S1776" s="275">
        <v>636996145</v>
      </c>
      <c r="T1776" s="279">
        <v>42697</v>
      </c>
      <c r="U1776" s="279">
        <v>42702</v>
      </c>
      <c r="AF1776" s="276">
        <f t="shared" si="199"/>
        <v>376.14</v>
      </c>
      <c r="AG1776" s="276">
        <f t="shared" si="200"/>
        <v>127.34</v>
      </c>
      <c r="AH1776" s="276">
        <f t="shared" si="201"/>
        <v>338.21043999999995</v>
      </c>
      <c r="AI1776" s="283">
        <f t="shared" si="202"/>
        <v>0.8991610570532248</v>
      </c>
    </row>
    <row r="1777" spans="1:35" ht="30" x14ac:dyDescent="0.25">
      <c r="A1777" s="275">
        <f>'Profits 2016'!A6990</f>
        <v>3005492</v>
      </c>
      <c r="B1777" s="279">
        <f>'Profits 2016'!B6990</f>
        <v>42683</v>
      </c>
      <c r="C1777" s="276">
        <f>'Profits 2016'!H6990</f>
        <v>167.37</v>
      </c>
      <c r="D1777" s="280">
        <f>'Profits 2016'!K6990</f>
        <v>142.2645</v>
      </c>
      <c r="E1777" s="276">
        <f>'Profits 2016'!L6990</f>
        <v>210</v>
      </c>
      <c r="F1777" s="275" t="str">
        <f>'Profits 2016'!P6990</f>
        <v>Priority</v>
      </c>
      <c r="G1777" s="292">
        <f>'Profits 2016'!N6990-'Profits 2016'!M6990</f>
        <v>105</v>
      </c>
      <c r="H1777" s="331">
        <v>0</v>
      </c>
      <c r="I1777" s="332">
        <v>1075363</v>
      </c>
      <c r="J1777" s="333">
        <v>42684</v>
      </c>
      <c r="K1777" s="333">
        <v>42695</v>
      </c>
      <c r="L1777" s="333"/>
      <c r="M1777" s="331"/>
      <c r="N1777" s="334"/>
      <c r="O1777" s="236" t="str">
        <f>'Profits 2016'!T6990</f>
        <v>FEDEX GROUND</v>
      </c>
      <c r="P1777" s="284" t="str">
        <f>'Profits 2016'!U6990</f>
        <v>616712878100</v>
      </c>
      <c r="Q1777" s="284" t="s">
        <v>15740</v>
      </c>
      <c r="R1777" s="276">
        <v>15.72</v>
      </c>
      <c r="S1777" s="275">
        <v>1075363</v>
      </c>
      <c r="T1777" s="279">
        <v>42684</v>
      </c>
      <c r="U1777" s="279">
        <v>42695</v>
      </c>
      <c r="AF1777" s="276">
        <f t="shared" si="199"/>
        <v>120.72</v>
      </c>
      <c r="AG1777" s="276">
        <f t="shared" si="200"/>
        <v>15.72</v>
      </c>
      <c r="AH1777" s="276">
        <f t="shared" si="201"/>
        <v>126.5445</v>
      </c>
      <c r="AI1777" s="283">
        <f t="shared" si="202"/>
        <v>1.0482480119284294</v>
      </c>
    </row>
    <row r="1778" spans="1:35" ht="30" x14ac:dyDescent="0.25">
      <c r="A1778" s="275">
        <f>'Profits 2016'!A6991</f>
        <v>3005493</v>
      </c>
      <c r="B1778" s="279">
        <f>'Profits 2016'!B6991</f>
        <v>42683</v>
      </c>
      <c r="C1778" s="276">
        <f>'Profits 2016'!H6991</f>
        <v>143.56</v>
      </c>
      <c r="D1778" s="280">
        <f>'Profits 2016'!K6991</f>
        <v>122.02600000000001</v>
      </c>
      <c r="E1778" s="276">
        <f>'Profits 2016'!L6991</f>
        <v>330</v>
      </c>
      <c r="F1778" s="275" t="str">
        <f>'Profits 2016'!P6991</f>
        <v>Thea</v>
      </c>
      <c r="G1778" s="292">
        <f>'Profits 2016'!N6991-'Profits 2016'!M6991</f>
        <v>82.5</v>
      </c>
      <c r="H1778" s="331"/>
      <c r="I1778" s="332"/>
      <c r="J1778" s="333"/>
      <c r="K1778" s="333"/>
      <c r="L1778" s="333"/>
      <c r="M1778" s="331"/>
      <c r="N1778" s="334"/>
      <c r="O1778" s="236" t="str">
        <f>'Profits 2016'!T6991</f>
        <v>FEDEX GROUND</v>
      </c>
      <c r="P1778" s="284" t="str">
        <f>'Profits 2016'!U6991</f>
        <v>675157531889</v>
      </c>
      <c r="AF1778" s="276">
        <f t="shared" si="199"/>
        <v>82.5</v>
      </c>
      <c r="AG1778" s="276">
        <f t="shared" si="200"/>
        <v>0</v>
      </c>
      <c r="AH1778" s="276">
        <f t="shared" si="201"/>
        <v>122.02600000000001</v>
      </c>
      <c r="AI1778" s="283">
        <f t="shared" si="202"/>
        <v>1.4791030303030304</v>
      </c>
    </row>
    <row r="1779" spans="1:35" ht="30" x14ac:dyDescent="0.25">
      <c r="A1779" s="275">
        <f>'Profits 2016'!A6992</f>
        <v>3005494</v>
      </c>
      <c r="B1779" s="279">
        <f>'Profits 2016'!B6992</f>
        <v>42683</v>
      </c>
      <c r="C1779" s="276">
        <f>'Profits 2016'!H6992</f>
        <v>229.2</v>
      </c>
      <c r="D1779" s="280">
        <f>'Profits 2016'!K6992</f>
        <v>194.82</v>
      </c>
      <c r="E1779" s="276">
        <f>'Profits 2016'!L6992</f>
        <v>900</v>
      </c>
      <c r="F1779" s="275" t="str">
        <f>'Profits 2016'!P6992</f>
        <v>Nassau</v>
      </c>
      <c r="G1779" s="292">
        <f>'Profits 2016'!N6992-'Profits 2016'!M6992</f>
        <v>90</v>
      </c>
      <c r="H1779" s="319"/>
      <c r="I1779" s="320"/>
      <c r="J1779" s="321"/>
      <c r="K1779" s="321"/>
      <c r="L1779" s="321"/>
      <c r="M1779" s="319"/>
      <c r="N1779" s="322"/>
      <c r="O1779" s="236" t="str">
        <f>'Profits 2016'!T6992</f>
        <v>FEDEX GROUND</v>
      </c>
      <c r="P1779" s="284" t="str">
        <f>'Profits 2016'!U6992</f>
        <v>702723292134, 702723292145</v>
      </c>
      <c r="AF1779" s="276">
        <f t="shared" si="199"/>
        <v>90</v>
      </c>
      <c r="AG1779" s="276">
        <f t="shared" si="200"/>
        <v>0</v>
      </c>
      <c r="AH1779" s="276">
        <f t="shared" si="201"/>
        <v>194.82</v>
      </c>
      <c r="AI1779" s="283">
        <f t="shared" si="202"/>
        <v>2.1646666666666667</v>
      </c>
    </row>
    <row r="1780" spans="1:35" ht="30" x14ac:dyDescent="0.25">
      <c r="A1780" s="275">
        <f>'Profits 2016'!A6993</f>
        <v>3005495</v>
      </c>
      <c r="B1780" s="279">
        <f>'Profits 2016'!B6993</f>
        <v>42683</v>
      </c>
      <c r="C1780" s="276">
        <f>'Profits 2016'!H6993</f>
        <v>126.1</v>
      </c>
      <c r="D1780" s="280">
        <f>'Profits 2016'!K6993</f>
        <v>107.185</v>
      </c>
      <c r="E1780" s="276">
        <f>'Profits 2016'!L6993</f>
        <v>400</v>
      </c>
      <c r="F1780" s="275" t="str">
        <f>'Profits 2016'!P6993</f>
        <v>Nassau</v>
      </c>
      <c r="G1780" s="292">
        <f>'Profits 2016'!N6993-'Profits 2016'!M6993</f>
        <v>60</v>
      </c>
      <c r="H1780" s="319"/>
      <c r="I1780" s="320"/>
      <c r="J1780" s="321"/>
      <c r="K1780" s="321"/>
      <c r="L1780" s="321"/>
      <c r="M1780" s="319"/>
      <c r="N1780" s="322"/>
      <c r="O1780" s="236" t="str">
        <f>'Profits 2016'!T6993</f>
        <v>FEDEX GROUND</v>
      </c>
      <c r="P1780" s="284" t="str">
        <f>'Profits 2016'!U6993</f>
        <v>702723292167</v>
      </c>
      <c r="AF1780" s="276">
        <f t="shared" si="199"/>
        <v>60</v>
      </c>
      <c r="AG1780" s="276">
        <f t="shared" si="200"/>
        <v>0</v>
      </c>
      <c r="AH1780" s="276">
        <f t="shared" si="201"/>
        <v>107.185</v>
      </c>
      <c r="AI1780" s="283">
        <f t="shared" si="202"/>
        <v>1.7864166666666668</v>
      </c>
    </row>
    <row r="1781" spans="1:35" ht="30" x14ac:dyDescent="0.25">
      <c r="A1781" s="275">
        <f>'Profits 2016'!A6994</f>
        <v>3005496</v>
      </c>
      <c r="B1781" s="279">
        <f>'Profits 2016'!B6994</f>
        <v>42683</v>
      </c>
      <c r="C1781" s="276">
        <f>'Profits 2016'!H6994</f>
        <v>296</v>
      </c>
      <c r="D1781" s="280">
        <f>'Profits 2016'!K6994</f>
        <v>251.6</v>
      </c>
      <c r="E1781" s="276">
        <f>'Profits 2016'!L6994</f>
        <v>110</v>
      </c>
      <c r="F1781" s="275" t="str">
        <f>'Profits 2016'!P6994</f>
        <v>Priority</v>
      </c>
      <c r="G1781" s="292">
        <f>'Profits 2016'!N6994-'Profits 2016'!M6994</f>
        <v>110</v>
      </c>
      <c r="H1781" s="331">
        <v>0</v>
      </c>
      <c r="I1781" s="332">
        <v>1075824</v>
      </c>
      <c r="J1781" s="333">
        <v>42685</v>
      </c>
      <c r="K1781" s="333">
        <v>42692</v>
      </c>
      <c r="L1781" s="333"/>
      <c r="M1781" s="331"/>
      <c r="N1781" s="334"/>
      <c r="O1781" s="236" t="str">
        <f>'Profits 2016'!T6994</f>
        <v>FEDEX GROUND</v>
      </c>
      <c r="P1781" s="284" t="str">
        <f>'Profits 2016'!U6994</f>
        <v xml:space="preserve">	616712878144</v>
      </c>
      <c r="Q1781" s="284" t="s">
        <v>15740</v>
      </c>
      <c r="R1781" s="276">
        <v>15.33</v>
      </c>
      <c r="S1781" s="275">
        <v>1075824</v>
      </c>
      <c r="T1781" s="279">
        <v>42685</v>
      </c>
      <c r="U1781" s="279">
        <v>42692</v>
      </c>
      <c r="AF1781" s="276">
        <f t="shared" si="199"/>
        <v>125.33</v>
      </c>
      <c r="AG1781" s="276">
        <f t="shared" si="200"/>
        <v>15.33</v>
      </c>
      <c r="AH1781" s="276">
        <f t="shared" si="201"/>
        <v>236.26999999999998</v>
      </c>
      <c r="AI1781" s="283">
        <f t="shared" si="202"/>
        <v>1.8851831165722492</v>
      </c>
    </row>
    <row r="1782" spans="1:35" x14ac:dyDescent="0.25">
      <c r="A1782" s="275">
        <f>'Profits 2016'!A6995</f>
        <v>3005497</v>
      </c>
      <c r="B1782" s="279">
        <f>'Profits 2016'!B6995</f>
        <v>42684</v>
      </c>
      <c r="C1782" s="276">
        <f>'Profits 2016'!H6995</f>
        <v>16990</v>
      </c>
      <c r="D1782" s="280">
        <f>'Profits 2016'!K6995</f>
        <v>16666.89</v>
      </c>
      <c r="E1782" s="276">
        <f>'Profits 2016'!L6995</f>
        <v>0</v>
      </c>
      <c r="F1782" s="275" t="str">
        <f>'Profits 2016'!P6995</f>
        <v>Atlanta</v>
      </c>
      <c r="G1782" s="292">
        <f>'Profits 2016'!N6995-'Profits 2016'!M6995</f>
        <v>0</v>
      </c>
      <c r="H1782" s="331"/>
      <c r="I1782" s="332"/>
      <c r="J1782" s="333"/>
      <c r="K1782" s="333"/>
      <c r="L1782" s="333"/>
      <c r="M1782" s="331"/>
      <c r="N1782" s="334"/>
      <c r="O1782" s="236" t="str">
        <f>'Profits 2016'!T6995</f>
        <v>FEDEX/DLS</v>
      </c>
      <c r="P1782" s="284" t="str">
        <f>'Profits 2016'!U6995</f>
        <v>4033024166</v>
      </c>
      <c r="AF1782" s="276">
        <f t="shared" si="199"/>
        <v>0</v>
      </c>
      <c r="AG1782" s="276">
        <f t="shared" si="200"/>
        <v>0</v>
      </c>
      <c r="AH1782" s="276">
        <f t="shared" si="201"/>
        <v>16666.89</v>
      </c>
      <c r="AI1782" s="283" t="e">
        <f t="shared" si="202"/>
        <v>#DIV/0!</v>
      </c>
    </row>
    <row r="1783" spans="1:35" x14ac:dyDescent="0.25">
      <c r="A1783" s="275">
        <f>'Profits 2016'!A6996</f>
        <v>0</v>
      </c>
      <c r="B1783" s="279">
        <f>'Profits 2016'!B6996</f>
        <v>0</v>
      </c>
      <c r="C1783" s="276">
        <f>'Profits 2016'!H6996</f>
        <v>0</v>
      </c>
      <c r="D1783" s="280">
        <f>'Profits 2016'!K6996</f>
        <v>0</v>
      </c>
      <c r="E1783" s="276">
        <f>'Profits 2016'!L6996</f>
        <v>0</v>
      </c>
      <c r="F1783" s="275" t="str">
        <f>'Profits 2016'!P6996</f>
        <v>Atlanta</v>
      </c>
      <c r="G1783" s="292">
        <f>'Profits 2016'!N6996-'Profits 2016'!M6996</f>
        <v>0</v>
      </c>
      <c r="H1783" s="331"/>
      <c r="I1783" s="332"/>
      <c r="J1783" s="333"/>
      <c r="K1783" s="333"/>
      <c r="L1783" s="333"/>
      <c r="M1783" s="331"/>
      <c r="N1783" s="334"/>
      <c r="O1783" s="236">
        <f>'Profits 2016'!T6996</f>
        <v>0</v>
      </c>
      <c r="P1783" s="284">
        <f>'Profits 2016'!U6996</f>
        <v>0</v>
      </c>
      <c r="AF1783" s="276">
        <f t="shared" si="199"/>
        <v>0</v>
      </c>
      <c r="AG1783" s="276">
        <f t="shared" si="200"/>
        <v>0</v>
      </c>
      <c r="AH1783" s="276">
        <f t="shared" si="201"/>
        <v>0</v>
      </c>
      <c r="AI1783" s="283" t="e">
        <f t="shared" si="202"/>
        <v>#DIV/0!</v>
      </c>
    </row>
    <row r="1784" spans="1:35" x14ac:dyDescent="0.25">
      <c r="A1784" s="275">
        <f>'Profits 2016'!A6997</f>
        <v>0</v>
      </c>
      <c r="B1784" s="279">
        <f>'Profits 2016'!B6997</f>
        <v>0</v>
      </c>
      <c r="C1784" s="276">
        <f>'Profits 2016'!H6997</f>
        <v>0</v>
      </c>
      <c r="D1784" s="280">
        <f>'Profits 2016'!K6997</f>
        <v>0</v>
      </c>
      <c r="E1784" s="276">
        <f>'Profits 2016'!L6997</f>
        <v>0</v>
      </c>
      <c r="F1784" s="275" t="str">
        <f>'Profits 2016'!P6997</f>
        <v>Atlanta</v>
      </c>
      <c r="G1784" s="292">
        <f>'Profits 2016'!N6997-'Profits 2016'!M6997</f>
        <v>0</v>
      </c>
      <c r="H1784" s="331"/>
      <c r="I1784" s="332"/>
      <c r="J1784" s="333"/>
      <c r="K1784" s="333"/>
      <c r="L1784" s="333"/>
      <c r="M1784" s="331"/>
      <c r="N1784" s="334"/>
      <c r="O1784" s="236">
        <f>'Profits 2016'!T6997</f>
        <v>0</v>
      </c>
      <c r="P1784" s="284">
        <f>'Profits 2016'!U6997</f>
        <v>0</v>
      </c>
      <c r="AF1784" s="276">
        <f t="shared" ref="AF1784:AF1847" si="203">G1784+H1785+R1784+Y1784</f>
        <v>0</v>
      </c>
      <c r="AG1784" s="276">
        <f t="shared" ref="AG1784:AG1847" si="204">M1784+R1784+Y1784</f>
        <v>0</v>
      </c>
      <c r="AH1784" s="276">
        <f t="shared" ref="AH1784:AH1847" si="205">D1784-AG1784</f>
        <v>0</v>
      </c>
      <c r="AI1784" s="283" t="e">
        <f t="shared" ref="AI1784:AI1847" si="206">AH1784/AF1784</f>
        <v>#DIV/0!</v>
      </c>
    </row>
    <row r="1785" spans="1:35" x14ac:dyDescent="0.25">
      <c r="A1785" s="275">
        <f>'Profits 2016'!A6998</f>
        <v>0</v>
      </c>
      <c r="B1785" s="279">
        <f>'Profits 2016'!B6998</f>
        <v>0</v>
      </c>
      <c r="C1785" s="276">
        <f>'Profits 2016'!H6998</f>
        <v>0</v>
      </c>
      <c r="D1785" s="280">
        <f>'Profits 2016'!K6998</f>
        <v>0</v>
      </c>
      <c r="E1785" s="276">
        <f>'Profits 2016'!L6998</f>
        <v>0</v>
      </c>
      <c r="F1785" s="275" t="str">
        <f>'Profits 2016'!P6998</f>
        <v>Atlanta</v>
      </c>
      <c r="G1785" s="292">
        <f>'Profits 2016'!N6998-'Profits 2016'!M6998</f>
        <v>0</v>
      </c>
      <c r="H1785" s="331"/>
      <c r="I1785" s="332"/>
      <c r="J1785" s="333"/>
      <c r="K1785" s="333"/>
      <c r="L1785" s="333"/>
      <c r="M1785" s="331"/>
      <c r="N1785" s="334"/>
      <c r="O1785" s="236">
        <f>'Profits 2016'!T6998</f>
        <v>0</v>
      </c>
      <c r="P1785" s="284">
        <f>'Profits 2016'!U6998</f>
        <v>0</v>
      </c>
      <c r="AF1785" s="276">
        <f t="shared" si="203"/>
        <v>0</v>
      </c>
      <c r="AG1785" s="276">
        <f t="shared" si="204"/>
        <v>0</v>
      </c>
      <c r="AH1785" s="276">
        <f t="shared" si="205"/>
        <v>0</v>
      </c>
      <c r="AI1785" s="283" t="e">
        <f t="shared" si="206"/>
        <v>#DIV/0!</v>
      </c>
    </row>
    <row r="1786" spans="1:35" x14ac:dyDescent="0.25">
      <c r="A1786" s="275">
        <f>'Profits 2016'!A6999</f>
        <v>0</v>
      </c>
      <c r="B1786" s="279">
        <f>'Profits 2016'!B6999</f>
        <v>0</v>
      </c>
      <c r="C1786" s="276">
        <f>'Profits 2016'!H6999</f>
        <v>0</v>
      </c>
      <c r="D1786" s="280">
        <f>'Profits 2016'!K6999</f>
        <v>0</v>
      </c>
      <c r="E1786" s="276">
        <f>'Profits 2016'!L6999</f>
        <v>0</v>
      </c>
      <c r="F1786" s="275" t="str">
        <f>'Profits 2016'!P6999</f>
        <v>Atlanta</v>
      </c>
      <c r="G1786" s="292">
        <f>'Profits 2016'!N6999-'Profits 2016'!M6999</f>
        <v>0</v>
      </c>
      <c r="H1786" s="331"/>
      <c r="I1786" s="332"/>
      <c r="J1786" s="333"/>
      <c r="K1786" s="333"/>
      <c r="L1786" s="333"/>
      <c r="M1786" s="331"/>
      <c r="N1786" s="334"/>
      <c r="O1786" s="236">
        <f>'Profits 2016'!T6999</f>
        <v>0</v>
      </c>
      <c r="P1786" s="284">
        <f>'Profits 2016'!U6999</f>
        <v>0</v>
      </c>
      <c r="AF1786" s="276">
        <f t="shared" si="203"/>
        <v>0</v>
      </c>
      <c r="AG1786" s="276">
        <f t="shared" si="204"/>
        <v>0</v>
      </c>
      <c r="AH1786" s="276">
        <f t="shared" si="205"/>
        <v>0</v>
      </c>
      <c r="AI1786" s="283" t="e">
        <f t="shared" si="206"/>
        <v>#DIV/0!</v>
      </c>
    </row>
    <row r="1787" spans="1:35" x14ac:dyDescent="0.25">
      <c r="A1787" s="275">
        <f>'Profits 2016'!A7000</f>
        <v>0</v>
      </c>
      <c r="B1787" s="279">
        <f>'Profits 2016'!B7000</f>
        <v>0</v>
      </c>
      <c r="C1787" s="276">
        <f>'Profits 2016'!H7000</f>
        <v>0</v>
      </c>
      <c r="D1787" s="280">
        <f>'Profits 2016'!K7000</f>
        <v>0</v>
      </c>
      <c r="E1787" s="276">
        <f>'Profits 2016'!L7000</f>
        <v>0</v>
      </c>
      <c r="F1787" s="275" t="str">
        <f>'Profits 2016'!P7000</f>
        <v>Atlanta</v>
      </c>
      <c r="G1787" s="292">
        <f>'Profits 2016'!N7000-'Profits 2016'!M7000</f>
        <v>0</v>
      </c>
      <c r="H1787" s="331"/>
      <c r="I1787" s="332"/>
      <c r="J1787" s="333"/>
      <c r="K1787" s="333"/>
      <c r="L1787" s="333"/>
      <c r="M1787" s="331"/>
      <c r="N1787" s="334"/>
      <c r="O1787" s="236">
        <f>'Profits 2016'!T7000</f>
        <v>0</v>
      </c>
      <c r="P1787" s="284">
        <f>'Profits 2016'!U7000</f>
        <v>0</v>
      </c>
      <c r="AF1787" s="276">
        <f t="shared" si="203"/>
        <v>0</v>
      </c>
      <c r="AG1787" s="276">
        <f t="shared" si="204"/>
        <v>0</v>
      </c>
      <c r="AH1787" s="276">
        <f t="shared" si="205"/>
        <v>0</v>
      </c>
      <c r="AI1787" s="283" t="e">
        <f t="shared" si="206"/>
        <v>#DIV/0!</v>
      </c>
    </row>
    <row r="1788" spans="1:35" x14ac:dyDescent="0.25">
      <c r="A1788" s="275">
        <f>'Profits 2016'!A7001</f>
        <v>0</v>
      </c>
      <c r="B1788" s="279">
        <f>'Profits 2016'!B7001</f>
        <v>0</v>
      </c>
      <c r="C1788" s="276">
        <f>'Profits 2016'!H7001</f>
        <v>0</v>
      </c>
      <c r="D1788" s="280">
        <f>'Profits 2016'!K7001</f>
        <v>0</v>
      </c>
      <c r="E1788" s="276">
        <f>'Profits 2016'!L7001</f>
        <v>0</v>
      </c>
      <c r="F1788" s="275" t="str">
        <f>'Profits 2016'!P7001</f>
        <v>Atlanta</v>
      </c>
      <c r="G1788" s="292">
        <f>'Profits 2016'!N7001-'Profits 2016'!M7001</f>
        <v>0</v>
      </c>
      <c r="H1788" s="331"/>
      <c r="I1788" s="332"/>
      <c r="J1788" s="333"/>
      <c r="K1788" s="333"/>
      <c r="L1788" s="333"/>
      <c r="M1788" s="331"/>
      <c r="N1788" s="334"/>
      <c r="O1788" s="236">
        <f>'Profits 2016'!T7001</f>
        <v>0</v>
      </c>
      <c r="P1788" s="284">
        <f>'Profits 2016'!U7001</f>
        <v>0</v>
      </c>
      <c r="AF1788" s="276">
        <f t="shared" si="203"/>
        <v>0</v>
      </c>
      <c r="AG1788" s="276">
        <f t="shared" si="204"/>
        <v>0</v>
      </c>
      <c r="AH1788" s="276">
        <f t="shared" si="205"/>
        <v>0</v>
      </c>
      <c r="AI1788" s="283" t="e">
        <f t="shared" si="206"/>
        <v>#DIV/0!</v>
      </c>
    </row>
    <row r="1789" spans="1:35" x14ac:dyDescent="0.25">
      <c r="A1789" s="275">
        <f>'Profits 2016'!A7002</f>
        <v>0</v>
      </c>
      <c r="B1789" s="279">
        <f>'Profits 2016'!B7002</f>
        <v>0</v>
      </c>
      <c r="C1789" s="276">
        <f>'Profits 2016'!H7002</f>
        <v>0</v>
      </c>
      <c r="D1789" s="280">
        <f>'Profits 2016'!K7002</f>
        <v>0</v>
      </c>
      <c r="E1789" s="276">
        <f>'Profits 2016'!L7002</f>
        <v>0</v>
      </c>
      <c r="F1789" s="275" t="str">
        <f>'Profits 2016'!P7002</f>
        <v>Atlanta</v>
      </c>
      <c r="G1789" s="292">
        <f>'Profits 2016'!N7002-'Profits 2016'!M7002</f>
        <v>0</v>
      </c>
      <c r="H1789" s="331"/>
      <c r="I1789" s="332"/>
      <c r="J1789" s="333"/>
      <c r="K1789" s="333"/>
      <c r="L1789" s="333"/>
      <c r="M1789" s="331"/>
      <c r="N1789" s="334"/>
      <c r="O1789" s="236">
        <f>'Profits 2016'!T7002</f>
        <v>0</v>
      </c>
      <c r="P1789" s="284">
        <f>'Profits 2016'!U7002</f>
        <v>0</v>
      </c>
      <c r="AF1789" s="276">
        <f t="shared" si="203"/>
        <v>0</v>
      </c>
      <c r="AG1789" s="276">
        <f t="shared" si="204"/>
        <v>0</v>
      </c>
      <c r="AH1789" s="276">
        <f t="shared" si="205"/>
        <v>0</v>
      </c>
      <c r="AI1789" s="283" t="e">
        <f t="shared" si="206"/>
        <v>#DIV/0!</v>
      </c>
    </row>
    <row r="1790" spans="1:35" x14ac:dyDescent="0.25">
      <c r="A1790" s="275">
        <f>'Profits 2016'!A7003</f>
        <v>0</v>
      </c>
      <c r="B1790" s="279">
        <f>'Profits 2016'!B7003</f>
        <v>0</v>
      </c>
      <c r="C1790" s="276">
        <f>'Profits 2016'!H7003</f>
        <v>0</v>
      </c>
      <c r="D1790" s="280">
        <f>'Profits 2016'!K7003</f>
        <v>0</v>
      </c>
      <c r="E1790" s="276">
        <f>'Profits 2016'!L7003</f>
        <v>0</v>
      </c>
      <c r="F1790" s="275" t="str">
        <f>'Profits 2016'!P7003</f>
        <v>Atlanta</v>
      </c>
      <c r="G1790" s="292">
        <f>'Profits 2016'!N7003-'Profits 2016'!M7003</f>
        <v>0</v>
      </c>
      <c r="H1790" s="331"/>
      <c r="I1790" s="332"/>
      <c r="J1790" s="333"/>
      <c r="K1790" s="333"/>
      <c r="L1790" s="333"/>
      <c r="M1790" s="331"/>
      <c r="N1790" s="334"/>
      <c r="O1790" s="236">
        <f>'Profits 2016'!T7003</f>
        <v>0</v>
      </c>
      <c r="P1790" s="284">
        <f>'Profits 2016'!U7003</f>
        <v>0</v>
      </c>
      <c r="AF1790" s="276">
        <f t="shared" si="203"/>
        <v>0</v>
      </c>
      <c r="AG1790" s="276">
        <f t="shared" si="204"/>
        <v>0</v>
      </c>
      <c r="AH1790" s="276">
        <f t="shared" si="205"/>
        <v>0</v>
      </c>
      <c r="AI1790" s="283" t="e">
        <f t="shared" si="206"/>
        <v>#DIV/0!</v>
      </c>
    </row>
    <row r="1791" spans="1:35" x14ac:dyDescent="0.25">
      <c r="A1791" s="275">
        <f>'Profits 2016'!A7004</f>
        <v>0</v>
      </c>
      <c r="B1791" s="279">
        <f>'Profits 2016'!B7004</f>
        <v>0</v>
      </c>
      <c r="C1791" s="276">
        <f>'Profits 2016'!H7004</f>
        <v>0</v>
      </c>
      <c r="D1791" s="280">
        <f>'Profits 2016'!K7004</f>
        <v>0</v>
      </c>
      <c r="E1791" s="276">
        <f>'Profits 2016'!L7004</f>
        <v>0</v>
      </c>
      <c r="F1791" s="275" t="str">
        <f>'Profits 2016'!P7004</f>
        <v>Atlanta</v>
      </c>
      <c r="G1791" s="292">
        <f>'Profits 2016'!N7004-'Profits 2016'!M7004</f>
        <v>0</v>
      </c>
      <c r="H1791" s="331"/>
      <c r="I1791" s="332"/>
      <c r="J1791" s="333"/>
      <c r="K1791" s="333"/>
      <c r="L1791" s="333"/>
      <c r="M1791" s="331"/>
      <c r="N1791" s="334"/>
      <c r="O1791" s="236">
        <f>'Profits 2016'!T7004</f>
        <v>0</v>
      </c>
      <c r="P1791" s="284">
        <f>'Profits 2016'!U7004</f>
        <v>0</v>
      </c>
      <c r="AF1791" s="276">
        <f t="shared" si="203"/>
        <v>0</v>
      </c>
      <c r="AG1791" s="276">
        <f t="shared" si="204"/>
        <v>0</v>
      </c>
      <c r="AH1791" s="276">
        <f t="shared" si="205"/>
        <v>0</v>
      </c>
      <c r="AI1791" s="283" t="e">
        <f t="shared" si="206"/>
        <v>#DIV/0!</v>
      </c>
    </row>
    <row r="1792" spans="1:35" x14ac:dyDescent="0.25">
      <c r="A1792" s="275">
        <f>'Profits 2016'!A7005</f>
        <v>0</v>
      </c>
      <c r="B1792" s="279">
        <f>'Profits 2016'!B7005</f>
        <v>0</v>
      </c>
      <c r="C1792" s="276">
        <f>'Profits 2016'!H7005</f>
        <v>0</v>
      </c>
      <c r="D1792" s="280">
        <f>'Profits 2016'!K7005</f>
        <v>0</v>
      </c>
      <c r="E1792" s="276">
        <f>'Profits 2016'!L7005</f>
        <v>0</v>
      </c>
      <c r="F1792" s="275" t="str">
        <f>'Profits 2016'!P7005</f>
        <v>Atlanta</v>
      </c>
      <c r="G1792" s="292">
        <f>'Profits 2016'!N7005-'Profits 2016'!M7005</f>
        <v>0</v>
      </c>
      <c r="H1792" s="331"/>
      <c r="I1792" s="332"/>
      <c r="J1792" s="333"/>
      <c r="K1792" s="333"/>
      <c r="L1792" s="333"/>
      <c r="M1792" s="331"/>
      <c r="N1792" s="334"/>
      <c r="O1792" s="236">
        <f>'Profits 2016'!T7005</f>
        <v>0</v>
      </c>
      <c r="P1792" s="284">
        <f>'Profits 2016'!U7005</f>
        <v>0</v>
      </c>
      <c r="AF1792" s="276">
        <f t="shared" si="203"/>
        <v>0</v>
      </c>
      <c r="AG1792" s="276">
        <f t="shared" si="204"/>
        <v>0</v>
      </c>
      <c r="AH1792" s="276">
        <f t="shared" si="205"/>
        <v>0</v>
      </c>
      <c r="AI1792" s="283" t="e">
        <f t="shared" si="206"/>
        <v>#DIV/0!</v>
      </c>
    </row>
    <row r="1793" spans="1:35" x14ac:dyDescent="0.25">
      <c r="A1793" s="275">
        <f>'Profits 2016'!A7006</f>
        <v>0</v>
      </c>
      <c r="B1793" s="279">
        <f>'Profits 2016'!B7006</f>
        <v>0</v>
      </c>
      <c r="C1793" s="276">
        <f>'Profits 2016'!H7006</f>
        <v>0</v>
      </c>
      <c r="D1793" s="280">
        <f>'Profits 2016'!K7006</f>
        <v>0</v>
      </c>
      <c r="E1793" s="276">
        <f>'Profits 2016'!L7006</f>
        <v>0</v>
      </c>
      <c r="F1793" s="275" t="str">
        <f>'Profits 2016'!P7006</f>
        <v>Atlanta</v>
      </c>
      <c r="G1793" s="292">
        <f>'Profits 2016'!N7006-'Profits 2016'!M7006</f>
        <v>0</v>
      </c>
      <c r="H1793" s="331"/>
      <c r="I1793" s="332"/>
      <c r="J1793" s="333"/>
      <c r="K1793" s="333"/>
      <c r="L1793" s="333"/>
      <c r="M1793" s="331"/>
      <c r="N1793" s="334"/>
      <c r="O1793" s="236">
        <f>'Profits 2016'!T7006</f>
        <v>0</v>
      </c>
      <c r="P1793" s="284">
        <f>'Profits 2016'!U7006</f>
        <v>0</v>
      </c>
      <c r="AF1793" s="276">
        <f t="shared" si="203"/>
        <v>0</v>
      </c>
      <c r="AG1793" s="276">
        <f t="shared" si="204"/>
        <v>0</v>
      </c>
      <c r="AH1793" s="276">
        <f t="shared" si="205"/>
        <v>0</v>
      </c>
      <c r="AI1793" s="283" t="e">
        <f t="shared" si="206"/>
        <v>#DIV/0!</v>
      </c>
    </row>
    <row r="1794" spans="1:35" x14ac:dyDescent="0.25">
      <c r="A1794" s="275">
        <f>'Profits 2016'!A7007</f>
        <v>0</v>
      </c>
      <c r="B1794" s="279">
        <f>'Profits 2016'!B7007</f>
        <v>0</v>
      </c>
      <c r="C1794" s="276">
        <f>'Profits 2016'!H7007</f>
        <v>0</v>
      </c>
      <c r="D1794" s="280">
        <f>'Profits 2016'!K7007</f>
        <v>0</v>
      </c>
      <c r="E1794" s="276">
        <f>'Profits 2016'!L7007</f>
        <v>0</v>
      </c>
      <c r="F1794" s="275" t="str">
        <f>'Profits 2016'!P7007</f>
        <v>Atlanta</v>
      </c>
      <c r="G1794" s="292">
        <f>'Profits 2016'!N7007-'Profits 2016'!M7007</f>
        <v>0</v>
      </c>
      <c r="H1794" s="331"/>
      <c r="I1794" s="332"/>
      <c r="J1794" s="333"/>
      <c r="K1794" s="333"/>
      <c r="L1794" s="333"/>
      <c r="M1794" s="331"/>
      <c r="N1794" s="334"/>
      <c r="O1794" s="236">
        <f>'Profits 2016'!T7007</f>
        <v>0</v>
      </c>
      <c r="P1794" s="284">
        <f>'Profits 2016'!U7007</f>
        <v>0</v>
      </c>
      <c r="AF1794" s="276">
        <f t="shared" si="203"/>
        <v>0</v>
      </c>
      <c r="AG1794" s="276">
        <f t="shared" si="204"/>
        <v>0</v>
      </c>
      <c r="AH1794" s="276">
        <f t="shared" si="205"/>
        <v>0</v>
      </c>
      <c r="AI1794" s="283" t="e">
        <f t="shared" si="206"/>
        <v>#DIV/0!</v>
      </c>
    </row>
    <row r="1795" spans="1:35" x14ac:dyDescent="0.25">
      <c r="A1795" s="275">
        <f>'Profits 2016'!A7008</f>
        <v>0</v>
      </c>
      <c r="B1795" s="279">
        <f>'Profits 2016'!B7008</f>
        <v>0</v>
      </c>
      <c r="C1795" s="276">
        <f>'Profits 2016'!H7008</f>
        <v>0</v>
      </c>
      <c r="D1795" s="280">
        <f>'Profits 2016'!K7008</f>
        <v>0</v>
      </c>
      <c r="E1795" s="276">
        <f>'Profits 2016'!L7008</f>
        <v>0</v>
      </c>
      <c r="F1795" s="275" t="str">
        <f>'Profits 2016'!P7008</f>
        <v>Atlanta</v>
      </c>
      <c r="G1795" s="292">
        <f>'Profits 2016'!N7008-'Profits 2016'!M7008</f>
        <v>0</v>
      </c>
      <c r="H1795" s="331"/>
      <c r="I1795" s="332"/>
      <c r="J1795" s="333"/>
      <c r="K1795" s="333"/>
      <c r="L1795" s="333"/>
      <c r="M1795" s="331"/>
      <c r="N1795" s="334"/>
      <c r="O1795" s="236">
        <f>'Profits 2016'!T7008</f>
        <v>0</v>
      </c>
      <c r="P1795" s="284">
        <f>'Profits 2016'!U7008</f>
        <v>0</v>
      </c>
      <c r="AF1795" s="276">
        <f t="shared" si="203"/>
        <v>0</v>
      </c>
      <c r="AG1795" s="276">
        <f t="shared" si="204"/>
        <v>0</v>
      </c>
      <c r="AH1795" s="276">
        <f t="shared" si="205"/>
        <v>0</v>
      </c>
      <c r="AI1795" s="283" t="e">
        <f t="shared" si="206"/>
        <v>#DIV/0!</v>
      </c>
    </row>
    <row r="1796" spans="1:35" x14ac:dyDescent="0.25">
      <c r="A1796" s="275">
        <f>'Profits 2016'!A7009</f>
        <v>0</v>
      </c>
      <c r="B1796" s="279">
        <f>'Profits 2016'!B7009</f>
        <v>0</v>
      </c>
      <c r="C1796" s="276">
        <f>'Profits 2016'!H7009</f>
        <v>0</v>
      </c>
      <c r="D1796" s="280">
        <f>'Profits 2016'!K7009</f>
        <v>0</v>
      </c>
      <c r="E1796" s="276">
        <f>'Profits 2016'!L7009</f>
        <v>0</v>
      </c>
      <c r="F1796" s="275" t="str">
        <f>'Profits 2016'!P7009</f>
        <v>Atlanta</v>
      </c>
      <c r="G1796" s="292">
        <f>'Profits 2016'!N7009-'Profits 2016'!M7009</f>
        <v>0</v>
      </c>
      <c r="H1796" s="331"/>
      <c r="I1796" s="332"/>
      <c r="J1796" s="333"/>
      <c r="K1796" s="333"/>
      <c r="L1796" s="333"/>
      <c r="M1796" s="331"/>
      <c r="N1796" s="334"/>
      <c r="O1796" s="236">
        <f>'Profits 2016'!T7009</f>
        <v>0</v>
      </c>
      <c r="P1796" s="284">
        <f>'Profits 2016'!U7009</f>
        <v>0</v>
      </c>
      <c r="AF1796" s="276">
        <f t="shared" si="203"/>
        <v>0</v>
      </c>
      <c r="AG1796" s="276">
        <f t="shared" si="204"/>
        <v>0</v>
      </c>
      <c r="AH1796" s="276">
        <f t="shared" si="205"/>
        <v>0</v>
      </c>
      <c r="AI1796" s="283" t="e">
        <f t="shared" si="206"/>
        <v>#DIV/0!</v>
      </c>
    </row>
    <row r="1797" spans="1:35" ht="30" x14ac:dyDescent="0.25">
      <c r="A1797" s="275">
        <f>'Profits 2016'!A7010</f>
        <v>3005498</v>
      </c>
      <c r="B1797" s="279">
        <f>'Profits 2016'!B7010</f>
        <v>42684</v>
      </c>
      <c r="C1797" s="276">
        <f>'Profits 2016'!H7010</f>
        <v>400</v>
      </c>
      <c r="D1797" s="280">
        <f>'Profits 2016'!K7010</f>
        <v>392.1</v>
      </c>
      <c r="E1797" s="276">
        <f>'Profits 2016'!L7010</f>
        <v>1100</v>
      </c>
      <c r="F1797" s="275" t="str">
        <f>'Profits 2016'!P7010</f>
        <v>Nassau</v>
      </c>
      <c r="G1797" s="292">
        <f>'Profits 2016'!N7010-'Profits 2016'!M7010</f>
        <v>220</v>
      </c>
      <c r="H1797" s="319"/>
      <c r="I1797" s="320"/>
      <c r="J1797" s="321"/>
      <c r="K1797" s="321"/>
      <c r="L1797" s="321"/>
      <c r="M1797" s="319"/>
      <c r="N1797" s="322"/>
      <c r="O1797" s="236" t="str">
        <f>'Profits 2016'!T7010</f>
        <v>FEDEX GROUND</v>
      </c>
      <c r="P1797" s="284" t="str">
        <f>'Profits 2016'!U7010</f>
        <v>702723292237</v>
      </c>
      <c r="AF1797" s="276">
        <f t="shared" si="203"/>
        <v>220</v>
      </c>
      <c r="AG1797" s="276">
        <f t="shared" si="204"/>
        <v>0</v>
      </c>
      <c r="AH1797" s="276">
        <f t="shared" si="205"/>
        <v>392.1</v>
      </c>
      <c r="AI1797" s="283">
        <f t="shared" si="206"/>
        <v>1.7822727272727275</v>
      </c>
    </row>
    <row r="1798" spans="1:35" ht="30" x14ac:dyDescent="0.25">
      <c r="A1798" s="275">
        <f>'Profits 2016'!A7011</f>
        <v>3005499</v>
      </c>
      <c r="B1798" s="279">
        <f>'Profits 2016'!B7011</f>
        <v>42684</v>
      </c>
      <c r="C1798" s="276">
        <f>'Profits 2016'!H7011</f>
        <v>110</v>
      </c>
      <c r="D1798" s="280">
        <f>'Profits 2016'!K7011</f>
        <v>93.5</v>
      </c>
      <c r="E1798" s="276">
        <f>'Profits 2016'!L7011</f>
        <v>424</v>
      </c>
      <c r="F1798" s="275" t="str">
        <f>'Profits 2016'!P7011</f>
        <v>Nassau</v>
      </c>
      <c r="G1798" s="292">
        <f>'Profits 2016'!N7011-'Profits 2016'!M7011</f>
        <v>42.400000000000006</v>
      </c>
      <c r="H1798" s="319"/>
      <c r="I1798" s="320"/>
      <c r="J1798" s="321"/>
      <c r="K1798" s="321"/>
      <c r="L1798" s="321"/>
      <c r="M1798" s="319"/>
      <c r="N1798" s="322"/>
      <c r="O1798" s="236" t="str">
        <f>'Profits 2016'!T7011</f>
        <v>FEDEX GROUND</v>
      </c>
      <c r="P1798" s="284" t="str">
        <f>'Profits 2016'!U7011</f>
        <v>702723292097</v>
      </c>
      <c r="AF1798" s="276">
        <f t="shared" si="203"/>
        <v>42.400000000000006</v>
      </c>
      <c r="AG1798" s="276">
        <f t="shared" si="204"/>
        <v>0</v>
      </c>
      <c r="AH1798" s="276">
        <f t="shared" si="205"/>
        <v>93.5</v>
      </c>
      <c r="AI1798" s="283">
        <f t="shared" si="206"/>
        <v>2.2051886792452828</v>
      </c>
    </row>
    <row r="1799" spans="1:35" ht="30" x14ac:dyDescent="0.25">
      <c r="A1799" s="275">
        <f>'Profits 2016'!A7012</f>
        <v>3005500</v>
      </c>
      <c r="B1799" s="279">
        <f>'Profits 2016'!B7012</f>
        <v>42684</v>
      </c>
      <c r="C1799" s="276">
        <f>'Profits 2016'!H7012</f>
        <v>185.36</v>
      </c>
      <c r="D1799" s="280">
        <f>'Profits 2016'!K7012</f>
        <v>157.55600000000001</v>
      </c>
      <c r="E1799" s="276">
        <f>'Profits 2016'!L7012</f>
        <v>140</v>
      </c>
      <c r="F1799" s="275" t="str">
        <f>'Profits 2016'!P7012</f>
        <v>Wirexpress</v>
      </c>
      <c r="G1799" s="292">
        <f>'Profits 2016'!N7012-'Profits 2016'!M7012</f>
        <v>70</v>
      </c>
      <c r="H1799" s="331">
        <v>0</v>
      </c>
      <c r="I1799" s="332" t="s">
        <v>15937</v>
      </c>
      <c r="J1799" s="333">
        <v>42684</v>
      </c>
      <c r="K1799" s="333">
        <v>42691</v>
      </c>
      <c r="L1799" s="333"/>
      <c r="M1799" s="331"/>
      <c r="N1799" s="334"/>
      <c r="O1799" s="236" t="str">
        <f>'Profits 2016'!T7012</f>
        <v>FEDEX GROUND</v>
      </c>
      <c r="P1799" s="284" t="str">
        <f>'Profits 2016'!U7012</f>
        <v xml:space="preserve">118391272767691 </v>
      </c>
      <c r="AF1799" s="276">
        <f t="shared" si="203"/>
        <v>70</v>
      </c>
      <c r="AG1799" s="276">
        <f t="shared" si="204"/>
        <v>0</v>
      </c>
      <c r="AH1799" s="276">
        <f t="shared" si="205"/>
        <v>157.55600000000001</v>
      </c>
      <c r="AI1799" s="283">
        <f t="shared" si="206"/>
        <v>2.2508000000000004</v>
      </c>
    </row>
    <row r="1800" spans="1:35" ht="30" x14ac:dyDescent="0.25">
      <c r="A1800" s="275">
        <f>'Profits 2016'!A7013</f>
        <v>3005501</v>
      </c>
      <c r="B1800" s="279">
        <f>'Profits 2016'!B7013</f>
        <v>42684</v>
      </c>
      <c r="C1800" s="276">
        <f>'Profits 2016'!H7013</f>
        <v>100</v>
      </c>
      <c r="D1800" s="280">
        <f>'Profits 2016'!K7013</f>
        <v>85</v>
      </c>
      <c r="E1800" s="276">
        <f>'Profits 2016'!L7013</f>
        <v>900</v>
      </c>
      <c r="F1800" s="275" t="str">
        <f>'Profits 2016'!P7013</f>
        <v>Nassau</v>
      </c>
      <c r="G1800" s="292">
        <f>'Profits 2016'!N7013-'Profits 2016'!M7013</f>
        <v>36</v>
      </c>
      <c r="H1800" s="319"/>
      <c r="I1800" s="320"/>
      <c r="J1800" s="321"/>
      <c r="K1800" s="321"/>
      <c r="L1800" s="321"/>
      <c r="M1800" s="319"/>
      <c r="N1800" s="322"/>
      <c r="O1800" s="236" t="str">
        <f>'Profits 2016'!T7013</f>
        <v>FEDEX GROUND</v>
      </c>
      <c r="P1800" s="284" t="str">
        <f>'Profits 2016'!U7013</f>
        <v>702723292123</v>
      </c>
      <c r="AF1800" s="276">
        <f t="shared" si="203"/>
        <v>36</v>
      </c>
      <c r="AG1800" s="276">
        <f t="shared" si="204"/>
        <v>0</v>
      </c>
      <c r="AH1800" s="276">
        <f t="shared" si="205"/>
        <v>85</v>
      </c>
      <c r="AI1800" s="283">
        <f t="shared" si="206"/>
        <v>2.3611111111111112</v>
      </c>
    </row>
    <row r="1801" spans="1:35" ht="30" x14ac:dyDescent="0.25">
      <c r="A1801" s="275">
        <f>'Profits 2016'!A7014</f>
        <v>3005502</v>
      </c>
      <c r="B1801" s="279">
        <f>'Profits 2016'!B7014</f>
        <v>42684</v>
      </c>
      <c r="C1801" s="276">
        <f>'Profits 2016'!H7014</f>
        <v>101.12</v>
      </c>
      <c r="D1801" s="280">
        <f>'Profits 2016'!K7014</f>
        <v>89.797920000000005</v>
      </c>
      <c r="E1801" s="276">
        <f>'Profits 2016'!L7014</f>
        <v>1180</v>
      </c>
      <c r="F1801" s="275" t="str">
        <f>'Profits 2016'!P7014</f>
        <v>Direct</v>
      </c>
      <c r="G1801" s="292">
        <f>'Profits 2016'!N7014-'Profits 2016'!M7014</f>
        <v>59</v>
      </c>
      <c r="H1801" s="331">
        <v>0</v>
      </c>
      <c r="I1801" s="332">
        <v>76276</v>
      </c>
      <c r="J1801" s="333">
        <v>42685</v>
      </c>
      <c r="K1801" s="333">
        <v>42691</v>
      </c>
      <c r="L1801" s="333">
        <v>42692</v>
      </c>
      <c r="M1801" s="331">
        <v>57.82</v>
      </c>
      <c r="N1801" s="334">
        <v>9439</v>
      </c>
      <c r="O1801" s="236" t="str">
        <f>'Profits 2016'!T7014</f>
        <v>FEDEX GROUND</v>
      </c>
      <c r="P1801" s="284" t="str">
        <f>'Profits 2016'!U7014</f>
        <v>639794970375</v>
      </c>
      <c r="AF1801" s="276">
        <f t="shared" si="203"/>
        <v>59</v>
      </c>
      <c r="AG1801" s="276">
        <f t="shared" si="204"/>
        <v>57.82</v>
      </c>
      <c r="AH1801" s="276">
        <f t="shared" si="205"/>
        <v>31.977920000000005</v>
      </c>
      <c r="AI1801" s="283">
        <f t="shared" si="206"/>
        <v>0.54199864406779674</v>
      </c>
    </row>
    <row r="1802" spans="1:35" ht="30" x14ac:dyDescent="0.25">
      <c r="A1802" s="275">
        <f>'Profits 2016'!A7015</f>
        <v>3005503</v>
      </c>
      <c r="B1802" s="279">
        <f>'Profits 2016'!B7015</f>
        <v>42684</v>
      </c>
      <c r="C1802" s="276">
        <f>'Profits 2016'!H7015</f>
        <v>105</v>
      </c>
      <c r="D1802" s="280">
        <f>'Profits 2016'!K7015</f>
        <v>93.254999999999995</v>
      </c>
      <c r="E1802" s="276">
        <f>'Profits 2016'!L7015</f>
        <v>47</v>
      </c>
      <c r="F1802" s="275" t="str">
        <f>'Profits 2016'!P7015</f>
        <v>Wavenet</v>
      </c>
      <c r="G1802" s="292">
        <f>'Profits 2016'!N7015-'Profits 2016'!M7015</f>
        <v>23.5</v>
      </c>
      <c r="H1802" s="331">
        <v>0</v>
      </c>
      <c r="I1802" s="332">
        <v>1060686</v>
      </c>
      <c r="J1802" s="333">
        <v>42684</v>
      </c>
      <c r="K1802" s="333">
        <v>42692</v>
      </c>
      <c r="L1802" s="333"/>
      <c r="M1802" s="331"/>
      <c r="N1802" s="334"/>
      <c r="O1802" s="236" t="str">
        <f>'Profits 2016'!T7015</f>
        <v>FEDEX GROUND</v>
      </c>
      <c r="P1802" s="284" t="str">
        <f>'Profits 2016'!U7015</f>
        <v>711594075675</v>
      </c>
      <c r="AF1802" s="276">
        <f t="shared" si="203"/>
        <v>23.5</v>
      </c>
      <c r="AG1802" s="276">
        <f t="shared" si="204"/>
        <v>0</v>
      </c>
      <c r="AH1802" s="276">
        <f t="shared" si="205"/>
        <v>93.254999999999995</v>
      </c>
      <c r="AI1802" s="283">
        <f t="shared" si="206"/>
        <v>3.9682978723404254</v>
      </c>
    </row>
    <row r="1803" spans="1:35" ht="30" x14ac:dyDescent="0.25">
      <c r="A1803" s="275">
        <f>'Profits 2016'!A7016</f>
        <v>3005504</v>
      </c>
      <c r="B1803" s="279">
        <f>'Profits 2016'!B7016</f>
        <v>42684</v>
      </c>
      <c r="C1803" s="276">
        <f>'Profits 2016'!H7016</f>
        <v>320</v>
      </c>
      <c r="D1803" s="280">
        <f>'Profits 2016'!K7016</f>
        <v>284.82</v>
      </c>
      <c r="E1803" s="276">
        <f>'Profits 2016'!L7016</f>
        <v>750</v>
      </c>
      <c r="F1803" s="275" t="str">
        <f>'Profits 2016'!P7016</f>
        <v>Nassau</v>
      </c>
      <c r="G1803" s="292">
        <f>'Profits 2016'!N7016-'Profits 2016'!M7016</f>
        <v>187.5</v>
      </c>
      <c r="H1803" s="319"/>
      <c r="I1803" s="320"/>
      <c r="J1803" s="321"/>
      <c r="K1803" s="321"/>
      <c r="L1803" s="321"/>
      <c r="M1803" s="319"/>
      <c r="N1803" s="322"/>
      <c r="O1803" s="236" t="str">
        <f>'Profits 2016'!T7016</f>
        <v>FEDEX GROUND</v>
      </c>
      <c r="P1803" s="284" t="str">
        <f>'Profits 2016'!U7016</f>
        <v>702723292189</v>
      </c>
      <c r="AF1803" s="276">
        <f t="shared" si="203"/>
        <v>187.5</v>
      </c>
      <c r="AG1803" s="276">
        <f t="shared" si="204"/>
        <v>0</v>
      </c>
      <c r="AH1803" s="276">
        <f t="shared" si="205"/>
        <v>284.82</v>
      </c>
      <c r="AI1803" s="283">
        <f t="shared" si="206"/>
        <v>1.5190399999999999</v>
      </c>
    </row>
    <row r="1804" spans="1:35" ht="30" x14ac:dyDescent="0.25">
      <c r="A1804" s="275">
        <f>'Profits 2016'!A7017</f>
        <v>3005505</v>
      </c>
      <c r="B1804" s="279">
        <f>'Profits 2016'!B7017</f>
        <v>42684</v>
      </c>
      <c r="C1804" s="276">
        <f>'Profits 2016'!H7017</f>
        <v>1730</v>
      </c>
      <c r="D1804" s="280">
        <f>'Profits 2016'!K7017</f>
        <v>1541.1299999999999</v>
      </c>
      <c r="E1804" s="276">
        <f>'Profits 2016'!L7017</f>
        <v>1100</v>
      </c>
      <c r="F1804" s="275" t="str">
        <f>'Profits 2016'!P7017</f>
        <v>Direct</v>
      </c>
      <c r="G1804" s="292">
        <f>'Profits 2016'!N7017-'Profits 2016'!M7017</f>
        <v>550</v>
      </c>
      <c r="H1804" s="331">
        <v>0</v>
      </c>
      <c r="I1804" s="332">
        <v>76221</v>
      </c>
      <c r="J1804" s="333">
        <v>42685</v>
      </c>
      <c r="K1804" s="333">
        <v>42691</v>
      </c>
      <c r="L1804" s="333">
        <v>42692</v>
      </c>
      <c r="M1804" s="331">
        <v>1078</v>
      </c>
      <c r="N1804" s="334">
        <v>9439</v>
      </c>
      <c r="O1804" s="236" t="str">
        <f>'Profits 2016'!T7017</f>
        <v>FEDEX PRIORITY</v>
      </c>
      <c r="P1804" s="284" t="str">
        <f>'Profits 2016'!U7017</f>
        <v>399050298-3</v>
      </c>
      <c r="AF1804" s="276">
        <f t="shared" si="203"/>
        <v>550</v>
      </c>
      <c r="AG1804" s="276">
        <f t="shared" si="204"/>
        <v>1078</v>
      </c>
      <c r="AH1804" s="276">
        <f t="shared" si="205"/>
        <v>463.12999999999988</v>
      </c>
      <c r="AI1804" s="283">
        <f t="shared" si="206"/>
        <v>0.84205454545454528</v>
      </c>
    </row>
    <row r="1805" spans="1:35" x14ac:dyDescent="0.25">
      <c r="A1805" s="275">
        <f>'Profits 2016'!A7018</f>
        <v>0</v>
      </c>
      <c r="B1805" s="279">
        <f>'Profits 2016'!B7018</f>
        <v>0</v>
      </c>
      <c r="C1805" s="276">
        <f>'Profits 2016'!H7018</f>
        <v>0</v>
      </c>
      <c r="D1805" s="280">
        <f>'Profits 2016'!K7018</f>
        <v>0</v>
      </c>
      <c r="E1805" s="276">
        <f>'Profits 2016'!L7018</f>
        <v>1100</v>
      </c>
      <c r="F1805" s="275" t="str">
        <f>'Profits 2016'!P7018</f>
        <v>DIrect</v>
      </c>
      <c r="G1805" s="292">
        <f>'Profits 2016'!N7018-'Profits 2016'!M7018</f>
        <v>550</v>
      </c>
      <c r="H1805" s="331">
        <v>0</v>
      </c>
      <c r="I1805" s="332">
        <v>76221</v>
      </c>
      <c r="J1805" s="333">
        <v>42685</v>
      </c>
      <c r="K1805" s="333">
        <v>42691</v>
      </c>
      <c r="L1805" s="333">
        <v>42692</v>
      </c>
      <c r="M1805" s="331">
        <v>0</v>
      </c>
      <c r="N1805" s="334">
        <v>9439</v>
      </c>
      <c r="O1805" s="236">
        <f>'Profits 2016'!T7018</f>
        <v>0</v>
      </c>
      <c r="P1805" s="284">
        <f>'Profits 2016'!U7018</f>
        <v>0</v>
      </c>
      <c r="AF1805" s="276">
        <f t="shared" si="203"/>
        <v>550</v>
      </c>
      <c r="AG1805" s="276">
        <f t="shared" si="204"/>
        <v>0</v>
      </c>
      <c r="AH1805" s="276">
        <f t="shared" si="205"/>
        <v>0</v>
      </c>
      <c r="AI1805" s="283">
        <f t="shared" si="206"/>
        <v>0</v>
      </c>
    </row>
    <row r="1806" spans="1:35" ht="30" x14ac:dyDescent="0.25">
      <c r="A1806" s="275">
        <f>'Profits 2016'!A7019</f>
        <v>3005506</v>
      </c>
      <c r="B1806" s="279">
        <f>'Profits 2016'!B7019</f>
        <v>42684</v>
      </c>
      <c r="C1806" s="276">
        <f>'Profits 2016'!H7019</f>
        <v>291.85000000000002</v>
      </c>
      <c r="D1806" s="280">
        <f>'Profits 2016'!K7019</f>
        <v>259.73835000000003</v>
      </c>
      <c r="E1806" s="276">
        <f>'Profits 2016'!L7019</f>
        <v>300</v>
      </c>
      <c r="F1806" s="275" t="str">
        <f>'Profits 2016'!P7019</f>
        <v>Nassau</v>
      </c>
      <c r="G1806" s="292">
        <f>'Profits 2016'!N7019-'Profits 2016'!M7019</f>
        <v>150</v>
      </c>
      <c r="H1806" s="319"/>
      <c r="I1806" s="320"/>
      <c r="J1806" s="321"/>
      <c r="K1806" s="321"/>
      <c r="L1806" s="321"/>
      <c r="M1806" s="319"/>
      <c r="N1806" s="322"/>
      <c r="O1806" s="236" t="str">
        <f>'Profits 2016'!T7019</f>
        <v>FEDEX GROUND</v>
      </c>
      <c r="P1806" s="284" t="str">
        <f>'Profits 2016'!U7019</f>
        <v>702723292204</v>
      </c>
      <c r="AF1806" s="276">
        <f t="shared" si="203"/>
        <v>150</v>
      </c>
      <c r="AG1806" s="276">
        <f t="shared" si="204"/>
        <v>0</v>
      </c>
      <c r="AH1806" s="276">
        <f t="shared" si="205"/>
        <v>259.73835000000003</v>
      </c>
      <c r="AI1806" s="283">
        <f t="shared" si="206"/>
        <v>1.7315890000000003</v>
      </c>
    </row>
    <row r="1807" spans="1:35" ht="30" x14ac:dyDescent="0.25">
      <c r="A1807" s="275">
        <f>'Profits 2016'!A7020</f>
        <v>3005507</v>
      </c>
      <c r="B1807" s="279">
        <f>'Profits 2016'!B7020</f>
        <v>42684</v>
      </c>
      <c r="C1807" s="276">
        <f>'Profits 2016'!H7020</f>
        <v>254</v>
      </c>
      <c r="D1807" s="280">
        <f>'Profits 2016'!K7020</f>
        <v>226.01399999999998</v>
      </c>
      <c r="E1807" s="276">
        <f>'Profits 2016'!L7020</f>
        <v>400</v>
      </c>
      <c r="F1807" s="275" t="str">
        <f>'Profits 2016'!P7020</f>
        <v>Nassau</v>
      </c>
      <c r="G1807" s="292">
        <f>'Profits 2016'!N7020-'Profits 2016'!M7020</f>
        <v>100</v>
      </c>
      <c r="H1807" s="319"/>
      <c r="I1807" s="320"/>
      <c r="J1807" s="321"/>
      <c r="K1807" s="321"/>
      <c r="L1807" s="321"/>
      <c r="M1807" s="319"/>
      <c r="N1807" s="322"/>
      <c r="O1807" s="236" t="str">
        <f>'Profits 2016'!T7020</f>
        <v>FEDEX GROUND</v>
      </c>
      <c r="P1807" s="284" t="str">
        <f>'Profits 2016'!U7020</f>
        <v>702723292156</v>
      </c>
      <c r="AF1807" s="276">
        <f t="shared" si="203"/>
        <v>100</v>
      </c>
      <c r="AG1807" s="276">
        <f t="shared" si="204"/>
        <v>0</v>
      </c>
      <c r="AH1807" s="276">
        <f t="shared" si="205"/>
        <v>226.01399999999998</v>
      </c>
      <c r="AI1807" s="283">
        <f t="shared" si="206"/>
        <v>2.2601399999999998</v>
      </c>
    </row>
    <row r="1808" spans="1:35" ht="30" x14ac:dyDescent="0.25">
      <c r="A1808" s="275">
        <f>'Profits 2016'!A7021</f>
        <v>3005508</v>
      </c>
      <c r="B1808" s="279">
        <f>'Profits 2016'!B7021</f>
        <v>42684</v>
      </c>
      <c r="C1808" s="276">
        <f>'Profits 2016'!H7021</f>
        <v>334.62</v>
      </c>
      <c r="D1808" s="280">
        <f>'Profits 2016'!K7021</f>
        <v>297.84642000000002</v>
      </c>
      <c r="E1808" s="276">
        <f>'Profits 2016'!L7021</f>
        <v>0</v>
      </c>
      <c r="F1808" s="275" t="str">
        <f>'Profits 2016'!P7021</f>
        <v>Nassau</v>
      </c>
      <c r="G1808" s="292">
        <f>'Profits 2016'!N7021-'Profits 2016'!M7021</f>
        <v>0</v>
      </c>
      <c r="H1808" s="319"/>
      <c r="I1808" s="320"/>
      <c r="J1808" s="321"/>
      <c r="K1808" s="321"/>
      <c r="L1808" s="321"/>
      <c r="M1808" s="319"/>
      <c r="N1808" s="322"/>
      <c r="O1808" s="236" t="str">
        <f>'Profits 2016'!T7021</f>
        <v>FEDEX GROUND</v>
      </c>
      <c r="P1808" s="284" t="str">
        <f>'Profits 2016'!U7021</f>
        <v>702723292190</v>
      </c>
      <c r="AF1808" s="276">
        <f t="shared" si="203"/>
        <v>0</v>
      </c>
      <c r="AG1808" s="276">
        <f t="shared" si="204"/>
        <v>0</v>
      </c>
      <c r="AH1808" s="276">
        <f t="shared" si="205"/>
        <v>297.84642000000002</v>
      </c>
      <c r="AI1808" s="283" t="e">
        <f t="shared" si="206"/>
        <v>#DIV/0!</v>
      </c>
    </row>
    <row r="1809" spans="1:35" ht="30" x14ac:dyDescent="0.25">
      <c r="A1809" s="275">
        <f>'Profits 2016'!A7022</f>
        <v>3005509</v>
      </c>
      <c r="B1809" s="279">
        <f>'Profits 2016'!B7022</f>
        <v>42684</v>
      </c>
      <c r="C1809" s="276">
        <f>'Profits 2016'!H7022</f>
        <v>98.4</v>
      </c>
      <c r="D1809" s="280">
        <f>'Profits 2016'!K7022</f>
        <v>87.374400000000009</v>
      </c>
      <c r="E1809" s="276">
        <f>'Profits 2016'!L7022</f>
        <v>424</v>
      </c>
      <c r="F1809" s="275" t="str">
        <f>'Profits 2016'!P7022</f>
        <v>Nassau</v>
      </c>
      <c r="G1809" s="292">
        <f>'Profits 2016'!N7022-'Profits 2016'!M7022</f>
        <v>33.92</v>
      </c>
      <c r="H1809" s="319"/>
      <c r="I1809" s="320"/>
      <c r="J1809" s="321"/>
      <c r="K1809" s="321"/>
      <c r="L1809" s="321"/>
      <c r="M1809" s="319"/>
      <c r="N1809" s="322"/>
      <c r="O1809" s="236" t="str">
        <f>'Profits 2016'!T7022</f>
        <v>FEDEX GROUND</v>
      </c>
      <c r="P1809" s="284" t="str">
        <f>'Profits 2016'!U7022</f>
        <v>702723292101</v>
      </c>
      <c r="AF1809" s="276">
        <f t="shared" si="203"/>
        <v>33.92</v>
      </c>
      <c r="AG1809" s="276">
        <f t="shared" si="204"/>
        <v>0</v>
      </c>
      <c r="AH1809" s="276">
        <f t="shared" si="205"/>
        <v>87.374400000000009</v>
      </c>
      <c r="AI1809" s="283">
        <f t="shared" si="206"/>
        <v>2.5758962264150944</v>
      </c>
    </row>
    <row r="1810" spans="1:35" ht="30" x14ac:dyDescent="0.25">
      <c r="A1810" s="275">
        <f>'Profits 2016'!A7023</f>
        <v>3005510</v>
      </c>
      <c r="B1810" s="279">
        <f>'Profits 2016'!B7023</f>
        <v>42684</v>
      </c>
      <c r="C1810" s="276">
        <f>'Profits 2016'!H7023</f>
        <v>286.7</v>
      </c>
      <c r="D1810" s="280">
        <f>'Profits 2016'!K7023</f>
        <v>255.1497</v>
      </c>
      <c r="E1810" s="276">
        <f>'Profits 2016'!L7023</f>
        <v>442.03</v>
      </c>
      <c r="F1810" s="275" t="str">
        <f>'Profits 2016'!P7023</f>
        <v>Thea</v>
      </c>
      <c r="G1810" s="292">
        <f>'Profits 2016'!N7023-'Profits 2016'!M7023</f>
        <v>176.81200000000001</v>
      </c>
      <c r="H1810" s="319"/>
      <c r="I1810" s="320"/>
      <c r="J1810" s="321"/>
      <c r="K1810" s="321"/>
      <c r="L1810" s="321"/>
      <c r="M1810" s="319"/>
      <c r="N1810" s="322"/>
      <c r="O1810" s="236" t="str">
        <f>'Profits 2016'!T7023</f>
        <v>FEDEX GROUND</v>
      </c>
      <c r="P1810" s="284" t="str">
        <f>'Profits 2016'!U7023</f>
        <v>675157531959</v>
      </c>
      <c r="AF1810" s="276">
        <f t="shared" si="203"/>
        <v>176.81200000000001</v>
      </c>
      <c r="AG1810" s="276">
        <f t="shared" si="204"/>
        <v>0</v>
      </c>
      <c r="AH1810" s="276">
        <f t="shared" si="205"/>
        <v>255.1497</v>
      </c>
      <c r="AI1810" s="283">
        <f t="shared" si="206"/>
        <v>1.44305646675565</v>
      </c>
    </row>
    <row r="1811" spans="1:35" ht="30" x14ac:dyDescent="0.25">
      <c r="A1811" s="275">
        <f>'Profits 2016'!A7024</f>
        <v>3005511</v>
      </c>
      <c r="B1811" s="279">
        <f>'Profits 2016'!B7024</f>
        <v>42684</v>
      </c>
      <c r="C1811" s="276">
        <f>'Profits 2016'!H7024</f>
        <v>200.08</v>
      </c>
      <c r="D1811" s="280">
        <f>'Profits 2016'!K7024</f>
        <v>177.97128000000001</v>
      </c>
      <c r="E1811" s="276">
        <f>'Profits 2016'!L7024</f>
        <v>950</v>
      </c>
      <c r="F1811" s="275" t="str">
        <f>'Profits 2016'!P7024</f>
        <v>Nassau</v>
      </c>
      <c r="G1811" s="292">
        <f>'Profits 2016'!N7024-'Profits 2016'!M7024</f>
        <v>95</v>
      </c>
      <c r="H1811" s="319"/>
      <c r="I1811" s="320"/>
      <c r="J1811" s="321"/>
      <c r="K1811" s="321"/>
      <c r="L1811" s="321"/>
      <c r="M1811" s="319"/>
      <c r="N1811" s="322"/>
      <c r="O1811" s="236" t="str">
        <f>'Profits 2016'!T7024</f>
        <v>FEDEX GROUND</v>
      </c>
      <c r="P1811" s="284" t="str">
        <f>'Profits 2016'!U7024</f>
        <v>702723292178</v>
      </c>
      <c r="AF1811" s="276">
        <f t="shared" si="203"/>
        <v>95</v>
      </c>
      <c r="AG1811" s="276">
        <f t="shared" si="204"/>
        <v>0</v>
      </c>
      <c r="AH1811" s="276">
        <f t="shared" si="205"/>
        <v>177.97128000000001</v>
      </c>
      <c r="AI1811" s="283">
        <f t="shared" si="206"/>
        <v>1.8733818947368421</v>
      </c>
    </row>
    <row r="1812" spans="1:35" ht="30" x14ac:dyDescent="0.25">
      <c r="A1812" s="275">
        <f>'Profits 2016'!A7025</f>
        <v>3005512</v>
      </c>
      <c r="B1812" s="279">
        <f>'Profits 2016'!B7025</f>
        <v>42684</v>
      </c>
      <c r="C1812" s="276">
        <f>'Profits 2016'!H7025</f>
        <v>280.67</v>
      </c>
      <c r="D1812" s="280">
        <f>'Profits 2016'!K7025</f>
        <v>249.77697000000001</v>
      </c>
      <c r="E1812" s="276">
        <f>'Profits 2016'!L7025</f>
        <v>1160</v>
      </c>
      <c r="F1812" s="275" t="str">
        <f>'Profits 2016'!P7025</f>
        <v>Direct</v>
      </c>
      <c r="G1812" s="292">
        <f>'Profits 2016'!N7025-'Profits 2016'!M7025</f>
        <v>174</v>
      </c>
      <c r="H1812" s="331">
        <v>0</v>
      </c>
      <c r="I1812" s="332">
        <v>76288</v>
      </c>
      <c r="J1812" s="333">
        <v>42685</v>
      </c>
      <c r="K1812" s="333">
        <v>42691</v>
      </c>
      <c r="L1812" s="333">
        <v>42692</v>
      </c>
      <c r="M1812" s="331">
        <v>170.52</v>
      </c>
      <c r="N1812" s="334">
        <v>9440</v>
      </c>
      <c r="O1812" s="236" t="str">
        <f>'Profits 2016'!T7025</f>
        <v>FEDEX GROUND</v>
      </c>
      <c r="P1812" s="284" t="str">
        <f>'Profits 2016'!U7025</f>
        <v>630512245751</v>
      </c>
      <c r="AF1812" s="276">
        <f t="shared" si="203"/>
        <v>174</v>
      </c>
      <c r="AG1812" s="276">
        <f t="shared" si="204"/>
        <v>170.52</v>
      </c>
      <c r="AH1812" s="276">
        <f t="shared" si="205"/>
        <v>79.256969999999995</v>
      </c>
      <c r="AI1812" s="283">
        <f t="shared" si="206"/>
        <v>0.45549982758620688</v>
      </c>
    </row>
    <row r="1813" spans="1:35" ht="30" x14ac:dyDescent="0.25">
      <c r="A1813" s="275">
        <f>'Profits 2016'!A7026</f>
        <v>3005513</v>
      </c>
      <c r="B1813" s="279">
        <f>'Profits 2016'!B7026</f>
        <v>42684</v>
      </c>
      <c r="C1813" s="276">
        <f>'Profits 2016'!H7026</f>
        <v>159.38999999999999</v>
      </c>
      <c r="D1813" s="280">
        <f>'Profits 2016'!K7026</f>
        <v>135.48149999999998</v>
      </c>
      <c r="E1813" s="276">
        <f>'Profits 2016'!L7026</f>
        <v>2200</v>
      </c>
      <c r="F1813" s="275" t="str">
        <f>'Profits 2016'!P7026</f>
        <v>Direct</v>
      </c>
      <c r="G1813" s="292">
        <f>'Profits 2016'!N7026-'Profits 2016'!M7026</f>
        <v>55</v>
      </c>
      <c r="H1813" s="331">
        <v>0</v>
      </c>
      <c r="I1813" s="332">
        <v>76312</v>
      </c>
      <c r="J1813" s="333">
        <v>42688</v>
      </c>
      <c r="K1813" s="333">
        <v>42691</v>
      </c>
      <c r="L1813" s="333">
        <v>42697</v>
      </c>
      <c r="M1813" s="331">
        <v>107.8</v>
      </c>
      <c r="N1813" s="334">
        <v>9466</v>
      </c>
      <c r="O1813" s="236" t="str">
        <f>'Profits 2016'!T7026</f>
        <v>FEDEX GROUND</v>
      </c>
      <c r="P1813" s="284" t="str">
        <f>'Profits 2016'!U7026</f>
        <v>639564016710</v>
      </c>
      <c r="AF1813" s="276">
        <f t="shared" si="203"/>
        <v>55</v>
      </c>
      <c r="AG1813" s="276">
        <f t="shared" si="204"/>
        <v>107.8</v>
      </c>
      <c r="AH1813" s="276">
        <f t="shared" si="205"/>
        <v>27.681499999999986</v>
      </c>
      <c r="AI1813" s="283">
        <f t="shared" si="206"/>
        <v>0.50329999999999975</v>
      </c>
    </row>
    <row r="1814" spans="1:35" x14ac:dyDescent="0.25">
      <c r="A1814" s="275">
        <f>'Profits 2016'!A7027</f>
        <v>0</v>
      </c>
      <c r="B1814" s="279">
        <f>'Profits 2016'!B7027</f>
        <v>0</v>
      </c>
      <c r="C1814" s="276">
        <f>'Profits 2016'!H7027</f>
        <v>0</v>
      </c>
      <c r="D1814" s="280">
        <f>'Profits 2016'!K7027</f>
        <v>0</v>
      </c>
      <c r="E1814" s="276">
        <f>'Profits 2016'!L7027</f>
        <v>2200</v>
      </c>
      <c r="F1814" s="275" t="str">
        <f>'Profits 2016'!P7027</f>
        <v>Direct</v>
      </c>
      <c r="G1814" s="292">
        <f>'Profits 2016'!N7027-'Profits 2016'!M7027</f>
        <v>55</v>
      </c>
      <c r="H1814" s="331">
        <v>0</v>
      </c>
      <c r="I1814" s="332">
        <v>76312</v>
      </c>
      <c r="J1814" s="333">
        <v>42688</v>
      </c>
      <c r="K1814" s="333">
        <v>42691</v>
      </c>
      <c r="L1814" s="333">
        <v>42697</v>
      </c>
      <c r="M1814" s="331">
        <v>0</v>
      </c>
      <c r="N1814" s="334">
        <v>9466</v>
      </c>
      <c r="O1814" s="236">
        <f>'Profits 2016'!T7027</f>
        <v>0</v>
      </c>
      <c r="P1814" s="284">
        <f>'Profits 2016'!U7027</f>
        <v>0</v>
      </c>
      <c r="AF1814" s="276">
        <f t="shared" si="203"/>
        <v>55</v>
      </c>
      <c r="AG1814" s="276">
        <f t="shared" si="204"/>
        <v>0</v>
      </c>
      <c r="AH1814" s="276">
        <f t="shared" si="205"/>
        <v>0</v>
      </c>
      <c r="AI1814" s="283">
        <f t="shared" si="206"/>
        <v>0</v>
      </c>
    </row>
    <row r="1815" spans="1:35" ht="30" x14ac:dyDescent="0.25">
      <c r="A1815" s="275">
        <f>'Profits 2016'!A7028</f>
        <v>3005514</v>
      </c>
      <c r="B1815" s="279">
        <f>'Profits 2016'!B7028</f>
        <v>42684</v>
      </c>
      <c r="C1815" s="276">
        <f>'Profits 2016'!H7028</f>
        <v>1227.5</v>
      </c>
      <c r="D1815" s="280">
        <f>'Profits 2016'!K7028</f>
        <v>1187.3062500000001</v>
      </c>
      <c r="E1815" s="276">
        <f>'Profits 2016'!L7028</f>
        <v>1322</v>
      </c>
      <c r="F1815" s="275" t="str">
        <f>'Profits 2016'!P7028</f>
        <v>Thea</v>
      </c>
      <c r="G1815" s="292">
        <f>'Profits 2016'!N7028-'Profits 2016'!M7028</f>
        <v>198.29999999999998</v>
      </c>
      <c r="H1815" s="319"/>
      <c r="I1815" s="320"/>
      <c r="J1815" s="321"/>
      <c r="K1815" s="321"/>
      <c r="L1815" s="321"/>
      <c r="M1815" s="319"/>
      <c r="N1815" s="322"/>
      <c r="O1815" s="236" t="str">
        <f>'Profits 2016'!T7028</f>
        <v>FEDEX GROUND</v>
      </c>
      <c r="P1815" s="284" t="str">
        <f>'Profits 2016'!U7028</f>
        <v>675157531926</v>
      </c>
      <c r="AF1815" s="276">
        <f t="shared" si="203"/>
        <v>198.29999999999998</v>
      </c>
      <c r="AG1815" s="276">
        <f t="shared" si="204"/>
        <v>0</v>
      </c>
      <c r="AH1815" s="276">
        <f t="shared" si="205"/>
        <v>1187.3062500000001</v>
      </c>
      <c r="AI1815" s="283">
        <f t="shared" si="206"/>
        <v>5.9874243570347971</v>
      </c>
    </row>
    <row r="1816" spans="1:35" ht="45" x14ac:dyDescent="0.25">
      <c r="A1816" s="275">
        <f>'Profits 2016'!A7029</f>
        <v>0</v>
      </c>
      <c r="B1816" s="279">
        <f>'Profits 2016'!B7029</f>
        <v>0</v>
      </c>
      <c r="C1816" s="276">
        <f>'Profits 2016'!H7029</f>
        <v>0</v>
      </c>
      <c r="D1816" s="280">
        <f>'Profits 2016'!K7029</f>
        <v>0</v>
      </c>
      <c r="E1816" s="276">
        <f>'Profits 2016'!L7029</f>
        <v>1065</v>
      </c>
      <c r="F1816" s="275" t="str">
        <f>'Profits 2016'!P7029</f>
        <v>General</v>
      </c>
      <c r="G1816" s="292">
        <f>'Profits 2016'!N7029-'Profits 2016'!M7029</f>
        <v>532.5</v>
      </c>
      <c r="H1816" s="331">
        <v>0</v>
      </c>
      <c r="I1816" s="332">
        <v>3788529</v>
      </c>
      <c r="J1816" s="333">
        <v>42685</v>
      </c>
      <c r="K1816" s="333">
        <v>42692</v>
      </c>
      <c r="L1816" s="333"/>
      <c r="M1816" s="331"/>
      <c r="N1816" s="334"/>
      <c r="O1816" s="236" t="str">
        <f>'Profits 2016'!T7029</f>
        <v>FEDEX FREIGHT PRIORITY</v>
      </c>
      <c r="P1816" s="284" t="str">
        <f>'Profits 2016'!U7029</f>
        <v>4107990051</v>
      </c>
      <c r="Q1816" s="284" t="s">
        <v>15741</v>
      </c>
      <c r="R1816" s="276">
        <v>87</v>
      </c>
      <c r="S1816" s="275">
        <v>3788529</v>
      </c>
      <c r="T1816" s="279">
        <v>42685</v>
      </c>
      <c r="U1816" s="279">
        <v>42692</v>
      </c>
      <c r="AF1816" s="276">
        <f t="shared" si="203"/>
        <v>619.5</v>
      </c>
      <c r="AG1816" s="276">
        <f t="shared" si="204"/>
        <v>87</v>
      </c>
      <c r="AH1816" s="276">
        <f t="shared" si="205"/>
        <v>-87</v>
      </c>
      <c r="AI1816" s="283">
        <f t="shared" si="206"/>
        <v>-0.14043583535108958</v>
      </c>
    </row>
    <row r="1817" spans="1:35" ht="30" x14ac:dyDescent="0.25">
      <c r="A1817" s="275">
        <f>'Profits 2016'!A7030</f>
        <v>3005515</v>
      </c>
      <c r="B1817" s="279">
        <f>'Profits 2016'!B7030</f>
        <v>42684</v>
      </c>
      <c r="C1817" s="276">
        <f>'Profits 2016'!H7030</f>
        <v>3630</v>
      </c>
      <c r="D1817" s="280">
        <f>'Profits 2016'!K7030</f>
        <v>3630</v>
      </c>
      <c r="E1817" s="276">
        <f>'Profits 2016'!L7030</f>
        <v>165</v>
      </c>
      <c r="F1817" s="275" t="str">
        <f>'Profits 2016'!P7030</f>
        <v>Commodity</v>
      </c>
      <c r="G1817" s="292">
        <f>'Profits 2016'!N7030-'Profits 2016'!M7030</f>
        <v>825</v>
      </c>
      <c r="H1817" s="331">
        <v>0</v>
      </c>
      <c r="I1817" s="332" t="s">
        <v>15938</v>
      </c>
      <c r="J1817" s="333">
        <v>42684</v>
      </c>
      <c r="K1817" s="333">
        <v>42692</v>
      </c>
      <c r="L1817" s="333">
        <v>42697</v>
      </c>
      <c r="M1817" s="331">
        <v>2425.5</v>
      </c>
      <c r="N1817" s="334">
        <v>9492</v>
      </c>
      <c r="O1817" s="236" t="str">
        <f>'Profits 2016'!T7030</f>
        <v>VOLUNTEER EXPRESS</v>
      </c>
      <c r="P1817" s="284" t="str">
        <f>'Profits 2016'!U7030</f>
        <v>0080288974</v>
      </c>
      <c r="AF1817" s="276">
        <f t="shared" si="203"/>
        <v>825</v>
      </c>
      <c r="AG1817" s="276">
        <f t="shared" si="204"/>
        <v>2425.5</v>
      </c>
      <c r="AH1817" s="276">
        <f t="shared" si="205"/>
        <v>1204.5</v>
      </c>
      <c r="AI1817" s="283">
        <f t="shared" si="206"/>
        <v>1.46</v>
      </c>
    </row>
    <row r="1818" spans="1:35" x14ac:dyDescent="0.25">
      <c r="A1818" s="275">
        <f>'Profits 2016'!A7031</f>
        <v>0</v>
      </c>
      <c r="B1818" s="279">
        <f>'Profits 2016'!B7031</f>
        <v>0</v>
      </c>
      <c r="C1818" s="276">
        <f>'Profits 2016'!H7031</f>
        <v>0</v>
      </c>
      <c r="D1818" s="280">
        <f>'Profits 2016'!K7031</f>
        <v>0</v>
      </c>
      <c r="E1818" s="276">
        <f>'Profits 2016'!L7031</f>
        <v>165</v>
      </c>
      <c r="F1818" s="275" t="str">
        <f>'Profits 2016'!P7031</f>
        <v>Commodity</v>
      </c>
      <c r="G1818" s="292">
        <f>'Profits 2016'!N7031-'Profits 2016'!M7031</f>
        <v>825</v>
      </c>
      <c r="H1818" s="331">
        <v>0</v>
      </c>
      <c r="I1818" s="332" t="s">
        <v>15938</v>
      </c>
      <c r="J1818" s="333">
        <v>42684</v>
      </c>
      <c r="K1818" s="333">
        <v>42692</v>
      </c>
      <c r="L1818" s="333">
        <v>42697</v>
      </c>
      <c r="M1818" s="331">
        <v>0</v>
      </c>
      <c r="N1818" s="334">
        <v>9492</v>
      </c>
      <c r="O1818" s="236">
        <f>'Profits 2016'!T7031</f>
        <v>0</v>
      </c>
      <c r="P1818" s="284">
        <f>'Profits 2016'!U7031</f>
        <v>0</v>
      </c>
      <c r="AF1818" s="276">
        <f t="shared" si="203"/>
        <v>825</v>
      </c>
      <c r="AG1818" s="276">
        <f t="shared" si="204"/>
        <v>0</v>
      </c>
      <c r="AH1818" s="276">
        <f t="shared" si="205"/>
        <v>0</v>
      </c>
      <c r="AI1818" s="283">
        <f t="shared" si="206"/>
        <v>0</v>
      </c>
    </row>
    <row r="1819" spans="1:35" x14ac:dyDescent="0.25">
      <c r="A1819" s="275">
        <f>'Profits 2016'!A7032</f>
        <v>0</v>
      </c>
      <c r="B1819" s="279">
        <f>'Profits 2016'!B7032</f>
        <v>0</v>
      </c>
      <c r="C1819" s="276">
        <f>'Profits 2016'!H7032</f>
        <v>0</v>
      </c>
      <c r="D1819" s="280">
        <f>'Profits 2016'!K7032</f>
        <v>0</v>
      </c>
      <c r="E1819" s="276">
        <f>'Profits 2016'!L7032</f>
        <v>165</v>
      </c>
      <c r="F1819" s="275" t="str">
        <f>'Profits 2016'!P7032</f>
        <v>Commodity</v>
      </c>
      <c r="G1819" s="292">
        <f>'Profits 2016'!N7032-'Profits 2016'!M7032</f>
        <v>825</v>
      </c>
      <c r="H1819" s="331">
        <v>0</v>
      </c>
      <c r="I1819" s="332" t="s">
        <v>15938</v>
      </c>
      <c r="J1819" s="333">
        <v>42684</v>
      </c>
      <c r="K1819" s="333">
        <v>42692</v>
      </c>
      <c r="L1819" s="333">
        <v>42697</v>
      </c>
      <c r="M1819" s="331">
        <v>0</v>
      </c>
      <c r="N1819" s="334">
        <v>9492</v>
      </c>
      <c r="O1819" s="236">
        <f>'Profits 2016'!T7032</f>
        <v>0</v>
      </c>
      <c r="P1819" s="284">
        <f>'Profits 2016'!U7032</f>
        <v>0</v>
      </c>
      <c r="AF1819" s="276">
        <f t="shared" si="203"/>
        <v>825</v>
      </c>
      <c r="AG1819" s="276">
        <f t="shared" si="204"/>
        <v>0</v>
      </c>
      <c r="AH1819" s="276">
        <f t="shared" si="205"/>
        <v>0</v>
      </c>
      <c r="AI1819" s="283">
        <f t="shared" si="206"/>
        <v>0</v>
      </c>
    </row>
    <row r="1820" spans="1:35" x14ac:dyDescent="0.25">
      <c r="A1820" s="275">
        <f>'Profits 2016'!A7033</f>
        <v>3005516</v>
      </c>
      <c r="B1820" s="279">
        <f>'Profits 2016'!B7033</f>
        <v>42684</v>
      </c>
      <c r="C1820" s="276">
        <f>'Profits 2016'!H7033</f>
        <v>0</v>
      </c>
      <c r="D1820" s="280">
        <f>'Profits 2016'!K7033</f>
        <v>0</v>
      </c>
      <c r="E1820" s="276">
        <f>'Profits 2016'!L7033</f>
        <v>950</v>
      </c>
      <c r="F1820" s="275" t="str">
        <f>'Profits 2016'!P7033</f>
        <v>Gaffney</v>
      </c>
      <c r="G1820" s="292">
        <f>'Profits 2016'!N7033-'Profits 2016'!M7033</f>
        <v>1083.0000000000002</v>
      </c>
      <c r="H1820" s="331"/>
      <c r="I1820" s="332"/>
      <c r="J1820" s="333"/>
      <c r="K1820" s="333"/>
      <c r="L1820" s="333"/>
      <c r="M1820" s="331"/>
      <c r="N1820" s="334"/>
      <c r="O1820" s="236">
        <f>'Profits 2016'!T7033</f>
        <v>0</v>
      </c>
      <c r="P1820" s="284">
        <f>'Profits 2016'!U7033</f>
        <v>0</v>
      </c>
      <c r="AF1820" s="276">
        <f t="shared" si="203"/>
        <v>1083.0000000000002</v>
      </c>
      <c r="AG1820" s="276">
        <f t="shared" si="204"/>
        <v>0</v>
      </c>
      <c r="AH1820" s="276">
        <f t="shared" si="205"/>
        <v>0</v>
      </c>
      <c r="AI1820" s="283">
        <f t="shared" si="206"/>
        <v>0</v>
      </c>
    </row>
    <row r="1821" spans="1:35" ht="30" x14ac:dyDescent="0.25">
      <c r="A1821" s="275">
        <f>'Profits 2016'!A7034</f>
        <v>3005517</v>
      </c>
      <c r="B1821" s="279">
        <f>'Profits 2016'!B7034</f>
        <v>42684</v>
      </c>
      <c r="C1821" s="276">
        <f>'Profits 2016'!H7034</f>
        <v>155.03</v>
      </c>
      <c r="D1821" s="280">
        <f>'Profits 2016'!K7034</f>
        <v>137.83173000000002</v>
      </c>
      <c r="E1821" s="276">
        <f>'Profits 2016'!L7034</f>
        <v>648</v>
      </c>
      <c r="F1821" s="275" t="str">
        <f>'Profits 2016'!P7034</f>
        <v>Nassau</v>
      </c>
      <c r="G1821" s="292">
        <f>'Profits 2016'!N7034-'Profits 2016'!M7034</f>
        <v>64.8</v>
      </c>
      <c r="H1821" s="319"/>
      <c r="I1821" s="320"/>
      <c r="J1821" s="321"/>
      <c r="K1821" s="321"/>
      <c r="L1821" s="321"/>
      <c r="M1821" s="319"/>
      <c r="N1821" s="322"/>
      <c r="O1821" s="236" t="str">
        <f>'Profits 2016'!T7034</f>
        <v>FEDEX GROUND</v>
      </c>
      <c r="P1821" s="284" t="str">
        <f>'Profits 2016'!U7034</f>
        <v>702723292226</v>
      </c>
      <c r="AF1821" s="276">
        <f t="shared" si="203"/>
        <v>64.8</v>
      </c>
      <c r="AG1821" s="276">
        <f t="shared" si="204"/>
        <v>0</v>
      </c>
      <c r="AH1821" s="276">
        <f t="shared" si="205"/>
        <v>137.83173000000002</v>
      </c>
      <c r="AI1821" s="283">
        <f t="shared" si="206"/>
        <v>2.1270328703703707</v>
      </c>
    </row>
    <row r="1822" spans="1:35" x14ac:dyDescent="0.25">
      <c r="A1822" s="275">
        <f>'Profits 2016'!A7035</f>
        <v>3005518</v>
      </c>
      <c r="B1822" s="279">
        <f>'Profits 2016'!B7035</f>
        <v>42684</v>
      </c>
      <c r="C1822" s="276">
        <f>'Profits 2016'!H7035</f>
        <v>130</v>
      </c>
      <c r="D1822" s="280">
        <f>'Profits 2016'!K7035</f>
        <v>110.5</v>
      </c>
      <c r="E1822" s="276">
        <f>'Profits 2016'!L7035</f>
        <v>754</v>
      </c>
      <c r="F1822" s="275" t="str">
        <f>'Profits 2016'!P7035</f>
        <v>Direct</v>
      </c>
      <c r="G1822" s="292">
        <f>'Profits 2016'!N7035-'Profits 2016'!M7035</f>
        <v>37.700000000000003</v>
      </c>
      <c r="H1822" s="331">
        <v>0</v>
      </c>
      <c r="I1822" s="332">
        <v>76323</v>
      </c>
      <c r="J1822" s="333">
        <v>42688</v>
      </c>
      <c r="K1822" s="333">
        <v>42691</v>
      </c>
      <c r="L1822" s="333">
        <v>42697</v>
      </c>
      <c r="M1822" s="331">
        <v>73.89</v>
      </c>
      <c r="N1822" s="334">
        <v>9465</v>
      </c>
      <c r="O1822" s="236" t="e">
        <f>'Profits 2016'!#REF!</f>
        <v>#REF!</v>
      </c>
      <c r="P1822" s="284" t="str">
        <f>'Profits 2016'!U7035</f>
        <v>642286529588</v>
      </c>
      <c r="AF1822" s="276">
        <f t="shared" si="203"/>
        <v>37.700000000000003</v>
      </c>
      <c r="AG1822" s="276">
        <f t="shared" si="204"/>
        <v>73.89</v>
      </c>
      <c r="AH1822" s="276">
        <f t="shared" si="205"/>
        <v>36.61</v>
      </c>
      <c r="AI1822" s="283">
        <f t="shared" si="206"/>
        <v>0.97108753315649854</v>
      </c>
    </row>
    <row r="1823" spans="1:35" ht="30" x14ac:dyDescent="0.25">
      <c r="A1823" s="275">
        <f>'Profits 2016'!A7036</f>
        <v>0</v>
      </c>
      <c r="B1823" s="279">
        <f>'Profits 2016'!B7036</f>
        <v>0</v>
      </c>
      <c r="C1823" s="276">
        <f>'Profits 2016'!H7036</f>
        <v>0</v>
      </c>
      <c r="D1823" s="280">
        <f>'Profits 2016'!K7036</f>
        <v>0</v>
      </c>
      <c r="E1823" s="276">
        <f>'Profits 2016'!L7036</f>
        <v>754</v>
      </c>
      <c r="F1823" s="275" t="str">
        <f>'Profits 2016'!P7036</f>
        <v>Direct</v>
      </c>
      <c r="G1823" s="292">
        <f>'Profits 2016'!N7036-'Profits 2016'!M7036</f>
        <v>37.700000000000003</v>
      </c>
      <c r="H1823" s="331">
        <v>0</v>
      </c>
      <c r="I1823" s="332">
        <v>76323</v>
      </c>
      <c r="J1823" s="333">
        <v>42688</v>
      </c>
      <c r="K1823" s="333">
        <v>42691</v>
      </c>
      <c r="L1823" s="333">
        <v>42697</v>
      </c>
      <c r="M1823" s="331">
        <v>0</v>
      </c>
      <c r="N1823" s="334">
        <v>9465</v>
      </c>
      <c r="O1823" s="236" t="str">
        <f>'Profits 2016'!T7035</f>
        <v>FEDEX GROUND</v>
      </c>
      <c r="P1823" s="284">
        <f>'Profits 2016'!U7036</f>
        <v>0</v>
      </c>
      <c r="AF1823" s="276">
        <f t="shared" si="203"/>
        <v>37.700000000000003</v>
      </c>
      <c r="AG1823" s="276">
        <f t="shared" si="204"/>
        <v>0</v>
      </c>
      <c r="AH1823" s="276">
        <f t="shared" si="205"/>
        <v>0</v>
      </c>
      <c r="AI1823" s="283">
        <f t="shared" si="206"/>
        <v>0</v>
      </c>
    </row>
    <row r="1824" spans="1:35" ht="30" x14ac:dyDescent="0.25">
      <c r="A1824" s="275">
        <f>'Profits 2016'!A7037</f>
        <v>3005519</v>
      </c>
      <c r="B1824" s="279">
        <f>'Profits 2016'!B7037</f>
        <v>42684</v>
      </c>
      <c r="C1824" s="276">
        <f>'Profits 2016'!H7037</f>
        <v>402.5</v>
      </c>
      <c r="D1824" s="280">
        <f>'Profits 2016'!K7037</f>
        <v>393.34500000000003</v>
      </c>
      <c r="E1824" s="276">
        <f>'Profits 2016'!L7037</f>
        <v>1795</v>
      </c>
      <c r="F1824" s="275" t="str">
        <f>'Profits 2016'!P7037</f>
        <v>Nassau</v>
      </c>
      <c r="G1824" s="292">
        <f>'Profits 2016'!N7037-'Profits 2016'!M7037</f>
        <v>224.375</v>
      </c>
      <c r="H1824" s="319"/>
      <c r="I1824" s="320"/>
      <c r="J1824" s="321"/>
      <c r="K1824" s="321"/>
      <c r="L1824" s="321"/>
      <c r="M1824" s="319"/>
      <c r="N1824" s="322"/>
      <c r="O1824" s="236" t="str">
        <f>'Profits 2016'!T7037</f>
        <v>FEDEX GROUND</v>
      </c>
      <c r="P1824" s="284" t="str">
        <f>'Profits 2016'!U7037</f>
        <v>702723292292</v>
      </c>
      <c r="AF1824" s="276">
        <f t="shared" si="203"/>
        <v>224.375</v>
      </c>
      <c r="AG1824" s="276">
        <f t="shared" si="204"/>
        <v>0</v>
      </c>
      <c r="AH1824" s="276">
        <f t="shared" si="205"/>
        <v>393.34500000000003</v>
      </c>
      <c r="AI1824" s="283">
        <f t="shared" si="206"/>
        <v>1.7530696378830084</v>
      </c>
    </row>
    <row r="1825" spans="1:35" x14ac:dyDescent="0.25">
      <c r="A1825" s="275">
        <f>'Profits 2016'!A7038</f>
        <v>3005520</v>
      </c>
      <c r="B1825" s="279">
        <f>'Profits 2016'!B7038</f>
        <v>42684</v>
      </c>
      <c r="C1825" s="276">
        <f>'Profits 2016'!H7038</f>
        <v>2405</v>
      </c>
      <c r="D1825" s="280">
        <f>'Profits 2016'!K7038</f>
        <v>2351.79</v>
      </c>
      <c r="E1825" s="276">
        <f>'Profits 2016'!L7038</f>
        <v>0</v>
      </c>
      <c r="F1825" s="275" t="str">
        <f>'Profits 2016'!P7038</f>
        <v>Nassau</v>
      </c>
      <c r="G1825" s="292">
        <f>'Profits 2016'!N7038-'Profits 2016'!M7038</f>
        <v>0</v>
      </c>
      <c r="H1825" s="319"/>
      <c r="I1825" s="320"/>
      <c r="J1825" s="321"/>
      <c r="K1825" s="321"/>
      <c r="L1825" s="321"/>
      <c r="M1825" s="319"/>
      <c r="N1825" s="322"/>
      <c r="O1825" s="236" t="str">
        <f>'Profits 2016'!T7038</f>
        <v>FEDEX/DLS</v>
      </c>
      <c r="P1825" s="284" t="str">
        <f>'Profits 2016'!U7038</f>
        <v>371786702-0</v>
      </c>
      <c r="Q1825" s="284" t="s">
        <v>15804</v>
      </c>
      <c r="R1825" s="276">
        <v>139.32</v>
      </c>
      <c r="S1825" s="275">
        <v>636988967</v>
      </c>
      <c r="T1825" s="279">
        <v>42695</v>
      </c>
      <c r="U1825" s="279">
        <v>42702</v>
      </c>
      <c r="AF1825" s="276">
        <f t="shared" si="203"/>
        <v>139.32</v>
      </c>
      <c r="AG1825" s="276">
        <f t="shared" si="204"/>
        <v>139.32</v>
      </c>
      <c r="AH1825" s="276">
        <f t="shared" si="205"/>
        <v>2212.4699999999998</v>
      </c>
      <c r="AI1825" s="283">
        <f t="shared" si="206"/>
        <v>15.88049095607235</v>
      </c>
    </row>
    <row r="1826" spans="1:35" ht="30" x14ac:dyDescent="0.25">
      <c r="A1826" s="275">
        <f>'Profits 2016'!A7039</f>
        <v>0</v>
      </c>
      <c r="B1826" s="279">
        <f>'Profits 2016'!B7039</f>
        <v>0</v>
      </c>
      <c r="C1826" s="276">
        <f>'Profits 2016'!H7039</f>
        <v>0</v>
      </c>
      <c r="D1826" s="280">
        <f>'Profits 2016'!K7039</f>
        <v>0</v>
      </c>
      <c r="E1826" s="276">
        <f>'Profits 2016'!L7039</f>
        <v>170</v>
      </c>
      <c r="F1826" s="275" t="str">
        <f>'Profits 2016'!P7039</f>
        <v>Priority</v>
      </c>
      <c r="G1826" s="292">
        <f>'Profits 2016'!N7039-'Profits 2016'!M7039</f>
        <v>340</v>
      </c>
      <c r="H1826" s="331">
        <v>0</v>
      </c>
      <c r="I1826" s="332">
        <v>1076313</v>
      </c>
      <c r="J1826" s="333">
        <v>42688</v>
      </c>
      <c r="K1826" s="333">
        <v>42695</v>
      </c>
      <c r="L1826" s="333"/>
      <c r="M1826" s="331"/>
      <c r="N1826" s="334"/>
      <c r="O1826" s="236" t="str">
        <f>'Profits 2016'!T7039</f>
        <v>FEDEX GROUND</v>
      </c>
      <c r="P1826" s="284" t="str">
        <f>'Profits 2016'!U7039</f>
        <v>614697969812, 614697969823</v>
      </c>
      <c r="Q1826" s="284" t="s">
        <v>15740</v>
      </c>
      <c r="R1826" s="276">
        <v>47.02</v>
      </c>
      <c r="S1826" s="275">
        <v>1076313</v>
      </c>
      <c r="T1826" s="279">
        <v>42688</v>
      </c>
      <c r="U1826" s="279">
        <v>42695</v>
      </c>
      <c r="AF1826" s="276">
        <f t="shared" si="203"/>
        <v>387.02</v>
      </c>
      <c r="AG1826" s="276">
        <f t="shared" si="204"/>
        <v>47.02</v>
      </c>
      <c r="AH1826" s="276">
        <f t="shared" si="205"/>
        <v>-47.02</v>
      </c>
      <c r="AI1826" s="283">
        <f t="shared" si="206"/>
        <v>-0.12149242933181749</v>
      </c>
    </row>
    <row r="1827" spans="1:35" ht="30" x14ac:dyDescent="0.25">
      <c r="A1827" s="275">
        <f>'Profits 2016'!A7040</f>
        <v>3005521</v>
      </c>
      <c r="B1827" s="279">
        <f>'Profits 2016'!B7040</f>
        <v>42684</v>
      </c>
      <c r="C1827" s="276">
        <f>'Profits 2016'!H7040</f>
        <v>111.31</v>
      </c>
      <c r="D1827" s="280">
        <f>'Profits 2016'!K7040</f>
        <v>98.877210000000005</v>
      </c>
      <c r="E1827" s="276">
        <f>'Profits 2016'!L7040</f>
        <v>300</v>
      </c>
      <c r="F1827" s="275" t="str">
        <f>'Profits 2016'!P7040</f>
        <v>Nassau</v>
      </c>
      <c r="G1827" s="292">
        <f>'Profits 2016'!N7040-'Profits 2016'!M7040</f>
        <v>37.5</v>
      </c>
      <c r="H1827" s="319"/>
      <c r="I1827" s="320"/>
      <c r="J1827" s="321"/>
      <c r="K1827" s="321"/>
      <c r="L1827" s="321"/>
      <c r="M1827" s="319"/>
      <c r="N1827" s="322"/>
      <c r="O1827" s="236" t="str">
        <f>'Profits 2016'!T7040</f>
        <v>FEDEX GROUND</v>
      </c>
      <c r="P1827" s="284" t="str">
        <f>'Profits 2016'!U7040</f>
        <v>702723292215</v>
      </c>
      <c r="AF1827" s="276">
        <f t="shared" si="203"/>
        <v>37.5</v>
      </c>
      <c r="AG1827" s="276">
        <f t="shared" si="204"/>
        <v>0</v>
      </c>
      <c r="AH1827" s="276">
        <f t="shared" si="205"/>
        <v>98.877210000000005</v>
      </c>
      <c r="AI1827" s="283">
        <f t="shared" si="206"/>
        <v>2.6367256000000001</v>
      </c>
    </row>
    <row r="1828" spans="1:35" ht="30" x14ac:dyDescent="0.25">
      <c r="A1828" s="275">
        <f>'Profits 2016'!A7041</f>
        <v>3005522</v>
      </c>
      <c r="B1828" s="279">
        <f>'Profits 2016'!B7041</f>
        <v>42684</v>
      </c>
      <c r="C1828" s="276">
        <f>'Profits 2016'!H7041</f>
        <v>100</v>
      </c>
      <c r="D1828" s="280">
        <f>'Profits 2016'!K7041</f>
        <v>85</v>
      </c>
      <c r="E1828" s="276">
        <f>'Profits 2016'!L7041</f>
        <v>850</v>
      </c>
      <c r="F1828" s="275" t="str">
        <f>'Profits 2016'!P7041</f>
        <v>Omni</v>
      </c>
      <c r="G1828" s="292">
        <f>'Profits 2016'!N7041-'Profits 2016'!M7041</f>
        <v>51</v>
      </c>
      <c r="H1828" s="331"/>
      <c r="I1828" s="332"/>
      <c r="J1828" s="333"/>
      <c r="K1828" s="333"/>
      <c r="L1828" s="333"/>
      <c r="M1828" s="331"/>
      <c r="N1828" s="334"/>
      <c r="O1828" s="236" t="str">
        <f>'Profits 2016'!T7041</f>
        <v>FEDEX GROUND</v>
      </c>
      <c r="P1828" s="284" t="str">
        <f>'Profits 2016'!U7041</f>
        <v>705963569670</v>
      </c>
      <c r="AF1828" s="276">
        <f t="shared" si="203"/>
        <v>51</v>
      </c>
      <c r="AG1828" s="276">
        <f t="shared" si="204"/>
        <v>0</v>
      </c>
      <c r="AH1828" s="276">
        <f t="shared" si="205"/>
        <v>85</v>
      </c>
      <c r="AI1828" s="283">
        <f t="shared" si="206"/>
        <v>1.6666666666666667</v>
      </c>
    </row>
    <row r="1829" spans="1:35" x14ac:dyDescent="0.25">
      <c r="A1829" s="275">
        <f>'Profits 2016'!A7042</f>
        <v>3005523</v>
      </c>
      <c r="B1829" s="279">
        <f>'Profits 2016'!B7042</f>
        <v>42684</v>
      </c>
      <c r="C1829" s="276">
        <f>'Profits 2016'!H7042</f>
        <v>580</v>
      </c>
      <c r="D1829" s="280">
        <f>'Profits 2016'!K7042</f>
        <v>566.94000000000005</v>
      </c>
      <c r="E1829" s="276">
        <f>'Profits 2016'!L7042</f>
        <v>1240</v>
      </c>
      <c r="F1829" s="275" t="str">
        <f>'Profits 2016'!P7042</f>
        <v>Nassau</v>
      </c>
      <c r="G1829" s="292">
        <f>'Profits 2016'!N7042-'Profits 2016'!M7042</f>
        <v>272.8</v>
      </c>
      <c r="H1829" s="319"/>
      <c r="I1829" s="320"/>
      <c r="J1829" s="321"/>
      <c r="K1829" s="321"/>
      <c r="L1829" s="321"/>
      <c r="M1829" s="319"/>
      <c r="N1829" s="322"/>
      <c r="O1829" s="236" t="str">
        <f>'Profits 2016'!T7042</f>
        <v>R&amp;L/ECHO</v>
      </c>
      <c r="P1829" s="284" t="str">
        <f>'Profits 2016'!U7042</f>
        <v>68564761-2</v>
      </c>
      <c r="Q1829" s="284" t="s">
        <v>15767</v>
      </c>
      <c r="R1829" s="276">
        <v>102.23</v>
      </c>
      <c r="S1829" s="275" t="s">
        <v>15939</v>
      </c>
      <c r="T1829" s="279">
        <v>42695</v>
      </c>
      <c r="U1829" s="279">
        <v>42702</v>
      </c>
      <c r="AF1829" s="276">
        <f t="shared" si="203"/>
        <v>375.03000000000003</v>
      </c>
      <c r="AG1829" s="276">
        <f t="shared" si="204"/>
        <v>102.23</v>
      </c>
      <c r="AH1829" s="276">
        <f t="shared" si="205"/>
        <v>464.71000000000004</v>
      </c>
      <c r="AI1829" s="283">
        <f t="shared" si="206"/>
        <v>1.2391275364637495</v>
      </c>
    </row>
    <row r="1830" spans="1:35" x14ac:dyDescent="0.25">
      <c r="A1830" s="275">
        <f>'Profits 2016'!A7043</f>
        <v>3005524</v>
      </c>
      <c r="B1830" s="279">
        <f>'Profits 2016'!B7043</f>
        <v>42684</v>
      </c>
      <c r="C1830" s="276">
        <f>'Profits 2016'!H7043</f>
        <v>3450</v>
      </c>
      <c r="D1830" s="280">
        <f>'Profits 2016'!K7043</f>
        <v>3337.5749999999998</v>
      </c>
      <c r="E1830" s="276">
        <f>'Profits 2016'!L7043</f>
        <v>695</v>
      </c>
      <c r="F1830" s="275" t="str">
        <f>'Profits 2016'!P7043</f>
        <v>Southwire</v>
      </c>
      <c r="G1830" s="292">
        <f>'Profits 2016'!N7043-'Profits 2016'!M7043</f>
        <v>2085</v>
      </c>
      <c r="H1830" s="331">
        <v>0</v>
      </c>
      <c r="I1830" s="332">
        <v>91054498</v>
      </c>
      <c r="J1830" s="333">
        <v>42691</v>
      </c>
      <c r="K1830" s="333">
        <v>42695</v>
      </c>
      <c r="L1830" s="333"/>
      <c r="M1830" s="331"/>
      <c r="N1830" s="334"/>
      <c r="O1830" s="236" t="str">
        <f>'Profits 2016'!T7043</f>
        <v>YRC</v>
      </c>
      <c r="P1830" s="284">
        <f>'Profits 2016'!U7043</f>
        <v>5464115650</v>
      </c>
      <c r="AF1830" s="276">
        <f t="shared" si="203"/>
        <v>2085</v>
      </c>
      <c r="AG1830" s="276">
        <f t="shared" si="204"/>
        <v>0</v>
      </c>
      <c r="AH1830" s="276">
        <f t="shared" si="205"/>
        <v>3337.5749999999998</v>
      </c>
      <c r="AI1830" s="283">
        <f t="shared" si="206"/>
        <v>1.600755395683453</v>
      </c>
    </row>
    <row r="1831" spans="1:35" x14ac:dyDescent="0.25">
      <c r="A1831" s="275">
        <f>'Profits 2016'!A7044</f>
        <v>3005525</v>
      </c>
      <c r="B1831" s="279">
        <f>'Profits 2016'!B7044</f>
        <v>42684</v>
      </c>
      <c r="C1831" s="276">
        <f>'Profits 2016'!H7044</f>
        <v>5260</v>
      </c>
      <c r="D1831" s="280">
        <f>'Profits 2016'!K7044</f>
        <v>5088.75</v>
      </c>
      <c r="E1831" s="276">
        <f>'Profits 2016'!L7044</f>
        <v>1322</v>
      </c>
      <c r="F1831" s="275" t="str">
        <f>'Profits 2016'!P7044</f>
        <v>Nassau</v>
      </c>
      <c r="G1831" s="292">
        <f>'Profits 2016'!N7044-'Profits 2016'!M7044</f>
        <v>2644</v>
      </c>
      <c r="H1831" s="319"/>
      <c r="I1831" s="320"/>
      <c r="J1831" s="321"/>
      <c r="K1831" s="321"/>
      <c r="L1831" s="321"/>
      <c r="M1831" s="319"/>
      <c r="N1831" s="322"/>
      <c r="O1831" s="236" t="e">
        <f>'Profits 2016'!#REF!</f>
        <v>#REF!</v>
      </c>
      <c r="P1831" s="284" t="str">
        <f>'Profits 2016'!U7044</f>
        <v>377537329</v>
      </c>
      <c r="Q1831" s="284" t="s">
        <v>15751</v>
      </c>
      <c r="R1831" s="276">
        <v>155.99</v>
      </c>
      <c r="S1831" s="275">
        <v>10046221</v>
      </c>
      <c r="T1831" s="279">
        <v>42685</v>
      </c>
      <c r="U1831" s="279">
        <v>42691</v>
      </c>
      <c r="V1831" s="279">
        <v>42692</v>
      </c>
      <c r="W1831" s="293">
        <v>155.99</v>
      </c>
      <c r="X1831" s="236">
        <v>9433</v>
      </c>
      <c r="AF1831" s="276">
        <f t="shared" si="203"/>
        <v>2799.99</v>
      </c>
      <c r="AG1831" s="276">
        <f t="shared" si="204"/>
        <v>155.99</v>
      </c>
      <c r="AH1831" s="276">
        <f t="shared" si="205"/>
        <v>4932.76</v>
      </c>
      <c r="AI1831" s="283">
        <f t="shared" si="206"/>
        <v>1.7617062918081852</v>
      </c>
    </row>
    <row r="1832" spans="1:35" ht="30" x14ac:dyDescent="0.25">
      <c r="A1832" s="275">
        <f>'Profits 2016'!A7045</f>
        <v>0</v>
      </c>
      <c r="B1832" s="279">
        <f>'Profits 2016'!B7045</f>
        <v>0</v>
      </c>
      <c r="C1832" s="276">
        <f>'Profits 2016'!H7045</f>
        <v>0</v>
      </c>
      <c r="D1832" s="280">
        <f>'Profits 2016'!K7045</f>
        <v>0</v>
      </c>
      <c r="E1832" s="276">
        <f>'Profits 2016'!L7045</f>
        <v>0</v>
      </c>
      <c r="F1832" s="275" t="str">
        <f>'Profits 2016'!P7045</f>
        <v>Nassau</v>
      </c>
      <c r="G1832" s="292">
        <f>'Profits 2016'!N7045-'Profits 2016'!M7045</f>
        <v>0</v>
      </c>
      <c r="H1832" s="319"/>
      <c r="I1832" s="320"/>
      <c r="J1832" s="321"/>
      <c r="K1832" s="321"/>
      <c r="L1832" s="321"/>
      <c r="M1832" s="319"/>
      <c r="N1832" s="322"/>
      <c r="O1832" s="236" t="str">
        <f>'Profits 2016'!T7044</f>
        <v>A DUIE PYLE</v>
      </c>
      <c r="P1832" s="284">
        <f>'Profits 2016'!U7045</f>
        <v>0</v>
      </c>
      <c r="Q1832" s="284" t="s">
        <v>15751</v>
      </c>
      <c r="R1832" s="276">
        <v>0</v>
      </c>
      <c r="S1832" s="275">
        <v>10046221</v>
      </c>
      <c r="T1832" s="279">
        <v>42685</v>
      </c>
      <c r="U1832" s="279">
        <v>42691</v>
      </c>
      <c r="V1832" s="279">
        <v>42692</v>
      </c>
      <c r="W1832" s="293">
        <v>0</v>
      </c>
      <c r="X1832" s="236">
        <v>9433</v>
      </c>
      <c r="AF1832" s="276">
        <f t="shared" si="203"/>
        <v>0</v>
      </c>
      <c r="AG1832" s="276">
        <f t="shared" si="204"/>
        <v>0</v>
      </c>
      <c r="AH1832" s="276">
        <f t="shared" si="205"/>
        <v>0</v>
      </c>
      <c r="AI1832" s="283" t="e">
        <f t="shared" si="206"/>
        <v>#DIV/0!</v>
      </c>
    </row>
    <row r="1833" spans="1:35" ht="30" x14ac:dyDescent="0.25">
      <c r="A1833" s="275">
        <f>'Profits 2016'!A7046</f>
        <v>3005526</v>
      </c>
      <c r="B1833" s="279">
        <f>'Profits 2016'!B7046</f>
        <v>42684</v>
      </c>
      <c r="C1833" s="276">
        <f>'Profits 2016'!H7046</f>
        <v>338</v>
      </c>
      <c r="D1833" s="280">
        <f>'Profits 2016'!K7046</f>
        <v>330.26400000000001</v>
      </c>
      <c r="E1833" s="276">
        <f>'Profits 2016'!L7046</f>
        <v>424</v>
      </c>
      <c r="F1833" s="275" t="str">
        <f>'Profits 2016'!P7046</f>
        <v>Nassau</v>
      </c>
      <c r="G1833" s="292">
        <f>'Profits 2016'!N7046-'Profits 2016'!M7046</f>
        <v>127.19999999999999</v>
      </c>
      <c r="H1833" s="319"/>
      <c r="I1833" s="320"/>
      <c r="J1833" s="321"/>
      <c r="K1833" s="321"/>
      <c r="L1833" s="321"/>
      <c r="M1833" s="319"/>
      <c r="N1833" s="322"/>
      <c r="O1833" s="236" t="str">
        <f>'Profits 2016'!T7046</f>
        <v>FEDEX GROUND</v>
      </c>
      <c r="P1833" s="284" t="str">
        <f>'Profits 2016'!U7046</f>
        <v>702723292260</v>
      </c>
      <c r="AF1833" s="276">
        <f t="shared" si="203"/>
        <v>127.19999999999999</v>
      </c>
      <c r="AG1833" s="276">
        <f t="shared" si="204"/>
        <v>0</v>
      </c>
      <c r="AH1833" s="276">
        <f t="shared" si="205"/>
        <v>330.26400000000001</v>
      </c>
      <c r="AI1833" s="283">
        <f t="shared" si="206"/>
        <v>2.5964150943396231</v>
      </c>
    </row>
    <row r="1834" spans="1:35" ht="30" x14ac:dyDescent="0.25">
      <c r="A1834" s="275">
        <f>'Profits 2016'!A7047</f>
        <v>3005527</v>
      </c>
      <c r="B1834" s="279">
        <f>'Profits 2016'!B7047</f>
        <v>42684</v>
      </c>
      <c r="C1834" s="276">
        <f>'Profits 2016'!H7047</f>
        <v>210</v>
      </c>
      <c r="D1834" s="280">
        <f>'Profits 2016'!K7047</f>
        <v>205.08</v>
      </c>
      <c r="E1834" s="276">
        <f>'Profits 2016'!L7047</f>
        <v>900</v>
      </c>
      <c r="F1834" s="275" t="str">
        <f>'Profits 2016'!P7047</f>
        <v>A-Z</v>
      </c>
      <c r="G1834" s="292">
        <f>'Profits 2016'!N7047-'Profits 2016'!M7047</f>
        <v>108</v>
      </c>
      <c r="H1834" s="331">
        <v>0</v>
      </c>
      <c r="I1834" s="332">
        <v>409787</v>
      </c>
      <c r="J1834" s="333">
        <v>42688</v>
      </c>
      <c r="K1834" s="333">
        <v>42692</v>
      </c>
      <c r="L1834" s="333"/>
      <c r="M1834" s="331"/>
      <c r="N1834" s="334"/>
      <c r="O1834" s="236" t="str">
        <f>'Profits 2016'!T7047</f>
        <v>FEDEX GROUND</v>
      </c>
      <c r="P1834" s="284" t="str">
        <f>'Profits 2016'!U7047</f>
        <v>655044327246</v>
      </c>
      <c r="AF1834" s="276">
        <f t="shared" si="203"/>
        <v>108</v>
      </c>
      <c r="AG1834" s="276">
        <f t="shared" si="204"/>
        <v>0</v>
      </c>
      <c r="AH1834" s="276">
        <f t="shared" si="205"/>
        <v>205.08</v>
      </c>
      <c r="AI1834" s="283">
        <f t="shared" si="206"/>
        <v>1.8988888888888891</v>
      </c>
    </row>
    <row r="1835" spans="1:35" ht="30" x14ac:dyDescent="0.25">
      <c r="A1835" s="275">
        <f>'Profits 2016'!A7048</f>
        <v>3005528</v>
      </c>
      <c r="B1835" s="279">
        <f>'Profits 2016'!B7048</f>
        <v>42684</v>
      </c>
      <c r="C1835" s="276">
        <f>'Profits 2016'!H7048</f>
        <v>550.19000000000005</v>
      </c>
      <c r="D1835" s="280">
        <f>'Profits 2016'!K7048</f>
        <v>489.91929000000005</v>
      </c>
      <c r="E1835" s="276">
        <f>'Profits 2016'!L7048</f>
        <v>1600</v>
      </c>
      <c r="F1835" s="275" t="str">
        <f>'Profits 2016'!P7048</f>
        <v>Direct</v>
      </c>
      <c r="G1835" s="292">
        <f>'Profits 2016'!N7048-'Profits 2016'!M7048</f>
        <v>400</v>
      </c>
      <c r="H1835" s="331">
        <v>0</v>
      </c>
      <c r="I1835" s="332">
        <v>76228</v>
      </c>
      <c r="J1835" s="333">
        <v>42685</v>
      </c>
      <c r="K1835" s="333">
        <v>42691</v>
      </c>
      <c r="L1835" s="333">
        <v>42692</v>
      </c>
      <c r="M1835" s="331">
        <v>392</v>
      </c>
      <c r="N1835" s="334">
        <v>9440</v>
      </c>
      <c r="O1835" s="236" t="str">
        <f>'Profits 2016'!T7048</f>
        <v>UPS GROUND</v>
      </c>
      <c r="P1835" s="284" t="str">
        <f>'Profits 2016'!U7048</f>
        <v>1Z 256 189 03 6778 9962</v>
      </c>
      <c r="AF1835" s="276">
        <f t="shared" si="203"/>
        <v>400</v>
      </c>
      <c r="AG1835" s="276">
        <f t="shared" si="204"/>
        <v>392</v>
      </c>
      <c r="AH1835" s="276">
        <f t="shared" si="205"/>
        <v>97.919290000000046</v>
      </c>
      <c r="AI1835" s="283">
        <f t="shared" si="206"/>
        <v>0.24479822500000012</v>
      </c>
    </row>
    <row r="1836" spans="1:35" ht="30" x14ac:dyDescent="0.25">
      <c r="A1836" s="275">
        <f>'Profits 2016'!A7049</f>
        <v>3005529</v>
      </c>
      <c r="B1836" s="279">
        <f>'Profits 2016'!B7049</f>
        <v>42684</v>
      </c>
      <c r="C1836" s="276">
        <f>'Profits 2016'!H7049</f>
        <v>147</v>
      </c>
      <c r="D1836" s="280">
        <f>'Profits 2016'!K7049</f>
        <v>130.67700000000002</v>
      </c>
      <c r="E1836" s="276">
        <f>'Profits 2016'!L7049</f>
        <v>424</v>
      </c>
      <c r="F1836" s="275" t="str">
        <f>'Profits 2016'!P7049</f>
        <v>Nassau</v>
      </c>
      <c r="G1836" s="292">
        <f>'Profits 2016'!N7049-'Profits 2016'!M7049</f>
        <v>53</v>
      </c>
      <c r="H1836" s="319"/>
      <c r="I1836" s="320"/>
      <c r="J1836" s="321"/>
      <c r="K1836" s="321"/>
      <c r="L1836" s="321"/>
      <c r="M1836" s="319"/>
      <c r="N1836" s="322"/>
      <c r="O1836" s="236" t="str">
        <f>'Profits 2016'!T7049</f>
        <v>FEDEX GROUND</v>
      </c>
      <c r="P1836" s="284" t="str">
        <f>'Profits 2016'!U7049</f>
        <v>702723292270</v>
      </c>
      <c r="AF1836" s="276">
        <f t="shared" si="203"/>
        <v>53</v>
      </c>
      <c r="AG1836" s="276">
        <f t="shared" si="204"/>
        <v>0</v>
      </c>
      <c r="AH1836" s="276">
        <f t="shared" si="205"/>
        <v>130.67700000000002</v>
      </c>
      <c r="AI1836" s="283">
        <f t="shared" si="206"/>
        <v>2.4656037735849061</v>
      </c>
    </row>
    <row r="1837" spans="1:35" ht="30" x14ac:dyDescent="0.25">
      <c r="A1837" s="275">
        <f>'Profits 2016'!A7050</f>
        <v>3005530</v>
      </c>
      <c r="B1837" s="279">
        <f>'Profits 2016'!B7050</f>
        <v>42684</v>
      </c>
      <c r="C1837" s="276">
        <f>'Profits 2016'!H7050</f>
        <v>160.38</v>
      </c>
      <c r="D1837" s="280">
        <f>'Profits 2016'!K7050</f>
        <v>136.32300000000001</v>
      </c>
      <c r="E1837" s="276">
        <f>'Profits 2016'!L7050</f>
        <v>424</v>
      </c>
      <c r="F1837" s="275" t="str">
        <f>'Profits 2016'!P7050</f>
        <v>Nassau</v>
      </c>
      <c r="G1837" s="292">
        <f>'Profits 2016'!N7050-'Profits 2016'!M7050</f>
        <v>63.599999999999994</v>
      </c>
      <c r="H1837" s="319"/>
      <c r="I1837" s="320"/>
      <c r="J1837" s="321"/>
      <c r="K1837" s="321"/>
      <c r="L1837" s="321"/>
      <c r="M1837" s="319"/>
      <c r="N1837" s="322"/>
      <c r="O1837" s="236" t="str">
        <f>'Profits 2016'!T7050</f>
        <v>FEDEX GROUND</v>
      </c>
      <c r="P1837" s="284" t="str">
        <f>'Profits 2016'!U7050</f>
        <v>702723292248</v>
      </c>
      <c r="AF1837" s="276">
        <f t="shared" si="203"/>
        <v>63.599999999999994</v>
      </c>
      <c r="AG1837" s="276">
        <f t="shared" si="204"/>
        <v>0</v>
      </c>
      <c r="AH1837" s="276">
        <f t="shared" si="205"/>
        <v>136.32300000000001</v>
      </c>
      <c r="AI1837" s="283">
        <f t="shared" si="206"/>
        <v>2.1434433962264152</v>
      </c>
    </row>
    <row r="1838" spans="1:35" ht="30" x14ac:dyDescent="0.25">
      <c r="A1838" s="275">
        <f>'Profits 2016'!A7051</f>
        <v>3005531</v>
      </c>
      <c r="B1838" s="279">
        <f>'Profits 2016'!B7051</f>
        <v>42684</v>
      </c>
      <c r="C1838" s="276">
        <f>'Profits 2016'!H7051</f>
        <v>132.9</v>
      </c>
      <c r="D1838" s="280">
        <f>'Profits 2016'!K7051</f>
        <v>112.965</v>
      </c>
      <c r="E1838" s="276">
        <f>'Profits 2016'!L7051</f>
        <v>950</v>
      </c>
      <c r="F1838" s="275" t="str">
        <f>'Profits 2016'!P7051</f>
        <v>Nassau</v>
      </c>
      <c r="G1838" s="292">
        <f>'Profits 2016'!N7051-'Profits 2016'!M7051</f>
        <v>47.5</v>
      </c>
      <c r="H1838" s="319"/>
      <c r="I1838" s="320"/>
      <c r="J1838" s="321"/>
      <c r="K1838" s="321"/>
      <c r="L1838" s="321"/>
      <c r="M1838" s="319"/>
      <c r="N1838" s="322"/>
      <c r="O1838" s="236" t="str">
        <f>'Profits 2016'!T7051</f>
        <v>FEDEX GROUND</v>
      </c>
      <c r="P1838" s="284" t="str">
        <f>'Profits 2016'!U7051</f>
        <v>702723292281</v>
      </c>
      <c r="AF1838" s="276">
        <f t="shared" si="203"/>
        <v>47.5</v>
      </c>
      <c r="AG1838" s="276">
        <f t="shared" si="204"/>
        <v>0</v>
      </c>
      <c r="AH1838" s="276">
        <f t="shared" si="205"/>
        <v>112.965</v>
      </c>
      <c r="AI1838" s="283">
        <f t="shared" si="206"/>
        <v>2.3782105263157893</v>
      </c>
    </row>
    <row r="1839" spans="1:35" x14ac:dyDescent="0.25">
      <c r="A1839" s="275">
        <f>'Profits 2016'!A7052</f>
        <v>3005532</v>
      </c>
      <c r="B1839" s="279">
        <f>'Profits 2016'!B7052</f>
        <v>42685</v>
      </c>
      <c r="C1839" s="276">
        <f>'Profits 2016'!H7052</f>
        <v>3218.35</v>
      </c>
      <c r="D1839" s="280">
        <f>'Profits 2016'!K7052</f>
        <v>3218.35</v>
      </c>
      <c r="E1839" s="276">
        <f>'Profits 2016'!L7052</f>
        <v>909</v>
      </c>
      <c r="F1839" s="275" t="str">
        <f>'Profits 2016'!P7052</f>
        <v>Nassau</v>
      </c>
      <c r="G1839" s="292">
        <f>'Profits 2016'!N7052-'Profits 2016'!M7052</f>
        <v>909</v>
      </c>
      <c r="H1839" s="319"/>
      <c r="I1839" s="320"/>
      <c r="J1839" s="321"/>
      <c r="K1839" s="321"/>
      <c r="L1839" s="321"/>
      <c r="M1839" s="319"/>
      <c r="N1839" s="322"/>
      <c r="O1839" s="236" t="str">
        <f>'Profits 2016'!T7052</f>
        <v>ESTES/DLS</v>
      </c>
      <c r="P1839" s="284">
        <f>'Profits 2016'!U7052</f>
        <v>272141043</v>
      </c>
      <c r="Q1839" s="284" t="s">
        <v>15804</v>
      </c>
      <c r="R1839" s="276">
        <v>240.24</v>
      </c>
      <c r="S1839" s="275">
        <v>636991054</v>
      </c>
      <c r="T1839" s="279">
        <v>42696</v>
      </c>
      <c r="U1839" s="279">
        <v>42702</v>
      </c>
      <c r="AF1839" s="276">
        <f t="shared" si="203"/>
        <v>1149.24</v>
      </c>
      <c r="AG1839" s="276">
        <f t="shared" si="204"/>
        <v>240.24</v>
      </c>
      <c r="AH1839" s="276">
        <f t="shared" si="205"/>
        <v>2978.1099999999997</v>
      </c>
      <c r="AI1839" s="283">
        <f t="shared" si="206"/>
        <v>2.5913734293968185</v>
      </c>
    </row>
    <row r="1840" spans="1:35" x14ac:dyDescent="0.25">
      <c r="A1840" s="275">
        <f>'Profits 2016'!A7053</f>
        <v>0</v>
      </c>
      <c r="B1840" s="279">
        <f>'Profits 2016'!B7053</f>
        <v>0</v>
      </c>
      <c r="C1840" s="276">
        <f>'Profits 2016'!H7053</f>
        <v>0</v>
      </c>
      <c r="D1840" s="280">
        <f>'Profits 2016'!K7053</f>
        <v>0</v>
      </c>
      <c r="E1840" s="276">
        <f>'Profits 2016'!L7053</f>
        <v>1240</v>
      </c>
      <c r="F1840" s="275" t="str">
        <f>'Profits 2016'!P7053</f>
        <v>Nassau</v>
      </c>
      <c r="G1840" s="292">
        <f>'Profits 2016'!N7053-'Profits 2016'!M7053</f>
        <v>620</v>
      </c>
      <c r="H1840" s="319"/>
      <c r="I1840" s="320"/>
      <c r="J1840" s="321"/>
      <c r="K1840" s="321"/>
      <c r="L1840" s="321"/>
      <c r="M1840" s="319"/>
      <c r="N1840" s="322"/>
      <c r="O1840" s="236">
        <f>'Profits 2016'!T7053</f>
        <v>0</v>
      </c>
      <c r="P1840" s="284">
        <f>'Profits 2016'!U7053</f>
        <v>0</v>
      </c>
      <c r="Q1840" s="284" t="s">
        <v>15804</v>
      </c>
      <c r="R1840" s="276">
        <v>0</v>
      </c>
      <c r="S1840" s="275">
        <v>636991054</v>
      </c>
      <c r="T1840" s="279">
        <v>42696</v>
      </c>
      <c r="U1840" s="279">
        <v>42702</v>
      </c>
      <c r="AF1840" s="276">
        <f t="shared" si="203"/>
        <v>620</v>
      </c>
      <c r="AG1840" s="276">
        <f t="shared" si="204"/>
        <v>0</v>
      </c>
      <c r="AH1840" s="276">
        <f t="shared" si="205"/>
        <v>0</v>
      </c>
      <c r="AI1840" s="283">
        <f t="shared" si="206"/>
        <v>0</v>
      </c>
    </row>
    <row r="1841" spans="1:35" x14ac:dyDescent="0.25">
      <c r="A1841" s="275">
        <f>'Profits 2016'!A7054</f>
        <v>0</v>
      </c>
      <c r="B1841" s="279">
        <f>'Profits 2016'!B7054</f>
        <v>0</v>
      </c>
      <c r="C1841" s="276">
        <f>'Profits 2016'!H7054</f>
        <v>0</v>
      </c>
      <c r="D1841" s="280">
        <f>'Profits 2016'!K7054</f>
        <v>0</v>
      </c>
      <c r="E1841" s="276">
        <f>'Profits 2016'!L7054</f>
        <v>375</v>
      </c>
      <c r="F1841" s="275" t="str">
        <f>'Profits 2016'!P7054</f>
        <v>Nassau</v>
      </c>
      <c r="G1841" s="292">
        <f>'Profits 2016'!N7054-'Profits 2016'!M7054</f>
        <v>187.5</v>
      </c>
      <c r="H1841" s="319"/>
      <c r="I1841" s="320"/>
      <c r="J1841" s="321"/>
      <c r="K1841" s="321"/>
      <c r="L1841" s="321"/>
      <c r="M1841" s="319"/>
      <c r="N1841" s="322"/>
      <c r="O1841" s="236">
        <f>'Profits 2016'!T7054</f>
        <v>0</v>
      </c>
      <c r="P1841" s="284">
        <f>'Profits 2016'!U7054</f>
        <v>0</v>
      </c>
      <c r="Q1841" s="284" t="s">
        <v>15804</v>
      </c>
      <c r="R1841" s="276">
        <v>0</v>
      </c>
      <c r="S1841" s="275">
        <v>636991054</v>
      </c>
      <c r="T1841" s="279">
        <v>42696</v>
      </c>
      <c r="U1841" s="279">
        <v>42702</v>
      </c>
      <c r="AF1841" s="276">
        <f t="shared" si="203"/>
        <v>187.5</v>
      </c>
      <c r="AG1841" s="276">
        <f t="shared" si="204"/>
        <v>0</v>
      </c>
      <c r="AH1841" s="276">
        <f t="shared" si="205"/>
        <v>0</v>
      </c>
      <c r="AI1841" s="283">
        <f t="shared" si="206"/>
        <v>0</v>
      </c>
    </row>
    <row r="1842" spans="1:35" x14ac:dyDescent="0.25">
      <c r="A1842" s="275">
        <f>'Profits 2016'!A7055</f>
        <v>0</v>
      </c>
      <c r="B1842" s="279">
        <f>'Profits 2016'!B7055</f>
        <v>0</v>
      </c>
      <c r="C1842" s="276">
        <f>'Profits 2016'!H7055</f>
        <v>0</v>
      </c>
      <c r="D1842" s="280">
        <f>'Profits 2016'!K7055</f>
        <v>0</v>
      </c>
      <c r="E1842" s="276">
        <f>'Profits 2016'!L7055</f>
        <v>424</v>
      </c>
      <c r="F1842" s="275" t="str">
        <f>'Profits 2016'!P7055</f>
        <v>Nassau</v>
      </c>
      <c r="G1842" s="292">
        <f>'Profits 2016'!N7055-'Profits 2016'!M7055</f>
        <v>212</v>
      </c>
      <c r="H1842" s="319"/>
      <c r="I1842" s="320"/>
      <c r="J1842" s="321"/>
      <c r="K1842" s="321"/>
      <c r="L1842" s="321"/>
      <c r="M1842" s="319"/>
      <c r="N1842" s="322"/>
      <c r="O1842" s="236">
        <f>'Profits 2016'!T7055</f>
        <v>0</v>
      </c>
      <c r="P1842" s="284">
        <f>'Profits 2016'!U7055</f>
        <v>0</v>
      </c>
      <c r="Q1842" s="284" t="s">
        <v>15804</v>
      </c>
      <c r="R1842" s="276">
        <v>0</v>
      </c>
      <c r="S1842" s="275">
        <v>636991054</v>
      </c>
      <c r="T1842" s="279">
        <v>42696</v>
      </c>
      <c r="U1842" s="279">
        <v>42702</v>
      </c>
      <c r="AF1842" s="276">
        <f t="shared" si="203"/>
        <v>212</v>
      </c>
      <c r="AG1842" s="276">
        <f t="shared" si="204"/>
        <v>0</v>
      </c>
      <c r="AH1842" s="276">
        <f t="shared" si="205"/>
        <v>0</v>
      </c>
      <c r="AI1842" s="283">
        <f t="shared" si="206"/>
        <v>0</v>
      </c>
    </row>
    <row r="1843" spans="1:35" ht="30" x14ac:dyDescent="0.25">
      <c r="A1843" s="275">
        <f>'Profits 2016'!A7057</f>
        <v>3005533</v>
      </c>
      <c r="B1843" s="279">
        <f>'Profits 2016'!B7057</f>
        <v>42685</v>
      </c>
      <c r="C1843" s="276">
        <f>'Profits 2016'!H7057</f>
        <v>1683.15</v>
      </c>
      <c r="D1843" s="280">
        <f>'Profits 2016'!K7057</f>
        <v>1683.15</v>
      </c>
      <c r="E1843" s="276">
        <f>'Profits 2016'!L7057</f>
        <v>325</v>
      </c>
      <c r="F1843" s="275" t="str">
        <f>'Profits 2016'!P7057</f>
        <v>Priority</v>
      </c>
      <c r="G1843" s="292">
        <f>'Profits 2016'!N7057-'Profits 2016'!M7057</f>
        <v>1221.0250000000001</v>
      </c>
      <c r="H1843" s="331">
        <v>0</v>
      </c>
      <c r="I1843" s="332">
        <v>1076480</v>
      </c>
      <c r="J1843" s="333">
        <v>42688</v>
      </c>
      <c r="K1843" s="333">
        <v>42695</v>
      </c>
      <c r="L1843" s="333"/>
      <c r="M1843" s="331"/>
      <c r="N1843" s="334"/>
      <c r="O1843" s="236" t="str">
        <f>'Profits 2016'!T7057</f>
        <v>AAA COOPER</v>
      </c>
      <c r="P1843" s="284" t="str">
        <f>'Profits 2016'!U7057</f>
        <v xml:space="preserve">	936075530</v>
      </c>
      <c r="Q1843" s="284" t="s">
        <v>15740</v>
      </c>
      <c r="R1843" s="276">
        <v>152.99</v>
      </c>
      <c r="S1843" s="275">
        <v>1076480</v>
      </c>
      <c r="T1843" s="279">
        <v>42688</v>
      </c>
      <c r="U1843" s="279">
        <v>42695</v>
      </c>
      <c r="AF1843" s="276">
        <f t="shared" si="203"/>
        <v>1374.0150000000001</v>
      </c>
      <c r="AG1843" s="276">
        <f t="shared" si="204"/>
        <v>152.99</v>
      </c>
      <c r="AH1843" s="276">
        <f t="shared" si="205"/>
        <v>1530.16</v>
      </c>
      <c r="AI1843" s="283">
        <f t="shared" si="206"/>
        <v>1.1136414085726867</v>
      </c>
    </row>
    <row r="1844" spans="1:35" ht="30" x14ac:dyDescent="0.25">
      <c r="A1844" s="275">
        <f>'Profits 2016'!A7058</f>
        <v>3005534</v>
      </c>
      <c r="B1844" s="279">
        <f>'Profits 2016'!B7058</f>
        <v>42685</v>
      </c>
      <c r="C1844" s="276">
        <f>'Profits 2016'!H7058</f>
        <v>95.2</v>
      </c>
      <c r="D1844" s="280">
        <f>'Profits 2016'!K7058</f>
        <v>84.523200000000003</v>
      </c>
      <c r="E1844" s="276">
        <f>'Profits 2016'!L7058</f>
        <v>235</v>
      </c>
      <c r="F1844" s="275" t="str">
        <f>'Profits 2016'!P7058</f>
        <v>Nassau</v>
      </c>
      <c r="G1844" s="292">
        <f>'Profits 2016'!N7058-'Profits 2016'!M7058</f>
        <v>18.8</v>
      </c>
      <c r="H1844" s="319"/>
      <c r="I1844" s="320"/>
      <c r="J1844" s="321"/>
      <c r="K1844" s="321"/>
      <c r="L1844" s="321"/>
      <c r="M1844" s="319"/>
      <c r="N1844" s="322"/>
      <c r="O1844" s="236" t="str">
        <f>'Profits 2016'!T7058</f>
        <v>FEDEX GROUND</v>
      </c>
      <c r="P1844" s="284" t="str">
        <f>'Profits 2016'!U7058</f>
        <v>702723292318</v>
      </c>
      <c r="AF1844" s="276">
        <f t="shared" si="203"/>
        <v>18.8</v>
      </c>
      <c r="AG1844" s="276">
        <f t="shared" si="204"/>
        <v>0</v>
      </c>
      <c r="AH1844" s="276">
        <f t="shared" si="205"/>
        <v>84.523200000000003</v>
      </c>
      <c r="AI1844" s="283">
        <f t="shared" si="206"/>
        <v>4.4959148936170212</v>
      </c>
    </row>
    <row r="1845" spans="1:35" ht="30" x14ac:dyDescent="0.25">
      <c r="A1845" s="275">
        <f>'Profits 2016'!A7059</f>
        <v>3005535</v>
      </c>
      <c r="B1845" s="279">
        <f>'Profits 2016'!B7059</f>
        <v>42685</v>
      </c>
      <c r="C1845" s="276">
        <f>'Profits 2016'!H7059</f>
        <v>156.24</v>
      </c>
      <c r="D1845" s="280">
        <f>'Profits 2016'!K7059</f>
        <v>138.90984</v>
      </c>
      <c r="E1845" s="276">
        <f>'Profits 2016'!L7059</f>
        <v>330</v>
      </c>
      <c r="F1845" s="275" t="str">
        <f>'Profits 2016'!P7059</f>
        <v>Nassau</v>
      </c>
      <c r="G1845" s="292">
        <f>'Profits 2016'!N7059-'Profits 2016'!M7059</f>
        <v>49.5</v>
      </c>
      <c r="H1845" s="319"/>
      <c r="I1845" s="320"/>
      <c r="J1845" s="321"/>
      <c r="K1845" s="321"/>
      <c r="L1845" s="321"/>
      <c r="M1845" s="319"/>
      <c r="N1845" s="322"/>
      <c r="O1845" s="236" t="str">
        <f>'Profits 2016'!T7059</f>
        <v>FEDEX GROUND</v>
      </c>
      <c r="P1845" s="284" t="str">
        <f>'Profits 2016'!U7059</f>
        <v>702723292351</v>
      </c>
      <c r="AF1845" s="276">
        <f t="shared" si="203"/>
        <v>49.5</v>
      </c>
      <c r="AG1845" s="276">
        <f t="shared" si="204"/>
        <v>0</v>
      </c>
      <c r="AH1845" s="276">
        <f t="shared" si="205"/>
        <v>138.90984</v>
      </c>
      <c r="AI1845" s="283">
        <f t="shared" si="206"/>
        <v>2.8062593939393938</v>
      </c>
    </row>
    <row r="1846" spans="1:35" ht="30" x14ac:dyDescent="0.25">
      <c r="A1846" s="275">
        <f>'Profits 2016'!A7060</f>
        <v>3005536</v>
      </c>
      <c r="B1846" s="279">
        <f>'Profits 2016'!B7060</f>
        <v>42685</v>
      </c>
      <c r="C1846" s="276">
        <f>'Profits 2016'!H7060</f>
        <v>236</v>
      </c>
      <c r="D1846" s="280">
        <f>'Profits 2016'!K7060</f>
        <v>209.976</v>
      </c>
      <c r="E1846" s="276">
        <f>'Profits 2016'!L7060</f>
        <v>1322</v>
      </c>
      <c r="F1846" s="275" t="str">
        <f>'Profits 2016'!P7060</f>
        <v>Nassau</v>
      </c>
      <c r="G1846" s="292">
        <f>'Profits 2016'!N7060-'Profits 2016'!M7060</f>
        <v>132.20000000000002</v>
      </c>
      <c r="H1846" s="319"/>
      <c r="I1846" s="320"/>
      <c r="J1846" s="321"/>
      <c r="K1846" s="321"/>
      <c r="L1846" s="321"/>
      <c r="M1846" s="319"/>
      <c r="N1846" s="322"/>
      <c r="O1846" s="236" t="str">
        <f>'Profits 2016'!T7060</f>
        <v>FEDEX GROUND</v>
      </c>
      <c r="P1846" s="284" t="str">
        <f>'Profits 2016'!U7060</f>
        <v>702723292259</v>
      </c>
      <c r="AF1846" s="276">
        <f t="shared" si="203"/>
        <v>132.20000000000002</v>
      </c>
      <c r="AG1846" s="276">
        <f t="shared" si="204"/>
        <v>0</v>
      </c>
      <c r="AH1846" s="276">
        <f t="shared" si="205"/>
        <v>209.976</v>
      </c>
      <c r="AI1846" s="283">
        <f t="shared" si="206"/>
        <v>1.5883207261724657</v>
      </c>
    </row>
    <row r="1847" spans="1:35" ht="30" x14ac:dyDescent="0.25">
      <c r="A1847" s="275">
        <f>'Profits 2016'!A7061</f>
        <v>3005537</v>
      </c>
      <c r="B1847" s="279">
        <f>'Profits 2016'!B7061</f>
        <v>42685</v>
      </c>
      <c r="C1847" s="276">
        <f>'Profits 2016'!H7061</f>
        <v>130</v>
      </c>
      <c r="D1847" s="280">
        <f>'Profits 2016'!K7061</f>
        <v>110.5</v>
      </c>
      <c r="E1847" s="276">
        <f>'Profits 2016'!L7061</f>
        <v>754</v>
      </c>
      <c r="F1847" s="275" t="str">
        <f>'Profits 2016'!P7061</f>
        <v>Direct</v>
      </c>
      <c r="G1847" s="292">
        <f>'Profits 2016'!N7061-'Profits 2016'!M7061</f>
        <v>37.700000000000003</v>
      </c>
      <c r="H1847" s="331">
        <v>0</v>
      </c>
      <c r="I1847" s="332">
        <v>76324</v>
      </c>
      <c r="J1847" s="333">
        <v>42688</v>
      </c>
      <c r="K1847" s="333">
        <v>42691</v>
      </c>
      <c r="L1847" s="333">
        <v>42697</v>
      </c>
      <c r="M1847" s="331">
        <v>73.89</v>
      </c>
      <c r="N1847" s="334">
        <v>9465</v>
      </c>
      <c r="O1847" s="236" t="str">
        <f>'Profits 2016'!T7061</f>
        <v>FEDEX GROUND</v>
      </c>
      <c r="P1847" s="284" t="str">
        <f>'Profits 2016'!U7061</f>
        <v>639794970412</v>
      </c>
      <c r="AF1847" s="276">
        <f t="shared" si="203"/>
        <v>37.700000000000003</v>
      </c>
      <c r="AG1847" s="276">
        <f t="shared" si="204"/>
        <v>73.89</v>
      </c>
      <c r="AH1847" s="276">
        <f t="shared" si="205"/>
        <v>36.61</v>
      </c>
      <c r="AI1847" s="283">
        <f t="shared" si="206"/>
        <v>0.97108753315649854</v>
      </c>
    </row>
    <row r="1848" spans="1:35" x14ac:dyDescent="0.25">
      <c r="A1848" s="275">
        <f>'Profits 2016'!A7062</f>
        <v>0</v>
      </c>
      <c r="B1848" s="279">
        <f>'Profits 2016'!B7062</f>
        <v>0</v>
      </c>
      <c r="C1848" s="276">
        <f>'Profits 2016'!H7062</f>
        <v>0</v>
      </c>
      <c r="D1848" s="280">
        <f>'Profits 2016'!K7062</f>
        <v>0</v>
      </c>
      <c r="E1848" s="276">
        <f>'Profits 2016'!L7062</f>
        <v>754</v>
      </c>
      <c r="F1848" s="275" t="str">
        <f>'Profits 2016'!P7062</f>
        <v>Direct</v>
      </c>
      <c r="G1848" s="292">
        <f>'Profits 2016'!N7062-'Profits 2016'!M7062</f>
        <v>37.700000000000003</v>
      </c>
      <c r="H1848" s="331">
        <v>0</v>
      </c>
      <c r="I1848" s="332">
        <v>76324</v>
      </c>
      <c r="J1848" s="333">
        <v>42688</v>
      </c>
      <c r="K1848" s="333">
        <v>42691</v>
      </c>
      <c r="L1848" s="333">
        <v>42697</v>
      </c>
      <c r="M1848" s="331">
        <v>0</v>
      </c>
      <c r="N1848" s="334">
        <v>9465</v>
      </c>
      <c r="O1848" s="236">
        <f>'Profits 2016'!T7062</f>
        <v>0</v>
      </c>
      <c r="P1848" s="284">
        <f>'Profits 2016'!U7062</f>
        <v>0</v>
      </c>
      <c r="AF1848" s="276">
        <f t="shared" ref="AF1848:AF1911" si="207">G1848+H1849+R1848+Y1848</f>
        <v>37.700000000000003</v>
      </c>
      <c r="AG1848" s="276">
        <f t="shared" ref="AG1848:AG1911" si="208">M1848+R1848+Y1848</f>
        <v>0</v>
      </c>
      <c r="AH1848" s="276">
        <f t="shared" ref="AH1848:AH1911" si="209">D1848-AG1848</f>
        <v>0</v>
      </c>
      <c r="AI1848" s="283">
        <f t="shared" ref="AI1848:AI1911" si="210">AH1848/AF1848</f>
        <v>0</v>
      </c>
    </row>
    <row r="1849" spans="1:35" ht="30" x14ac:dyDescent="0.25">
      <c r="A1849" s="275">
        <f>'Profits 2016'!A7063</f>
        <v>3005538</v>
      </c>
      <c r="B1849" s="279">
        <f>'Profits 2016'!B7063</f>
        <v>42685</v>
      </c>
      <c r="C1849" s="276">
        <f>'Profits 2016'!H7063</f>
        <v>130</v>
      </c>
      <c r="D1849" s="280">
        <f>'Profits 2016'!K7063</f>
        <v>110.5</v>
      </c>
      <c r="E1849" s="276">
        <f>'Profits 2016'!L7063</f>
        <v>754</v>
      </c>
      <c r="F1849" s="275" t="str">
        <f>'Profits 2016'!P7063</f>
        <v>Direct</v>
      </c>
      <c r="G1849" s="292">
        <f>'Profits 2016'!N7063-'Profits 2016'!M7063</f>
        <v>37.700000000000003</v>
      </c>
      <c r="H1849" s="331">
        <v>0</v>
      </c>
      <c r="I1849" s="332">
        <v>76391</v>
      </c>
      <c r="J1849" s="333">
        <v>42689</v>
      </c>
      <c r="K1849" s="333">
        <v>42692</v>
      </c>
      <c r="L1849" s="333">
        <v>42697</v>
      </c>
      <c r="M1849" s="331">
        <v>73.89</v>
      </c>
      <c r="N1849" s="334">
        <v>9491</v>
      </c>
      <c r="O1849" s="236" t="str">
        <f>'Profits 2016'!T7063</f>
        <v>FEDEX GROUND</v>
      </c>
      <c r="P1849" s="284" t="str">
        <f>'Profits 2016'!U7063</f>
        <v>639564016721</v>
      </c>
      <c r="AF1849" s="276">
        <f t="shared" si="207"/>
        <v>37.700000000000003</v>
      </c>
      <c r="AG1849" s="276">
        <f t="shared" si="208"/>
        <v>73.89</v>
      </c>
      <c r="AH1849" s="276">
        <f t="shared" si="209"/>
        <v>36.61</v>
      </c>
      <c r="AI1849" s="283">
        <f t="shared" si="210"/>
        <v>0.97108753315649854</v>
      </c>
    </row>
    <row r="1850" spans="1:35" x14ac:dyDescent="0.25">
      <c r="A1850" s="275">
        <f>'Profits 2016'!A7064</f>
        <v>0</v>
      </c>
      <c r="B1850" s="279">
        <f>'Profits 2016'!B7064</f>
        <v>0</v>
      </c>
      <c r="C1850" s="276">
        <f>'Profits 2016'!H7064</f>
        <v>0</v>
      </c>
      <c r="D1850" s="280">
        <f>'Profits 2016'!K7064</f>
        <v>0</v>
      </c>
      <c r="E1850" s="276">
        <f>'Profits 2016'!L7064</f>
        <v>754</v>
      </c>
      <c r="F1850" s="275" t="str">
        <f>'Profits 2016'!P7064</f>
        <v>Direct</v>
      </c>
      <c r="G1850" s="292">
        <f>'Profits 2016'!N7064-'Profits 2016'!M7064</f>
        <v>37.700000000000003</v>
      </c>
      <c r="H1850" s="331">
        <v>0</v>
      </c>
      <c r="I1850" s="332">
        <v>76391</v>
      </c>
      <c r="J1850" s="333">
        <v>42689</v>
      </c>
      <c r="K1850" s="333">
        <v>42692</v>
      </c>
      <c r="L1850" s="333">
        <v>42697</v>
      </c>
      <c r="M1850" s="331">
        <v>0</v>
      </c>
      <c r="N1850" s="334">
        <v>9491</v>
      </c>
      <c r="O1850" s="236">
        <f>'Profits 2016'!T7064</f>
        <v>0</v>
      </c>
      <c r="P1850" s="284">
        <f>'Profits 2016'!U7064</f>
        <v>0</v>
      </c>
      <c r="AF1850" s="276">
        <f t="shared" si="207"/>
        <v>37.700000000000003</v>
      </c>
      <c r="AG1850" s="276">
        <f t="shared" si="208"/>
        <v>0</v>
      </c>
      <c r="AH1850" s="276">
        <f t="shared" si="209"/>
        <v>0</v>
      </c>
      <c r="AI1850" s="283">
        <f t="shared" si="210"/>
        <v>0</v>
      </c>
    </row>
    <row r="1851" spans="1:35" ht="30" x14ac:dyDescent="0.25">
      <c r="A1851" s="275">
        <f>'Profits 2016'!A7065</f>
        <v>3005539</v>
      </c>
      <c r="B1851" s="279">
        <f>'Profits 2016'!B7065</f>
        <v>42685</v>
      </c>
      <c r="C1851" s="276">
        <f>'Profits 2016'!H7065</f>
        <v>115</v>
      </c>
      <c r="D1851" s="280">
        <f>'Profits 2016'!K7065</f>
        <v>97.75</v>
      </c>
      <c r="E1851" s="276">
        <f>'Profits 2016'!L7065</f>
        <v>2200</v>
      </c>
      <c r="F1851" s="275" t="str">
        <f>'Profits 2016'!P7065</f>
        <v>Direct</v>
      </c>
      <c r="G1851" s="292">
        <f>'Profits 2016'!N7065-'Profits 2016'!M7065</f>
        <v>77.000000000000014</v>
      </c>
      <c r="H1851" s="331">
        <v>0</v>
      </c>
      <c r="I1851" s="332">
        <v>76329</v>
      </c>
      <c r="J1851" s="333">
        <v>42688</v>
      </c>
      <c r="K1851" s="333">
        <v>42691</v>
      </c>
      <c r="L1851" s="333">
        <v>42697</v>
      </c>
      <c r="M1851" s="331">
        <v>75.459999999999994</v>
      </c>
      <c r="N1851" s="334">
        <v>9467</v>
      </c>
      <c r="O1851" s="236" t="str">
        <f>'Profits 2016'!T7065</f>
        <v>FEDEX GROUND</v>
      </c>
      <c r="P1851" s="284" t="str">
        <f>'Profits 2016'!U7065</f>
        <v>630512245762</v>
      </c>
      <c r="AF1851" s="276">
        <f t="shared" si="207"/>
        <v>77.000000000000014</v>
      </c>
      <c r="AG1851" s="276">
        <f t="shared" si="208"/>
        <v>75.459999999999994</v>
      </c>
      <c r="AH1851" s="276">
        <f t="shared" si="209"/>
        <v>22.290000000000006</v>
      </c>
      <c r="AI1851" s="283">
        <f t="shared" si="210"/>
        <v>0.2894805194805195</v>
      </c>
    </row>
    <row r="1852" spans="1:35" ht="60" x14ac:dyDescent="0.25">
      <c r="A1852" s="275">
        <f>'Profits 2016'!A7066</f>
        <v>3005540</v>
      </c>
      <c r="B1852" s="279">
        <f>'Profits 2016'!B7066</f>
        <v>42685</v>
      </c>
      <c r="C1852" s="276">
        <f>'Profits 2016'!H7066</f>
        <v>588</v>
      </c>
      <c r="D1852" s="280">
        <f>'Profits 2016'!K7066</f>
        <v>499.8</v>
      </c>
      <c r="E1852" s="276">
        <f>'Profits 2016'!L7066</f>
        <v>622.45000000000005</v>
      </c>
      <c r="F1852" s="275" t="str">
        <f>'Profits 2016'!P7066</f>
        <v>Nassau</v>
      </c>
      <c r="G1852" s="292">
        <f>'Profits 2016'!N7066-'Profits 2016'!M7066</f>
        <v>311.22500000000002</v>
      </c>
      <c r="H1852" s="319"/>
      <c r="I1852" s="320"/>
      <c r="J1852" s="321"/>
      <c r="K1852" s="321"/>
      <c r="L1852" s="321"/>
      <c r="M1852" s="319"/>
      <c r="N1852" s="322"/>
      <c r="O1852" s="236" t="str">
        <f>'Profits 2016'!T7066</f>
        <v>FEDEX GROUND</v>
      </c>
      <c r="P1852" s="284" t="str">
        <f>'Profits 2016'!U7066</f>
        <v>702723292443, 702723292454, 702723292465, 702723292476</v>
      </c>
      <c r="AF1852" s="276">
        <f t="shared" si="207"/>
        <v>311.22500000000002</v>
      </c>
      <c r="AG1852" s="276">
        <f t="shared" si="208"/>
        <v>0</v>
      </c>
      <c r="AH1852" s="276">
        <f t="shared" si="209"/>
        <v>499.8</v>
      </c>
      <c r="AI1852" s="283">
        <f t="shared" si="210"/>
        <v>1.6059121214555385</v>
      </c>
    </row>
    <row r="1853" spans="1:35" ht="30" x14ac:dyDescent="0.25">
      <c r="A1853" s="275">
        <f>'Profits 2016'!A7067</f>
        <v>3005541</v>
      </c>
      <c r="B1853" s="279">
        <f>'Profits 2016'!B7067</f>
        <v>42685</v>
      </c>
      <c r="C1853" s="276">
        <f>'Profits 2016'!H7067</f>
        <v>130</v>
      </c>
      <c r="D1853" s="280">
        <f>'Profits 2016'!K7067</f>
        <v>110.5</v>
      </c>
      <c r="E1853" s="276">
        <f>'Profits 2016'!L7067</f>
        <v>754</v>
      </c>
      <c r="F1853" s="275" t="str">
        <f>'Profits 2016'!P7067</f>
        <v>Direct</v>
      </c>
      <c r="G1853" s="292">
        <f>'Profits 2016'!N7067-'Profits 2016'!M7067</f>
        <v>37.700000000000003</v>
      </c>
      <c r="H1853" s="331">
        <v>0</v>
      </c>
      <c r="I1853" s="332">
        <v>76322</v>
      </c>
      <c r="J1853" s="333">
        <v>42688</v>
      </c>
      <c r="K1853" s="333">
        <v>42691</v>
      </c>
      <c r="L1853" s="333">
        <v>42697</v>
      </c>
      <c r="M1853" s="331">
        <v>73.89</v>
      </c>
      <c r="N1853" s="334">
        <v>9465</v>
      </c>
      <c r="O1853" s="236" t="str">
        <f>'Profits 2016'!T7067</f>
        <v>FEDEX GROUND</v>
      </c>
      <c r="P1853" s="284" t="str">
        <f>'Profits 2016'!U7067</f>
        <v>642286529577</v>
      </c>
      <c r="AF1853" s="276">
        <f t="shared" si="207"/>
        <v>37.700000000000003</v>
      </c>
      <c r="AG1853" s="276">
        <f t="shared" si="208"/>
        <v>73.89</v>
      </c>
      <c r="AH1853" s="276">
        <f t="shared" si="209"/>
        <v>36.61</v>
      </c>
      <c r="AI1853" s="283">
        <f t="shared" si="210"/>
        <v>0.97108753315649854</v>
      </c>
    </row>
    <row r="1854" spans="1:35" x14ac:dyDescent="0.25">
      <c r="A1854" s="275">
        <f>'Profits 2016'!A7068</f>
        <v>0</v>
      </c>
      <c r="B1854" s="279">
        <f>'Profits 2016'!B7068</f>
        <v>0</v>
      </c>
      <c r="C1854" s="276">
        <f>'Profits 2016'!H7068</f>
        <v>0</v>
      </c>
      <c r="D1854" s="280">
        <f>'Profits 2016'!K7068</f>
        <v>0</v>
      </c>
      <c r="E1854" s="276">
        <f>'Profits 2016'!L7068</f>
        <v>754</v>
      </c>
      <c r="F1854" s="275" t="str">
        <f>'Profits 2016'!P7068</f>
        <v>Direct</v>
      </c>
      <c r="G1854" s="292">
        <f>'Profits 2016'!N7068-'Profits 2016'!M7068</f>
        <v>37.700000000000003</v>
      </c>
      <c r="H1854" s="331">
        <v>0</v>
      </c>
      <c r="I1854" s="332">
        <v>76322</v>
      </c>
      <c r="J1854" s="333">
        <v>42688</v>
      </c>
      <c r="K1854" s="333">
        <v>42691</v>
      </c>
      <c r="L1854" s="333">
        <v>42697</v>
      </c>
      <c r="M1854" s="331">
        <v>0</v>
      </c>
      <c r="N1854" s="334">
        <v>9465</v>
      </c>
      <c r="O1854" s="236">
        <f>'Profits 2016'!T7068</f>
        <v>0</v>
      </c>
      <c r="P1854" s="284">
        <f>'Profits 2016'!U7068</f>
        <v>0</v>
      </c>
      <c r="AF1854" s="276">
        <f t="shared" si="207"/>
        <v>37.700000000000003</v>
      </c>
      <c r="AG1854" s="276">
        <f t="shared" si="208"/>
        <v>0</v>
      </c>
      <c r="AH1854" s="276">
        <f t="shared" si="209"/>
        <v>0</v>
      </c>
      <c r="AI1854" s="283">
        <f t="shared" si="210"/>
        <v>0</v>
      </c>
    </row>
    <row r="1855" spans="1:35" ht="30" x14ac:dyDescent="0.25">
      <c r="A1855" s="275">
        <f>'Profits 2016'!A7069</f>
        <v>3005542</v>
      </c>
      <c r="B1855" s="279">
        <f>'Profits 2016'!B7069</f>
        <v>42685</v>
      </c>
      <c r="C1855" s="276">
        <f>'Profits 2016'!H7069</f>
        <v>159.63</v>
      </c>
      <c r="D1855" s="280">
        <f>'Profits 2016'!K7069</f>
        <v>135.68549999999999</v>
      </c>
      <c r="E1855" s="276">
        <f>'Profits 2016'!L7069</f>
        <v>205</v>
      </c>
      <c r="F1855" s="275" t="str">
        <f>'Profits 2016'!P7069</f>
        <v>Nassau</v>
      </c>
      <c r="G1855" s="292">
        <f>'Profits 2016'!N7069-'Profits 2016'!M7069</f>
        <v>102.5</v>
      </c>
      <c r="H1855" s="319"/>
      <c r="I1855" s="320"/>
      <c r="J1855" s="321"/>
      <c r="K1855" s="321"/>
      <c r="L1855" s="321"/>
      <c r="M1855" s="319"/>
      <c r="N1855" s="322"/>
      <c r="O1855" s="236" t="str">
        <f>'Profits 2016'!T7069</f>
        <v>FEDEX GROUND</v>
      </c>
      <c r="P1855" s="284" t="str">
        <f>'Profits 2016'!U7069</f>
        <v>702723292362</v>
      </c>
      <c r="Q1855" s="284" t="s">
        <v>314</v>
      </c>
      <c r="R1855" s="276">
        <v>81.03</v>
      </c>
      <c r="S1855" s="275" t="s">
        <v>15932</v>
      </c>
      <c r="T1855" s="279">
        <v>42696</v>
      </c>
      <c r="U1855" s="279">
        <v>42702</v>
      </c>
      <c r="AF1855" s="276">
        <f t="shared" si="207"/>
        <v>183.53</v>
      </c>
      <c r="AG1855" s="276">
        <f t="shared" si="208"/>
        <v>81.03</v>
      </c>
      <c r="AH1855" s="276">
        <f t="shared" si="209"/>
        <v>54.655499999999989</v>
      </c>
      <c r="AI1855" s="283">
        <f t="shared" si="210"/>
        <v>0.29780144935432895</v>
      </c>
    </row>
    <row r="1856" spans="1:35" ht="30" x14ac:dyDescent="0.25">
      <c r="A1856" s="275">
        <f>'Profits 2016'!A7070</f>
        <v>3005543</v>
      </c>
      <c r="B1856" s="279">
        <f>'Profits 2016'!B7070</f>
        <v>42685</v>
      </c>
      <c r="C1856" s="276">
        <f>'Profits 2016'!H7070</f>
        <v>423.62</v>
      </c>
      <c r="D1856" s="280">
        <f>'Profits 2016'!K7070</f>
        <v>377.14542</v>
      </c>
      <c r="E1856" s="276">
        <f>'Profits 2016'!L7070</f>
        <v>900</v>
      </c>
      <c r="F1856" s="275" t="str">
        <f>'Profits 2016'!P7070</f>
        <v>Nassau</v>
      </c>
      <c r="G1856" s="292">
        <f>'Profits 2016'!N7070-'Profits 2016'!M7070</f>
        <v>225</v>
      </c>
      <c r="H1856" s="319"/>
      <c r="I1856" s="320"/>
      <c r="J1856" s="321"/>
      <c r="K1856" s="321"/>
      <c r="L1856" s="321"/>
      <c r="M1856" s="319"/>
      <c r="N1856" s="322"/>
      <c r="O1856" s="236" t="str">
        <f>'Profits 2016'!T7070</f>
        <v>FEDEX GROUND</v>
      </c>
      <c r="P1856" s="284" t="str">
        <f>'Profits 2016'!U7070</f>
        <v>702723292307</v>
      </c>
      <c r="AF1856" s="276">
        <f t="shared" si="207"/>
        <v>225</v>
      </c>
      <c r="AG1856" s="276">
        <f t="shared" si="208"/>
        <v>0</v>
      </c>
      <c r="AH1856" s="276">
        <f t="shared" si="209"/>
        <v>377.14542</v>
      </c>
      <c r="AI1856" s="283">
        <f t="shared" si="210"/>
        <v>1.6762018666666667</v>
      </c>
    </row>
    <row r="1857" spans="1:35" ht="30" x14ac:dyDescent="0.25">
      <c r="A1857" s="275">
        <f>'Profits 2016'!A7071</f>
        <v>3005544</v>
      </c>
      <c r="B1857" s="279">
        <f>'Profits 2016'!B7071</f>
        <v>42685</v>
      </c>
      <c r="C1857" s="276">
        <f>'Profits 2016'!H7071</f>
        <v>1150</v>
      </c>
      <c r="D1857" s="280">
        <f>'Profits 2016'!K7071</f>
        <v>1150</v>
      </c>
      <c r="E1857" s="276">
        <f>'Profits 2016'!L7071</f>
        <v>950</v>
      </c>
      <c r="F1857" s="275" t="str">
        <f>'Profits 2016'!P7071</f>
        <v>West Virginia</v>
      </c>
      <c r="G1857" s="292">
        <f>'Profits 2016'!N7071-'Profits 2016'!M7071</f>
        <v>950</v>
      </c>
      <c r="H1857" s="331"/>
      <c r="I1857" s="332"/>
      <c r="J1857" s="333"/>
      <c r="K1857" s="333"/>
      <c r="L1857" s="333"/>
      <c r="M1857" s="331"/>
      <c r="N1857" s="334"/>
      <c r="O1857" s="236" t="str">
        <f>'Profits 2016'!T7071</f>
        <v>DAYTON FREIGHT</v>
      </c>
      <c r="P1857" s="284" t="str">
        <f>'Profits 2016'!U7071</f>
        <v>00361354948</v>
      </c>
      <c r="AF1857" s="276">
        <f t="shared" si="207"/>
        <v>950</v>
      </c>
      <c r="AG1857" s="276">
        <f t="shared" si="208"/>
        <v>0</v>
      </c>
      <c r="AH1857" s="276">
        <f t="shared" si="209"/>
        <v>1150</v>
      </c>
      <c r="AI1857" s="283">
        <f t="shared" si="210"/>
        <v>1.2105263157894737</v>
      </c>
    </row>
    <row r="1858" spans="1:35" ht="30" x14ac:dyDescent="0.25">
      <c r="A1858" s="275">
        <f>'Profits 2016'!A7072</f>
        <v>3005545</v>
      </c>
      <c r="B1858" s="279">
        <f>'Profits 2016'!B7072</f>
        <v>42685</v>
      </c>
      <c r="C1858" s="276">
        <f>'Profits 2016'!H7072</f>
        <v>295</v>
      </c>
      <c r="D1858" s="280">
        <f>'Profits 2016'!K7072</f>
        <v>285.11250000000001</v>
      </c>
      <c r="E1858" s="276">
        <f>'Profits 2016'!L7072</f>
        <v>1100</v>
      </c>
      <c r="F1858" s="275" t="str">
        <f>'Profits 2016'!P7072</f>
        <v>Nassau</v>
      </c>
      <c r="G1858" s="292">
        <f>'Profits 2016'!N7072-'Profits 2016'!M7072</f>
        <v>159.5</v>
      </c>
      <c r="H1858" s="319"/>
      <c r="I1858" s="320"/>
      <c r="J1858" s="321"/>
      <c r="K1858" s="321"/>
      <c r="L1858" s="321"/>
      <c r="M1858" s="319"/>
      <c r="N1858" s="322"/>
      <c r="O1858" s="236" t="str">
        <f>'Profits 2016'!T7072</f>
        <v>FEDEX GROUND</v>
      </c>
      <c r="P1858" s="284" t="str">
        <f>'Profits 2016'!U7072</f>
        <v>702723292340</v>
      </c>
      <c r="AF1858" s="276">
        <f t="shared" si="207"/>
        <v>159.5</v>
      </c>
      <c r="AG1858" s="276">
        <f t="shared" si="208"/>
        <v>0</v>
      </c>
      <c r="AH1858" s="276">
        <f t="shared" si="209"/>
        <v>285.11250000000001</v>
      </c>
      <c r="AI1858" s="283">
        <f t="shared" si="210"/>
        <v>1.787539184952978</v>
      </c>
    </row>
    <row r="1859" spans="1:35" ht="30" x14ac:dyDescent="0.25">
      <c r="A1859" s="275">
        <f>'Profits 2016'!A7073</f>
        <v>3005546</v>
      </c>
      <c r="B1859" s="279">
        <f>'Profits 2016'!B7073</f>
        <v>42685</v>
      </c>
      <c r="C1859" s="276">
        <f>'Profits 2016'!H7073</f>
        <v>910</v>
      </c>
      <c r="D1859" s="280">
        <f>'Profits 2016'!K7073</f>
        <v>889.68</v>
      </c>
      <c r="E1859" s="276">
        <f>'Profits 2016'!L7073</f>
        <v>944</v>
      </c>
      <c r="F1859" s="275" t="str">
        <f>'Profits 2016'!P7073</f>
        <v>Direct</v>
      </c>
      <c r="G1859" s="292">
        <f>'Profits 2016'!N7073-'Profits 2016'!M7073</f>
        <v>236</v>
      </c>
      <c r="H1859" s="331">
        <v>0</v>
      </c>
      <c r="I1859" s="332">
        <v>76331</v>
      </c>
      <c r="J1859" s="333">
        <v>42688</v>
      </c>
      <c r="K1859" s="333">
        <v>42691</v>
      </c>
      <c r="L1859" s="333">
        <v>42697</v>
      </c>
      <c r="M1859" s="331">
        <v>462.56</v>
      </c>
      <c r="N1859" s="334">
        <v>9466</v>
      </c>
      <c r="O1859" s="236" t="str">
        <f>'Profits 2016'!T7073</f>
        <v>UPS FREIGHT</v>
      </c>
      <c r="P1859" s="284" t="str">
        <f>'Profits 2016'!U7073</f>
        <v>200264901</v>
      </c>
      <c r="AF1859" s="276">
        <f t="shared" si="207"/>
        <v>236</v>
      </c>
      <c r="AG1859" s="276">
        <f t="shared" si="208"/>
        <v>462.56</v>
      </c>
      <c r="AH1859" s="276">
        <f t="shared" si="209"/>
        <v>427.11999999999995</v>
      </c>
      <c r="AI1859" s="283">
        <f t="shared" si="210"/>
        <v>1.809830508474576</v>
      </c>
    </row>
    <row r="1860" spans="1:35" x14ac:dyDescent="0.25">
      <c r="A1860" s="275">
        <f>'Profits 2016'!A7074</f>
        <v>0</v>
      </c>
      <c r="B1860" s="279">
        <f>'Profits 2016'!B7074</f>
        <v>0</v>
      </c>
      <c r="C1860" s="276">
        <f>'Profits 2016'!H7074</f>
        <v>0</v>
      </c>
      <c r="D1860" s="280">
        <f>'Profits 2016'!K7074</f>
        <v>0</v>
      </c>
      <c r="E1860" s="276">
        <f>'Profits 2016'!L7074</f>
        <v>944</v>
      </c>
      <c r="F1860" s="275" t="str">
        <f>'Profits 2016'!P7074</f>
        <v>Direct</v>
      </c>
      <c r="G1860" s="292">
        <f>'Profits 2016'!N7074-'Profits 2016'!M7074</f>
        <v>236</v>
      </c>
      <c r="H1860" s="331">
        <v>0</v>
      </c>
      <c r="I1860" s="332">
        <v>76331</v>
      </c>
      <c r="J1860" s="333">
        <v>42688</v>
      </c>
      <c r="K1860" s="333">
        <v>42691</v>
      </c>
      <c r="L1860" s="333">
        <v>42697</v>
      </c>
      <c r="M1860" s="331">
        <v>0</v>
      </c>
      <c r="N1860" s="334">
        <v>9466</v>
      </c>
      <c r="O1860" s="236">
        <f>'Profits 2016'!T7074</f>
        <v>0</v>
      </c>
      <c r="P1860" s="284">
        <f>'Profits 2016'!U7074</f>
        <v>0</v>
      </c>
      <c r="AF1860" s="276">
        <f t="shared" si="207"/>
        <v>236</v>
      </c>
      <c r="AG1860" s="276">
        <f t="shared" si="208"/>
        <v>0</v>
      </c>
      <c r="AH1860" s="276">
        <f t="shared" si="209"/>
        <v>0</v>
      </c>
      <c r="AI1860" s="283">
        <f t="shared" si="210"/>
        <v>0</v>
      </c>
    </row>
    <row r="1861" spans="1:35" ht="30" x14ac:dyDescent="0.25">
      <c r="A1861" s="275">
        <f>'Profits 2016'!A7075</f>
        <v>3005547</v>
      </c>
      <c r="B1861" s="279">
        <f>'Profits 2016'!B7075</f>
        <v>42685</v>
      </c>
      <c r="C1861" s="276">
        <f>'Profits 2016'!H7075</f>
        <v>1080</v>
      </c>
      <c r="D1861" s="280">
        <f>'Profits 2016'!K7075</f>
        <v>1055.94</v>
      </c>
      <c r="E1861" s="276">
        <f>'Profits 2016'!L7075</f>
        <v>1795</v>
      </c>
      <c r="F1861" s="275" t="str">
        <f>'Profits 2016'!P7075</f>
        <v>Nassau</v>
      </c>
      <c r="G1861" s="292">
        <f>'Profits 2016'!N7075-'Profits 2016'!M7075</f>
        <v>448.75</v>
      </c>
      <c r="H1861" s="319"/>
      <c r="I1861" s="320"/>
      <c r="J1861" s="321"/>
      <c r="K1861" s="321"/>
      <c r="L1861" s="321"/>
      <c r="M1861" s="319"/>
      <c r="N1861" s="322"/>
      <c r="O1861" s="236" t="str">
        <f>'Profits 2016'!T7075</f>
        <v>PITT OHIO/DLS</v>
      </c>
      <c r="P1861" s="284" t="str">
        <f>'Profits 2016'!U7075</f>
        <v>5014108282</v>
      </c>
      <c r="Q1861" s="284" t="s">
        <v>15804</v>
      </c>
      <c r="R1861" s="276">
        <v>89.99</v>
      </c>
      <c r="S1861" s="275">
        <v>636977111</v>
      </c>
      <c r="T1861" s="279">
        <v>42691</v>
      </c>
      <c r="U1861" s="279">
        <v>42702</v>
      </c>
      <c r="AF1861" s="276">
        <f t="shared" si="207"/>
        <v>538.74</v>
      </c>
      <c r="AG1861" s="276">
        <f t="shared" si="208"/>
        <v>89.99</v>
      </c>
      <c r="AH1861" s="276">
        <f t="shared" si="209"/>
        <v>965.95</v>
      </c>
      <c r="AI1861" s="283">
        <f t="shared" si="210"/>
        <v>1.7929799161005309</v>
      </c>
    </row>
    <row r="1862" spans="1:35" ht="30" x14ac:dyDescent="0.25">
      <c r="A1862" s="275">
        <f>'Profits 2016'!A7076</f>
        <v>0</v>
      </c>
      <c r="B1862" s="279">
        <f>'Profits 2016'!B7076</f>
        <v>0</v>
      </c>
      <c r="C1862" s="276">
        <f>'Profits 2016'!H7076</f>
        <v>0</v>
      </c>
      <c r="D1862" s="280">
        <f>'Profits 2016'!K7076</f>
        <v>0</v>
      </c>
      <c r="E1862" s="276">
        <f>'Profits 2016'!L7076</f>
        <v>770</v>
      </c>
      <c r="F1862" s="275" t="str">
        <f>'Profits 2016'!P7076</f>
        <v>Priority</v>
      </c>
      <c r="G1862" s="292">
        <f>'Profits 2016'!N7076-'Profits 2016'!M7076</f>
        <v>192.5</v>
      </c>
      <c r="H1862" s="331">
        <v>0</v>
      </c>
      <c r="I1862" s="332">
        <v>1076351</v>
      </c>
      <c r="J1862" s="333">
        <v>42688</v>
      </c>
      <c r="K1862" s="333">
        <v>42695</v>
      </c>
      <c r="L1862" s="333"/>
      <c r="M1862" s="331"/>
      <c r="N1862" s="334"/>
      <c r="O1862" s="236" t="str">
        <f>'Profits 2016'!T7076</f>
        <v>FEDEX GROUND</v>
      </c>
      <c r="P1862" s="284" t="str">
        <f>'Profits 2016'!U7076</f>
        <v xml:space="preserve">	616712878203</v>
      </c>
      <c r="Q1862" s="284" t="s">
        <v>15740</v>
      </c>
      <c r="R1862" s="276">
        <v>42.25</v>
      </c>
      <c r="S1862" s="275">
        <v>1076351</v>
      </c>
      <c r="T1862" s="279">
        <v>42688</v>
      </c>
      <c r="U1862" s="279">
        <v>42695</v>
      </c>
      <c r="AF1862" s="276">
        <f t="shared" si="207"/>
        <v>234.75</v>
      </c>
      <c r="AG1862" s="276">
        <f t="shared" si="208"/>
        <v>42.25</v>
      </c>
      <c r="AH1862" s="276">
        <f t="shared" si="209"/>
        <v>-42.25</v>
      </c>
      <c r="AI1862" s="283">
        <f t="shared" si="210"/>
        <v>-0.1799787007454739</v>
      </c>
    </row>
    <row r="1863" spans="1:35" ht="30" x14ac:dyDescent="0.25">
      <c r="A1863" s="275">
        <f>'Profits 2016'!A7077</f>
        <v>3005548</v>
      </c>
      <c r="B1863" s="279">
        <f>'Profits 2016'!B7077</f>
        <v>42685</v>
      </c>
      <c r="C1863" s="276">
        <f>'Profits 2016'!H7077</f>
        <v>210</v>
      </c>
      <c r="D1863" s="280">
        <f>'Profits 2016'!K7077</f>
        <v>178.5</v>
      </c>
      <c r="E1863" s="276">
        <f>'Profits 2016'!L7077</f>
        <v>900</v>
      </c>
      <c r="F1863" s="275" t="str">
        <f>'Profits 2016'!P7077</f>
        <v>Nassau</v>
      </c>
      <c r="G1863" s="292">
        <f>'Profits 2016'!N7077-'Profits 2016'!M7077</f>
        <v>90</v>
      </c>
      <c r="H1863" s="319"/>
      <c r="I1863" s="320"/>
      <c r="J1863" s="321"/>
      <c r="K1863" s="321"/>
      <c r="L1863" s="321"/>
      <c r="M1863" s="319"/>
      <c r="N1863" s="322"/>
      <c r="O1863" s="236" t="str">
        <f>'Profits 2016'!T7077</f>
        <v>FEDEX GROUND</v>
      </c>
      <c r="P1863" s="284" t="str">
        <f>'Profits 2016'!U7077</f>
        <v>702723292329</v>
      </c>
      <c r="AF1863" s="276">
        <f t="shared" si="207"/>
        <v>90</v>
      </c>
      <c r="AG1863" s="276">
        <f t="shared" si="208"/>
        <v>0</v>
      </c>
      <c r="AH1863" s="276">
        <f t="shared" si="209"/>
        <v>178.5</v>
      </c>
      <c r="AI1863" s="283">
        <f t="shared" si="210"/>
        <v>1.9833333333333334</v>
      </c>
    </row>
    <row r="1864" spans="1:35" ht="30" x14ac:dyDescent="0.25">
      <c r="A1864" s="275">
        <f>'Profits 2016'!A7078</f>
        <v>3005549</v>
      </c>
      <c r="B1864" s="279">
        <f>'Profits 2016'!B7078</f>
        <v>42688</v>
      </c>
      <c r="C1864" s="276">
        <f>'Profits 2016'!H7078</f>
        <v>7255.6</v>
      </c>
      <c r="D1864" s="280">
        <f>'Profits 2016'!K7078</f>
        <v>7255.6</v>
      </c>
      <c r="E1864" s="276">
        <f>'Profits 2016'!L7078</f>
        <v>1800</v>
      </c>
      <c r="F1864" s="275" t="str">
        <f>'Profits 2016'!P7078</f>
        <v>Allied</v>
      </c>
      <c r="G1864" s="292">
        <f>'Profits 2016'!N7078-'Profits 2016'!M7078</f>
        <v>5756.4</v>
      </c>
      <c r="H1864" s="331">
        <v>0</v>
      </c>
      <c r="I1864" s="332">
        <v>361827</v>
      </c>
      <c r="J1864" s="333">
        <v>42695</v>
      </c>
      <c r="K1864" s="333">
        <v>42702</v>
      </c>
      <c r="L1864" s="333"/>
      <c r="M1864" s="331"/>
      <c r="N1864" s="334"/>
      <c r="O1864" s="236" t="str">
        <f>'Profits 2016'!T7078</f>
        <v>FEDEX PRIORITY</v>
      </c>
      <c r="P1864" s="284" t="str">
        <f>'Profits 2016'!U7078</f>
        <v>3953708290</v>
      </c>
      <c r="AF1864" s="276">
        <f t="shared" si="207"/>
        <v>5756.4</v>
      </c>
      <c r="AG1864" s="276">
        <f t="shared" si="208"/>
        <v>0</v>
      </c>
      <c r="AH1864" s="276">
        <f t="shared" si="209"/>
        <v>7255.6</v>
      </c>
      <c r="AI1864" s="283">
        <f t="shared" si="210"/>
        <v>1.2604405531234801</v>
      </c>
    </row>
    <row r="1865" spans="1:35" ht="30" x14ac:dyDescent="0.25">
      <c r="A1865" s="275">
        <f>'Profits 2016'!A7080</f>
        <v>3005550</v>
      </c>
      <c r="B1865" s="279">
        <f>'Profits 2016'!B7080</f>
        <v>42688</v>
      </c>
      <c r="C1865" s="276">
        <f>'Profits 2016'!H7080</f>
        <v>300</v>
      </c>
      <c r="D1865" s="280">
        <f>'Profits 2016'!K7080</f>
        <v>267</v>
      </c>
      <c r="E1865" s="276">
        <f>'Profits 2016'!L7080</f>
        <v>1241.08</v>
      </c>
      <c r="F1865" s="275" t="str">
        <f>'Profits 2016'!P7080</f>
        <v>Nassau</v>
      </c>
      <c r="G1865" s="292">
        <f>'Profits 2016'!N7080-'Profits 2016'!M7080</f>
        <v>124.108</v>
      </c>
      <c r="H1865" s="319"/>
      <c r="I1865" s="320"/>
      <c r="J1865" s="321"/>
      <c r="K1865" s="321"/>
      <c r="L1865" s="321"/>
      <c r="M1865" s="319"/>
      <c r="N1865" s="322"/>
      <c r="O1865" s="236" t="str">
        <f>'Profits 2016'!T7080</f>
        <v>FEDEX GROUND</v>
      </c>
      <c r="P1865" s="284" t="str">
        <f>'Profits 2016'!U7080</f>
        <v>702723292330</v>
      </c>
      <c r="AF1865" s="276">
        <f t="shared" si="207"/>
        <v>124.108</v>
      </c>
      <c r="AG1865" s="276">
        <f t="shared" si="208"/>
        <v>0</v>
      </c>
      <c r="AH1865" s="276">
        <f t="shared" si="209"/>
        <v>267</v>
      </c>
      <c r="AI1865" s="283">
        <f t="shared" si="210"/>
        <v>2.15135204821607</v>
      </c>
    </row>
    <row r="1866" spans="1:35" ht="30" x14ac:dyDescent="0.25">
      <c r="A1866" s="275">
        <f>'Profits 2016'!A7081</f>
        <v>3005551</v>
      </c>
      <c r="B1866" s="279">
        <f>'Profits 2016'!B7081</f>
        <v>42688</v>
      </c>
      <c r="C1866" s="276">
        <f>'Profits 2016'!H7081</f>
        <v>502.54</v>
      </c>
      <c r="D1866" s="280">
        <f>'Profits 2016'!K7081</f>
        <v>502.54</v>
      </c>
      <c r="E1866" s="276">
        <f>'Profits 2016'!L7081</f>
        <v>575</v>
      </c>
      <c r="F1866" s="275" t="str">
        <f>'Profits 2016'!P7081</f>
        <v>A-Z</v>
      </c>
      <c r="G1866" s="292">
        <f>'Profits 2016'!N7081-'Profits 2016'!M7081</f>
        <v>143.75</v>
      </c>
      <c r="H1866" s="331">
        <v>0</v>
      </c>
      <c r="I1866" s="332">
        <v>410169</v>
      </c>
      <c r="J1866" s="333">
        <v>42690</v>
      </c>
      <c r="K1866" s="333">
        <v>42695</v>
      </c>
      <c r="L1866" s="333"/>
      <c r="M1866" s="331"/>
      <c r="N1866" s="334"/>
      <c r="O1866" s="236" t="str">
        <f>'Profits 2016'!T7081</f>
        <v>FEDEX GROUND</v>
      </c>
      <c r="P1866" s="284" t="str">
        <f>'Profits 2016'!U7081</f>
        <v>712301698779</v>
      </c>
      <c r="AF1866" s="276">
        <f t="shared" si="207"/>
        <v>143.75</v>
      </c>
      <c r="AG1866" s="276">
        <f t="shared" si="208"/>
        <v>0</v>
      </c>
      <c r="AH1866" s="276">
        <f t="shared" si="209"/>
        <v>502.54</v>
      </c>
      <c r="AI1866" s="283">
        <f t="shared" si="210"/>
        <v>3.495930434782609</v>
      </c>
    </row>
    <row r="1867" spans="1:35" x14ac:dyDescent="0.25">
      <c r="A1867" s="275">
        <f>'Profits 2016'!A7082</f>
        <v>0</v>
      </c>
      <c r="B1867" s="279">
        <f>'Profits 2016'!B7082</f>
        <v>0</v>
      </c>
      <c r="C1867" s="276">
        <f>'Profits 2016'!H7082</f>
        <v>0</v>
      </c>
      <c r="D1867" s="280">
        <f>'Profits 2016'!K7082</f>
        <v>0</v>
      </c>
      <c r="E1867" s="276">
        <f>'Profits 2016'!L7082</f>
        <v>155</v>
      </c>
      <c r="F1867" s="275" t="str">
        <f>'Profits 2016'!P7082</f>
        <v>A-Z</v>
      </c>
      <c r="G1867" s="292">
        <f>'Profits 2016'!N7082-'Profits 2016'!M7082</f>
        <v>155</v>
      </c>
      <c r="H1867" s="331">
        <v>0</v>
      </c>
      <c r="I1867" s="332">
        <v>410169</v>
      </c>
      <c r="J1867" s="333">
        <v>42690</v>
      </c>
      <c r="K1867" s="333">
        <v>42695</v>
      </c>
      <c r="L1867" s="333"/>
      <c r="M1867" s="331"/>
      <c r="N1867" s="334"/>
      <c r="O1867" s="236">
        <f>'Profits 2016'!T7082</f>
        <v>0</v>
      </c>
      <c r="P1867" s="284" t="str">
        <f>'Profits 2016'!U7082</f>
        <v>712301698780</v>
      </c>
      <c r="AF1867" s="276">
        <f t="shared" si="207"/>
        <v>155</v>
      </c>
      <c r="AG1867" s="276">
        <f t="shared" si="208"/>
        <v>0</v>
      </c>
      <c r="AH1867" s="276">
        <f t="shared" si="209"/>
        <v>0</v>
      </c>
      <c r="AI1867" s="283">
        <f t="shared" si="210"/>
        <v>0</v>
      </c>
    </row>
    <row r="1868" spans="1:35" ht="30" x14ac:dyDescent="0.25">
      <c r="A1868" s="275">
        <f>'Profits 2016'!A7083</f>
        <v>0</v>
      </c>
      <c r="B1868" s="279">
        <f>'Profits 2016'!B7083</f>
        <v>0</v>
      </c>
      <c r="C1868" s="276">
        <f>'Profits 2016'!H7083</f>
        <v>0</v>
      </c>
      <c r="D1868" s="280">
        <f>'Profits 2016'!K7083</f>
        <v>0</v>
      </c>
      <c r="E1868" s="276">
        <f>'Profits 2016'!L7083</f>
        <v>40</v>
      </c>
      <c r="F1868" s="275" t="str">
        <f>'Profits 2016'!P7083</f>
        <v>Houston</v>
      </c>
      <c r="G1868" s="292">
        <f>'Profits 2016'!N7083-'Profits 2016'!M7083</f>
        <v>40</v>
      </c>
      <c r="H1868" s="331">
        <v>0</v>
      </c>
      <c r="I1868" s="332">
        <v>30923921</v>
      </c>
      <c r="J1868" s="333">
        <v>42688</v>
      </c>
      <c r="K1868" s="333">
        <v>42692</v>
      </c>
      <c r="L1868" s="333"/>
      <c r="M1868" s="331"/>
      <c r="N1868" s="334"/>
      <c r="O1868" s="236" t="str">
        <f>'Profits 2016'!T7083</f>
        <v>FEDEX GROUND</v>
      </c>
      <c r="P1868" s="284" t="str">
        <f>'Profits 2016'!U7083</f>
        <v>707510674728</v>
      </c>
      <c r="AF1868" s="276">
        <f t="shared" si="207"/>
        <v>40</v>
      </c>
      <c r="AG1868" s="276">
        <f t="shared" si="208"/>
        <v>0</v>
      </c>
      <c r="AH1868" s="276">
        <f t="shared" si="209"/>
        <v>0</v>
      </c>
      <c r="AI1868" s="283">
        <f t="shared" si="210"/>
        <v>0</v>
      </c>
    </row>
    <row r="1869" spans="1:35" ht="30" x14ac:dyDescent="0.25">
      <c r="A1869" s="275">
        <f>'Profits 2016'!A7084</f>
        <v>3005552</v>
      </c>
      <c r="B1869" s="279">
        <f>'Profits 2016'!B7084</f>
        <v>42688</v>
      </c>
      <c r="C1869" s="276">
        <f>'Profits 2016'!H7084</f>
        <v>1700</v>
      </c>
      <c r="D1869" s="280">
        <f>'Profits 2016'!K7084</f>
        <v>1662.3</v>
      </c>
      <c r="E1869" s="276">
        <f>'Profits 2016'!L7084</f>
        <v>1750</v>
      </c>
      <c r="F1869" s="275" t="str">
        <f>'Profits 2016'!P7084</f>
        <v>Direct</v>
      </c>
      <c r="G1869" s="292">
        <f>'Profits 2016'!N7084-'Profits 2016'!M7084</f>
        <v>875</v>
      </c>
      <c r="H1869" s="331">
        <v>0</v>
      </c>
      <c r="I1869" s="332">
        <v>76347</v>
      </c>
      <c r="J1869" s="333">
        <v>42688</v>
      </c>
      <c r="K1869" s="333">
        <v>42691</v>
      </c>
      <c r="L1869" s="333">
        <v>42697</v>
      </c>
      <c r="M1869" s="331">
        <v>857.5</v>
      </c>
      <c r="N1869" s="334">
        <v>9467</v>
      </c>
      <c r="O1869" s="236" t="str">
        <f>'Profits 2016'!T7084</f>
        <v>FEDEX PRIORITY</v>
      </c>
      <c r="P1869" s="284" t="str">
        <f>'Profits 2016'!U7084</f>
        <v>2538593116</v>
      </c>
      <c r="AF1869" s="276">
        <f t="shared" si="207"/>
        <v>875</v>
      </c>
      <c r="AG1869" s="276">
        <f t="shared" si="208"/>
        <v>857.5</v>
      </c>
      <c r="AH1869" s="276">
        <f t="shared" si="209"/>
        <v>804.8</v>
      </c>
      <c r="AI1869" s="283">
        <f t="shared" si="210"/>
        <v>0.91977142857142857</v>
      </c>
    </row>
    <row r="1870" spans="1:35" ht="30" x14ac:dyDescent="0.25">
      <c r="A1870" s="275">
        <f>'Profits 2016'!A7085</f>
        <v>3005553</v>
      </c>
      <c r="B1870" s="279">
        <f>'Profits 2016'!B7085</f>
        <v>42688</v>
      </c>
      <c r="C1870" s="276">
        <f>'Profits 2016'!H7085</f>
        <v>800</v>
      </c>
      <c r="D1870" s="280">
        <f>'Profits 2016'!K7085</f>
        <v>784.5</v>
      </c>
      <c r="E1870" s="276">
        <f>'Profits 2016'!L7085</f>
        <v>1628</v>
      </c>
      <c r="F1870" s="275" t="str">
        <f>'Profits 2016'!P7085</f>
        <v>Kalas</v>
      </c>
      <c r="G1870" s="292">
        <f>'Profits 2016'!N7085-'Profits 2016'!M7085</f>
        <v>407</v>
      </c>
      <c r="H1870" s="331">
        <v>0</v>
      </c>
      <c r="I1870" s="332" t="s">
        <v>15940</v>
      </c>
      <c r="J1870" s="333">
        <v>42689</v>
      </c>
      <c r="K1870" s="333">
        <v>42695</v>
      </c>
      <c r="L1870" s="333"/>
      <c r="M1870" s="331"/>
      <c r="N1870" s="334"/>
      <c r="O1870" s="236" t="str">
        <f>'Profits 2016'!T7085</f>
        <v>DUIE PYLE</v>
      </c>
      <c r="P1870" s="284" t="str">
        <f>'Profits 2016'!U7085</f>
        <v xml:space="preserve">374165967
</v>
      </c>
      <c r="AF1870" s="276">
        <f t="shared" si="207"/>
        <v>407</v>
      </c>
      <c r="AG1870" s="276">
        <f t="shared" si="208"/>
        <v>0</v>
      </c>
      <c r="AH1870" s="276">
        <f t="shared" si="209"/>
        <v>784.5</v>
      </c>
      <c r="AI1870" s="283">
        <f t="shared" si="210"/>
        <v>1.9275184275184276</v>
      </c>
    </row>
    <row r="1871" spans="1:35" ht="30" x14ac:dyDescent="0.25">
      <c r="A1871" s="275">
        <f>'Profits 2016'!A7086</f>
        <v>3005554</v>
      </c>
      <c r="B1871" s="279">
        <f>'Profits 2016'!B7086</f>
        <v>42688</v>
      </c>
      <c r="C1871" s="276">
        <f>'Profits 2016'!H7086</f>
        <v>800</v>
      </c>
      <c r="D1871" s="280">
        <f>'Profits 2016'!K7086</f>
        <v>712.5</v>
      </c>
      <c r="E1871" s="276">
        <f>'Profits 2016'!L7086</f>
        <v>1776</v>
      </c>
      <c r="F1871" s="275" t="str">
        <f>'Profits 2016'!P7086</f>
        <v>West Virginia</v>
      </c>
      <c r="G1871" s="292">
        <f>'Profits 2016'!N7086-'Profits 2016'!M7086</f>
        <v>444</v>
      </c>
      <c r="H1871" s="331"/>
      <c r="I1871" s="332"/>
      <c r="J1871" s="333"/>
      <c r="K1871" s="333"/>
      <c r="L1871" s="333"/>
      <c r="M1871" s="331"/>
      <c r="N1871" s="334"/>
      <c r="O1871" s="236" t="str">
        <f>'Profits 2016'!T7086</f>
        <v>R&amp;L</v>
      </c>
      <c r="P1871" s="284" t="str">
        <f>'Profits 2016'!U7086</f>
        <v>694090251</v>
      </c>
      <c r="AF1871" s="276">
        <f t="shared" si="207"/>
        <v>444</v>
      </c>
      <c r="AG1871" s="276">
        <f t="shared" si="208"/>
        <v>0</v>
      </c>
      <c r="AH1871" s="276">
        <f t="shared" si="209"/>
        <v>712.5</v>
      </c>
      <c r="AI1871" s="283">
        <f t="shared" si="210"/>
        <v>1.6047297297297298</v>
      </c>
    </row>
    <row r="1872" spans="1:35" ht="30" x14ac:dyDescent="0.25">
      <c r="A1872" s="275">
        <f>'Profits 2016'!A7087</f>
        <v>3005555</v>
      </c>
      <c r="B1872" s="279">
        <f>'Profits 2016'!B7087</f>
        <v>42688</v>
      </c>
      <c r="C1872" s="276">
        <f>'Profits 2016'!H7087</f>
        <v>293.44</v>
      </c>
      <c r="D1872" s="280">
        <f>'Profits 2016'!K7087</f>
        <v>261.15503999999999</v>
      </c>
      <c r="E1872" s="276">
        <f>'Profits 2016'!L7087</f>
        <v>375</v>
      </c>
      <c r="F1872" s="275" t="str">
        <f>'Profits 2016'!P7087</f>
        <v>Nassau</v>
      </c>
      <c r="G1872" s="292">
        <f>'Profits 2016'!N7087-'Profits 2016'!M7087</f>
        <v>150</v>
      </c>
      <c r="H1872" s="319"/>
      <c r="I1872" s="320"/>
      <c r="J1872" s="321"/>
      <c r="K1872" s="321"/>
      <c r="L1872" s="321"/>
      <c r="M1872" s="319"/>
      <c r="N1872" s="322"/>
      <c r="O1872" s="236" t="str">
        <f>'Profits 2016'!T7087</f>
        <v>FEDEX GROUND</v>
      </c>
      <c r="P1872" s="284" t="str">
        <f>'Profits 2016'!U7087</f>
        <v>680483361160</v>
      </c>
      <c r="AF1872" s="276">
        <f t="shared" si="207"/>
        <v>150</v>
      </c>
      <c r="AG1872" s="276">
        <f t="shared" si="208"/>
        <v>0</v>
      </c>
      <c r="AH1872" s="276">
        <f t="shared" si="209"/>
        <v>261.15503999999999</v>
      </c>
      <c r="AI1872" s="283">
        <f t="shared" si="210"/>
        <v>1.7410336</v>
      </c>
    </row>
    <row r="1873" spans="1:35" ht="30" x14ac:dyDescent="0.25">
      <c r="A1873" s="275">
        <f>'Profits 2016'!A7088</f>
        <v>3005556</v>
      </c>
      <c r="B1873" s="279">
        <f>'Profits 2016'!B7088</f>
        <v>42688</v>
      </c>
      <c r="C1873" s="276">
        <f>'Profits 2016'!H7088</f>
        <v>112.63</v>
      </c>
      <c r="D1873" s="280">
        <f>'Profits 2016'!K7088</f>
        <v>100.05332999999999</v>
      </c>
      <c r="E1873" s="276">
        <f>'Profits 2016'!L7088</f>
        <v>510</v>
      </c>
      <c r="F1873" s="275" t="str">
        <f>'Profits 2016'!P7088</f>
        <v>Nassau</v>
      </c>
      <c r="G1873" s="292">
        <f>'Profits 2016'!N7088-'Profits 2016'!M7088</f>
        <v>51</v>
      </c>
      <c r="H1873" s="319"/>
      <c r="I1873" s="320"/>
      <c r="J1873" s="321"/>
      <c r="K1873" s="321"/>
      <c r="L1873" s="321"/>
      <c r="M1873" s="319"/>
      <c r="N1873" s="322"/>
      <c r="O1873" s="236" t="str">
        <f>'Profits 2016'!T7088</f>
        <v>FEDEX GROUND</v>
      </c>
      <c r="P1873" s="284" t="str">
        <f>'Profits 2016'!U7088</f>
        <v>680483361148</v>
      </c>
      <c r="AF1873" s="276">
        <f t="shared" si="207"/>
        <v>51</v>
      </c>
      <c r="AG1873" s="276">
        <f t="shared" si="208"/>
        <v>0</v>
      </c>
      <c r="AH1873" s="276">
        <f t="shared" si="209"/>
        <v>100.05332999999999</v>
      </c>
      <c r="AI1873" s="283">
        <f t="shared" si="210"/>
        <v>1.9618299999999997</v>
      </c>
    </row>
    <row r="1874" spans="1:35" ht="30" x14ac:dyDescent="0.25">
      <c r="A1874" s="275">
        <f>'Profits 2016'!A7089</f>
        <v>3005557</v>
      </c>
      <c r="B1874" s="279">
        <f>'Profits 2016'!B7089</f>
        <v>42688</v>
      </c>
      <c r="C1874" s="276">
        <f>'Profits 2016'!H7089</f>
        <v>205.8</v>
      </c>
      <c r="D1874" s="280">
        <f>'Profits 2016'!K7089</f>
        <v>183.06780000000003</v>
      </c>
      <c r="E1874" s="276">
        <f>'Profits 2016'!L7089</f>
        <v>1035</v>
      </c>
      <c r="F1874" s="275" t="str">
        <f>'Profits 2016'!P7089</f>
        <v>Nassau</v>
      </c>
      <c r="G1874" s="292">
        <f>'Profits 2016'!N7089-'Profits 2016'!M7089</f>
        <v>87.975000000000009</v>
      </c>
      <c r="H1874" s="319"/>
      <c r="I1874" s="320"/>
      <c r="J1874" s="321"/>
      <c r="K1874" s="321"/>
      <c r="L1874" s="321"/>
      <c r="M1874" s="319"/>
      <c r="N1874" s="322"/>
      <c r="O1874" s="236" t="str">
        <f>'Profits 2016'!T7089</f>
        <v>FEDEX GROUND</v>
      </c>
      <c r="P1874" s="284" t="str">
        <f>'Profits 2016'!U7089</f>
        <v>680483361126</v>
      </c>
      <c r="AF1874" s="276">
        <f t="shared" si="207"/>
        <v>87.975000000000009</v>
      </c>
      <c r="AG1874" s="276">
        <f t="shared" si="208"/>
        <v>0</v>
      </c>
      <c r="AH1874" s="276">
        <f t="shared" si="209"/>
        <v>183.06780000000003</v>
      </c>
      <c r="AI1874" s="283">
        <f t="shared" si="210"/>
        <v>2.0809070758738279</v>
      </c>
    </row>
    <row r="1875" spans="1:35" ht="30" x14ac:dyDescent="0.25">
      <c r="A1875" s="275">
        <f>'Profits 2016'!A7090</f>
        <v>3005558</v>
      </c>
      <c r="B1875" s="279">
        <f>'Profits 2016'!B7090</f>
        <v>42688</v>
      </c>
      <c r="C1875" s="276">
        <f>'Profits 2016'!H7090</f>
        <v>49.8</v>
      </c>
      <c r="D1875" s="280">
        <f>'Profits 2016'!K7090</f>
        <v>44.071799999999996</v>
      </c>
      <c r="E1875" s="276">
        <f>'Profits 2016'!L7090</f>
        <v>424</v>
      </c>
      <c r="F1875" s="275" t="str">
        <f>'Profits 2016'!P7090</f>
        <v>Nassau</v>
      </c>
      <c r="G1875" s="292">
        <f>'Profits 2016'!N7090-'Profits 2016'!M7090</f>
        <v>14.840000000000002</v>
      </c>
      <c r="H1875" s="319"/>
      <c r="I1875" s="320"/>
      <c r="J1875" s="321"/>
      <c r="K1875" s="321"/>
      <c r="L1875" s="321"/>
      <c r="M1875" s="319"/>
      <c r="N1875" s="322"/>
      <c r="O1875" s="236" t="str">
        <f>'Profits 2016'!T7090</f>
        <v>FEDEX GROUND</v>
      </c>
      <c r="P1875" s="284" t="str">
        <f>'Profits 2016'!U7090</f>
        <v>702723292395</v>
      </c>
      <c r="AF1875" s="276">
        <f t="shared" si="207"/>
        <v>14.840000000000002</v>
      </c>
      <c r="AG1875" s="276">
        <f t="shared" si="208"/>
        <v>0</v>
      </c>
      <c r="AH1875" s="276">
        <f t="shared" si="209"/>
        <v>44.071799999999996</v>
      </c>
      <c r="AI1875" s="283">
        <f t="shared" si="210"/>
        <v>2.9697978436657677</v>
      </c>
    </row>
    <row r="1876" spans="1:35" ht="30" x14ac:dyDescent="0.25">
      <c r="A1876" s="275">
        <f>'Profits 2016'!A7091</f>
        <v>3005559</v>
      </c>
      <c r="B1876" s="279">
        <f>'Profits 2016'!B7091</f>
        <v>42688</v>
      </c>
      <c r="C1876" s="276">
        <f>'Profits 2016'!H7091</f>
        <v>104.16</v>
      </c>
      <c r="D1876" s="280">
        <f>'Profits 2016'!K7091</f>
        <v>92.506560000000007</v>
      </c>
      <c r="E1876" s="276">
        <f>'Profits 2016'!L7091</f>
        <v>330</v>
      </c>
      <c r="F1876" s="275" t="str">
        <f>'Profits 2016'!P7091</f>
        <v>Nassau</v>
      </c>
      <c r="G1876" s="292">
        <f>'Profits 2016'!N7091-'Profits 2016'!M7091</f>
        <v>33</v>
      </c>
      <c r="H1876" s="319"/>
      <c r="I1876" s="320"/>
      <c r="J1876" s="321"/>
      <c r="K1876" s="321"/>
      <c r="L1876" s="321"/>
      <c r="M1876" s="319"/>
      <c r="N1876" s="322"/>
      <c r="O1876" s="236" t="str">
        <f>'Profits 2016'!T7091</f>
        <v>FEDEX GROUND</v>
      </c>
      <c r="P1876" s="284" t="str">
        <f>'Profits 2016'!U7091</f>
        <v>680483361159</v>
      </c>
      <c r="AF1876" s="276">
        <f t="shared" si="207"/>
        <v>33</v>
      </c>
      <c r="AG1876" s="276">
        <f t="shared" si="208"/>
        <v>0</v>
      </c>
      <c r="AH1876" s="276">
        <f t="shared" si="209"/>
        <v>92.506560000000007</v>
      </c>
      <c r="AI1876" s="283">
        <f t="shared" si="210"/>
        <v>2.8032290909090913</v>
      </c>
    </row>
    <row r="1877" spans="1:35" ht="30" x14ac:dyDescent="0.25">
      <c r="A1877" s="275">
        <f>'Profits 2016'!A7092</f>
        <v>3005560</v>
      </c>
      <c r="B1877" s="279">
        <f>'Profits 2016'!B7092</f>
        <v>42688</v>
      </c>
      <c r="C1877" s="276">
        <f>'Profits 2016'!H7092</f>
        <v>186.11</v>
      </c>
      <c r="D1877" s="280">
        <f>'Profits 2016'!K7092</f>
        <v>165.52401</v>
      </c>
      <c r="E1877" s="276">
        <f>'Profits 2016'!L7092</f>
        <v>168</v>
      </c>
      <c r="F1877" s="275" t="str">
        <f>'Profits 2016'!P7092</f>
        <v>Nassau</v>
      </c>
      <c r="G1877" s="292">
        <f>'Profits 2016'!N7092-'Profits 2016'!M7092</f>
        <v>42</v>
      </c>
      <c r="H1877" s="319"/>
      <c r="I1877" s="320"/>
      <c r="J1877" s="321"/>
      <c r="K1877" s="321"/>
      <c r="L1877" s="321"/>
      <c r="M1877" s="319"/>
      <c r="N1877" s="322"/>
      <c r="O1877" s="236" t="str">
        <f>'Profits 2016'!T7092</f>
        <v>FEDEX GROUND</v>
      </c>
      <c r="P1877" s="284" t="str">
        <f>'Profits 2016'!U7092</f>
        <v>680483361170</v>
      </c>
      <c r="AF1877" s="276">
        <f t="shared" si="207"/>
        <v>42</v>
      </c>
      <c r="AG1877" s="276">
        <f t="shared" si="208"/>
        <v>0</v>
      </c>
      <c r="AH1877" s="276">
        <f t="shared" si="209"/>
        <v>165.52401</v>
      </c>
      <c r="AI1877" s="283">
        <f t="shared" si="210"/>
        <v>3.9410478571428573</v>
      </c>
    </row>
    <row r="1878" spans="1:35" ht="30" x14ac:dyDescent="0.25">
      <c r="A1878" s="275">
        <f>'Profits 2016'!A7093</f>
        <v>3005561</v>
      </c>
      <c r="B1878" s="279">
        <f>'Profits 2016'!B7093</f>
        <v>42688</v>
      </c>
      <c r="C1878" s="276">
        <f>'Profits 2016'!H7093</f>
        <v>182.68</v>
      </c>
      <c r="D1878" s="280">
        <f>'Profits 2016'!K7093</f>
        <v>162.46788000000001</v>
      </c>
      <c r="E1878" s="276">
        <f>'Profits 2016'!L7093</f>
        <v>235</v>
      </c>
      <c r="F1878" s="275" t="str">
        <f>'Profits 2016'!P7093</f>
        <v>Nassau</v>
      </c>
      <c r="G1878" s="292">
        <f>'Profits 2016'!N7093-'Profits 2016'!M7093</f>
        <v>58.75</v>
      </c>
      <c r="H1878" s="319"/>
      <c r="I1878" s="320"/>
      <c r="J1878" s="321"/>
      <c r="K1878" s="321"/>
      <c r="L1878" s="321"/>
      <c r="M1878" s="319"/>
      <c r="N1878" s="322"/>
      <c r="O1878" s="236" t="str">
        <f>'Profits 2016'!T7093</f>
        <v>FEDEX GROUND</v>
      </c>
      <c r="P1878" s="284" t="str">
        <f>'Profits 2016'!U7093</f>
        <v>702723292487</v>
      </c>
      <c r="AF1878" s="276">
        <f t="shared" si="207"/>
        <v>58.75</v>
      </c>
      <c r="AG1878" s="276">
        <f t="shared" si="208"/>
        <v>0</v>
      </c>
      <c r="AH1878" s="276">
        <f t="shared" si="209"/>
        <v>162.46788000000001</v>
      </c>
      <c r="AI1878" s="283">
        <f t="shared" si="210"/>
        <v>2.7654107234042553</v>
      </c>
    </row>
    <row r="1879" spans="1:35" ht="30" x14ac:dyDescent="0.25">
      <c r="A1879" s="275">
        <f>'Profits 2016'!A7094</f>
        <v>3005562</v>
      </c>
      <c r="B1879" s="279">
        <f>'Profits 2016'!B7094</f>
        <v>42688</v>
      </c>
      <c r="C1879" s="276">
        <f>'Profits 2016'!H7094</f>
        <v>39</v>
      </c>
      <c r="D1879" s="280">
        <f>'Profits 2016'!K7094</f>
        <v>34.449000000000005</v>
      </c>
      <c r="E1879" s="276">
        <f>'Profits 2016'!L7094</f>
        <v>424</v>
      </c>
      <c r="F1879" s="275" t="str">
        <f>'Profits 2016'!P7094</f>
        <v>Nassau</v>
      </c>
      <c r="G1879" s="292">
        <f>'Profits 2016'!N7094-'Profits 2016'!M7094</f>
        <v>10.600000000000001</v>
      </c>
      <c r="H1879" s="319"/>
      <c r="I1879" s="320"/>
      <c r="J1879" s="321"/>
      <c r="K1879" s="321"/>
      <c r="L1879" s="321"/>
      <c r="M1879" s="319"/>
      <c r="N1879" s="322"/>
      <c r="O1879" s="236" t="str">
        <f>'Profits 2016'!T7094</f>
        <v>FEDEX GROUND</v>
      </c>
      <c r="P1879" s="284" t="str">
        <f>'Profits 2016'!U7094</f>
        <v>702723292421</v>
      </c>
      <c r="AF1879" s="276">
        <f t="shared" si="207"/>
        <v>10.600000000000001</v>
      </c>
      <c r="AG1879" s="276">
        <f t="shared" si="208"/>
        <v>0</v>
      </c>
      <c r="AH1879" s="276">
        <f t="shared" si="209"/>
        <v>34.449000000000005</v>
      </c>
      <c r="AI1879" s="283">
        <f t="shared" si="210"/>
        <v>3.2499056603773586</v>
      </c>
    </row>
    <row r="1880" spans="1:35" ht="30" x14ac:dyDescent="0.25">
      <c r="A1880" s="275">
        <f>'Profits 2016'!A7095</f>
        <v>3005563</v>
      </c>
      <c r="B1880" s="279">
        <f>'Profits 2016'!B7095</f>
        <v>42688</v>
      </c>
      <c r="C1880" s="276">
        <f>'Profits 2016'!H7095</f>
        <v>301.13</v>
      </c>
      <c r="D1880" s="280">
        <f>'Profits 2016'!K7095</f>
        <v>268.00682999999998</v>
      </c>
      <c r="E1880" s="276">
        <f>'Profits 2016'!L7095</f>
        <v>424</v>
      </c>
      <c r="F1880" s="275" t="str">
        <f>'Profits 2016'!P7095</f>
        <v>Nassau</v>
      </c>
      <c r="G1880" s="292">
        <f>'Profits 2016'!N7095-'Profits 2016'!M7095</f>
        <v>95.4</v>
      </c>
      <c r="H1880" s="319"/>
      <c r="I1880" s="320"/>
      <c r="J1880" s="321"/>
      <c r="K1880" s="321"/>
      <c r="L1880" s="321"/>
      <c r="M1880" s="319"/>
      <c r="N1880" s="322"/>
      <c r="O1880" s="236" t="str">
        <f>'Profits 2016'!T7095</f>
        <v>FEDEX GROUND</v>
      </c>
      <c r="P1880" s="284" t="str">
        <f>'Profits 2016'!U7095</f>
        <v>702723292384</v>
      </c>
      <c r="AF1880" s="276">
        <f t="shared" si="207"/>
        <v>95.4</v>
      </c>
      <c r="AG1880" s="276">
        <f t="shared" si="208"/>
        <v>0</v>
      </c>
      <c r="AH1880" s="276">
        <f t="shared" si="209"/>
        <v>268.00682999999998</v>
      </c>
      <c r="AI1880" s="283">
        <f t="shared" si="210"/>
        <v>2.8092959119496852</v>
      </c>
    </row>
    <row r="1881" spans="1:35" ht="30" x14ac:dyDescent="0.25">
      <c r="A1881" s="275">
        <f>'Profits 2016'!A7096</f>
        <v>3005564</v>
      </c>
      <c r="B1881" s="279">
        <f>'Profits 2016'!B7096</f>
        <v>42688</v>
      </c>
      <c r="C1881" s="276">
        <f>'Profits 2016'!H7096</f>
        <v>291.83</v>
      </c>
      <c r="D1881" s="280">
        <f>'Profits 2016'!K7096</f>
        <v>259.72053</v>
      </c>
      <c r="E1881" s="276">
        <f>'Profits 2016'!L7096</f>
        <v>168</v>
      </c>
      <c r="F1881" s="275" t="str">
        <f>'Profits 2016'!P7096</f>
        <v>Nassau</v>
      </c>
      <c r="G1881" s="292">
        <f>'Profits 2016'!N7096-'Profits 2016'!M7096</f>
        <v>84</v>
      </c>
      <c r="H1881" s="319"/>
      <c r="I1881" s="320"/>
      <c r="J1881" s="321"/>
      <c r="K1881" s="321"/>
      <c r="L1881" s="321"/>
      <c r="M1881" s="319"/>
      <c r="N1881" s="322"/>
      <c r="O1881" s="236" t="str">
        <f>'Profits 2016'!T7096</f>
        <v>FEDEX GROUND</v>
      </c>
      <c r="P1881" s="284" t="str">
        <f>'Profits 2016'!U7096</f>
        <v>680483361181</v>
      </c>
      <c r="AF1881" s="276">
        <f t="shared" si="207"/>
        <v>84</v>
      </c>
      <c r="AG1881" s="276">
        <f t="shared" si="208"/>
        <v>0</v>
      </c>
      <c r="AH1881" s="276">
        <f t="shared" si="209"/>
        <v>259.72053</v>
      </c>
      <c r="AI1881" s="283">
        <f t="shared" si="210"/>
        <v>3.0919110714285716</v>
      </c>
    </row>
    <row r="1882" spans="1:35" ht="30" x14ac:dyDescent="0.25">
      <c r="A1882" s="275">
        <f>'Profits 2016'!A7097</f>
        <v>3005565</v>
      </c>
      <c r="B1882" s="279">
        <f>'Profits 2016'!B7097</f>
        <v>42688</v>
      </c>
      <c r="C1882" s="276">
        <f>'Profits 2016'!H7097</f>
        <v>112.63</v>
      </c>
      <c r="D1882" s="280">
        <f>'Profits 2016'!K7097</f>
        <v>100.05332999999999</v>
      </c>
      <c r="E1882" s="276">
        <f>'Profits 2016'!L7097</f>
        <v>510</v>
      </c>
      <c r="F1882" s="275" t="str">
        <f>'Profits 2016'!P7097</f>
        <v>Nassau</v>
      </c>
      <c r="G1882" s="292">
        <f>'Profits 2016'!N7097-'Profits 2016'!M7097</f>
        <v>51</v>
      </c>
      <c r="H1882" s="319"/>
      <c r="I1882" s="320"/>
      <c r="J1882" s="321"/>
      <c r="K1882" s="321"/>
      <c r="L1882" s="321"/>
      <c r="M1882" s="319"/>
      <c r="N1882" s="322"/>
      <c r="O1882" s="236" t="str">
        <f>'Profits 2016'!T7097</f>
        <v>FEDEX GROUND</v>
      </c>
      <c r="P1882" s="284" t="str">
        <f>'Profits 2016'!U7097</f>
        <v>680483361137</v>
      </c>
      <c r="AF1882" s="276">
        <f t="shared" si="207"/>
        <v>51</v>
      </c>
      <c r="AG1882" s="276">
        <f t="shared" si="208"/>
        <v>0</v>
      </c>
      <c r="AH1882" s="276">
        <f t="shared" si="209"/>
        <v>100.05332999999999</v>
      </c>
      <c r="AI1882" s="283">
        <f t="shared" si="210"/>
        <v>1.9618299999999997</v>
      </c>
    </row>
    <row r="1883" spans="1:35" ht="30" x14ac:dyDescent="0.25">
      <c r="A1883" s="275">
        <f>'Profits 2016'!A7098</f>
        <v>3005566</v>
      </c>
      <c r="B1883" s="279">
        <f>'Profits 2016'!B7098</f>
        <v>42688</v>
      </c>
      <c r="C1883" s="276">
        <f>'Profits 2016'!H7098</f>
        <v>200.08</v>
      </c>
      <c r="D1883" s="280">
        <f>'Profits 2016'!K7098</f>
        <v>177.97128000000001</v>
      </c>
      <c r="E1883" s="276">
        <f>'Profits 2016'!L7098</f>
        <v>950</v>
      </c>
      <c r="F1883" s="275" t="str">
        <f>'Profits 2016'!P7098</f>
        <v>Nassau</v>
      </c>
      <c r="G1883" s="292">
        <f>'Profits 2016'!N7098-'Profits 2016'!M7098</f>
        <v>95</v>
      </c>
      <c r="H1883" s="319"/>
      <c r="I1883" s="320"/>
      <c r="J1883" s="321"/>
      <c r="K1883" s="321"/>
      <c r="L1883" s="321"/>
      <c r="M1883" s="319"/>
      <c r="N1883" s="322"/>
      <c r="O1883" s="236" t="str">
        <f>'Profits 2016'!T7098</f>
        <v>FEDEX GROUND</v>
      </c>
      <c r="P1883" s="284" t="str">
        <f>'Profits 2016'!U7098</f>
        <v>702723292410</v>
      </c>
      <c r="AF1883" s="276">
        <f t="shared" si="207"/>
        <v>95</v>
      </c>
      <c r="AG1883" s="276">
        <f t="shared" si="208"/>
        <v>0</v>
      </c>
      <c r="AH1883" s="276">
        <f t="shared" si="209"/>
        <v>177.97128000000001</v>
      </c>
      <c r="AI1883" s="283">
        <f t="shared" si="210"/>
        <v>1.8733818947368421</v>
      </c>
    </row>
    <row r="1884" spans="1:35" ht="30" x14ac:dyDescent="0.25">
      <c r="A1884" s="275">
        <f>'Profits 2016'!A7099</f>
        <v>3005567</v>
      </c>
      <c r="B1884" s="279">
        <f>'Profits 2016'!B7099</f>
        <v>42688</v>
      </c>
      <c r="C1884" s="276">
        <f>'Profits 2016'!H7099</f>
        <v>69</v>
      </c>
      <c r="D1884" s="280">
        <f>'Profits 2016'!K7099</f>
        <v>61.179000000000002</v>
      </c>
      <c r="E1884" s="276">
        <f>'Profits 2016'!L7099</f>
        <v>1035</v>
      </c>
      <c r="F1884" s="275" t="str">
        <f>'Profits 2016'!P7099</f>
        <v>Nassau</v>
      </c>
      <c r="G1884" s="292">
        <f>'Profits 2016'!N7099-'Profits 2016'!M7099</f>
        <v>25.875</v>
      </c>
      <c r="H1884" s="319"/>
      <c r="I1884" s="320"/>
      <c r="J1884" s="321"/>
      <c r="K1884" s="321"/>
      <c r="L1884" s="321"/>
      <c r="M1884" s="319"/>
      <c r="N1884" s="322"/>
      <c r="O1884" s="236" t="str">
        <f>'Profits 2016'!T7099</f>
        <v>FEDEX GROUND</v>
      </c>
      <c r="P1884" s="284" t="str">
        <f>'Profits 2016'!U7099</f>
        <v>702723292400</v>
      </c>
      <c r="AF1884" s="276">
        <f t="shared" si="207"/>
        <v>25.875</v>
      </c>
      <c r="AG1884" s="276">
        <f t="shared" si="208"/>
        <v>0</v>
      </c>
      <c r="AH1884" s="276">
        <f t="shared" si="209"/>
        <v>61.179000000000002</v>
      </c>
      <c r="AI1884" s="283">
        <f t="shared" si="210"/>
        <v>2.3644057971014494</v>
      </c>
    </row>
    <row r="1885" spans="1:35" ht="30" x14ac:dyDescent="0.25">
      <c r="A1885" s="275">
        <f>'Profits 2016'!A7100</f>
        <v>3005568</v>
      </c>
      <c r="B1885" s="279">
        <f>'Profits 2016'!B7100</f>
        <v>42688</v>
      </c>
      <c r="C1885" s="276">
        <f>'Profits 2016'!H7100</f>
        <v>238.8</v>
      </c>
      <c r="D1885" s="280">
        <f>'Profits 2016'!K7100</f>
        <v>212.47080000000003</v>
      </c>
      <c r="E1885" s="276">
        <f>'Profits 2016'!L7100</f>
        <v>670</v>
      </c>
      <c r="F1885" s="275" t="str">
        <f>'Profits 2016'!P7100</f>
        <v>Thea</v>
      </c>
      <c r="G1885" s="292">
        <f>'Profits 2016'!N7100-'Profits 2016'!M7100</f>
        <v>93.800000000000011</v>
      </c>
      <c r="H1885" s="319"/>
      <c r="I1885" s="320"/>
      <c r="J1885" s="321"/>
      <c r="K1885" s="321"/>
      <c r="L1885" s="321"/>
      <c r="M1885" s="319"/>
      <c r="N1885" s="322"/>
      <c r="O1885" s="236" t="str">
        <f>'Profits 2016'!T7100</f>
        <v>FEDEX GROUND</v>
      </c>
      <c r="P1885" s="284" t="str">
        <f>'Profits 2016'!U7100</f>
        <v>675157531960</v>
      </c>
      <c r="AF1885" s="276">
        <f t="shared" si="207"/>
        <v>93.800000000000011</v>
      </c>
      <c r="AG1885" s="276">
        <f t="shared" si="208"/>
        <v>0</v>
      </c>
      <c r="AH1885" s="276">
        <f t="shared" si="209"/>
        <v>212.47080000000003</v>
      </c>
      <c r="AI1885" s="283">
        <f t="shared" si="210"/>
        <v>2.2651471215351813</v>
      </c>
    </row>
    <row r="1886" spans="1:35" ht="30" x14ac:dyDescent="0.25">
      <c r="A1886" s="275">
        <f>'Profits 2016'!A7101</f>
        <v>3005569</v>
      </c>
      <c r="B1886" s="279">
        <f>'Profits 2016'!B7101</f>
        <v>42688</v>
      </c>
      <c r="C1886" s="276">
        <f>'Profits 2016'!H7101</f>
        <v>139.24</v>
      </c>
      <c r="D1886" s="280">
        <f>'Profits 2016'!K7101</f>
        <v>118.35400000000001</v>
      </c>
      <c r="E1886" s="276">
        <f>'Profits 2016'!L7101</f>
        <v>330</v>
      </c>
      <c r="F1886" s="275" t="str">
        <f>'Profits 2016'!P7101</f>
        <v>Thea</v>
      </c>
      <c r="G1886" s="292">
        <f>'Profits 2016'!N7101-'Profits 2016'!M7101</f>
        <v>82.5</v>
      </c>
      <c r="H1886" s="319"/>
      <c r="I1886" s="320"/>
      <c r="J1886" s="321"/>
      <c r="K1886" s="321"/>
      <c r="L1886" s="321"/>
      <c r="M1886" s="319"/>
      <c r="N1886" s="322"/>
      <c r="O1886" s="236" t="str">
        <f>'Profits 2016'!T7101</f>
        <v>FEDEX GROUND</v>
      </c>
      <c r="P1886" s="284" t="str">
        <f>'Profits 2016'!U7101</f>
        <v>675157531878</v>
      </c>
      <c r="AF1886" s="276">
        <f t="shared" si="207"/>
        <v>82.5</v>
      </c>
      <c r="AG1886" s="276">
        <f t="shared" si="208"/>
        <v>0</v>
      </c>
      <c r="AH1886" s="276">
        <f t="shared" si="209"/>
        <v>118.35400000000001</v>
      </c>
      <c r="AI1886" s="283">
        <f t="shared" si="210"/>
        <v>1.4345939393939395</v>
      </c>
    </row>
    <row r="1887" spans="1:35" ht="30" x14ac:dyDescent="0.25">
      <c r="A1887" s="275">
        <f>'Profits 2016'!A7102</f>
        <v>3005570</v>
      </c>
      <c r="B1887" s="279">
        <f>'Profits 2016'!B7102</f>
        <v>42688</v>
      </c>
      <c r="C1887" s="276">
        <f>'Profits 2016'!H7102</f>
        <v>130</v>
      </c>
      <c r="D1887" s="280">
        <f>'Profits 2016'!K7102</f>
        <v>110.5</v>
      </c>
      <c r="E1887" s="276">
        <f>'Profits 2016'!L7102</f>
        <v>754</v>
      </c>
      <c r="F1887" s="275" t="str">
        <f>'Profits 2016'!P7102</f>
        <v>Direct</v>
      </c>
      <c r="G1887" s="292">
        <f>'Profits 2016'!N7102-'Profits 2016'!M7102</f>
        <v>75.400000000000006</v>
      </c>
      <c r="H1887" s="331">
        <v>0</v>
      </c>
      <c r="I1887" s="332">
        <v>76524</v>
      </c>
      <c r="J1887" s="333">
        <v>42690</v>
      </c>
      <c r="K1887" s="333">
        <v>42695</v>
      </c>
      <c r="L1887" s="333">
        <v>42697</v>
      </c>
      <c r="M1887" s="331">
        <v>73.89</v>
      </c>
      <c r="N1887" s="334">
        <v>9488</v>
      </c>
      <c r="O1887" s="236" t="str">
        <f>'Profits 2016'!T7102</f>
        <v>FEDEX GROUND</v>
      </c>
      <c r="P1887" s="284" t="str">
        <f>'Profits 2016'!U7102</f>
        <v>639794970467</v>
      </c>
      <c r="AF1887" s="276">
        <f t="shared" si="207"/>
        <v>75.400000000000006</v>
      </c>
      <c r="AG1887" s="276">
        <f t="shared" si="208"/>
        <v>73.89</v>
      </c>
      <c r="AH1887" s="276">
        <f t="shared" si="209"/>
        <v>36.61</v>
      </c>
      <c r="AI1887" s="283">
        <f t="shared" si="210"/>
        <v>0.48554376657824927</v>
      </c>
    </row>
    <row r="1888" spans="1:35" ht="30" x14ac:dyDescent="0.25">
      <c r="A1888" s="275">
        <f>'Profits 2016'!A7103</f>
        <v>3005571</v>
      </c>
      <c r="B1888" s="279">
        <f>'Profits 2016'!B7103</f>
        <v>42688</v>
      </c>
      <c r="C1888" s="276">
        <f>'Profits 2016'!H7103</f>
        <v>100</v>
      </c>
      <c r="D1888" s="280">
        <f>'Profits 2016'!K7103</f>
        <v>85</v>
      </c>
      <c r="E1888" s="276">
        <f>'Profits 2016'!L7103</f>
        <v>622.45000000000005</v>
      </c>
      <c r="F1888" s="275" t="str">
        <f>'Profits 2016'!P7103</f>
        <v>Nassau</v>
      </c>
      <c r="G1888" s="292">
        <f>'Profits 2016'!N7103-'Profits 2016'!M7103</f>
        <v>31.122500000000002</v>
      </c>
      <c r="H1888" s="319"/>
      <c r="I1888" s="320"/>
      <c r="J1888" s="321"/>
      <c r="K1888" s="321"/>
      <c r="L1888" s="321"/>
      <c r="M1888" s="319"/>
      <c r="N1888" s="322"/>
      <c r="O1888" s="236" t="str">
        <f>'Profits 2016'!T7103</f>
        <v>FEDEX GROUND</v>
      </c>
      <c r="P1888" s="284" t="str">
        <f>'Profits 2016'!U7103</f>
        <v>702723292568</v>
      </c>
      <c r="AF1888" s="276">
        <f t="shared" si="207"/>
        <v>31.122500000000002</v>
      </c>
      <c r="AG1888" s="276">
        <f t="shared" si="208"/>
        <v>0</v>
      </c>
      <c r="AH1888" s="276">
        <f t="shared" si="209"/>
        <v>85</v>
      </c>
      <c r="AI1888" s="283">
        <f t="shared" si="210"/>
        <v>2.7311430636998955</v>
      </c>
    </row>
    <row r="1889" spans="1:35" ht="30" x14ac:dyDescent="0.25">
      <c r="A1889" s="275">
        <f>'Profits 2016'!A7104</f>
        <v>3005572</v>
      </c>
      <c r="B1889" s="279">
        <f>'Profits 2016'!B7104</f>
        <v>42688</v>
      </c>
      <c r="C1889" s="276">
        <f>'Profits 2016'!H7104</f>
        <v>115</v>
      </c>
      <c r="D1889" s="280">
        <f>'Profits 2016'!K7104</f>
        <v>97.75</v>
      </c>
      <c r="E1889" s="276">
        <f>'Profits 2016'!L7104</f>
        <v>341</v>
      </c>
      <c r="F1889" s="275" t="str">
        <f>'Profits 2016'!P7104</f>
        <v>Direct</v>
      </c>
      <c r="G1889" s="292">
        <f>'Profits 2016'!N7104-'Profits 2016'!M7104</f>
        <v>34.1</v>
      </c>
      <c r="H1889" s="331">
        <v>0</v>
      </c>
      <c r="I1889" s="332">
        <v>76431</v>
      </c>
      <c r="J1889" s="333">
        <v>42689</v>
      </c>
      <c r="K1889" s="333">
        <v>42692</v>
      </c>
      <c r="L1889" s="333">
        <v>42697</v>
      </c>
      <c r="M1889" s="331">
        <v>66.84</v>
      </c>
      <c r="N1889" s="334">
        <v>9491</v>
      </c>
      <c r="O1889" s="236" t="str">
        <f>'Profits 2016'!T7104</f>
        <v>FEDEX GROUND</v>
      </c>
      <c r="P1889" s="284" t="str">
        <f>'Profits 2016'!U7104</f>
        <v>639564016743</v>
      </c>
      <c r="AF1889" s="276">
        <f t="shared" si="207"/>
        <v>34.1</v>
      </c>
      <c r="AG1889" s="276">
        <f t="shared" si="208"/>
        <v>66.84</v>
      </c>
      <c r="AH1889" s="276">
        <f t="shared" si="209"/>
        <v>30.909999999999997</v>
      </c>
      <c r="AI1889" s="283">
        <f t="shared" si="210"/>
        <v>0.90645161290322562</v>
      </c>
    </row>
    <row r="1890" spans="1:35" x14ac:dyDescent="0.25">
      <c r="A1890" s="275">
        <f>'Profits 2016'!A7105</f>
        <v>0</v>
      </c>
      <c r="B1890" s="279">
        <f>'Profits 2016'!B7105</f>
        <v>0</v>
      </c>
      <c r="C1890" s="276">
        <f>'Profits 2016'!H7105</f>
        <v>0</v>
      </c>
      <c r="D1890" s="280">
        <f>'Profits 2016'!K7105</f>
        <v>0</v>
      </c>
      <c r="E1890" s="276">
        <f>'Profits 2016'!L7105</f>
        <v>341</v>
      </c>
      <c r="F1890" s="275" t="str">
        <f>'Profits 2016'!P7105</f>
        <v>Direct</v>
      </c>
      <c r="G1890" s="292">
        <f>'Profits 2016'!N7105-'Profits 2016'!M7105</f>
        <v>34.1</v>
      </c>
      <c r="H1890" s="331">
        <v>0</v>
      </c>
      <c r="I1890" s="332">
        <v>76431</v>
      </c>
      <c r="J1890" s="333">
        <v>42689</v>
      </c>
      <c r="K1890" s="333">
        <v>42692</v>
      </c>
      <c r="L1890" s="333"/>
      <c r="M1890" s="331"/>
      <c r="N1890" s="334"/>
      <c r="O1890" s="236">
        <f>'Profits 2016'!T7105</f>
        <v>0</v>
      </c>
      <c r="P1890" s="284">
        <f>'Profits 2016'!U7105</f>
        <v>0</v>
      </c>
      <c r="AF1890" s="276">
        <f t="shared" si="207"/>
        <v>34.1</v>
      </c>
      <c r="AG1890" s="276">
        <f t="shared" si="208"/>
        <v>0</v>
      </c>
      <c r="AH1890" s="276">
        <f t="shared" si="209"/>
        <v>0</v>
      </c>
      <c r="AI1890" s="283">
        <f t="shared" si="210"/>
        <v>0</v>
      </c>
    </row>
    <row r="1891" spans="1:35" ht="30" x14ac:dyDescent="0.25">
      <c r="A1891" s="275">
        <f>'Profits 2016'!A7106</f>
        <v>3005573</v>
      </c>
      <c r="B1891" s="279">
        <f>'Profits 2016'!B7106</f>
        <v>42688</v>
      </c>
      <c r="C1891" s="276">
        <f>'Profits 2016'!H7106</f>
        <v>115</v>
      </c>
      <c r="D1891" s="280">
        <f>'Profits 2016'!K7106</f>
        <v>97.75</v>
      </c>
      <c r="E1891" s="276">
        <f>'Profits 2016'!L7106</f>
        <v>2200</v>
      </c>
      <c r="F1891" s="275" t="str">
        <f>'Profits 2016'!P7106</f>
        <v>Direct</v>
      </c>
      <c r="G1891" s="292">
        <f>'Profits 2016'!N7106-'Profits 2016'!M7106</f>
        <v>77.000000000000014</v>
      </c>
      <c r="H1891" s="331">
        <v>0</v>
      </c>
      <c r="I1891" s="332">
        <v>76418</v>
      </c>
      <c r="J1891" s="333">
        <v>42689</v>
      </c>
      <c r="K1891" s="333">
        <v>42692</v>
      </c>
      <c r="L1891" s="333">
        <v>42697</v>
      </c>
      <c r="M1891" s="331">
        <v>75.459999999999994</v>
      </c>
      <c r="N1891" s="334">
        <v>9487</v>
      </c>
      <c r="O1891" s="236" t="str">
        <f>'Profits 2016'!T7106</f>
        <v>FEDEX GROUND</v>
      </c>
      <c r="P1891" s="284" t="str">
        <f>'Profits 2016'!U7106</f>
        <v>630512245795</v>
      </c>
      <c r="AF1891" s="276">
        <f t="shared" si="207"/>
        <v>77.000000000000014</v>
      </c>
      <c r="AG1891" s="276">
        <f t="shared" si="208"/>
        <v>75.459999999999994</v>
      </c>
      <c r="AH1891" s="276">
        <f t="shared" si="209"/>
        <v>22.290000000000006</v>
      </c>
      <c r="AI1891" s="283">
        <f t="shared" si="210"/>
        <v>0.2894805194805195</v>
      </c>
    </row>
    <row r="1892" spans="1:35" x14ac:dyDescent="0.25">
      <c r="A1892" s="275">
        <f>'Profits 2016'!A7107</f>
        <v>3005574</v>
      </c>
      <c r="B1892" s="279">
        <f>'Profits 2016'!B7107</f>
        <v>42688</v>
      </c>
      <c r="C1892" s="276">
        <f>'Profits 2016'!H7107</f>
        <v>360.36</v>
      </c>
      <c r="D1892" s="280">
        <f>'Profits 2016'!K7107</f>
        <v>306.30600000000004</v>
      </c>
      <c r="E1892" s="276">
        <f>'Profits 2016'!L7107</f>
        <v>1164</v>
      </c>
      <c r="F1892" s="275" t="str">
        <f>'Profits 2016'!P7107</f>
        <v>Direct</v>
      </c>
      <c r="G1892" s="292">
        <f>'Profits 2016'!N7107-'Profits 2016'!M7107</f>
        <v>116.4</v>
      </c>
      <c r="H1892" s="331">
        <v>0</v>
      </c>
      <c r="I1892" s="332">
        <v>76430</v>
      </c>
      <c r="J1892" s="333">
        <v>42689</v>
      </c>
      <c r="K1892" s="333">
        <v>42692</v>
      </c>
      <c r="L1892" s="333">
        <v>42697</v>
      </c>
      <c r="M1892" s="331">
        <v>229.71</v>
      </c>
      <c r="N1892" s="334">
        <v>9487</v>
      </c>
      <c r="O1892" s="236" t="e">
        <f>'Profits 2016'!#REF!</f>
        <v>#REF!</v>
      </c>
      <c r="P1892" s="284" t="str">
        <f>'Profits 2016'!U7107</f>
        <v>642286529603</v>
      </c>
      <c r="AF1892" s="276">
        <f t="shared" si="207"/>
        <v>116.4</v>
      </c>
      <c r="AG1892" s="276">
        <f t="shared" si="208"/>
        <v>229.71</v>
      </c>
      <c r="AH1892" s="276">
        <f t="shared" si="209"/>
        <v>76.596000000000032</v>
      </c>
      <c r="AI1892" s="283">
        <f t="shared" si="210"/>
        <v>0.65804123711340234</v>
      </c>
    </row>
    <row r="1893" spans="1:35" ht="30" x14ac:dyDescent="0.25">
      <c r="A1893" s="275">
        <f>'Profits 2016'!A7108</f>
        <v>0</v>
      </c>
      <c r="B1893" s="279">
        <f>'Profits 2016'!B7108</f>
        <v>0</v>
      </c>
      <c r="C1893" s="276">
        <f>'Profits 2016'!H7108</f>
        <v>0</v>
      </c>
      <c r="D1893" s="280">
        <f>'Profits 2016'!K7108</f>
        <v>0</v>
      </c>
      <c r="E1893" s="276">
        <f>'Profits 2016'!L7108</f>
        <v>1180</v>
      </c>
      <c r="F1893" s="275" t="str">
        <f>'Profits 2016'!P7108</f>
        <v>Direct</v>
      </c>
      <c r="G1893" s="292">
        <f>'Profits 2016'!N7108-'Profits 2016'!M7108</f>
        <v>118</v>
      </c>
      <c r="H1893" s="331">
        <v>0</v>
      </c>
      <c r="I1893" s="332">
        <v>76430</v>
      </c>
      <c r="J1893" s="333">
        <v>42689</v>
      </c>
      <c r="K1893" s="333">
        <v>42692</v>
      </c>
      <c r="L1893" s="333">
        <v>42697</v>
      </c>
      <c r="M1893" s="331">
        <v>0</v>
      </c>
      <c r="N1893" s="334">
        <v>9487</v>
      </c>
      <c r="O1893" s="236" t="str">
        <f>'Profits 2016'!T7107</f>
        <v>FEDEX GROUND</v>
      </c>
      <c r="P1893" s="284">
        <f>'Profits 2016'!U7108</f>
        <v>0</v>
      </c>
      <c r="AF1893" s="276">
        <f t="shared" si="207"/>
        <v>118</v>
      </c>
      <c r="AG1893" s="276">
        <f t="shared" si="208"/>
        <v>0</v>
      </c>
      <c r="AH1893" s="276">
        <f t="shared" si="209"/>
        <v>0</v>
      </c>
      <c r="AI1893" s="283">
        <f t="shared" si="210"/>
        <v>0</v>
      </c>
    </row>
    <row r="1894" spans="1:35" ht="30" x14ac:dyDescent="0.25">
      <c r="A1894" s="275">
        <f>'Profits 2016'!A7109</f>
        <v>3005575</v>
      </c>
      <c r="B1894" s="279">
        <f>'Profits 2016'!B7109</f>
        <v>42688</v>
      </c>
      <c r="C1894" s="276">
        <f>'Profits 2016'!H7109</f>
        <v>110.08</v>
      </c>
      <c r="D1894" s="280">
        <f>'Profits 2016'!K7109</f>
        <v>93.567999999999998</v>
      </c>
      <c r="E1894" s="276">
        <f>'Profits 2016'!L7109</f>
        <v>560</v>
      </c>
      <c r="F1894" s="275" t="str">
        <f>'Profits 2016'!P7109</f>
        <v>Nassau</v>
      </c>
      <c r="G1894" s="292">
        <f>'Profits 2016'!N7109-'Profits 2016'!M7109</f>
        <v>56</v>
      </c>
      <c r="H1894" s="319"/>
      <c r="I1894" s="320"/>
      <c r="J1894" s="321"/>
      <c r="K1894" s="321"/>
      <c r="L1894" s="321"/>
      <c r="M1894" s="319"/>
      <c r="N1894" s="322"/>
      <c r="O1894" s="236" t="str">
        <f>'Profits 2016'!T7109</f>
        <v>FEDEX GROUND</v>
      </c>
      <c r="P1894" s="284" t="str">
        <f>'Profits 2016'!U7109</f>
        <v>702723292432</v>
      </c>
      <c r="AF1894" s="276">
        <f t="shared" si="207"/>
        <v>56</v>
      </c>
      <c r="AG1894" s="276">
        <f t="shared" si="208"/>
        <v>0</v>
      </c>
      <c r="AH1894" s="276">
        <f t="shared" si="209"/>
        <v>93.567999999999998</v>
      </c>
      <c r="AI1894" s="283">
        <f t="shared" si="210"/>
        <v>1.6708571428571428</v>
      </c>
    </row>
    <row r="1895" spans="1:35" ht="30" x14ac:dyDescent="0.25">
      <c r="A1895" s="275">
        <f>'Profits 2016'!A7110</f>
        <v>3005576</v>
      </c>
      <c r="B1895" s="279">
        <f>'Profits 2016'!B7110</f>
        <v>42688</v>
      </c>
      <c r="C1895" s="276">
        <f>'Profits 2016'!H7110</f>
        <v>594.96</v>
      </c>
      <c r="D1895" s="280">
        <f>'Profits 2016'!K7110</f>
        <v>505.71600000000001</v>
      </c>
      <c r="E1895" s="276">
        <f>'Profits 2016'!L7110</f>
        <v>3300</v>
      </c>
      <c r="F1895" s="275" t="str">
        <f>'Profits 2016'!P7110</f>
        <v>Nassau</v>
      </c>
      <c r="G1895" s="292">
        <f>'Profits 2016'!N7110-'Profits 2016'!M7110</f>
        <v>330</v>
      </c>
      <c r="H1895" s="319"/>
      <c r="I1895" s="320"/>
      <c r="J1895" s="321"/>
      <c r="K1895" s="321"/>
      <c r="L1895" s="321"/>
      <c r="M1895" s="319"/>
      <c r="N1895" s="322"/>
      <c r="O1895" s="236" t="str">
        <f>'Profits 2016'!T7110</f>
        <v>FEDEX GROUND</v>
      </c>
      <c r="P1895" s="284" t="str">
        <f>'Profits 2016'!U7110</f>
        <v>702723292752</v>
      </c>
      <c r="AF1895" s="276">
        <f t="shared" si="207"/>
        <v>330</v>
      </c>
      <c r="AG1895" s="276">
        <f t="shared" si="208"/>
        <v>0</v>
      </c>
      <c r="AH1895" s="276">
        <f t="shared" si="209"/>
        <v>505.71600000000001</v>
      </c>
      <c r="AI1895" s="283">
        <f t="shared" si="210"/>
        <v>1.5324727272727272</v>
      </c>
    </row>
    <row r="1896" spans="1:35" ht="30" x14ac:dyDescent="0.25">
      <c r="A1896" s="275">
        <f>'Profits 2016'!A7111</f>
        <v>3005577</v>
      </c>
      <c r="B1896" s="279">
        <f>'Profits 2016'!B7111</f>
        <v>42688</v>
      </c>
      <c r="C1896" s="276">
        <f>'Profits 2016'!H7111</f>
        <v>572.29999999999995</v>
      </c>
      <c r="D1896" s="280">
        <f>'Profits 2016'!K7111</f>
        <v>486.45499999999998</v>
      </c>
      <c r="E1896" s="276">
        <f>'Profits 2016'!L7111</f>
        <v>800</v>
      </c>
      <c r="F1896" s="275" t="str">
        <f>'Profits 2016'!P7111</f>
        <v>Direct</v>
      </c>
      <c r="G1896" s="292">
        <f>'Profits 2016'!N7111-'Profits 2016'!M7111</f>
        <v>400</v>
      </c>
      <c r="H1896" s="331">
        <v>0</v>
      </c>
      <c r="I1896" s="332">
        <v>76453</v>
      </c>
      <c r="J1896" s="333">
        <v>42689</v>
      </c>
      <c r="K1896" s="333">
        <v>42692</v>
      </c>
      <c r="L1896" s="333">
        <v>42697</v>
      </c>
      <c r="M1896" s="331">
        <v>392</v>
      </c>
      <c r="N1896" s="334">
        <v>9490</v>
      </c>
      <c r="O1896" s="236" t="str">
        <f>'Profits 2016'!T7111</f>
        <v>FEDEX GROUND</v>
      </c>
      <c r="P1896" s="284" t="str">
        <f>'Profits 2016'!U7111</f>
        <v>639794970434</v>
      </c>
      <c r="AF1896" s="276">
        <f t="shared" si="207"/>
        <v>400</v>
      </c>
      <c r="AG1896" s="276">
        <f t="shared" si="208"/>
        <v>392</v>
      </c>
      <c r="AH1896" s="276">
        <f t="shared" si="209"/>
        <v>94.454999999999984</v>
      </c>
      <c r="AI1896" s="283">
        <f t="shared" si="210"/>
        <v>0.23613749999999997</v>
      </c>
    </row>
    <row r="1897" spans="1:35" ht="30" x14ac:dyDescent="0.25">
      <c r="A1897" s="275">
        <f>'Profits 2016'!A7112</f>
        <v>3005578</v>
      </c>
      <c r="B1897" s="279">
        <f>'Profits 2016'!B7112</f>
        <v>42688</v>
      </c>
      <c r="C1897" s="276">
        <f>'Profits 2016'!H7112</f>
        <v>100</v>
      </c>
      <c r="D1897" s="280">
        <f>'Profits 2016'!K7112</f>
        <v>85</v>
      </c>
      <c r="E1897" s="276">
        <f>'Profits 2016'!L7112</f>
        <v>850</v>
      </c>
      <c r="F1897" s="275" t="str">
        <f>'Profits 2016'!P7112</f>
        <v>Omni</v>
      </c>
      <c r="G1897" s="292">
        <f>'Profits 2016'!N7112-'Profits 2016'!M7112</f>
        <v>51</v>
      </c>
      <c r="H1897" s="331"/>
      <c r="I1897" s="332"/>
      <c r="J1897" s="333"/>
      <c r="K1897" s="333"/>
      <c r="L1897" s="333"/>
      <c r="M1897" s="331"/>
      <c r="N1897" s="334"/>
      <c r="O1897" s="236" t="str">
        <f>'Profits 2016'!T7112</f>
        <v>FEDEX GROUND</v>
      </c>
      <c r="P1897" s="284" t="str">
        <f>'Profits 2016'!U7112</f>
        <v>664439934928</v>
      </c>
      <c r="AF1897" s="276">
        <f t="shared" si="207"/>
        <v>51</v>
      </c>
      <c r="AG1897" s="276">
        <f t="shared" si="208"/>
        <v>0</v>
      </c>
      <c r="AH1897" s="276">
        <f t="shared" si="209"/>
        <v>85</v>
      </c>
      <c r="AI1897" s="283">
        <f t="shared" si="210"/>
        <v>1.6666666666666667</v>
      </c>
    </row>
    <row r="1898" spans="1:35" ht="30" x14ac:dyDescent="0.25">
      <c r="A1898" s="275">
        <f>'Profits 2016'!A7113</f>
        <v>3005579</v>
      </c>
      <c r="B1898" s="279">
        <f>'Profits 2016'!B7113</f>
        <v>42688</v>
      </c>
      <c r="C1898" s="276">
        <f>'Profits 2016'!H7113</f>
        <v>100</v>
      </c>
      <c r="D1898" s="280">
        <f>'Profits 2016'!K7113</f>
        <v>85</v>
      </c>
      <c r="E1898" s="276">
        <f>'Profits 2016'!L7113</f>
        <v>1164</v>
      </c>
      <c r="F1898" s="275" t="str">
        <f>'Profits 2016'!P7113</f>
        <v>Direct</v>
      </c>
      <c r="G1898" s="292">
        <f>'Profits 2016'!N7113-'Profits 2016'!M7113</f>
        <v>29.1</v>
      </c>
      <c r="H1898" s="331">
        <v>0</v>
      </c>
      <c r="I1898" s="332">
        <v>76510</v>
      </c>
      <c r="J1898" s="333">
        <v>42690</v>
      </c>
      <c r="K1898" s="333">
        <v>42695</v>
      </c>
      <c r="L1898" s="333">
        <v>42697</v>
      </c>
      <c r="M1898" s="331">
        <v>57.03</v>
      </c>
      <c r="N1898" s="334">
        <v>9488</v>
      </c>
      <c r="O1898" s="236" t="str">
        <f>'Profits 2016'!T7113</f>
        <v>FEDEX GROUND</v>
      </c>
      <c r="P1898" s="284" t="str">
        <f>'Profits 2016'!U7113</f>
        <v>639564016754</v>
      </c>
      <c r="AF1898" s="276">
        <f t="shared" si="207"/>
        <v>29.1</v>
      </c>
      <c r="AG1898" s="276">
        <f t="shared" si="208"/>
        <v>57.03</v>
      </c>
      <c r="AH1898" s="276">
        <f t="shared" si="209"/>
        <v>27.97</v>
      </c>
      <c r="AI1898" s="283">
        <f t="shared" si="210"/>
        <v>0.961168384879725</v>
      </c>
    </row>
    <row r="1899" spans="1:35" x14ac:dyDescent="0.25">
      <c r="A1899" s="275">
        <f>'Profits 2016'!A7114</f>
        <v>0</v>
      </c>
      <c r="B1899" s="279">
        <f>'Profits 2016'!B7114</f>
        <v>0</v>
      </c>
      <c r="C1899" s="276">
        <f>'Profits 2016'!H7114</f>
        <v>0</v>
      </c>
      <c r="D1899" s="280">
        <f>'Profits 2016'!K7114</f>
        <v>0</v>
      </c>
      <c r="E1899" s="276">
        <f>'Profits 2016'!L7114</f>
        <v>1180</v>
      </c>
      <c r="F1899" s="275" t="str">
        <f>'Profits 2016'!P7114</f>
        <v>Direct</v>
      </c>
      <c r="G1899" s="292">
        <f>'Profits 2016'!N7114-'Profits 2016'!M7114</f>
        <v>29.5</v>
      </c>
      <c r="H1899" s="331">
        <v>0</v>
      </c>
      <c r="I1899" s="332">
        <v>76510</v>
      </c>
      <c r="J1899" s="333">
        <v>42690</v>
      </c>
      <c r="K1899" s="333">
        <v>42695</v>
      </c>
      <c r="L1899" s="333">
        <v>42697</v>
      </c>
      <c r="M1899" s="331">
        <v>0</v>
      </c>
      <c r="N1899" s="334">
        <v>9488</v>
      </c>
      <c r="O1899" s="236">
        <f>'Profits 2016'!T7114</f>
        <v>0</v>
      </c>
      <c r="P1899" s="284">
        <f>'Profits 2016'!U7114</f>
        <v>0</v>
      </c>
      <c r="AF1899" s="276">
        <f t="shared" si="207"/>
        <v>29.5</v>
      </c>
      <c r="AG1899" s="276">
        <f t="shared" si="208"/>
        <v>0</v>
      </c>
      <c r="AH1899" s="276">
        <f t="shared" si="209"/>
        <v>0</v>
      </c>
      <c r="AI1899" s="283">
        <f t="shared" si="210"/>
        <v>0</v>
      </c>
    </row>
    <row r="1900" spans="1:35" ht="30" x14ac:dyDescent="0.25">
      <c r="A1900" s="275">
        <f>'Profits 2016'!A7115</f>
        <v>3005580</v>
      </c>
      <c r="B1900" s="279">
        <f>'Profits 2016'!B7115</f>
        <v>42688</v>
      </c>
      <c r="C1900" s="276">
        <f>'Profits 2016'!H7115</f>
        <v>306.72000000000003</v>
      </c>
      <c r="D1900" s="280">
        <f>'Profits 2016'!K7115</f>
        <v>260.71200000000005</v>
      </c>
      <c r="E1900" s="276">
        <f>'Profits 2016'!L7115</f>
        <v>424</v>
      </c>
      <c r="F1900" s="275" t="str">
        <f>'Profits 2016'!P7115</f>
        <v>Nassau</v>
      </c>
      <c r="G1900" s="292">
        <f>'Profits 2016'!N7115-'Profits 2016'!M7115</f>
        <v>127.19999999999999</v>
      </c>
      <c r="H1900" s="319"/>
      <c r="I1900" s="320"/>
      <c r="J1900" s="321"/>
      <c r="K1900" s="321"/>
      <c r="L1900" s="321"/>
      <c r="M1900" s="319"/>
      <c r="N1900" s="322"/>
      <c r="O1900" s="236" t="str">
        <f>'Profits 2016'!T7115</f>
        <v>FEDEX GROUND</v>
      </c>
      <c r="P1900" s="284" t="str">
        <f>'Profits 2016'!U7115</f>
        <v>702723292719</v>
      </c>
      <c r="AF1900" s="276">
        <f t="shared" si="207"/>
        <v>127.19999999999999</v>
      </c>
      <c r="AG1900" s="276">
        <f t="shared" si="208"/>
        <v>0</v>
      </c>
      <c r="AH1900" s="276">
        <f t="shared" si="209"/>
        <v>260.71200000000005</v>
      </c>
      <c r="AI1900" s="283">
        <f t="shared" si="210"/>
        <v>2.0496226415094343</v>
      </c>
    </row>
    <row r="1901" spans="1:35" ht="30" x14ac:dyDescent="0.25">
      <c r="A1901" s="275">
        <f>'Profits 2016'!A7116</f>
        <v>3005581</v>
      </c>
      <c r="B1901" s="279">
        <f>'Profits 2016'!B7116</f>
        <v>42688</v>
      </c>
      <c r="C1901" s="276">
        <f>'Profits 2016'!H7116</f>
        <v>253.58</v>
      </c>
      <c r="D1901" s="280">
        <f>'Profits 2016'!K7116</f>
        <v>215.54300000000001</v>
      </c>
      <c r="E1901" s="276">
        <f>'Profits 2016'!L7116</f>
        <v>198</v>
      </c>
      <c r="F1901" s="275" t="str">
        <f>'Profits 2016'!P7116</f>
        <v>Omni</v>
      </c>
      <c r="G1901" s="292">
        <f>'Profits 2016'!N7116-'Profits 2016'!M7116</f>
        <v>49.5</v>
      </c>
      <c r="H1901" s="331"/>
      <c r="I1901" s="332"/>
      <c r="J1901" s="333"/>
      <c r="K1901" s="333"/>
      <c r="L1901" s="333"/>
      <c r="M1901" s="331"/>
      <c r="N1901" s="334"/>
      <c r="O1901" s="236" t="str">
        <f>'Profits 2016'!T7116</f>
        <v>FEDEX GROUND</v>
      </c>
      <c r="P1901" s="284" t="str">
        <f>'Profits 2016'!U7116</f>
        <v>705963569670</v>
      </c>
      <c r="AF1901" s="276">
        <f t="shared" si="207"/>
        <v>49.5</v>
      </c>
      <c r="AG1901" s="276">
        <f t="shared" si="208"/>
        <v>0</v>
      </c>
      <c r="AH1901" s="276">
        <f t="shared" si="209"/>
        <v>215.54300000000001</v>
      </c>
      <c r="AI1901" s="283">
        <f t="shared" si="210"/>
        <v>4.3544040404040407</v>
      </c>
    </row>
    <row r="1902" spans="1:35" x14ac:dyDescent="0.25">
      <c r="A1902" s="275">
        <f>'Profits 2016'!A7117</f>
        <v>0</v>
      </c>
      <c r="B1902" s="279">
        <f>'Profits 2016'!B7117</f>
        <v>0</v>
      </c>
      <c r="C1902" s="276">
        <f>'Profits 2016'!H7117</f>
        <v>0</v>
      </c>
      <c r="D1902" s="280">
        <f>'Profits 2016'!K7117</f>
        <v>0</v>
      </c>
      <c r="E1902" s="276">
        <f>'Profits 2016'!L7117</f>
        <v>300</v>
      </c>
      <c r="F1902" s="275" t="str">
        <f>'Profits 2016'!P7117</f>
        <v>Omni</v>
      </c>
      <c r="G1902" s="292">
        <f>'Profits 2016'!N7117-'Profits 2016'!M7117</f>
        <v>75</v>
      </c>
      <c r="H1902" s="331"/>
      <c r="I1902" s="332"/>
      <c r="J1902" s="333"/>
      <c r="K1902" s="333"/>
      <c r="L1902" s="333"/>
      <c r="M1902" s="331"/>
      <c r="N1902" s="334"/>
      <c r="O1902" s="236">
        <f>'Profits 2016'!T7117</f>
        <v>0</v>
      </c>
      <c r="P1902" s="284">
        <f>'Profits 2016'!U7117</f>
        <v>0</v>
      </c>
      <c r="AF1902" s="276">
        <f t="shared" si="207"/>
        <v>75</v>
      </c>
      <c r="AG1902" s="276">
        <f t="shared" si="208"/>
        <v>0</v>
      </c>
      <c r="AH1902" s="276">
        <f t="shared" si="209"/>
        <v>0</v>
      </c>
      <c r="AI1902" s="283">
        <f t="shared" si="210"/>
        <v>0</v>
      </c>
    </row>
    <row r="1903" spans="1:35" ht="30" x14ac:dyDescent="0.25">
      <c r="A1903" s="275">
        <f>'Profits 2016'!A7118</f>
        <v>3005582</v>
      </c>
      <c r="B1903" s="279">
        <f>'Profits 2016'!B7118</f>
        <v>42688</v>
      </c>
      <c r="C1903" s="276">
        <f>'Profits 2016'!H7118</f>
        <v>98.56</v>
      </c>
      <c r="D1903" s="280">
        <f>'Profits 2016'!K7118</f>
        <v>83.77600000000001</v>
      </c>
      <c r="E1903" s="276">
        <f>'Profits 2016'!L7118</f>
        <v>698</v>
      </c>
      <c r="F1903" s="275" t="str">
        <f>'Profits 2016'!P7118</f>
        <v>Nassau</v>
      </c>
      <c r="G1903" s="292">
        <f>'Profits 2016'!N7118-'Profits 2016'!M7118</f>
        <v>52.35</v>
      </c>
      <c r="H1903" s="319"/>
      <c r="I1903" s="320"/>
      <c r="J1903" s="321"/>
      <c r="K1903" s="321"/>
      <c r="L1903" s="321"/>
      <c r="M1903" s="319"/>
      <c r="N1903" s="322"/>
      <c r="O1903" s="236" t="str">
        <f>'Profits 2016'!T7118</f>
        <v>FEDEX GROUND</v>
      </c>
      <c r="P1903" s="284" t="str">
        <f>'Profits 2016'!U7118</f>
        <v>702723292730</v>
      </c>
      <c r="AF1903" s="276">
        <f t="shared" si="207"/>
        <v>52.35</v>
      </c>
      <c r="AG1903" s="276">
        <f t="shared" si="208"/>
        <v>0</v>
      </c>
      <c r="AH1903" s="276">
        <f t="shared" si="209"/>
        <v>83.77600000000001</v>
      </c>
      <c r="AI1903" s="283">
        <f t="shared" si="210"/>
        <v>1.6003056351480422</v>
      </c>
    </row>
    <row r="1904" spans="1:35" ht="30" x14ac:dyDescent="0.25">
      <c r="A1904" s="275">
        <f>'Profits 2016'!A7119</f>
        <v>3005583</v>
      </c>
      <c r="B1904" s="279">
        <f>'Profits 2016'!B7119</f>
        <v>42688</v>
      </c>
      <c r="C1904" s="276">
        <f>'Profits 2016'!H7119</f>
        <v>110</v>
      </c>
      <c r="D1904" s="280">
        <f>'Profits 2016'!K7119</f>
        <v>93.5</v>
      </c>
      <c r="E1904" s="276">
        <f>'Profits 2016'!L7119</f>
        <v>424</v>
      </c>
      <c r="F1904" s="275" t="str">
        <f>'Profits 2016'!P7119</f>
        <v>Nassau</v>
      </c>
      <c r="G1904" s="292">
        <f>'Profits 2016'!N7119-'Profits 2016'!M7119</f>
        <v>42.400000000000006</v>
      </c>
      <c r="H1904" s="319"/>
      <c r="I1904" s="320"/>
      <c r="J1904" s="321"/>
      <c r="K1904" s="321"/>
      <c r="L1904" s="321"/>
      <c r="M1904" s="319"/>
      <c r="N1904" s="322"/>
      <c r="O1904" s="236" t="str">
        <f>'Profits 2016'!T7119</f>
        <v>FEDEX GROUND</v>
      </c>
      <c r="P1904" s="284" t="str">
        <f>'Profits 2016'!U7119</f>
        <v>702723292708</v>
      </c>
      <c r="AF1904" s="276">
        <f t="shared" si="207"/>
        <v>42.400000000000006</v>
      </c>
      <c r="AG1904" s="276">
        <f t="shared" si="208"/>
        <v>0</v>
      </c>
      <c r="AH1904" s="276">
        <f t="shared" si="209"/>
        <v>93.5</v>
      </c>
      <c r="AI1904" s="283">
        <f t="shared" si="210"/>
        <v>2.2051886792452828</v>
      </c>
    </row>
    <row r="1905" spans="1:35" ht="30" x14ac:dyDescent="0.25">
      <c r="A1905" s="275">
        <f>'Profits 2016'!A7120</f>
        <v>3005584</v>
      </c>
      <c r="B1905" s="279">
        <f>'Profits 2016'!B7120</f>
        <v>42688</v>
      </c>
      <c r="C1905" s="276">
        <f>'Profits 2016'!H7120</f>
        <v>155.93</v>
      </c>
      <c r="D1905" s="280">
        <f>'Profits 2016'!K7120</f>
        <v>132.54050000000001</v>
      </c>
      <c r="E1905" s="276">
        <f>'Profits 2016'!L7120</f>
        <v>560</v>
      </c>
      <c r="F1905" s="275" t="str">
        <f>'Profits 2016'!P7120</f>
        <v>Nassau</v>
      </c>
      <c r="G1905" s="292">
        <f>'Profits 2016'!N7120-'Profits 2016'!M7120</f>
        <v>84</v>
      </c>
      <c r="H1905" s="319"/>
      <c r="I1905" s="320"/>
      <c r="J1905" s="321"/>
      <c r="K1905" s="321"/>
      <c r="L1905" s="321"/>
      <c r="M1905" s="319"/>
      <c r="N1905" s="322"/>
      <c r="O1905" s="236" t="str">
        <f>'Profits 2016'!T7120</f>
        <v>FEDEX GROUND</v>
      </c>
      <c r="P1905" s="284" t="str">
        <f>'Profits 2016'!U7120</f>
        <v>702723292720</v>
      </c>
      <c r="AF1905" s="276">
        <f t="shared" si="207"/>
        <v>84</v>
      </c>
      <c r="AG1905" s="276">
        <f t="shared" si="208"/>
        <v>0</v>
      </c>
      <c r="AH1905" s="276">
        <f t="shared" si="209"/>
        <v>132.54050000000001</v>
      </c>
      <c r="AI1905" s="283">
        <f t="shared" si="210"/>
        <v>1.5778630952380954</v>
      </c>
    </row>
    <row r="1906" spans="1:35" ht="30" x14ac:dyDescent="0.25">
      <c r="A1906" s="275">
        <f>'Profits 2016'!A7121</f>
        <v>3005585</v>
      </c>
      <c r="B1906" s="279">
        <f>'Profits 2016'!B7121</f>
        <v>42688</v>
      </c>
      <c r="C1906" s="276">
        <f>'Profits 2016'!H7121</f>
        <v>157</v>
      </c>
      <c r="D1906" s="280">
        <f>'Profits 2016'!K7121</f>
        <v>133.44999999999999</v>
      </c>
      <c r="E1906" s="276">
        <f>'Profits 2016'!L7121</f>
        <v>2200</v>
      </c>
      <c r="F1906" s="275" t="str">
        <f>'Profits 2016'!P7121</f>
        <v>Direct</v>
      </c>
      <c r="G1906" s="292">
        <f>'Profits 2016'!N7121-'Profits 2016'!M7121</f>
        <v>110</v>
      </c>
      <c r="H1906" s="331">
        <v>0</v>
      </c>
      <c r="I1906" s="332">
        <v>76608</v>
      </c>
      <c r="J1906" s="333">
        <v>42691</v>
      </c>
      <c r="K1906" s="333">
        <v>42695</v>
      </c>
      <c r="L1906" s="333"/>
      <c r="M1906" s="331"/>
      <c r="N1906" s="334"/>
      <c r="O1906" s="236" t="str">
        <f>'Profits 2016'!T7121</f>
        <v>FEDEX GROUND</v>
      </c>
      <c r="P1906" s="284" t="str">
        <f>'Profits 2016'!U7121</f>
        <v>630512245810</v>
      </c>
      <c r="AF1906" s="276">
        <f t="shared" si="207"/>
        <v>110</v>
      </c>
      <c r="AG1906" s="276">
        <f t="shared" si="208"/>
        <v>0</v>
      </c>
      <c r="AH1906" s="276">
        <f t="shared" si="209"/>
        <v>133.44999999999999</v>
      </c>
      <c r="AI1906" s="283">
        <f t="shared" si="210"/>
        <v>1.2131818181818181</v>
      </c>
    </row>
    <row r="1907" spans="1:35" ht="30" x14ac:dyDescent="0.25">
      <c r="A1907" s="275">
        <f>'Profits 2016'!A7122</f>
        <v>3005586</v>
      </c>
      <c r="B1907" s="279">
        <f>'Profits 2016'!B7122</f>
        <v>42688</v>
      </c>
      <c r="C1907" s="276">
        <f>'Profits 2016'!H7122</f>
        <v>157</v>
      </c>
      <c r="D1907" s="280">
        <f>'Profits 2016'!K7122</f>
        <v>133.44999999999999</v>
      </c>
      <c r="E1907" s="276">
        <f>'Profits 2016'!L7122</f>
        <v>900</v>
      </c>
      <c r="F1907" s="275" t="str">
        <f>'Profits 2016'!P7122</f>
        <v>Nassau</v>
      </c>
      <c r="G1907" s="292">
        <f>'Profits 2016'!N7122-'Profits 2016'!M7122</f>
        <v>90</v>
      </c>
      <c r="H1907" s="319"/>
      <c r="I1907" s="320"/>
      <c r="J1907" s="321"/>
      <c r="K1907" s="321"/>
      <c r="L1907" s="321"/>
      <c r="M1907" s="319"/>
      <c r="N1907" s="322"/>
      <c r="O1907" s="236" t="str">
        <f>'Profits 2016'!T7122</f>
        <v>FEDEX GROUND</v>
      </c>
      <c r="P1907" s="284" t="str">
        <f>'Profits 2016'!U7122</f>
        <v>702723292660</v>
      </c>
      <c r="AF1907" s="276">
        <f t="shared" si="207"/>
        <v>90</v>
      </c>
      <c r="AG1907" s="276">
        <f t="shared" si="208"/>
        <v>0</v>
      </c>
      <c r="AH1907" s="276">
        <f t="shared" si="209"/>
        <v>133.44999999999999</v>
      </c>
      <c r="AI1907" s="283">
        <f t="shared" si="210"/>
        <v>1.4827777777777778</v>
      </c>
    </row>
    <row r="1908" spans="1:35" ht="30" x14ac:dyDescent="0.25">
      <c r="A1908" s="275">
        <f>'Profits 2016'!A7123</f>
        <v>3005587</v>
      </c>
      <c r="B1908" s="279">
        <f>'Profits 2016'!B7123</f>
        <v>42688</v>
      </c>
      <c r="C1908" s="276">
        <f>'Profits 2016'!H7123</f>
        <v>159</v>
      </c>
      <c r="D1908" s="280">
        <f>'Profits 2016'!K7123</f>
        <v>135.15</v>
      </c>
      <c r="E1908" s="276">
        <f>'Profits 2016'!L7123</f>
        <v>461</v>
      </c>
      <c r="F1908" s="275" t="str">
        <f>'Profits 2016'!P7123</f>
        <v>Direct</v>
      </c>
      <c r="G1908" s="292">
        <f>'Profits 2016'!N7123-'Profits 2016'!M7123</f>
        <v>46.1</v>
      </c>
      <c r="H1908" s="331">
        <v>0</v>
      </c>
      <c r="I1908" s="332">
        <v>76445</v>
      </c>
      <c r="J1908" s="333">
        <v>42689</v>
      </c>
      <c r="K1908" s="333">
        <v>42692</v>
      </c>
      <c r="L1908" s="333">
        <v>42697</v>
      </c>
      <c r="M1908" s="331">
        <v>91.34</v>
      </c>
      <c r="N1908" s="334">
        <v>9490</v>
      </c>
      <c r="O1908" s="236" t="str">
        <f>'Profits 2016'!T7123</f>
        <v>FEDEX GROUND</v>
      </c>
      <c r="P1908" s="284" t="str">
        <f>'Profits 2016'!U7123</f>
        <v>642286529614</v>
      </c>
      <c r="AF1908" s="276">
        <f t="shared" si="207"/>
        <v>46.1</v>
      </c>
      <c r="AG1908" s="276">
        <f t="shared" si="208"/>
        <v>91.34</v>
      </c>
      <c r="AH1908" s="276">
        <f t="shared" si="209"/>
        <v>43.81</v>
      </c>
      <c r="AI1908" s="283">
        <f t="shared" si="210"/>
        <v>0.95032537960954444</v>
      </c>
    </row>
    <row r="1909" spans="1:35" x14ac:dyDescent="0.25">
      <c r="A1909" s="275">
        <f>'Profits 2016'!A7124</f>
        <v>0</v>
      </c>
      <c r="B1909" s="279">
        <f>'Profits 2016'!B7124</f>
        <v>0</v>
      </c>
      <c r="C1909" s="276">
        <f>'Profits 2016'!H7124</f>
        <v>0</v>
      </c>
      <c r="D1909" s="280">
        <f>'Profits 2016'!K7124</f>
        <v>0</v>
      </c>
      <c r="E1909" s="276">
        <f>'Profits 2016'!L7124</f>
        <v>471</v>
      </c>
      <c r="F1909" s="275" t="str">
        <f>'Profits 2016'!P7124</f>
        <v>Direct</v>
      </c>
      <c r="G1909" s="292">
        <f>'Profits 2016'!N7124-'Profits 2016'!M7124</f>
        <v>47.1</v>
      </c>
      <c r="H1909" s="331">
        <v>0</v>
      </c>
      <c r="I1909" s="332">
        <v>76445</v>
      </c>
      <c r="J1909" s="333">
        <v>42689</v>
      </c>
      <c r="K1909" s="333">
        <v>42692</v>
      </c>
      <c r="L1909" s="333">
        <v>42697</v>
      </c>
      <c r="M1909" s="331">
        <v>0</v>
      </c>
      <c r="N1909" s="334">
        <v>9490</v>
      </c>
      <c r="O1909" s="236">
        <f>'Profits 2016'!T7124</f>
        <v>0</v>
      </c>
      <c r="P1909" s="284">
        <f>'Profits 2016'!U7124</f>
        <v>0</v>
      </c>
      <c r="AF1909" s="276">
        <f t="shared" si="207"/>
        <v>47.1</v>
      </c>
      <c r="AG1909" s="276">
        <f t="shared" si="208"/>
        <v>0</v>
      </c>
      <c r="AH1909" s="276">
        <f t="shared" si="209"/>
        <v>0</v>
      </c>
      <c r="AI1909" s="283">
        <f t="shared" si="210"/>
        <v>0</v>
      </c>
    </row>
    <row r="1910" spans="1:35" ht="30" x14ac:dyDescent="0.25">
      <c r="A1910" s="275">
        <f>'Profits 2016'!A7125</f>
        <v>3005588</v>
      </c>
      <c r="B1910" s="279">
        <f>'Profits 2016'!B7125</f>
        <v>42688</v>
      </c>
      <c r="C1910" s="276">
        <f>'Profits 2016'!H7125</f>
        <v>132</v>
      </c>
      <c r="D1910" s="280">
        <f>'Profits 2016'!K7125</f>
        <v>112.2</v>
      </c>
      <c r="E1910" s="276">
        <f>'Profits 2016'!L7125</f>
        <v>461</v>
      </c>
      <c r="F1910" s="275" t="str">
        <f>'Profits 2016'!P7125</f>
        <v>Direct</v>
      </c>
      <c r="G1910" s="292">
        <f>'Profits 2016'!N7125-'Profits 2016'!M7125</f>
        <v>34.574999999999996</v>
      </c>
      <c r="H1910" s="331">
        <v>0</v>
      </c>
      <c r="I1910" s="332">
        <v>76454</v>
      </c>
      <c r="J1910" s="333">
        <v>42689</v>
      </c>
      <c r="K1910" s="333">
        <v>42692</v>
      </c>
      <c r="L1910" s="333">
        <v>42697</v>
      </c>
      <c r="M1910" s="331">
        <v>68.510000000000005</v>
      </c>
      <c r="N1910" s="334">
        <v>9487</v>
      </c>
      <c r="O1910" s="236" t="str">
        <f>'Profits 2016'!T7125</f>
        <v>FEDEX GROUND</v>
      </c>
      <c r="P1910" s="284" t="str">
        <f>'Profits 2016'!U7125</f>
        <v>639794970456</v>
      </c>
      <c r="AF1910" s="276">
        <f t="shared" si="207"/>
        <v>34.574999999999996</v>
      </c>
      <c r="AG1910" s="276">
        <f t="shared" si="208"/>
        <v>68.510000000000005</v>
      </c>
      <c r="AH1910" s="276">
        <f t="shared" si="209"/>
        <v>43.69</v>
      </c>
      <c r="AI1910" s="283">
        <f t="shared" si="210"/>
        <v>1.2636297903109184</v>
      </c>
    </row>
    <row r="1911" spans="1:35" x14ac:dyDescent="0.25">
      <c r="A1911" s="275">
        <f>'Profits 2016'!A7126</f>
        <v>0</v>
      </c>
      <c r="B1911" s="279">
        <f>'Profits 2016'!B7126</f>
        <v>0</v>
      </c>
      <c r="C1911" s="276">
        <f>'Profits 2016'!H7126</f>
        <v>0</v>
      </c>
      <c r="D1911" s="280">
        <f>'Profits 2016'!K7126</f>
        <v>0</v>
      </c>
      <c r="E1911" s="276">
        <f>'Profits 2016'!L7126</f>
        <v>471</v>
      </c>
      <c r="F1911" s="275" t="str">
        <f>'Profits 2016'!P7126</f>
        <v>Direct</v>
      </c>
      <c r="G1911" s="292">
        <f>'Profits 2016'!N7126-'Profits 2016'!M7126</f>
        <v>35.324999999999996</v>
      </c>
      <c r="H1911" s="331">
        <v>0</v>
      </c>
      <c r="I1911" s="332">
        <v>76454</v>
      </c>
      <c r="J1911" s="333">
        <v>42689</v>
      </c>
      <c r="K1911" s="333">
        <v>42692</v>
      </c>
      <c r="L1911" s="333">
        <v>42697</v>
      </c>
      <c r="M1911" s="331">
        <v>0</v>
      </c>
      <c r="N1911" s="334">
        <v>9487</v>
      </c>
      <c r="O1911" s="236">
        <f>'Profits 2016'!T7126</f>
        <v>0</v>
      </c>
      <c r="P1911" s="284">
        <f>'Profits 2016'!U7126</f>
        <v>0</v>
      </c>
      <c r="AF1911" s="276">
        <f t="shared" si="207"/>
        <v>35.324999999999996</v>
      </c>
      <c r="AG1911" s="276">
        <f t="shared" si="208"/>
        <v>0</v>
      </c>
      <c r="AH1911" s="276">
        <f t="shared" si="209"/>
        <v>0</v>
      </c>
      <c r="AI1911" s="283">
        <f t="shared" si="210"/>
        <v>0</v>
      </c>
    </row>
    <row r="1912" spans="1:35" ht="30" x14ac:dyDescent="0.25">
      <c r="A1912" s="275">
        <f>'Profits 2016'!A7127</f>
        <v>3005589</v>
      </c>
      <c r="B1912" s="279">
        <f>'Profits 2016'!B7127</f>
        <v>42688</v>
      </c>
      <c r="C1912" s="276">
        <f>'Profits 2016'!H7127</f>
        <v>141.46</v>
      </c>
      <c r="D1912" s="280">
        <f>'Profits 2016'!K7127</f>
        <v>120.24100000000001</v>
      </c>
      <c r="E1912" s="276">
        <f>'Profits 2016'!L7127</f>
        <v>510</v>
      </c>
      <c r="F1912" s="275" t="str">
        <f>'Profits 2016'!P7127</f>
        <v>Omni</v>
      </c>
      <c r="G1912" s="292">
        <f>'Profits 2016'!N7127-'Profits 2016'!M7127</f>
        <v>76.5</v>
      </c>
      <c r="H1912" s="331"/>
      <c r="I1912" s="332"/>
      <c r="J1912" s="333"/>
      <c r="K1912" s="333"/>
      <c r="L1912" s="333"/>
      <c r="M1912" s="331"/>
      <c r="N1912" s="334"/>
      <c r="O1912" s="236" t="str">
        <f>'Profits 2016'!T7127</f>
        <v>FEDEX GROUND</v>
      </c>
      <c r="P1912" s="284" t="str">
        <f>'Profits 2016'!U7127</f>
        <v>705963569636</v>
      </c>
      <c r="AF1912" s="276">
        <f t="shared" ref="AF1912:AF1975" si="211">G1912+H1913+R1912+Y1912</f>
        <v>76.5</v>
      </c>
      <c r="AG1912" s="276">
        <f t="shared" ref="AG1912:AG1975" si="212">M1912+R1912+Y1912</f>
        <v>0</v>
      </c>
      <c r="AH1912" s="276">
        <f t="shared" ref="AH1912:AH1975" si="213">D1912-AG1912</f>
        <v>120.24100000000001</v>
      </c>
      <c r="AI1912" s="283">
        <f t="shared" ref="AI1912:AI1975" si="214">AH1912/AF1912</f>
        <v>1.5717777777777779</v>
      </c>
    </row>
    <row r="1913" spans="1:35" ht="30" x14ac:dyDescent="0.25">
      <c r="A1913" s="275">
        <f>'Profits 2016'!A7128</f>
        <v>3005590</v>
      </c>
      <c r="B1913" s="279">
        <f>'Profits 2016'!B7128</f>
        <v>42688</v>
      </c>
      <c r="C1913" s="276">
        <f>'Profits 2016'!H7128</f>
        <v>141.46</v>
      </c>
      <c r="D1913" s="280">
        <f>'Profits 2016'!K7128</f>
        <v>120.24100000000001</v>
      </c>
      <c r="E1913" s="276">
        <f>'Profits 2016'!L7128</f>
        <v>1950</v>
      </c>
      <c r="F1913" s="275" t="str">
        <f>'Profits 2016'!P7128</f>
        <v>Omni</v>
      </c>
      <c r="G1913" s="292">
        <f>'Profits 2016'!N7128-'Profits 2016'!M7128</f>
        <v>58.5</v>
      </c>
      <c r="H1913" s="331"/>
      <c r="I1913" s="332"/>
      <c r="J1913" s="333"/>
      <c r="K1913" s="333"/>
      <c r="L1913" s="333"/>
      <c r="M1913" s="331"/>
      <c r="N1913" s="334"/>
      <c r="O1913" s="236" t="str">
        <f>'Profits 2016'!T7128</f>
        <v>FEDEX GROUND</v>
      </c>
      <c r="P1913" s="284" t="str">
        <f>'Profits 2016'!U7128</f>
        <v>644640012867</v>
      </c>
      <c r="AF1913" s="276">
        <f t="shared" si="211"/>
        <v>58.5</v>
      </c>
      <c r="AG1913" s="276">
        <f t="shared" si="212"/>
        <v>0</v>
      </c>
      <c r="AH1913" s="276">
        <f t="shared" si="213"/>
        <v>120.24100000000001</v>
      </c>
      <c r="AI1913" s="283">
        <f t="shared" si="214"/>
        <v>2.0554017094017096</v>
      </c>
    </row>
    <row r="1914" spans="1:35" ht="30" x14ac:dyDescent="0.25">
      <c r="A1914" s="275">
        <f>'Profits 2016'!A7129</f>
        <v>3005591</v>
      </c>
      <c r="B1914" s="279">
        <f>'Profits 2016'!B7129</f>
        <v>42688</v>
      </c>
      <c r="C1914" s="276">
        <f>'Profits 2016'!H7129</f>
        <v>472.23</v>
      </c>
      <c r="D1914" s="280">
        <f>'Profits 2016'!K7129</f>
        <v>420.45693</v>
      </c>
      <c r="E1914" s="276">
        <f>'Profits 2016'!L7129</f>
        <v>504</v>
      </c>
      <c r="F1914" s="275" t="str">
        <f>'Profits 2016'!P7129</f>
        <v>Nassau</v>
      </c>
      <c r="G1914" s="292">
        <f>'Profits 2016'!N7129-'Profits 2016'!M7129</f>
        <v>252</v>
      </c>
      <c r="H1914" s="319"/>
      <c r="I1914" s="320"/>
      <c r="J1914" s="321"/>
      <c r="K1914" s="321"/>
      <c r="L1914" s="321"/>
      <c r="M1914" s="319"/>
      <c r="N1914" s="322"/>
      <c r="O1914" s="236" t="str">
        <f>'Profits 2016'!T7129</f>
        <v>FEDEX/ECHO</v>
      </c>
      <c r="P1914" s="284" t="str">
        <f>'Profits 2016'!U7129</f>
        <v xml:space="preserve">	3065642753</v>
      </c>
      <c r="AF1914" s="276">
        <f t="shared" si="211"/>
        <v>252</v>
      </c>
      <c r="AG1914" s="276">
        <f t="shared" si="212"/>
        <v>0</v>
      </c>
      <c r="AH1914" s="276">
        <f t="shared" si="213"/>
        <v>420.45693</v>
      </c>
      <c r="AI1914" s="283">
        <f t="shared" si="214"/>
        <v>1.6684798809523809</v>
      </c>
    </row>
    <row r="1915" spans="1:35" ht="30" x14ac:dyDescent="0.25">
      <c r="A1915" s="275">
        <f>'Profits 2016'!A7130</f>
        <v>3005592</v>
      </c>
      <c r="B1915" s="279">
        <f>'Profits 2016'!B7130</f>
        <v>42688</v>
      </c>
      <c r="C1915" s="276">
        <f>'Profits 2016'!H7130</f>
        <v>2780</v>
      </c>
      <c r="D1915" s="280">
        <f>'Profits 2016'!K7130</f>
        <v>2718.54</v>
      </c>
      <c r="E1915" s="276">
        <f>'Profits 2016'!L7130</f>
        <v>963</v>
      </c>
      <c r="F1915" s="275" t="str">
        <f>'Profits 2016'!P7130</f>
        <v>Priority</v>
      </c>
      <c r="G1915" s="292">
        <f>'Profits 2016'!N7130-'Profits 2016'!M7130</f>
        <v>963</v>
      </c>
      <c r="H1915" s="331">
        <v>0</v>
      </c>
      <c r="I1915" s="332">
        <v>1076835</v>
      </c>
      <c r="J1915" s="333">
        <v>42689</v>
      </c>
      <c r="K1915" s="333">
        <v>42695</v>
      </c>
      <c r="L1915" s="333"/>
      <c r="M1915" s="331"/>
      <c r="N1915" s="334"/>
      <c r="O1915" s="236" t="str">
        <f>'Profits 2016'!T7130</f>
        <v>FEDEX PRIORITY</v>
      </c>
      <c r="P1915" s="284" t="str">
        <f>'Profits 2016'!U7130</f>
        <v>3954125980</v>
      </c>
      <c r="Q1915" s="284" t="s">
        <v>15740</v>
      </c>
      <c r="R1915" s="276">
        <v>151.71</v>
      </c>
      <c r="S1915" s="275">
        <v>1076835</v>
      </c>
      <c r="T1915" s="279">
        <v>42689</v>
      </c>
      <c r="U1915" s="279">
        <v>42695</v>
      </c>
      <c r="AF1915" s="276">
        <f t="shared" si="211"/>
        <v>1114.71</v>
      </c>
      <c r="AG1915" s="276">
        <f t="shared" si="212"/>
        <v>151.71</v>
      </c>
      <c r="AH1915" s="276">
        <f t="shared" si="213"/>
        <v>2566.83</v>
      </c>
      <c r="AI1915" s="283">
        <f t="shared" si="214"/>
        <v>2.3026885916516404</v>
      </c>
    </row>
    <row r="1916" spans="1:35" x14ac:dyDescent="0.25">
      <c r="A1916" s="275">
        <f>'Profits 2016'!A7131</f>
        <v>0</v>
      </c>
      <c r="B1916" s="279">
        <f>'Profits 2016'!B7131</f>
        <v>0</v>
      </c>
      <c r="C1916" s="276">
        <f>'Profits 2016'!H7131</f>
        <v>0</v>
      </c>
      <c r="D1916" s="280">
        <f>'Profits 2016'!K7131</f>
        <v>0</v>
      </c>
      <c r="E1916" s="276">
        <f>'Profits 2016'!L7131</f>
        <v>310</v>
      </c>
      <c r="F1916" s="275" t="str">
        <f>'Profits 2016'!P7131</f>
        <v>Priority</v>
      </c>
      <c r="G1916" s="292">
        <f>'Profits 2016'!N7131-'Profits 2016'!M7131</f>
        <v>620</v>
      </c>
      <c r="H1916" s="331">
        <v>0</v>
      </c>
      <c r="I1916" s="332">
        <v>1076835</v>
      </c>
      <c r="J1916" s="333">
        <v>42689</v>
      </c>
      <c r="K1916" s="333">
        <v>42695</v>
      </c>
      <c r="L1916" s="333"/>
      <c r="M1916" s="331"/>
      <c r="N1916" s="334"/>
      <c r="O1916" s="236">
        <f>'Profits 2016'!T7131</f>
        <v>0</v>
      </c>
      <c r="P1916" s="284">
        <f>'Profits 2016'!U7131</f>
        <v>0</v>
      </c>
      <c r="Q1916" s="284" t="s">
        <v>15740</v>
      </c>
      <c r="R1916" s="276">
        <v>0</v>
      </c>
      <c r="S1916" s="275">
        <v>1076835</v>
      </c>
      <c r="T1916" s="279">
        <v>42689</v>
      </c>
      <c r="U1916" s="279">
        <v>42695</v>
      </c>
      <c r="AF1916" s="276">
        <f t="shared" si="211"/>
        <v>620</v>
      </c>
      <c r="AG1916" s="276">
        <f t="shared" si="212"/>
        <v>0</v>
      </c>
      <c r="AH1916" s="276">
        <f t="shared" si="213"/>
        <v>0</v>
      </c>
      <c r="AI1916" s="283">
        <f t="shared" si="214"/>
        <v>0</v>
      </c>
    </row>
    <row r="1917" spans="1:35" x14ac:dyDescent="0.25">
      <c r="A1917" s="275">
        <f>'Profits 2016'!A7132</f>
        <v>0</v>
      </c>
      <c r="B1917" s="279">
        <f>'Profits 2016'!B7132</f>
        <v>0</v>
      </c>
      <c r="C1917" s="276">
        <f>'Profits 2016'!H7132</f>
        <v>0</v>
      </c>
      <c r="D1917" s="280">
        <f>'Profits 2016'!K7132</f>
        <v>0</v>
      </c>
      <c r="E1917" s="276">
        <f>'Profits 2016'!L7132</f>
        <v>500</v>
      </c>
      <c r="F1917" s="275" t="str">
        <f>'Profits 2016'!P7132</f>
        <v>Priority</v>
      </c>
      <c r="G1917" s="292">
        <f>'Profits 2016'!N7132-'Profits 2016'!M7132</f>
        <v>500</v>
      </c>
      <c r="H1917" s="331">
        <v>0</v>
      </c>
      <c r="I1917" s="332">
        <v>1076835</v>
      </c>
      <c r="J1917" s="333">
        <v>42689</v>
      </c>
      <c r="K1917" s="333">
        <v>42695</v>
      </c>
      <c r="L1917" s="333"/>
      <c r="M1917" s="331"/>
      <c r="N1917" s="334"/>
      <c r="O1917" s="236">
        <f>'Profits 2016'!T7132</f>
        <v>0</v>
      </c>
      <c r="P1917" s="284">
        <f>'Profits 2016'!U7132</f>
        <v>0</v>
      </c>
      <c r="Q1917" s="284" t="s">
        <v>15740</v>
      </c>
      <c r="R1917" s="276">
        <v>0</v>
      </c>
      <c r="S1917" s="275">
        <v>1076835</v>
      </c>
      <c r="T1917" s="279">
        <v>42689</v>
      </c>
      <c r="U1917" s="279">
        <v>42695</v>
      </c>
      <c r="AF1917" s="276">
        <f t="shared" si="211"/>
        <v>500</v>
      </c>
      <c r="AG1917" s="276">
        <f t="shared" si="212"/>
        <v>0</v>
      </c>
      <c r="AH1917" s="276">
        <f t="shared" si="213"/>
        <v>0</v>
      </c>
      <c r="AI1917" s="283">
        <f t="shared" si="214"/>
        <v>0</v>
      </c>
    </row>
    <row r="1918" spans="1:35" ht="30" x14ac:dyDescent="0.25">
      <c r="A1918" s="275">
        <f>'Profits 2016'!A7133</f>
        <v>3005593</v>
      </c>
      <c r="B1918" s="279">
        <f>'Profits 2016'!B7133</f>
        <v>42688</v>
      </c>
      <c r="C1918" s="276">
        <f>'Profits 2016'!H7133</f>
        <v>376.94</v>
      </c>
      <c r="D1918" s="280">
        <f>'Profits 2016'!K7133</f>
        <v>368.34732000000002</v>
      </c>
      <c r="E1918" s="276">
        <f>'Profits 2016'!L7133</f>
        <v>640</v>
      </c>
      <c r="F1918" s="275" t="str">
        <f>'Profits 2016'!P7133</f>
        <v>Nassau</v>
      </c>
      <c r="G1918" s="292">
        <f>'Profits 2016'!N7133-'Profits 2016'!M7133</f>
        <v>160</v>
      </c>
      <c r="H1918" s="319"/>
      <c r="I1918" s="320"/>
      <c r="J1918" s="321"/>
      <c r="K1918" s="321"/>
      <c r="L1918" s="321"/>
      <c r="M1918" s="319"/>
      <c r="N1918" s="322"/>
      <c r="O1918" s="236" t="str">
        <f>'Profits 2016'!T7133</f>
        <v>FEDEX GROUND</v>
      </c>
      <c r="P1918" s="284" t="str">
        <f>'Profits 2016'!U7133</f>
        <v>702723292650</v>
      </c>
      <c r="AF1918" s="276">
        <f t="shared" si="211"/>
        <v>160</v>
      </c>
      <c r="AG1918" s="276">
        <f t="shared" si="212"/>
        <v>0</v>
      </c>
      <c r="AH1918" s="276">
        <f t="shared" si="213"/>
        <v>368.34732000000002</v>
      </c>
      <c r="AI1918" s="283">
        <f t="shared" si="214"/>
        <v>2.3021707500000002</v>
      </c>
    </row>
    <row r="1919" spans="1:35" ht="30" x14ac:dyDescent="0.25">
      <c r="A1919" s="275">
        <f>'Profits 2016'!A7134</f>
        <v>3005594</v>
      </c>
      <c r="B1919" s="279">
        <f>'Profits 2016'!B7134</f>
        <v>42688</v>
      </c>
      <c r="C1919" s="276">
        <f>'Profits 2016'!H7134</f>
        <v>3670.8</v>
      </c>
      <c r="D1919" s="280">
        <f>'Profits 2016'!K7134</f>
        <v>3589.7424000000001</v>
      </c>
      <c r="E1919" s="276">
        <f>'Profits 2016'!L7134</f>
        <v>1795</v>
      </c>
      <c r="F1919" s="275" t="str">
        <f>'Profits 2016'!P7134</f>
        <v>Nassau</v>
      </c>
      <c r="G1919" s="292">
        <f>'Profits 2016'!N7134-'Profits 2016'!M7134</f>
        <v>2154</v>
      </c>
      <c r="H1919" s="319"/>
      <c r="I1919" s="320"/>
      <c r="J1919" s="321"/>
      <c r="K1919" s="321"/>
      <c r="L1919" s="321"/>
      <c r="M1919" s="319"/>
      <c r="N1919" s="322"/>
      <c r="O1919" s="236" t="str">
        <f>'Profits 2016'!T7134</f>
        <v>NEW PENN/DLS</v>
      </c>
      <c r="P1919" s="284" t="str">
        <f>'Profits 2016'!U7134</f>
        <v>88669418-1</v>
      </c>
      <c r="Q1919" s="284" t="s">
        <v>15804</v>
      </c>
      <c r="R1919" s="276">
        <v>364.42</v>
      </c>
      <c r="S1919" s="275">
        <v>636988966</v>
      </c>
      <c r="T1919" s="279">
        <v>42695</v>
      </c>
      <c r="U1919" s="279">
        <v>42702</v>
      </c>
      <c r="AF1919" s="276">
        <f t="shared" si="211"/>
        <v>2518.42</v>
      </c>
      <c r="AG1919" s="276">
        <f t="shared" si="212"/>
        <v>364.42</v>
      </c>
      <c r="AH1919" s="276">
        <f t="shared" si="213"/>
        <v>3225.3224</v>
      </c>
      <c r="AI1919" s="283">
        <f t="shared" si="214"/>
        <v>1.2806928153366</v>
      </c>
    </row>
    <row r="1920" spans="1:35" ht="30" x14ac:dyDescent="0.25">
      <c r="A1920" s="275">
        <f>'Profits 2016'!A7135</f>
        <v>3005595</v>
      </c>
      <c r="B1920" s="279">
        <f>'Profits 2016'!B7135</f>
        <v>42688</v>
      </c>
      <c r="C1920" s="276">
        <f>'Profits 2016'!H7135</f>
        <v>3528</v>
      </c>
      <c r="D1920" s="280">
        <f>'Profits 2016'!K7135</f>
        <v>3528</v>
      </c>
      <c r="E1920" s="276">
        <f>'Profits 2016'!L7135</f>
        <v>840</v>
      </c>
      <c r="F1920" s="275" t="str">
        <f>'Profits 2016'!P7135</f>
        <v>Priority</v>
      </c>
      <c r="G1920" s="292">
        <f>'Profits 2016'!N7135-'Profits 2016'!M7135</f>
        <v>1058.4000000000001</v>
      </c>
      <c r="H1920" s="331">
        <v>0</v>
      </c>
      <c r="I1920" s="332">
        <v>1078068</v>
      </c>
      <c r="J1920" s="333">
        <v>42691</v>
      </c>
      <c r="K1920" s="333">
        <v>42702</v>
      </c>
      <c r="L1920" s="333"/>
      <c r="M1920" s="331"/>
      <c r="N1920" s="334"/>
      <c r="O1920" s="236" t="str">
        <f>'Profits 2016'!T7135</f>
        <v>CUSTOMER PICK UP</v>
      </c>
      <c r="P1920" s="284" t="str">
        <f>'Profits 2016'!U7135</f>
        <v>CUSTOMER PICK UP</v>
      </c>
      <c r="AF1920" s="276">
        <f t="shared" si="211"/>
        <v>1059.75</v>
      </c>
      <c r="AG1920" s="276">
        <f t="shared" si="212"/>
        <v>0</v>
      </c>
      <c r="AH1920" s="276">
        <f t="shared" si="213"/>
        <v>3528</v>
      </c>
      <c r="AI1920" s="283">
        <f t="shared" si="214"/>
        <v>3.3290870488322719</v>
      </c>
    </row>
    <row r="1921" spans="1:35" ht="30" x14ac:dyDescent="0.25">
      <c r="A1921" s="275">
        <f>'Profits 2016'!A7136</f>
        <v>3005596</v>
      </c>
      <c r="B1921" s="279">
        <f>'Profits 2016'!B7136</f>
        <v>42688</v>
      </c>
      <c r="C1921" s="276">
        <f>'Profits 2016'!H7136</f>
        <v>1100</v>
      </c>
      <c r="D1921" s="280">
        <f>'Profits 2016'!K7136</f>
        <v>1075.5</v>
      </c>
      <c r="E1921" s="276">
        <f>'Profits 2016'!L7136</f>
        <v>593.9</v>
      </c>
      <c r="F1921" s="275" t="str">
        <f>'Profits 2016'!P7136</f>
        <v>General</v>
      </c>
      <c r="G1921" s="292">
        <f>'Profits 2016'!N7136-'Profits 2016'!M7136</f>
        <v>593.9</v>
      </c>
      <c r="H1921" s="331">
        <v>1.35</v>
      </c>
      <c r="I1921" s="332">
        <v>3791765</v>
      </c>
      <c r="J1921" s="333">
        <v>42690</v>
      </c>
      <c r="K1921" s="333">
        <v>42695</v>
      </c>
      <c r="L1921" s="333"/>
      <c r="M1921" s="331"/>
      <c r="N1921" s="334"/>
      <c r="O1921" s="236" t="str">
        <f>'Profits 2016'!T7136</f>
        <v>FEDEX FREIGHT</v>
      </c>
      <c r="P1921" s="284" t="str">
        <f>'Profits 2016'!U7136</f>
        <v>3720050460</v>
      </c>
      <c r="Q1921" s="284" t="s">
        <v>15741</v>
      </c>
      <c r="R1921" s="276">
        <v>151.72</v>
      </c>
      <c r="S1921" s="275">
        <v>3791765</v>
      </c>
      <c r="T1921" s="279">
        <v>42690</v>
      </c>
      <c r="U1921" s="279">
        <v>42695</v>
      </c>
      <c r="AF1921" s="276">
        <f t="shared" si="211"/>
        <v>745.62</v>
      </c>
      <c r="AG1921" s="276">
        <f t="shared" si="212"/>
        <v>151.72</v>
      </c>
      <c r="AH1921" s="276">
        <f t="shared" si="213"/>
        <v>923.78</v>
      </c>
      <c r="AI1921" s="283">
        <f t="shared" si="214"/>
        <v>1.2389420884632922</v>
      </c>
    </row>
    <row r="1922" spans="1:35" x14ac:dyDescent="0.25">
      <c r="A1922" s="275">
        <f>'Profits 2016'!A7137</f>
        <v>3005597</v>
      </c>
      <c r="B1922" s="279">
        <f>'Profits 2016'!B7137</f>
        <v>42688</v>
      </c>
      <c r="C1922" s="276">
        <f>'Profits 2016'!H7137</f>
        <v>1627</v>
      </c>
      <c r="D1922" s="280">
        <f>'Profits 2016'!K7137</f>
        <v>1590.9059999999999</v>
      </c>
      <c r="E1922" s="276">
        <f>'Profits 2016'!L7137</f>
        <v>1100</v>
      </c>
      <c r="F1922" s="275" t="str">
        <f>'Profits 2016'!P7137</f>
        <v>ERCO</v>
      </c>
      <c r="G1922" s="292">
        <f>'Profits 2016'!N7137-'Profits 2016'!M7137</f>
        <v>660</v>
      </c>
      <c r="H1922" s="331">
        <v>0</v>
      </c>
      <c r="I1922" s="332">
        <v>152573</v>
      </c>
      <c r="J1922" s="333">
        <v>42690</v>
      </c>
      <c r="K1922" s="333">
        <v>42695</v>
      </c>
      <c r="L1922" s="333"/>
      <c r="M1922" s="331"/>
      <c r="N1922" s="334"/>
      <c r="O1922" s="236" t="str">
        <f>'Profits 2016'!T7137</f>
        <v>FEDEX/DLS</v>
      </c>
      <c r="P1922" s="284" t="str">
        <f>'Profits 2016'!U7137</f>
        <v>393371931-1</v>
      </c>
      <c r="AF1922" s="276">
        <f t="shared" si="211"/>
        <v>660</v>
      </c>
      <c r="AG1922" s="276">
        <f t="shared" si="212"/>
        <v>0</v>
      </c>
      <c r="AH1922" s="276">
        <f t="shared" si="213"/>
        <v>1590.9059999999999</v>
      </c>
      <c r="AI1922" s="283">
        <f t="shared" si="214"/>
        <v>2.4104636363636365</v>
      </c>
    </row>
    <row r="1923" spans="1:35" ht="30" x14ac:dyDescent="0.25">
      <c r="A1923" s="275">
        <f>'Profits 2016'!A7138</f>
        <v>0</v>
      </c>
      <c r="B1923" s="279">
        <f>'Profits 2016'!B7138</f>
        <v>0</v>
      </c>
      <c r="C1923" s="276">
        <f>'Profits 2016'!H7138</f>
        <v>0</v>
      </c>
      <c r="D1923" s="280">
        <f>'Profits 2016'!K7138</f>
        <v>0</v>
      </c>
      <c r="E1923" s="276">
        <f>'Profits 2016'!L7138</f>
        <v>2350</v>
      </c>
      <c r="F1923" s="275" t="str">
        <f>'Profits 2016'!P7138</f>
        <v>Lightning Rod Parts</v>
      </c>
      <c r="G1923" s="292">
        <f>'Profits 2016'!N7138-'Profits 2016'!M7138</f>
        <v>470</v>
      </c>
      <c r="H1923" s="331">
        <v>0</v>
      </c>
      <c r="I1923" s="332">
        <v>7677</v>
      </c>
      <c r="J1923" s="333">
        <v>42689</v>
      </c>
      <c r="K1923" s="333">
        <v>42695</v>
      </c>
      <c r="L1923" s="333">
        <v>42689</v>
      </c>
      <c r="M1923" s="331">
        <v>470</v>
      </c>
      <c r="N1923" s="334" t="s">
        <v>15941</v>
      </c>
      <c r="O1923" s="236" t="str">
        <f>'Profits 2016'!T7138</f>
        <v>UPS</v>
      </c>
      <c r="P1923" s="284" t="str">
        <f>'Profits 2016'!U7138</f>
        <v>1Z9R84V40356555825</v>
      </c>
      <c r="Q1923" s="284" t="s">
        <v>15942</v>
      </c>
      <c r="R1923" s="276">
        <v>47</v>
      </c>
      <c r="S1923" s="275">
        <v>7677</v>
      </c>
      <c r="T1923" s="279">
        <v>42689</v>
      </c>
      <c r="U1923" s="279">
        <v>42695</v>
      </c>
      <c r="V1923" s="279">
        <v>42689</v>
      </c>
      <c r="W1923" s="293">
        <v>47</v>
      </c>
      <c r="X1923" s="236" t="s">
        <v>15941</v>
      </c>
      <c r="AF1923" s="276">
        <f t="shared" si="211"/>
        <v>517</v>
      </c>
      <c r="AG1923" s="276">
        <f t="shared" si="212"/>
        <v>517</v>
      </c>
      <c r="AH1923" s="276">
        <f t="shared" si="213"/>
        <v>-517</v>
      </c>
      <c r="AI1923" s="283">
        <f t="shared" si="214"/>
        <v>-1</v>
      </c>
    </row>
    <row r="1924" spans="1:35" ht="45" x14ac:dyDescent="0.25">
      <c r="A1924" s="275">
        <f>'Profits 2016'!A7139</f>
        <v>3005598</v>
      </c>
      <c r="B1924" s="279">
        <f>'Profits 2016'!B7139</f>
        <v>42688</v>
      </c>
      <c r="C1924" s="276">
        <f>'Profits 2016'!H7139</f>
        <v>4500</v>
      </c>
      <c r="D1924" s="280">
        <f>'Profits 2016'!K7139</f>
        <v>4400.7</v>
      </c>
      <c r="E1924" s="276">
        <f>'Profits 2016'!L7139</f>
        <v>850</v>
      </c>
      <c r="F1924" s="275" t="str">
        <f>'Profits 2016'!P7139</f>
        <v>CadreWire</v>
      </c>
      <c r="G1924" s="292">
        <f>'Profits 2016'!N7139-'Profits 2016'!M7139</f>
        <v>2550</v>
      </c>
      <c r="H1924" s="331">
        <v>0</v>
      </c>
      <c r="I1924" s="332">
        <v>22710</v>
      </c>
      <c r="J1924" s="333">
        <v>42690</v>
      </c>
      <c r="K1924" s="333">
        <v>42702</v>
      </c>
      <c r="L1924" s="333"/>
      <c r="M1924" s="331"/>
      <c r="N1924" s="334"/>
      <c r="O1924" s="236" t="str">
        <f>'Profits 2016'!T7139</f>
        <v>ROAD RUNNER/ECHO</v>
      </c>
      <c r="P1924" s="284" t="str">
        <f>'Profits 2016'!U7139</f>
        <v xml:space="preserve">	409577566</v>
      </c>
      <c r="AF1924" s="276">
        <f t="shared" si="211"/>
        <v>2550</v>
      </c>
      <c r="AG1924" s="276">
        <f t="shared" si="212"/>
        <v>0</v>
      </c>
      <c r="AH1924" s="276">
        <f t="shared" si="213"/>
        <v>4400.7</v>
      </c>
      <c r="AI1924" s="283">
        <f t="shared" si="214"/>
        <v>1.7257647058823529</v>
      </c>
    </row>
    <row r="1925" spans="1:35" ht="30" x14ac:dyDescent="0.25">
      <c r="A1925" s="275">
        <f>'Profits 2016'!A7140</f>
        <v>3005599</v>
      </c>
      <c r="B1925" s="279">
        <f>'Profits 2016'!B7140</f>
        <v>42689</v>
      </c>
      <c r="C1925" s="276">
        <f>'Profits 2016'!H7140</f>
        <v>140.30000000000001</v>
      </c>
      <c r="D1925" s="280">
        <f>'Profits 2016'!K7140</f>
        <v>124.70730000000002</v>
      </c>
      <c r="E1925" s="276">
        <f>'Profits 2016'!L7140</f>
        <v>300</v>
      </c>
      <c r="F1925" s="275" t="str">
        <f>'Profits 2016'!P7140</f>
        <v>Nassau</v>
      </c>
      <c r="G1925" s="292">
        <f>'Profits 2016'!N7140-'Profits 2016'!M7140</f>
        <v>60</v>
      </c>
      <c r="H1925" s="319"/>
      <c r="I1925" s="320"/>
      <c r="J1925" s="321"/>
      <c r="K1925" s="321"/>
      <c r="L1925" s="321"/>
      <c r="M1925" s="319"/>
      <c r="N1925" s="322"/>
      <c r="O1925" s="236" t="str">
        <f>'Profits 2016'!T7140</f>
        <v>FEDEX GROUND</v>
      </c>
      <c r="P1925" s="284" t="str">
        <f>'Profits 2016'!U7140</f>
        <v>702723292579</v>
      </c>
      <c r="AF1925" s="276">
        <f t="shared" si="211"/>
        <v>60</v>
      </c>
      <c r="AG1925" s="276">
        <f t="shared" si="212"/>
        <v>0</v>
      </c>
      <c r="AH1925" s="276">
        <f t="shared" si="213"/>
        <v>124.70730000000002</v>
      </c>
      <c r="AI1925" s="283">
        <f t="shared" si="214"/>
        <v>2.0784550000000004</v>
      </c>
    </row>
    <row r="1926" spans="1:35" ht="30" x14ac:dyDescent="0.25">
      <c r="A1926" s="275">
        <f>'Profits 2016'!A7141</f>
        <v>3005600</v>
      </c>
      <c r="B1926" s="279">
        <f>'Profits 2016'!B7141</f>
        <v>42689</v>
      </c>
      <c r="C1926" s="276">
        <f>'Profits 2016'!H7141</f>
        <v>248.9</v>
      </c>
      <c r="D1926" s="280">
        <f>'Profits 2016'!K7141</f>
        <v>221.4699</v>
      </c>
      <c r="E1926" s="276">
        <f>'Profits 2016'!L7141</f>
        <v>375</v>
      </c>
      <c r="F1926" s="275" t="str">
        <f>'Profits 2016'!P7141</f>
        <v>Thea</v>
      </c>
      <c r="G1926" s="292">
        <f>'Profits 2016'!N7141-'Profits 2016'!M7141</f>
        <v>86.25</v>
      </c>
      <c r="H1926" s="319"/>
      <c r="I1926" s="320"/>
      <c r="J1926" s="321"/>
      <c r="K1926" s="321"/>
      <c r="L1926" s="321"/>
      <c r="M1926" s="319"/>
      <c r="N1926" s="322"/>
      <c r="O1926" s="236" t="str">
        <f>'Profits 2016'!T7141</f>
        <v>FEDEX GROUND</v>
      </c>
      <c r="P1926" s="284" t="str">
        <f>'Profits 2016'!U7141</f>
        <v>675157532197</v>
      </c>
      <c r="AF1926" s="276">
        <f t="shared" si="211"/>
        <v>86.25</v>
      </c>
      <c r="AG1926" s="276">
        <f t="shared" si="212"/>
        <v>0</v>
      </c>
      <c r="AH1926" s="276">
        <f t="shared" si="213"/>
        <v>221.4699</v>
      </c>
      <c r="AI1926" s="283">
        <f t="shared" si="214"/>
        <v>2.5677669565217389</v>
      </c>
    </row>
    <row r="1927" spans="1:35" ht="30" x14ac:dyDescent="0.25">
      <c r="A1927" s="275">
        <f>'Profits 2016'!A7142</f>
        <v>3005601</v>
      </c>
      <c r="B1927" s="279">
        <f>'Profits 2016'!B7142</f>
        <v>42689</v>
      </c>
      <c r="C1927" s="276">
        <f>'Profits 2016'!H7142</f>
        <v>99</v>
      </c>
      <c r="D1927" s="280">
        <f>'Profits 2016'!K7142</f>
        <v>87.909000000000006</v>
      </c>
      <c r="E1927" s="276">
        <f>'Profits 2016'!L7142</f>
        <v>900</v>
      </c>
      <c r="F1927" s="275" t="str">
        <f>'Profits 2016'!P7142</f>
        <v>Nassau</v>
      </c>
      <c r="G1927" s="292">
        <f>'Profits 2016'!N7142-'Profits 2016'!M7142</f>
        <v>45</v>
      </c>
      <c r="H1927" s="319"/>
      <c r="I1927" s="320"/>
      <c r="J1927" s="321"/>
      <c r="K1927" s="321"/>
      <c r="L1927" s="321"/>
      <c r="M1927" s="319"/>
      <c r="N1927" s="322"/>
      <c r="O1927" s="236" t="str">
        <f>'Profits 2016'!T7142</f>
        <v>FEDEX GROUND</v>
      </c>
      <c r="P1927" s="284" t="str">
        <f>'Profits 2016'!U7142</f>
        <v>702723292524</v>
      </c>
      <c r="AF1927" s="276">
        <f t="shared" si="211"/>
        <v>45</v>
      </c>
      <c r="AG1927" s="276">
        <f t="shared" si="212"/>
        <v>0</v>
      </c>
      <c r="AH1927" s="276">
        <f t="shared" si="213"/>
        <v>87.909000000000006</v>
      </c>
      <c r="AI1927" s="283">
        <f t="shared" si="214"/>
        <v>1.9535333333333336</v>
      </c>
    </row>
    <row r="1928" spans="1:35" ht="30" x14ac:dyDescent="0.25">
      <c r="A1928" s="275">
        <f>'Profits 2016'!A7143</f>
        <v>3005602</v>
      </c>
      <c r="B1928" s="279">
        <f>'Profits 2016'!B7143</f>
        <v>42689</v>
      </c>
      <c r="C1928" s="276">
        <f>'Profits 2016'!H7143</f>
        <v>91.08</v>
      </c>
      <c r="D1928" s="280">
        <f>'Profits 2016'!K7143</f>
        <v>80.852280000000007</v>
      </c>
      <c r="E1928" s="276">
        <f>'Profits 2016'!L7143</f>
        <v>1246</v>
      </c>
      <c r="F1928" s="275" t="str">
        <f>'Profits 2016'!P7143</f>
        <v>Direct</v>
      </c>
      <c r="G1928" s="292">
        <f>'Profits 2016'!N7143-'Profits 2016'!M7143</f>
        <v>62.300000000000004</v>
      </c>
      <c r="H1928" s="331">
        <v>0</v>
      </c>
      <c r="I1928" s="332">
        <v>76530</v>
      </c>
      <c r="J1928" s="333">
        <v>42690</v>
      </c>
      <c r="K1928" s="333">
        <v>42695</v>
      </c>
      <c r="L1928" s="333">
        <v>42697</v>
      </c>
      <c r="M1928" s="331">
        <v>61.05</v>
      </c>
      <c r="N1928" s="334">
        <v>9488</v>
      </c>
      <c r="O1928" s="236" t="str">
        <f>'Profits 2016'!T7143</f>
        <v>FEDEX GROUND</v>
      </c>
      <c r="P1928" s="284" t="str">
        <f>'Profits 2016'!U7143</f>
        <v>630512245800</v>
      </c>
      <c r="AF1928" s="276">
        <f t="shared" si="211"/>
        <v>62.300000000000004</v>
      </c>
      <c r="AG1928" s="276">
        <f t="shared" si="212"/>
        <v>61.05</v>
      </c>
      <c r="AH1928" s="276">
        <f t="shared" si="213"/>
        <v>19.80228000000001</v>
      </c>
      <c r="AI1928" s="283">
        <f t="shared" si="214"/>
        <v>0.3178536115569825</v>
      </c>
    </row>
    <row r="1929" spans="1:35" ht="30" x14ac:dyDescent="0.25">
      <c r="A1929" s="275">
        <f>'Profits 2016'!A7144</f>
        <v>3005603</v>
      </c>
      <c r="B1929" s="279">
        <f>'Profits 2016'!B7144</f>
        <v>42689</v>
      </c>
      <c r="C1929" s="276">
        <f>'Profits 2016'!H7144</f>
        <v>236</v>
      </c>
      <c r="D1929" s="280">
        <f>'Profits 2016'!K7144</f>
        <v>209.976</v>
      </c>
      <c r="E1929" s="276">
        <f>'Profits 2016'!L7144</f>
        <v>1322</v>
      </c>
      <c r="F1929" s="275" t="str">
        <f>'Profits 2016'!P7144</f>
        <v>Nassau</v>
      </c>
      <c r="G1929" s="292">
        <f>'Profits 2016'!N7144-'Profits 2016'!M7144</f>
        <v>132.20000000000002</v>
      </c>
      <c r="H1929" s="319"/>
      <c r="I1929" s="320"/>
      <c r="J1929" s="321"/>
      <c r="K1929" s="321"/>
      <c r="L1929" s="321"/>
      <c r="M1929" s="319"/>
      <c r="N1929" s="322"/>
      <c r="O1929" s="236" t="str">
        <f>'Profits 2016'!T7144</f>
        <v>FEDEX GROUND</v>
      </c>
      <c r="P1929" s="284" t="str">
        <f>'Profits 2016'!U7144</f>
        <v>702723292546</v>
      </c>
      <c r="AF1929" s="276">
        <f t="shared" si="211"/>
        <v>132.20000000000002</v>
      </c>
      <c r="AG1929" s="276">
        <f t="shared" si="212"/>
        <v>0</v>
      </c>
      <c r="AH1929" s="276">
        <f t="shared" si="213"/>
        <v>209.976</v>
      </c>
      <c r="AI1929" s="283">
        <f t="shared" si="214"/>
        <v>1.5883207261724657</v>
      </c>
    </row>
    <row r="1930" spans="1:35" ht="30" x14ac:dyDescent="0.25">
      <c r="A1930" s="275">
        <f>'Profits 2016'!A7145</f>
        <v>3005604</v>
      </c>
      <c r="B1930" s="279">
        <f>'Profits 2016'!B7145</f>
        <v>42689</v>
      </c>
      <c r="C1930" s="276">
        <f>'Profits 2016'!H7145</f>
        <v>225</v>
      </c>
      <c r="D1930" s="280">
        <f>'Profits 2016'!K7145</f>
        <v>200.17500000000001</v>
      </c>
      <c r="E1930" s="276">
        <f>'Profits 2016'!L7145</f>
        <v>409</v>
      </c>
      <c r="F1930" s="275" t="str">
        <f>'Profits 2016'!P7145</f>
        <v>Nassau</v>
      </c>
      <c r="G1930" s="292">
        <f>'Profits 2016'!N7145-'Profits 2016'!M7145</f>
        <v>102.25</v>
      </c>
      <c r="H1930" s="319"/>
      <c r="I1930" s="320"/>
      <c r="J1930" s="321"/>
      <c r="K1930" s="321"/>
      <c r="L1930" s="321"/>
      <c r="M1930" s="319"/>
      <c r="N1930" s="322"/>
      <c r="O1930" s="236" t="str">
        <f>'Profits 2016'!T7145</f>
        <v>FEDEX GROUND</v>
      </c>
      <c r="P1930" s="284" t="str">
        <f>'Profits 2016'!U7145</f>
        <v>702723292535</v>
      </c>
      <c r="AF1930" s="276">
        <f t="shared" si="211"/>
        <v>102.25</v>
      </c>
      <c r="AG1930" s="276">
        <f t="shared" si="212"/>
        <v>0</v>
      </c>
      <c r="AH1930" s="276">
        <f t="shared" si="213"/>
        <v>200.17500000000001</v>
      </c>
      <c r="AI1930" s="283">
        <f t="shared" si="214"/>
        <v>1.9577017114914426</v>
      </c>
    </row>
    <row r="1931" spans="1:35" ht="30" x14ac:dyDescent="0.25">
      <c r="A1931" s="275">
        <f>'Profits 2016'!A7146</f>
        <v>3005605</v>
      </c>
      <c r="B1931" s="279">
        <f>'Profits 2016'!B7146</f>
        <v>42689</v>
      </c>
      <c r="C1931" s="276">
        <f>'Profits 2016'!H7146</f>
        <v>340.86</v>
      </c>
      <c r="D1931" s="280">
        <f>'Profits 2016'!K7146</f>
        <v>303.40626000000003</v>
      </c>
      <c r="E1931" s="276">
        <f>'Profits 2016'!L7146</f>
        <v>1800</v>
      </c>
      <c r="F1931" s="275" t="str">
        <f>'Profits 2016'!P7146</f>
        <v>Nassau</v>
      </c>
      <c r="G1931" s="292">
        <f>'Profits 2016'!N7146-'Profits 2016'!M7146</f>
        <v>180</v>
      </c>
      <c r="H1931" s="319"/>
      <c r="I1931" s="320"/>
      <c r="J1931" s="321"/>
      <c r="K1931" s="321"/>
      <c r="L1931" s="321"/>
      <c r="M1931" s="319"/>
      <c r="N1931" s="322"/>
      <c r="O1931" s="236" t="str">
        <f>'Profits 2016'!T7146</f>
        <v>FEDEX GROUND</v>
      </c>
      <c r="P1931" s="284" t="str">
        <f>'Profits 2016'!U7146</f>
        <v>702723292513</v>
      </c>
      <c r="AF1931" s="276">
        <f t="shared" si="211"/>
        <v>180</v>
      </c>
      <c r="AG1931" s="276">
        <f t="shared" si="212"/>
        <v>0</v>
      </c>
      <c r="AH1931" s="276">
        <f t="shared" si="213"/>
        <v>303.40626000000003</v>
      </c>
      <c r="AI1931" s="283">
        <f t="shared" si="214"/>
        <v>1.6855903333333335</v>
      </c>
    </row>
    <row r="1932" spans="1:35" ht="30" x14ac:dyDescent="0.25">
      <c r="A1932" s="275">
        <f>'Profits 2016'!A7147</f>
        <v>3005606</v>
      </c>
      <c r="B1932" s="279">
        <f>'Profits 2016'!B7147</f>
        <v>42689</v>
      </c>
      <c r="C1932" s="276">
        <f>'Profits 2016'!H7147</f>
        <v>330.39</v>
      </c>
      <c r="D1932" s="280">
        <f>'Profits 2016'!K7147</f>
        <v>294.07749000000001</v>
      </c>
      <c r="E1932" s="276">
        <f>'Profits 2016'!L7147</f>
        <v>174</v>
      </c>
      <c r="F1932" s="275" t="str">
        <f>'Profits 2016'!P7147</f>
        <v>Thea</v>
      </c>
      <c r="G1932" s="292">
        <f>'Profits 2016'!N7147-'Profits 2016'!M7147</f>
        <v>87</v>
      </c>
      <c r="H1932" s="319"/>
      <c r="I1932" s="320"/>
      <c r="J1932" s="321"/>
      <c r="K1932" s="321"/>
      <c r="L1932" s="321"/>
      <c r="M1932" s="319"/>
      <c r="N1932" s="322"/>
      <c r="O1932" s="236" t="str">
        <f>'Profits 2016'!T7147</f>
        <v>FEDEX GROUND</v>
      </c>
      <c r="P1932" s="284" t="str">
        <f>'Profits 2016'!U7147</f>
        <v>675157532245</v>
      </c>
      <c r="AF1932" s="276">
        <f t="shared" si="211"/>
        <v>87</v>
      </c>
      <c r="AG1932" s="276">
        <f t="shared" si="212"/>
        <v>0</v>
      </c>
      <c r="AH1932" s="276">
        <f t="shared" si="213"/>
        <v>294.07749000000001</v>
      </c>
      <c r="AI1932" s="283">
        <f t="shared" si="214"/>
        <v>3.3802010344827589</v>
      </c>
    </row>
    <row r="1933" spans="1:35" ht="30" x14ac:dyDescent="0.25">
      <c r="A1933" s="275">
        <f>'Profits 2016'!A7148</f>
        <v>3005607</v>
      </c>
      <c r="B1933" s="279">
        <f>'Profits 2016'!B7148</f>
        <v>42689</v>
      </c>
      <c r="C1933" s="276">
        <f>'Profits 2016'!H7148</f>
        <v>130.80000000000001</v>
      </c>
      <c r="D1933" s="280">
        <f>'Profits 2016'!K7148</f>
        <v>116.2428</v>
      </c>
      <c r="E1933" s="276">
        <f>'Profits 2016'!L7148</f>
        <v>424</v>
      </c>
      <c r="F1933" s="275" t="str">
        <f>'Profits 2016'!P7148</f>
        <v>Nassau</v>
      </c>
      <c r="G1933" s="292">
        <f>'Profits 2016'!N7148-'Profits 2016'!M7148</f>
        <v>46.64</v>
      </c>
      <c r="H1933" s="319"/>
      <c r="I1933" s="320"/>
      <c r="J1933" s="321"/>
      <c r="K1933" s="321"/>
      <c r="L1933" s="321"/>
      <c r="M1933" s="319"/>
      <c r="N1933" s="322"/>
      <c r="O1933" s="236" t="str">
        <f>'Profits 2016'!T7148</f>
        <v>FEDEX GROUND</v>
      </c>
      <c r="P1933" s="284" t="str">
        <f>'Profits 2016'!U7148</f>
        <v>702723292580</v>
      </c>
      <c r="AF1933" s="276">
        <f t="shared" si="211"/>
        <v>46.64</v>
      </c>
      <c r="AG1933" s="276">
        <f t="shared" si="212"/>
        <v>0</v>
      </c>
      <c r="AH1933" s="276">
        <f t="shared" si="213"/>
        <v>116.2428</v>
      </c>
      <c r="AI1933" s="283">
        <f t="shared" si="214"/>
        <v>2.4923413379073756</v>
      </c>
    </row>
    <row r="1934" spans="1:35" ht="30" x14ac:dyDescent="0.25">
      <c r="A1934" s="275">
        <f>'Profits 2016'!A7149</f>
        <v>3005608</v>
      </c>
      <c r="B1934" s="279">
        <f>'Profits 2016'!B7149</f>
        <v>42689</v>
      </c>
      <c r="C1934" s="276">
        <f>'Profits 2016'!H7149</f>
        <v>182.27</v>
      </c>
      <c r="D1934" s="280">
        <f>'Profits 2016'!K7149</f>
        <v>162.10257000000001</v>
      </c>
      <c r="E1934" s="276">
        <f>'Profits 2016'!L7149</f>
        <v>510</v>
      </c>
      <c r="F1934" s="275" t="str">
        <f>'Profits 2016'!P7149</f>
        <v>Nassau</v>
      </c>
      <c r="G1934" s="292">
        <f>'Profits 2016'!N7149-'Profits 2016'!M7149</f>
        <v>89.250000000000014</v>
      </c>
      <c r="H1934" s="319"/>
      <c r="I1934" s="320"/>
      <c r="J1934" s="321"/>
      <c r="K1934" s="321"/>
      <c r="L1934" s="321"/>
      <c r="M1934" s="319"/>
      <c r="N1934" s="322"/>
      <c r="O1934" s="236" t="str">
        <f>'Profits 2016'!T7149</f>
        <v>FEDEX GROUND</v>
      </c>
      <c r="P1934" s="284" t="str">
        <f>'Profits 2016'!U7149</f>
        <v>702723292557</v>
      </c>
      <c r="AF1934" s="276">
        <f t="shared" si="211"/>
        <v>89.250000000000014</v>
      </c>
      <c r="AG1934" s="276">
        <f t="shared" si="212"/>
        <v>0</v>
      </c>
      <c r="AH1934" s="276">
        <f t="shared" si="213"/>
        <v>162.10257000000001</v>
      </c>
      <c r="AI1934" s="283">
        <f t="shared" si="214"/>
        <v>1.816275294117647</v>
      </c>
    </row>
    <row r="1935" spans="1:35" ht="30" x14ac:dyDescent="0.25">
      <c r="A1935" s="275">
        <f>'Profits 2016'!A7150</f>
        <v>3005609</v>
      </c>
      <c r="B1935" s="279">
        <f>'Profits 2016'!B7150</f>
        <v>42689</v>
      </c>
      <c r="C1935" s="276">
        <f>'Profits 2016'!H7150</f>
        <v>93.56</v>
      </c>
      <c r="D1935" s="280">
        <f>'Profits 2016'!K7150</f>
        <v>83.061959999999999</v>
      </c>
      <c r="E1935" s="276">
        <f>'Profits 2016'!L7150</f>
        <v>1160</v>
      </c>
      <c r="F1935" s="275" t="str">
        <f>'Profits 2016'!P7150</f>
        <v>Direct</v>
      </c>
      <c r="G1935" s="292">
        <f>'Profits 2016'!N7150-'Profits 2016'!M7150</f>
        <v>58</v>
      </c>
      <c r="H1935" s="331">
        <v>0</v>
      </c>
      <c r="I1935" s="332">
        <v>76618</v>
      </c>
      <c r="J1935" s="333">
        <v>42691</v>
      </c>
      <c r="K1935" s="333">
        <v>42695</v>
      </c>
      <c r="L1935" s="333"/>
      <c r="M1935" s="331"/>
      <c r="N1935" s="334"/>
      <c r="O1935" s="236" t="str">
        <f>'Profits 2016'!T7150</f>
        <v>FEDEX GROUND</v>
      </c>
      <c r="P1935" s="284" t="str">
        <f>'Profits 2016'!U7150</f>
        <v>642286529625</v>
      </c>
      <c r="AF1935" s="276">
        <f t="shared" si="211"/>
        <v>58</v>
      </c>
      <c r="AG1935" s="276">
        <f t="shared" si="212"/>
        <v>0</v>
      </c>
      <c r="AH1935" s="276">
        <f t="shared" si="213"/>
        <v>83.061959999999999</v>
      </c>
      <c r="AI1935" s="283">
        <f t="shared" si="214"/>
        <v>1.4321027586206896</v>
      </c>
    </row>
    <row r="1936" spans="1:35" ht="30" x14ac:dyDescent="0.25">
      <c r="A1936" s="275">
        <f>'Profits 2016'!A7151</f>
        <v>3005610</v>
      </c>
      <c r="B1936" s="279">
        <f>'Profits 2016'!B7151</f>
        <v>42689</v>
      </c>
      <c r="C1936" s="276">
        <f>'Profits 2016'!H7151</f>
        <v>185.9</v>
      </c>
      <c r="D1936" s="280">
        <f>'Profits 2016'!K7151</f>
        <v>165.33690000000001</v>
      </c>
      <c r="E1936" s="276">
        <f>'Profits 2016'!L7151</f>
        <v>424</v>
      </c>
      <c r="F1936" s="275" t="str">
        <f>'Profits 2016'!P7151</f>
        <v>Nassau</v>
      </c>
      <c r="G1936" s="292">
        <f>'Profits 2016'!N7151-'Profits 2016'!M7151</f>
        <v>63.599999999999994</v>
      </c>
      <c r="H1936" s="319"/>
      <c r="I1936" s="320"/>
      <c r="J1936" s="321"/>
      <c r="K1936" s="321"/>
      <c r="L1936" s="321"/>
      <c r="M1936" s="319"/>
      <c r="N1936" s="322"/>
      <c r="O1936" s="236" t="str">
        <f>'Profits 2016'!T7151</f>
        <v>FEDEX GROUND</v>
      </c>
      <c r="P1936" s="284" t="str">
        <f>'Profits 2016'!U7151</f>
        <v>702723292590</v>
      </c>
      <c r="AF1936" s="276">
        <f t="shared" si="211"/>
        <v>63.599999999999994</v>
      </c>
      <c r="AG1936" s="276">
        <f t="shared" si="212"/>
        <v>0</v>
      </c>
      <c r="AH1936" s="276">
        <f t="shared" si="213"/>
        <v>165.33690000000001</v>
      </c>
      <c r="AI1936" s="283">
        <f t="shared" si="214"/>
        <v>2.5996367924528307</v>
      </c>
    </row>
    <row r="1937" spans="1:35" ht="30" x14ac:dyDescent="0.25">
      <c r="A1937" s="275">
        <f>'Profits 2016'!A7152</f>
        <v>3005611</v>
      </c>
      <c r="B1937" s="279">
        <f>'Profits 2016'!B7152</f>
        <v>42689</v>
      </c>
      <c r="C1937" s="276">
        <f>'Profits 2016'!H7152</f>
        <v>406.46</v>
      </c>
      <c r="D1937" s="280">
        <f>'Profits 2016'!K7152</f>
        <v>345.49099999999999</v>
      </c>
      <c r="E1937" s="276">
        <f>'Profits 2016'!L7152</f>
        <v>424</v>
      </c>
      <c r="F1937" s="275" t="str">
        <f>'Profits 2016'!P7152</f>
        <v>Nassau</v>
      </c>
      <c r="G1937" s="292">
        <f>'Profits 2016'!N7152-'Profits 2016'!M7152</f>
        <v>169.60000000000002</v>
      </c>
      <c r="H1937" s="319"/>
      <c r="I1937" s="320"/>
      <c r="J1937" s="321"/>
      <c r="K1937" s="321"/>
      <c r="L1937" s="321"/>
      <c r="M1937" s="319"/>
      <c r="N1937" s="322"/>
      <c r="O1937" s="236" t="str">
        <f>'Profits 2016'!T7152</f>
        <v>FEDEX GROUND</v>
      </c>
      <c r="P1937" s="284" t="str">
        <f>'Profits 2016'!U7152</f>
        <v>702723292616</v>
      </c>
      <c r="AF1937" s="276">
        <f t="shared" si="211"/>
        <v>169.60000000000002</v>
      </c>
      <c r="AG1937" s="276">
        <f t="shared" si="212"/>
        <v>0</v>
      </c>
      <c r="AH1937" s="276">
        <f t="shared" si="213"/>
        <v>345.49099999999999</v>
      </c>
      <c r="AI1937" s="283">
        <f t="shared" si="214"/>
        <v>2.0370931603773581</v>
      </c>
    </row>
    <row r="1938" spans="1:35" ht="30" x14ac:dyDescent="0.25">
      <c r="A1938" s="275">
        <f>'Profits 2016'!A7153</f>
        <v>3005612</v>
      </c>
      <c r="B1938" s="279">
        <f>'Profits 2016'!B7153</f>
        <v>42689</v>
      </c>
      <c r="C1938" s="276">
        <f>'Profits 2016'!H7153</f>
        <v>100</v>
      </c>
      <c r="D1938" s="280">
        <f>'Profits 2016'!K7153</f>
        <v>85</v>
      </c>
      <c r="E1938" s="276">
        <f>'Profits 2016'!L7153</f>
        <v>900</v>
      </c>
      <c r="F1938" s="275" t="str">
        <f>'Profits 2016'!P7153</f>
        <v>Nassau</v>
      </c>
      <c r="G1938" s="292">
        <f>'Profits 2016'!N7153-'Profits 2016'!M7153</f>
        <v>45</v>
      </c>
      <c r="H1938" s="319"/>
      <c r="I1938" s="320"/>
      <c r="J1938" s="321"/>
      <c r="K1938" s="321"/>
      <c r="L1938" s="321"/>
      <c r="M1938" s="319"/>
      <c r="N1938" s="322"/>
      <c r="O1938" s="236" t="str">
        <f>'Profits 2016'!T7153</f>
        <v>FEDEX GROUND</v>
      </c>
      <c r="P1938" s="284" t="str">
        <f>'Profits 2016'!U7153</f>
        <v>702723292627</v>
      </c>
      <c r="AF1938" s="276">
        <f t="shared" si="211"/>
        <v>45</v>
      </c>
      <c r="AG1938" s="276">
        <f t="shared" si="212"/>
        <v>0</v>
      </c>
      <c r="AH1938" s="276">
        <f t="shared" si="213"/>
        <v>85</v>
      </c>
      <c r="AI1938" s="283">
        <f t="shared" si="214"/>
        <v>1.8888888888888888</v>
      </c>
    </row>
    <row r="1939" spans="1:35" ht="30" x14ac:dyDescent="0.25">
      <c r="A1939" s="275">
        <f>'Profits 2016'!A7154</f>
        <v>3005613</v>
      </c>
      <c r="B1939" s="279">
        <f>'Profits 2016'!B7154</f>
        <v>42689</v>
      </c>
      <c r="C1939" s="276">
        <f>'Profits 2016'!H7154</f>
        <v>279</v>
      </c>
      <c r="D1939" s="280">
        <f>'Profits 2016'!K7154</f>
        <v>237.15</v>
      </c>
      <c r="E1939" s="276">
        <f>'Profits 2016'!L7154</f>
        <v>716</v>
      </c>
      <c r="F1939" s="275" t="str">
        <f>'Profits 2016'!P7154</f>
        <v>Nassau</v>
      </c>
      <c r="G1939" s="292">
        <f>'Profits 2016'!N7154-'Profits 2016'!M7154</f>
        <v>179</v>
      </c>
      <c r="H1939" s="319"/>
      <c r="I1939" s="320"/>
      <c r="J1939" s="321"/>
      <c r="K1939" s="321"/>
      <c r="L1939" s="321"/>
      <c r="M1939" s="319"/>
      <c r="N1939" s="322"/>
      <c r="O1939" s="236" t="str">
        <f>'Profits 2016'!T7154</f>
        <v>FEDEX GROUND</v>
      </c>
      <c r="P1939" s="284" t="str">
        <f>'Profits 2016'!U7154</f>
        <v>702723292741</v>
      </c>
      <c r="AF1939" s="276">
        <f t="shared" si="211"/>
        <v>179</v>
      </c>
      <c r="AG1939" s="276">
        <f t="shared" si="212"/>
        <v>0</v>
      </c>
      <c r="AH1939" s="276">
        <f t="shared" si="213"/>
        <v>237.15</v>
      </c>
      <c r="AI1939" s="283">
        <f t="shared" si="214"/>
        <v>1.3248603351955308</v>
      </c>
    </row>
    <row r="1940" spans="1:35" ht="30" x14ac:dyDescent="0.25">
      <c r="A1940" s="275">
        <f>'Profits 2016'!A7155</f>
        <v>3005614</v>
      </c>
      <c r="B1940" s="279">
        <f>'Profits 2016'!B7155</f>
        <v>42689</v>
      </c>
      <c r="C1940" s="276">
        <f>'Profits 2016'!H7155</f>
        <v>116</v>
      </c>
      <c r="D1940" s="280">
        <f>'Profits 2016'!K7155</f>
        <v>103.056</v>
      </c>
      <c r="E1940" s="276">
        <f>'Profits 2016'!L7155</f>
        <v>424</v>
      </c>
      <c r="F1940" s="275" t="str">
        <f>'Profits 2016'!P7155</f>
        <v>Nassau</v>
      </c>
      <c r="G1940" s="292">
        <f>'Profits 2016'!N7155-'Profits 2016'!M7155</f>
        <v>38.159999999999997</v>
      </c>
      <c r="H1940" s="319"/>
      <c r="I1940" s="320"/>
      <c r="J1940" s="321"/>
      <c r="K1940" s="321"/>
      <c r="L1940" s="321"/>
      <c r="M1940" s="319"/>
      <c r="N1940" s="322"/>
      <c r="O1940" s="236" t="str">
        <f>'Profits 2016'!T7155</f>
        <v>FEDEX GROUND</v>
      </c>
      <c r="P1940" s="284" t="str">
        <f>'Profits 2016'!U7155</f>
        <v>702723292605</v>
      </c>
      <c r="AF1940" s="276">
        <f t="shared" si="211"/>
        <v>38.159999999999997</v>
      </c>
      <c r="AG1940" s="276">
        <f t="shared" si="212"/>
        <v>0</v>
      </c>
      <c r="AH1940" s="276">
        <f t="shared" si="213"/>
        <v>103.056</v>
      </c>
      <c r="AI1940" s="283">
        <f t="shared" si="214"/>
        <v>2.7006289308176101</v>
      </c>
    </row>
    <row r="1941" spans="1:35" x14ac:dyDescent="0.25">
      <c r="A1941" s="275">
        <f>'Profits 2016'!A7156</f>
        <v>3005615</v>
      </c>
      <c r="B1941" s="279">
        <f>'Profits 2016'!B7156</f>
        <v>42689</v>
      </c>
      <c r="C1941" s="276">
        <f>'Profits 2016'!H7156</f>
        <v>529.20000000000005</v>
      </c>
      <c r="D1941" s="280">
        <f>'Profits 2016'!K7156</f>
        <v>529.20000000000005</v>
      </c>
      <c r="E1941" s="276">
        <f>'Profits 2016'!L7156</f>
        <v>680</v>
      </c>
      <c r="F1941" s="275" t="str">
        <f>'Profits 2016'!P7156</f>
        <v xml:space="preserve">Trinity </v>
      </c>
      <c r="G1941" s="292">
        <f>'Profits 2016'!N7156-'Profits 2016'!M7156</f>
        <v>204</v>
      </c>
      <c r="H1941" s="331">
        <v>0</v>
      </c>
      <c r="I1941" s="332">
        <v>313199</v>
      </c>
      <c r="J1941" s="333">
        <v>42690</v>
      </c>
      <c r="K1941" s="333">
        <v>42695</v>
      </c>
      <c r="L1941" s="333"/>
      <c r="M1941" s="331"/>
      <c r="N1941" s="334"/>
      <c r="O1941" s="236" t="str">
        <f>'Profits 2016'!T7156</f>
        <v>UPS</v>
      </c>
      <c r="P1941" s="284" t="str">
        <f>'Profits 2016'!U7156</f>
        <v>1ZX8741X0399534087</v>
      </c>
      <c r="Q1941" s="284" t="s">
        <v>15943</v>
      </c>
      <c r="R1941" s="276">
        <v>35</v>
      </c>
      <c r="S1941" s="275">
        <v>313199</v>
      </c>
      <c r="T1941" s="279">
        <v>42690</v>
      </c>
      <c r="U1941" s="279">
        <v>42695</v>
      </c>
      <c r="AF1941" s="276">
        <f t="shared" si="211"/>
        <v>239</v>
      </c>
      <c r="AG1941" s="276">
        <f t="shared" si="212"/>
        <v>35</v>
      </c>
      <c r="AH1941" s="276">
        <f t="shared" si="213"/>
        <v>494.20000000000005</v>
      </c>
      <c r="AI1941" s="283">
        <f t="shared" si="214"/>
        <v>2.0677824267782428</v>
      </c>
    </row>
    <row r="1942" spans="1:35" ht="45" x14ac:dyDescent="0.25">
      <c r="A1942" s="275">
        <f>'Profits 2016'!A7157</f>
        <v>3005616</v>
      </c>
      <c r="B1942" s="279">
        <f>'Profits 2016'!B7157</f>
        <v>42689</v>
      </c>
      <c r="C1942" s="276">
        <f>'Profits 2016'!H7157</f>
        <v>1465</v>
      </c>
      <c r="D1942" s="280">
        <f>'Profits 2016'!K7157</f>
        <v>1432.47</v>
      </c>
      <c r="E1942" s="276">
        <f>'Profits 2016'!L7157</f>
        <v>120</v>
      </c>
      <c r="F1942" s="275" t="str">
        <f>'Profits 2016'!P7157</f>
        <v>Allied</v>
      </c>
      <c r="G1942" s="292">
        <f>'Profits 2016'!N7157-'Profits 2016'!M7157</f>
        <v>60</v>
      </c>
      <c r="H1942" s="331">
        <v>0</v>
      </c>
      <c r="I1942" s="332">
        <v>360952</v>
      </c>
      <c r="J1942" s="333">
        <v>42691</v>
      </c>
      <c r="K1942" s="333">
        <v>42695</v>
      </c>
      <c r="L1942" s="333"/>
      <c r="M1942" s="331"/>
      <c r="N1942" s="334"/>
      <c r="O1942" s="236" t="str">
        <f>'Profits 2016'!T7157</f>
        <v>FEDEX GROUND</v>
      </c>
      <c r="P1942" s="284" t="str">
        <f>'Profits 2016'!U7157</f>
        <v>706034076206, 706034076217, 706034076228</v>
      </c>
      <c r="AF1942" s="276">
        <f t="shared" si="211"/>
        <v>60</v>
      </c>
      <c r="AG1942" s="276">
        <f t="shared" si="212"/>
        <v>0</v>
      </c>
      <c r="AH1942" s="276">
        <f t="shared" si="213"/>
        <v>1432.47</v>
      </c>
      <c r="AI1942" s="283">
        <f t="shared" si="214"/>
        <v>23.874500000000001</v>
      </c>
    </row>
    <row r="1943" spans="1:35" x14ac:dyDescent="0.25">
      <c r="A1943" s="275">
        <f>'Profits 2016'!A7158</f>
        <v>0</v>
      </c>
      <c r="B1943" s="279">
        <f>'Profits 2016'!B7158</f>
        <v>0</v>
      </c>
      <c r="C1943" s="276">
        <f>'Profits 2016'!H7158</f>
        <v>0</v>
      </c>
      <c r="D1943" s="280">
        <f>'Profits 2016'!K7158</f>
        <v>0</v>
      </c>
      <c r="E1943" s="276">
        <f>'Profits 2016'!L7158</f>
        <v>120</v>
      </c>
      <c r="F1943" s="275" t="str">
        <f>'Profits 2016'!P7158</f>
        <v>Allied</v>
      </c>
      <c r="G1943" s="292">
        <f>'Profits 2016'!N7158-'Profits 2016'!M7158</f>
        <v>180</v>
      </c>
      <c r="H1943" s="331">
        <v>0</v>
      </c>
      <c r="I1943" s="332">
        <v>360952</v>
      </c>
      <c r="J1943" s="333">
        <v>42691</v>
      </c>
      <c r="K1943" s="333">
        <v>42695</v>
      </c>
      <c r="L1943" s="333"/>
      <c r="M1943" s="331"/>
      <c r="N1943" s="334"/>
      <c r="O1943" s="236">
        <f>'Profits 2016'!T7158</f>
        <v>0</v>
      </c>
      <c r="P1943" s="284">
        <f>'Profits 2016'!U7158</f>
        <v>0</v>
      </c>
      <c r="AF1943" s="276">
        <f t="shared" si="211"/>
        <v>180</v>
      </c>
      <c r="AG1943" s="276">
        <f t="shared" si="212"/>
        <v>0</v>
      </c>
      <c r="AH1943" s="276">
        <f t="shared" si="213"/>
        <v>0</v>
      </c>
      <c r="AI1943" s="283">
        <f t="shared" si="214"/>
        <v>0</v>
      </c>
    </row>
    <row r="1944" spans="1:35" x14ac:dyDescent="0.25">
      <c r="A1944" s="275">
        <f>'Profits 2016'!A7159</f>
        <v>0</v>
      </c>
      <c r="B1944" s="279">
        <f>'Profits 2016'!B7159</f>
        <v>0</v>
      </c>
      <c r="C1944" s="276">
        <f>'Profits 2016'!H7159</f>
        <v>0</v>
      </c>
      <c r="D1944" s="280">
        <f>'Profits 2016'!K7159</f>
        <v>0</v>
      </c>
      <c r="E1944" s="276">
        <f>'Profits 2016'!L7159</f>
        <v>75</v>
      </c>
      <c r="F1944" s="275" t="str">
        <f>'Profits 2016'!P7159</f>
        <v>Allied</v>
      </c>
      <c r="G1944" s="292">
        <f>'Profits 2016'!N7159-'Profits 2016'!M7159</f>
        <v>187.5</v>
      </c>
      <c r="H1944" s="331">
        <v>0</v>
      </c>
      <c r="I1944" s="332">
        <v>360952</v>
      </c>
      <c r="J1944" s="333">
        <v>42691</v>
      </c>
      <c r="K1944" s="333">
        <v>42695</v>
      </c>
      <c r="L1944" s="333"/>
      <c r="M1944" s="331"/>
      <c r="N1944" s="334"/>
      <c r="O1944" s="236">
        <f>'Profits 2016'!T7159</f>
        <v>0</v>
      </c>
      <c r="P1944" s="284">
        <f>'Profits 2016'!U7159</f>
        <v>0</v>
      </c>
      <c r="AF1944" s="276">
        <f t="shared" si="211"/>
        <v>187.5</v>
      </c>
      <c r="AG1944" s="276">
        <f t="shared" si="212"/>
        <v>0</v>
      </c>
      <c r="AH1944" s="276">
        <f t="shared" si="213"/>
        <v>0</v>
      </c>
      <c r="AI1944" s="283">
        <f t="shared" si="214"/>
        <v>0</v>
      </c>
    </row>
    <row r="1945" spans="1:35" x14ac:dyDescent="0.25">
      <c r="A1945" s="275">
        <f>'Profits 2016'!A7160</f>
        <v>0</v>
      </c>
      <c r="B1945" s="279">
        <f>'Profits 2016'!B7160</f>
        <v>0</v>
      </c>
      <c r="C1945" s="276">
        <f>'Profits 2016'!H7160</f>
        <v>0</v>
      </c>
      <c r="D1945" s="280">
        <f>'Profits 2016'!K7160</f>
        <v>0</v>
      </c>
      <c r="E1945" s="276">
        <f>'Profits 2016'!L7160</f>
        <v>38</v>
      </c>
      <c r="F1945" s="275" t="str">
        <f>'Profits 2016'!P7160</f>
        <v>Allied</v>
      </c>
      <c r="G1945" s="292">
        <f>'Profits 2016'!N7160-'Profits 2016'!M7160</f>
        <v>190</v>
      </c>
      <c r="H1945" s="331">
        <v>0</v>
      </c>
      <c r="I1945" s="332">
        <v>360952</v>
      </c>
      <c r="J1945" s="333">
        <v>42691</v>
      </c>
      <c r="K1945" s="333">
        <v>42695</v>
      </c>
      <c r="L1945" s="333"/>
      <c r="M1945" s="331"/>
      <c r="N1945" s="334"/>
      <c r="O1945" s="236">
        <f>'Profits 2016'!T7160</f>
        <v>0</v>
      </c>
      <c r="P1945" s="284">
        <f>'Profits 2016'!U7160</f>
        <v>0</v>
      </c>
      <c r="AF1945" s="276">
        <f t="shared" si="211"/>
        <v>190</v>
      </c>
      <c r="AG1945" s="276">
        <f t="shared" si="212"/>
        <v>0</v>
      </c>
      <c r="AH1945" s="276">
        <f t="shared" si="213"/>
        <v>0</v>
      </c>
      <c r="AI1945" s="283">
        <f t="shared" si="214"/>
        <v>0</v>
      </c>
    </row>
    <row r="1946" spans="1:35" ht="45" x14ac:dyDescent="0.25">
      <c r="A1946" s="275">
        <f>'Profits 2016'!A7161</f>
        <v>0</v>
      </c>
      <c r="B1946" s="279">
        <f>'Profits 2016'!B7161</f>
        <v>0</v>
      </c>
      <c r="C1946" s="276">
        <f>'Profits 2016'!H7161</f>
        <v>0</v>
      </c>
      <c r="D1946" s="280">
        <f>'Profits 2016'!K7161</f>
        <v>0</v>
      </c>
      <c r="E1946" s="276">
        <f>'Profits 2016'!L7161</f>
        <v>400</v>
      </c>
      <c r="F1946" s="275" t="str">
        <f>'Profits 2016'!P7161</f>
        <v>Nassau</v>
      </c>
      <c r="G1946" s="292">
        <f>'Profits 2016'!N7161-'Profits 2016'!M7161</f>
        <v>200</v>
      </c>
      <c r="H1946" s="319"/>
      <c r="I1946" s="320"/>
      <c r="J1946" s="321"/>
      <c r="K1946" s="321"/>
      <c r="L1946" s="321"/>
      <c r="M1946" s="319"/>
      <c r="N1946" s="322"/>
      <c r="O1946" s="236" t="str">
        <f>'Profits 2016'!T7161</f>
        <v>FEDEX GROUND</v>
      </c>
      <c r="P1946" s="284" t="str">
        <f>'Profits 2016'!U7161</f>
        <v>702723292774, 702723292785, 702723292796, 702723292800</v>
      </c>
      <c r="AF1946" s="276">
        <f t="shared" si="211"/>
        <v>200</v>
      </c>
      <c r="AG1946" s="276">
        <f t="shared" si="212"/>
        <v>0</v>
      </c>
      <c r="AH1946" s="276">
        <f t="shared" si="213"/>
        <v>0</v>
      </c>
      <c r="AI1946" s="283">
        <f t="shared" si="214"/>
        <v>0</v>
      </c>
    </row>
    <row r="1947" spans="1:35" x14ac:dyDescent="0.25">
      <c r="A1947" s="275">
        <f>'Profits 2016'!A7162</f>
        <v>0</v>
      </c>
      <c r="B1947" s="279">
        <f>'Profits 2016'!B7162</f>
        <v>0</v>
      </c>
      <c r="C1947" s="276">
        <f>'Profits 2016'!H7162</f>
        <v>0</v>
      </c>
      <c r="D1947" s="280">
        <f>'Profits 2016'!K7162</f>
        <v>0</v>
      </c>
      <c r="E1947" s="276">
        <f>'Profits 2016'!L7162</f>
        <v>205</v>
      </c>
      <c r="F1947" s="275" t="str">
        <f>'Profits 2016'!P7162</f>
        <v>Nassau</v>
      </c>
      <c r="G1947" s="292">
        <f>'Profits 2016'!N7162-'Profits 2016'!M7162</f>
        <v>102.5</v>
      </c>
      <c r="H1947" s="319"/>
      <c r="I1947" s="320"/>
      <c r="J1947" s="321"/>
      <c r="K1947" s="321"/>
      <c r="L1947" s="321"/>
      <c r="M1947" s="319"/>
      <c r="N1947" s="322"/>
      <c r="O1947" s="236">
        <f>'Profits 2016'!T7162</f>
        <v>0</v>
      </c>
      <c r="P1947" s="284">
        <f>'Profits 2016'!U7162</f>
        <v>0</v>
      </c>
      <c r="AF1947" s="276">
        <f t="shared" si="211"/>
        <v>102.5</v>
      </c>
      <c r="AG1947" s="276">
        <f t="shared" si="212"/>
        <v>0</v>
      </c>
      <c r="AH1947" s="276">
        <f t="shared" si="213"/>
        <v>0</v>
      </c>
      <c r="AI1947" s="283">
        <f t="shared" si="214"/>
        <v>0</v>
      </c>
    </row>
    <row r="1948" spans="1:35" ht="30" x14ac:dyDescent="0.25">
      <c r="A1948" s="275">
        <f>'Profits 2016'!A7163</f>
        <v>0</v>
      </c>
      <c r="B1948" s="279">
        <f>'Profits 2016'!B7163</f>
        <v>0</v>
      </c>
      <c r="C1948" s="276">
        <f>'Profits 2016'!H7163</f>
        <v>0</v>
      </c>
      <c r="D1948" s="280">
        <f>'Profits 2016'!K7163</f>
        <v>0</v>
      </c>
      <c r="E1948" s="276">
        <f>'Profits 2016'!L7163</f>
        <v>450</v>
      </c>
      <c r="F1948" s="275" t="str">
        <f>'Profits 2016'!P7163</f>
        <v>Allied</v>
      </c>
      <c r="G1948" s="292">
        <f>'Profits 2016'!N7163-'Profits 2016'!M7163</f>
        <v>45</v>
      </c>
      <c r="H1948" s="331">
        <v>0</v>
      </c>
      <c r="I1948" s="332">
        <v>360952</v>
      </c>
      <c r="J1948" s="333">
        <v>42691</v>
      </c>
      <c r="K1948" s="333">
        <v>42695</v>
      </c>
      <c r="L1948" s="333"/>
      <c r="M1948" s="331"/>
      <c r="N1948" s="334"/>
      <c r="O1948" s="236" t="str">
        <f>'Profits 2016'!T7163</f>
        <v>FEDEX GROUND</v>
      </c>
      <c r="P1948" s="284" t="str">
        <f>'Profits 2016'!U7163</f>
        <v>706034076239</v>
      </c>
      <c r="AF1948" s="276">
        <f t="shared" si="211"/>
        <v>45</v>
      </c>
      <c r="AG1948" s="276">
        <f t="shared" si="212"/>
        <v>0</v>
      </c>
      <c r="AH1948" s="276">
        <f t="shared" si="213"/>
        <v>0</v>
      </c>
      <c r="AI1948" s="283">
        <f t="shared" si="214"/>
        <v>0</v>
      </c>
    </row>
    <row r="1949" spans="1:35" ht="30" x14ac:dyDescent="0.25">
      <c r="A1949" s="275">
        <f>'Profits 2016'!A7164</f>
        <v>3005617</v>
      </c>
      <c r="B1949" s="279">
        <f>'Profits 2016'!B7164</f>
        <v>42689</v>
      </c>
      <c r="C1949" s="276">
        <f>'Profits 2016'!H7164</f>
        <v>30</v>
      </c>
      <c r="D1949" s="280">
        <f>'Profits 2016'!K7164</f>
        <v>29.04</v>
      </c>
      <c r="E1949" s="276">
        <f>'Profits 2016'!L7164</f>
        <v>200</v>
      </c>
      <c r="F1949" s="275" t="str">
        <f>'Profits 2016'!P7164</f>
        <v>A-Z</v>
      </c>
      <c r="G1949" s="292">
        <f>'Profits 2016'!N7164-'Profits 2016'!M7164</f>
        <v>49.6</v>
      </c>
      <c r="H1949" s="331">
        <v>0</v>
      </c>
      <c r="I1949" s="332">
        <v>410189</v>
      </c>
      <c r="J1949" s="333">
        <v>42690</v>
      </c>
      <c r="K1949" s="333">
        <v>42695</v>
      </c>
      <c r="L1949" s="333"/>
      <c r="M1949" s="331"/>
      <c r="N1949" s="334"/>
      <c r="O1949" s="236" t="str">
        <f>'Profits 2016'!T7164</f>
        <v>FEDEX GROUND</v>
      </c>
      <c r="P1949" s="284" t="str">
        <f>'Profits 2016'!U7164</f>
        <v>676563249771</v>
      </c>
      <c r="AF1949" s="276">
        <f t="shared" si="211"/>
        <v>49.6</v>
      </c>
      <c r="AG1949" s="276">
        <f t="shared" si="212"/>
        <v>0</v>
      </c>
      <c r="AH1949" s="276">
        <f t="shared" si="213"/>
        <v>29.04</v>
      </c>
      <c r="AI1949" s="283">
        <f t="shared" si="214"/>
        <v>0.5854838709677419</v>
      </c>
    </row>
    <row r="1950" spans="1:35" ht="30" x14ac:dyDescent="0.25">
      <c r="A1950" s="275">
        <f>'Profits 2016'!A7165</f>
        <v>3005618</v>
      </c>
      <c r="B1950" s="279">
        <f>'Profits 2016'!B7165</f>
        <v>42689</v>
      </c>
      <c r="C1950" s="276">
        <f>'Profits 2016'!H7165</f>
        <v>2238.5</v>
      </c>
      <c r="D1950" s="280">
        <f>'Profits 2016'!K7165</f>
        <v>2165.44875</v>
      </c>
      <c r="E1950" s="276">
        <f>'Profits 2016'!L7165</f>
        <v>2015</v>
      </c>
      <c r="F1950" s="275" t="str">
        <f>'Profits 2016'!P7165</f>
        <v>Nassau</v>
      </c>
      <c r="G1950" s="292">
        <f>'Profits 2016'!N7165-'Profits 2016'!M7165</f>
        <v>1108.25</v>
      </c>
      <c r="H1950" s="319"/>
      <c r="I1950" s="320"/>
      <c r="J1950" s="321"/>
      <c r="K1950" s="321"/>
      <c r="L1950" s="321"/>
      <c r="M1950" s="319"/>
      <c r="N1950" s="322"/>
      <c r="O1950" s="236" t="str">
        <f>'Profits 2016'!T7165</f>
        <v>NEW PENN/DLS</v>
      </c>
      <c r="P1950" s="284" t="str">
        <f>'Profits 2016'!U7165</f>
        <v>88669416-5</v>
      </c>
      <c r="Q1950" s="284" t="s">
        <v>15804</v>
      </c>
      <c r="R1950" s="276">
        <v>122.23</v>
      </c>
      <c r="S1950" s="275">
        <v>636991053</v>
      </c>
      <c r="T1950" s="279">
        <v>42696</v>
      </c>
      <c r="U1950" s="279">
        <v>42702</v>
      </c>
      <c r="AF1950" s="276">
        <f t="shared" si="211"/>
        <v>1230.48</v>
      </c>
      <c r="AG1950" s="276">
        <f t="shared" si="212"/>
        <v>122.23</v>
      </c>
      <c r="AH1950" s="276">
        <f t="shared" si="213"/>
        <v>2043.21875</v>
      </c>
      <c r="AI1950" s="283">
        <f t="shared" si="214"/>
        <v>1.6605054531564918</v>
      </c>
    </row>
    <row r="1951" spans="1:35" ht="30" x14ac:dyDescent="0.25">
      <c r="A1951" s="275">
        <f>'Profits 2016'!A7166</f>
        <v>3005619</v>
      </c>
      <c r="B1951" s="279">
        <f>'Profits 2016'!B7166</f>
        <v>42689</v>
      </c>
      <c r="C1951" s="276">
        <f>'Profits 2016'!H7166</f>
        <v>1290</v>
      </c>
      <c r="D1951" s="280">
        <f>'Profits 2016'!K7166</f>
        <v>1261.32</v>
      </c>
      <c r="E1951" s="276">
        <f>'Profits 2016'!L7166</f>
        <v>900</v>
      </c>
      <c r="F1951" s="275" t="str">
        <f>'Profits 2016'!P7166</f>
        <v>Priority</v>
      </c>
      <c r="G1951" s="292">
        <f>'Profits 2016'!N7166-'Profits 2016'!M7166</f>
        <v>900</v>
      </c>
      <c r="H1951" s="331">
        <v>0</v>
      </c>
      <c r="I1951" s="332">
        <v>1077355</v>
      </c>
      <c r="J1951" s="333">
        <v>42690</v>
      </c>
      <c r="K1951" s="333">
        <v>42702</v>
      </c>
      <c r="L1951" s="333"/>
      <c r="M1951" s="331"/>
      <c r="N1951" s="334"/>
      <c r="O1951" s="236" t="str">
        <f>'Profits 2016'!T7166</f>
        <v>FEDEX PRIORITY</v>
      </c>
      <c r="P1951" s="284" t="str">
        <f>'Profits 2016'!U7166</f>
        <v>3972171766</v>
      </c>
      <c r="Q1951" s="284" t="s">
        <v>15740</v>
      </c>
      <c r="R1951" s="276">
        <v>160</v>
      </c>
      <c r="S1951" s="275">
        <v>1077355</v>
      </c>
      <c r="T1951" s="279">
        <v>42690</v>
      </c>
      <c r="U1951" s="279">
        <v>42702</v>
      </c>
      <c r="AF1951" s="276">
        <f t="shared" si="211"/>
        <v>1060</v>
      </c>
      <c r="AG1951" s="276">
        <f t="shared" si="212"/>
        <v>160</v>
      </c>
      <c r="AH1951" s="276">
        <f t="shared" si="213"/>
        <v>1101.32</v>
      </c>
      <c r="AI1951" s="283">
        <f t="shared" si="214"/>
        <v>1.0389811320754716</v>
      </c>
    </row>
    <row r="1952" spans="1:35" ht="30" x14ac:dyDescent="0.25">
      <c r="A1952" s="275">
        <f>'Profits 2016'!A7167</f>
        <v>3005620</v>
      </c>
      <c r="B1952" s="279">
        <f>'Profits 2016'!B7167</f>
        <v>42689</v>
      </c>
      <c r="C1952" s="276">
        <f>'Profits 2016'!H7167</f>
        <v>5160</v>
      </c>
      <c r="D1952" s="280">
        <f>'Profits 2016'!K7167</f>
        <v>5160</v>
      </c>
      <c r="E1952" s="276">
        <f>'Profits 2016'!L7167</f>
        <v>600</v>
      </c>
      <c r="F1952" s="275" t="str">
        <f>'Profits 2016'!P7167</f>
        <v>General</v>
      </c>
      <c r="G1952" s="292" t="e">
        <f>'Profits 2016'!N7167-'Profits 2016'!M7167</f>
        <v>#VALUE!</v>
      </c>
      <c r="H1952" s="331"/>
      <c r="I1952" s="332"/>
      <c r="J1952" s="333"/>
      <c r="K1952" s="333"/>
      <c r="L1952" s="333"/>
      <c r="M1952" s="331"/>
      <c r="N1952" s="334"/>
      <c r="O1952" s="236" t="str">
        <f>'Profits 2016'!T7167</f>
        <v>Shipping 12.23</v>
      </c>
      <c r="P1952" s="284">
        <f>'Profits 2016'!U7167</f>
        <v>0</v>
      </c>
      <c r="AF1952" s="276" t="e">
        <f t="shared" si="211"/>
        <v>#VALUE!</v>
      </c>
      <c r="AG1952" s="276">
        <f t="shared" si="212"/>
        <v>0</v>
      </c>
      <c r="AH1952" s="276">
        <f t="shared" si="213"/>
        <v>5160</v>
      </c>
      <c r="AI1952" s="283" t="e">
        <f t="shared" si="214"/>
        <v>#VALUE!</v>
      </c>
    </row>
    <row r="1953" spans="1:35" x14ac:dyDescent="0.25">
      <c r="A1953" s="275">
        <f>'Profits 2016'!A7168</f>
        <v>3005621</v>
      </c>
      <c r="B1953" s="279">
        <f>'Profits 2016'!B7168</f>
        <v>42689</v>
      </c>
      <c r="C1953" s="276">
        <f>'Profits 2016'!H7168</f>
        <v>613</v>
      </c>
      <c r="D1953" s="280">
        <f>'Profits 2016'!K7168</f>
        <v>599.21400000000006</v>
      </c>
      <c r="E1953" s="276">
        <f>'Profits 2016'!L7168</f>
        <v>0</v>
      </c>
      <c r="F1953" s="275" t="str">
        <f>'Profits 2016'!P7168</f>
        <v>Nassau</v>
      </c>
      <c r="G1953" s="292">
        <f>'Profits 2016'!N7168-'Profits 2016'!M7168</f>
        <v>0</v>
      </c>
      <c r="H1953" s="319"/>
      <c r="I1953" s="320"/>
      <c r="J1953" s="321"/>
      <c r="K1953" s="321"/>
      <c r="L1953" s="321"/>
      <c r="M1953" s="319"/>
      <c r="N1953" s="322"/>
      <c r="O1953" s="236" t="e">
        <f>'Profits 2016'!#REF!</f>
        <v>#REF!</v>
      </c>
      <c r="P1953" s="284" t="str">
        <f>'Profits 2016'!U7168</f>
        <v>702723292671</v>
      </c>
      <c r="AF1953" s="276">
        <f t="shared" si="211"/>
        <v>0</v>
      </c>
      <c r="AG1953" s="276">
        <f t="shared" si="212"/>
        <v>0</v>
      </c>
      <c r="AH1953" s="276">
        <f t="shared" si="213"/>
        <v>599.21400000000006</v>
      </c>
      <c r="AI1953" s="283" t="e">
        <f t="shared" si="214"/>
        <v>#DIV/0!</v>
      </c>
    </row>
    <row r="1954" spans="1:35" ht="30" x14ac:dyDescent="0.25">
      <c r="A1954" s="275">
        <f>'Profits 2016'!A7169</f>
        <v>0</v>
      </c>
      <c r="B1954" s="279">
        <f>'Profits 2016'!B7169</f>
        <v>0</v>
      </c>
      <c r="C1954" s="276">
        <f>'Profits 2016'!H7169</f>
        <v>0</v>
      </c>
      <c r="D1954" s="280">
        <f>'Profits 2016'!K7169</f>
        <v>0</v>
      </c>
      <c r="E1954" s="276">
        <f>'Profits 2016'!L7169</f>
        <v>0</v>
      </c>
      <c r="F1954" s="275" t="str">
        <f>'Profits 2016'!P7169</f>
        <v>Nassau</v>
      </c>
      <c r="G1954" s="292">
        <f>'Profits 2016'!N7169-'Profits 2016'!M7169</f>
        <v>0</v>
      </c>
      <c r="H1954" s="319"/>
      <c r="I1954" s="320"/>
      <c r="J1954" s="321"/>
      <c r="K1954" s="321"/>
      <c r="L1954" s="321"/>
      <c r="M1954" s="319"/>
      <c r="N1954" s="322"/>
      <c r="O1954" s="236" t="str">
        <f>'Profits 2016'!T7168</f>
        <v>FEDEX GROUND</v>
      </c>
      <c r="P1954" s="284" t="str">
        <f>'Profits 2016'!U7169</f>
        <v>702723292682</v>
      </c>
      <c r="AF1954" s="276">
        <f t="shared" si="211"/>
        <v>0</v>
      </c>
      <c r="AG1954" s="276">
        <f t="shared" si="212"/>
        <v>0</v>
      </c>
      <c r="AH1954" s="276">
        <f t="shared" si="213"/>
        <v>0</v>
      </c>
      <c r="AI1954" s="283" t="e">
        <f t="shared" si="214"/>
        <v>#DIV/0!</v>
      </c>
    </row>
    <row r="1955" spans="1:35" ht="30" x14ac:dyDescent="0.25">
      <c r="A1955" s="275">
        <f>'Profits 2016'!A7170</f>
        <v>3005622</v>
      </c>
      <c r="B1955" s="279">
        <f>'Profits 2016'!B7170</f>
        <v>42689</v>
      </c>
      <c r="C1955" s="276">
        <f>'Profits 2016'!H7170</f>
        <v>118.75</v>
      </c>
      <c r="D1955" s="280">
        <f>'Profits 2016'!K7170</f>
        <v>105.50624999999999</v>
      </c>
      <c r="E1955" s="276">
        <f>'Profits 2016'!L7170</f>
        <v>139</v>
      </c>
      <c r="F1955" s="275" t="str">
        <f>'Profits 2016'!P7170</f>
        <v>Nassau</v>
      </c>
      <c r="G1955" s="292">
        <f>'Profits 2016'!N7170-'Profits 2016'!M7170</f>
        <v>34.75</v>
      </c>
      <c r="H1955" s="319"/>
      <c r="I1955" s="320"/>
      <c r="J1955" s="321"/>
      <c r="K1955" s="321"/>
      <c r="L1955" s="321"/>
      <c r="M1955" s="319"/>
      <c r="N1955" s="322"/>
      <c r="O1955" s="236" t="str">
        <f>'Profits 2016'!T7170</f>
        <v>FEDEX GROUND</v>
      </c>
      <c r="P1955" s="284" t="str">
        <f>'Profits 2016'!U7170</f>
        <v>702723292649</v>
      </c>
      <c r="AF1955" s="276">
        <f t="shared" si="211"/>
        <v>34.75</v>
      </c>
      <c r="AG1955" s="276">
        <f t="shared" si="212"/>
        <v>0</v>
      </c>
      <c r="AH1955" s="276">
        <f t="shared" si="213"/>
        <v>105.50624999999999</v>
      </c>
      <c r="AI1955" s="283">
        <f t="shared" si="214"/>
        <v>3.0361510791366904</v>
      </c>
    </row>
    <row r="1956" spans="1:35" ht="30" x14ac:dyDescent="0.25">
      <c r="A1956" s="275">
        <f>'Profits 2016'!A7171</f>
        <v>3005623</v>
      </c>
      <c r="B1956" s="279">
        <f>'Profits 2016'!B7171</f>
        <v>42689</v>
      </c>
      <c r="C1956" s="276">
        <f>'Profits 2016'!H7171</f>
        <v>125</v>
      </c>
      <c r="D1956" s="280">
        <f>'Profits 2016'!K7171</f>
        <v>106.25</v>
      </c>
      <c r="E1956" s="276">
        <f>'Profits 2016'!L7171</f>
        <v>622.45000000000005</v>
      </c>
      <c r="F1956" s="275" t="str">
        <f>'Profits 2016'!P7171</f>
        <v>Nassau</v>
      </c>
      <c r="G1956" s="292">
        <f>'Profits 2016'!N7171-'Profits 2016'!M7171</f>
        <v>62.245000000000005</v>
      </c>
      <c r="H1956" s="319"/>
      <c r="I1956" s="320"/>
      <c r="J1956" s="321"/>
      <c r="K1956" s="321"/>
      <c r="L1956" s="321"/>
      <c r="M1956" s="319"/>
      <c r="N1956" s="322"/>
      <c r="O1956" s="236" t="str">
        <f>'Profits 2016'!T7171</f>
        <v>FEDEX GROUND</v>
      </c>
      <c r="P1956" s="284" t="str">
        <f>'Profits 2016'!U7171</f>
        <v>702723292638</v>
      </c>
      <c r="AF1956" s="276">
        <f t="shared" si="211"/>
        <v>62.245000000000005</v>
      </c>
      <c r="AG1956" s="276">
        <f t="shared" si="212"/>
        <v>0</v>
      </c>
      <c r="AH1956" s="276">
        <f t="shared" si="213"/>
        <v>106.25</v>
      </c>
      <c r="AI1956" s="283">
        <f t="shared" si="214"/>
        <v>1.7069644148124345</v>
      </c>
    </row>
    <row r="1957" spans="1:35" x14ac:dyDescent="0.25">
      <c r="A1957" s="275">
        <f>'Profits 2016'!A7172</f>
        <v>3005624</v>
      </c>
      <c r="B1957" s="279">
        <f>'Profits 2016'!B7172</f>
        <v>42689</v>
      </c>
      <c r="C1957" s="276">
        <f>'Profits 2016'!H7172</f>
        <v>351</v>
      </c>
      <c r="D1957" s="280">
        <f>'Profits 2016'!K7172</f>
        <v>298.35000000000002</v>
      </c>
      <c r="E1957" s="276">
        <f>'Profits 2016'!L7172</f>
        <v>0</v>
      </c>
      <c r="F1957" s="275" t="str">
        <f>'Profits 2016'!P7172</f>
        <v>Irvin</v>
      </c>
      <c r="G1957" s="292">
        <f>'Profits 2016'!N7172-'Profits 2016'!M7172</f>
        <v>0</v>
      </c>
      <c r="H1957" s="331"/>
      <c r="I1957" s="332"/>
      <c r="J1957" s="333"/>
      <c r="K1957" s="333"/>
      <c r="L1957" s="333"/>
      <c r="M1957" s="331"/>
      <c r="N1957" s="334"/>
      <c r="O1957" s="236" t="str">
        <f>'Profits 2016'!T7172</f>
        <v>FEDEX</v>
      </c>
      <c r="P1957" s="284" t="str">
        <f>'Profits 2016'!U7172</f>
        <v>3542075703</v>
      </c>
      <c r="AF1957" s="276">
        <f t="shared" si="211"/>
        <v>0</v>
      </c>
      <c r="AG1957" s="276">
        <f t="shared" si="212"/>
        <v>0</v>
      </c>
      <c r="AH1957" s="276">
        <f t="shared" si="213"/>
        <v>298.35000000000002</v>
      </c>
      <c r="AI1957" s="283" t="e">
        <f t="shared" si="214"/>
        <v>#DIV/0!</v>
      </c>
    </row>
    <row r="1958" spans="1:35" ht="30" x14ac:dyDescent="0.25">
      <c r="A1958" s="275">
        <f>'Profits 2016'!A7173</f>
        <v>3005625</v>
      </c>
      <c r="B1958" s="279">
        <f>'Profits 2016'!B7173</f>
        <v>42689</v>
      </c>
      <c r="C1958" s="276">
        <f>'Profits 2016'!H7173</f>
        <v>166.59</v>
      </c>
      <c r="D1958" s="280">
        <f>'Profits 2016'!K7173</f>
        <v>148.13168999999999</v>
      </c>
      <c r="E1958" s="276">
        <f>'Profits 2016'!L7173</f>
        <v>330</v>
      </c>
      <c r="F1958" s="275" t="str">
        <f>'Profits 2016'!P7173</f>
        <v>Thea</v>
      </c>
      <c r="G1958" s="292">
        <f>'Profits 2016'!N7173-'Profits 2016'!M7173</f>
        <v>82.5</v>
      </c>
      <c r="H1958" s="319"/>
      <c r="I1958" s="320"/>
      <c r="J1958" s="321"/>
      <c r="K1958" s="321"/>
      <c r="L1958" s="321"/>
      <c r="M1958" s="319"/>
      <c r="N1958" s="322"/>
      <c r="O1958" s="236" t="str">
        <f>'Profits 2016'!T7173</f>
        <v>FEDEX GROUND</v>
      </c>
      <c r="P1958" s="284" t="str">
        <f>'Profits 2016'!U7173</f>
        <v>675157532040</v>
      </c>
      <c r="AF1958" s="276">
        <f t="shared" si="211"/>
        <v>82.5</v>
      </c>
      <c r="AG1958" s="276">
        <f t="shared" si="212"/>
        <v>0</v>
      </c>
      <c r="AH1958" s="276">
        <f t="shared" si="213"/>
        <v>148.13168999999999</v>
      </c>
      <c r="AI1958" s="283">
        <f t="shared" si="214"/>
        <v>1.7955356363636363</v>
      </c>
    </row>
    <row r="1959" spans="1:35" ht="30" x14ac:dyDescent="0.25">
      <c r="A1959" s="275">
        <f>'Profits 2016'!A7174</f>
        <v>3005626</v>
      </c>
      <c r="B1959" s="279">
        <f>'Profits 2016'!B7174</f>
        <v>42689</v>
      </c>
      <c r="C1959" s="276">
        <f>'Profits 2016'!H7174</f>
        <v>543.15</v>
      </c>
      <c r="D1959" s="280">
        <f>'Profits 2016'!K7174</f>
        <v>530.90070000000003</v>
      </c>
      <c r="E1959" s="276">
        <f>'Profits 2016'!L7174</f>
        <v>1540</v>
      </c>
      <c r="F1959" s="275" t="str">
        <f>'Profits 2016'!P7174</f>
        <v>Nassau</v>
      </c>
      <c r="G1959" s="292">
        <f>'Profits 2016'!N7174-'Profits 2016'!M7174</f>
        <v>231</v>
      </c>
      <c r="H1959" s="319"/>
      <c r="I1959" s="320"/>
      <c r="J1959" s="321"/>
      <c r="K1959" s="321"/>
      <c r="L1959" s="321"/>
      <c r="M1959" s="319"/>
      <c r="N1959" s="322"/>
      <c r="O1959" s="236" t="str">
        <f>'Profits 2016'!T7174</f>
        <v>FEDEX GROUND</v>
      </c>
      <c r="P1959" s="284" t="str">
        <f>'Profits 2016'!U7174</f>
        <v>702723292693</v>
      </c>
      <c r="AF1959" s="276">
        <f t="shared" si="211"/>
        <v>261</v>
      </c>
      <c r="AG1959" s="276">
        <f t="shared" si="212"/>
        <v>0</v>
      </c>
      <c r="AH1959" s="276">
        <f t="shared" si="213"/>
        <v>530.90070000000003</v>
      </c>
      <c r="AI1959" s="283">
        <f t="shared" si="214"/>
        <v>2.0341022988505748</v>
      </c>
    </row>
    <row r="1960" spans="1:35" x14ac:dyDescent="0.25">
      <c r="A1960" s="275">
        <f>'Profits 2016'!A7175</f>
        <v>3005627</v>
      </c>
      <c r="B1960" s="279">
        <f>'Profits 2016'!B7175</f>
        <v>42689</v>
      </c>
      <c r="C1960" s="276">
        <f>'Profits 2016'!H7175</f>
        <v>3050</v>
      </c>
      <c r="D1960" s="280">
        <f>'Profits 2016'!K7175</f>
        <v>2982.6</v>
      </c>
      <c r="E1960" s="276">
        <f>'Profits 2016'!L7175</f>
        <v>10230</v>
      </c>
      <c r="F1960" s="275" t="str">
        <f>'Profits 2016'!P7175</f>
        <v>Brazil</v>
      </c>
      <c r="G1960" s="292">
        <f>'Profits 2016'!N7175-'Profits 2016'!M7175</f>
        <v>1636.8</v>
      </c>
      <c r="H1960" s="331">
        <v>30</v>
      </c>
      <c r="I1960" s="332">
        <v>91054499</v>
      </c>
      <c r="J1960" s="333">
        <v>42691</v>
      </c>
      <c r="K1960" s="333">
        <v>42695</v>
      </c>
      <c r="L1960" s="333"/>
      <c r="M1960" s="331"/>
      <c r="N1960" s="334"/>
      <c r="O1960" s="236" t="str">
        <f>'Profits 2016'!T7175</f>
        <v>DUIE PYLE</v>
      </c>
      <c r="P1960" s="284" t="str">
        <f>'Profits 2016'!U7175</f>
        <v>374289346</v>
      </c>
      <c r="Q1960" s="284" t="s">
        <v>15866</v>
      </c>
      <c r="R1960" s="276">
        <v>82.67</v>
      </c>
      <c r="S1960" s="332">
        <v>91054499</v>
      </c>
      <c r="T1960" s="333">
        <v>42691</v>
      </c>
      <c r="U1960" s="333">
        <v>42695</v>
      </c>
      <c r="AF1960" s="276">
        <f t="shared" si="211"/>
        <v>1749.47</v>
      </c>
      <c r="AG1960" s="276">
        <f t="shared" si="212"/>
        <v>82.67</v>
      </c>
      <c r="AH1960" s="276">
        <f t="shared" si="213"/>
        <v>2899.93</v>
      </c>
      <c r="AI1960" s="283">
        <f t="shared" si="214"/>
        <v>1.6576048746191703</v>
      </c>
    </row>
    <row r="1961" spans="1:35" x14ac:dyDescent="0.25">
      <c r="A1961" s="275">
        <f>'Profits 2016'!A7176</f>
        <v>0</v>
      </c>
      <c r="B1961" s="279">
        <f>'Profits 2016'!B7176</f>
        <v>0</v>
      </c>
      <c r="C1961" s="276">
        <f>'Profits 2016'!H7176</f>
        <v>0</v>
      </c>
      <c r="D1961" s="280">
        <f>'Profits 2016'!K7176</f>
        <v>0</v>
      </c>
      <c r="E1961" s="276">
        <f>'Profits 2016'!L7176</f>
        <v>2192</v>
      </c>
      <c r="F1961" s="275" t="str">
        <f>'Profits 2016'!P7176</f>
        <v>Brazil</v>
      </c>
      <c r="G1961" s="292">
        <f>'Profits 2016'!N7176-'Profits 2016'!M7176</f>
        <v>438.40000000000003</v>
      </c>
      <c r="H1961" s="331">
        <v>30</v>
      </c>
      <c r="I1961" s="332">
        <v>91054499</v>
      </c>
      <c r="J1961" s="333">
        <v>42691</v>
      </c>
      <c r="K1961" s="333">
        <v>42695</v>
      </c>
      <c r="L1961" s="333"/>
      <c r="M1961" s="331"/>
      <c r="N1961" s="334"/>
      <c r="O1961" s="236">
        <f>'Profits 2016'!T7176</f>
        <v>0</v>
      </c>
      <c r="P1961" s="284">
        <f>'Profits 2016'!U7176</f>
        <v>0</v>
      </c>
      <c r="Q1961" s="284" t="s">
        <v>15866</v>
      </c>
      <c r="R1961" s="276">
        <v>0</v>
      </c>
      <c r="S1961" s="332">
        <v>91054499</v>
      </c>
      <c r="T1961" s="333">
        <v>42691</v>
      </c>
      <c r="U1961" s="333">
        <v>42695</v>
      </c>
      <c r="AF1961" s="276">
        <f t="shared" si="211"/>
        <v>438.40000000000003</v>
      </c>
      <c r="AG1961" s="276">
        <f t="shared" si="212"/>
        <v>0</v>
      </c>
      <c r="AH1961" s="276">
        <f t="shared" si="213"/>
        <v>0</v>
      </c>
      <c r="AI1961" s="283">
        <f t="shared" si="214"/>
        <v>0</v>
      </c>
    </row>
    <row r="1962" spans="1:35" ht="30" x14ac:dyDescent="0.25">
      <c r="A1962" s="275">
        <f>'Profits 2016'!A7177</f>
        <v>3005628</v>
      </c>
      <c r="B1962" s="279">
        <f>'Profits 2016'!B7177</f>
        <v>42690</v>
      </c>
      <c r="C1962" s="276">
        <f>'Profits 2016'!H7177</f>
        <v>280</v>
      </c>
      <c r="D1962" s="280">
        <f>'Profits 2016'!K7177</f>
        <v>280</v>
      </c>
      <c r="E1962" s="276">
        <f>'Profits 2016'!L7177</f>
        <v>1500</v>
      </c>
      <c r="F1962" s="275" t="str">
        <f>'Profits 2016'!P7177</f>
        <v>Priority</v>
      </c>
      <c r="G1962" s="292">
        <f>'Profits 2016'!N7177-'Profits 2016'!M7177</f>
        <v>29.999999999999996</v>
      </c>
      <c r="H1962" s="331">
        <v>0</v>
      </c>
      <c r="I1962" s="332">
        <v>1077653</v>
      </c>
      <c r="J1962" s="333">
        <v>42690</v>
      </c>
      <c r="K1962" s="333">
        <v>42702</v>
      </c>
      <c r="L1962" s="333"/>
      <c r="M1962" s="331"/>
      <c r="N1962" s="334"/>
      <c r="O1962" s="236" t="str">
        <f>'Profits 2016'!T7177</f>
        <v>FEDEX GROUND</v>
      </c>
      <c r="P1962" s="284" t="str">
        <f>'Profits 2016'!U7177</f>
        <v>616712878317</v>
      </c>
      <c r="Q1962" s="284" t="s">
        <v>15740</v>
      </c>
      <c r="R1962" s="276">
        <v>16.13</v>
      </c>
      <c r="S1962" s="332">
        <v>1077653</v>
      </c>
      <c r="T1962" s="333">
        <v>42690</v>
      </c>
      <c r="U1962" s="333">
        <v>42702</v>
      </c>
      <c r="AF1962" s="276">
        <f t="shared" si="211"/>
        <v>46.129999999999995</v>
      </c>
      <c r="AG1962" s="276">
        <f t="shared" si="212"/>
        <v>16.13</v>
      </c>
      <c r="AH1962" s="276">
        <f t="shared" si="213"/>
        <v>263.87</v>
      </c>
      <c r="AI1962" s="283">
        <f t="shared" si="214"/>
        <v>5.7201387383481475</v>
      </c>
    </row>
    <row r="1963" spans="1:35" ht="30" x14ac:dyDescent="0.25">
      <c r="A1963" s="275">
        <f>'Profits 2016'!A7178</f>
        <v>0</v>
      </c>
      <c r="B1963" s="279">
        <f>'Profits 2016'!B7178</f>
        <v>0</v>
      </c>
      <c r="C1963" s="276">
        <f>'Profits 2016'!H7178</f>
        <v>0</v>
      </c>
      <c r="D1963" s="280">
        <f>'Profits 2016'!K7178</f>
        <v>0</v>
      </c>
      <c r="E1963" s="276">
        <f>'Profits 2016'!L7178</f>
        <v>1666</v>
      </c>
      <c r="F1963" s="275" t="str">
        <f>'Profits 2016'!P7178</f>
        <v>King</v>
      </c>
      <c r="G1963" s="292">
        <f>'Profits 2016'!N7178-'Profits 2016'!M7178</f>
        <v>99.96</v>
      </c>
      <c r="H1963" s="331">
        <v>0</v>
      </c>
      <c r="I1963" s="332">
        <v>626227</v>
      </c>
      <c r="J1963" s="333">
        <v>42696</v>
      </c>
      <c r="K1963" s="333">
        <v>42702</v>
      </c>
      <c r="L1963" s="333"/>
      <c r="M1963" s="331"/>
      <c r="N1963" s="334"/>
      <c r="O1963" s="236" t="str">
        <f>'Profits 2016'!T7178</f>
        <v>FEDEX GROUND</v>
      </c>
      <c r="P1963" s="284" t="str">
        <f>'Profits 2016'!U7178</f>
        <v>371320100-4</v>
      </c>
      <c r="AF1963" s="276">
        <f t="shared" si="211"/>
        <v>99.96</v>
      </c>
      <c r="AG1963" s="276">
        <f t="shared" si="212"/>
        <v>0</v>
      </c>
      <c r="AH1963" s="276">
        <f t="shared" si="213"/>
        <v>0</v>
      </c>
      <c r="AI1963" s="283">
        <f t="shared" si="214"/>
        <v>0</v>
      </c>
    </row>
    <row r="1964" spans="1:35" ht="30" x14ac:dyDescent="0.25">
      <c r="A1964" s="275">
        <f>'Profits 2016'!A7179</f>
        <v>3005629</v>
      </c>
      <c r="B1964" s="279">
        <f>'Profits 2016'!B7179</f>
        <v>42690</v>
      </c>
      <c r="C1964" s="276">
        <f>'Profits 2016'!H7179</f>
        <v>162.36000000000001</v>
      </c>
      <c r="D1964" s="280">
        <f>'Profits 2016'!K7179</f>
        <v>144.36276000000001</v>
      </c>
      <c r="E1964" s="276">
        <f>'Profits 2016'!L7179</f>
        <v>395</v>
      </c>
      <c r="F1964" s="275" t="str">
        <f>'Profits 2016'!P7179</f>
        <v>Nassau</v>
      </c>
      <c r="G1964" s="292">
        <f>'Profits 2016'!N7179-'Profits 2016'!M7179</f>
        <v>79</v>
      </c>
      <c r="H1964" s="319"/>
      <c r="I1964" s="320"/>
      <c r="J1964" s="321"/>
      <c r="K1964" s="321"/>
      <c r="L1964" s="321"/>
      <c r="M1964" s="319"/>
      <c r="N1964" s="322"/>
      <c r="O1964" s="236" t="str">
        <f>'Profits 2016'!T7179</f>
        <v>FEDEX GROUND</v>
      </c>
      <c r="P1964" s="284" t="str">
        <f>'Profits 2016'!U7179</f>
        <v>680483361207</v>
      </c>
      <c r="AF1964" s="276">
        <f t="shared" si="211"/>
        <v>79</v>
      </c>
      <c r="AG1964" s="276">
        <f t="shared" si="212"/>
        <v>0</v>
      </c>
      <c r="AH1964" s="276">
        <f t="shared" si="213"/>
        <v>144.36276000000001</v>
      </c>
      <c r="AI1964" s="283">
        <f t="shared" si="214"/>
        <v>1.8273767088607595</v>
      </c>
    </row>
    <row r="1965" spans="1:35" ht="30" x14ac:dyDescent="0.25">
      <c r="A1965" s="275">
        <f>'Profits 2016'!A7180</f>
        <v>3005630</v>
      </c>
      <c r="B1965" s="279">
        <f>'Profits 2016'!B7180</f>
        <v>42690</v>
      </c>
      <c r="C1965" s="276">
        <f>'Profits 2016'!H7180</f>
        <v>182.68</v>
      </c>
      <c r="D1965" s="280">
        <f>'Profits 2016'!K7180</f>
        <v>162.46788000000001</v>
      </c>
      <c r="E1965" s="276">
        <f>'Profits 2016'!L7180</f>
        <v>174</v>
      </c>
      <c r="F1965" s="275" t="str">
        <f>'Profits 2016'!P7180</f>
        <v>Thea</v>
      </c>
      <c r="G1965" s="292">
        <f>'Profits 2016'!N7180-'Profits 2016'!M7180</f>
        <v>43.5</v>
      </c>
      <c r="H1965" s="319"/>
      <c r="I1965" s="320"/>
      <c r="J1965" s="321"/>
      <c r="K1965" s="321"/>
      <c r="L1965" s="321"/>
      <c r="M1965" s="319"/>
      <c r="N1965" s="322"/>
      <c r="O1965" s="236" t="str">
        <f>'Profits 2016'!T7180</f>
        <v>FEDEX GROUND</v>
      </c>
      <c r="P1965" s="284" t="str">
        <f>'Profits 2016'!U7180</f>
        <v>675157532201</v>
      </c>
      <c r="AF1965" s="276">
        <f t="shared" si="211"/>
        <v>43.5</v>
      </c>
      <c r="AG1965" s="276">
        <f t="shared" si="212"/>
        <v>0</v>
      </c>
      <c r="AH1965" s="276">
        <f t="shared" si="213"/>
        <v>162.46788000000001</v>
      </c>
      <c r="AI1965" s="283">
        <f t="shared" si="214"/>
        <v>3.7348937931034483</v>
      </c>
    </row>
    <row r="1966" spans="1:35" ht="30" x14ac:dyDescent="0.25">
      <c r="A1966" s="275">
        <f>'Profits 2016'!A7181</f>
        <v>3005631</v>
      </c>
      <c r="B1966" s="279">
        <f>'Profits 2016'!B7181</f>
        <v>42690</v>
      </c>
      <c r="C1966" s="276">
        <f>'Profits 2016'!H7181</f>
        <v>318.5</v>
      </c>
      <c r="D1966" s="280">
        <f>'Profits 2016'!K7181</f>
        <v>283.48349999999999</v>
      </c>
      <c r="E1966" s="276">
        <f>'Profits 2016'!L7181</f>
        <v>2200</v>
      </c>
      <c r="F1966" s="275" t="str">
        <f>'Profits 2016'!P7181</f>
        <v>Direct</v>
      </c>
      <c r="G1966" s="292">
        <f>'Profits 2016'!N7181-'Profits 2016'!M7181</f>
        <v>220</v>
      </c>
      <c r="H1966" s="331">
        <v>0</v>
      </c>
      <c r="I1966" s="332">
        <v>76707</v>
      </c>
      <c r="J1966" s="333">
        <v>42692</v>
      </c>
      <c r="K1966" s="333">
        <v>42702</v>
      </c>
      <c r="L1966" s="333"/>
      <c r="M1966" s="331"/>
      <c r="N1966" s="334"/>
      <c r="O1966" s="236" t="str">
        <f>'Profits 2016'!T7181</f>
        <v>FEDEX GROUND</v>
      </c>
      <c r="P1966" s="284" t="str">
        <f>'Profits 2016'!U7181</f>
        <v>642286529636</v>
      </c>
      <c r="AF1966" s="276">
        <f t="shared" si="211"/>
        <v>220</v>
      </c>
      <c r="AG1966" s="276">
        <f t="shared" si="212"/>
        <v>0</v>
      </c>
      <c r="AH1966" s="276">
        <f t="shared" si="213"/>
        <v>283.48349999999999</v>
      </c>
      <c r="AI1966" s="283">
        <f t="shared" si="214"/>
        <v>1.2885613636363635</v>
      </c>
    </row>
    <row r="1967" spans="1:35" ht="30" x14ac:dyDescent="0.25">
      <c r="A1967" s="275">
        <f>'Profits 2016'!A7182</f>
        <v>3005632</v>
      </c>
      <c r="B1967" s="279">
        <f>'Profits 2016'!B7182</f>
        <v>42690</v>
      </c>
      <c r="C1967" s="276">
        <f>'Profits 2016'!H7182</f>
        <v>137.6</v>
      </c>
      <c r="D1967" s="280">
        <f>'Profits 2016'!K7182</f>
        <v>122.30159999999999</v>
      </c>
      <c r="E1967" s="276">
        <f>'Profits 2016'!L7182</f>
        <v>0</v>
      </c>
      <c r="F1967" s="275" t="str">
        <f>'Profits 2016'!P7182</f>
        <v>Nassau</v>
      </c>
      <c r="G1967" s="292">
        <f>'Profits 2016'!N7182-'Profits 2016'!M7182</f>
        <v>0</v>
      </c>
      <c r="H1967" s="319"/>
      <c r="I1967" s="320"/>
      <c r="J1967" s="321"/>
      <c r="K1967" s="321"/>
      <c r="L1967" s="321"/>
      <c r="M1967" s="319"/>
      <c r="N1967" s="322"/>
      <c r="O1967" s="236" t="str">
        <f>'Profits 2016'!T7182</f>
        <v>FEDEX GROUND</v>
      </c>
      <c r="P1967" s="284" t="str">
        <f>'Profits 2016'!U7182</f>
        <v>680483361230</v>
      </c>
      <c r="AF1967" s="276">
        <f t="shared" si="211"/>
        <v>0</v>
      </c>
      <c r="AG1967" s="276">
        <f t="shared" si="212"/>
        <v>0</v>
      </c>
      <c r="AH1967" s="276">
        <f t="shared" si="213"/>
        <v>122.30159999999999</v>
      </c>
      <c r="AI1967" s="283" t="e">
        <f t="shared" si="214"/>
        <v>#DIV/0!</v>
      </c>
    </row>
    <row r="1968" spans="1:35" ht="30" x14ac:dyDescent="0.25">
      <c r="A1968" s="275">
        <f>'Profits 2016'!A7183</f>
        <v>3005633</v>
      </c>
      <c r="B1968" s="279">
        <f>'Profits 2016'!B7183</f>
        <v>42690</v>
      </c>
      <c r="C1968" s="276">
        <f>'Profits 2016'!H7183</f>
        <v>155.03</v>
      </c>
      <c r="D1968" s="280">
        <f>'Profits 2016'!K7183</f>
        <v>137.83173000000002</v>
      </c>
      <c r="E1968" s="276">
        <f>'Profits 2016'!L7183</f>
        <v>610.51</v>
      </c>
      <c r="F1968" s="275" t="str">
        <f>'Profits 2016'!P7183</f>
        <v>Nassau</v>
      </c>
      <c r="G1968" s="292">
        <f>'Profits 2016'!N7183-'Profits 2016'!M7183</f>
        <v>61.051000000000002</v>
      </c>
      <c r="H1968" s="319"/>
      <c r="I1968" s="320"/>
      <c r="J1968" s="321"/>
      <c r="K1968" s="321"/>
      <c r="L1968" s="321"/>
      <c r="M1968" s="319"/>
      <c r="N1968" s="322"/>
      <c r="O1968" s="236" t="str">
        <f>'Profits 2016'!T7183</f>
        <v>FEDEX GROUND</v>
      </c>
      <c r="P1968" s="284" t="str">
        <f>'Profits 2016'!U7183</f>
        <v>680483361218</v>
      </c>
      <c r="AF1968" s="276">
        <f t="shared" si="211"/>
        <v>61.051000000000002</v>
      </c>
      <c r="AG1968" s="276">
        <f t="shared" si="212"/>
        <v>0</v>
      </c>
      <c r="AH1968" s="276">
        <f t="shared" si="213"/>
        <v>137.83173000000002</v>
      </c>
      <c r="AI1968" s="283">
        <f t="shared" si="214"/>
        <v>2.2576490147581532</v>
      </c>
    </row>
    <row r="1969" spans="1:35" ht="30" x14ac:dyDescent="0.25">
      <c r="A1969" s="275">
        <f>'Profits 2016'!A7184</f>
        <v>3005634</v>
      </c>
      <c r="B1969" s="279">
        <f>'Profits 2016'!B7184</f>
        <v>42690</v>
      </c>
      <c r="C1969" s="276">
        <f>'Profits 2016'!H7184</f>
        <v>130</v>
      </c>
      <c r="D1969" s="280">
        <f>'Profits 2016'!K7184</f>
        <v>110.5</v>
      </c>
      <c r="E1969" s="276">
        <f>'Profits 2016'!L7184</f>
        <v>698</v>
      </c>
      <c r="F1969" s="275" t="str">
        <f>'Profits 2016'!P7184</f>
        <v>Nassau</v>
      </c>
      <c r="G1969" s="292">
        <f>'Profits 2016'!N7184-'Profits 2016'!M7184</f>
        <v>69.8</v>
      </c>
      <c r="H1969" s="319"/>
      <c r="I1969" s="320"/>
      <c r="J1969" s="321"/>
      <c r="K1969" s="321"/>
      <c r="L1969" s="321"/>
      <c r="M1969" s="319"/>
      <c r="N1969" s="322"/>
      <c r="O1969" s="236" t="str">
        <f>'Profits 2016'!T7184</f>
        <v>FEDEX GROUND</v>
      </c>
      <c r="P1969" s="284" t="str">
        <f>'Profits 2016'!U7184</f>
        <v>702723292811</v>
      </c>
      <c r="AF1969" s="276">
        <f t="shared" si="211"/>
        <v>69.8</v>
      </c>
      <c r="AG1969" s="276">
        <f t="shared" si="212"/>
        <v>0</v>
      </c>
      <c r="AH1969" s="276">
        <f t="shared" si="213"/>
        <v>110.5</v>
      </c>
      <c r="AI1969" s="283">
        <f t="shared" si="214"/>
        <v>1.5830945558739256</v>
      </c>
    </row>
    <row r="1970" spans="1:35" x14ac:dyDescent="0.25">
      <c r="A1970" s="275">
        <f>'Profits 2016'!A7185</f>
        <v>3005635</v>
      </c>
      <c r="B1970" s="279">
        <f>'Profits 2016'!B7185</f>
        <v>42690</v>
      </c>
      <c r="C1970" s="276">
        <f>'Profits 2016'!H7185</f>
        <v>650</v>
      </c>
      <c r="D1970" s="280">
        <f>'Profits 2016'!K7185</f>
        <v>552.5</v>
      </c>
      <c r="E1970" s="276">
        <f>'Profits 2016'!L7185</f>
        <v>0</v>
      </c>
      <c r="F1970" s="275" t="str">
        <f>'Profits 2016'!P7185</f>
        <v>Irvin</v>
      </c>
      <c r="G1970" s="292">
        <f>'Profits 2016'!N7185-'Profits 2016'!M7185</f>
        <v>0</v>
      </c>
      <c r="H1970" s="331"/>
      <c r="I1970" s="332"/>
      <c r="J1970" s="333"/>
      <c r="K1970" s="333"/>
      <c r="L1970" s="333"/>
      <c r="M1970" s="331"/>
      <c r="N1970" s="334"/>
      <c r="O1970" s="236" t="str">
        <f>'Profits 2016'!T7185</f>
        <v>FEDEX</v>
      </c>
      <c r="P1970" s="284" t="str">
        <f>'Profits 2016'!U7185</f>
        <v>3866248061</v>
      </c>
      <c r="AF1970" s="276">
        <f t="shared" si="211"/>
        <v>0</v>
      </c>
      <c r="AG1970" s="276">
        <f t="shared" si="212"/>
        <v>0</v>
      </c>
      <c r="AH1970" s="276">
        <f t="shared" si="213"/>
        <v>552.5</v>
      </c>
      <c r="AI1970" s="283" t="e">
        <f t="shared" si="214"/>
        <v>#DIV/0!</v>
      </c>
    </row>
    <row r="1971" spans="1:35" ht="30" x14ac:dyDescent="0.25">
      <c r="A1971" s="275">
        <f>'Profits 2016'!A7186</f>
        <v>3005636</v>
      </c>
      <c r="B1971" s="279">
        <f>'Profits 2016'!B7186</f>
        <v>42690</v>
      </c>
      <c r="C1971" s="276">
        <f>'Profits 2016'!H7186</f>
        <v>135</v>
      </c>
      <c r="D1971" s="280">
        <f>'Profits 2016'!K7186</f>
        <v>114.75</v>
      </c>
      <c r="E1971" s="276">
        <f>'Profits 2016'!L7186</f>
        <v>424</v>
      </c>
      <c r="F1971" s="275" t="str">
        <f>'Profits 2016'!P7186</f>
        <v>Nassau</v>
      </c>
      <c r="G1971" s="292">
        <f>'Profits 2016'!N7186-'Profits 2016'!M7186</f>
        <v>63.599999999999994</v>
      </c>
      <c r="H1971" s="319"/>
      <c r="I1971" s="320"/>
      <c r="J1971" s="321"/>
      <c r="K1971" s="321"/>
      <c r="L1971" s="321"/>
      <c r="M1971" s="319"/>
      <c r="N1971" s="322"/>
      <c r="O1971" s="236" t="str">
        <f>'Profits 2016'!T7186</f>
        <v>FEDEX GROUND</v>
      </c>
      <c r="P1971" s="284" t="str">
        <f>'Profits 2016'!U7186</f>
        <v>680483361240</v>
      </c>
      <c r="AF1971" s="276">
        <f t="shared" si="211"/>
        <v>62.389999999999993</v>
      </c>
      <c r="AG1971" s="276">
        <f t="shared" si="212"/>
        <v>0</v>
      </c>
      <c r="AH1971" s="276">
        <f t="shared" si="213"/>
        <v>114.75</v>
      </c>
      <c r="AI1971" s="283">
        <f t="shared" si="214"/>
        <v>1.8392370572207086</v>
      </c>
    </row>
    <row r="1972" spans="1:35" x14ac:dyDescent="0.25">
      <c r="A1972" s="275">
        <f>'Profits 2016'!A7187</f>
        <v>3005637</v>
      </c>
      <c r="B1972" s="279">
        <f>'Profits 2016'!B7187</f>
        <v>42690</v>
      </c>
      <c r="C1972" s="276">
        <f>'Profits 2016'!H7187</f>
        <v>1850</v>
      </c>
      <c r="D1972" s="280">
        <f>'Profits 2016'!K7187</f>
        <v>1809</v>
      </c>
      <c r="E1972" s="276">
        <f>'Profits 2016'!L7187</f>
        <v>2150</v>
      </c>
      <c r="F1972" s="275" t="str">
        <f>'Profits 2016'!P7187</f>
        <v>General</v>
      </c>
      <c r="G1972" s="292">
        <f>'Profits 2016'!N7187-'Profits 2016'!M7187</f>
        <v>1075</v>
      </c>
      <c r="H1972" s="331">
        <v>-1.21</v>
      </c>
      <c r="I1972" s="332">
        <v>3792794</v>
      </c>
      <c r="J1972" s="333">
        <v>42691</v>
      </c>
      <c r="K1972" s="333">
        <v>42695</v>
      </c>
      <c r="L1972" s="333"/>
      <c r="M1972" s="331"/>
      <c r="N1972" s="334"/>
      <c r="O1972" s="236" t="str">
        <f>'Profits 2016'!T7187</f>
        <v>FEDEX/DLS</v>
      </c>
      <c r="P1972" s="284" t="str">
        <f>'Profits 2016'!U7187</f>
        <v xml:space="preserve">	3947846792</v>
      </c>
      <c r="AF1972" s="276">
        <f t="shared" si="211"/>
        <v>1075</v>
      </c>
      <c r="AG1972" s="276">
        <f t="shared" si="212"/>
        <v>0</v>
      </c>
      <c r="AH1972" s="276">
        <f t="shared" si="213"/>
        <v>1809</v>
      </c>
      <c r="AI1972" s="283">
        <f t="shared" si="214"/>
        <v>1.6827906976744187</v>
      </c>
    </row>
    <row r="1973" spans="1:35" ht="30" x14ac:dyDescent="0.25">
      <c r="A1973" s="275">
        <f>'Profits 2016'!A7188</f>
        <v>3005638</v>
      </c>
      <c r="B1973" s="279">
        <f>'Profits 2016'!B7188</f>
        <v>42690</v>
      </c>
      <c r="C1973" s="276">
        <f>'Profits 2016'!H7188</f>
        <v>138.4</v>
      </c>
      <c r="D1973" s="280">
        <f>'Profits 2016'!K7188</f>
        <v>133.602</v>
      </c>
      <c r="E1973" s="276">
        <f>'Profits 2016'!L7188</f>
        <v>1322</v>
      </c>
      <c r="F1973" s="275" t="str">
        <f>'Profits 2016'!P7188</f>
        <v>Nassau</v>
      </c>
      <c r="G1973" s="292">
        <f>'Profits 2016'!N7188-'Profits 2016'!M7188</f>
        <v>66.100000000000009</v>
      </c>
      <c r="H1973" s="319"/>
      <c r="I1973" s="320"/>
      <c r="J1973" s="321"/>
      <c r="K1973" s="321"/>
      <c r="L1973" s="321"/>
      <c r="M1973" s="319"/>
      <c r="N1973" s="322"/>
      <c r="O1973" s="236" t="str">
        <f>'Profits 2016'!T7188</f>
        <v>FEDEX GROUND</v>
      </c>
      <c r="P1973" s="284" t="str">
        <f>'Profits 2016'!U7188</f>
        <v>680483361192</v>
      </c>
      <c r="AF1973" s="276">
        <f t="shared" si="211"/>
        <v>66.100000000000009</v>
      </c>
      <c r="AG1973" s="276">
        <f t="shared" si="212"/>
        <v>0</v>
      </c>
      <c r="AH1973" s="276">
        <f t="shared" si="213"/>
        <v>133.602</v>
      </c>
      <c r="AI1973" s="283">
        <f t="shared" si="214"/>
        <v>2.0212102874432674</v>
      </c>
    </row>
    <row r="1974" spans="1:35" ht="30" x14ac:dyDescent="0.25">
      <c r="A1974" s="275">
        <f>'Profits 2016'!A7189</f>
        <v>3005639</v>
      </c>
      <c r="B1974" s="279">
        <f>'Profits 2016'!B7189</f>
        <v>42690</v>
      </c>
      <c r="C1974" s="276">
        <f>'Profits 2016'!H7189</f>
        <v>260</v>
      </c>
      <c r="D1974" s="280">
        <f>'Profits 2016'!K7189</f>
        <v>254.76</v>
      </c>
      <c r="E1974" s="276">
        <f>'Profits 2016'!L7189</f>
        <v>1650</v>
      </c>
      <c r="F1974" s="275" t="str">
        <f>'Profits 2016'!P7189</f>
        <v>A-Z</v>
      </c>
      <c r="G1974" s="292">
        <f>'Profits 2016'!N7189-'Profits 2016'!M7189</f>
        <v>165</v>
      </c>
      <c r="H1974" s="331">
        <v>0</v>
      </c>
      <c r="I1974" s="332">
        <v>410689</v>
      </c>
      <c r="J1974" s="333">
        <v>42692</v>
      </c>
      <c r="K1974" s="333">
        <v>42702</v>
      </c>
      <c r="L1974" s="333"/>
      <c r="M1974" s="331"/>
      <c r="N1974" s="334"/>
      <c r="O1974" s="236" t="str">
        <f>'Profits 2016'!T7189</f>
        <v>FEDEX GROUND</v>
      </c>
      <c r="P1974" s="284" t="str">
        <f>'Profits 2016'!U7189</f>
        <v>655044328003</v>
      </c>
      <c r="AF1974" s="276">
        <f t="shared" si="211"/>
        <v>165</v>
      </c>
      <c r="AG1974" s="276">
        <f t="shared" si="212"/>
        <v>0</v>
      </c>
      <c r="AH1974" s="276">
        <f t="shared" si="213"/>
        <v>254.76</v>
      </c>
      <c r="AI1974" s="283">
        <f t="shared" si="214"/>
        <v>1.544</v>
      </c>
    </row>
    <row r="1975" spans="1:35" ht="30" x14ac:dyDescent="0.25">
      <c r="A1975" s="275">
        <f>'Profits 2016'!A7190</f>
        <v>3005640</v>
      </c>
      <c r="B1975" s="279">
        <f>'Profits 2016'!B7190</f>
        <v>42690</v>
      </c>
      <c r="C1975" s="276">
        <f>'Profits 2016'!H7190</f>
        <v>840</v>
      </c>
      <c r="D1975" s="280">
        <f>'Profits 2016'!K7190</f>
        <v>821.22</v>
      </c>
      <c r="E1975" s="276">
        <f>'Profits 2016'!L7190</f>
        <v>8150</v>
      </c>
      <c r="F1975" s="275" t="str">
        <f>'Profits 2016'!P7190</f>
        <v>Priority</v>
      </c>
      <c r="G1975" s="292">
        <f>'Profits 2016'!N7190-'Profits 2016'!M7190</f>
        <v>163</v>
      </c>
      <c r="H1975" s="331">
        <v>0</v>
      </c>
      <c r="I1975" s="332">
        <v>1077651</v>
      </c>
      <c r="J1975" s="333">
        <v>42690</v>
      </c>
      <c r="K1975" s="333">
        <v>42702</v>
      </c>
      <c r="L1975" s="333"/>
      <c r="M1975" s="331"/>
      <c r="N1975" s="334"/>
      <c r="O1975" s="236" t="str">
        <f>'Profits 2016'!T7190</f>
        <v>Customer Pick Up</v>
      </c>
      <c r="P1975" s="284" t="str">
        <f>'Profits 2016'!U7190</f>
        <v>Customer Pick Up</v>
      </c>
      <c r="Q1975" s="284" t="s">
        <v>15740</v>
      </c>
      <c r="R1975" s="276">
        <v>115</v>
      </c>
      <c r="S1975" s="332">
        <v>1077651</v>
      </c>
      <c r="T1975" s="333">
        <v>42690</v>
      </c>
      <c r="U1975" s="333">
        <v>42702</v>
      </c>
      <c r="AF1975" s="276">
        <f t="shared" si="211"/>
        <v>278</v>
      </c>
      <c r="AG1975" s="276">
        <f t="shared" si="212"/>
        <v>115</v>
      </c>
      <c r="AH1975" s="276">
        <f t="shared" si="213"/>
        <v>706.22</v>
      </c>
      <c r="AI1975" s="283">
        <f t="shared" si="214"/>
        <v>2.5403597122302157</v>
      </c>
    </row>
    <row r="1976" spans="1:35" ht="30" x14ac:dyDescent="0.25">
      <c r="A1976" s="275">
        <f>'Profits 2016'!A7191</f>
        <v>3005641</v>
      </c>
      <c r="B1976" s="279">
        <f>'Profits 2016'!B7191</f>
        <v>42690</v>
      </c>
      <c r="C1976" s="276">
        <f>'Profits 2016'!H7191</f>
        <v>160</v>
      </c>
      <c r="D1976" s="280">
        <f>'Profits 2016'!K7191</f>
        <v>156.18</v>
      </c>
      <c r="E1976" s="276">
        <f>'Profits 2016'!L7191</f>
        <v>1300</v>
      </c>
      <c r="F1976" s="275" t="str">
        <f>'Profits 2016'!P7191</f>
        <v>Priority</v>
      </c>
      <c r="G1976" s="292">
        <f>'Profits 2016'!N7191-'Profits 2016'!M7191</f>
        <v>68.899999999999991</v>
      </c>
      <c r="H1976" s="331">
        <v>0</v>
      </c>
      <c r="I1976" s="332">
        <v>1077545</v>
      </c>
      <c r="J1976" s="333">
        <v>42690</v>
      </c>
      <c r="K1976" s="333">
        <v>42702</v>
      </c>
      <c r="L1976" s="333"/>
      <c r="M1976" s="331"/>
      <c r="N1976" s="334"/>
      <c r="O1976" s="236" t="str">
        <f>'Profits 2016'!T7191</f>
        <v>UPS GROUND</v>
      </c>
      <c r="P1976" s="284" t="str">
        <f>'Profits 2016'!U7191</f>
        <v> 	1Z19X16R0349962198</v>
      </c>
      <c r="Q1976" s="284" t="s">
        <v>15740</v>
      </c>
      <c r="R1976" s="276">
        <v>20.64</v>
      </c>
      <c r="S1976" s="332">
        <v>1077545</v>
      </c>
      <c r="T1976" s="333">
        <v>42690</v>
      </c>
      <c r="U1976" s="333">
        <v>42702</v>
      </c>
      <c r="AF1976" s="276">
        <f t="shared" ref="AF1976:AF2039" si="215">G1976+H1977+R1976+Y1976</f>
        <v>89.539999999999992</v>
      </c>
      <c r="AG1976" s="276">
        <f t="shared" ref="AG1976:AG2039" si="216">M1976+R1976+Y1976</f>
        <v>20.64</v>
      </c>
      <c r="AH1976" s="276">
        <f t="shared" ref="AH1976:AH2039" si="217">D1976-AG1976</f>
        <v>135.54000000000002</v>
      </c>
      <c r="AI1976" s="283">
        <f t="shared" ref="AI1976:AI2039" si="218">AH1976/AF1976</f>
        <v>1.5137368773732414</v>
      </c>
    </row>
    <row r="1977" spans="1:35" ht="30" x14ac:dyDescent="0.25">
      <c r="A1977" s="275">
        <f>'Profits 2016'!A7192</f>
        <v>3005642</v>
      </c>
      <c r="B1977" s="279">
        <f>'Profits 2016'!B7192</f>
        <v>42690</v>
      </c>
      <c r="C1977" s="276">
        <f>'Profits 2016'!H7192</f>
        <v>481.8</v>
      </c>
      <c r="D1977" s="280">
        <f>'Profits 2016'!K7192</f>
        <v>470.90039999999999</v>
      </c>
      <c r="E1977" s="276">
        <f>'Profits 2016'!L7192</f>
        <v>2626.2</v>
      </c>
      <c r="F1977" s="275" t="str">
        <f>'Profits 2016'!P7192</f>
        <v>General</v>
      </c>
      <c r="G1977" s="292">
        <f>'Profits 2016'!N7192-'Profits 2016'!M7192</f>
        <v>262.62</v>
      </c>
      <c r="H1977" s="331">
        <v>0</v>
      </c>
      <c r="I1977" s="332">
        <v>3796019</v>
      </c>
      <c r="J1977" s="333">
        <v>42695</v>
      </c>
      <c r="K1977" s="333">
        <v>42702</v>
      </c>
      <c r="L1977" s="333"/>
      <c r="M1977" s="331"/>
      <c r="N1977" s="334"/>
      <c r="O1977" s="236" t="str">
        <f>'Profits 2016'!T7192</f>
        <v>FEDEX GROUND</v>
      </c>
      <c r="P1977" s="284">
        <f>'Profits 2016'!U7192</f>
        <v>675157532407</v>
      </c>
      <c r="AF1977" s="276">
        <f t="shared" si="215"/>
        <v>337.62</v>
      </c>
      <c r="AG1977" s="276">
        <f t="shared" si="216"/>
        <v>0</v>
      </c>
      <c r="AH1977" s="276">
        <f t="shared" si="217"/>
        <v>470.90039999999999</v>
      </c>
      <c r="AI1977" s="283">
        <f t="shared" si="218"/>
        <v>1.3947645281677625</v>
      </c>
    </row>
    <row r="1978" spans="1:35" x14ac:dyDescent="0.25">
      <c r="A1978" s="275">
        <f>'Profits 2016'!A7193</f>
        <v>3005643</v>
      </c>
      <c r="B1978" s="279">
        <f>'Profits 2016'!B7193</f>
        <v>42690</v>
      </c>
      <c r="C1978" s="276">
        <f>'Profits 2016'!H7193</f>
        <v>5630.96</v>
      </c>
      <c r="D1978" s="280">
        <f>'Profits 2016'!K7193</f>
        <v>5506.7788799999998</v>
      </c>
      <c r="E1978" s="276" t="e">
        <f>'Profits 2016'!#REF!</f>
        <v>#REF!</v>
      </c>
      <c r="F1978" s="275" t="str">
        <f>'Profits 2016'!P7193</f>
        <v>Brazil</v>
      </c>
      <c r="G1978" s="292">
        <f>'Profits 2016'!N7193-'Profits 2016'!L7193</f>
        <v>1052.29</v>
      </c>
      <c r="H1978" s="331">
        <v>75</v>
      </c>
      <c r="I1978" s="332">
        <v>95058819</v>
      </c>
      <c r="J1978" s="333">
        <v>42693</v>
      </c>
      <c r="K1978" s="333">
        <v>42702</v>
      </c>
      <c r="L1978" s="333"/>
      <c r="M1978" s="331"/>
      <c r="N1978" s="334"/>
      <c r="O1978" s="236" t="str">
        <f>'Profits 2016'!T7193</f>
        <v>YRC</v>
      </c>
      <c r="P1978" s="284" t="str">
        <f>'Profits 2016'!U7193</f>
        <v>5464145956</v>
      </c>
      <c r="Q1978" s="284" t="s">
        <v>15866</v>
      </c>
      <c r="R1978" s="276">
        <v>196.89</v>
      </c>
      <c r="S1978" s="275">
        <v>91058819</v>
      </c>
      <c r="T1978" s="279">
        <v>42693</v>
      </c>
      <c r="U1978" s="279">
        <v>42702</v>
      </c>
      <c r="AF1978" s="276">
        <f t="shared" si="215"/>
        <v>1249.1799999999998</v>
      </c>
      <c r="AG1978" s="276">
        <f t="shared" si="216"/>
        <v>196.89</v>
      </c>
      <c r="AH1978" s="276">
        <f t="shared" si="217"/>
        <v>5309.8888799999995</v>
      </c>
      <c r="AI1978" s="283">
        <f t="shared" si="218"/>
        <v>4.2506995629132716</v>
      </c>
    </row>
    <row r="1979" spans="1:35" ht="30" x14ac:dyDescent="0.25">
      <c r="A1979" s="275">
        <f>'Profits 2016'!A7194</f>
        <v>3005644</v>
      </c>
      <c r="B1979" s="279">
        <f>'Profits 2016'!B7194</f>
        <v>42690</v>
      </c>
      <c r="C1979" s="276">
        <f>'Profits 2016'!H7194</f>
        <v>311.75</v>
      </c>
      <c r="D1979" s="280">
        <f>'Profits 2016'!K7194</f>
        <v>277.46924999999999</v>
      </c>
      <c r="E1979" s="276">
        <f>'Profits 2016'!L7194</f>
        <v>923.18</v>
      </c>
      <c r="F1979" s="275" t="str">
        <f>'Profits 2016'!P7194</f>
        <v>Kalas</v>
      </c>
      <c r="G1979" s="292">
        <f>'Profits 2016'!N7194-'Profits 2016'!M7194</f>
        <v>138.47699999999998</v>
      </c>
      <c r="H1979" s="331">
        <v>0</v>
      </c>
      <c r="I1979" s="332" t="s">
        <v>15944</v>
      </c>
      <c r="J1979" s="333">
        <v>42692</v>
      </c>
      <c r="K1979" s="333">
        <v>42702</v>
      </c>
      <c r="L1979" s="333"/>
      <c r="M1979" s="331"/>
      <c r="N1979" s="334"/>
      <c r="O1979" s="236" t="str">
        <f>'Profits 2016'!T7194</f>
        <v>FEDEX GROUND</v>
      </c>
      <c r="P1979" s="284" t="str">
        <f>'Profits 2016'!U7194</f>
        <v>777746960619</v>
      </c>
      <c r="AF1979" s="276">
        <f t="shared" si="215"/>
        <v>138.47699999999998</v>
      </c>
      <c r="AG1979" s="276">
        <f t="shared" si="216"/>
        <v>0</v>
      </c>
      <c r="AH1979" s="276">
        <f t="shared" si="217"/>
        <v>277.46924999999999</v>
      </c>
      <c r="AI1979" s="283">
        <f t="shared" si="218"/>
        <v>2.0037208345068138</v>
      </c>
    </row>
    <row r="1980" spans="1:35" ht="30" x14ac:dyDescent="0.25">
      <c r="A1980" s="275">
        <f>'Profits 2016'!A7195</f>
        <v>3005645</v>
      </c>
      <c r="B1980" s="279">
        <f>'Profits 2016'!B7195</f>
        <v>42690</v>
      </c>
      <c r="C1980" s="276">
        <f>'Profits 2016'!H7195</f>
        <v>533.98</v>
      </c>
      <c r="D1980" s="280">
        <f>'Profits 2016'!K7195</f>
        <v>453.88300000000004</v>
      </c>
      <c r="E1980" s="276">
        <f>'Profits 2016'!L7195</f>
        <v>0</v>
      </c>
      <c r="F1980" s="275" t="str">
        <f>'Profits 2016'!P7195</f>
        <v>Nassau</v>
      </c>
      <c r="G1980" s="292">
        <f>'Profits 2016'!N7195-'Profits 2016'!M7195</f>
        <v>0</v>
      </c>
      <c r="H1980" s="319"/>
      <c r="I1980" s="320"/>
      <c r="J1980" s="321"/>
      <c r="K1980" s="321"/>
      <c r="L1980" s="321"/>
      <c r="M1980" s="319"/>
      <c r="N1980" s="322"/>
      <c r="O1980" s="236" t="str">
        <f>'Profits 2016'!T7195</f>
        <v>FEDEX GROUND</v>
      </c>
      <c r="P1980" s="284" t="str">
        <f>'Profits 2016'!U7195</f>
        <v>702723292822</v>
      </c>
      <c r="AF1980" s="276">
        <f t="shared" si="215"/>
        <v>0</v>
      </c>
      <c r="AG1980" s="276">
        <f t="shared" si="216"/>
        <v>0</v>
      </c>
      <c r="AH1980" s="276">
        <f t="shared" si="217"/>
        <v>453.88300000000004</v>
      </c>
      <c r="AI1980" s="283" t="e">
        <f t="shared" si="218"/>
        <v>#DIV/0!</v>
      </c>
    </row>
    <row r="1981" spans="1:35" ht="30" x14ac:dyDescent="0.25">
      <c r="A1981" s="275">
        <f>'Profits 2016'!A7196</f>
        <v>3005646</v>
      </c>
      <c r="B1981" s="279">
        <f>'Profits 2016'!B7196</f>
        <v>42690</v>
      </c>
      <c r="C1981" s="276">
        <f>'Profits 2016'!H7196</f>
        <v>95</v>
      </c>
      <c r="D1981" s="280">
        <f>'Profits 2016'!K7196</f>
        <v>84.344999999999999</v>
      </c>
      <c r="E1981" s="276">
        <f>'Profits 2016'!L7196</f>
        <v>150</v>
      </c>
      <c r="F1981" s="275" t="str">
        <f>'Profits 2016'!P7196</f>
        <v>Nassau</v>
      </c>
      <c r="G1981" s="292">
        <f>'Profits 2016'!N7196-'Profits 2016'!M7196</f>
        <v>37.5</v>
      </c>
      <c r="H1981" s="319"/>
      <c r="I1981" s="320"/>
      <c r="J1981" s="321"/>
      <c r="K1981" s="321"/>
      <c r="L1981" s="321"/>
      <c r="M1981" s="319"/>
      <c r="N1981" s="322"/>
      <c r="O1981" s="236" t="str">
        <f>'Profits 2016'!T7196</f>
        <v>FEDEX GROUND</v>
      </c>
      <c r="P1981" s="284" t="str">
        <f>'Profits 2016'!U7196</f>
        <v>680483361229</v>
      </c>
      <c r="AF1981" s="276">
        <f t="shared" si="215"/>
        <v>37.5</v>
      </c>
      <c r="AG1981" s="276">
        <f t="shared" si="216"/>
        <v>0</v>
      </c>
      <c r="AH1981" s="276">
        <f t="shared" si="217"/>
        <v>84.344999999999999</v>
      </c>
      <c r="AI1981" s="283">
        <f t="shared" si="218"/>
        <v>2.2492000000000001</v>
      </c>
    </row>
    <row r="1982" spans="1:35" ht="30" x14ac:dyDescent="0.25">
      <c r="A1982" s="275">
        <f>'Profits 2016'!A7197</f>
        <v>3005647</v>
      </c>
      <c r="B1982" s="279">
        <f>'Profits 2016'!B7197</f>
        <v>42690</v>
      </c>
      <c r="C1982" s="276">
        <f>'Profits 2016'!H7197</f>
        <v>257</v>
      </c>
      <c r="D1982" s="280">
        <f>'Profits 2016'!K7197</f>
        <v>251.04599999999999</v>
      </c>
      <c r="E1982" s="276">
        <f>'Profits 2016'!L7197</f>
        <v>1693</v>
      </c>
      <c r="F1982" s="275" t="str">
        <f>'Profits 2016'!P7197</f>
        <v>Nassau</v>
      </c>
      <c r="G1982" s="292">
        <f>'Profits 2016'!N7197-'Profits 2016'!M7197</f>
        <v>126.97499999999999</v>
      </c>
      <c r="H1982" s="319"/>
      <c r="I1982" s="320"/>
      <c r="J1982" s="321"/>
      <c r="K1982" s="321"/>
      <c r="L1982" s="321"/>
      <c r="M1982" s="319"/>
      <c r="N1982" s="322"/>
      <c r="O1982" s="236" t="str">
        <f>'Profits 2016'!T7197</f>
        <v>FEDEX GROUND</v>
      </c>
      <c r="P1982" s="284" t="str">
        <f>'Profits 2016'!U7197</f>
        <v>680483361251</v>
      </c>
      <c r="AF1982" s="276">
        <f t="shared" si="215"/>
        <v>126.97499999999999</v>
      </c>
      <c r="AG1982" s="276">
        <f t="shared" si="216"/>
        <v>0</v>
      </c>
      <c r="AH1982" s="276">
        <f t="shared" si="217"/>
        <v>251.04599999999999</v>
      </c>
      <c r="AI1982" s="283">
        <f t="shared" si="218"/>
        <v>1.977129356172475</v>
      </c>
    </row>
    <row r="1983" spans="1:35" x14ac:dyDescent="0.25">
      <c r="A1983" s="275">
        <f>'Profits 2016'!A7198</f>
        <v>3005648</v>
      </c>
      <c r="B1983" s="279">
        <f>'Profits 2016'!B7198</f>
        <v>42690</v>
      </c>
      <c r="C1983" s="276">
        <f>'Profits 2016'!H7198</f>
        <v>5500</v>
      </c>
      <c r="D1983" s="280">
        <f>'Profits 2016'!K7198</f>
        <v>5378.7</v>
      </c>
      <c r="E1983" s="276">
        <f>'Profits 2016'!L7198</f>
        <v>235</v>
      </c>
      <c r="F1983" s="275" t="str">
        <f>'Profits 2016'!P7198</f>
        <v>Commodity</v>
      </c>
      <c r="G1983" s="292">
        <f>'Profits 2016'!N7198-'Profits 2016'!M7198</f>
        <v>2585</v>
      </c>
      <c r="H1983" s="331">
        <v>0</v>
      </c>
      <c r="I1983" s="332" t="s">
        <v>15945</v>
      </c>
      <c r="J1983" s="333">
        <v>42691</v>
      </c>
      <c r="K1983" s="333">
        <v>42692</v>
      </c>
      <c r="L1983" s="333"/>
      <c r="M1983" s="331"/>
      <c r="N1983" s="334"/>
      <c r="O1983" s="236" t="str">
        <f>'Profits 2016'!T7198</f>
        <v>SAIA</v>
      </c>
      <c r="P1983" s="284" t="str">
        <f>'Profits 2016'!U7198</f>
        <v>101418730606</v>
      </c>
      <c r="AF1983" s="276">
        <f t="shared" si="215"/>
        <v>2585</v>
      </c>
      <c r="AG1983" s="276">
        <f t="shared" si="216"/>
        <v>0</v>
      </c>
      <c r="AH1983" s="276">
        <f t="shared" si="217"/>
        <v>5378.7</v>
      </c>
      <c r="AI1983" s="283">
        <f t="shared" si="218"/>
        <v>2.0807350096711796</v>
      </c>
    </row>
    <row r="1984" spans="1:35" ht="30" x14ac:dyDescent="0.25">
      <c r="A1984" s="275">
        <f>'Profits 2016'!A7199</f>
        <v>3005649</v>
      </c>
      <c r="B1984" s="279">
        <f>'Profits 2016'!B7199</f>
        <v>42690</v>
      </c>
      <c r="C1984" s="276">
        <f>'Profits 2016'!H7199</f>
        <v>4190</v>
      </c>
      <c r="D1984" s="280">
        <f>'Profits 2016'!K7199</f>
        <v>4097.5200000000004</v>
      </c>
      <c r="E1984" s="276">
        <f>'Profits 2016'!L7199</f>
        <v>1200</v>
      </c>
      <c r="F1984" s="275" t="str">
        <f>'Profits 2016'!P7199</f>
        <v>Priority</v>
      </c>
      <c r="G1984" s="292">
        <f>'Profits 2016'!N7199-'Profits 2016'!M7199</f>
        <v>600</v>
      </c>
      <c r="H1984" s="331">
        <v>0</v>
      </c>
      <c r="I1984" s="332">
        <v>1078254</v>
      </c>
      <c r="J1984" s="333">
        <v>42692</v>
      </c>
      <c r="K1984" s="333">
        <v>42702</v>
      </c>
      <c r="L1984" s="333"/>
      <c r="M1984" s="331"/>
      <c r="N1984" s="334"/>
      <c r="O1984" s="236" t="str">
        <f>'Profits 2016'!T7199</f>
        <v>FEDEX GROUND</v>
      </c>
      <c r="P1984" s="284" t="str">
        <f>'Profits 2016'!U7199</f>
        <v>569657075673</v>
      </c>
      <c r="Q1984" s="284" t="s">
        <v>15740</v>
      </c>
      <c r="R1984" s="276">
        <v>37.15</v>
      </c>
      <c r="S1984" s="332">
        <v>1078254</v>
      </c>
      <c r="T1984" s="333">
        <v>42692</v>
      </c>
      <c r="U1984" s="333">
        <v>42702</v>
      </c>
      <c r="AF1984" s="276">
        <f t="shared" si="215"/>
        <v>637.15</v>
      </c>
      <c r="AG1984" s="276">
        <f t="shared" si="216"/>
        <v>37.15</v>
      </c>
      <c r="AH1984" s="276">
        <f t="shared" si="217"/>
        <v>4060.3700000000003</v>
      </c>
      <c r="AI1984" s="283">
        <f t="shared" si="218"/>
        <v>6.3727065840069068</v>
      </c>
    </row>
    <row r="1985" spans="1:35" x14ac:dyDescent="0.25">
      <c r="A1985" s="275">
        <f>'Profits 2016'!A7200</f>
        <v>0</v>
      </c>
      <c r="B1985" s="279">
        <f>'Profits 2016'!B7200</f>
        <v>0</v>
      </c>
      <c r="C1985" s="276">
        <f>'Profits 2016'!H7200</f>
        <v>0</v>
      </c>
      <c r="D1985" s="280">
        <f>'Profits 2016'!K7200</f>
        <v>0</v>
      </c>
      <c r="E1985" s="276">
        <f>'Profits 2016'!L7200</f>
        <v>1000</v>
      </c>
      <c r="F1985" s="275" t="str">
        <f>'Profits 2016'!P7200</f>
        <v>ERCO</v>
      </c>
      <c r="G1985" s="292">
        <f>'Profits 2016'!N7200-'Profits 2016'!M7200</f>
        <v>509</v>
      </c>
      <c r="H1985" s="331">
        <v>0</v>
      </c>
      <c r="I1985" s="332">
        <v>152585</v>
      </c>
      <c r="J1985" s="333">
        <v>42692</v>
      </c>
      <c r="K1985" s="333">
        <v>42702</v>
      </c>
      <c r="L1985" s="333"/>
      <c r="M1985" s="331"/>
      <c r="N1985" s="334"/>
      <c r="O1985" s="236" t="str">
        <f>'Profits 2016'!T7200</f>
        <v>UPS</v>
      </c>
      <c r="P1985" s="284" t="str">
        <f>'Profits 2016'!U7200</f>
        <v>1Z7763310372639737</v>
      </c>
      <c r="AF1985" s="276">
        <f t="shared" si="215"/>
        <v>509</v>
      </c>
      <c r="AG1985" s="276">
        <f t="shared" si="216"/>
        <v>0</v>
      </c>
      <c r="AH1985" s="276">
        <f t="shared" si="217"/>
        <v>0</v>
      </c>
      <c r="AI1985" s="283">
        <f t="shared" si="218"/>
        <v>0</v>
      </c>
    </row>
    <row r="1986" spans="1:35" x14ac:dyDescent="0.25">
      <c r="A1986" s="275">
        <f>'Profits 2016'!A7201</f>
        <v>0</v>
      </c>
      <c r="B1986" s="279">
        <f>'Profits 2016'!B7201</f>
        <v>0</v>
      </c>
      <c r="C1986" s="276">
        <f>'Profits 2016'!H7201</f>
        <v>0</v>
      </c>
      <c r="D1986" s="280">
        <f>'Profits 2016'!K7201</f>
        <v>0</v>
      </c>
      <c r="E1986" s="276">
        <f>'Profits 2016'!L7201</f>
        <v>1000</v>
      </c>
      <c r="F1986" s="275" t="str">
        <f>'Profits 2016'!P7201</f>
        <v>ERCO</v>
      </c>
      <c r="G1986" s="292">
        <f>'Profits 2016'!N7201-'Profits 2016'!M7201</f>
        <v>509</v>
      </c>
      <c r="H1986" s="331">
        <v>0</v>
      </c>
      <c r="I1986" s="332">
        <v>152585</v>
      </c>
      <c r="J1986" s="333">
        <v>42692</v>
      </c>
      <c r="K1986" s="333">
        <v>42702</v>
      </c>
      <c r="L1986" s="333"/>
      <c r="M1986" s="331"/>
      <c r="N1986" s="334"/>
      <c r="O1986" s="236">
        <f>'Profits 2016'!T7201</f>
        <v>0</v>
      </c>
      <c r="P1986" s="284" t="str">
        <f>'Profits 2016'!U7201</f>
        <v>1Z7763310371636545</v>
      </c>
      <c r="AF1986" s="276">
        <f t="shared" si="215"/>
        <v>509</v>
      </c>
      <c r="AG1986" s="276">
        <f t="shared" si="216"/>
        <v>0</v>
      </c>
      <c r="AH1986" s="276">
        <f t="shared" si="217"/>
        <v>0</v>
      </c>
      <c r="AI1986" s="283">
        <f t="shared" si="218"/>
        <v>0</v>
      </c>
    </row>
    <row r="1987" spans="1:35" ht="30" x14ac:dyDescent="0.25">
      <c r="A1987" s="275">
        <f>'Profits 2016'!A7202</f>
        <v>3005650</v>
      </c>
      <c r="B1987" s="279">
        <f>'Profits 2016'!B7202</f>
        <v>42690</v>
      </c>
      <c r="C1987" s="276">
        <f>'Profits 2016'!H7202</f>
        <v>351</v>
      </c>
      <c r="D1987" s="280">
        <f>'Profits 2016'!K7202</f>
        <v>298.35000000000002</v>
      </c>
      <c r="E1987" s="276">
        <f>'Profits 2016'!L7202</f>
        <v>1383</v>
      </c>
      <c r="F1987" s="275" t="str">
        <f>'Profits 2016'!P7202</f>
        <v>West Virginia</v>
      </c>
      <c r="G1987" s="292">
        <f>'Profits 2016'!N7202-'Profits 2016'!M7202</f>
        <v>276.60000000000002</v>
      </c>
      <c r="H1987" s="331"/>
      <c r="I1987" s="332"/>
      <c r="J1987" s="333"/>
      <c r="K1987" s="333"/>
      <c r="L1987" s="333"/>
      <c r="M1987" s="331"/>
      <c r="N1987" s="334"/>
      <c r="O1987" s="236" t="str">
        <f>'Profits 2016'!T7202</f>
        <v>FEDEX FREIGHT</v>
      </c>
      <c r="P1987" s="284" t="str">
        <f>'Profits 2016'!U7202</f>
        <v>3666131781</v>
      </c>
      <c r="AF1987" s="276">
        <f t="shared" si="215"/>
        <v>276.60000000000002</v>
      </c>
      <c r="AG1987" s="276">
        <f t="shared" si="216"/>
        <v>0</v>
      </c>
      <c r="AH1987" s="276">
        <f t="shared" si="217"/>
        <v>298.35000000000002</v>
      </c>
      <c r="AI1987" s="283">
        <f t="shared" si="218"/>
        <v>1.0786334056399132</v>
      </c>
    </row>
    <row r="1988" spans="1:35" ht="30" x14ac:dyDescent="0.25">
      <c r="A1988" s="275">
        <f>'Profits 2016'!A7203</f>
        <v>3005651</v>
      </c>
      <c r="B1988" s="279">
        <f>'Profits 2016'!B7203</f>
        <v>42691</v>
      </c>
      <c r="C1988" s="276">
        <f>'Profits 2016'!H7203</f>
        <v>308.8</v>
      </c>
      <c r="D1988" s="280">
        <f>'Profits 2016'!K7203</f>
        <v>274.84080000000006</v>
      </c>
      <c r="E1988" s="276">
        <f>'Profits 2016'!L7203</f>
        <v>510</v>
      </c>
      <c r="F1988" s="275" t="str">
        <f>'Profits 2016'!P7203</f>
        <v>Nassau</v>
      </c>
      <c r="G1988" s="292">
        <f>'Profits 2016'!N7203-'Profits 2016'!M7203</f>
        <v>165.75</v>
      </c>
      <c r="H1988" s="319"/>
      <c r="I1988" s="320"/>
      <c r="J1988" s="321"/>
      <c r="K1988" s="321"/>
      <c r="L1988" s="321"/>
      <c r="M1988" s="319"/>
      <c r="N1988" s="322"/>
      <c r="O1988" s="236" t="str">
        <f>'Profits 2016'!T7203</f>
        <v>FEDEX GROUND</v>
      </c>
      <c r="P1988" s="284" t="str">
        <f>'Profits 2016'!U7203</f>
        <v>702723292925</v>
      </c>
      <c r="AF1988" s="276">
        <f t="shared" si="215"/>
        <v>165.75</v>
      </c>
      <c r="AG1988" s="276">
        <f t="shared" si="216"/>
        <v>0</v>
      </c>
      <c r="AH1988" s="276">
        <f t="shared" si="217"/>
        <v>274.84080000000006</v>
      </c>
      <c r="AI1988" s="283">
        <f t="shared" si="218"/>
        <v>1.6581647058823532</v>
      </c>
    </row>
    <row r="1989" spans="1:35" ht="30" x14ac:dyDescent="0.25">
      <c r="A1989" s="275">
        <f>'Profits 2016'!A7204</f>
        <v>3005652</v>
      </c>
      <c r="B1989" s="279">
        <f>'Profits 2016'!B7204</f>
        <v>42691</v>
      </c>
      <c r="C1989" s="276">
        <f>'Profits 2016'!H7204</f>
        <v>140.30000000000001</v>
      </c>
      <c r="D1989" s="280">
        <f>'Profits 2016'!K7204</f>
        <v>124.70730000000002</v>
      </c>
      <c r="E1989" s="276">
        <f>'Profits 2016'!L7204</f>
        <v>300</v>
      </c>
      <c r="F1989" s="275" t="str">
        <f>'Profits 2016'!P7204</f>
        <v>Nassau</v>
      </c>
      <c r="G1989" s="292">
        <f>'Profits 2016'!N7204-'Profits 2016'!M7204</f>
        <v>60</v>
      </c>
      <c r="H1989" s="319"/>
      <c r="I1989" s="320"/>
      <c r="J1989" s="321"/>
      <c r="K1989" s="321"/>
      <c r="L1989" s="321"/>
      <c r="M1989" s="319"/>
      <c r="N1989" s="322"/>
      <c r="O1989" s="236" t="str">
        <f>'Profits 2016'!T7204</f>
        <v>FEDEX GROUND</v>
      </c>
      <c r="P1989" s="284" t="str">
        <f>'Profits 2016'!U7204</f>
        <v>680483361284</v>
      </c>
      <c r="AF1989" s="276">
        <f t="shared" si="215"/>
        <v>60</v>
      </c>
      <c r="AG1989" s="276">
        <f t="shared" si="216"/>
        <v>0</v>
      </c>
      <c r="AH1989" s="276">
        <f t="shared" si="217"/>
        <v>124.70730000000002</v>
      </c>
      <c r="AI1989" s="283">
        <f t="shared" si="218"/>
        <v>2.0784550000000004</v>
      </c>
    </row>
    <row r="1990" spans="1:35" ht="30" x14ac:dyDescent="0.25">
      <c r="A1990" s="275">
        <f>'Profits 2016'!A7205</f>
        <v>3005653</v>
      </c>
      <c r="B1990" s="279">
        <f>'Profits 2016'!B7205</f>
        <v>42691</v>
      </c>
      <c r="C1990" s="276">
        <f>'Profits 2016'!H7205</f>
        <v>230</v>
      </c>
      <c r="D1990" s="280">
        <f>'Profits 2016'!K7205</f>
        <v>204.63000000000002</v>
      </c>
      <c r="E1990" s="276">
        <f>'Profits 2016'!L7205</f>
        <v>220</v>
      </c>
      <c r="F1990" s="275" t="str">
        <f>'Profits 2016'!P7205</f>
        <v>Nassau</v>
      </c>
      <c r="G1990" s="292">
        <f>'Profits 2016'!N7205-'Profits 2016'!M7205</f>
        <v>110</v>
      </c>
      <c r="H1990" s="319"/>
      <c r="I1990" s="320"/>
      <c r="J1990" s="321"/>
      <c r="K1990" s="321"/>
      <c r="L1990" s="321"/>
      <c r="M1990" s="319"/>
      <c r="N1990" s="322"/>
      <c r="O1990" s="236" t="str">
        <f>'Profits 2016'!T7205</f>
        <v>FEDEX GROUND</v>
      </c>
      <c r="P1990" s="284" t="str">
        <f>'Profits 2016'!U7205</f>
        <v>702723292888</v>
      </c>
      <c r="AF1990" s="276">
        <f t="shared" si="215"/>
        <v>110</v>
      </c>
      <c r="AG1990" s="276">
        <f t="shared" si="216"/>
        <v>0</v>
      </c>
      <c r="AH1990" s="276">
        <f t="shared" si="217"/>
        <v>204.63000000000002</v>
      </c>
      <c r="AI1990" s="283">
        <f t="shared" si="218"/>
        <v>1.8602727272727275</v>
      </c>
    </row>
    <row r="1991" spans="1:35" ht="30" x14ac:dyDescent="0.25">
      <c r="A1991" s="275">
        <f>'Profits 2016'!A7206</f>
        <v>3005654</v>
      </c>
      <c r="B1991" s="279">
        <f>'Profits 2016'!B7206</f>
        <v>42691</v>
      </c>
      <c r="C1991" s="276">
        <f>'Profits 2016'!H7206</f>
        <v>450</v>
      </c>
      <c r="D1991" s="280">
        <f>'Profits 2016'!K7206</f>
        <v>400.65</v>
      </c>
      <c r="E1991" s="276">
        <f>'Profits 2016'!L7206</f>
        <v>2150</v>
      </c>
      <c r="F1991" s="275" t="str">
        <f>'Profits 2016'!P7206</f>
        <v>Nassau</v>
      </c>
      <c r="G1991" s="292">
        <f>'Profits 2016'!N7206-'Profits 2016'!M7206</f>
        <v>215</v>
      </c>
      <c r="H1991" s="319"/>
      <c r="I1991" s="320"/>
      <c r="J1991" s="321"/>
      <c r="K1991" s="321"/>
      <c r="L1991" s="321"/>
      <c r="M1991" s="319"/>
      <c r="N1991" s="322"/>
      <c r="O1991" s="236" t="str">
        <f>'Profits 2016'!T7206</f>
        <v>FEDEX GROUND</v>
      </c>
      <c r="P1991" s="284" t="str">
        <f>'Profits 2016'!U7206</f>
        <v>702723292903</v>
      </c>
      <c r="AF1991" s="276">
        <f t="shared" si="215"/>
        <v>215</v>
      </c>
      <c r="AG1991" s="276">
        <f t="shared" si="216"/>
        <v>0</v>
      </c>
      <c r="AH1991" s="276">
        <f t="shared" si="217"/>
        <v>400.65</v>
      </c>
      <c r="AI1991" s="283">
        <f t="shared" si="218"/>
        <v>1.8634883720930231</v>
      </c>
    </row>
    <row r="1992" spans="1:35" ht="30" x14ac:dyDescent="0.25">
      <c r="A1992" s="275">
        <f>'Profits 2016'!A7207</f>
        <v>3005655</v>
      </c>
      <c r="B1992" s="279">
        <f>'Profits 2016'!B7207</f>
        <v>42691</v>
      </c>
      <c r="C1992" s="276">
        <f>'Profits 2016'!H7207</f>
        <v>370</v>
      </c>
      <c r="D1992" s="280">
        <f>'Profits 2016'!K7207</f>
        <v>329.37</v>
      </c>
      <c r="E1992" s="276">
        <f>'Profits 2016'!L7207</f>
        <v>3300</v>
      </c>
      <c r="F1992" s="275" t="str">
        <f>'Profits 2016'!P7207</f>
        <v>Nassau</v>
      </c>
      <c r="G1992" s="292">
        <f>'Profits 2016'!N7207-'Profits 2016'!M7207</f>
        <v>165</v>
      </c>
      <c r="H1992" s="319"/>
      <c r="I1992" s="320"/>
      <c r="J1992" s="321"/>
      <c r="K1992" s="321"/>
      <c r="L1992" s="321"/>
      <c r="M1992" s="319"/>
      <c r="N1992" s="322"/>
      <c r="O1992" s="236" t="str">
        <f>'Profits 2016'!T7207</f>
        <v>FEDEX GROUND</v>
      </c>
      <c r="P1992" s="284" t="str">
        <f>'Profits 2016'!U7207</f>
        <v>702723292866</v>
      </c>
      <c r="AF1992" s="276">
        <f t="shared" si="215"/>
        <v>165</v>
      </c>
      <c r="AG1992" s="276">
        <f t="shared" si="216"/>
        <v>0</v>
      </c>
      <c r="AH1992" s="276">
        <f t="shared" si="217"/>
        <v>329.37</v>
      </c>
      <c r="AI1992" s="283">
        <f t="shared" si="218"/>
        <v>1.9961818181818183</v>
      </c>
    </row>
    <row r="1993" spans="1:35" ht="30" x14ac:dyDescent="0.25">
      <c r="A1993" s="275">
        <f>'Profits 2016'!A7208</f>
        <v>3005656</v>
      </c>
      <c r="B1993" s="279">
        <f>'Profits 2016'!B7208</f>
        <v>42691</v>
      </c>
      <c r="C1993" s="276">
        <f>'Profits 2016'!H7208</f>
        <v>216.09</v>
      </c>
      <c r="D1993" s="280">
        <f>'Profits 2016'!K7208</f>
        <v>192.23618999999999</v>
      </c>
      <c r="E1993" s="276">
        <f>'Profits 2016'!L7208</f>
        <v>950</v>
      </c>
      <c r="F1993" s="275" t="str">
        <f>'Profits 2016'!P7208</f>
        <v>Nassau</v>
      </c>
      <c r="G1993" s="292">
        <f>'Profits 2016'!N7208-'Profits 2016'!M7208</f>
        <v>95</v>
      </c>
      <c r="H1993" s="319"/>
      <c r="I1993" s="320"/>
      <c r="J1993" s="321"/>
      <c r="K1993" s="321"/>
      <c r="L1993" s="321"/>
      <c r="M1993" s="319"/>
      <c r="N1993" s="322"/>
      <c r="O1993" s="236" t="str">
        <f>'Profits 2016'!T7208</f>
        <v>FEDEX GROUND</v>
      </c>
      <c r="P1993" s="284" t="str">
        <f>'Profits 2016'!U7208</f>
        <v>702723292855</v>
      </c>
      <c r="AF1993" s="276">
        <f t="shared" si="215"/>
        <v>95</v>
      </c>
      <c r="AG1993" s="276">
        <f t="shared" si="216"/>
        <v>0</v>
      </c>
      <c r="AH1993" s="276">
        <f t="shared" si="217"/>
        <v>192.23618999999999</v>
      </c>
      <c r="AI1993" s="283">
        <f t="shared" si="218"/>
        <v>2.0235388421052631</v>
      </c>
    </row>
    <row r="1994" spans="1:35" ht="30" x14ac:dyDescent="0.25">
      <c r="A1994" s="275">
        <f>'Profits 2016'!A7209</f>
        <v>3005657</v>
      </c>
      <c r="B1994" s="279">
        <f>'Profits 2016'!B7209</f>
        <v>42691</v>
      </c>
      <c r="C1994" s="276">
        <f>'Profits 2016'!H7209</f>
        <v>147.12</v>
      </c>
      <c r="D1994" s="280">
        <f>'Profits 2016'!K7209</f>
        <v>130.78391999999999</v>
      </c>
      <c r="E1994" s="276">
        <f>'Profits 2016'!L7209</f>
        <v>235</v>
      </c>
      <c r="F1994" s="275" t="str">
        <f>'Profits 2016'!P7209</f>
        <v>Nassau</v>
      </c>
      <c r="G1994" s="292">
        <f>'Profits 2016'!N7209-'Profits 2016'!M7209</f>
        <v>47</v>
      </c>
      <c r="H1994" s="319"/>
      <c r="I1994" s="320"/>
      <c r="J1994" s="321"/>
      <c r="K1994" s="321"/>
      <c r="L1994" s="321"/>
      <c r="M1994" s="319"/>
      <c r="N1994" s="322"/>
      <c r="O1994" s="236" t="str">
        <f>'Profits 2016'!T7209</f>
        <v>FEDEX GROUND</v>
      </c>
      <c r="P1994" s="284" t="str">
        <f>'Profits 2016'!U7209</f>
        <v>702723292936</v>
      </c>
      <c r="AF1994" s="276">
        <f t="shared" si="215"/>
        <v>47</v>
      </c>
      <c r="AG1994" s="276">
        <f t="shared" si="216"/>
        <v>0</v>
      </c>
      <c r="AH1994" s="276">
        <f t="shared" si="217"/>
        <v>130.78391999999999</v>
      </c>
      <c r="AI1994" s="283">
        <f t="shared" si="218"/>
        <v>2.7826365957446808</v>
      </c>
    </row>
    <row r="1995" spans="1:35" ht="30" x14ac:dyDescent="0.25">
      <c r="A1995" s="275">
        <f>'Profits 2016'!A7210</f>
        <v>3005658</v>
      </c>
      <c r="B1995" s="279">
        <f>'Profits 2016'!B7210</f>
        <v>42691</v>
      </c>
      <c r="C1995" s="276">
        <f>'Profits 2016'!H7210</f>
        <v>186</v>
      </c>
      <c r="D1995" s="280">
        <f>'Profits 2016'!K7210</f>
        <v>158.1</v>
      </c>
      <c r="E1995" s="276">
        <f>'Profits 2016'!L7210</f>
        <v>205</v>
      </c>
      <c r="F1995" s="275" t="str">
        <f>'Profits 2016'!P7210</f>
        <v>Nassau</v>
      </c>
      <c r="G1995" s="292">
        <f>'Profits 2016'!N7210-'Profits 2016'!M7210</f>
        <v>102.5</v>
      </c>
      <c r="H1995" s="319"/>
      <c r="I1995" s="320"/>
      <c r="J1995" s="321"/>
      <c r="K1995" s="321"/>
      <c r="L1995" s="321"/>
      <c r="M1995" s="319"/>
      <c r="N1995" s="322"/>
      <c r="O1995" s="236" t="str">
        <f>'Profits 2016'!T7210</f>
        <v>FEDEX GROUND</v>
      </c>
      <c r="P1995" s="284" t="str">
        <f>'Profits 2016'!U7210</f>
        <v>702723292877</v>
      </c>
      <c r="AF1995" s="276">
        <f t="shared" si="215"/>
        <v>102.5</v>
      </c>
      <c r="AG1995" s="276">
        <f t="shared" si="216"/>
        <v>0</v>
      </c>
      <c r="AH1995" s="276">
        <f t="shared" si="217"/>
        <v>158.1</v>
      </c>
      <c r="AI1995" s="283">
        <f t="shared" si="218"/>
        <v>1.5424390243902439</v>
      </c>
    </row>
    <row r="1996" spans="1:35" ht="30" x14ac:dyDescent="0.25">
      <c r="A1996" s="275">
        <f>'Profits 2016'!A7211</f>
        <v>3005659</v>
      </c>
      <c r="B1996" s="279">
        <f>'Profits 2016'!B7211</f>
        <v>42691</v>
      </c>
      <c r="C1996" s="276">
        <f>'Profits 2016'!H7211</f>
        <v>110</v>
      </c>
      <c r="D1996" s="280">
        <f>'Profits 2016'!K7211</f>
        <v>93.5</v>
      </c>
      <c r="E1996" s="276">
        <f>'Profits 2016'!L7211</f>
        <v>424</v>
      </c>
      <c r="F1996" s="275" t="str">
        <f>'Profits 2016'!P7211</f>
        <v>Nassau</v>
      </c>
      <c r="G1996" s="292">
        <f>'Profits 2016'!N7211-'Profits 2016'!M7211</f>
        <v>42.400000000000006</v>
      </c>
      <c r="H1996" s="319"/>
      <c r="I1996" s="320"/>
      <c r="J1996" s="321"/>
      <c r="K1996" s="321"/>
      <c r="L1996" s="321"/>
      <c r="M1996" s="319"/>
      <c r="N1996" s="322"/>
      <c r="O1996" s="236" t="str">
        <f>'Profits 2016'!T7211</f>
        <v>FEDEX GROUND</v>
      </c>
      <c r="P1996" s="284" t="str">
        <f>'Profits 2016'!U7211</f>
        <v>702723292958</v>
      </c>
      <c r="AF1996" s="276">
        <f t="shared" si="215"/>
        <v>42.400000000000006</v>
      </c>
      <c r="AG1996" s="276">
        <f t="shared" si="216"/>
        <v>0</v>
      </c>
      <c r="AH1996" s="276">
        <f t="shared" si="217"/>
        <v>93.5</v>
      </c>
      <c r="AI1996" s="283">
        <f t="shared" si="218"/>
        <v>2.2051886792452828</v>
      </c>
    </row>
    <row r="1997" spans="1:35" ht="30" x14ac:dyDescent="0.25">
      <c r="A1997" s="275">
        <f>'Profits 2016'!A7212</f>
        <v>3005660</v>
      </c>
      <c r="B1997" s="279">
        <f>'Profits 2016'!B7212</f>
        <v>42691</v>
      </c>
      <c r="C1997" s="276">
        <f>'Profits 2016'!H7212</f>
        <v>3744</v>
      </c>
      <c r="D1997" s="280">
        <f>'Profits 2016'!K7212</f>
        <v>3744</v>
      </c>
      <c r="E1997" s="276">
        <f>'Profits 2016'!L7212</f>
        <v>2015</v>
      </c>
      <c r="F1997" s="275" t="str">
        <f>'Profits 2016'!P7212</f>
        <v>Nassau</v>
      </c>
      <c r="G1997" s="292">
        <f>'Profits 2016'!N7212-'Profits 2016'!M7212</f>
        <v>1007.5</v>
      </c>
      <c r="H1997" s="319"/>
      <c r="I1997" s="320"/>
      <c r="J1997" s="321"/>
      <c r="K1997" s="321"/>
      <c r="L1997" s="321"/>
      <c r="M1997" s="319"/>
      <c r="N1997" s="322"/>
      <c r="O1997" s="236" t="str">
        <f>'Profits 2016'!T7212</f>
        <v>NEW PENN/DLS</v>
      </c>
      <c r="P1997" s="284" t="str">
        <f>'Profits 2016'!U7212</f>
        <v>88669412-4</v>
      </c>
      <c r="Q1997" s="284" t="s">
        <v>15804</v>
      </c>
      <c r="R1997" s="276">
        <v>242.76</v>
      </c>
      <c r="S1997" s="275">
        <v>636996346</v>
      </c>
      <c r="T1997" s="279">
        <v>42697</v>
      </c>
      <c r="U1997" s="279">
        <v>42702</v>
      </c>
      <c r="AF1997" s="276">
        <f t="shared" si="215"/>
        <v>1250.26</v>
      </c>
      <c r="AG1997" s="276">
        <f t="shared" si="216"/>
        <v>242.76</v>
      </c>
      <c r="AH1997" s="276">
        <f t="shared" si="217"/>
        <v>3501.24</v>
      </c>
      <c r="AI1997" s="283">
        <f t="shared" si="218"/>
        <v>2.8004095148209172</v>
      </c>
    </row>
    <row r="1998" spans="1:35" x14ac:dyDescent="0.25">
      <c r="A1998" s="275">
        <f>'Profits 2016'!A7213</f>
        <v>0</v>
      </c>
      <c r="B1998" s="279">
        <f>'Profits 2016'!B7213</f>
        <v>0</v>
      </c>
      <c r="C1998" s="276">
        <f>'Profits 2016'!H7213</f>
        <v>0</v>
      </c>
      <c r="D1998" s="280">
        <f>'Profits 2016'!K7213</f>
        <v>0</v>
      </c>
      <c r="E1998" s="276">
        <f>'Profits 2016'!L7213</f>
        <v>431</v>
      </c>
      <c r="F1998" s="275" t="str">
        <f>'Profits 2016'!P7213</f>
        <v>Nassau</v>
      </c>
      <c r="G1998" s="292">
        <f>'Profits 2016'!N7213-'Profits 2016'!M7213</f>
        <v>215.5</v>
      </c>
      <c r="H1998" s="319"/>
      <c r="I1998" s="320"/>
      <c r="J1998" s="321"/>
      <c r="K1998" s="321"/>
      <c r="L1998" s="321"/>
      <c r="M1998" s="319"/>
      <c r="N1998" s="322"/>
      <c r="O1998" s="236">
        <f>'Profits 2016'!T7213</f>
        <v>0</v>
      </c>
      <c r="P1998" s="284">
        <f>'Profits 2016'!U7213</f>
        <v>0</v>
      </c>
      <c r="Q1998" s="284" t="s">
        <v>15804</v>
      </c>
      <c r="R1998" s="276">
        <v>0</v>
      </c>
      <c r="S1998" s="275">
        <v>636996346</v>
      </c>
      <c r="T1998" s="279">
        <v>42697</v>
      </c>
      <c r="U1998" s="279">
        <v>42702</v>
      </c>
      <c r="AF1998" s="276">
        <f t="shared" si="215"/>
        <v>215.5</v>
      </c>
      <c r="AG1998" s="276">
        <f t="shared" si="216"/>
        <v>0</v>
      </c>
      <c r="AH1998" s="276">
        <f t="shared" si="217"/>
        <v>0</v>
      </c>
      <c r="AI1998" s="283">
        <f t="shared" si="218"/>
        <v>0</v>
      </c>
    </row>
    <row r="1999" spans="1:35" x14ac:dyDescent="0.25">
      <c r="A1999" s="275">
        <f>'Profits 2016'!A7214</f>
        <v>0</v>
      </c>
      <c r="B1999" s="279">
        <f>'Profits 2016'!B7214</f>
        <v>0</v>
      </c>
      <c r="C1999" s="276">
        <f>'Profits 2016'!H7214</f>
        <v>0</v>
      </c>
      <c r="D1999" s="280">
        <f>'Profits 2016'!K7214</f>
        <v>0</v>
      </c>
      <c r="E1999" s="276">
        <f>'Profits 2016'!L7214</f>
        <v>909</v>
      </c>
      <c r="F1999" s="275" t="str">
        <f>'Profits 2016'!P7214</f>
        <v>Nassau</v>
      </c>
      <c r="G1999" s="292">
        <f>'Profits 2016'!N7214-'Profits 2016'!M7214</f>
        <v>909</v>
      </c>
      <c r="H1999" s="319"/>
      <c r="I1999" s="320"/>
      <c r="J1999" s="321"/>
      <c r="K1999" s="321"/>
      <c r="L1999" s="321"/>
      <c r="M1999" s="319"/>
      <c r="N1999" s="322"/>
      <c r="O1999" s="236">
        <f>'Profits 2016'!T7214</f>
        <v>0</v>
      </c>
      <c r="P1999" s="284">
        <f>'Profits 2016'!U7214</f>
        <v>0</v>
      </c>
      <c r="Q1999" s="284" t="s">
        <v>15804</v>
      </c>
      <c r="R1999" s="276">
        <v>0</v>
      </c>
      <c r="S1999" s="275">
        <v>636996346</v>
      </c>
      <c r="T1999" s="279">
        <v>42697</v>
      </c>
      <c r="U1999" s="279">
        <v>42702</v>
      </c>
      <c r="AF1999" s="276">
        <f t="shared" si="215"/>
        <v>909</v>
      </c>
      <c r="AG1999" s="276">
        <f t="shared" si="216"/>
        <v>0</v>
      </c>
      <c r="AH1999" s="276">
        <f t="shared" si="217"/>
        <v>0</v>
      </c>
      <c r="AI1999" s="283">
        <f t="shared" si="218"/>
        <v>0</v>
      </c>
    </row>
    <row r="2000" spans="1:35" x14ac:dyDescent="0.25">
      <c r="A2000" s="275">
        <f>'Profits 2016'!A7215</f>
        <v>0</v>
      </c>
      <c r="B2000" s="279">
        <f>'Profits 2016'!B7215</f>
        <v>0</v>
      </c>
      <c r="C2000" s="276">
        <f>'Profits 2016'!H7215</f>
        <v>0</v>
      </c>
      <c r="D2000" s="280">
        <f>'Profits 2016'!K7215</f>
        <v>0</v>
      </c>
      <c r="E2000" s="276">
        <f>'Profits 2016'!L7215</f>
        <v>616</v>
      </c>
      <c r="F2000" s="275" t="str">
        <f>'Profits 2016'!P7215</f>
        <v>Nassau</v>
      </c>
      <c r="G2000" s="292">
        <f>'Profits 2016'!N7215-'Profits 2016'!M7215</f>
        <v>616</v>
      </c>
      <c r="H2000" s="319"/>
      <c r="I2000" s="320"/>
      <c r="J2000" s="321"/>
      <c r="K2000" s="321"/>
      <c r="L2000" s="321"/>
      <c r="M2000" s="319"/>
      <c r="N2000" s="322"/>
      <c r="O2000" s="236">
        <f>'Profits 2016'!T7215</f>
        <v>0</v>
      </c>
      <c r="P2000" s="284">
        <f>'Profits 2016'!U7215</f>
        <v>0</v>
      </c>
      <c r="Q2000" s="284" t="s">
        <v>15804</v>
      </c>
      <c r="R2000" s="276">
        <v>0</v>
      </c>
      <c r="S2000" s="275">
        <v>636996346</v>
      </c>
      <c r="T2000" s="279">
        <v>42697</v>
      </c>
      <c r="U2000" s="279">
        <v>42702</v>
      </c>
      <c r="AF2000" s="276">
        <f t="shared" si="215"/>
        <v>616</v>
      </c>
      <c r="AG2000" s="276">
        <f t="shared" si="216"/>
        <v>0</v>
      </c>
      <c r="AH2000" s="276">
        <f t="shared" si="217"/>
        <v>0</v>
      </c>
      <c r="AI2000" s="283">
        <f t="shared" si="218"/>
        <v>0</v>
      </c>
    </row>
    <row r="2001" spans="1:35" x14ac:dyDescent="0.25">
      <c r="A2001" s="275">
        <f>'Profits 2016'!A7216</f>
        <v>3005661</v>
      </c>
      <c r="B2001" s="279">
        <f>'Profits 2016'!B7216</f>
        <v>42691</v>
      </c>
      <c r="C2001" s="276">
        <f>'Profits 2016'!H7216</f>
        <v>370</v>
      </c>
      <c r="D2001" s="280">
        <f>'Profits 2016'!K7216</f>
        <v>361.56</v>
      </c>
      <c r="E2001" s="276">
        <f>'Profits 2016'!L7216</f>
        <v>1340</v>
      </c>
      <c r="F2001" s="275" t="str">
        <f>'Profits 2016'!P7216</f>
        <v>Priority</v>
      </c>
      <c r="G2001" s="292">
        <f>'Profits 2016'!N7216-'Profits 2016'!M7216</f>
        <v>294.8</v>
      </c>
      <c r="H2001" s="331">
        <v>0</v>
      </c>
      <c r="I2001" s="332">
        <v>1078274</v>
      </c>
      <c r="J2001" s="333">
        <v>42692</v>
      </c>
      <c r="K2001" s="333">
        <v>42702</v>
      </c>
      <c r="L2001" s="333"/>
      <c r="M2001" s="331"/>
      <c r="N2001" s="334"/>
      <c r="O2001" s="236" t="str">
        <f>'Profits 2016'!T7216</f>
        <v>VOLPE</v>
      </c>
      <c r="P2001" s="284" t="str">
        <f>'Profits 2016'!U7216</f>
        <v>33110512</v>
      </c>
      <c r="Q2001" s="284" t="s">
        <v>15740</v>
      </c>
      <c r="R2001" s="276">
        <v>105</v>
      </c>
      <c r="S2001" s="332">
        <v>1078274</v>
      </c>
      <c r="T2001" s="333">
        <v>42692</v>
      </c>
      <c r="U2001" s="333">
        <v>42702</v>
      </c>
      <c r="AF2001" s="276">
        <f t="shared" si="215"/>
        <v>399.8</v>
      </c>
      <c r="AG2001" s="276">
        <f t="shared" si="216"/>
        <v>105</v>
      </c>
      <c r="AH2001" s="276">
        <f t="shared" si="217"/>
        <v>256.56</v>
      </c>
      <c r="AI2001" s="283">
        <f t="shared" si="218"/>
        <v>0.64172086043021515</v>
      </c>
    </row>
    <row r="2002" spans="1:35" ht="30" x14ac:dyDescent="0.25">
      <c r="A2002" s="275">
        <f>'Profits 2016'!A7217</f>
        <v>3005662</v>
      </c>
      <c r="B2002" s="279">
        <f>'Profits 2016'!B7217</f>
        <v>42691</v>
      </c>
      <c r="C2002" s="276">
        <f>'Profits 2016'!H7217</f>
        <v>450.62</v>
      </c>
      <c r="D2002" s="280">
        <f>'Profits 2016'!K7217</f>
        <v>401.20242000000002</v>
      </c>
      <c r="E2002" s="276">
        <f>'Profits 2016'!L7217</f>
        <v>900</v>
      </c>
      <c r="F2002" s="275" t="str">
        <f>'Profits 2016'!P7217</f>
        <v>Nassau</v>
      </c>
      <c r="G2002" s="292">
        <f>'Profits 2016'!N7217-'Profits 2016'!M7217</f>
        <v>225</v>
      </c>
      <c r="H2002" s="319"/>
      <c r="I2002" s="320"/>
      <c r="J2002" s="321"/>
      <c r="K2002" s="321"/>
      <c r="L2002" s="321"/>
      <c r="M2002" s="319"/>
      <c r="N2002" s="322"/>
      <c r="O2002" s="236" t="str">
        <f>'Profits 2016'!T7217</f>
        <v>FEDEX GROUND</v>
      </c>
      <c r="P2002" s="284" t="str">
        <f>'Profits 2016'!U7217</f>
        <v>702723292947</v>
      </c>
      <c r="AF2002" s="276">
        <f t="shared" si="215"/>
        <v>265</v>
      </c>
      <c r="AG2002" s="276">
        <f t="shared" si="216"/>
        <v>0</v>
      </c>
      <c r="AH2002" s="276">
        <f t="shared" si="217"/>
        <v>401.20242000000002</v>
      </c>
      <c r="AI2002" s="283">
        <f t="shared" si="218"/>
        <v>1.5139713962264152</v>
      </c>
    </row>
    <row r="2003" spans="1:35" x14ac:dyDescent="0.25">
      <c r="A2003" s="275">
        <f>'Profits 2016'!A7218</f>
        <v>3005663</v>
      </c>
      <c r="B2003" s="279">
        <f>'Profits 2016'!B7218</f>
        <v>42691</v>
      </c>
      <c r="C2003" s="276">
        <f>'Profits 2016'!H7218</f>
        <v>1885</v>
      </c>
      <c r="D2003" s="280">
        <f>'Profits 2016'!K7218</f>
        <v>1823.4375</v>
      </c>
      <c r="E2003" s="276">
        <f>'Profits 2016'!L7218</f>
        <v>4845.82</v>
      </c>
      <c r="F2003" s="275" t="str">
        <f>'Profits 2016'!P7218</f>
        <v>General</v>
      </c>
      <c r="G2003" s="292">
        <f>'Profits 2016'!N7218-'Profits 2016'!M7218</f>
        <v>1211.4549999999999</v>
      </c>
      <c r="H2003" s="331">
        <v>40</v>
      </c>
      <c r="I2003" s="332">
        <v>3795051</v>
      </c>
      <c r="J2003" s="333">
        <v>42695</v>
      </c>
      <c r="K2003" s="333">
        <v>42702</v>
      </c>
      <c r="L2003" s="333"/>
      <c r="M2003" s="331"/>
      <c r="N2003" s="334"/>
      <c r="O2003" s="236" t="str">
        <f>'Profits 2016'!T7218</f>
        <v>CONWAY</v>
      </c>
      <c r="P2003" s="284">
        <f>'Profits 2016'!U7218</f>
        <v>340398741</v>
      </c>
      <c r="Q2003" s="284" t="s">
        <v>15741</v>
      </c>
      <c r="R2003" s="276">
        <v>181.54</v>
      </c>
      <c r="S2003" s="332">
        <v>3795051</v>
      </c>
      <c r="T2003" s="333">
        <v>42695</v>
      </c>
      <c r="U2003" s="333">
        <v>42702</v>
      </c>
      <c r="AF2003" s="276">
        <f t="shared" si="215"/>
        <v>1392.9949999999999</v>
      </c>
      <c r="AG2003" s="276">
        <f t="shared" si="216"/>
        <v>181.54</v>
      </c>
      <c r="AH2003" s="276">
        <f t="shared" si="217"/>
        <v>1641.8975</v>
      </c>
      <c r="AI2003" s="283">
        <f t="shared" si="218"/>
        <v>1.1786815458777671</v>
      </c>
    </row>
    <row r="2004" spans="1:35" ht="30" x14ac:dyDescent="0.25">
      <c r="A2004" s="275">
        <f>'Profits 2016'!A7219</f>
        <v>3005664</v>
      </c>
      <c r="B2004" s="279">
        <f>'Profits 2016'!B7219</f>
        <v>42691</v>
      </c>
      <c r="C2004" s="276">
        <f>'Profits 2016'!H7219</f>
        <v>200.7</v>
      </c>
      <c r="D2004" s="280">
        <f>'Profits 2016'!K7219</f>
        <v>178.52369999999999</v>
      </c>
      <c r="E2004" s="276">
        <f>'Profits 2016'!L7219</f>
        <v>1050</v>
      </c>
      <c r="F2004" s="275" t="str">
        <f>'Profits 2016'!P7219</f>
        <v>Priority</v>
      </c>
      <c r="G2004" s="292">
        <f>'Profits 2016'!N7219-'Profits 2016'!M7219</f>
        <v>89.25</v>
      </c>
      <c r="H2004" s="331">
        <v>0</v>
      </c>
      <c r="I2004" s="332">
        <v>1078249</v>
      </c>
      <c r="J2004" s="333">
        <v>42692</v>
      </c>
      <c r="K2004" s="333">
        <v>42702</v>
      </c>
      <c r="L2004" s="333"/>
      <c r="M2004" s="331"/>
      <c r="N2004" s="334"/>
      <c r="O2004" s="236" t="str">
        <f>'Profits 2016'!T7219</f>
        <v>FEDEX GROUND</v>
      </c>
      <c r="P2004" s="284" t="str">
        <f>'Profits 2016'!U7219</f>
        <v>711201626862</v>
      </c>
      <c r="Q2004" s="284" t="s">
        <v>15740</v>
      </c>
      <c r="R2004" s="276">
        <v>22.72</v>
      </c>
      <c r="S2004" s="332">
        <v>1078249</v>
      </c>
      <c r="T2004" s="333">
        <v>42692</v>
      </c>
      <c r="U2004" s="333">
        <v>42702</v>
      </c>
      <c r="AF2004" s="276">
        <f t="shared" si="215"/>
        <v>111.97</v>
      </c>
      <c r="AG2004" s="276">
        <f t="shared" si="216"/>
        <v>22.72</v>
      </c>
      <c r="AH2004" s="276">
        <f t="shared" si="217"/>
        <v>155.80369999999999</v>
      </c>
      <c r="AI2004" s="283">
        <f t="shared" si="218"/>
        <v>1.3914771813878717</v>
      </c>
    </row>
    <row r="2005" spans="1:35" ht="30" x14ac:dyDescent="0.25">
      <c r="A2005" s="275">
        <f>'Profits 2016'!A7220</f>
        <v>3005665</v>
      </c>
      <c r="B2005" s="279">
        <f>'Profits 2016'!B7220</f>
        <v>42691</v>
      </c>
      <c r="C2005" s="276">
        <f>'Profits 2016'!H7220</f>
        <v>503</v>
      </c>
      <c r="D2005" s="280">
        <f>'Profits 2016'!K7220</f>
        <v>486.35250000000002</v>
      </c>
      <c r="E2005" s="276">
        <f>'Profits 2016'!L7220</f>
        <v>330</v>
      </c>
      <c r="F2005" s="275" t="str">
        <f>'Profits 2016'!P7220</f>
        <v>Nassau</v>
      </c>
      <c r="G2005" s="292">
        <f>'Profits 2016'!N7220-'Profits 2016'!M7220</f>
        <v>165</v>
      </c>
      <c r="H2005" s="319"/>
      <c r="I2005" s="320"/>
      <c r="J2005" s="321"/>
      <c r="K2005" s="321"/>
      <c r="L2005" s="321"/>
      <c r="M2005" s="319"/>
      <c r="N2005" s="322"/>
      <c r="O2005" s="236" t="str">
        <f>'Profits 2016'!T7220</f>
        <v>FEDEX GROUND</v>
      </c>
      <c r="P2005" s="284" t="str">
        <f>'Profits 2016'!U7220</f>
        <v>702723292899</v>
      </c>
      <c r="AF2005" s="276">
        <f t="shared" si="215"/>
        <v>165</v>
      </c>
      <c r="AG2005" s="276">
        <f t="shared" si="216"/>
        <v>0</v>
      </c>
      <c r="AH2005" s="276">
        <f t="shared" si="217"/>
        <v>486.35250000000002</v>
      </c>
      <c r="AI2005" s="283">
        <f t="shared" si="218"/>
        <v>2.9475909090909092</v>
      </c>
    </row>
    <row r="2006" spans="1:35" ht="30" x14ac:dyDescent="0.25">
      <c r="A2006" s="275">
        <f>'Profits 2016'!A7221</f>
        <v>3005666</v>
      </c>
      <c r="B2006" s="279">
        <f>'Profits 2016'!B7221</f>
        <v>42691</v>
      </c>
      <c r="C2006" s="276">
        <f>'Profits 2016'!H7221</f>
        <v>250</v>
      </c>
      <c r="D2006" s="280">
        <f>'Profits 2016'!K7221</f>
        <v>212.5</v>
      </c>
      <c r="E2006" s="276">
        <f>'Profits 2016'!L7221</f>
        <v>424</v>
      </c>
      <c r="F2006" s="275" t="str">
        <f>'Profits 2016'!P7221</f>
        <v>Nassau</v>
      </c>
      <c r="G2006" s="292">
        <f>'Profits 2016'!N7221-'Profits 2016'!M7221</f>
        <v>106</v>
      </c>
      <c r="H2006" s="319"/>
      <c r="I2006" s="320"/>
      <c r="J2006" s="321"/>
      <c r="K2006" s="321"/>
      <c r="L2006" s="321"/>
      <c r="M2006" s="319"/>
      <c r="N2006" s="322"/>
      <c r="O2006" s="236" t="str">
        <f>'Profits 2016'!T7221</f>
        <v>FEDEX GROUND</v>
      </c>
      <c r="P2006" s="284" t="str">
        <f>'Profits 2016'!U7221</f>
        <v>702723293016</v>
      </c>
      <c r="AF2006" s="276">
        <f t="shared" si="215"/>
        <v>106</v>
      </c>
      <c r="AG2006" s="276">
        <f t="shared" si="216"/>
        <v>0</v>
      </c>
      <c r="AH2006" s="276">
        <f t="shared" si="217"/>
        <v>212.5</v>
      </c>
      <c r="AI2006" s="283">
        <f t="shared" si="218"/>
        <v>2.0047169811320753</v>
      </c>
    </row>
    <row r="2007" spans="1:35" ht="30" x14ac:dyDescent="0.25">
      <c r="A2007" s="275">
        <f>'Profits 2016'!A7222</f>
        <v>3005667</v>
      </c>
      <c r="B2007" s="279">
        <f>'Profits 2016'!B7222</f>
        <v>42691</v>
      </c>
      <c r="C2007" s="276">
        <f>'Profits 2016'!H7222</f>
        <v>496.1</v>
      </c>
      <c r="D2007" s="280">
        <f>'Profits 2016'!K7222</f>
        <v>421.685</v>
      </c>
      <c r="E2007" s="276">
        <f>'Profits 2016'!L7222</f>
        <v>560</v>
      </c>
      <c r="F2007" s="275" t="str">
        <f>'Profits 2016'!P7222</f>
        <v>Nassau</v>
      </c>
      <c r="G2007" s="292">
        <f>'Profits 2016'!N7222-'Profits 2016'!M7222</f>
        <v>140</v>
      </c>
      <c r="H2007" s="319"/>
      <c r="I2007" s="320"/>
      <c r="J2007" s="321"/>
      <c r="K2007" s="321"/>
      <c r="L2007" s="321"/>
      <c r="M2007" s="319"/>
      <c r="N2007" s="322"/>
      <c r="O2007" s="236" t="str">
        <f>'Profits 2016'!T7222</f>
        <v>FEDEX GROUND</v>
      </c>
      <c r="P2007" s="284" t="str">
        <f>'Profits 2016'!U7222</f>
        <v>702723292970</v>
      </c>
      <c r="AF2007" s="276">
        <f t="shared" si="215"/>
        <v>140</v>
      </c>
      <c r="AG2007" s="276">
        <f t="shared" si="216"/>
        <v>0</v>
      </c>
      <c r="AH2007" s="276">
        <f t="shared" si="217"/>
        <v>421.685</v>
      </c>
      <c r="AI2007" s="283">
        <f t="shared" si="218"/>
        <v>3.0120357142857141</v>
      </c>
    </row>
    <row r="2008" spans="1:35" ht="30" x14ac:dyDescent="0.25">
      <c r="A2008" s="275">
        <f>'Profits 2016'!A7224</f>
        <v>3005668</v>
      </c>
      <c r="B2008" s="279">
        <f>'Profits 2016'!B7224</f>
        <v>42691</v>
      </c>
      <c r="C2008" s="276">
        <f>'Profits 2016'!H7224</f>
        <v>189.14</v>
      </c>
      <c r="D2008" s="280">
        <f>'Profits 2016'!K7224</f>
        <v>160.76899999999998</v>
      </c>
      <c r="E2008" s="276">
        <f>'Profits 2016'!L7224</f>
        <v>900</v>
      </c>
      <c r="F2008" s="275" t="str">
        <f>'Profits 2016'!P7224</f>
        <v>Nassau</v>
      </c>
      <c r="G2008" s="292">
        <f>'Profits 2016'!N7224-'Profits 2016'!M7224</f>
        <v>90</v>
      </c>
      <c r="H2008" s="319"/>
      <c r="I2008" s="320"/>
      <c r="J2008" s="321"/>
      <c r="K2008" s="321"/>
      <c r="L2008" s="321"/>
      <c r="M2008" s="319"/>
      <c r="N2008" s="322"/>
      <c r="O2008" s="236" t="str">
        <f>'Profits 2016'!T7224</f>
        <v>FEDEX GROUND</v>
      </c>
      <c r="P2008" s="284" t="str">
        <f>'Profits 2016'!U7224</f>
        <v>702723293005</v>
      </c>
      <c r="AF2008" s="276">
        <f t="shared" si="215"/>
        <v>103.8</v>
      </c>
      <c r="AG2008" s="276">
        <f t="shared" si="216"/>
        <v>0</v>
      </c>
      <c r="AH2008" s="276">
        <f t="shared" si="217"/>
        <v>160.76899999999998</v>
      </c>
      <c r="AI2008" s="283">
        <f t="shared" si="218"/>
        <v>1.5488342967244699</v>
      </c>
    </row>
    <row r="2009" spans="1:35" ht="30" x14ac:dyDescent="0.25">
      <c r="A2009" s="275">
        <f>'Profits 2016'!A7225</f>
        <v>3005669</v>
      </c>
      <c r="B2009" s="279">
        <f>'Profits 2016'!B7225</f>
        <v>42691</v>
      </c>
      <c r="C2009" s="276">
        <f>'Profits 2016'!H7225</f>
        <v>3750</v>
      </c>
      <c r="D2009" s="280">
        <f>'Profits 2016'!K7225</f>
        <v>3627.8249999999998</v>
      </c>
      <c r="E2009" s="276">
        <f>'Profits 2016'!L7225</f>
        <v>1581.33</v>
      </c>
      <c r="F2009" s="275" t="str">
        <f>'Profits 2016'!P7225</f>
        <v>General</v>
      </c>
      <c r="G2009" s="292">
        <f>'Profits 2016'!N7225-'Profits 2016'!M7225</f>
        <v>1581.33</v>
      </c>
      <c r="H2009" s="331">
        <v>13.8</v>
      </c>
      <c r="I2009" s="332">
        <v>3796020</v>
      </c>
      <c r="J2009" s="333">
        <v>42696</v>
      </c>
      <c r="K2009" s="333">
        <v>42702</v>
      </c>
      <c r="L2009" s="333"/>
      <c r="M2009" s="331"/>
      <c r="N2009" s="334"/>
      <c r="O2009" s="236" t="str">
        <f>'Profits 2016'!T7225</f>
        <v>FEDEX FREIGHT</v>
      </c>
      <c r="P2009" s="284">
        <f>'Profits 2016'!U7225</f>
        <v>3947846851</v>
      </c>
      <c r="AF2009" s="276">
        <f t="shared" si="215"/>
        <v>1591.6799999999998</v>
      </c>
      <c r="AG2009" s="276">
        <f t="shared" si="216"/>
        <v>0</v>
      </c>
      <c r="AH2009" s="276">
        <f t="shared" si="217"/>
        <v>3627.8249999999998</v>
      </c>
      <c r="AI2009" s="283">
        <f t="shared" si="218"/>
        <v>2.279242686972256</v>
      </c>
    </row>
    <row r="2010" spans="1:35" x14ac:dyDescent="0.25">
      <c r="A2010" s="275">
        <f>'Profits 2016'!A7226</f>
        <v>0</v>
      </c>
      <c r="B2010" s="279">
        <f>'Profits 2016'!B7226</f>
        <v>0</v>
      </c>
      <c r="C2010" s="276">
        <f>'Profits 2016'!H7226</f>
        <v>0</v>
      </c>
      <c r="D2010" s="280">
        <f>'Profits 2016'!K7226</f>
        <v>0</v>
      </c>
      <c r="E2010" s="276">
        <f>'Profits 2016'!L7226</f>
        <v>1244.83</v>
      </c>
      <c r="F2010" s="275" t="str">
        <f>'Profits 2016'!P7226</f>
        <v>General</v>
      </c>
      <c r="G2010" s="292">
        <f>'Profits 2016'!N7226-'Profits 2016'!M7226</f>
        <v>1244.83</v>
      </c>
      <c r="H2010" s="331">
        <v>10.35</v>
      </c>
      <c r="I2010" s="332">
        <v>3796020</v>
      </c>
      <c r="J2010" s="333">
        <v>42696</v>
      </c>
      <c r="K2010" s="333">
        <v>42702</v>
      </c>
      <c r="L2010" s="333"/>
      <c r="M2010" s="331"/>
      <c r="N2010" s="334"/>
      <c r="O2010" s="236">
        <f>'Profits 2016'!T7226</f>
        <v>0</v>
      </c>
      <c r="P2010" s="284">
        <f>'Profits 2016'!U7226</f>
        <v>0</v>
      </c>
      <c r="AF2010" s="276">
        <f t="shared" si="215"/>
        <v>1244.83</v>
      </c>
      <c r="AG2010" s="276">
        <f t="shared" si="216"/>
        <v>0</v>
      </c>
      <c r="AH2010" s="276">
        <f t="shared" si="217"/>
        <v>0</v>
      </c>
      <c r="AI2010" s="283">
        <f t="shared" si="218"/>
        <v>0</v>
      </c>
    </row>
    <row r="2011" spans="1:35" ht="30" x14ac:dyDescent="0.25">
      <c r="A2011" s="275">
        <f>'Profits 2016'!A7227</f>
        <v>3005670</v>
      </c>
      <c r="B2011" s="279">
        <f>'Profits 2016'!B7227</f>
        <v>42692</v>
      </c>
      <c r="C2011" s="276">
        <f>'Profits 2016'!H7227</f>
        <v>0</v>
      </c>
      <c r="D2011" s="280">
        <f>'Profits 2016'!K7227</f>
        <v>0</v>
      </c>
      <c r="E2011" s="276">
        <f>'Profits 2016'!L7227</f>
        <v>300</v>
      </c>
      <c r="F2011" s="275" t="str">
        <f>'Profits 2016'!P7227</f>
        <v>Nassau</v>
      </c>
      <c r="G2011" s="292">
        <f>'Profits 2016'!N7227-'Profits 2016'!M7227</f>
        <v>75</v>
      </c>
      <c r="H2011" s="319"/>
      <c r="I2011" s="320"/>
      <c r="J2011" s="321"/>
      <c r="K2011" s="321"/>
      <c r="L2011" s="321"/>
      <c r="M2011" s="319"/>
      <c r="N2011" s="322"/>
      <c r="O2011" s="236" t="str">
        <f>'Profits 2016'!T7227</f>
        <v>FEDEX GROUND</v>
      </c>
      <c r="P2011" s="284" t="str">
        <f>'Profits 2016'!U7227</f>
        <v>680483361273</v>
      </c>
      <c r="AF2011" s="276">
        <f t="shared" si="215"/>
        <v>75</v>
      </c>
      <c r="AG2011" s="276">
        <f t="shared" si="216"/>
        <v>0</v>
      </c>
      <c r="AH2011" s="276">
        <f t="shared" si="217"/>
        <v>0</v>
      </c>
      <c r="AI2011" s="283">
        <f t="shared" si="218"/>
        <v>0</v>
      </c>
    </row>
    <row r="2012" spans="1:35" ht="30" x14ac:dyDescent="0.25">
      <c r="A2012" s="275">
        <f>'Profits 2016'!A7228</f>
        <v>3005671</v>
      </c>
      <c r="B2012" s="279">
        <f>'Profits 2016'!B7228</f>
        <v>42692</v>
      </c>
      <c r="C2012" s="276">
        <f>'Profits 2016'!H7228</f>
        <v>270</v>
      </c>
      <c r="D2012" s="280">
        <f>'Profits 2016'!K7228</f>
        <v>240.26999999999998</v>
      </c>
      <c r="E2012" s="276">
        <f>'Profits 2016'!L7228</f>
        <v>140</v>
      </c>
      <c r="F2012" s="275" t="str">
        <f>'Profits 2016'!P7228</f>
        <v>Priority</v>
      </c>
      <c r="G2012" s="292">
        <f>'Profits 2016'!N7228-'Profits 2016'!M7228</f>
        <v>140</v>
      </c>
      <c r="H2012" s="331">
        <v>0</v>
      </c>
      <c r="I2012" s="332">
        <v>1078650</v>
      </c>
      <c r="J2012" s="333">
        <v>42695</v>
      </c>
      <c r="K2012" s="333">
        <v>42702</v>
      </c>
      <c r="L2012" s="333"/>
      <c r="M2012" s="331"/>
      <c r="N2012" s="334"/>
      <c r="O2012" s="236" t="str">
        <f>'Profits 2016'!T7228</f>
        <v>FEDEX GROUND</v>
      </c>
      <c r="P2012" s="284" t="str">
        <f>'Profits 2016'!U7228</f>
        <v xml:space="preserve">	661091352454</v>
      </c>
      <c r="Q2012" s="284" t="s">
        <v>15740</v>
      </c>
      <c r="R2012" s="276">
        <v>14.73</v>
      </c>
      <c r="S2012" s="332">
        <v>1078650</v>
      </c>
      <c r="T2012" s="333">
        <v>42695</v>
      </c>
      <c r="U2012" s="333">
        <v>42702</v>
      </c>
      <c r="AF2012" s="276">
        <f t="shared" si="215"/>
        <v>154.72999999999999</v>
      </c>
      <c r="AG2012" s="276">
        <f t="shared" si="216"/>
        <v>14.73</v>
      </c>
      <c r="AH2012" s="276">
        <f t="shared" si="217"/>
        <v>225.54</v>
      </c>
      <c r="AI2012" s="283">
        <f t="shared" si="218"/>
        <v>1.4576358818587216</v>
      </c>
    </row>
    <row r="2013" spans="1:35" x14ac:dyDescent="0.25">
      <c r="A2013" s="275">
        <f>'Profits 2016'!A7229</f>
        <v>3005672</v>
      </c>
      <c r="B2013" s="279">
        <f>'Profits 2016'!B7229</f>
        <v>42692</v>
      </c>
      <c r="C2013" s="276">
        <f>'Profits 2016'!H7229</f>
        <v>747.21</v>
      </c>
      <c r="D2013" s="280">
        <f>'Profits 2016'!K7229</f>
        <v>665.46411000000001</v>
      </c>
      <c r="E2013" s="276">
        <f>'Profits 2016'!L7229</f>
        <v>1035</v>
      </c>
      <c r="F2013" s="275" t="str">
        <f>'Profits 2016'!P7229</f>
        <v>Nassau</v>
      </c>
      <c r="G2013" s="292">
        <f>'Profits 2016'!N7229-'Profits 2016'!M7229</f>
        <v>310.5</v>
      </c>
      <c r="H2013" s="319"/>
      <c r="I2013" s="320"/>
      <c r="J2013" s="321"/>
      <c r="K2013" s="321"/>
      <c r="L2013" s="321"/>
      <c r="M2013" s="319"/>
      <c r="N2013" s="322"/>
      <c r="O2013" s="236" t="str">
        <f>'Profits 2016'!T7229</f>
        <v>ABF</v>
      </c>
      <c r="P2013" s="284" t="str">
        <f>'Profits 2016'!U7229</f>
        <v>231611213</v>
      </c>
      <c r="Q2013" s="284" t="s">
        <v>15751</v>
      </c>
      <c r="R2013" s="276">
        <v>128.99</v>
      </c>
      <c r="S2013" s="275">
        <v>10046320</v>
      </c>
      <c r="T2013" s="279">
        <v>42692</v>
      </c>
      <c r="U2013" s="279">
        <v>42702</v>
      </c>
      <c r="AF2013" s="276">
        <f t="shared" si="215"/>
        <v>439.49</v>
      </c>
      <c r="AG2013" s="276">
        <f t="shared" si="216"/>
        <v>128.99</v>
      </c>
      <c r="AH2013" s="276">
        <f t="shared" si="217"/>
        <v>536.47411</v>
      </c>
      <c r="AI2013" s="283">
        <f t="shared" si="218"/>
        <v>1.2206742132926802</v>
      </c>
    </row>
    <row r="2014" spans="1:35" ht="30" x14ac:dyDescent="0.25">
      <c r="A2014" s="275">
        <f>'Profits 2016'!A7230</f>
        <v>3005673</v>
      </c>
      <c r="B2014" s="279">
        <f>'Profits 2016'!B7230</f>
        <v>42692</v>
      </c>
      <c r="C2014" s="276">
        <f>'Profits 2016'!H7230</f>
        <v>319</v>
      </c>
      <c r="D2014" s="280">
        <f>'Profits 2016'!K7230</f>
        <v>283.92900000000003</v>
      </c>
      <c r="E2014" s="276">
        <f>'Profits 2016'!L7230</f>
        <v>740</v>
      </c>
      <c r="F2014" s="275" t="str">
        <f>'Profits 2016'!P7230</f>
        <v>Omni</v>
      </c>
      <c r="G2014" s="292">
        <f>'Profits 2016'!N7230-'Profits 2016'!M7230</f>
        <v>185</v>
      </c>
      <c r="H2014" s="331"/>
      <c r="I2014" s="332"/>
      <c r="J2014" s="333"/>
      <c r="K2014" s="333"/>
      <c r="L2014" s="333"/>
      <c r="M2014" s="331"/>
      <c r="N2014" s="334"/>
      <c r="O2014" s="236" t="str">
        <f>'Profits 2016'!T7230</f>
        <v>UPS GROUND</v>
      </c>
      <c r="P2014" s="284" t="str">
        <f>'Profits 2016'!U7230</f>
        <v>1Z1698230377329556</v>
      </c>
      <c r="AF2014" s="276">
        <f t="shared" si="215"/>
        <v>185</v>
      </c>
      <c r="AG2014" s="276">
        <f t="shared" si="216"/>
        <v>0</v>
      </c>
      <c r="AH2014" s="276">
        <f t="shared" si="217"/>
        <v>283.92900000000003</v>
      </c>
      <c r="AI2014" s="283">
        <f t="shared" si="218"/>
        <v>1.5347513513513515</v>
      </c>
    </row>
    <row r="2015" spans="1:35" ht="30" x14ac:dyDescent="0.25">
      <c r="A2015" s="275">
        <f>'Profits 2016'!A7231</f>
        <v>3005674</v>
      </c>
      <c r="B2015" s="279">
        <f>'Profits 2016'!B7231</f>
        <v>42692</v>
      </c>
      <c r="C2015" s="276">
        <f>'Profits 2016'!H7231</f>
        <v>143.55000000000001</v>
      </c>
      <c r="D2015" s="280">
        <f>'Profits 2016'!K7231</f>
        <v>127.60305000000001</v>
      </c>
      <c r="E2015" s="276">
        <f>'Profits 2016'!L7231</f>
        <v>622</v>
      </c>
      <c r="F2015" s="275" t="str">
        <f>'Profits 2016'!P7231</f>
        <v>Nassau</v>
      </c>
      <c r="G2015" s="292">
        <f>'Profits 2016'!N7231-'Profits 2016'!M7231</f>
        <v>62.2</v>
      </c>
      <c r="H2015" s="319"/>
      <c r="I2015" s="320"/>
      <c r="J2015" s="321"/>
      <c r="K2015" s="321"/>
      <c r="L2015" s="321"/>
      <c r="M2015" s="319"/>
      <c r="N2015" s="322"/>
      <c r="O2015" s="236" t="str">
        <f>'Profits 2016'!T7231</f>
        <v>FEDEX GROUND</v>
      </c>
      <c r="P2015" s="284" t="str">
        <f>'Profits 2016'!U7231</f>
        <v>680483361262</v>
      </c>
      <c r="AF2015" s="276">
        <f t="shared" si="215"/>
        <v>62.2</v>
      </c>
      <c r="AG2015" s="276">
        <f t="shared" si="216"/>
        <v>0</v>
      </c>
      <c r="AH2015" s="276">
        <f t="shared" si="217"/>
        <v>127.60305000000001</v>
      </c>
      <c r="AI2015" s="283">
        <f t="shared" si="218"/>
        <v>2.0514959807073954</v>
      </c>
    </row>
    <row r="2016" spans="1:35" x14ac:dyDescent="0.25">
      <c r="A2016" s="275">
        <f>'Profits 2016'!A7232</f>
        <v>3005675</v>
      </c>
      <c r="B2016" s="279">
        <f>'Profits 2016'!B7232</f>
        <v>42692</v>
      </c>
      <c r="C2016" s="276">
        <f>'Profits 2016'!H7232</f>
        <v>846.6</v>
      </c>
      <c r="D2016" s="280">
        <f>'Profits 2016'!K7232</f>
        <v>818.78550000000007</v>
      </c>
      <c r="E2016" s="276">
        <f>'Profits 2016'!L7232</f>
        <v>1035</v>
      </c>
      <c r="F2016" s="275" t="str">
        <f>'Profits 2016'!P7232</f>
        <v>Nassau</v>
      </c>
      <c r="G2016" s="292">
        <f>'Profits 2016'!N7232-'Profits 2016'!M7232</f>
        <v>414</v>
      </c>
      <c r="H2016" s="319"/>
      <c r="I2016" s="320"/>
      <c r="J2016" s="321"/>
      <c r="K2016" s="321"/>
      <c r="L2016" s="321"/>
      <c r="M2016" s="319"/>
      <c r="N2016" s="322"/>
      <c r="O2016" s="236" t="str">
        <f>'Profits 2016'!T7232</f>
        <v>ABF</v>
      </c>
      <c r="P2016" s="284" t="str">
        <f>'Profits 2016'!U7232</f>
        <v>231611214</v>
      </c>
      <c r="Q2016" s="284" t="s">
        <v>15751</v>
      </c>
      <c r="R2016" s="276">
        <v>135.99</v>
      </c>
      <c r="S2016" s="275">
        <v>10046321</v>
      </c>
      <c r="T2016" s="279">
        <v>42692</v>
      </c>
      <c r="U2016" s="279">
        <v>42702</v>
      </c>
      <c r="AF2016" s="276">
        <f t="shared" si="215"/>
        <v>549.99</v>
      </c>
      <c r="AG2016" s="276">
        <f t="shared" si="216"/>
        <v>135.99</v>
      </c>
      <c r="AH2016" s="276">
        <f t="shared" si="217"/>
        <v>682.79550000000006</v>
      </c>
      <c r="AI2016" s="283">
        <f t="shared" si="218"/>
        <v>1.2414689357988329</v>
      </c>
    </row>
    <row r="2017" spans="1:35" ht="30" x14ac:dyDescent="0.25">
      <c r="A2017" s="275">
        <f>'Profits 2016'!A7233</f>
        <v>3005676</v>
      </c>
      <c r="B2017" s="279">
        <f>'Profits 2016'!B7233</f>
        <v>42692</v>
      </c>
      <c r="C2017" s="276">
        <f>'Profits 2016'!H7233</f>
        <v>205</v>
      </c>
      <c r="D2017" s="280">
        <f>'Profits 2016'!K7233</f>
        <v>182.35500000000002</v>
      </c>
      <c r="E2017" s="276">
        <f>'Profits 2016'!L7233</f>
        <v>150</v>
      </c>
      <c r="F2017" s="275" t="str">
        <f>'Profits 2016'!P7233</f>
        <v>Titan</v>
      </c>
      <c r="G2017" s="292">
        <f>'Profits 2016'!N7233-'Profits 2016'!M7233</f>
        <v>75</v>
      </c>
      <c r="H2017" s="331">
        <v>0</v>
      </c>
      <c r="I2017" s="332">
        <v>10020947</v>
      </c>
      <c r="J2017" s="333">
        <v>42692</v>
      </c>
      <c r="K2017" s="333">
        <v>42702</v>
      </c>
      <c r="L2017" s="333"/>
      <c r="M2017" s="331"/>
      <c r="N2017" s="334"/>
      <c r="O2017" s="236" t="str">
        <f>'Profits 2016'!T7233</f>
        <v>FEDEX GROUND</v>
      </c>
      <c r="P2017" s="284" t="str">
        <f>'Profits 2016'!U7233</f>
        <v>700429853689</v>
      </c>
      <c r="Q2017" s="284" t="s">
        <v>15946</v>
      </c>
      <c r="R2017" s="276">
        <v>22.72</v>
      </c>
      <c r="S2017" s="275">
        <v>10020947</v>
      </c>
      <c r="T2017" s="279">
        <v>42692</v>
      </c>
      <c r="U2017" s="279">
        <v>42702</v>
      </c>
      <c r="AF2017" s="276">
        <f t="shared" si="215"/>
        <v>97.72</v>
      </c>
      <c r="AG2017" s="276">
        <f t="shared" si="216"/>
        <v>22.72</v>
      </c>
      <c r="AH2017" s="276">
        <f t="shared" si="217"/>
        <v>159.63500000000002</v>
      </c>
      <c r="AI2017" s="283">
        <f t="shared" si="218"/>
        <v>1.6335959885386822</v>
      </c>
    </row>
    <row r="2018" spans="1:35" ht="30" x14ac:dyDescent="0.25">
      <c r="A2018" s="275">
        <f>'Profits 2016'!A7234</f>
        <v>3005677</v>
      </c>
      <c r="B2018" s="279">
        <f>'Profits 2016'!B7234</f>
        <v>42692</v>
      </c>
      <c r="C2018" s="276">
        <f>'Profits 2016'!H7234</f>
        <v>193</v>
      </c>
      <c r="D2018" s="280">
        <f>'Profits 2016'!K7234</f>
        <v>171.66299999999998</v>
      </c>
      <c r="E2018" s="276">
        <f>'Profits 2016'!L7234</f>
        <v>1322</v>
      </c>
      <c r="F2018" s="275" t="str">
        <f>'Profits 2016'!P7234</f>
        <v>Nassau</v>
      </c>
      <c r="G2018" s="292">
        <f>'Profits 2016'!N7234-'Profits 2016'!M7234</f>
        <v>99.149999999999991</v>
      </c>
      <c r="H2018" s="319"/>
      <c r="I2018" s="320"/>
      <c r="J2018" s="321"/>
      <c r="K2018" s="321"/>
      <c r="L2018" s="321"/>
      <c r="M2018" s="319"/>
      <c r="N2018" s="322"/>
      <c r="O2018" s="236" t="str">
        <f>'Profits 2016'!T7234</f>
        <v>FEDEX GROUND</v>
      </c>
      <c r="P2018" s="284" t="str">
        <f>'Profits 2016'!U7234</f>
        <v>702723292969</v>
      </c>
      <c r="AF2018" s="276">
        <f t="shared" si="215"/>
        <v>99.149999999999991</v>
      </c>
      <c r="AG2018" s="276">
        <f t="shared" si="216"/>
        <v>0</v>
      </c>
      <c r="AH2018" s="276">
        <f t="shared" si="217"/>
        <v>171.66299999999998</v>
      </c>
      <c r="AI2018" s="283">
        <f t="shared" si="218"/>
        <v>1.7313464447806353</v>
      </c>
    </row>
    <row r="2019" spans="1:35" ht="30" x14ac:dyDescent="0.25">
      <c r="A2019" s="275">
        <f>'Profits 2016'!A7235</f>
        <v>3005678</v>
      </c>
      <c r="B2019" s="279">
        <f>'Profits 2016'!B7235</f>
        <v>42692</v>
      </c>
      <c r="C2019" s="276">
        <f>'Profits 2016'!H7235</f>
        <v>168</v>
      </c>
      <c r="D2019" s="280">
        <f>'Profits 2016'!K7235</f>
        <v>149.38800000000001</v>
      </c>
      <c r="E2019" s="276">
        <f>'Profits 2016'!L7235</f>
        <v>163</v>
      </c>
      <c r="F2019" s="275" t="str">
        <f>'Profits 2016'!P7235</f>
        <v>Priority</v>
      </c>
      <c r="G2019" s="292">
        <f>'Profits 2016'!N7235-'Profits 2016'!M7235</f>
        <v>81.5</v>
      </c>
      <c r="H2019" s="331">
        <v>0</v>
      </c>
      <c r="I2019" s="332">
        <v>1078627</v>
      </c>
      <c r="J2019" s="333">
        <v>42695</v>
      </c>
      <c r="K2019" s="333">
        <v>42702</v>
      </c>
      <c r="L2019" s="333"/>
      <c r="M2019" s="331"/>
      <c r="N2019" s="334"/>
      <c r="O2019" s="236" t="str">
        <f>'Profits 2016'!T7235</f>
        <v>FEDEX GROUND</v>
      </c>
      <c r="P2019" s="284" t="str">
        <f>'Profits 2016'!U7235</f>
        <v>616712878442</v>
      </c>
      <c r="Q2019" s="284" t="s">
        <v>15740</v>
      </c>
      <c r="R2019" s="276">
        <v>15.72</v>
      </c>
      <c r="S2019" s="275">
        <v>1078627</v>
      </c>
      <c r="T2019" s="279">
        <v>42695</v>
      </c>
      <c r="U2019" s="279">
        <v>42702</v>
      </c>
      <c r="AF2019" s="276">
        <f t="shared" si="215"/>
        <v>97.22</v>
      </c>
      <c r="AG2019" s="276">
        <f t="shared" si="216"/>
        <v>15.72</v>
      </c>
      <c r="AH2019" s="276">
        <f t="shared" si="217"/>
        <v>133.66800000000001</v>
      </c>
      <c r="AI2019" s="283">
        <f t="shared" si="218"/>
        <v>1.3749022834807654</v>
      </c>
    </row>
    <row r="2020" spans="1:35" ht="30" x14ac:dyDescent="0.25">
      <c r="A2020" s="275">
        <f>'Profits 2016'!A7236</f>
        <v>3005679</v>
      </c>
      <c r="B2020" s="279">
        <f>'Profits 2016'!B7236</f>
        <v>42692</v>
      </c>
      <c r="C2020" s="276">
        <f>'Profits 2016'!H7236</f>
        <v>160</v>
      </c>
      <c r="D2020" s="280">
        <f>'Profits 2016'!K7236</f>
        <v>136</v>
      </c>
      <c r="E2020" s="276">
        <f>'Profits 2016'!L7236</f>
        <v>424</v>
      </c>
      <c r="F2020" s="275" t="str">
        <f>'Profits 2016'!P7236</f>
        <v>Nassau</v>
      </c>
      <c r="G2020" s="292">
        <f>'Profits 2016'!N7236-'Profits 2016'!M7236</f>
        <v>74.2</v>
      </c>
      <c r="H2020" s="319"/>
      <c r="I2020" s="320"/>
      <c r="J2020" s="321"/>
      <c r="K2020" s="321"/>
      <c r="L2020" s="321"/>
      <c r="M2020" s="319"/>
      <c r="N2020" s="322"/>
      <c r="O2020" s="236" t="str">
        <f>'Profits 2016'!T7236</f>
        <v>FEDEX GROUND</v>
      </c>
      <c r="P2020" s="284" t="str">
        <f>'Profits 2016'!U7236</f>
        <v>702723293038</v>
      </c>
      <c r="AF2020" s="276">
        <f t="shared" si="215"/>
        <v>74.2</v>
      </c>
      <c r="AG2020" s="276">
        <f t="shared" si="216"/>
        <v>0</v>
      </c>
      <c r="AH2020" s="276">
        <f t="shared" si="217"/>
        <v>136</v>
      </c>
      <c r="AI2020" s="283">
        <f t="shared" si="218"/>
        <v>1.8328840970350404</v>
      </c>
    </row>
    <row r="2021" spans="1:35" ht="30" x14ac:dyDescent="0.25">
      <c r="A2021" s="275">
        <f>'Profits 2016'!A7237</f>
        <v>3005680</v>
      </c>
      <c r="B2021" s="279">
        <f>'Profits 2016'!B7237</f>
        <v>42692</v>
      </c>
      <c r="C2021" s="276">
        <f>'Profits 2016'!H7237</f>
        <v>100</v>
      </c>
      <c r="D2021" s="280">
        <f>'Profits 2016'!K7237</f>
        <v>85</v>
      </c>
      <c r="E2021" s="276">
        <f>'Profits 2016'!L7237</f>
        <v>424</v>
      </c>
      <c r="F2021" s="275" t="str">
        <f>'Profits 2016'!P7237</f>
        <v>Nassau</v>
      </c>
      <c r="G2021" s="292">
        <f>'Profits 2016'!N7237-'Profits 2016'!M7237</f>
        <v>42.400000000000006</v>
      </c>
      <c r="H2021" s="319"/>
      <c r="I2021" s="320"/>
      <c r="J2021" s="321"/>
      <c r="K2021" s="321"/>
      <c r="L2021" s="321"/>
      <c r="M2021" s="319"/>
      <c r="N2021" s="322"/>
      <c r="O2021" s="236" t="str">
        <f>'Profits 2016'!T7237</f>
        <v>FEDEX GROUND</v>
      </c>
      <c r="P2021" s="284" t="str">
        <f>'Profits 2016'!U7237</f>
        <v>702723293027</v>
      </c>
      <c r="AF2021" s="276">
        <f t="shared" si="215"/>
        <v>52.400000000000006</v>
      </c>
      <c r="AG2021" s="276">
        <f t="shared" si="216"/>
        <v>0</v>
      </c>
      <c r="AH2021" s="276">
        <f t="shared" si="217"/>
        <v>85</v>
      </c>
      <c r="AI2021" s="283">
        <f t="shared" si="218"/>
        <v>1.6221374045801524</v>
      </c>
    </row>
    <row r="2022" spans="1:35" ht="30" x14ac:dyDescent="0.25">
      <c r="A2022" s="275">
        <f>'Profits 2016'!A7238</f>
        <v>3005681</v>
      </c>
      <c r="B2022" s="279">
        <f>'Profits 2016'!B7238</f>
        <v>42692</v>
      </c>
      <c r="C2022" s="276">
        <f>'Profits 2016'!H7238</f>
        <v>320</v>
      </c>
      <c r="D2022" s="280">
        <f>'Profits 2016'!K7238</f>
        <v>284.82</v>
      </c>
      <c r="E2022" s="276">
        <f>'Profits 2016'!L7238</f>
        <v>3248</v>
      </c>
      <c r="F2022" s="275" t="str">
        <f>'Profits 2016'!P7238</f>
        <v>Priority</v>
      </c>
      <c r="G2022" s="292">
        <f>'Profits 2016'!N7238-'Profits 2016'!M7238</f>
        <v>162.4</v>
      </c>
      <c r="H2022" s="331">
        <v>10</v>
      </c>
      <c r="I2022" s="332">
        <v>1078585</v>
      </c>
      <c r="J2022" s="333">
        <v>42692</v>
      </c>
      <c r="K2022" s="333">
        <v>42702</v>
      </c>
      <c r="L2022" s="333"/>
      <c r="M2022" s="331"/>
      <c r="N2022" s="334"/>
      <c r="O2022" s="236" t="str">
        <f>'Profits 2016'!T7238</f>
        <v>FEDEX GROUND</v>
      </c>
      <c r="P2022" s="284" t="str">
        <f>'Profits 2016'!U7238</f>
        <v>574454203906</v>
      </c>
      <c r="Q2022" s="284" t="s">
        <v>15740</v>
      </c>
      <c r="R2022" s="276">
        <v>34.630000000000003</v>
      </c>
      <c r="S2022" s="332">
        <v>1078585</v>
      </c>
      <c r="T2022" s="333">
        <v>42692</v>
      </c>
      <c r="U2022" s="333">
        <v>42702</v>
      </c>
      <c r="AF2022" s="276">
        <f t="shared" si="215"/>
        <v>197.03</v>
      </c>
      <c r="AG2022" s="276">
        <f t="shared" si="216"/>
        <v>34.630000000000003</v>
      </c>
      <c r="AH2022" s="276">
        <f t="shared" si="217"/>
        <v>250.19</v>
      </c>
      <c r="AI2022" s="283">
        <f t="shared" si="218"/>
        <v>1.2698066284322185</v>
      </c>
    </row>
    <row r="2023" spans="1:35" ht="30" x14ac:dyDescent="0.25">
      <c r="A2023" s="275">
        <f>'Profits 2016'!A7239</f>
        <v>3005682</v>
      </c>
      <c r="B2023" s="279">
        <f>'Profits 2016'!B7239</f>
        <v>42692</v>
      </c>
      <c r="C2023" s="276">
        <f>'Profits 2016'!H7239</f>
        <v>104.16</v>
      </c>
      <c r="D2023" s="280">
        <f>'Profits 2016'!K7239</f>
        <v>92.506560000000007</v>
      </c>
      <c r="E2023" s="276">
        <f>'Profits 2016'!L7239</f>
        <v>330</v>
      </c>
      <c r="F2023" s="275" t="str">
        <f>'Profits 2016'!P7239</f>
        <v>Nassau</v>
      </c>
      <c r="G2023" s="292">
        <f>'Profits 2016'!N7239-'Profits 2016'!M7239</f>
        <v>33</v>
      </c>
      <c r="H2023" s="319"/>
      <c r="I2023" s="320"/>
      <c r="J2023" s="321"/>
      <c r="K2023" s="321"/>
      <c r="L2023" s="321"/>
      <c r="M2023" s="319"/>
      <c r="N2023" s="322"/>
      <c r="O2023" s="236" t="str">
        <f>'Profits 2016'!T7239</f>
        <v>FEDEX GROUND</v>
      </c>
      <c r="P2023" s="284" t="str">
        <f>'Profits 2016'!U7239</f>
        <v>702723293050</v>
      </c>
      <c r="AF2023" s="276">
        <f t="shared" si="215"/>
        <v>33</v>
      </c>
      <c r="AG2023" s="276">
        <f t="shared" si="216"/>
        <v>0</v>
      </c>
      <c r="AH2023" s="276">
        <f t="shared" si="217"/>
        <v>92.506560000000007</v>
      </c>
      <c r="AI2023" s="283">
        <f t="shared" si="218"/>
        <v>2.8032290909090913</v>
      </c>
    </row>
    <row r="2024" spans="1:35" ht="30" x14ac:dyDescent="0.25">
      <c r="A2024" s="275">
        <f>'Profits 2016'!A7240</f>
        <v>3005683</v>
      </c>
      <c r="B2024" s="279">
        <f>'Profits 2016'!B7240</f>
        <v>42692</v>
      </c>
      <c r="C2024" s="276">
        <f>'Profits 2016'!H7240</f>
        <v>161</v>
      </c>
      <c r="D2024" s="280">
        <f>'Profits 2016'!K7240</f>
        <v>136.85</v>
      </c>
      <c r="E2024" s="276">
        <f>'Profits 2016'!L7240</f>
        <v>250</v>
      </c>
      <c r="F2024" s="275" t="str">
        <f>'Profits 2016'!P7240</f>
        <v>Priority</v>
      </c>
      <c r="G2024" s="292">
        <f>'Profits 2016'!N7240-'Profits 2016'!M7240</f>
        <v>50.000000000000007</v>
      </c>
      <c r="H2024" s="331">
        <v>0</v>
      </c>
      <c r="I2024" s="332">
        <v>1078635</v>
      </c>
      <c r="J2024" s="333">
        <v>42695</v>
      </c>
      <c r="K2024" s="333">
        <v>42702</v>
      </c>
      <c r="L2024" s="333"/>
      <c r="M2024" s="331"/>
      <c r="N2024" s="334"/>
      <c r="O2024" s="236" t="str">
        <f>'Profits 2016'!T7240</f>
        <v>FEDEX GROUND</v>
      </c>
      <c r="P2024" s="284" t="str">
        <f>'Profits 2016'!U7240</f>
        <v>711201627012</v>
      </c>
      <c r="Q2024" s="284" t="s">
        <v>15740</v>
      </c>
      <c r="R2024" s="276">
        <v>18.68</v>
      </c>
      <c r="S2024" s="332">
        <v>1078635</v>
      </c>
      <c r="T2024" s="333">
        <v>42695</v>
      </c>
      <c r="U2024" s="333">
        <v>42702</v>
      </c>
      <c r="AF2024" s="276">
        <f t="shared" si="215"/>
        <v>68.680000000000007</v>
      </c>
      <c r="AG2024" s="276">
        <f t="shared" si="216"/>
        <v>18.68</v>
      </c>
      <c r="AH2024" s="276">
        <f t="shared" si="217"/>
        <v>118.16999999999999</v>
      </c>
      <c r="AI2024" s="283">
        <f t="shared" si="218"/>
        <v>1.7205882352941173</v>
      </c>
    </row>
    <row r="2025" spans="1:35" ht="30" x14ac:dyDescent="0.25">
      <c r="A2025" s="275">
        <f>'Profits 2016'!A7241</f>
        <v>3005684</v>
      </c>
      <c r="B2025" s="279">
        <f>'Profits 2016'!B7241</f>
        <v>42692</v>
      </c>
      <c r="C2025" s="276">
        <f>'Profits 2016'!H7241</f>
        <v>400</v>
      </c>
      <c r="D2025" s="280">
        <f>'Profits 2016'!K7241</f>
        <v>390.9</v>
      </c>
      <c r="E2025" s="276">
        <f>'Profits 2016'!L7241</f>
        <v>1330</v>
      </c>
      <c r="F2025" s="275" t="str">
        <f>'Profits 2016'!P7241</f>
        <v>Priority</v>
      </c>
      <c r="G2025" s="292">
        <f>'Profits 2016'!N7241-'Profits 2016'!M7241</f>
        <v>172.9</v>
      </c>
      <c r="H2025" s="331">
        <v>0</v>
      </c>
      <c r="I2025" s="332">
        <v>1078563</v>
      </c>
      <c r="J2025" s="333">
        <v>42692</v>
      </c>
      <c r="K2025" s="333">
        <v>42702</v>
      </c>
      <c r="L2025" s="333"/>
      <c r="M2025" s="331"/>
      <c r="N2025" s="334"/>
      <c r="O2025" s="236" t="str">
        <f>'Profits 2016'!T7241</f>
        <v>FEDEX GROUND</v>
      </c>
      <c r="P2025" s="284" t="str">
        <f>'Profits 2016'!U7241</f>
        <v>700044014005</v>
      </c>
      <c r="Q2025" s="284" t="s">
        <v>15740</v>
      </c>
      <c r="R2025" s="276">
        <v>52.19</v>
      </c>
      <c r="S2025" s="332">
        <v>1078563</v>
      </c>
      <c r="T2025" s="333">
        <v>42692</v>
      </c>
      <c r="U2025" s="333">
        <v>42702</v>
      </c>
      <c r="AF2025" s="276">
        <f t="shared" si="215"/>
        <v>225.09</v>
      </c>
      <c r="AG2025" s="276">
        <f t="shared" si="216"/>
        <v>52.19</v>
      </c>
      <c r="AH2025" s="276">
        <f t="shared" si="217"/>
        <v>338.71</v>
      </c>
      <c r="AI2025" s="283">
        <f t="shared" si="218"/>
        <v>1.5047758674308054</v>
      </c>
    </row>
    <row r="2026" spans="1:35" x14ac:dyDescent="0.25">
      <c r="A2026" s="275">
        <f>'Profits 2016'!A7242</f>
        <v>0</v>
      </c>
      <c r="B2026" s="279">
        <f>'Profits 2016'!B7242</f>
        <v>0</v>
      </c>
      <c r="C2026" s="276">
        <f>'Profits 2016'!H7242</f>
        <v>0</v>
      </c>
      <c r="D2026" s="280">
        <f>'Profits 2016'!K7242</f>
        <v>0</v>
      </c>
      <c r="E2026" s="276">
        <f>'Profits 2016'!L7242</f>
        <v>1130</v>
      </c>
      <c r="F2026" s="275" t="str">
        <f>'Profits 2016'!P7242</f>
        <v>Priority</v>
      </c>
      <c r="G2026" s="292">
        <f>'Profits 2016'!N7242-'Profits 2016'!M7242</f>
        <v>62.15</v>
      </c>
      <c r="H2026" s="331">
        <v>0</v>
      </c>
      <c r="I2026" s="332">
        <v>1078563</v>
      </c>
      <c r="J2026" s="333">
        <v>42692</v>
      </c>
      <c r="K2026" s="333">
        <v>42702</v>
      </c>
      <c r="L2026" s="333"/>
      <c r="M2026" s="331"/>
      <c r="N2026" s="334"/>
      <c r="O2026" s="236">
        <f>'Profits 2016'!T7242</f>
        <v>0</v>
      </c>
      <c r="P2026" s="284" t="str">
        <f>'Profits 2016'!U7242</f>
        <v>700044014016</v>
      </c>
      <c r="Q2026" s="284" t="s">
        <v>15740</v>
      </c>
      <c r="R2026" s="276">
        <v>0</v>
      </c>
      <c r="S2026" s="332">
        <v>1078563</v>
      </c>
      <c r="T2026" s="333">
        <v>42692</v>
      </c>
      <c r="U2026" s="333">
        <v>42702</v>
      </c>
      <c r="AF2026" s="276">
        <f t="shared" si="215"/>
        <v>62.15</v>
      </c>
      <c r="AG2026" s="276">
        <f t="shared" si="216"/>
        <v>0</v>
      </c>
      <c r="AH2026" s="276">
        <f t="shared" si="217"/>
        <v>0</v>
      </c>
      <c r="AI2026" s="283">
        <f t="shared" si="218"/>
        <v>0</v>
      </c>
    </row>
    <row r="2027" spans="1:35" ht="30" x14ac:dyDescent="0.25">
      <c r="A2027" s="275">
        <f>'Profits 2016'!A7243</f>
        <v>3005685</v>
      </c>
      <c r="B2027" s="279">
        <f>'Profits 2016'!B7243</f>
        <v>42692</v>
      </c>
      <c r="C2027" s="276">
        <f>'Profits 2016'!H7243</f>
        <v>155.32</v>
      </c>
      <c r="D2027" s="280">
        <f>'Profits 2016'!K7243</f>
        <v>138.09011999999998</v>
      </c>
      <c r="E2027" s="276">
        <f>'Profits 2016'!L7243</f>
        <v>225</v>
      </c>
      <c r="F2027" s="275" t="str">
        <f>'Profits 2016'!P7243</f>
        <v>Houston</v>
      </c>
      <c r="G2027" s="292">
        <f>'Profits 2016'!N7243-'Profits 2016'!M7243</f>
        <v>56.25</v>
      </c>
      <c r="H2027" s="331">
        <v>0</v>
      </c>
      <c r="I2027" s="332">
        <v>30926736</v>
      </c>
      <c r="J2027" s="333">
        <v>42695</v>
      </c>
      <c r="K2027" s="333">
        <v>42702</v>
      </c>
      <c r="L2027" s="333"/>
      <c r="M2027" s="331"/>
      <c r="N2027" s="334"/>
      <c r="O2027" s="236" t="str">
        <f>'Profits 2016'!T7243</f>
        <v>FEDEX GROUND</v>
      </c>
      <c r="P2027" s="284" t="str">
        <f>'Profits 2016'!U7243</f>
        <v>543369483303</v>
      </c>
      <c r="AF2027" s="276">
        <f t="shared" si="215"/>
        <v>56.25</v>
      </c>
      <c r="AG2027" s="276">
        <f t="shared" si="216"/>
        <v>0</v>
      </c>
      <c r="AH2027" s="276">
        <f t="shared" si="217"/>
        <v>138.09011999999998</v>
      </c>
      <c r="AI2027" s="283">
        <f t="shared" si="218"/>
        <v>2.4549354666666665</v>
      </c>
    </row>
    <row r="2028" spans="1:35" ht="30" x14ac:dyDescent="0.25">
      <c r="A2028" s="275">
        <f>'Profits 2016'!A7244</f>
        <v>3005686</v>
      </c>
      <c r="B2028" s="279">
        <f>'Profits 2016'!B7244</f>
        <v>42692</v>
      </c>
      <c r="C2028" s="276">
        <f>'Profits 2016'!H7244</f>
        <v>292</v>
      </c>
      <c r="D2028" s="280">
        <f>'Profits 2016'!K7244</f>
        <v>282.20999999999998</v>
      </c>
      <c r="E2028" s="276">
        <f>'Profits 2016'!L7244</f>
        <v>393</v>
      </c>
      <c r="F2028" s="275" t="str">
        <f>'Profits 2016'!P7244</f>
        <v>Allwire</v>
      </c>
      <c r="G2028" s="292">
        <f>'Profits 2016'!N7244-'Profits 2016'!M7244</f>
        <v>196.5</v>
      </c>
      <c r="H2028" s="331"/>
      <c r="I2028" s="332"/>
      <c r="J2028" s="333"/>
      <c r="K2028" s="333"/>
      <c r="L2028" s="333"/>
      <c r="M2028" s="331"/>
      <c r="N2028" s="334"/>
      <c r="O2028" s="236" t="str">
        <f>'Profits 2016'!T7244</f>
        <v>UPS GROUND</v>
      </c>
      <c r="P2028" s="284" t="str">
        <f>'Profits 2016'!U7244</f>
        <v>1ZA3456R0399211060</v>
      </c>
      <c r="AF2028" s="276">
        <f t="shared" si="215"/>
        <v>196.5</v>
      </c>
      <c r="AG2028" s="276">
        <f t="shared" si="216"/>
        <v>0</v>
      </c>
      <c r="AH2028" s="276">
        <f t="shared" si="217"/>
        <v>282.20999999999998</v>
      </c>
      <c r="AI2028" s="283">
        <f t="shared" si="218"/>
        <v>1.4361832061068702</v>
      </c>
    </row>
    <row r="2029" spans="1:35" ht="30" x14ac:dyDescent="0.25">
      <c r="A2029" s="275">
        <f>'Profits 2016'!A7245</f>
        <v>3005687</v>
      </c>
      <c r="B2029" s="279">
        <f>'Profits 2016'!B7245</f>
        <v>42692</v>
      </c>
      <c r="C2029" s="276">
        <f>'Profits 2016'!H7245</f>
        <v>1444.8</v>
      </c>
      <c r="D2029" s="280">
        <f>'Profits 2016'!K7245</f>
        <v>1412.7143999999998</v>
      </c>
      <c r="E2029" s="276">
        <f>'Profits 2016'!L7245</f>
        <v>1400</v>
      </c>
      <c r="F2029" s="275" t="str">
        <f>'Profits 2016'!P7245</f>
        <v>AWCwire</v>
      </c>
      <c r="G2029" s="292">
        <f>'Profits 2016'!N7245-'Profits 2016'!M7245</f>
        <v>733.6</v>
      </c>
      <c r="H2029" s="331">
        <v>0</v>
      </c>
      <c r="I2029" s="332">
        <v>361811</v>
      </c>
      <c r="J2029" s="333">
        <v>42695</v>
      </c>
      <c r="K2029" s="333">
        <v>42702</v>
      </c>
      <c r="L2029" s="333"/>
      <c r="M2029" s="331"/>
      <c r="N2029" s="334"/>
      <c r="O2029" s="236" t="str">
        <f>'Profits 2016'!T7245</f>
        <v>Customer Pick Up</v>
      </c>
      <c r="P2029" s="284" t="str">
        <f>'Profits 2016'!U7245</f>
        <v>Customer Pick Up</v>
      </c>
      <c r="AF2029" s="276">
        <f t="shared" si="215"/>
        <v>763.6</v>
      </c>
      <c r="AG2029" s="276">
        <f t="shared" si="216"/>
        <v>0</v>
      </c>
      <c r="AH2029" s="276">
        <f t="shared" si="217"/>
        <v>1412.7143999999998</v>
      </c>
      <c r="AI2029" s="283">
        <f t="shared" si="218"/>
        <v>1.8500712414876896</v>
      </c>
    </row>
    <row r="2030" spans="1:35" x14ac:dyDescent="0.25">
      <c r="A2030" s="275">
        <f>'Profits 2016'!A7246</f>
        <v>3005688</v>
      </c>
      <c r="B2030" s="279">
        <f>'Profits 2016'!B7246</f>
        <v>42695</v>
      </c>
      <c r="C2030" s="276">
        <f>'Profits 2016'!H7246</f>
        <v>11480</v>
      </c>
      <c r="D2030" s="280">
        <f>'Profits 2016'!K7246</f>
        <v>11227.14</v>
      </c>
      <c r="E2030" s="276">
        <f>'Profits 2016'!L7246</f>
        <v>11640</v>
      </c>
      <c r="F2030" s="275" t="str">
        <f>'Profits 2016'!P7246</f>
        <v>TFCable</v>
      </c>
      <c r="G2030" s="292">
        <f>'Profits 2016'!N7246-'Profits 2016'!M7246</f>
        <v>9312</v>
      </c>
      <c r="H2030" s="331">
        <v>30</v>
      </c>
      <c r="I2030" s="332">
        <v>167417</v>
      </c>
      <c r="J2030" s="333">
        <v>42702</v>
      </c>
      <c r="K2030" s="333">
        <v>42702</v>
      </c>
      <c r="L2030" s="333"/>
      <c r="M2030" s="331"/>
      <c r="N2030" s="334"/>
      <c r="O2030" s="236" t="str">
        <f>'Profits 2016'!T7246</f>
        <v>CUSTOM</v>
      </c>
      <c r="P2030" s="284" t="str">
        <f>'Profits 2016'!U7246</f>
        <v>CTBV14493881</v>
      </c>
      <c r="AF2030" s="276">
        <f t="shared" si="215"/>
        <v>9312</v>
      </c>
      <c r="AG2030" s="276">
        <f t="shared" si="216"/>
        <v>0</v>
      </c>
      <c r="AH2030" s="276">
        <f t="shared" si="217"/>
        <v>11227.14</v>
      </c>
      <c r="AI2030" s="283">
        <f t="shared" si="218"/>
        <v>1.2056636597938144</v>
      </c>
    </row>
    <row r="2031" spans="1:35" x14ac:dyDescent="0.25">
      <c r="A2031" s="275">
        <f>'Profits 2016'!A7247</f>
        <v>3005689</v>
      </c>
      <c r="B2031" s="279">
        <f>'Profits 2016'!B7247</f>
        <v>42695</v>
      </c>
      <c r="C2031" s="276">
        <f>'Profits 2016'!H7247</f>
        <v>684</v>
      </c>
      <c r="D2031" s="280">
        <f>'Profits 2016'!K7247</f>
        <v>670.70399999999995</v>
      </c>
      <c r="E2031" s="276">
        <f>'Profits 2016'!L7247</f>
        <v>382</v>
      </c>
      <c r="F2031" s="275" t="str">
        <f>'Profits 2016'!P7247</f>
        <v>Priority</v>
      </c>
      <c r="G2031" s="292">
        <f>'Profits 2016'!N7247-'Profits 2016'!M7247</f>
        <v>458.4</v>
      </c>
      <c r="H2031" s="331"/>
      <c r="I2031" s="332"/>
      <c r="J2031" s="333"/>
      <c r="K2031" s="333"/>
      <c r="L2031" s="333"/>
      <c r="M2031" s="331"/>
      <c r="N2031" s="334"/>
      <c r="O2031" s="236" t="str">
        <f>'Profits 2016'!T7247</f>
        <v>R &amp; L</v>
      </c>
      <c r="P2031" s="284" t="str">
        <f>'Profits 2016'!U7247</f>
        <v>685659861</v>
      </c>
      <c r="AF2031" s="276">
        <f t="shared" si="215"/>
        <v>468.4</v>
      </c>
      <c r="AG2031" s="276">
        <f t="shared" si="216"/>
        <v>0</v>
      </c>
      <c r="AH2031" s="276">
        <f t="shared" si="217"/>
        <v>670.70399999999995</v>
      </c>
      <c r="AI2031" s="283">
        <f t="shared" si="218"/>
        <v>1.4319043552519215</v>
      </c>
    </row>
    <row r="2032" spans="1:35" ht="30" x14ac:dyDescent="0.25">
      <c r="A2032" s="275">
        <f>'Profits 2016'!A7248</f>
        <v>3005690</v>
      </c>
      <c r="B2032" s="279">
        <f>'Profits 2016'!B7248</f>
        <v>42695</v>
      </c>
      <c r="C2032" s="276">
        <f>'Profits 2016'!H7248</f>
        <v>151.5</v>
      </c>
      <c r="D2032" s="280">
        <f>'Profits 2016'!K7248</f>
        <v>148.32150000000001</v>
      </c>
      <c r="E2032" s="276">
        <f>'Profits 2016'!L7248</f>
        <v>3150</v>
      </c>
      <c r="F2032" s="275" t="str">
        <f>'Profits 2016'!P7248</f>
        <v>Priority</v>
      </c>
      <c r="G2032" s="292">
        <f>'Profits 2016'!N7248-'Profits 2016'!M7248</f>
        <v>94.5</v>
      </c>
      <c r="H2032" s="331">
        <v>10</v>
      </c>
      <c r="I2032" s="332">
        <v>1078962</v>
      </c>
      <c r="J2032" s="333">
        <v>42695</v>
      </c>
      <c r="K2032" s="333">
        <v>42702</v>
      </c>
      <c r="L2032" s="333"/>
      <c r="M2032" s="331"/>
      <c r="N2032" s="334"/>
      <c r="O2032" s="236" t="str">
        <f>'Profits 2016'!T7248</f>
        <v>FEDEX GROUND</v>
      </c>
      <c r="P2032" s="284" t="str">
        <f>'Profits 2016'!U7248</f>
        <v xml:space="preserve">	616712878486</v>
      </c>
      <c r="Q2032" s="284" t="s">
        <v>15740</v>
      </c>
      <c r="R2032" s="276">
        <v>18.52</v>
      </c>
      <c r="S2032" s="332">
        <v>1078962</v>
      </c>
      <c r="T2032" s="333">
        <v>42695</v>
      </c>
      <c r="U2032" s="333">
        <v>42702</v>
      </c>
      <c r="AF2032" s="276">
        <f t="shared" si="215"/>
        <v>113.02</v>
      </c>
      <c r="AG2032" s="276">
        <f t="shared" si="216"/>
        <v>18.52</v>
      </c>
      <c r="AH2032" s="276">
        <f t="shared" si="217"/>
        <v>129.8015</v>
      </c>
      <c r="AI2032" s="283">
        <f t="shared" si="218"/>
        <v>1.1484825694567333</v>
      </c>
    </row>
    <row r="2033" spans="1:35" ht="30" x14ac:dyDescent="0.25">
      <c r="A2033" s="275">
        <f>'Profits 2016'!A7249</f>
        <v>3005691</v>
      </c>
      <c r="B2033" s="279">
        <f>'Profits 2016'!B7249</f>
        <v>42695</v>
      </c>
      <c r="C2033" s="276">
        <f>'Profits 2016'!H7249</f>
        <v>390.45</v>
      </c>
      <c r="D2033" s="280">
        <f>'Profits 2016'!K7249</f>
        <v>347.59095000000002</v>
      </c>
      <c r="E2033" s="276">
        <f>'Profits 2016'!L7249</f>
        <v>1444</v>
      </c>
      <c r="F2033" s="275" t="str">
        <f>'Profits 2016'!P7249</f>
        <v>West Virginia</v>
      </c>
      <c r="G2033" s="292">
        <f>'Profits 2016'!N7249-'Profits 2016'!M7249</f>
        <v>288.8</v>
      </c>
      <c r="H2033" s="331"/>
      <c r="I2033" s="332"/>
      <c r="J2033" s="333"/>
      <c r="K2033" s="333"/>
      <c r="L2033" s="333"/>
      <c r="M2033" s="331"/>
      <c r="N2033" s="334"/>
      <c r="O2033" s="236" t="str">
        <f>'Profits 2016'!T7249</f>
        <v>FEDEX FREIGHT</v>
      </c>
      <c r="P2033" s="284">
        <f>'Profits 2016'!U7249</f>
        <v>3956266193</v>
      </c>
      <c r="AF2033" s="276">
        <f t="shared" si="215"/>
        <v>288.8</v>
      </c>
      <c r="AG2033" s="276">
        <f t="shared" si="216"/>
        <v>0</v>
      </c>
      <c r="AH2033" s="276">
        <f t="shared" si="217"/>
        <v>347.59095000000002</v>
      </c>
      <c r="AI2033" s="283">
        <f t="shared" si="218"/>
        <v>1.2035697714681441</v>
      </c>
    </row>
    <row r="2034" spans="1:35" ht="30" x14ac:dyDescent="0.25">
      <c r="A2034" s="275">
        <f>'Profits 2016'!A7250</f>
        <v>3005692</v>
      </c>
      <c r="B2034" s="279">
        <f>'Profits 2016'!B7250</f>
        <v>42695</v>
      </c>
      <c r="C2034" s="276">
        <f>'Profits 2016'!H7250</f>
        <v>122.5</v>
      </c>
      <c r="D2034" s="280">
        <f>'Profits 2016'!K7250</f>
        <v>108.8475</v>
      </c>
      <c r="E2034" s="276">
        <f>'Profits 2016'!L7250</f>
        <v>1450</v>
      </c>
      <c r="F2034" s="275" t="str">
        <f>'Profits 2016'!P7250</f>
        <v>Direct</v>
      </c>
      <c r="G2034" s="292">
        <f>'Profits 2016'!N7250-'Profits 2016'!M7250</f>
        <v>72.5</v>
      </c>
      <c r="H2034" s="331">
        <v>0</v>
      </c>
      <c r="I2034" s="332">
        <v>76899</v>
      </c>
      <c r="J2034" s="333">
        <v>42696</v>
      </c>
      <c r="K2034" s="333">
        <v>42702</v>
      </c>
      <c r="L2034" s="333"/>
      <c r="M2034" s="331"/>
      <c r="N2034" s="334"/>
      <c r="O2034" s="236" t="str">
        <f>'Profits 2016'!T7250</f>
        <v>FEDEX GROUND</v>
      </c>
      <c r="P2034" s="284" t="str">
        <f>'Profits 2016'!U7250</f>
        <v>639794970515</v>
      </c>
      <c r="AF2034" s="276">
        <f t="shared" si="215"/>
        <v>72.5</v>
      </c>
      <c r="AG2034" s="276">
        <f t="shared" si="216"/>
        <v>0</v>
      </c>
      <c r="AH2034" s="276">
        <f t="shared" si="217"/>
        <v>108.8475</v>
      </c>
      <c r="AI2034" s="283">
        <f t="shared" si="218"/>
        <v>1.5013448275862069</v>
      </c>
    </row>
    <row r="2035" spans="1:35" ht="30" x14ac:dyDescent="0.25">
      <c r="A2035" s="275">
        <f>'Profits 2016'!A7251</f>
        <v>3005693</v>
      </c>
      <c r="B2035" s="279">
        <f>'Profits 2016'!B7251</f>
        <v>42695</v>
      </c>
      <c r="C2035" s="276">
        <f>'Profits 2016'!H7251</f>
        <v>186.11</v>
      </c>
      <c r="D2035" s="280">
        <f>'Profits 2016'!K7251</f>
        <v>165.52401</v>
      </c>
      <c r="E2035" s="276">
        <f>'Profits 2016'!L7251</f>
        <v>168</v>
      </c>
      <c r="F2035" s="275" t="str">
        <f>'Profits 2016'!P7251</f>
        <v>Nassau</v>
      </c>
      <c r="G2035" s="292">
        <f>'Profits 2016'!N7251-'Profits 2016'!M7251</f>
        <v>42</v>
      </c>
      <c r="H2035" s="319"/>
      <c r="I2035" s="320"/>
      <c r="J2035" s="321"/>
      <c r="K2035" s="321"/>
      <c r="L2035" s="321"/>
      <c r="M2035" s="319"/>
      <c r="N2035" s="322"/>
      <c r="O2035" s="236" t="str">
        <f>'Profits 2016'!T7251</f>
        <v>FEDEX GROUND</v>
      </c>
      <c r="P2035" s="284" t="str">
        <f>'Profits 2016'!U7251</f>
        <v>665645048217</v>
      </c>
      <c r="AF2035" s="276">
        <f t="shared" si="215"/>
        <v>42</v>
      </c>
      <c r="AG2035" s="276">
        <f t="shared" si="216"/>
        <v>0</v>
      </c>
      <c r="AH2035" s="276">
        <f t="shared" si="217"/>
        <v>165.52401</v>
      </c>
      <c r="AI2035" s="283">
        <f t="shared" si="218"/>
        <v>3.9410478571428573</v>
      </c>
    </row>
    <row r="2036" spans="1:35" ht="30" x14ac:dyDescent="0.25">
      <c r="A2036" s="275">
        <f>'Profits 2016'!A7252</f>
        <v>3005694</v>
      </c>
      <c r="B2036" s="279">
        <f>'Profits 2016'!B7252</f>
        <v>42695</v>
      </c>
      <c r="C2036" s="276">
        <f>'Profits 2016'!H7252</f>
        <v>200.08</v>
      </c>
      <c r="D2036" s="280">
        <f>'Profits 2016'!K7252</f>
        <v>177.97128000000001</v>
      </c>
      <c r="E2036" s="276">
        <f>'Profits 2016'!L7252</f>
        <v>950</v>
      </c>
      <c r="F2036" s="275" t="str">
        <f>'Profits 2016'!P7252</f>
        <v>Nassau</v>
      </c>
      <c r="G2036" s="292">
        <f>'Profits 2016'!N7252-'Profits 2016'!M7252</f>
        <v>95</v>
      </c>
      <c r="H2036" s="319"/>
      <c r="I2036" s="320"/>
      <c r="J2036" s="321"/>
      <c r="K2036" s="321"/>
      <c r="L2036" s="321"/>
      <c r="M2036" s="319"/>
      <c r="N2036" s="322"/>
      <c r="O2036" s="236" t="str">
        <f>'Profits 2016'!T7252</f>
        <v>FEDEX GROUND</v>
      </c>
      <c r="P2036" s="284" t="str">
        <f>'Profits 2016'!U7252</f>
        <v>665645048180</v>
      </c>
      <c r="AF2036" s="276">
        <f t="shared" si="215"/>
        <v>95</v>
      </c>
      <c r="AG2036" s="276">
        <f t="shared" si="216"/>
        <v>0</v>
      </c>
      <c r="AH2036" s="276">
        <f t="shared" si="217"/>
        <v>177.97128000000001</v>
      </c>
      <c r="AI2036" s="283">
        <f t="shared" si="218"/>
        <v>1.8733818947368421</v>
      </c>
    </row>
    <row r="2037" spans="1:35" ht="30" x14ac:dyDescent="0.25">
      <c r="A2037" s="275">
        <f>'Profits 2016'!A7253</f>
        <v>3005695</v>
      </c>
      <c r="B2037" s="279">
        <f>'Profits 2016'!B7253</f>
        <v>42695</v>
      </c>
      <c r="C2037" s="276">
        <f>'Profits 2016'!H7253</f>
        <v>163.05000000000001</v>
      </c>
      <c r="D2037" s="280">
        <f>'Profits 2016'!K7253</f>
        <v>144.97755000000001</v>
      </c>
      <c r="E2037" s="276">
        <f>'Profits 2016'!L7253</f>
        <v>424</v>
      </c>
      <c r="F2037" s="275" t="str">
        <f>'Profits 2016'!P7253</f>
        <v>Nassau</v>
      </c>
      <c r="G2037" s="292">
        <f>'Profits 2016'!N7253-'Profits 2016'!M7253</f>
        <v>53</v>
      </c>
      <c r="H2037" s="319"/>
      <c r="I2037" s="320"/>
      <c r="J2037" s="321"/>
      <c r="K2037" s="321"/>
      <c r="L2037" s="321"/>
      <c r="M2037" s="319"/>
      <c r="N2037" s="322"/>
      <c r="O2037" s="236" t="str">
        <f>'Profits 2016'!T7253</f>
        <v>FEDEX GROUND</v>
      </c>
      <c r="P2037" s="284" t="str">
        <f>'Profits 2016'!U7253</f>
        <v>702723293060</v>
      </c>
      <c r="AF2037" s="276">
        <f t="shared" si="215"/>
        <v>53</v>
      </c>
      <c r="AG2037" s="276">
        <f t="shared" si="216"/>
        <v>0</v>
      </c>
      <c r="AH2037" s="276">
        <f t="shared" si="217"/>
        <v>144.97755000000001</v>
      </c>
      <c r="AI2037" s="283">
        <f t="shared" si="218"/>
        <v>2.7354254716981132</v>
      </c>
    </row>
    <row r="2038" spans="1:35" ht="30" x14ac:dyDescent="0.25">
      <c r="A2038" s="275">
        <f>'Profits 2016'!A7254</f>
        <v>3005696</v>
      </c>
      <c r="B2038" s="279">
        <f>'Profits 2016'!B7254</f>
        <v>42695</v>
      </c>
      <c r="C2038" s="276">
        <f>'Profits 2016'!H7254</f>
        <v>336.54</v>
      </c>
      <c r="D2038" s="280">
        <f>'Profits 2016'!K7254</f>
        <v>299.55714</v>
      </c>
      <c r="E2038" s="276">
        <f>'Profits 2016'!L7254</f>
        <v>300</v>
      </c>
      <c r="F2038" s="275" t="str">
        <f>'Profits 2016'!P7254</f>
        <v>Nassau</v>
      </c>
      <c r="G2038" s="292">
        <f>'Profits 2016'!N7254-'Profits 2016'!M7254</f>
        <v>150</v>
      </c>
      <c r="H2038" s="319"/>
      <c r="I2038" s="320"/>
      <c r="J2038" s="321"/>
      <c r="K2038" s="321"/>
      <c r="L2038" s="321"/>
      <c r="M2038" s="319"/>
      <c r="N2038" s="322"/>
      <c r="O2038" s="236" t="str">
        <f>'Profits 2016'!T7254</f>
        <v>FEDEX GROUND</v>
      </c>
      <c r="P2038" s="284" t="str">
        <f>'Profits 2016'!U7254</f>
        <v>665645048320</v>
      </c>
      <c r="AF2038" s="276">
        <f t="shared" si="215"/>
        <v>150</v>
      </c>
      <c r="AG2038" s="276">
        <f t="shared" si="216"/>
        <v>0</v>
      </c>
      <c r="AH2038" s="276">
        <f t="shared" si="217"/>
        <v>299.55714</v>
      </c>
      <c r="AI2038" s="283">
        <f t="shared" si="218"/>
        <v>1.9970475999999999</v>
      </c>
    </row>
    <row r="2039" spans="1:35" ht="30" x14ac:dyDescent="0.25">
      <c r="A2039" s="275">
        <f>'Profits 2016'!A7255</f>
        <v>3005697</v>
      </c>
      <c r="B2039" s="279">
        <f>'Profits 2016'!B7255</f>
        <v>42695</v>
      </c>
      <c r="C2039" s="276">
        <f>'Profits 2016'!H7255</f>
        <v>200.08</v>
      </c>
      <c r="D2039" s="280">
        <f>'Profits 2016'!K7255</f>
        <v>177.97128000000001</v>
      </c>
      <c r="E2039" s="276">
        <f>'Profits 2016'!L7255</f>
        <v>950</v>
      </c>
      <c r="F2039" s="275" t="str">
        <f>'Profits 2016'!P7255</f>
        <v>Nassau</v>
      </c>
      <c r="G2039" s="292">
        <f>'Profits 2016'!N7255-'Profits 2016'!M7255</f>
        <v>95</v>
      </c>
      <c r="H2039" s="319"/>
      <c r="I2039" s="320"/>
      <c r="J2039" s="321"/>
      <c r="K2039" s="321"/>
      <c r="L2039" s="321"/>
      <c r="M2039" s="319"/>
      <c r="N2039" s="322"/>
      <c r="O2039" s="236" t="str">
        <f>'Profits 2016'!T7255</f>
        <v>FEDEX GROUND</v>
      </c>
      <c r="P2039" s="284" t="str">
        <f>'Profits 2016'!U7255</f>
        <v>665645048206</v>
      </c>
      <c r="AF2039" s="276">
        <f t="shared" si="215"/>
        <v>95</v>
      </c>
      <c r="AG2039" s="276">
        <f t="shared" si="216"/>
        <v>0</v>
      </c>
      <c r="AH2039" s="276">
        <f t="shared" si="217"/>
        <v>177.97128000000001</v>
      </c>
      <c r="AI2039" s="283">
        <f t="shared" si="218"/>
        <v>1.8733818947368421</v>
      </c>
    </row>
    <row r="2040" spans="1:35" ht="30" x14ac:dyDescent="0.25">
      <c r="A2040" s="275">
        <f>'Profits 2016'!A7256</f>
        <v>3005698</v>
      </c>
      <c r="B2040" s="279">
        <f>'Profits 2016'!B7256</f>
        <v>42695</v>
      </c>
      <c r="C2040" s="276">
        <f>'Profits 2016'!H7256</f>
        <v>310.07</v>
      </c>
      <c r="D2040" s="280">
        <f>'Profits 2016'!K7256</f>
        <v>275.97237000000001</v>
      </c>
      <c r="E2040" s="276">
        <f>'Profits 2016'!L7256</f>
        <v>622</v>
      </c>
      <c r="F2040" s="275" t="str">
        <f>'Profits 2016'!P7256</f>
        <v>Nassau</v>
      </c>
      <c r="G2040" s="292">
        <f>'Profits 2016'!N7256-'Profits 2016'!M7256</f>
        <v>124.4</v>
      </c>
      <c r="H2040" s="319"/>
      <c r="I2040" s="320"/>
      <c r="J2040" s="321"/>
      <c r="K2040" s="321"/>
      <c r="L2040" s="321"/>
      <c r="M2040" s="319"/>
      <c r="N2040" s="322"/>
      <c r="O2040" s="236" t="str">
        <f>'Profits 2016'!T7256</f>
        <v>FEDEX GROUND</v>
      </c>
      <c r="P2040" s="284" t="str">
        <f>'Profits 2016'!U7256</f>
        <v>665645048294,  665645048309 </v>
      </c>
      <c r="AF2040" s="276">
        <f t="shared" ref="AF2040:AF2072" si="219">G2040+H2041+R2040+Y2040</f>
        <v>124.4</v>
      </c>
      <c r="AG2040" s="276">
        <f t="shared" ref="AG2040:AG2072" si="220">M2040+R2040+Y2040</f>
        <v>0</v>
      </c>
      <c r="AH2040" s="276">
        <f t="shared" ref="AH2040:AH2072" si="221">D2040-AG2040</f>
        <v>275.97237000000001</v>
      </c>
      <c r="AI2040" s="283">
        <f t="shared" ref="AI2040:AI2072" si="222">AH2040/AF2040</f>
        <v>2.2184274115755627</v>
      </c>
    </row>
    <row r="2041" spans="1:35" ht="30" x14ac:dyDescent="0.25">
      <c r="A2041" s="275">
        <f>'Profits 2016'!A7257</f>
        <v>3005699</v>
      </c>
      <c r="B2041" s="279">
        <f>'Profits 2016'!B7257</f>
        <v>42695</v>
      </c>
      <c r="C2041" s="276">
        <f>'Profits 2016'!H7257</f>
        <v>136.80000000000001</v>
      </c>
      <c r="D2041" s="280">
        <f>'Profits 2016'!K7257</f>
        <v>121.58880000000002</v>
      </c>
      <c r="E2041" s="276">
        <f>'Profits 2016'!L7257</f>
        <v>640</v>
      </c>
      <c r="F2041" s="275" t="str">
        <f>'Profits 2016'!P7257</f>
        <v>Nassau</v>
      </c>
      <c r="G2041" s="292">
        <f>'Profits 2016'!N7257-'Profits 2016'!M7257</f>
        <v>51.2</v>
      </c>
      <c r="H2041" s="319"/>
      <c r="I2041" s="320"/>
      <c r="J2041" s="321"/>
      <c r="K2041" s="321"/>
      <c r="L2041" s="321"/>
      <c r="M2041" s="319"/>
      <c r="N2041" s="322"/>
      <c r="O2041" s="236" t="str">
        <f>'Profits 2016'!T7257</f>
        <v>FEDEX GROUND</v>
      </c>
      <c r="P2041" s="284" t="str">
        <f>'Profits 2016'!U7257</f>
        <v>665645048170</v>
      </c>
      <c r="AF2041" s="276">
        <f t="shared" si="219"/>
        <v>51.2</v>
      </c>
      <c r="AG2041" s="276">
        <f t="shared" si="220"/>
        <v>0</v>
      </c>
      <c r="AH2041" s="276">
        <f t="shared" si="221"/>
        <v>121.58880000000002</v>
      </c>
      <c r="AI2041" s="283">
        <f t="shared" si="222"/>
        <v>2.3747812500000003</v>
      </c>
    </row>
    <row r="2042" spans="1:35" ht="30" x14ac:dyDescent="0.25">
      <c r="A2042" s="275">
        <f>'Profits 2016'!A7258</f>
        <v>3005700</v>
      </c>
      <c r="B2042" s="279">
        <f>'Profits 2016'!B7258</f>
        <v>42695</v>
      </c>
      <c r="C2042" s="276">
        <f>'Profits 2016'!H7258</f>
        <v>159.5</v>
      </c>
      <c r="D2042" s="280">
        <f>'Profits 2016'!K7258</f>
        <v>141.81450000000001</v>
      </c>
      <c r="E2042" s="276">
        <f>'Profits 2016'!L7258</f>
        <v>370</v>
      </c>
      <c r="F2042" s="275" t="str">
        <f>'Profits 2016'!P7258</f>
        <v>Omni</v>
      </c>
      <c r="G2042" s="292">
        <f>'Profits 2016'!N7258-'Profits 2016'!M7258</f>
        <v>92.5</v>
      </c>
      <c r="H2042" s="331"/>
      <c r="I2042" s="332"/>
      <c r="J2042" s="333"/>
      <c r="K2042" s="333"/>
      <c r="L2042" s="333"/>
      <c r="M2042" s="331"/>
      <c r="N2042" s="334"/>
      <c r="O2042" s="236" t="str">
        <f>'Profits 2016'!T7258</f>
        <v>FEDEX GROUND</v>
      </c>
      <c r="P2042" s="284" t="str">
        <f>'Profits 2016'!U7258</f>
        <v>705963569794</v>
      </c>
      <c r="AF2042" s="276">
        <f t="shared" si="219"/>
        <v>92.5</v>
      </c>
      <c r="AG2042" s="276">
        <f t="shared" si="220"/>
        <v>0</v>
      </c>
      <c r="AH2042" s="276">
        <f t="shared" si="221"/>
        <v>141.81450000000001</v>
      </c>
      <c r="AI2042" s="283">
        <f t="shared" si="222"/>
        <v>1.5331297297297299</v>
      </c>
    </row>
    <row r="2043" spans="1:35" ht="30" x14ac:dyDescent="0.25">
      <c r="A2043" s="275">
        <f>'Profits 2016'!A7259</f>
        <v>3005701</v>
      </c>
      <c r="B2043" s="279">
        <f>'Profits 2016'!B7259</f>
        <v>42695</v>
      </c>
      <c r="C2043" s="276">
        <f>'Profits 2016'!H7259</f>
        <v>146.21</v>
      </c>
      <c r="D2043" s="280">
        <f>'Profits 2016'!K7259</f>
        <v>129.97311000000002</v>
      </c>
      <c r="E2043" s="276">
        <f>'Profits 2016'!L7259</f>
        <v>622</v>
      </c>
      <c r="F2043" s="275" t="str">
        <f>'Profits 2016'!P7259</f>
        <v>Nassau</v>
      </c>
      <c r="G2043" s="292">
        <f>'Profits 2016'!N7259-'Profits 2016'!M7259</f>
        <v>62.2</v>
      </c>
      <c r="H2043" s="319"/>
      <c r="I2043" s="320"/>
      <c r="J2043" s="321"/>
      <c r="K2043" s="321"/>
      <c r="L2043" s="321"/>
      <c r="M2043" s="319"/>
      <c r="N2043" s="322"/>
      <c r="O2043" s="236" t="str">
        <f>'Profits 2016'!T7259</f>
        <v>FEDEX GROUND</v>
      </c>
      <c r="P2043" s="284" t="str">
        <f>'Profits 2016'!U7259</f>
        <v>665645048283</v>
      </c>
      <c r="AF2043" s="276">
        <f t="shared" si="219"/>
        <v>72.2</v>
      </c>
      <c r="AG2043" s="276">
        <f t="shared" si="220"/>
        <v>0</v>
      </c>
      <c r="AH2043" s="276">
        <f t="shared" si="221"/>
        <v>129.97311000000002</v>
      </c>
      <c r="AI2043" s="283">
        <f t="shared" si="222"/>
        <v>1.8001815789473685</v>
      </c>
    </row>
    <row r="2044" spans="1:35" ht="30" x14ac:dyDescent="0.25">
      <c r="A2044" s="275">
        <f>'Profits 2016'!A7260</f>
        <v>3005702</v>
      </c>
      <c r="B2044" s="279">
        <f>'Profits 2016'!B7260</f>
        <v>42695</v>
      </c>
      <c r="C2044" s="276">
        <f>'Profits 2016'!H7260</f>
        <v>336.84</v>
      </c>
      <c r="D2044" s="280">
        <f>'Profits 2016'!K7260</f>
        <v>299.82443999999998</v>
      </c>
      <c r="E2044" s="276">
        <f>'Profits 2016'!L7260</f>
        <v>3150</v>
      </c>
      <c r="F2044" s="275" t="str">
        <f>'Profits 2016'!P7260</f>
        <v>Priority</v>
      </c>
      <c r="G2044" s="292">
        <f>'Profits 2016'!N7260-'Profits 2016'!M7260</f>
        <v>157.5</v>
      </c>
      <c r="H2044" s="331">
        <v>10</v>
      </c>
      <c r="I2044" s="332">
        <v>1078961</v>
      </c>
      <c r="J2044" s="333">
        <v>42695</v>
      </c>
      <c r="K2044" s="333">
        <v>42702</v>
      </c>
      <c r="L2044" s="333"/>
      <c r="M2044" s="331"/>
      <c r="N2044" s="334"/>
      <c r="O2044" s="236" t="str">
        <f>'Profits 2016'!T7260</f>
        <v>FEDEX GROUND</v>
      </c>
      <c r="P2044" s="284" t="str">
        <f>'Profits 2016'!U7260</f>
        <v xml:space="preserve">	616712878497</v>
      </c>
      <c r="Q2044" s="284" t="s">
        <v>15740</v>
      </c>
      <c r="R2044" s="276">
        <v>20.37</v>
      </c>
      <c r="S2044" s="332">
        <v>1078961</v>
      </c>
      <c r="T2044" s="333">
        <v>42695</v>
      </c>
      <c r="U2044" s="333">
        <v>42702</v>
      </c>
      <c r="AF2044" s="276">
        <f t="shared" si="219"/>
        <v>177.87</v>
      </c>
      <c r="AG2044" s="276">
        <f t="shared" si="220"/>
        <v>20.37</v>
      </c>
      <c r="AH2044" s="276">
        <f t="shared" si="221"/>
        <v>279.45443999999998</v>
      </c>
      <c r="AI2044" s="283">
        <f t="shared" si="222"/>
        <v>1.5711162084668577</v>
      </c>
    </row>
    <row r="2045" spans="1:35" ht="30" x14ac:dyDescent="0.25">
      <c r="A2045" s="275">
        <f>'Profits 2016'!A7261</f>
        <v>3005703</v>
      </c>
      <c r="B2045" s="279">
        <f>'Profits 2016'!B7261</f>
        <v>42695</v>
      </c>
      <c r="C2045" s="276">
        <f>'Profits 2016'!H7261</f>
        <v>120</v>
      </c>
      <c r="D2045" s="280">
        <f>'Profits 2016'!K7261</f>
        <v>106.62</v>
      </c>
      <c r="E2045" s="276">
        <f>'Profits 2016'!L7261</f>
        <v>424</v>
      </c>
      <c r="F2045" s="275" t="str">
        <f>'Profits 2016'!P7261</f>
        <v>Nassau</v>
      </c>
      <c r="G2045" s="292">
        <f>'Profits 2016'!N7261-'Profits 2016'!M7261</f>
        <v>42.400000000000006</v>
      </c>
      <c r="H2045" s="319"/>
      <c r="I2045" s="320"/>
      <c r="J2045" s="321"/>
      <c r="K2045" s="321"/>
      <c r="L2045" s="321"/>
      <c r="M2045" s="319"/>
      <c r="N2045" s="322"/>
      <c r="O2045" s="236" t="str">
        <f>'Profits 2016'!T7261</f>
        <v>FEDEX GROUND</v>
      </c>
      <c r="P2045" s="284" t="str">
        <f>'Profits 2016'!U7261</f>
        <v>702723293071</v>
      </c>
      <c r="AF2045" s="276">
        <f t="shared" si="219"/>
        <v>42.400000000000006</v>
      </c>
      <c r="AG2045" s="276">
        <f t="shared" si="220"/>
        <v>0</v>
      </c>
      <c r="AH2045" s="276">
        <f t="shared" si="221"/>
        <v>106.62</v>
      </c>
      <c r="AI2045" s="283">
        <f t="shared" si="222"/>
        <v>2.5146226415094337</v>
      </c>
    </row>
    <row r="2046" spans="1:35" ht="30" x14ac:dyDescent="0.25">
      <c r="A2046" s="275">
        <f>'Profits 2016'!A7262</f>
        <v>3005704</v>
      </c>
      <c r="B2046" s="279">
        <f>'Profits 2016'!B7262</f>
        <v>42695</v>
      </c>
      <c r="C2046" s="276">
        <f>'Profits 2016'!H7262</f>
        <v>110</v>
      </c>
      <c r="D2046" s="280">
        <f>'Profits 2016'!K7262</f>
        <v>93.5</v>
      </c>
      <c r="E2046" s="276">
        <f>'Profits 2016'!L7262</f>
        <v>250</v>
      </c>
      <c r="F2046" s="275" t="str">
        <f>'Profits 2016'!P7262</f>
        <v>Nassau</v>
      </c>
      <c r="G2046" s="292">
        <f>'Profits 2016'!N7262-'Profits 2016'!M7262</f>
        <v>50</v>
      </c>
      <c r="H2046" s="319"/>
      <c r="I2046" s="320"/>
      <c r="J2046" s="321"/>
      <c r="K2046" s="321"/>
      <c r="L2046" s="321"/>
      <c r="M2046" s="319"/>
      <c r="N2046" s="322"/>
      <c r="O2046" s="236" t="str">
        <f>'Profits 2016'!T7262</f>
        <v>FEDEX GROUND</v>
      </c>
      <c r="P2046" s="284" t="str">
        <f>'Profits 2016'!U7262</f>
        <v>702723293108</v>
      </c>
      <c r="AF2046" s="276">
        <f t="shared" si="219"/>
        <v>50</v>
      </c>
      <c r="AG2046" s="276">
        <f t="shared" si="220"/>
        <v>0</v>
      </c>
      <c r="AH2046" s="276">
        <f t="shared" si="221"/>
        <v>93.5</v>
      </c>
      <c r="AI2046" s="283">
        <f t="shared" si="222"/>
        <v>1.87</v>
      </c>
    </row>
    <row r="2047" spans="1:35" ht="30" x14ac:dyDescent="0.25">
      <c r="A2047" s="275">
        <f>'Profits 2016'!A7263</f>
        <v>3005705</v>
      </c>
      <c r="B2047" s="279">
        <f>'Profits 2016'!B7263</f>
        <v>42695</v>
      </c>
      <c r="C2047" s="276">
        <f>'Profits 2016'!H7263</f>
        <v>169.75</v>
      </c>
      <c r="D2047" s="280">
        <f>'Profits 2016'!K7263</f>
        <v>144.28749999999999</v>
      </c>
      <c r="E2047" s="276">
        <f>'Profits 2016'!L7263</f>
        <v>642.99</v>
      </c>
      <c r="F2047" s="275" t="str">
        <f>'Profits 2016'!P7263</f>
        <v>Nassau</v>
      </c>
      <c r="G2047" s="292">
        <f>'Profits 2016'!N7263-'Profits 2016'!M7263</f>
        <v>64.299000000000007</v>
      </c>
      <c r="H2047" s="319"/>
      <c r="I2047" s="320"/>
      <c r="J2047" s="321"/>
      <c r="K2047" s="321"/>
      <c r="L2047" s="321"/>
      <c r="M2047" s="319"/>
      <c r="N2047" s="322"/>
      <c r="O2047" s="236" t="str">
        <f>'Profits 2016'!T7263</f>
        <v>FEDEX GROUND</v>
      </c>
      <c r="P2047" s="284" t="str">
        <f>'Profits 2016'!U7263</f>
        <v>702723293093</v>
      </c>
      <c r="AF2047" s="276">
        <f t="shared" si="219"/>
        <v>64.299000000000007</v>
      </c>
      <c r="AG2047" s="276">
        <f t="shared" si="220"/>
        <v>0</v>
      </c>
      <c r="AH2047" s="276">
        <f t="shared" si="221"/>
        <v>144.28749999999999</v>
      </c>
      <c r="AI2047" s="283">
        <f t="shared" si="222"/>
        <v>2.244008460473724</v>
      </c>
    </row>
    <row r="2048" spans="1:35" ht="30" x14ac:dyDescent="0.25">
      <c r="A2048" s="275">
        <f>'Profits 2016'!A7264</f>
        <v>3005706</v>
      </c>
      <c r="B2048" s="279">
        <f>'Profits 2016'!B7264</f>
        <v>42695</v>
      </c>
      <c r="C2048" s="276">
        <f>'Profits 2016'!H7264</f>
        <v>82.15</v>
      </c>
      <c r="D2048" s="280">
        <f>'Profits 2016'!K7264</f>
        <v>69.827500000000001</v>
      </c>
      <c r="E2048" s="276">
        <f>'Profits 2016'!L7264</f>
        <v>250</v>
      </c>
      <c r="F2048" s="275" t="str">
        <f>'Profits 2016'!P7264</f>
        <v>Nassau</v>
      </c>
      <c r="G2048" s="292">
        <f>'Profits 2016'!N7264-'Profits 2016'!M7264</f>
        <v>50</v>
      </c>
      <c r="H2048" s="319"/>
      <c r="I2048" s="320"/>
      <c r="J2048" s="321"/>
      <c r="K2048" s="321"/>
      <c r="L2048" s="321"/>
      <c r="M2048" s="319"/>
      <c r="N2048" s="322"/>
      <c r="O2048" s="236" t="str">
        <f>'Profits 2016'!T7264</f>
        <v>FEDEX GROUND</v>
      </c>
      <c r="P2048" s="284" t="str">
        <f>'Profits 2016'!U7264</f>
        <v>665645048191</v>
      </c>
      <c r="AF2048" s="276">
        <f t="shared" si="219"/>
        <v>50</v>
      </c>
      <c r="AG2048" s="276">
        <f t="shared" si="220"/>
        <v>0</v>
      </c>
      <c r="AH2048" s="276">
        <f t="shared" si="221"/>
        <v>69.827500000000001</v>
      </c>
      <c r="AI2048" s="283">
        <f t="shared" si="222"/>
        <v>1.39655</v>
      </c>
    </row>
    <row r="2049" spans="1:35" ht="30" x14ac:dyDescent="0.25">
      <c r="A2049" s="275">
        <f>'Profits 2016'!A7265</f>
        <v>3005707</v>
      </c>
      <c r="B2049" s="279">
        <f>'Profits 2016'!B7265</f>
        <v>42695</v>
      </c>
      <c r="C2049" s="276">
        <f>'Profits 2016'!H7265</f>
        <v>100</v>
      </c>
      <c r="D2049" s="280">
        <f>'Profits 2016'!K7265</f>
        <v>85</v>
      </c>
      <c r="E2049" s="276">
        <f>'Profits 2016'!L7265</f>
        <v>900</v>
      </c>
      <c r="F2049" s="275" t="str">
        <f>'Profits 2016'!P7265</f>
        <v>Nassau</v>
      </c>
      <c r="G2049" s="292">
        <f>'Profits 2016'!N7265-'Profits 2016'!M7265</f>
        <v>45</v>
      </c>
      <c r="H2049" s="319"/>
      <c r="I2049" s="320"/>
      <c r="J2049" s="321"/>
      <c r="K2049" s="321"/>
      <c r="L2049" s="321"/>
      <c r="M2049" s="319"/>
      <c r="N2049" s="322"/>
      <c r="O2049" s="236" t="str">
        <f>'Profits 2016'!T7265</f>
        <v>FEDEX GROUND</v>
      </c>
      <c r="P2049" s="284" t="str">
        <f>'Profits 2016'!U7265</f>
        <v>665645048250</v>
      </c>
      <c r="AF2049" s="276">
        <f t="shared" si="219"/>
        <v>45</v>
      </c>
      <c r="AG2049" s="276">
        <f t="shared" si="220"/>
        <v>0</v>
      </c>
      <c r="AH2049" s="276">
        <f t="shared" si="221"/>
        <v>85</v>
      </c>
      <c r="AI2049" s="283">
        <f t="shared" si="222"/>
        <v>1.8888888888888888</v>
      </c>
    </row>
    <row r="2050" spans="1:35" ht="30" x14ac:dyDescent="0.25">
      <c r="A2050" s="275">
        <f>'Profits 2016'!A7266</f>
        <v>3005708</v>
      </c>
      <c r="B2050" s="279">
        <f>'Profits 2016'!B7266</f>
        <v>42695</v>
      </c>
      <c r="C2050" s="276">
        <f>'Profits 2016'!H7266</f>
        <v>100</v>
      </c>
      <c r="D2050" s="280">
        <f>'Profits 2016'!K7266</f>
        <v>85</v>
      </c>
      <c r="E2050" s="276">
        <f>'Profits 2016'!L7266</f>
        <v>900</v>
      </c>
      <c r="F2050" s="275" t="str">
        <f>'Profits 2016'!P7266</f>
        <v>Nassau</v>
      </c>
      <c r="G2050" s="292">
        <f>'Profits 2016'!N7266-'Profits 2016'!M7266</f>
        <v>45</v>
      </c>
      <c r="H2050" s="319"/>
      <c r="I2050" s="320"/>
      <c r="J2050" s="321"/>
      <c r="K2050" s="321"/>
      <c r="L2050" s="321"/>
      <c r="M2050" s="319"/>
      <c r="N2050" s="322"/>
      <c r="O2050" s="236" t="str">
        <f>'Profits 2016'!T7266</f>
        <v>FEDEX GROUND</v>
      </c>
      <c r="P2050" s="284" t="str">
        <f>'Profits 2016'!U7266</f>
        <v>665645048261</v>
      </c>
      <c r="AF2050" s="276">
        <f t="shared" si="219"/>
        <v>45</v>
      </c>
      <c r="AG2050" s="276">
        <f t="shared" si="220"/>
        <v>0</v>
      </c>
      <c r="AH2050" s="276">
        <f t="shared" si="221"/>
        <v>85</v>
      </c>
      <c r="AI2050" s="283">
        <f t="shared" si="222"/>
        <v>1.8888888888888888</v>
      </c>
    </row>
    <row r="2051" spans="1:35" ht="30" x14ac:dyDescent="0.25">
      <c r="A2051" s="275">
        <f>'Profits 2016'!A7267</f>
        <v>3005709</v>
      </c>
      <c r="B2051" s="279">
        <f>'Profits 2016'!B7267</f>
        <v>42695</v>
      </c>
      <c r="C2051" s="276">
        <f>'Profits 2016'!H7267</f>
        <v>297.79000000000002</v>
      </c>
      <c r="D2051" s="280">
        <f>'Profits 2016'!K7267</f>
        <v>253.12150000000003</v>
      </c>
      <c r="E2051" s="276">
        <f>'Profits 2016'!L7267</f>
        <v>300</v>
      </c>
      <c r="F2051" s="275" t="str">
        <f>'Profits 2016'!P7267</f>
        <v>Nassau</v>
      </c>
      <c r="G2051" s="292">
        <f>'Profits 2016'!N7267-'Profits 2016'!M7267</f>
        <v>150</v>
      </c>
      <c r="H2051" s="319"/>
      <c r="I2051" s="320"/>
      <c r="J2051" s="321"/>
      <c r="K2051" s="321"/>
      <c r="L2051" s="321"/>
      <c r="M2051" s="319"/>
      <c r="N2051" s="322"/>
      <c r="O2051" s="236" t="str">
        <f>'Profits 2016'!T7267</f>
        <v>FEDEX GROUND</v>
      </c>
      <c r="P2051" s="284" t="str">
        <f>'Profits 2016'!U7267</f>
        <v>665645048310</v>
      </c>
      <c r="AF2051" s="276">
        <f t="shared" si="219"/>
        <v>150</v>
      </c>
      <c r="AG2051" s="276">
        <f t="shared" si="220"/>
        <v>0</v>
      </c>
      <c r="AH2051" s="276">
        <f t="shared" si="221"/>
        <v>253.12150000000003</v>
      </c>
      <c r="AI2051" s="283">
        <f t="shared" si="222"/>
        <v>1.6874766666666667</v>
      </c>
    </row>
    <row r="2052" spans="1:35" ht="30" x14ac:dyDescent="0.25">
      <c r="A2052" s="275">
        <f>'Profits 2016'!A7268</f>
        <v>3005710</v>
      </c>
      <c r="B2052" s="279">
        <f>'Profits 2016'!B7268</f>
        <v>42695</v>
      </c>
      <c r="C2052" s="276">
        <f>'Profits 2016'!H7268</f>
        <v>169.75</v>
      </c>
      <c r="D2052" s="280">
        <f>'Profits 2016'!K7268</f>
        <v>144.28749999999999</v>
      </c>
      <c r="E2052" s="276">
        <f>'Profits 2016'!L7268</f>
        <v>642.99</v>
      </c>
      <c r="F2052" s="275" t="str">
        <f>'Profits 2016'!P7268</f>
        <v>Nassau</v>
      </c>
      <c r="G2052" s="292">
        <f>'Profits 2016'!N7268-'Profits 2016'!M7268</f>
        <v>64.299000000000007</v>
      </c>
      <c r="H2052" s="319"/>
      <c r="I2052" s="320"/>
      <c r="J2052" s="321"/>
      <c r="K2052" s="321"/>
      <c r="L2052" s="321"/>
      <c r="M2052" s="319"/>
      <c r="N2052" s="322"/>
      <c r="O2052" s="236" t="str">
        <f>'Profits 2016'!T7268</f>
        <v>FEDEX GROUND</v>
      </c>
      <c r="P2052" s="284" t="str">
        <f>'Profits 2016'!U7268</f>
        <v>665645048239</v>
      </c>
      <c r="AF2052" s="276">
        <f t="shared" si="219"/>
        <v>64.299000000000007</v>
      </c>
      <c r="AG2052" s="276">
        <f t="shared" si="220"/>
        <v>0</v>
      </c>
      <c r="AH2052" s="276">
        <f t="shared" si="221"/>
        <v>144.28749999999999</v>
      </c>
      <c r="AI2052" s="283">
        <f t="shared" si="222"/>
        <v>2.244008460473724</v>
      </c>
    </row>
    <row r="2053" spans="1:35" ht="30" x14ac:dyDescent="0.25">
      <c r="A2053" s="275">
        <f>'Profits 2016'!A7269</f>
        <v>3005711</v>
      </c>
      <c r="B2053" s="279">
        <f>'Profits 2016'!B7269</f>
        <v>42695</v>
      </c>
      <c r="C2053" s="276">
        <f>'Profits 2016'!H7269</f>
        <v>160</v>
      </c>
      <c r="D2053" s="280">
        <f>'Profits 2016'!K7269</f>
        <v>136</v>
      </c>
      <c r="E2053" s="276">
        <f>'Profits 2016'!L7269</f>
        <v>424</v>
      </c>
      <c r="F2053" s="275" t="str">
        <f>'Profits 2016'!P7269</f>
        <v>Nassau</v>
      </c>
      <c r="G2053" s="292">
        <f>'Profits 2016'!N7269-'Profits 2016'!M7269</f>
        <v>74.2</v>
      </c>
      <c r="H2053" s="319"/>
      <c r="I2053" s="320"/>
      <c r="J2053" s="321"/>
      <c r="K2053" s="321"/>
      <c r="L2053" s="321"/>
      <c r="M2053" s="319"/>
      <c r="N2053" s="322"/>
      <c r="O2053" s="236" t="str">
        <f>'Profits 2016'!T7269</f>
        <v>FEDEX GROUND</v>
      </c>
      <c r="P2053" s="284" t="str">
        <f>'Profits 2016'!U7269</f>
        <v>702723293082</v>
      </c>
      <c r="AF2053" s="276">
        <f t="shared" si="219"/>
        <v>74.2</v>
      </c>
      <c r="AG2053" s="276">
        <f t="shared" si="220"/>
        <v>0</v>
      </c>
      <c r="AH2053" s="276">
        <f t="shared" si="221"/>
        <v>136</v>
      </c>
      <c r="AI2053" s="283">
        <f t="shared" si="222"/>
        <v>1.8328840970350404</v>
      </c>
    </row>
    <row r="2054" spans="1:35" ht="30" x14ac:dyDescent="0.25">
      <c r="A2054" s="275">
        <f>'Profits 2016'!A7270</f>
        <v>3005712</v>
      </c>
      <c r="B2054" s="279">
        <f>'Profits 2016'!B7270</f>
        <v>42695</v>
      </c>
      <c r="C2054" s="276">
        <f>'Profits 2016'!H7270</f>
        <v>106</v>
      </c>
      <c r="D2054" s="280">
        <f>'Profits 2016'!K7270</f>
        <v>90.1</v>
      </c>
      <c r="E2054" s="276">
        <f>'Profits 2016'!L7270</f>
        <v>642.99</v>
      </c>
      <c r="F2054" s="275" t="str">
        <f>'Profits 2016'!P7270</f>
        <v>Nassau</v>
      </c>
      <c r="G2054" s="292">
        <f>'Profits 2016'!N7270-'Profits 2016'!M7270</f>
        <v>48.224249999999998</v>
      </c>
      <c r="H2054" s="319"/>
      <c r="I2054" s="320"/>
      <c r="J2054" s="321"/>
      <c r="K2054" s="321"/>
      <c r="L2054" s="321"/>
      <c r="M2054" s="319"/>
      <c r="N2054" s="322"/>
      <c r="O2054" s="236" t="str">
        <f>'Profits 2016'!T7270</f>
        <v>FEDEX GROUND</v>
      </c>
      <c r="P2054" s="284" t="str">
        <f>'Profits 2016'!U7270</f>
        <v>665645048272</v>
      </c>
      <c r="AF2054" s="276">
        <f t="shared" si="219"/>
        <v>48.224249999999998</v>
      </c>
      <c r="AG2054" s="276">
        <f t="shared" si="220"/>
        <v>0</v>
      </c>
      <c r="AH2054" s="276">
        <f t="shared" si="221"/>
        <v>90.1</v>
      </c>
      <c r="AI2054" s="283">
        <f t="shared" si="222"/>
        <v>1.8683546141204892</v>
      </c>
    </row>
    <row r="2055" spans="1:35" ht="30" x14ac:dyDescent="0.25">
      <c r="A2055" s="275">
        <f>'Profits 2016'!A7271</f>
        <v>3005713</v>
      </c>
      <c r="B2055" s="279">
        <f>'Profits 2016'!B7271</f>
        <v>42695</v>
      </c>
      <c r="C2055" s="276">
        <f>'Profits 2016'!H7271</f>
        <v>225</v>
      </c>
      <c r="D2055" s="280">
        <f>'Profits 2016'!K7271</f>
        <v>191.25</v>
      </c>
      <c r="E2055" s="276">
        <f>'Profits 2016'!L7271</f>
        <v>595</v>
      </c>
      <c r="F2055" s="275" t="str">
        <f>'Profits 2016'!P7271</f>
        <v>Nassau</v>
      </c>
      <c r="G2055" s="292">
        <f>'Profits 2016'!N7271-'Profits 2016'!M7271</f>
        <v>133.875</v>
      </c>
      <c r="H2055" s="319"/>
      <c r="I2055" s="320"/>
      <c r="J2055" s="321"/>
      <c r="K2055" s="321"/>
      <c r="L2055" s="321"/>
      <c r="M2055" s="319"/>
      <c r="N2055" s="322"/>
      <c r="O2055" s="236" t="str">
        <f>'Profits 2016'!T7271</f>
        <v>FEDEX GROUND</v>
      </c>
      <c r="P2055" s="284" t="str">
        <f>'Profits 2016'!U7271</f>
        <v>665645048228</v>
      </c>
      <c r="AF2055" s="276">
        <f t="shared" si="219"/>
        <v>133.875</v>
      </c>
      <c r="AG2055" s="276">
        <f t="shared" si="220"/>
        <v>0</v>
      </c>
      <c r="AH2055" s="276">
        <f t="shared" si="221"/>
        <v>191.25</v>
      </c>
      <c r="AI2055" s="283">
        <f t="shared" si="222"/>
        <v>1.4285714285714286</v>
      </c>
    </row>
    <row r="2056" spans="1:35" ht="30" x14ac:dyDescent="0.25">
      <c r="A2056" s="275">
        <f>'Profits 2016'!A7272</f>
        <v>3005714</v>
      </c>
      <c r="B2056" s="279">
        <f>'Profits 2016'!B7272</f>
        <v>42695</v>
      </c>
      <c r="C2056" s="276">
        <f>'Profits 2016'!H7272</f>
        <v>661.2</v>
      </c>
      <c r="D2056" s="280">
        <f>'Profits 2016'!K7272</f>
        <v>588.82920000000001</v>
      </c>
      <c r="E2056" s="276">
        <f>'Profits 2016'!L7272</f>
        <v>1100</v>
      </c>
      <c r="F2056" s="275" t="str">
        <f>'Profits 2016'!P7272</f>
        <v>Nassau</v>
      </c>
      <c r="G2056" s="292">
        <f>'Profits 2016'!N7272-'Profits 2016'!M7272</f>
        <v>330</v>
      </c>
      <c r="H2056" s="319"/>
      <c r="I2056" s="320"/>
      <c r="J2056" s="321"/>
      <c r="K2056" s="321"/>
      <c r="L2056" s="321"/>
      <c r="M2056" s="319"/>
      <c r="N2056" s="322"/>
      <c r="O2056" s="236" t="str">
        <f>'Profits 2016'!T7272</f>
        <v>FEDEX GROUND</v>
      </c>
      <c r="P2056" s="284" t="str">
        <f>'Profits 2016'!U7272</f>
        <v>665645048158</v>
      </c>
      <c r="AF2056" s="276">
        <f t="shared" si="219"/>
        <v>330</v>
      </c>
      <c r="AG2056" s="276">
        <f t="shared" si="220"/>
        <v>0</v>
      </c>
      <c r="AH2056" s="276">
        <f t="shared" si="221"/>
        <v>588.82920000000001</v>
      </c>
      <c r="AI2056" s="283">
        <f t="shared" si="222"/>
        <v>1.7843309090909092</v>
      </c>
    </row>
    <row r="2057" spans="1:35" ht="30" x14ac:dyDescent="0.25">
      <c r="A2057" s="275">
        <f>'Profits 2016'!A7273</f>
        <v>3005715</v>
      </c>
      <c r="B2057" s="279">
        <f>'Profits 2016'!B7273</f>
        <v>42695</v>
      </c>
      <c r="C2057" s="276">
        <f>'Profits 2016'!H7273</f>
        <v>100</v>
      </c>
      <c r="D2057" s="280">
        <f>'Profits 2016'!K7273</f>
        <v>85</v>
      </c>
      <c r="E2057" s="276">
        <f>'Profits 2016'!L7273</f>
        <v>180</v>
      </c>
      <c r="F2057" s="275" t="str">
        <f>'Profits 2016'!P7273</f>
        <v>Priority</v>
      </c>
      <c r="G2057" s="292">
        <f>'Profits 2016'!N7273-'Profits 2016'!M7273</f>
        <v>90</v>
      </c>
      <c r="H2057" s="331">
        <v>0</v>
      </c>
      <c r="I2057" s="332">
        <v>1078906</v>
      </c>
      <c r="J2057" s="333">
        <v>42695</v>
      </c>
      <c r="K2057" s="333">
        <v>42702</v>
      </c>
      <c r="L2057" s="333"/>
      <c r="M2057" s="331"/>
      <c r="N2057" s="334"/>
      <c r="O2057" s="236" t="str">
        <f>'Profits 2016'!T7273</f>
        <v>FEDEX GROUND</v>
      </c>
      <c r="P2057" s="284">
        <f>'Profits 2016'!U7273</f>
        <v>616712878475</v>
      </c>
      <c r="Q2057" s="284" t="s">
        <v>15740</v>
      </c>
      <c r="R2057" s="276">
        <v>16.13</v>
      </c>
      <c r="S2057" s="332">
        <v>1078906</v>
      </c>
      <c r="T2057" s="333">
        <v>42695</v>
      </c>
      <c r="U2057" s="333">
        <v>42702</v>
      </c>
      <c r="AF2057" s="276">
        <f t="shared" si="219"/>
        <v>106.13</v>
      </c>
      <c r="AG2057" s="276">
        <f t="shared" si="220"/>
        <v>16.13</v>
      </c>
      <c r="AH2057" s="276">
        <f t="shared" si="221"/>
        <v>68.87</v>
      </c>
      <c r="AI2057" s="283">
        <f t="shared" si="222"/>
        <v>0.64892113445774058</v>
      </c>
    </row>
    <row r="2058" spans="1:35" ht="30" x14ac:dyDescent="0.25">
      <c r="A2058" s="275">
        <f>'Profits 2016'!A7274</f>
        <v>3005716</v>
      </c>
      <c r="B2058" s="279">
        <f>'Profits 2016'!B7274</f>
        <v>42695</v>
      </c>
      <c r="C2058" s="276">
        <f>'Profits 2016'!H7274</f>
        <v>176.54</v>
      </c>
      <c r="D2058" s="280">
        <f>'Profits 2016'!K7274</f>
        <v>150.059</v>
      </c>
      <c r="E2058" s="276">
        <f>'Profits 2016'!L7274</f>
        <v>1180</v>
      </c>
      <c r="F2058" s="275" t="str">
        <f>'Profits 2016'!P7274</f>
        <v>Direct</v>
      </c>
      <c r="G2058" s="292">
        <f>'Profits 2016'!N7274-'Profits 2016'!M7274</f>
        <v>59</v>
      </c>
      <c r="H2058" s="331">
        <v>0</v>
      </c>
      <c r="I2058" s="332">
        <v>76977</v>
      </c>
      <c r="J2058" s="333">
        <v>42696</v>
      </c>
      <c r="K2058" s="333">
        <v>42705</v>
      </c>
      <c r="L2058" s="333"/>
      <c r="M2058" s="331"/>
      <c r="N2058" s="334"/>
      <c r="O2058" s="236" t="str">
        <f>'Profits 2016'!T7274</f>
        <v>Committed</v>
      </c>
      <c r="P2058" s="284">
        <f>'Profits 2016'!U7274</f>
        <v>0</v>
      </c>
      <c r="AF2058" s="276">
        <f t="shared" si="219"/>
        <v>59</v>
      </c>
      <c r="AG2058" s="276">
        <f t="shared" si="220"/>
        <v>0</v>
      </c>
      <c r="AH2058" s="276">
        <f t="shared" si="221"/>
        <v>150.059</v>
      </c>
      <c r="AI2058" s="283">
        <f t="shared" si="222"/>
        <v>2.543372881355932</v>
      </c>
    </row>
    <row r="2059" spans="1:35" x14ac:dyDescent="0.25">
      <c r="A2059" s="275">
        <f>'Profits 2016'!A7275</f>
        <v>0</v>
      </c>
      <c r="B2059" s="279">
        <f>'Profits 2016'!B7275</f>
        <v>0</v>
      </c>
      <c r="C2059" s="276">
        <f>'Profits 2016'!H7275</f>
        <v>0</v>
      </c>
      <c r="D2059" s="280">
        <f>'Profits 2016'!K7275</f>
        <v>0</v>
      </c>
      <c r="E2059" s="276">
        <f>'Profits 2016'!L7275</f>
        <v>1180</v>
      </c>
      <c r="F2059" s="275" t="str">
        <f>'Profits 2016'!P7275</f>
        <v>Direct</v>
      </c>
      <c r="G2059" s="292">
        <f>'Profits 2016'!N7275-'Profits 2016'!M7275</f>
        <v>59</v>
      </c>
      <c r="H2059" s="331">
        <v>0</v>
      </c>
      <c r="I2059" s="332">
        <v>76977</v>
      </c>
      <c r="J2059" s="333">
        <v>42696</v>
      </c>
      <c r="K2059" s="333">
        <v>42705</v>
      </c>
      <c r="L2059" s="333"/>
      <c r="M2059" s="331"/>
      <c r="N2059" s="334"/>
      <c r="O2059" s="236">
        <f>'Profits 2016'!T7275</f>
        <v>0</v>
      </c>
      <c r="P2059" s="284">
        <f>'Profits 2016'!U7275</f>
        <v>0</v>
      </c>
      <c r="AF2059" s="276">
        <f t="shared" si="219"/>
        <v>59</v>
      </c>
      <c r="AG2059" s="276">
        <f t="shared" si="220"/>
        <v>0</v>
      </c>
      <c r="AH2059" s="276">
        <f t="shared" si="221"/>
        <v>0</v>
      </c>
      <c r="AI2059" s="283">
        <f t="shared" si="222"/>
        <v>0</v>
      </c>
    </row>
    <row r="2060" spans="1:35" ht="30" x14ac:dyDescent="0.25">
      <c r="A2060" s="275">
        <f>'Profits 2016'!A7276</f>
        <v>3005717</v>
      </c>
      <c r="B2060" s="279">
        <f>'Profits 2016'!B7276</f>
        <v>42695</v>
      </c>
      <c r="C2060" s="276">
        <f>'Profits 2016'!H7276</f>
        <v>2685</v>
      </c>
      <c r="D2060" s="280">
        <f>'Profits 2016'!K7276</f>
        <v>2685</v>
      </c>
      <c r="E2060" s="276">
        <f>'Profits 2016'!L7276</f>
        <v>0</v>
      </c>
      <c r="F2060" s="275" t="str">
        <f>'Profits 2016'!P7276</f>
        <v>Nassau</v>
      </c>
      <c r="G2060" s="292">
        <f>'Profits 2016'!N7276-'Profits 2016'!M7276</f>
        <v>0</v>
      </c>
      <c r="H2060" s="319"/>
      <c r="I2060" s="320"/>
      <c r="J2060" s="321"/>
      <c r="K2060" s="321"/>
      <c r="L2060" s="321"/>
      <c r="M2060" s="319"/>
      <c r="N2060" s="322"/>
      <c r="O2060" s="236" t="str">
        <f>'Profits 2016'!T7276</f>
        <v>NEW PENN/DLS</v>
      </c>
      <c r="P2060" s="284" t="str">
        <f>'Profits 2016'!U7276</f>
        <v>88778522</v>
      </c>
      <c r="AF2060" s="276">
        <f t="shared" si="219"/>
        <v>0</v>
      </c>
      <c r="AG2060" s="276">
        <f t="shared" si="220"/>
        <v>0</v>
      </c>
      <c r="AH2060" s="276">
        <f t="shared" si="221"/>
        <v>2685</v>
      </c>
      <c r="AI2060" s="283" t="e">
        <f t="shared" si="222"/>
        <v>#DIV/0!</v>
      </c>
    </row>
    <row r="2061" spans="1:35" x14ac:dyDescent="0.25">
      <c r="A2061" s="275">
        <f>'Profits 2016'!A7277</f>
        <v>0</v>
      </c>
      <c r="B2061" s="279">
        <f>'Profits 2016'!B7277</f>
        <v>0</v>
      </c>
      <c r="C2061" s="276">
        <f>'Profits 2016'!H7277</f>
        <v>0</v>
      </c>
      <c r="D2061" s="280">
        <f>'Profits 2016'!K7277</f>
        <v>0</v>
      </c>
      <c r="E2061" s="276">
        <f>'Profits 2016'!L7277</f>
        <v>0</v>
      </c>
      <c r="F2061" s="275" t="str">
        <f>'Profits 2016'!P7277</f>
        <v>Nassau</v>
      </c>
      <c r="G2061" s="292">
        <f>'Profits 2016'!N7277-'Profits 2016'!M7277</f>
        <v>0</v>
      </c>
      <c r="H2061" s="319"/>
      <c r="I2061" s="320"/>
      <c r="J2061" s="321"/>
      <c r="K2061" s="321"/>
      <c r="L2061" s="321"/>
      <c r="M2061" s="319"/>
      <c r="N2061" s="322"/>
      <c r="O2061" s="236">
        <f>'Profits 2016'!T7277</f>
        <v>0</v>
      </c>
      <c r="P2061" s="284">
        <f>'Profits 2016'!U7277</f>
        <v>0</v>
      </c>
      <c r="AF2061" s="276">
        <f t="shared" si="219"/>
        <v>0</v>
      </c>
      <c r="AG2061" s="276">
        <f t="shared" si="220"/>
        <v>0</v>
      </c>
      <c r="AH2061" s="276">
        <f t="shared" si="221"/>
        <v>0</v>
      </c>
      <c r="AI2061" s="283" t="e">
        <f t="shared" si="222"/>
        <v>#DIV/0!</v>
      </c>
    </row>
    <row r="2062" spans="1:35" x14ac:dyDescent="0.25">
      <c r="A2062" s="275">
        <f>'Profits 2016'!A7278</f>
        <v>0</v>
      </c>
      <c r="B2062" s="279">
        <f>'Profits 2016'!B7278</f>
        <v>0</v>
      </c>
      <c r="C2062" s="276">
        <f>'Profits 2016'!H7278</f>
        <v>0</v>
      </c>
      <c r="D2062" s="280">
        <f>'Profits 2016'!K7278</f>
        <v>0</v>
      </c>
      <c r="E2062" s="276">
        <f>'Profits 2016'!L7278</f>
        <v>0</v>
      </c>
      <c r="F2062" s="275" t="str">
        <f>'Profits 2016'!P7278</f>
        <v>Nassau</v>
      </c>
      <c r="G2062" s="292">
        <f>'Profits 2016'!N7278-'Profits 2016'!M7278</f>
        <v>0</v>
      </c>
      <c r="H2062" s="319"/>
      <c r="I2062" s="320"/>
      <c r="J2062" s="321"/>
      <c r="K2062" s="321"/>
      <c r="L2062" s="321"/>
      <c r="M2062" s="319"/>
      <c r="N2062" s="322"/>
      <c r="O2062" s="236">
        <f>'Profits 2016'!T7278</f>
        <v>0</v>
      </c>
      <c r="P2062" s="284">
        <f>'Profits 2016'!U7278</f>
        <v>0</v>
      </c>
      <c r="AF2062" s="276">
        <f t="shared" si="219"/>
        <v>0</v>
      </c>
      <c r="AG2062" s="276">
        <f t="shared" si="220"/>
        <v>0</v>
      </c>
      <c r="AH2062" s="276">
        <f t="shared" si="221"/>
        <v>0</v>
      </c>
      <c r="AI2062" s="283" t="e">
        <f t="shared" si="222"/>
        <v>#DIV/0!</v>
      </c>
    </row>
    <row r="2063" spans="1:35" ht="30" x14ac:dyDescent="0.25">
      <c r="A2063" s="275">
        <f>'Profits 2016'!A7279</f>
        <v>0</v>
      </c>
      <c r="B2063" s="279">
        <f>'Profits 2016'!B7279</f>
        <v>0</v>
      </c>
      <c r="C2063" s="276">
        <f>'Profits 2016'!H7279</f>
        <v>0</v>
      </c>
      <c r="D2063" s="280">
        <f>'Profits 2016'!K7279</f>
        <v>0</v>
      </c>
      <c r="E2063" s="276">
        <f>'Profits 2016'!L7279</f>
        <v>155.27000000000001</v>
      </c>
      <c r="F2063" s="275" t="str">
        <f>'Profits 2016'!P7279</f>
        <v>General</v>
      </c>
      <c r="G2063" s="292">
        <f>'Profits 2016'!N7279-'Profits 2016'!M7279</f>
        <v>77.635000000000019</v>
      </c>
      <c r="H2063" s="331">
        <v>0</v>
      </c>
      <c r="I2063" s="332">
        <v>3796021</v>
      </c>
      <c r="J2063" s="333">
        <v>42696</v>
      </c>
      <c r="K2063" s="333">
        <v>42702</v>
      </c>
      <c r="L2063" s="333"/>
      <c r="M2063" s="331"/>
      <c r="N2063" s="334"/>
      <c r="O2063" s="236" t="str">
        <f>'Profits 2016'!T7279</f>
        <v>UPS GROUND</v>
      </c>
      <c r="P2063" s="284" t="str">
        <f>'Profits 2016'!U7279</f>
        <v>1Z9X760X0363448773</v>
      </c>
      <c r="Q2063" s="284" t="s">
        <v>15741</v>
      </c>
      <c r="R2063" s="276">
        <v>47.54</v>
      </c>
      <c r="S2063" s="332">
        <v>3796021</v>
      </c>
      <c r="T2063" s="333">
        <v>42696</v>
      </c>
      <c r="U2063" s="333">
        <v>42702</v>
      </c>
      <c r="V2063" s="333"/>
      <c r="AF2063" s="276">
        <f t="shared" si="219"/>
        <v>125.17500000000001</v>
      </c>
      <c r="AG2063" s="276">
        <f t="shared" si="220"/>
        <v>47.54</v>
      </c>
      <c r="AH2063" s="276">
        <f t="shared" si="221"/>
        <v>-47.54</v>
      </c>
      <c r="AI2063" s="283">
        <f t="shared" si="222"/>
        <v>-0.3797882963850609</v>
      </c>
    </row>
    <row r="2064" spans="1:35" x14ac:dyDescent="0.25">
      <c r="A2064" s="275">
        <f>'Profits 2016'!A7280</f>
        <v>0</v>
      </c>
      <c r="B2064" s="279">
        <f>'Profits 2016'!B7280</f>
        <v>0</v>
      </c>
      <c r="C2064" s="276">
        <f>'Profits 2016'!H7280</f>
        <v>0</v>
      </c>
      <c r="D2064" s="280">
        <f>'Profits 2016'!K7280</f>
        <v>0</v>
      </c>
      <c r="E2064" s="276">
        <f>'Profits 2016'!L7280</f>
        <v>195.29</v>
      </c>
      <c r="F2064" s="275" t="str">
        <f>'Profits 2016'!P7280</f>
        <v>General</v>
      </c>
      <c r="G2064" s="292">
        <f>'Profits 2016'!N7280-'Profits 2016'!M7280</f>
        <v>97.644999999999996</v>
      </c>
      <c r="H2064" s="331">
        <v>0</v>
      </c>
      <c r="I2064" s="332">
        <v>3796021</v>
      </c>
      <c r="J2064" s="333">
        <v>42696</v>
      </c>
      <c r="K2064" s="333">
        <v>42702</v>
      </c>
      <c r="L2064" s="333"/>
      <c r="M2064" s="331"/>
      <c r="N2064" s="334"/>
      <c r="O2064" s="236">
        <f>'Profits 2016'!T7280</f>
        <v>0</v>
      </c>
      <c r="P2064" s="284">
        <f>'Profits 2016'!U7280</f>
        <v>0</v>
      </c>
      <c r="Q2064" s="284" t="s">
        <v>15741</v>
      </c>
      <c r="R2064" s="276">
        <v>0</v>
      </c>
      <c r="S2064" s="332">
        <v>3796021</v>
      </c>
      <c r="T2064" s="333">
        <v>42696</v>
      </c>
      <c r="U2064" s="333">
        <v>42702</v>
      </c>
      <c r="V2064" s="333"/>
      <c r="AF2064" s="276">
        <f t="shared" si="219"/>
        <v>97.644999999999996</v>
      </c>
      <c r="AG2064" s="276">
        <f t="shared" si="220"/>
        <v>0</v>
      </c>
      <c r="AH2064" s="276">
        <f t="shared" si="221"/>
        <v>0</v>
      </c>
      <c r="AI2064" s="283">
        <f t="shared" si="222"/>
        <v>0</v>
      </c>
    </row>
    <row r="2065" spans="1:35" ht="30" x14ac:dyDescent="0.25">
      <c r="A2065" s="275">
        <f>'Profits 2016'!A7281</f>
        <v>0</v>
      </c>
      <c r="B2065" s="279">
        <f>'Profits 2016'!B7281</f>
        <v>0</v>
      </c>
      <c r="C2065" s="276">
        <f>'Profits 2016'!H7281</f>
        <v>0</v>
      </c>
      <c r="D2065" s="280">
        <f>'Profits 2016'!K7281</f>
        <v>0</v>
      </c>
      <c r="E2065" s="276">
        <f>'Profits 2016'!L7281</f>
        <v>0</v>
      </c>
      <c r="F2065" s="275" t="str">
        <f>'Profits 2016'!P7281</f>
        <v>Nassau</v>
      </c>
      <c r="G2065" s="292">
        <f>'Profits 2016'!N7281-'Profits 2016'!M7281</f>
        <v>0</v>
      </c>
      <c r="H2065" s="319"/>
      <c r="I2065" s="320"/>
      <c r="J2065" s="321"/>
      <c r="K2065" s="321"/>
      <c r="L2065" s="321"/>
      <c r="M2065" s="319"/>
      <c r="N2065" s="322"/>
      <c r="O2065" s="236" t="str">
        <f>'Profits 2016'!T7281</f>
        <v>NEW PENN/DLS</v>
      </c>
      <c r="P2065" s="284" t="str">
        <f>'Profits 2016'!U7281</f>
        <v>88778522</v>
      </c>
      <c r="AF2065" s="276">
        <f t="shared" si="219"/>
        <v>0</v>
      </c>
      <c r="AG2065" s="276">
        <f t="shared" si="220"/>
        <v>0</v>
      </c>
      <c r="AH2065" s="276">
        <f t="shared" si="221"/>
        <v>0</v>
      </c>
      <c r="AI2065" s="283" t="e">
        <f t="shared" si="222"/>
        <v>#DIV/0!</v>
      </c>
    </row>
    <row r="2066" spans="1:35" x14ac:dyDescent="0.25">
      <c r="A2066" s="275">
        <f>'Profits 2016'!A7282</f>
        <v>0</v>
      </c>
      <c r="B2066" s="279">
        <f>'Profits 2016'!B7282</f>
        <v>0</v>
      </c>
      <c r="C2066" s="276">
        <f>'Profits 2016'!H7282</f>
        <v>0</v>
      </c>
      <c r="D2066" s="280">
        <f>'Profits 2016'!K7282</f>
        <v>0</v>
      </c>
      <c r="E2066" s="276">
        <f>'Profits 2016'!L7282</f>
        <v>0</v>
      </c>
      <c r="F2066" s="275" t="str">
        <f>'Profits 2016'!P7282</f>
        <v>Nassau</v>
      </c>
      <c r="G2066" s="292">
        <f>'Profits 2016'!N7282-'Profits 2016'!M7282</f>
        <v>0</v>
      </c>
      <c r="H2066" s="319"/>
      <c r="I2066" s="320"/>
      <c r="J2066" s="321"/>
      <c r="K2066" s="321"/>
      <c r="L2066" s="321"/>
      <c r="M2066" s="319"/>
      <c r="N2066" s="322"/>
      <c r="O2066" s="236">
        <f>'Profits 2016'!T7282</f>
        <v>0</v>
      </c>
      <c r="P2066" s="284">
        <f>'Profits 2016'!U7282</f>
        <v>0</v>
      </c>
      <c r="AF2066" s="276">
        <f t="shared" si="219"/>
        <v>0</v>
      </c>
      <c r="AG2066" s="276">
        <f t="shared" si="220"/>
        <v>0</v>
      </c>
      <c r="AH2066" s="276">
        <f t="shared" si="221"/>
        <v>0</v>
      </c>
      <c r="AI2066" s="283" t="e">
        <f t="shared" si="222"/>
        <v>#DIV/0!</v>
      </c>
    </row>
    <row r="2067" spans="1:35" x14ac:dyDescent="0.25">
      <c r="A2067" s="275">
        <f>'Profits 2016'!A7283</f>
        <v>3005718</v>
      </c>
      <c r="B2067" s="279">
        <f>'Profits 2016'!B7283</f>
        <v>42695</v>
      </c>
      <c r="C2067" s="276">
        <f>'Profits 2016'!H7283</f>
        <v>26402.5</v>
      </c>
      <c r="D2067" s="280">
        <f>'Profits 2016'!K7283</f>
        <v>25821.345000000001</v>
      </c>
      <c r="E2067" s="276">
        <f>'Profits 2016'!L7283</f>
        <v>7700</v>
      </c>
      <c r="F2067" s="275" t="str">
        <f>'Profits 2016'!P7283</f>
        <v>General</v>
      </c>
      <c r="G2067" s="292">
        <f>'Profits 2016'!N7283-'Profits 2016'!M7283</f>
        <v>20751.5</v>
      </c>
      <c r="H2067" s="331"/>
      <c r="I2067" s="332"/>
      <c r="J2067" s="333"/>
      <c r="K2067" s="333"/>
      <c r="L2067" s="333"/>
      <c r="M2067" s="331"/>
      <c r="N2067" s="334"/>
      <c r="O2067" s="236" t="str">
        <f>'Profits 2016'!T7283</f>
        <v>PITT OHIO</v>
      </c>
      <c r="P2067" s="284">
        <f>'Profits 2016'!U7283</f>
        <v>0</v>
      </c>
      <c r="AF2067" s="276">
        <f t="shared" si="219"/>
        <v>20751.5</v>
      </c>
      <c r="AG2067" s="276">
        <f t="shared" si="220"/>
        <v>0</v>
      </c>
      <c r="AH2067" s="276">
        <f t="shared" si="221"/>
        <v>25821.345000000001</v>
      </c>
      <c r="AI2067" s="283">
        <f t="shared" si="222"/>
        <v>1.2443122183938511</v>
      </c>
    </row>
    <row r="2068" spans="1:35" ht="30" x14ac:dyDescent="0.25">
      <c r="A2068" s="275">
        <f>'Profits 2016'!A7284</f>
        <v>0</v>
      </c>
      <c r="B2068" s="279">
        <f>'Profits 2016'!B7284</f>
        <v>0</v>
      </c>
      <c r="C2068" s="276">
        <f>'Profits 2016'!H7284</f>
        <v>0</v>
      </c>
      <c r="D2068" s="280">
        <f>'Profits 2016'!K7284</f>
        <v>0</v>
      </c>
      <c r="E2068" s="276">
        <f>'Profits 2016'!L7284</f>
        <v>539000</v>
      </c>
      <c r="F2068" s="275" t="str">
        <f>'Profits 2016'!P7284</f>
        <v>Direct</v>
      </c>
      <c r="G2068" s="292">
        <f>'Profits 2016'!N7284-'Profits 2016'!M7284</f>
        <v>539</v>
      </c>
      <c r="H2068" s="331"/>
      <c r="I2068" s="332"/>
      <c r="J2068" s="333"/>
      <c r="K2068" s="333"/>
      <c r="L2068" s="333"/>
      <c r="M2068" s="331"/>
      <c r="N2068" s="334"/>
      <c r="O2068" s="236" t="str">
        <f>'Profits 2016'!T7284</f>
        <v>Committed</v>
      </c>
      <c r="P2068" s="284">
        <f>'Profits 2016'!U7284</f>
        <v>0</v>
      </c>
      <c r="AF2068" s="276">
        <f t="shared" si="219"/>
        <v>539</v>
      </c>
      <c r="AG2068" s="276">
        <f t="shared" si="220"/>
        <v>0</v>
      </c>
      <c r="AH2068" s="276">
        <f t="shared" si="221"/>
        <v>0</v>
      </c>
      <c r="AI2068" s="283">
        <f t="shared" si="222"/>
        <v>0</v>
      </c>
    </row>
    <row r="2069" spans="1:35" x14ac:dyDescent="0.25">
      <c r="A2069" s="275">
        <f>'Profits 2016'!A7285</f>
        <v>3005719</v>
      </c>
      <c r="B2069" s="279">
        <f>'Profits 2016'!B7285</f>
        <v>42696</v>
      </c>
      <c r="C2069" s="276">
        <f>'Profits 2016'!H7285</f>
        <v>800</v>
      </c>
      <c r="D2069" s="280">
        <f>'Profits 2016'!K7285</f>
        <v>712.5</v>
      </c>
      <c r="E2069" s="276">
        <f>'Profits 2016'!L7285</f>
        <v>1197</v>
      </c>
      <c r="F2069" s="275" t="str">
        <f>'Profits 2016'!P7285</f>
        <v>Direct</v>
      </c>
      <c r="G2069" s="292">
        <f>'Profits 2016'!N7285-'Profits 2016'!M7285</f>
        <v>598.5</v>
      </c>
      <c r="H2069" s="331">
        <v>0</v>
      </c>
      <c r="I2069" s="332">
        <v>77018</v>
      </c>
      <c r="J2069" s="333">
        <v>42702</v>
      </c>
      <c r="K2069" s="333">
        <v>42705</v>
      </c>
      <c r="L2069" s="333"/>
      <c r="M2069" s="331"/>
      <c r="N2069" s="334"/>
      <c r="O2069" s="236" t="str">
        <f>'Profits 2016'!T7285</f>
        <v>SAIA</v>
      </c>
      <c r="P2069" s="284" t="str">
        <f>'Profits 2016'!U7285</f>
        <v>101427180602</v>
      </c>
      <c r="AF2069" s="276">
        <f t="shared" si="219"/>
        <v>598.5</v>
      </c>
      <c r="AG2069" s="276">
        <f t="shared" si="220"/>
        <v>0</v>
      </c>
      <c r="AH2069" s="276">
        <f t="shared" si="221"/>
        <v>712.5</v>
      </c>
      <c r="AI2069" s="283">
        <f t="shared" si="222"/>
        <v>1.1904761904761905</v>
      </c>
    </row>
    <row r="2070" spans="1:35" ht="30" x14ac:dyDescent="0.25">
      <c r="A2070" s="275">
        <f>'Profits 2016'!A7286</f>
        <v>3005720</v>
      </c>
      <c r="B2070" s="279">
        <f>'Profits 2016'!B7286</f>
        <v>42696</v>
      </c>
      <c r="C2070" s="276">
        <f>'Profits 2016'!H7286</f>
        <v>120</v>
      </c>
      <c r="D2070" s="280">
        <f>'Profits 2016'!K7286</f>
        <v>106.62</v>
      </c>
      <c r="E2070" s="276">
        <f>'Profits 2016'!L7286</f>
        <v>424</v>
      </c>
      <c r="F2070" s="275" t="str">
        <f>'Profits 2016'!P7286</f>
        <v>Nassau</v>
      </c>
      <c r="G2070" s="292">
        <f>'Profits 2016'!N7286-'Profits 2016'!M7286</f>
        <v>42.400000000000006</v>
      </c>
      <c r="H2070" s="319"/>
      <c r="I2070" s="320"/>
      <c r="J2070" s="321"/>
      <c r="K2070" s="321"/>
      <c r="L2070" s="321"/>
      <c r="M2070" s="319"/>
      <c r="N2070" s="322"/>
      <c r="O2070" s="236" t="str">
        <f>'Profits 2016'!T7286</f>
        <v>FEDEX GROUND</v>
      </c>
      <c r="P2070" s="284">
        <f>'Profits 2016'!U7286</f>
        <v>702723293141</v>
      </c>
      <c r="AF2070" s="276">
        <f t="shared" si="219"/>
        <v>42.400000000000006</v>
      </c>
      <c r="AG2070" s="276">
        <f t="shared" si="220"/>
        <v>0</v>
      </c>
      <c r="AH2070" s="276">
        <f t="shared" si="221"/>
        <v>106.62</v>
      </c>
      <c r="AI2070" s="283">
        <f t="shared" si="222"/>
        <v>2.5146226415094337</v>
      </c>
    </row>
    <row r="2071" spans="1:35" ht="30" x14ac:dyDescent="0.25">
      <c r="A2071" s="275">
        <f>'Profits 2016'!A7287</f>
        <v>3005721</v>
      </c>
      <c r="B2071" s="279">
        <f>'Profits 2016'!B7287</f>
        <v>42696</v>
      </c>
      <c r="C2071" s="276">
        <f>'Profits 2016'!H7287</f>
        <v>157.79</v>
      </c>
      <c r="D2071" s="280">
        <f>'Profits 2016'!K7287</f>
        <v>140.29088999999999</v>
      </c>
      <c r="E2071" s="276">
        <f>'Profits 2016'!L7287</f>
        <v>2150</v>
      </c>
      <c r="F2071" s="275" t="str">
        <f>'Profits 2016'!P7287</f>
        <v>Nassau</v>
      </c>
      <c r="G2071" s="292">
        <f>'Profits 2016'!N7287-'Profits 2016'!M7287</f>
        <v>86</v>
      </c>
      <c r="H2071" s="319"/>
      <c r="I2071" s="320"/>
      <c r="J2071" s="321"/>
      <c r="K2071" s="321"/>
      <c r="L2071" s="321"/>
      <c r="M2071" s="319"/>
      <c r="N2071" s="322"/>
      <c r="O2071" s="236" t="str">
        <f>'Profits 2016'!T7287</f>
        <v>FEDEX GROUND</v>
      </c>
      <c r="P2071" s="284">
        <f>'Profits 2016'!U7287</f>
        <v>702723293119</v>
      </c>
      <c r="AF2071" s="276">
        <f t="shared" si="219"/>
        <v>86</v>
      </c>
      <c r="AG2071" s="276">
        <f t="shared" si="220"/>
        <v>0</v>
      </c>
      <c r="AH2071" s="276">
        <f t="shared" si="221"/>
        <v>140.29088999999999</v>
      </c>
      <c r="AI2071" s="283">
        <f t="shared" si="222"/>
        <v>1.6312894186046512</v>
      </c>
    </row>
    <row r="2072" spans="1:35" ht="30" x14ac:dyDescent="0.25">
      <c r="A2072" s="275">
        <f>'Profits 2016'!A7288</f>
        <v>3005722</v>
      </c>
      <c r="B2072" s="279">
        <f>'Profits 2016'!B7288</f>
        <v>42696</v>
      </c>
      <c r="C2072" s="276">
        <f>'Profits 2016'!H7288</f>
        <v>134</v>
      </c>
      <c r="D2072" s="280">
        <f>'Profits 2016'!K7288</f>
        <v>119.09399999999999</v>
      </c>
      <c r="E2072" s="276">
        <f>'Profits 2016'!L7288</f>
        <v>716</v>
      </c>
      <c r="F2072" s="275" t="str">
        <f>'Profits 2016'!P7288</f>
        <v>Nassau</v>
      </c>
      <c r="G2072" s="292">
        <f>'Profits 2016'!N7288-'Profits 2016'!M7288</f>
        <v>35.800000000000004</v>
      </c>
      <c r="H2072" s="319"/>
      <c r="I2072" s="320"/>
      <c r="J2072" s="321"/>
      <c r="K2072" s="321"/>
      <c r="L2072" s="321"/>
      <c r="M2072" s="319"/>
      <c r="N2072" s="322"/>
      <c r="O2072" s="236" t="str">
        <f>'Profits 2016'!T7288</f>
        <v>FEDEX GROUND</v>
      </c>
      <c r="P2072" s="284">
        <f>'Profits 2016'!U7288</f>
        <v>702723293120</v>
      </c>
      <c r="AF2072" s="276">
        <f t="shared" si="219"/>
        <v>35.800000000000004</v>
      </c>
      <c r="AG2072" s="276">
        <f t="shared" si="220"/>
        <v>0</v>
      </c>
      <c r="AH2072" s="276">
        <f t="shared" si="221"/>
        <v>119.09399999999999</v>
      </c>
      <c r="AI2072" s="283">
        <f t="shared" si="222"/>
        <v>3.3266480446927367</v>
      </c>
    </row>
    <row r="2073" spans="1:35" ht="30" x14ac:dyDescent="0.25">
      <c r="A2073" s="275">
        <f>'Profits 2016'!A7289</f>
        <v>3005723</v>
      </c>
      <c r="B2073" s="279">
        <f>'Profits 2016'!B7289</f>
        <v>42696</v>
      </c>
      <c r="C2073" s="276">
        <f>'Profits 2016'!H7289</f>
        <v>341.55</v>
      </c>
      <c r="D2073" s="280">
        <f>'Profits 2016'!K7289</f>
        <v>304.02105</v>
      </c>
      <c r="E2073" s="276">
        <f>'Profits 2016'!L7289</f>
        <v>1322</v>
      </c>
      <c r="F2073" s="275" t="str">
        <f>'Profits 2016'!P7289</f>
        <v>Nassau</v>
      </c>
      <c r="G2073" s="292">
        <f>'Profits 2016'!N7289-'Profits 2016'!M7289</f>
        <v>198.29999999999998</v>
      </c>
      <c r="H2073" s="319"/>
      <c r="I2073" s="320"/>
      <c r="J2073" s="321"/>
      <c r="K2073" s="321"/>
      <c r="L2073" s="321"/>
      <c r="M2073" s="319"/>
      <c r="N2073" s="322"/>
      <c r="O2073" s="236" t="str">
        <f>'Profits 2016'!T7289</f>
        <v>FEDEX GROUND</v>
      </c>
      <c r="P2073" s="284">
        <f>'Profits 2016'!U7289</f>
        <v>702723293130</v>
      </c>
      <c r="AF2073" s="276">
        <f t="shared" ref="AF2073:AF2136" si="223">G2073+H2074+R2073+Y2073</f>
        <v>198.29999999999998</v>
      </c>
      <c r="AG2073" s="276">
        <f t="shared" ref="AG2073:AG2136" si="224">M2073+R2073+Y2073</f>
        <v>0</v>
      </c>
      <c r="AH2073" s="276">
        <f t="shared" ref="AH2073:AH2136" si="225">D2073-AG2073</f>
        <v>304.02105</v>
      </c>
      <c r="AI2073" s="283">
        <f t="shared" ref="AI2073:AI2136" si="226">AH2073/AF2073</f>
        <v>1.5331369137670199</v>
      </c>
    </row>
    <row r="2074" spans="1:35" ht="30" x14ac:dyDescent="0.25">
      <c r="A2074" s="275">
        <f>'Profits 2016'!A7290</f>
        <v>3005724</v>
      </c>
      <c r="B2074" s="279">
        <f>'Profits 2016'!B7290</f>
        <v>42696</v>
      </c>
      <c r="C2074" s="276">
        <f>'Profits 2016'!H7290</f>
        <v>380</v>
      </c>
      <c r="D2074" s="280">
        <f>'Profits 2016'!K7290</f>
        <v>338.28000000000003</v>
      </c>
      <c r="E2074" s="276">
        <f>'Profits 2016'!L7290</f>
        <v>190</v>
      </c>
      <c r="F2074" s="275" t="str">
        <f>'Profits 2016'!P7290</f>
        <v>Titan</v>
      </c>
      <c r="G2074" s="292">
        <f>'Profits 2016'!N7290-'Profits 2016'!M7290</f>
        <v>190</v>
      </c>
      <c r="H2074" s="331"/>
      <c r="I2074" s="332"/>
      <c r="J2074" s="333"/>
      <c r="K2074" s="333"/>
      <c r="L2074" s="333"/>
      <c r="M2074" s="331"/>
      <c r="N2074" s="334"/>
      <c r="O2074" s="236" t="str">
        <f>'Profits 2016'!T7290</f>
        <v>FEDEX GROUND</v>
      </c>
      <c r="P2074" s="284" t="str">
        <f>'Profits 2016'!U7290</f>
        <v>704875895990</v>
      </c>
      <c r="AF2074" s="276">
        <f t="shared" si="223"/>
        <v>190</v>
      </c>
      <c r="AG2074" s="276">
        <f t="shared" si="224"/>
        <v>0</v>
      </c>
      <c r="AH2074" s="276">
        <f t="shared" si="225"/>
        <v>338.28000000000003</v>
      </c>
      <c r="AI2074" s="283">
        <f t="shared" si="226"/>
        <v>1.7804210526315791</v>
      </c>
    </row>
    <row r="2075" spans="1:35" ht="30" x14ac:dyDescent="0.25">
      <c r="A2075" s="275">
        <f>'Profits 2016'!A7291</f>
        <v>3005725</v>
      </c>
      <c r="B2075" s="279">
        <f>'Profits 2016'!B7291</f>
        <v>42696</v>
      </c>
      <c r="C2075" s="276">
        <f>'Profits 2016'!H7291</f>
        <v>147.44</v>
      </c>
      <c r="D2075" s="280">
        <f>'Profits 2016'!K7291</f>
        <v>125.324</v>
      </c>
      <c r="E2075" s="276">
        <f>'Profits 2016'!L7291</f>
        <v>944</v>
      </c>
      <c r="F2075" s="275" t="str">
        <f>'Profits 2016'!P7291</f>
        <v>Direct</v>
      </c>
      <c r="G2075" s="292">
        <f>'Profits 2016'!N7291-'Profits 2016'!M7291</f>
        <v>47.2</v>
      </c>
      <c r="H2075" s="331"/>
      <c r="I2075" s="332"/>
      <c r="J2075" s="333"/>
      <c r="K2075" s="333"/>
      <c r="L2075" s="333"/>
      <c r="M2075" s="331"/>
      <c r="N2075" s="334"/>
      <c r="O2075" s="236" t="str">
        <f>'Profits 2016'!T7291</f>
        <v>FEDEX GROUND</v>
      </c>
      <c r="P2075" s="284" t="str">
        <f>'Profits 2016'!U7291</f>
        <v>639564016846</v>
      </c>
      <c r="AF2075" s="276">
        <f t="shared" si="223"/>
        <v>47.2</v>
      </c>
      <c r="AG2075" s="276">
        <f t="shared" si="224"/>
        <v>0</v>
      </c>
      <c r="AH2075" s="276">
        <f t="shared" si="225"/>
        <v>125.324</v>
      </c>
      <c r="AI2075" s="283">
        <f t="shared" si="226"/>
        <v>2.6551694915254234</v>
      </c>
    </row>
    <row r="2076" spans="1:35" x14ac:dyDescent="0.25">
      <c r="A2076" s="275">
        <f>'Profits 2016'!A7292</f>
        <v>0</v>
      </c>
      <c r="B2076" s="279">
        <f>'Profits 2016'!B7292</f>
        <v>0</v>
      </c>
      <c r="C2076" s="276">
        <f>'Profits 2016'!H7292</f>
        <v>0</v>
      </c>
      <c r="D2076" s="280">
        <f>'Profits 2016'!K7292</f>
        <v>0</v>
      </c>
      <c r="E2076" s="276">
        <f>'Profits 2016'!L7292</f>
        <v>946</v>
      </c>
      <c r="F2076" s="275" t="str">
        <f>'Profits 2016'!P7292</f>
        <v>Direct</v>
      </c>
      <c r="G2076" s="292">
        <f>'Profits 2016'!N7292-'Profits 2016'!M7292</f>
        <v>47.300000000000004</v>
      </c>
      <c r="H2076" s="331"/>
      <c r="I2076" s="332"/>
      <c r="J2076" s="333"/>
      <c r="K2076" s="333"/>
      <c r="L2076" s="333"/>
      <c r="M2076" s="331"/>
      <c r="N2076" s="334"/>
      <c r="O2076" s="236">
        <f>'Profits 2016'!T7292</f>
        <v>0</v>
      </c>
      <c r="P2076" s="284">
        <f>'Profits 2016'!U7292</f>
        <v>0</v>
      </c>
      <c r="AF2076" s="276">
        <f t="shared" si="223"/>
        <v>47.300000000000004</v>
      </c>
      <c r="AG2076" s="276">
        <f t="shared" si="224"/>
        <v>0</v>
      </c>
      <c r="AH2076" s="276">
        <f t="shared" si="225"/>
        <v>0</v>
      </c>
      <c r="AI2076" s="283">
        <f t="shared" si="226"/>
        <v>0</v>
      </c>
    </row>
    <row r="2077" spans="1:35" ht="30" x14ac:dyDescent="0.25">
      <c r="A2077" s="275">
        <f>'Profits 2016'!A7293</f>
        <v>3005726</v>
      </c>
      <c r="B2077" s="279">
        <f>'Profits 2016'!B7293</f>
        <v>42696</v>
      </c>
      <c r="C2077" s="276">
        <f>'Profits 2016'!H7293</f>
        <v>120</v>
      </c>
      <c r="D2077" s="280">
        <f>'Profits 2016'!K7293</f>
        <v>102</v>
      </c>
      <c r="E2077" s="276">
        <f>'Profits 2016'!L7293</f>
        <v>375</v>
      </c>
      <c r="F2077" s="275" t="str">
        <f>'Profits 2016'!P7293</f>
        <v>Nassau</v>
      </c>
      <c r="G2077" s="292">
        <f>'Profits 2016'!N7293-'Profits 2016'!M7293</f>
        <v>56.25</v>
      </c>
      <c r="H2077" s="319"/>
      <c r="I2077" s="320"/>
      <c r="J2077" s="321"/>
      <c r="K2077" s="321"/>
      <c r="L2077" s="321"/>
      <c r="M2077" s="319"/>
      <c r="N2077" s="322"/>
      <c r="O2077" s="236" t="str">
        <f>'Profits 2016'!T7293</f>
        <v>FEDEX GROUND</v>
      </c>
      <c r="P2077" s="284">
        <f>'Profits 2016'!U7293</f>
        <v>702723293152</v>
      </c>
      <c r="AF2077" s="276">
        <f t="shared" si="223"/>
        <v>56.25</v>
      </c>
      <c r="AG2077" s="276">
        <f t="shared" si="224"/>
        <v>0</v>
      </c>
      <c r="AH2077" s="276">
        <f t="shared" si="225"/>
        <v>102</v>
      </c>
      <c r="AI2077" s="283">
        <f t="shared" si="226"/>
        <v>1.8133333333333332</v>
      </c>
    </row>
    <row r="2078" spans="1:35" x14ac:dyDescent="0.25">
      <c r="A2078" s="275">
        <f>'Profits 2016'!A7294</f>
        <v>3005727</v>
      </c>
      <c r="B2078" s="279">
        <f>'Profits 2016'!B7294</f>
        <v>42696</v>
      </c>
      <c r="C2078" s="276">
        <f>'Profits 2016'!H7294</f>
        <v>262</v>
      </c>
      <c r="D2078" s="280">
        <f>'Profits 2016'!K7294</f>
        <v>222.7</v>
      </c>
      <c r="E2078" s="276">
        <f>'Profits 2016'!L7294</f>
        <v>375</v>
      </c>
      <c r="F2078" s="275" t="str">
        <f>'Profits 2016'!P7294</f>
        <v>Thea</v>
      </c>
      <c r="G2078" s="292">
        <f>'Profits 2016'!N7294-'Profits 2016'!M7294</f>
        <v>131.25</v>
      </c>
      <c r="H2078" s="319"/>
      <c r="I2078" s="320"/>
      <c r="J2078" s="321"/>
      <c r="K2078" s="321"/>
      <c r="L2078" s="321"/>
      <c r="M2078" s="319"/>
      <c r="N2078" s="322"/>
      <c r="O2078" s="236">
        <f>'Profits 2016'!T7294</f>
        <v>0</v>
      </c>
      <c r="P2078" s="284">
        <f>'Profits 2016'!U7294</f>
        <v>0</v>
      </c>
      <c r="AF2078" s="276">
        <f t="shared" si="223"/>
        <v>131.25</v>
      </c>
      <c r="AG2078" s="276">
        <f t="shared" si="224"/>
        <v>0</v>
      </c>
      <c r="AH2078" s="276">
        <f t="shared" si="225"/>
        <v>222.7</v>
      </c>
      <c r="AI2078" s="283">
        <f t="shared" si="226"/>
        <v>1.6967619047619047</v>
      </c>
    </row>
    <row r="2079" spans="1:35" ht="30" x14ac:dyDescent="0.25">
      <c r="A2079" s="275">
        <f>'Profits 2016'!A7295</f>
        <v>3005728</v>
      </c>
      <c r="B2079" s="279">
        <f>'Profits 2016'!B7295</f>
        <v>42696</v>
      </c>
      <c r="C2079" s="276">
        <f>'Profits 2016'!H7295</f>
        <v>184.14</v>
      </c>
      <c r="D2079" s="280">
        <f>'Profits 2016'!K7295</f>
        <v>163.76873999999998</v>
      </c>
      <c r="E2079" s="276">
        <f>'Profits 2016'!L7295</f>
        <v>174</v>
      </c>
      <c r="F2079" s="275" t="str">
        <f>'Profits 2016'!P7295</f>
        <v>Thea</v>
      </c>
      <c r="G2079" s="292">
        <f>'Profits 2016'!N7295-'Profits 2016'!M7295</f>
        <v>56.550000000000004</v>
      </c>
      <c r="H2079" s="319"/>
      <c r="I2079" s="320"/>
      <c r="J2079" s="321"/>
      <c r="K2079" s="321"/>
      <c r="L2079" s="321"/>
      <c r="M2079" s="319"/>
      <c r="N2079" s="322"/>
      <c r="O2079" s="236" t="str">
        <f>'Profits 2016'!T7295</f>
        <v>FEDEX GROUND</v>
      </c>
      <c r="P2079" s="284" t="str">
        <f>'Profits 2016'!U7295</f>
        <v>675157532495</v>
      </c>
      <c r="AF2079" s="276">
        <f t="shared" si="223"/>
        <v>56.550000000000004</v>
      </c>
      <c r="AG2079" s="276">
        <f t="shared" si="224"/>
        <v>0</v>
      </c>
      <c r="AH2079" s="276">
        <f t="shared" si="225"/>
        <v>163.76873999999998</v>
      </c>
      <c r="AI2079" s="283">
        <f t="shared" si="226"/>
        <v>2.895998938992042</v>
      </c>
    </row>
    <row r="2080" spans="1:35" ht="30" x14ac:dyDescent="0.25">
      <c r="A2080" s="275">
        <f>'Profits 2016'!A7296</f>
        <v>3005729</v>
      </c>
      <c r="B2080" s="279">
        <f>'Profits 2016'!B7296</f>
        <v>42696</v>
      </c>
      <c r="C2080" s="276">
        <f>'Profits 2016'!H7296</f>
        <v>130.46</v>
      </c>
      <c r="D2080" s="280">
        <f>'Profits 2016'!K7296</f>
        <v>115.93986000000001</v>
      </c>
      <c r="E2080" s="276">
        <f>'Profits 2016'!L7296</f>
        <v>424</v>
      </c>
      <c r="F2080" s="275" t="str">
        <f>'Profits 2016'!P7296</f>
        <v>Nassau</v>
      </c>
      <c r="G2080" s="292">
        <f>'Profits 2016'!N7296-'Profits 2016'!M7296</f>
        <v>42.400000000000006</v>
      </c>
      <c r="H2080" s="319"/>
      <c r="I2080" s="320"/>
      <c r="J2080" s="321"/>
      <c r="K2080" s="321"/>
      <c r="L2080" s="321"/>
      <c r="M2080" s="319"/>
      <c r="N2080" s="322"/>
      <c r="O2080" s="236" t="str">
        <f>'Profits 2016'!T7296</f>
        <v>FEDEX GROUND</v>
      </c>
      <c r="P2080" s="284">
        <f>'Profits 2016'!U7296</f>
        <v>702723293174</v>
      </c>
      <c r="AF2080" s="276">
        <f t="shared" si="223"/>
        <v>42.400000000000006</v>
      </c>
      <c r="AG2080" s="276">
        <f t="shared" si="224"/>
        <v>0</v>
      </c>
      <c r="AH2080" s="276">
        <f t="shared" si="225"/>
        <v>115.93986000000001</v>
      </c>
      <c r="AI2080" s="283">
        <f t="shared" si="226"/>
        <v>2.7344306603773583</v>
      </c>
    </row>
    <row r="2081" spans="1:35" ht="30" x14ac:dyDescent="0.25">
      <c r="A2081" s="275">
        <f>'Profits 2016'!A7297</f>
        <v>3005730</v>
      </c>
      <c r="B2081" s="279">
        <f>'Profits 2016'!B7297</f>
        <v>42696</v>
      </c>
      <c r="C2081" s="276">
        <f>'Profits 2016'!H7297</f>
        <v>267.75</v>
      </c>
      <c r="D2081" s="280">
        <f>'Profits 2016'!K7297</f>
        <v>261.55950000000001</v>
      </c>
      <c r="E2081" s="276">
        <f>'Profits 2016'!L7297</f>
        <v>950</v>
      </c>
      <c r="F2081" s="275" t="str">
        <f>'Profits 2016'!P7297</f>
        <v>Nassau</v>
      </c>
      <c r="G2081" s="292">
        <f>'Profits 2016'!N7297-'Profits 2016'!M7297</f>
        <v>142.5</v>
      </c>
      <c r="H2081" s="319"/>
      <c r="I2081" s="320"/>
      <c r="J2081" s="321"/>
      <c r="K2081" s="321"/>
      <c r="L2081" s="321"/>
      <c r="M2081" s="319"/>
      <c r="N2081" s="322"/>
      <c r="O2081" s="236" t="str">
        <f>'Profits 2016'!T7297</f>
        <v>FEDEX GROUND</v>
      </c>
      <c r="P2081" s="284">
        <f>'Profits 2016'!U7297</f>
        <v>702723293163</v>
      </c>
      <c r="AF2081" s="276">
        <f t="shared" si="223"/>
        <v>142.5</v>
      </c>
      <c r="AG2081" s="276">
        <f t="shared" si="224"/>
        <v>0</v>
      </c>
      <c r="AH2081" s="276">
        <f t="shared" si="225"/>
        <v>261.55950000000001</v>
      </c>
      <c r="AI2081" s="283">
        <f t="shared" si="226"/>
        <v>1.8355052631578948</v>
      </c>
    </row>
    <row r="2082" spans="1:35" ht="30" x14ac:dyDescent="0.25">
      <c r="A2082" s="275">
        <f>'Profits 2016'!A7298</f>
        <v>3005731</v>
      </c>
      <c r="B2082" s="279">
        <f>'Profits 2016'!B7298</f>
        <v>42696</v>
      </c>
      <c r="C2082" s="276">
        <f>'Profits 2016'!H7298</f>
        <v>186.71</v>
      </c>
      <c r="D2082" s="280">
        <f>'Profits 2016'!K7298</f>
        <v>182.30238</v>
      </c>
      <c r="E2082" s="276">
        <f>'Profits 2016'!L7298</f>
        <v>360</v>
      </c>
      <c r="F2082" s="275" t="str">
        <f>'Profits 2016'!P7298</f>
        <v>Priority</v>
      </c>
      <c r="G2082" s="292">
        <f>'Profits 2016'!N7298-'Profits 2016'!M7298</f>
        <v>90.000000000000014</v>
      </c>
      <c r="H2082" s="331"/>
      <c r="I2082" s="332"/>
      <c r="J2082" s="333"/>
      <c r="K2082" s="333"/>
      <c r="L2082" s="333"/>
      <c r="M2082" s="331"/>
      <c r="N2082" s="334"/>
      <c r="O2082" s="236" t="str">
        <f>'Profits 2016'!T7298</f>
        <v>FEDEX GROUND</v>
      </c>
      <c r="P2082" s="284" t="str">
        <f>'Profits 2016'!U7298</f>
        <v xml:space="preserve">	614697970356</v>
      </c>
      <c r="AF2082" s="276">
        <f t="shared" si="223"/>
        <v>90.000000000000014</v>
      </c>
      <c r="AG2082" s="276">
        <f t="shared" si="224"/>
        <v>0</v>
      </c>
      <c r="AH2082" s="276">
        <f t="shared" si="225"/>
        <v>182.30238</v>
      </c>
      <c r="AI2082" s="283">
        <f t="shared" si="226"/>
        <v>2.0255819999999995</v>
      </c>
    </row>
    <row r="2083" spans="1:35" ht="30" x14ac:dyDescent="0.25">
      <c r="A2083" s="275">
        <f>'Profits 2016'!A7299</f>
        <v>3005732</v>
      </c>
      <c r="B2083" s="279">
        <f>'Profits 2016'!B7299</f>
        <v>42696</v>
      </c>
      <c r="C2083" s="276">
        <f>'Profits 2016'!H7299</f>
        <v>225</v>
      </c>
      <c r="D2083" s="280">
        <f>'Profits 2016'!K7299</f>
        <v>191.25</v>
      </c>
      <c r="E2083" s="276">
        <f>'Profits 2016'!L7299</f>
        <v>480</v>
      </c>
      <c r="F2083" s="275" t="str">
        <f>'Profits 2016'!P7299</f>
        <v>Thea</v>
      </c>
      <c r="G2083" s="292">
        <f>'Profits 2016'!N7299-'Profits 2016'!M7299</f>
        <v>108</v>
      </c>
      <c r="H2083" s="319"/>
      <c r="I2083" s="320"/>
      <c r="J2083" s="321"/>
      <c r="K2083" s="321"/>
      <c r="L2083" s="321"/>
      <c r="M2083" s="319"/>
      <c r="N2083" s="322"/>
      <c r="O2083" s="236" t="str">
        <f>'Profits 2016'!T7299</f>
        <v>FEDEX GROUND</v>
      </c>
      <c r="P2083" s="284" t="str">
        <f>'Profits 2016'!U7299</f>
        <v>675157532484</v>
      </c>
      <c r="AF2083" s="276">
        <f t="shared" si="223"/>
        <v>108</v>
      </c>
      <c r="AG2083" s="276">
        <f t="shared" si="224"/>
        <v>0</v>
      </c>
      <c r="AH2083" s="276">
        <f t="shared" si="225"/>
        <v>191.25</v>
      </c>
      <c r="AI2083" s="283">
        <f t="shared" si="226"/>
        <v>1.7708333333333333</v>
      </c>
    </row>
    <row r="2084" spans="1:35" ht="30" x14ac:dyDescent="0.25">
      <c r="A2084" s="275">
        <f>'Profits 2016'!A7300</f>
        <v>3005733</v>
      </c>
      <c r="B2084" s="279">
        <f>'Profits 2016'!B7300</f>
        <v>42696</v>
      </c>
      <c r="C2084" s="276">
        <f>'Profits 2016'!H7300</f>
        <v>161.97</v>
      </c>
      <c r="D2084" s="280">
        <f>'Profits 2016'!K7300</f>
        <v>137.67449999999999</v>
      </c>
      <c r="E2084" s="276">
        <f>'Profits 2016'!L7300</f>
        <v>360</v>
      </c>
      <c r="F2084" s="275" t="str">
        <f>'Profits 2016'!P7300</f>
        <v>A-Z</v>
      </c>
      <c r="G2084" s="292">
        <f>'Profits 2016'!N7300-'Profits 2016'!M7300</f>
        <v>180</v>
      </c>
      <c r="H2084" s="331"/>
      <c r="I2084" s="332"/>
      <c r="J2084" s="333"/>
      <c r="K2084" s="333"/>
      <c r="L2084" s="333"/>
      <c r="M2084" s="331"/>
      <c r="N2084" s="334"/>
      <c r="O2084" s="236" t="str">
        <f>'Profits 2016'!T7300</f>
        <v>FEDEX GROUND</v>
      </c>
      <c r="P2084" s="284" t="str">
        <f>'Profits 2016'!U7300</f>
        <v>712301699411</v>
      </c>
      <c r="AF2084" s="276">
        <f t="shared" si="223"/>
        <v>180</v>
      </c>
      <c r="AG2084" s="276">
        <f t="shared" si="224"/>
        <v>0</v>
      </c>
      <c r="AH2084" s="276">
        <f t="shared" si="225"/>
        <v>137.67449999999999</v>
      </c>
      <c r="AI2084" s="283">
        <f t="shared" si="226"/>
        <v>0.76485833333333331</v>
      </c>
    </row>
    <row r="2085" spans="1:35" ht="30" x14ac:dyDescent="0.25">
      <c r="A2085" s="275">
        <f>'Profits 2016'!A7301</f>
        <v>3005734</v>
      </c>
      <c r="B2085" s="279">
        <f>'Profits 2016'!B7301</f>
        <v>42696</v>
      </c>
      <c r="C2085" s="276">
        <f>'Profits 2016'!H7301</f>
        <v>825</v>
      </c>
      <c r="D2085" s="280">
        <f>'Profits 2016'!K7301</f>
        <v>806.55</v>
      </c>
      <c r="E2085" s="276">
        <f>'Profits 2016'!L7301</f>
        <v>390</v>
      </c>
      <c r="F2085" s="275" t="str">
        <f>'Profits 2016'!P7301</f>
        <v>General</v>
      </c>
      <c r="G2085" s="292">
        <f>'Profits 2016'!N7301-'Profits 2016'!M7301</f>
        <v>585</v>
      </c>
      <c r="H2085" s="331"/>
      <c r="I2085" s="332"/>
      <c r="J2085" s="333"/>
      <c r="K2085" s="333"/>
      <c r="L2085" s="333"/>
      <c r="M2085" s="331"/>
      <c r="N2085" s="334"/>
      <c r="O2085" s="236" t="str">
        <f>'Profits 2016'!T7301</f>
        <v>FEDEX PRIORITY</v>
      </c>
      <c r="P2085" s="284" t="str">
        <f>'Profits 2016'!U7301</f>
        <v>865717181618</v>
      </c>
      <c r="AF2085" s="276">
        <f t="shared" si="223"/>
        <v>585</v>
      </c>
      <c r="AG2085" s="276">
        <f t="shared" si="224"/>
        <v>0</v>
      </c>
      <c r="AH2085" s="276">
        <f t="shared" si="225"/>
        <v>806.55</v>
      </c>
      <c r="AI2085" s="283">
        <f t="shared" si="226"/>
        <v>1.3787179487179486</v>
      </c>
    </row>
    <row r="2086" spans="1:35" ht="30" x14ac:dyDescent="0.25">
      <c r="A2086" s="275">
        <f>'Profits 2016'!A7302</f>
        <v>3005735</v>
      </c>
      <c r="B2086" s="279">
        <f>'Profits 2016'!B7302</f>
        <v>42697</v>
      </c>
      <c r="C2086" s="276">
        <f>'Profits 2016'!H7302</f>
        <v>148</v>
      </c>
      <c r="D2086" s="280">
        <f>'Profits 2016'!K7302</f>
        <v>131.56800000000001</v>
      </c>
      <c r="E2086" s="276">
        <f>'Profits 2016'!L7302</f>
        <v>174</v>
      </c>
      <c r="F2086" s="275" t="str">
        <f>'Profits 2016'!P7302</f>
        <v>Thea</v>
      </c>
      <c r="G2086" s="292">
        <f>'Profits 2016'!N7302-'Profits 2016'!M7302</f>
        <v>34.800000000000004</v>
      </c>
      <c r="H2086" s="319"/>
      <c r="I2086" s="320"/>
      <c r="J2086" s="321"/>
      <c r="K2086" s="321"/>
      <c r="L2086" s="321"/>
      <c r="M2086" s="319"/>
      <c r="N2086" s="322"/>
      <c r="O2086" s="236" t="str">
        <f>'Profits 2016'!T7302</f>
        <v>FEDEX GROUND</v>
      </c>
      <c r="P2086" s="284" t="str">
        <f>'Profits 2016'!U7302</f>
        <v>675157532500</v>
      </c>
      <c r="AF2086" s="276">
        <f t="shared" si="223"/>
        <v>34.800000000000004</v>
      </c>
      <c r="AG2086" s="276">
        <f t="shared" si="224"/>
        <v>0</v>
      </c>
      <c r="AH2086" s="276">
        <f t="shared" si="225"/>
        <v>131.56800000000001</v>
      </c>
      <c r="AI2086" s="283">
        <f t="shared" si="226"/>
        <v>3.7806896551724138</v>
      </c>
    </row>
    <row r="2087" spans="1:35" ht="30" x14ac:dyDescent="0.25">
      <c r="A2087" s="275">
        <f>'Profits 2016'!A7303</f>
        <v>3005736</v>
      </c>
      <c r="B2087" s="279">
        <f>'Profits 2016'!B7303</f>
        <v>42697</v>
      </c>
      <c r="C2087" s="276">
        <f>'Profits 2016'!H7303</f>
        <v>262.35000000000002</v>
      </c>
      <c r="D2087" s="280">
        <f>'Profits 2016'!K7303</f>
        <v>233.45385000000002</v>
      </c>
      <c r="E2087" s="276">
        <f>'Profits 2016'!L7303</f>
        <v>480</v>
      </c>
      <c r="F2087" s="275" t="str">
        <f>'Profits 2016'!P7303</f>
        <v>Thea</v>
      </c>
      <c r="G2087" s="292">
        <f>'Profits 2016'!N7303-'Profits 2016'!M7303</f>
        <v>120</v>
      </c>
      <c r="H2087" s="319"/>
      <c r="I2087" s="320"/>
      <c r="J2087" s="321"/>
      <c r="K2087" s="321"/>
      <c r="L2087" s="321"/>
      <c r="M2087" s="319"/>
      <c r="N2087" s="322"/>
      <c r="O2087" s="236" t="str">
        <f>'Profits 2016'!T7303</f>
        <v>FEDEX GROUND</v>
      </c>
      <c r="P2087" s="284" t="str">
        <f>'Profits 2016'!U7303</f>
        <v>675157532473</v>
      </c>
      <c r="AF2087" s="276">
        <f t="shared" si="223"/>
        <v>120</v>
      </c>
      <c r="AG2087" s="276">
        <f t="shared" si="224"/>
        <v>0</v>
      </c>
      <c r="AH2087" s="276">
        <f t="shared" si="225"/>
        <v>233.45385000000002</v>
      </c>
      <c r="AI2087" s="283">
        <f t="shared" si="226"/>
        <v>1.9454487500000002</v>
      </c>
    </row>
    <row r="2088" spans="1:35" ht="30" x14ac:dyDescent="0.25">
      <c r="A2088" s="275">
        <f>'Profits 2016'!A7304</f>
        <v>3005737</v>
      </c>
      <c r="B2088" s="279">
        <f>'Profits 2016'!B7304</f>
        <v>42697</v>
      </c>
      <c r="C2088" s="276">
        <f>'Profits 2016'!H7304</f>
        <v>222.5</v>
      </c>
      <c r="D2088" s="280">
        <f>'Profits 2016'!K7304</f>
        <v>197.94749999999999</v>
      </c>
      <c r="E2088" s="276">
        <f>'Profits 2016'!L7304</f>
        <v>370</v>
      </c>
      <c r="F2088" s="275" t="str">
        <f>'Profits 2016'!P7304</f>
        <v>Priority</v>
      </c>
      <c r="G2088" s="292">
        <f>'Profits 2016'!N7304-'Profits 2016'!M7304</f>
        <v>92.5</v>
      </c>
      <c r="H2088" s="331"/>
      <c r="I2088" s="332"/>
      <c r="J2088" s="333"/>
      <c r="K2088" s="333"/>
      <c r="L2088" s="333"/>
      <c r="M2088" s="331"/>
      <c r="N2088" s="334"/>
      <c r="O2088" s="236" t="str">
        <f>'Profits 2016'!T7304</f>
        <v>FEDEX GROUND</v>
      </c>
      <c r="P2088" s="284" t="str">
        <f>'Profits 2016'!U7304</f>
        <v>680993425857</v>
      </c>
      <c r="AF2088" s="276">
        <f t="shared" si="223"/>
        <v>92.5</v>
      </c>
      <c r="AG2088" s="276">
        <f t="shared" si="224"/>
        <v>0</v>
      </c>
      <c r="AH2088" s="276">
        <f t="shared" si="225"/>
        <v>197.94749999999999</v>
      </c>
      <c r="AI2088" s="283">
        <f t="shared" si="226"/>
        <v>2.1399729729729731</v>
      </c>
    </row>
    <row r="2089" spans="1:35" ht="30" x14ac:dyDescent="0.25">
      <c r="A2089" s="275">
        <f>'Profits 2016'!A7305</f>
        <v>3005738</v>
      </c>
      <c r="B2089" s="279">
        <f>'Profits 2016'!B7305</f>
        <v>42697</v>
      </c>
      <c r="C2089" s="276">
        <f>'Profits 2016'!H7305</f>
        <v>200.08</v>
      </c>
      <c r="D2089" s="280">
        <f>'Profits 2016'!K7305</f>
        <v>177.97128000000001</v>
      </c>
      <c r="E2089" s="276">
        <f>'Profits 2016'!L7305</f>
        <v>950</v>
      </c>
      <c r="F2089" s="275" t="str">
        <f>'Profits 2016'!P7305</f>
        <v>Nassau</v>
      </c>
      <c r="G2089" s="292">
        <f>'Profits 2016'!N7305-'Profits 2016'!M7305</f>
        <v>95</v>
      </c>
      <c r="H2089" s="319"/>
      <c r="I2089" s="320"/>
      <c r="J2089" s="321"/>
      <c r="K2089" s="321"/>
      <c r="L2089" s="321"/>
      <c r="M2089" s="319"/>
      <c r="N2089" s="322"/>
      <c r="O2089" s="236" t="str">
        <f>'Profits 2016'!T7305</f>
        <v>FEDEX GROUND</v>
      </c>
      <c r="P2089" s="284" t="str">
        <f>'Profits 2016'!U7305</f>
        <v>702723293196</v>
      </c>
      <c r="AF2089" s="276">
        <f t="shared" si="223"/>
        <v>95</v>
      </c>
      <c r="AG2089" s="276">
        <f t="shared" si="224"/>
        <v>0</v>
      </c>
      <c r="AH2089" s="276">
        <f t="shared" si="225"/>
        <v>177.97128000000001</v>
      </c>
      <c r="AI2089" s="283">
        <f t="shared" si="226"/>
        <v>1.8733818947368421</v>
      </c>
    </row>
    <row r="2090" spans="1:35" ht="30" x14ac:dyDescent="0.25">
      <c r="A2090" s="275">
        <f>'Profits 2016'!A7306</f>
        <v>3005739</v>
      </c>
      <c r="B2090" s="279">
        <f>'Profits 2016'!B7306</f>
        <v>42697</v>
      </c>
      <c r="C2090" s="276">
        <f>'Profits 2016'!H7306</f>
        <v>512</v>
      </c>
      <c r="D2090" s="280">
        <f>'Profits 2016'!K7306</f>
        <v>455.892</v>
      </c>
      <c r="E2090" s="276">
        <f>'Profits 2016'!L7306</f>
        <v>49</v>
      </c>
      <c r="F2090" s="275" t="str">
        <f>'Profits 2016'!P7306</f>
        <v>Commodity</v>
      </c>
      <c r="G2090" s="292">
        <f>'Profits 2016'!N7306-'Profits 2016'!M7306</f>
        <v>196</v>
      </c>
      <c r="H2090" s="331"/>
      <c r="I2090" s="332"/>
      <c r="J2090" s="333"/>
      <c r="K2090" s="333"/>
      <c r="L2090" s="333"/>
      <c r="M2090" s="331"/>
      <c r="N2090" s="334"/>
      <c r="O2090" s="236" t="str">
        <f>'Profits 2016'!T7306</f>
        <v>FEDEX GROUND</v>
      </c>
      <c r="P2090" s="284" t="str">
        <f>'Profits 2016'!U7306</f>
        <v>777812469205</v>
      </c>
      <c r="AF2090" s="276">
        <f t="shared" si="223"/>
        <v>196</v>
      </c>
      <c r="AG2090" s="276">
        <f t="shared" si="224"/>
        <v>0</v>
      </c>
      <c r="AH2090" s="276">
        <f t="shared" si="225"/>
        <v>455.892</v>
      </c>
      <c r="AI2090" s="283">
        <f t="shared" si="226"/>
        <v>2.3259795918367345</v>
      </c>
    </row>
    <row r="2091" spans="1:35" ht="30" x14ac:dyDescent="0.25">
      <c r="A2091" s="275">
        <f>'Profits 2016'!A7307</f>
        <v>3005740</v>
      </c>
      <c r="B2091" s="279">
        <f>'Profits 2016'!B7307</f>
        <v>42697</v>
      </c>
      <c r="C2091" s="276">
        <f>'Profits 2016'!H7307</f>
        <v>118.34</v>
      </c>
      <c r="D2091" s="280">
        <f>'Profits 2016'!K7307</f>
        <v>100.589</v>
      </c>
      <c r="E2091" s="276">
        <f>'Profits 2016'!L7307</f>
        <v>1460</v>
      </c>
      <c r="F2091" s="275" t="str">
        <f>'Profits 2016'!P7307</f>
        <v>Direct</v>
      </c>
      <c r="G2091" s="292">
        <f>'Profits 2016'!N7307-'Profits 2016'!M7307</f>
        <v>36.5</v>
      </c>
      <c r="H2091" s="331"/>
      <c r="I2091" s="332"/>
      <c r="J2091" s="333"/>
      <c r="K2091" s="333"/>
      <c r="L2091" s="333"/>
      <c r="M2091" s="331"/>
      <c r="N2091" s="334"/>
      <c r="O2091" s="236" t="str">
        <f>'Profits 2016'!T7307</f>
        <v>FEDEX GROUND</v>
      </c>
      <c r="P2091" s="284" t="str">
        <f>'Profits 2016'!U7307</f>
        <v>639564016890</v>
      </c>
      <c r="AF2091" s="276">
        <f t="shared" si="223"/>
        <v>36.5</v>
      </c>
      <c r="AG2091" s="276">
        <f t="shared" si="224"/>
        <v>0</v>
      </c>
      <c r="AH2091" s="276">
        <f t="shared" si="225"/>
        <v>100.589</v>
      </c>
      <c r="AI2091" s="283">
        <f t="shared" si="226"/>
        <v>2.75586301369863</v>
      </c>
    </row>
    <row r="2092" spans="1:35" x14ac:dyDescent="0.25">
      <c r="A2092" s="275">
        <f>'Profits 2016'!A7308</f>
        <v>0</v>
      </c>
      <c r="B2092" s="279">
        <f>'Profits 2016'!B7308</f>
        <v>0</v>
      </c>
      <c r="C2092" s="276">
        <f>'Profits 2016'!H7308</f>
        <v>0</v>
      </c>
      <c r="D2092" s="280">
        <f>'Profits 2016'!K7308</f>
        <v>0</v>
      </c>
      <c r="E2092" s="276">
        <f>'Profits 2016'!L7308</f>
        <v>1480</v>
      </c>
      <c r="F2092" s="275" t="str">
        <f>'Profits 2016'!P7308</f>
        <v>Direct</v>
      </c>
      <c r="G2092" s="292">
        <f>'Profits 2016'!N7308-'Profits 2016'!M7308</f>
        <v>37</v>
      </c>
      <c r="H2092" s="331"/>
      <c r="I2092" s="332"/>
      <c r="J2092" s="333"/>
      <c r="K2092" s="333"/>
      <c r="L2092" s="333"/>
      <c r="M2092" s="331"/>
      <c r="N2092" s="334"/>
      <c r="O2092" s="236">
        <f>'Profits 2016'!T7308</f>
        <v>0</v>
      </c>
      <c r="P2092" s="284">
        <f>'Profits 2016'!U7308</f>
        <v>0</v>
      </c>
      <c r="AF2092" s="276">
        <f t="shared" si="223"/>
        <v>37</v>
      </c>
      <c r="AG2092" s="276">
        <f t="shared" si="224"/>
        <v>0</v>
      </c>
      <c r="AH2092" s="276">
        <f t="shared" si="225"/>
        <v>0</v>
      </c>
      <c r="AI2092" s="283">
        <f t="shared" si="226"/>
        <v>0</v>
      </c>
    </row>
    <row r="2093" spans="1:35" ht="30" x14ac:dyDescent="0.25">
      <c r="A2093" s="275">
        <f>'Profits 2016'!A7309</f>
        <v>3005741</v>
      </c>
      <c r="B2093" s="279">
        <f>'Profits 2016'!B7309</f>
        <v>42697</v>
      </c>
      <c r="C2093" s="276">
        <f>'Profits 2016'!H7309</f>
        <v>100</v>
      </c>
      <c r="D2093" s="280">
        <f>'Profits 2016'!K7309</f>
        <v>85</v>
      </c>
      <c r="E2093" s="276">
        <f>'Profits 2016'!L7309</f>
        <v>900</v>
      </c>
      <c r="F2093" s="275" t="str">
        <f>'Profits 2016'!P7309</f>
        <v>Nassau</v>
      </c>
      <c r="G2093" s="292">
        <f>'Profits 2016'!N7309-'Profits 2016'!M7309</f>
        <v>45</v>
      </c>
      <c r="H2093" s="319"/>
      <c r="I2093" s="320"/>
      <c r="J2093" s="321"/>
      <c r="K2093" s="321"/>
      <c r="L2093" s="321"/>
      <c r="M2093" s="319"/>
      <c r="N2093" s="322"/>
      <c r="O2093" s="236" t="str">
        <f>'Profits 2016'!T7309</f>
        <v>FEDEX GROUND</v>
      </c>
      <c r="P2093" s="284" t="str">
        <f>'Profits 2016'!U7309</f>
        <v>665645048342</v>
      </c>
      <c r="AF2093" s="276">
        <f t="shared" si="223"/>
        <v>45</v>
      </c>
      <c r="AG2093" s="276">
        <f t="shared" si="224"/>
        <v>0</v>
      </c>
      <c r="AH2093" s="276">
        <f t="shared" si="225"/>
        <v>85</v>
      </c>
      <c r="AI2093" s="283">
        <f t="shared" si="226"/>
        <v>1.8888888888888888</v>
      </c>
    </row>
    <row r="2094" spans="1:35" ht="30" x14ac:dyDescent="0.25">
      <c r="A2094" s="275">
        <f>'Profits 2016'!A7310</f>
        <v>3005742</v>
      </c>
      <c r="B2094" s="279">
        <f>'Profits 2016'!B7310</f>
        <v>42697</v>
      </c>
      <c r="C2094" s="276">
        <f>'Profits 2016'!H7310</f>
        <v>116.09</v>
      </c>
      <c r="D2094" s="280">
        <f>'Profits 2016'!K7310</f>
        <v>98.676500000000004</v>
      </c>
      <c r="E2094" s="276">
        <f>'Profits 2016'!L7310</f>
        <v>1322</v>
      </c>
      <c r="F2094" s="275" t="str">
        <f>'Profits 2016'!P7310</f>
        <v>Nassau</v>
      </c>
      <c r="G2094" s="292">
        <f>'Profits 2016'!N7310-'Profits 2016'!M7310</f>
        <v>99.149999999999991</v>
      </c>
      <c r="H2094" s="319"/>
      <c r="I2094" s="320"/>
      <c r="J2094" s="321"/>
      <c r="K2094" s="321"/>
      <c r="L2094" s="321"/>
      <c r="M2094" s="319"/>
      <c r="N2094" s="322"/>
      <c r="O2094" s="236" t="str">
        <f>'Profits 2016'!T7310</f>
        <v>FEDEX GROUND</v>
      </c>
      <c r="P2094" s="284" t="str">
        <f>'Profits 2016'!U7310</f>
        <v>665645048353</v>
      </c>
      <c r="AF2094" s="276">
        <f t="shared" si="223"/>
        <v>99.149999999999991</v>
      </c>
      <c r="AG2094" s="276">
        <f t="shared" si="224"/>
        <v>0</v>
      </c>
      <c r="AH2094" s="276">
        <f t="shared" si="225"/>
        <v>98.676500000000004</v>
      </c>
      <c r="AI2094" s="283">
        <f t="shared" si="226"/>
        <v>0.99522440746343932</v>
      </c>
    </row>
    <row r="2095" spans="1:35" ht="30" x14ac:dyDescent="0.25">
      <c r="A2095" s="275">
        <f>'Profits 2016'!A7311</f>
        <v>3005743</v>
      </c>
      <c r="B2095" s="279">
        <f>'Profits 2016'!B7311</f>
        <v>42697</v>
      </c>
      <c r="C2095" s="276">
        <f>'Profits 2016'!H7311</f>
        <v>251.23</v>
      </c>
      <c r="D2095" s="280">
        <f>'Profits 2016'!K7311</f>
        <v>213.5455</v>
      </c>
      <c r="E2095" s="276">
        <f>'Profits 2016'!L7311</f>
        <v>3300</v>
      </c>
      <c r="F2095" s="275" t="str">
        <f>'Profits 2016'!P7311</f>
        <v>Nassau</v>
      </c>
      <c r="G2095" s="292">
        <f>'Profits 2016'!N7311-'Profits 2016'!M7311</f>
        <v>99</v>
      </c>
      <c r="H2095" s="319"/>
      <c r="I2095" s="320"/>
      <c r="J2095" s="321"/>
      <c r="K2095" s="321"/>
      <c r="L2095" s="321"/>
      <c r="M2095" s="319"/>
      <c r="N2095" s="322"/>
      <c r="O2095" s="236" t="str">
        <f>'Profits 2016'!T7311</f>
        <v>FEDEX GROUND</v>
      </c>
      <c r="P2095" s="284" t="str">
        <f>'Profits 2016'!U7311</f>
        <v>702723293200</v>
      </c>
      <c r="AF2095" s="276">
        <f t="shared" si="223"/>
        <v>99</v>
      </c>
      <c r="AG2095" s="276">
        <f t="shared" si="224"/>
        <v>0</v>
      </c>
      <c r="AH2095" s="276">
        <f t="shared" si="225"/>
        <v>213.5455</v>
      </c>
      <c r="AI2095" s="283">
        <f t="shared" si="226"/>
        <v>2.1570252525252527</v>
      </c>
    </row>
    <row r="2096" spans="1:35" ht="30" x14ac:dyDescent="0.25">
      <c r="A2096" s="275">
        <f>'Profits 2016'!A7312</f>
        <v>3005744</v>
      </c>
      <c r="B2096" s="279">
        <f>'Profits 2016'!B7312</f>
        <v>42697</v>
      </c>
      <c r="C2096" s="276">
        <f>'Profits 2016'!H7312</f>
        <v>1060</v>
      </c>
      <c r="D2096" s="280">
        <f>'Profits 2016'!K7312</f>
        <v>1060</v>
      </c>
      <c r="E2096" s="276">
        <f>'Profits 2016'!L7312</f>
        <v>380</v>
      </c>
      <c r="F2096" s="275" t="str">
        <f>'Profits 2016'!P7312</f>
        <v>West Virginia</v>
      </c>
      <c r="G2096" s="292">
        <f>'Profits 2016'!N7312-'Profits 2016'!M7312</f>
        <v>760</v>
      </c>
      <c r="H2096" s="331"/>
      <c r="I2096" s="332"/>
      <c r="J2096" s="333"/>
      <c r="K2096" s="333"/>
      <c r="L2096" s="333"/>
      <c r="M2096" s="331"/>
      <c r="N2096" s="334"/>
      <c r="O2096" s="236" t="str">
        <f>'Profits 2016'!T7312</f>
        <v>R&amp;L/ECHO</v>
      </c>
      <c r="P2096" s="284" t="str">
        <f>'Profits 2016'!U7312</f>
        <v xml:space="preserve">	707474727</v>
      </c>
      <c r="AF2096" s="276">
        <f t="shared" si="223"/>
        <v>760</v>
      </c>
      <c r="AG2096" s="276">
        <f t="shared" si="224"/>
        <v>0</v>
      </c>
      <c r="AH2096" s="276">
        <f t="shared" si="225"/>
        <v>1060</v>
      </c>
      <c r="AI2096" s="283">
        <f t="shared" si="226"/>
        <v>1.3947368421052631</v>
      </c>
    </row>
    <row r="2097" spans="1:35" ht="30" x14ac:dyDescent="0.25">
      <c r="A2097" s="275">
        <f>'Profits 2016'!A7313</f>
        <v>3005745</v>
      </c>
      <c r="B2097" s="279">
        <f>'Profits 2016'!B7313</f>
        <v>42697</v>
      </c>
      <c r="C2097" s="276">
        <f>'Profits 2016'!H7313</f>
        <v>650</v>
      </c>
      <c r="D2097" s="280">
        <f>'Profits 2016'!K7313</f>
        <v>650</v>
      </c>
      <c r="E2097" s="276">
        <f>'Profits 2016'!L7313</f>
        <v>749</v>
      </c>
      <c r="F2097" s="275" t="str">
        <f>'Profits 2016'!P7313</f>
        <v>Priority</v>
      </c>
      <c r="G2097" s="292">
        <f>'Profits 2016'!N7313-'Profits 2016'!M7313</f>
        <v>374.5</v>
      </c>
      <c r="H2097" s="331"/>
      <c r="I2097" s="332"/>
      <c r="J2097" s="333"/>
      <c r="K2097" s="333"/>
      <c r="L2097" s="333"/>
      <c r="M2097" s="331"/>
      <c r="N2097" s="334"/>
      <c r="O2097" s="236" t="str">
        <f>'Profits 2016'!T7313</f>
        <v>FEDEX GROUND</v>
      </c>
      <c r="P2097" s="284" t="str">
        <f>'Profits 2016'!U7313</f>
        <v>616712878578, 616712878589</v>
      </c>
      <c r="AF2097" s="276">
        <f t="shared" si="223"/>
        <v>374.5</v>
      </c>
      <c r="AG2097" s="276">
        <f t="shared" si="224"/>
        <v>0</v>
      </c>
      <c r="AH2097" s="276">
        <f t="shared" si="225"/>
        <v>650</v>
      </c>
      <c r="AI2097" s="283">
        <f t="shared" si="226"/>
        <v>1.7356475300400533</v>
      </c>
    </row>
    <row r="2098" spans="1:35" ht="30" x14ac:dyDescent="0.25">
      <c r="A2098" s="275">
        <f>'Profits 2016'!A7314</f>
        <v>3005746</v>
      </c>
      <c r="B2098" s="279">
        <f>'Profits 2016'!B7314</f>
        <v>42697</v>
      </c>
      <c r="C2098" s="276">
        <f>'Profits 2016'!H7314</f>
        <v>337.21</v>
      </c>
      <c r="D2098" s="280">
        <f>'Profits 2016'!K7314</f>
        <v>329.49137999999999</v>
      </c>
      <c r="E2098" s="276">
        <f>'Profits 2016'!L7314</f>
        <v>900</v>
      </c>
      <c r="F2098" s="275" t="str">
        <f>'Profits 2016'!P7314</f>
        <v>Nassau</v>
      </c>
      <c r="G2098" s="292">
        <f>'Profits 2016'!N7314-'Profits 2016'!M7314</f>
        <v>144</v>
      </c>
      <c r="H2098" s="319"/>
      <c r="I2098" s="320"/>
      <c r="J2098" s="321"/>
      <c r="K2098" s="321"/>
      <c r="L2098" s="321"/>
      <c r="M2098" s="319"/>
      <c r="N2098" s="322"/>
      <c r="O2098" s="236" t="str">
        <f>'Profits 2016'!T7314</f>
        <v>FEDEX GROUND</v>
      </c>
      <c r="P2098" s="284" t="str">
        <f>'Profits 2016'!U7314</f>
        <v>665645048331</v>
      </c>
      <c r="AF2098" s="276">
        <f t="shared" si="223"/>
        <v>144</v>
      </c>
      <c r="AG2098" s="276">
        <f t="shared" si="224"/>
        <v>0</v>
      </c>
      <c r="AH2098" s="276">
        <f t="shared" si="225"/>
        <v>329.49137999999999</v>
      </c>
      <c r="AI2098" s="283">
        <f t="shared" si="226"/>
        <v>2.2881345833333331</v>
      </c>
    </row>
    <row r="2099" spans="1:35" x14ac:dyDescent="0.25">
      <c r="A2099" s="275">
        <f>'Profits 2016'!A7315</f>
        <v>3005747</v>
      </c>
      <c r="B2099" s="279">
        <f>'Profits 2016'!B7315</f>
        <v>42702</v>
      </c>
      <c r="C2099" s="276">
        <f>'Profits 2016'!H7315</f>
        <v>3000</v>
      </c>
      <c r="D2099" s="280">
        <f>'Profits 2016'!K7315</f>
        <v>3000</v>
      </c>
      <c r="E2099" s="276">
        <f>'Profits 2016'!L7315</f>
        <v>345</v>
      </c>
      <c r="F2099" s="275" t="str">
        <f>'Profits 2016'!P7315</f>
        <v>Priority</v>
      </c>
      <c r="G2099" s="292">
        <f>'Profits 2016'!N7315-'Profits 2016'!M7315</f>
        <v>1725</v>
      </c>
      <c r="H2099" s="331"/>
      <c r="I2099" s="332"/>
      <c r="J2099" s="333"/>
      <c r="K2099" s="333"/>
      <c r="L2099" s="333"/>
      <c r="M2099" s="331"/>
      <c r="N2099" s="334"/>
      <c r="O2099" s="236" t="str">
        <f>'Profits 2016'!T7315</f>
        <v>SEFL</v>
      </c>
      <c r="P2099" s="284" t="str">
        <f>'Profits 2016'!U7315</f>
        <v xml:space="preserve">	382404548</v>
      </c>
      <c r="AF2099" s="276">
        <f t="shared" si="223"/>
        <v>1725</v>
      </c>
      <c r="AG2099" s="276">
        <f t="shared" si="224"/>
        <v>0</v>
      </c>
      <c r="AH2099" s="276">
        <f t="shared" si="225"/>
        <v>3000</v>
      </c>
      <c r="AI2099" s="283">
        <f t="shared" si="226"/>
        <v>1.7391304347826086</v>
      </c>
    </row>
    <row r="2100" spans="1:35" ht="30" x14ac:dyDescent="0.25">
      <c r="A2100" s="275">
        <f>'Profits 2016'!A7316</f>
        <v>3005748</v>
      </c>
      <c r="B2100" s="279">
        <f>'Profits 2016'!B7316</f>
        <v>42702</v>
      </c>
      <c r="C2100" s="276">
        <f>'Profits 2016'!H7316</f>
        <v>525</v>
      </c>
      <c r="D2100" s="280">
        <f>'Profits 2016'!K7316</f>
        <v>467.47500000000002</v>
      </c>
      <c r="E2100" s="276">
        <f>'Profits 2016'!L7316</f>
        <v>616</v>
      </c>
      <c r="F2100" s="275" t="str">
        <f>'Profits 2016'!P7316</f>
        <v>Nassau</v>
      </c>
      <c r="G2100" s="292">
        <f>'Profits 2016'!N7316-'Profits 2016'!M7316</f>
        <v>92.399999999999991</v>
      </c>
      <c r="H2100" s="319"/>
      <c r="I2100" s="320"/>
      <c r="J2100" s="321"/>
      <c r="K2100" s="321"/>
      <c r="L2100" s="321"/>
      <c r="M2100" s="319"/>
      <c r="N2100" s="322"/>
      <c r="O2100" s="236" t="str">
        <f>'Profits 2016'!T7316</f>
        <v>FEDEX GROUND</v>
      </c>
      <c r="P2100" s="284" t="str">
        <f>'Profits 2016'!U7316</f>
        <v>702723293222</v>
      </c>
      <c r="AF2100" s="276">
        <f t="shared" si="223"/>
        <v>92.399999999999991</v>
      </c>
      <c r="AG2100" s="276">
        <f t="shared" si="224"/>
        <v>0</v>
      </c>
      <c r="AH2100" s="276">
        <f t="shared" si="225"/>
        <v>467.47500000000002</v>
      </c>
      <c r="AI2100" s="283">
        <f t="shared" si="226"/>
        <v>5.0592532467532472</v>
      </c>
    </row>
    <row r="2101" spans="1:35" ht="30" x14ac:dyDescent="0.25">
      <c r="A2101" s="275">
        <f>'Profits 2016'!A7317</f>
        <v>3005749</v>
      </c>
      <c r="B2101" s="279">
        <f>'Profits 2016'!B7317</f>
        <v>42702</v>
      </c>
      <c r="C2101" s="276">
        <f>'Profits 2016'!H7317</f>
        <v>118.56</v>
      </c>
      <c r="D2101" s="280">
        <f>'Profits 2016'!K7317</f>
        <v>105.33696</v>
      </c>
      <c r="E2101" s="276">
        <f>'Profits 2016'!L7317</f>
        <v>510</v>
      </c>
      <c r="F2101" s="275" t="str">
        <f>'Profits 2016'!P7317</f>
        <v>Nassau</v>
      </c>
      <c r="G2101" s="292">
        <f>'Profits 2016'!N7317-'Profits 2016'!M7317</f>
        <v>51</v>
      </c>
      <c r="H2101" s="319"/>
      <c r="I2101" s="320"/>
      <c r="J2101" s="321"/>
      <c r="K2101" s="321"/>
      <c r="L2101" s="321"/>
      <c r="M2101" s="319"/>
      <c r="N2101" s="322"/>
      <c r="O2101" s="236" t="str">
        <f>'Profits 2016'!T7317</f>
        <v>FEDEX GROUND</v>
      </c>
      <c r="P2101" s="284" t="str">
        <f>'Profits 2016'!U7317</f>
        <v>665645048526</v>
      </c>
      <c r="AF2101" s="276">
        <f t="shared" si="223"/>
        <v>51</v>
      </c>
      <c r="AG2101" s="276">
        <f t="shared" si="224"/>
        <v>0</v>
      </c>
      <c r="AH2101" s="276">
        <f t="shared" si="225"/>
        <v>105.33696</v>
      </c>
      <c r="AI2101" s="283">
        <f t="shared" si="226"/>
        <v>2.0654305882352944</v>
      </c>
    </row>
    <row r="2102" spans="1:35" ht="30" x14ac:dyDescent="0.25">
      <c r="A2102" s="275">
        <f>'Profits 2016'!A7318</f>
        <v>3005750</v>
      </c>
      <c r="B2102" s="279">
        <f>'Profits 2016'!B7318</f>
        <v>42702</v>
      </c>
      <c r="C2102" s="276">
        <f>'Profits 2016'!H7318</f>
        <v>210.63</v>
      </c>
      <c r="D2102" s="280">
        <f>'Profits 2016'!K7318</f>
        <v>187.37132999999997</v>
      </c>
      <c r="E2102" s="276">
        <f>'Profits 2016'!L7318</f>
        <v>300</v>
      </c>
      <c r="F2102" s="275" t="str">
        <f>'Profits 2016'!P7318</f>
        <v>Nassau</v>
      </c>
      <c r="G2102" s="292">
        <f>'Profits 2016'!N7318-'Profits 2016'!M7318</f>
        <v>90</v>
      </c>
      <c r="H2102" s="319"/>
      <c r="I2102" s="320"/>
      <c r="J2102" s="321"/>
      <c r="K2102" s="321"/>
      <c r="L2102" s="321"/>
      <c r="M2102" s="319"/>
      <c r="N2102" s="322"/>
      <c r="O2102" s="236" t="str">
        <f>'Profits 2016'!T7318</f>
        <v>FEDEX GROUND</v>
      </c>
      <c r="P2102" s="284" t="str">
        <f>'Profits 2016'!U7318</f>
        <v>665645048375</v>
      </c>
      <c r="AF2102" s="276">
        <f t="shared" si="223"/>
        <v>90</v>
      </c>
      <c r="AG2102" s="276">
        <f t="shared" si="224"/>
        <v>0</v>
      </c>
      <c r="AH2102" s="276">
        <f t="shared" si="225"/>
        <v>187.37132999999997</v>
      </c>
      <c r="AI2102" s="283">
        <f t="shared" si="226"/>
        <v>2.0819036666666664</v>
      </c>
    </row>
    <row r="2103" spans="1:35" ht="30" x14ac:dyDescent="0.25">
      <c r="A2103" s="275">
        <f>'Profits 2016'!A7319</f>
        <v>3005751</v>
      </c>
      <c r="B2103" s="279">
        <f>'Profits 2016'!B7319</f>
        <v>42702</v>
      </c>
      <c r="C2103" s="276">
        <f>'Profits 2016'!H7319</f>
        <v>135</v>
      </c>
      <c r="D2103" s="280">
        <f>'Profits 2016'!K7319</f>
        <v>119.985</v>
      </c>
      <c r="E2103" s="276">
        <f>'Profits 2016'!L7319</f>
        <v>560</v>
      </c>
      <c r="F2103" s="275" t="str">
        <f>'Profits 2016'!P7319</f>
        <v>Nassau</v>
      </c>
      <c r="G2103" s="292">
        <f>'Profits 2016'!N7319-'Profits 2016'!M7319</f>
        <v>56</v>
      </c>
      <c r="H2103" s="319"/>
      <c r="I2103" s="320"/>
      <c r="J2103" s="321"/>
      <c r="K2103" s="321"/>
      <c r="L2103" s="321"/>
      <c r="M2103" s="319"/>
      <c r="N2103" s="322"/>
      <c r="O2103" s="236" t="str">
        <f>'Profits 2016'!T7319</f>
        <v>FEDEX GROUND</v>
      </c>
      <c r="P2103" s="284" t="str">
        <f>'Profits 2016'!U7319</f>
        <v>665645048445</v>
      </c>
      <c r="AF2103" s="276">
        <f t="shared" si="223"/>
        <v>56</v>
      </c>
      <c r="AG2103" s="276">
        <f t="shared" si="224"/>
        <v>0</v>
      </c>
      <c r="AH2103" s="276">
        <f t="shared" si="225"/>
        <v>119.985</v>
      </c>
      <c r="AI2103" s="283">
        <f t="shared" si="226"/>
        <v>2.1425892857142856</v>
      </c>
    </row>
    <row r="2104" spans="1:35" ht="30" x14ac:dyDescent="0.25">
      <c r="A2104" s="275">
        <f>'Profits 2016'!A7320</f>
        <v>3005752</v>
      </c>
      <c r="B2104" s="279">
        <f>'Profits 2016'!B7320</f>
        <v>42702</v>
      </c>
      <c r="C2104" s="276">
        <f>'Profits 2016'!H7320</f>
        <v>117.17</v>
      </c>
      <c r="D2104" s="280">
        <f>'Profits 2016'!K7320</f>
        <v>104.09847000000001</v>
      </c>
      <c r="E2104" s="276">
        <f>'Profits 2016'!L7320</f>
        <v>300</v>
      </c>
      <c r="F2104" s="275" t="str">
        <f>'Profits 2016'!P7320</f>
        <v>Nassau</v>
      </c>
      <c r="G2104" s="292">
        <f>'Profits 2016'!N7320-'Profits 2016'!M7320</f>
        <v>37.5</v>
      </c>
      <c r="H2104" s="319"/>
      <c r="I2104" s="320"/>
      <c r="J2104" s="321"/>
      <c r="K2104" s="321"/>
      <c r="L2104" s="321"/>
      <c r="M2104" s="319"/>
      <c r="N2104" s="322"/>
      <c r="O2104" s="236" t="str">
        <f>'Profits 2016'!T7320</f>
        <v>FEDEX GROUND</v>
      </c>
      <c r="P2104" s="284" t="str">
        <f>'Profits 2016'!U7320</f>
        <v>665645048401</v>
      </c>
      <c r="AF2104" s="276">
        <f t="shared" si="223"/>
        <v>37.5</v>
      </c>
      <c r="AG2104" s="276">
        <f t="shared" si="224"/>
        <v>0</v>
      </c>
      <c r="AH2104" s="276">
        <f t="shared" si="225"/>
        <v>104.09847000000001</v>
      </c>
      <c r="AI2104" s="283">
        <f t="shared" si="226"/>
        <v>2.7759592</v>
      </c>
    </row>
    <row r="2105" spans="1:35" ht="30" x14ac:dyDescent="0.25">
      <c r="A2105" s="275">
        <f>'Profits 2016'!A7321</f>
        <v>3005753</v>
      </c>
      <c r="B2105" s="279">
        <f>'Profits 2016'!B7321</f>
        <v>42702</v>
      </c>
      <c r="C2105" s="276">
        <f>'Profits 2016'!H7321</f>
        <v>349.47</v>
      </c>
      <c r="D2105" s="280">
        <f>'Profits 2016'!K7321</f>
        <v>311.07777000000004</v>
      </c>
      <c r="E2105" s="276">
        <f>'Profits 2016'!L7321</f>
        <v>375</v>
      </c>
      <c r="F2105" s="275" t="str">
        <f>'Profits 2016'!P7321</f>
        <v>Thea</v>
      </c>
      <c r="G2105" s="292">
        <f>'Profits 2016'!N7321-'Profits 2016'!M7321</f>
        <v>150</v>
      </c>
      <c r="H2105" s="319"/>
      <c r="I2105" s="320"/>
      <c r="J2105" s="321"/>
      <c r="K2105" s="321"/>
      <c r="L2105" s="321"/>
      <c r="M2105" s="319"/>
      <c r="N2105" s="322"/>
      <c r="O2105" s="236" t="str">
        <f>'Profits 2016'!T7321</f>
        <v>FEDEX GROUND</v>
      </c>
      <c r="P2105" s="284" t="str">
        <f>'Profits 2016'!U7321</f>
        <v>675157532602</v>
      </c>
      <c r="AF2105" s="276">
        <f t="shared" si="223"/>
        <v>150</v>
      </c>
      <c r="AG2105" s="276">
        <f t="shared" si="224"/>
        <v>0</v>
      </c>
      <c r="AH2105" s="276">
        <f t="shared" si="225"/>
        <v>311.07777000000004</v>
      </c>
      <c r="AI2105" s="283">
        <f t="shared" si="226"/>
        <v>2.0738518000000004</v>
      </c>
    </row>
    <row r="2106" spans="1:35" ht="30" x14ac:dyDescent="0.25">
      <c r="A2106" s="275">
        <f>'Profits 2016'!A7322</f>
        <v>3005754</v>
      </c>
      <c r="B2106" s="279">
        <f>'Profits 2016'!B7322</f>
        <v>42702</v>
      </c>
      <c r="C2106" s="276">
        <f>'Profits 2016'!H7322</f>
        <v>337.99</v>
      </c>
      <c r="D2106" s="280">
        <f>'Profits 2016'!K7322</f>
        <v>300.84908999999999</v>
      </c>
      <c r="E2106" s="276">
        <f>'Profits 2016'!L7322</f>
        <v>900</v>
      </c>
      <c r="F2106" s="275" t="str">
        <f>'Profits 2016'!P7322</f>
        <v>Nassau</v>
      </c>
      <c r="G2106" s="292">
        <f>'Profits 2016'!N7322-'Profits 2016'!M7322</f>
        <v>153</v>
      </c>
      <c r="H2106" s="319"/>
      <c r="I2106" s="320"/>
      <c r="J2106" s="321"/>
      <c r="K2106" s="321"/>
      <c r="L2106" s="321"/>
      <c r="M2106" s="319"/>
      <c r="N2106" s="322"/>
      <c r="O2106" s="236" t="str">
        <f>'Profits 2016'!T7322</f>
        <v>FEDEX GROUND</v>
      </c>
      <c r="P2106" s="284" t="str">
        <f>'Profits 2016'!U7322</f>
        <v>665645048478</v>
      </c>
      <c r="AF2106" s="276">
        <f t="shared" si="223"/>
        <v>153</v>
      </c>
      <c r="AG2106" s="276">
        <f t="shared" si="224"/>
        <v>0</v>
      </c>
      <c r="AH2106" s="276">
        <f t="shared" si="225"/>
        <v>300.84908999999999</v>
      </c>
      <c r="AI2106" s="283">
        <f t="shared" si="226"/>
        <v>1.9663339215686273</v>
      </c>
    </row>
    <row r="2107" spans="1:35" ht="30" x14ac:dyDescent="0.25">
      <c r="A2107" s="275">
        <f>'Profits 2016'!A7323</f>
        <v>3005755</v>
      </c>
      <c r="B2107" s="279">
        <f>'Profits 2016'!B7323</f>
        <v>42702</v>
      </c>
      <c r="C2107" s="276">
        <f>'Profits 2016'!H7323</f>
        <v>861.3</v>
      </c>
      <c r="D2107" s="280">
        <f>'Profits 2016'!K7323</f>
        <v>767.11829999999986</v>
      </c>
      <c r="E2107" s="276">
        <f>'Profits 2016'!L7323</f>
        <v>525</v>
      </c>
      <c r="F2107" s="275" t="str">
        <f>'Profits 2016'!P7323</f>
        <v>Omni</v>
      </c>
      <c r="G2107" s="292">
        <f>'Profits 2016'!N7323-'Profits 2016'!M7323</f>
        <v>393.75</v>
      </c>
      <c r="H2107" s="331"/>
      <c r="I2107" s="332"/>
      <c r="J2107" s="333"/>
      <c r="K2107" s="333"/>
      <c r="L2107" s="333"/>
      <c r="M2107" s="331"/>
      <c r="N2107" s="334"/>
      <c r="O2107" s="236" t="str">
        <f>'Profits 2016'!T7323</f>
        <v>FEDEX GROUND</v>
      </c>
      <c r="P2107" s="284" t="str">
        <f>'Profits 2016'!U7323</f>
        <v>680123398130</v>
      </c>
      <c r="AF2107" s="276">
        <f t="shared" si="223"/>
        <v>393.75</v>
      </c>
      <c r="AG2107" s="276">
        <f t="shared" si="224"/>
        <v>0</v>
      </c>
      <c r="AH2107" s="276">
        <f t="shared" si="225"/>
        <v>767.11829999999986</v>
      </c>
      <c r="AI2107" s="283">
        <f t="shared" si="226"/>
        <v>1.948236952380952</v>
      </c>
    </row>
    <row r="2108" spans="1:35" ht="30" x14ac:dyDescent="0.25">
      <c r="A2108" s="275">
        <f>'Profits 2016'!A7324</f>
        <v>3005756</v>
      </c>
      <c r="B2108" s="279">
        <f>'Profits 2016'!B7324</f>
        <v>42702</v>
      </c>
      <c r="C2108" s="276">
        <f>'Profits 2016'!H7324</f>
        <v>160.19999999999999</v>
      </c>
      <c r="D2108" s="280">
        <f>'Profits 2016'!K7324</f>
        <v>142.43819999999999</v>
      </c>
      <c r="E2108" s="276">
        <f>'Profits 2016'!L7324</f>
        <v>640</v>
      </c>
      <c r="F2108" s="275" t="str">
        <f>'Profits 2016'!P7324</f>
        <v>Nassau</v>
      </c>
      <c r="G2108" s="292">
        <f>'Profits 2016'!N7324-'Profits 2016'!M7324</f>
        <v>60.8</v>
      </c>
      <c r="H2108" s="319"/>
      <c r="I2108" s="320"/>
      <c r="J2108" s="321"/>
      <c r="K2108" s="321"/>
      <c r="L2108" s="321"/>
      <c r="M2108" s="319"/>
      <c r="N2108" s="322"/>
      <c r="O2108" s="236" t="str">
        <f>'Profits 2016'!T7324</f>
        <v>FEDEX GROUND</v>
      </c>
      <c r="P2108" s="284" t="str">
        <f>'Profits 2016'!U7324</f>
        <v>665645048434</v>
      </c>
      <c r="AF2108" s="276">
        <f t="shared" si="223"/>
        <v>60.8</v>
      </c>
      <c r="AG2108" s="276">
        <f t="shared" si="224"/>
        <v>0</v>
      </c>
      <c r="AH2108" s="276">
        <f t="shared" si="225"/>
        <v>142.43819999999999</v>
      </c>
      <c r="AI2108" s="283">
        <f t="shared" si="226"/>
        <v>2.3427335526315791</v>
      </c>
    </row>
    <row r="2109" spans="1:35" ht="30" x14ac:dyDescent="0.25">
      <c r="A2109" s="275">
        <f>'Profits 2016'!A7325</f>
        <v>3005757</v>
      </c>
      <c r="B2109" s="279">
        <f>'Profits 2016'!B7325</f>
        <v>42702</v>
      </c>
      <c r="C2109" s="276">
        <f>'Profits 2016'!H7325</f>
        <v>135.28</v>
      </c>
      <c r="D2109" s="280">
        <f>'Profits 2016'!K7325</f>
        <v>120.23447999999999</v>
      </c>
      <c r="E2109" s="276">
        <f>'Profits 2016'!L7325</f>
        <v>235</v>
      </c>
      <c r="F2109" s="275" t="str">
        <f>'Profits 2016'!P7325</f>
        <v>Nassau</v>
      </c>
      <c r="G2109" s="292">
        <f>'Profits 2016'!N7325-'Profits 2016'!M7325</f>
        <v>70.5</v>
      </c>
      <c r="H2109" s="319"/>
      <c r="I2109" s="320"/>
      <c r="J2109" s="321"/>
      <c r="K2109" s="321"/>
      <c r="L2109" s="321"/>
      <c r="M2109" s="319"/>
      <c r="N2109" s="322"/>
      <c r="O2109" s="236" t="str">
        <f>'Profits 2016'!T7325</f>
        <v>FEDEX GROUND</v>
      </c>
      <c r="P2109" s="284" t="str">
        <f>'Profits 2016'!U7325</f>
        <v>665645048412</v>
      </c>
      <c r="AF2109" s="276">
        <f t="shared" si="223"/>
        <v>70.5</v>
      </c>
      <c r="AG2109" s="276">
        <f t="shared" si="224"/>
        <v>0</v>
      </c>
      <c r="AH2109" s="276">
        <f t="shared" si="225"/>
        <v>120.23447999999999</v>
      </c>
      <c r="AI2109" s="283">
        <f t="shared" si="226"/>
        <v>1.7054536170212764</v>
      </c>
    </row>
    <row r="2110" spans="1:35" ht="30" x14ac:dyDescent="0.25">
      <c r="A2110" s="275">
        <f>'Profits 2016'!A7326</f>
        <v>3005758</v>
      </c>
      <c r="B2110" s="279">
        <f>'Profits 2016'!B7326</f>
        <v>42702</v>
      </c>
      <c r="C2110" s="276">
        <f>'Profits 2016'!H7326</f>
        <v>216.09</v>
      </c>
      <c r="D2110" s="280">
        <f>'Profits 2016'!K7326</f>
        <v>192.23618999999999</v>
      </c>
      <c r="E2110" s="276">
        <f>'Profits 2016'!L7326</f>
        <v>1450</v>
      </c>
      <c r="F2110" s="275" t="str">
        <f>'Profits 2016'!P7326</f>
        <v>Priority</v>
      </c>
      <c r="G2110" s="292">
        <f>'Profits 2016'!N7326-'Profits 2016'!M7326</f>
        <v>145</v>
      </c>
      <c r="H2110" s="331"/>
      <c r="I2110" s="332"/>
      <c r="J2110" s="333"/>
      <c r="K2110" s="333"/>
      <c r="L2110" s="333"/>
      <c r="M2110" s="331"/>
      <c r="N2110" s="334"/>
      <c r="O2110" s="236" t="str">
        <f>'Profits 2016'!T7326</f>
        <v>FEDEX GROUND</v>
      </c>
      <c r="P2110" s="284" t="str">
        <f>'Profits 2016'!U7326</f>
        <v xml:space="preserve">	616712878718</v>
      </c>
      <c r="AF2110" s="276">
        <f t="shared" si="223"/>
        <v>145</v>
      </c>
      <c r="AG2110" s="276">
        <f t="shared" si="224"/>
        <v>0</v>
      </c>
      <c r="AH2110" s="276">
        <f t="shared" si="225"/>
        <v>192.23618999999999</v>
      </c>
      <c r="AI2110" s="283">
        <f t="shared" si="226"/>
        <v>1.3257668275862069</v>
      </c>
    </row>
    <row r="2111" spans="1:35" ht="30" x14ac:dyDescent="0.25">
      <c r="A2111" s="275">
        <f>'Profits 2016'!A7327</f>
        <v>3005759</v>
      </c>
      <c r="B2111" s="279">
        <f>'Profits 2016'!B7327</f>
        <v>42702</v>
      </c>
      <c r="C2111" s="276">
        <f>'Profits 2016'!H7327</f>
        <v>153</v>
      </c>
      <c r="D2111" s="280">
        <f>'Profits 2016'!K7327</f>
        <v>136.023</v>
      </c>
      <c r="E2111" s="276">
        <f>'Profits 2016'!L7327</f>
        <v>642.99</v>
      </c>
      <c r="F2111" s="275" t="str">
        <f>'Profits 2016'!P7327</f>
        <v>Nassau</v>
      </c>
      <c r="G2111" s="292">
        <f>'Profits 2016'!N7327-'Profits 2016'!M7327</f>
        <v>64.299000000000007</v>
      </c>
      <c r="H2111" s="319"/>
      <c r="I2111" s="320"/>
      <c r="J2111" s="321"/>
      <c r="K2111" s="321"/>
      <c r="L2111" s="321"/>
      <c r="M2111" s="319"/>
      <c r="N2111" s="322"/>
      <c r="O2111" s="236" t="str">
        <f>'Profits 2016'!T7327</f>
        <v>FEDEX GROUND</v>
      </c>
      <c r="P2111" s="284" t="str">
        <f>'Profits 2016'!U7327</f>
        <v>665645048397</v>
      </c>
      <c r="AF2111" s="276">
        <f t="shared" si="223"/>
        <v>64.299000000000007</v>
      </c>
      <c r="AG2111" s="276">
        <f t="shared" si="224"/>
        <v>0</v>
      </c>
      <c r="AH2111" s="276">
        <f t="shared" si="225"/>
        <v>136.023</v>
      </c>
      <c r="AI2111" s="283">
        <f t="shared" si="226"/>
        <v>2.1154761349321136</v>
      </c>
    </row>
    <row r="2112" spans="1:35" ht="30" x14ac:dyDescent="0.25">
      <c r="A2112" s="275">
        <f>'Profits 2016'!A7328</f>
        <v>3005760</v>
      </c>
      <c r="B2112" s="279">
        <f>'Profits 2016'!B7328</f>
        <v>42702</v>
      </c>
      <c r="C2112" s="276">
        <f>'Profits 2016'!H7328</f>
        <v>220.51</v>
      </c>
      <c r="D2112" s="280">
        <f>'Profits 2016'!K7328</f>
        <v>196.17440999999999</v>
      </c>
      <c r="E2112" s="276">
        <f>'Profits 2016'!L7328</f>
        <v>424</v>
      </c>
      <c r="F2112" s="275" t="str">
        <f>'Profits 2016'!P7328</f>
        <v>Nassau</v>
      </c>
      <c r="G2112" s="292">
        <f>'Profits 2016'!N7328-'Profits 2016'!M7328</f>
        <v>95.4</v>
      </c>
      <c r="H2112" s="319"/>
      <c r="I2112" s="320"/>
      <c r="J2112" s="321"/>
      <c r="K2112" s="321"/>
      <c r="L2112" s="321"/>
      <c r="M2112" s="319"/>
      <c r="N2112" s="322"/>
      <c r="O2112" s="236" t="str">
        <f>'Profits 2016'!T7328</f>
        <v>FEDEX GROUND</v>
      </c>
      <c r="P2112" s="284" t="str">
        <f>'Profits 2016'!U7328</f>
        <v>665645048478</v>
      </c>
      <c r="AF2112" s="276">
        <f t="shared" si="223"/>
        <v>95.4</v>
      </c>
      <c r="AG2112" s="276">
        <f t="shared" si="224"/>
        <v>0</v>
      </c>
      <c r="AH2112" s="276">
        <f t="shared" si="225"/>
        <v>196.17440999999999</v>
      </c>
      <c r="AI2112" s="283">
        <f t="shared" si="226"/>
        <v>2.0563355345911947</v>
      </c>
    </row>
    <row r="2113" spans="1:35" ht="30" x14ac:dyDescent="0.25">
      <c r="A2113" s="275">
        <f>'Profits 2016'!A7329</f>
        <v>3005761</v>
      </c>
      <c r="B2113" s="279">
        <f>'Profits 2016'!B7329</f>
        <v>42702</v>
      </c>
      <c r="C2113" s="276">
        <f>'Profits 2016'!H7329</f>
        <v>170</v>
      </c>
      <c r="D2113" s="280">
        <f>'Profits 2016'!K7329</f>
        <v>151.16999999999999</v>
      </c>
      <c r="E2113" s="276">
        <f>'Profits 2016'!L7329</f>
        <v>174</v>
      </c>
      <c r="F2113" s="275" t="str">
        <f>'Profits 2016'!P7329</f>
        <v>Thea</v>
      </c>
      <c r="G2113" s="292">
        <f>'Profits 2016'!N7329-'Profits 2016'!M7329</f>
        <v>43.5</v>
      </c>
      <c r="H2113" s="319"/>
      <c r="I2113" s="320"/>
      <c r="J2113" s="321"/>
      <c r="K2113" s="321"/>
      <c r="L2113" s="321"/>
      <c r="M2113" s="319"/>
      <c r="N2113" s="322"/>
      <c r="O2113" s="236" t="str">
        <f>'Profits 2016'!T7329</f>
        <v>FEDEX GROUND</v>
      </c>
      <c r="P2113" s="284" t="str">
        <f>'Profits 2016'!U7329</f>
        <v>675157532598</v>
      </c>
      <c r="AF2113" s="276">
        <f t="shared" si="223"/>
        <v>43.5</v>
      </c>
      <c r="AG2113" s="276">
        <f t="shared" si="224"/>
        <v>0</v>
      </c>
      <c r="AH2113" s="276">
        <f t="shared" si="225"/>
        <v>151.16999999999999</v>
      </c>
      <c r="AI2113" s="283">
        <f t="shared" si="226"/>
        <v>3.475172413793103</v>
      </c>
    </row>
    <row r="2114" spans="1:35" ht="30" x14ac:dyDescent="0.25">
      <c r="A2114" s="275">
        <f>'Profits 2016'!A7330</f>
        <v>3005762</v>
      </c>
      <c r="B2114" s="279">
        <f>'Profits 2016'!B7330</f>
        <v>42702</v>
      </c>
      <c r="C2114" s="276">
        <f>'Profits 2016'!H7330</f>
        <v>256.41000000000003</v>
      </c>
      <c r="D2114" s="280">
        <f>'Profits 2016'!K7330</f>
        <v>228.16131000000004</v>
      </c>
      <c r="E2114" s="276">
        <f>'Profits 2016'!L7330</f>
        <v>375</v>
      </c>
      <c r="F2114" s="275" t="str">
        <f>'Profits 2016'!P7330</f>
        <v>Thea</v>
      </c>
      <c r="G2114" s="292">
        <f>'Profits 2016'!N7330-'Profits 2016'!M7330</f>
        <v>131.25</v>
      </c>
      <c r="H2114" s="319"/>
      <c r="I2114" s="320"/>
      <c r="J2114" s="321"/>
      <c r="K2114" s="321"/>
      <c r="L2114" s="321"/>
      <c r="M2114" s="319"/>
      <c r="N2114" s="322"/>
      <c r="O2114" s="236" t="str">
        <f>'Profits 2016'!T7330</f>
        <v>FEDEX GROUND</v>
      </c>
      <c r="P2114" s="284" t="str">
        <f>'Profits 2016'!U7330</f>
        <v>675157532587</v>
      </c>
      <c r="AF2114" s="276">
        <f t="shared" si="223"/>
        <v>131.25</v>
      </c>
      <c r="AG2114" s="276">
        <f t="shared" si="224"/>
        <v>0</v>
      </c>
      <c r="AH2114" s="276">
        <f t="shared" si="225"/>
        <v>228.16131000000004</v>
      </c>
      <c r="AI2114" s="283">
        <f t="shared" si="226"/>
        <v>1.738371885714286</v>
      </c>
    </row>
    <row r="2115" spans="1:35" x14ac:dyDescent="0.25">
      <c r="A2115" s="275">
        <f>'Profits 2016'!A7331</f>
        <v>3005763</v>
      </c>
      <c r="B2115" s="279">
        <f>'Profits 2016'!B7331</f>
        <v>42702</v>
      </c>
      <c r="C2115" s="276">
        <f>'Profits 2016'!H7331</f>
        <v>607.28</v>
      </c>
      <c r="D2115" s="280">
        <f>'Profits 2016'!K7331</f>
        <v>540.78647999999998</v>
      </c>
      <c r="E2115" s="276">
        <f>'Profits 2016'!L7331</f>
        <v>1090</v>
      </c>
      <c r="F2115" s="275" t="str">
        <f>'Profits 2016'!P7331</f>
        <v>Nassau</v>
      </c>
      <c r="G2115" s="292">
        <f>'Profits 2016'!N7331-'Profits 2016'!M7331</f>
        <v>245.25</v>
      </c>
      <c r="H2115" s="319"/>
      <c r="I2115" s="320"/>
      <c r="J2115" s="321"/>
      <c r="K2115" s="321"/>
      <c r="L2115" s="321"/>
      <c r="M2115" s="319"/>
      <c r="N2115" s="322"/>
      <c r="O2115" s="236" t="str">
        <f>'Profits 2016'!T7331</f>
        <v>R&amp;L/ECHO</v>
      </c>
      <c r="P2115" s="284" t="str">
        <f>'Profits 2016'!U7331</f>
        <v>76350730-5</v>
      </c>
      <c r="AF2115" s="276">
        <f t="shared" si="223"/>
        <v>245.25</v>
      </c>
      <c r="AG2115" s="276">
        <f t="shared" si="224"/>
        <v>0</v>
      </c>
      <c r="AH2115" s="276">
        <f t="shared" si="225"/>
        <v>540.78647999999998</v>
      </c>
      <c r="AI2115" s="283">
        <f t="shared" si="226"/>
        <v>2.2050417125382262</v>
      </c>
    </row>
    <row r="2116" spans="1:35" ht="30" x14ac:dyDescent="0.25">
      <c r="A2116" s="275">
        <f>'Profits 2016'!A7332</f>
        <v>3005764</v>
      </c>
      <c r="B2116" s="279">
        <f>'Profits 2016'!B7332</f>
        <v>42702</v>
      </c>
      <c r="C2116" s="276">
        <f>'Profits 2016'!H7332</f>
        <v>394.02</v>
      </c>
      <c r="D2116" s="280">
        <f>'Profits 2016'!K7332</f>
        <v>350.77181999999999</v>
      </c>
      <c r="E2116" s="276">
        <f>'Profits 2016'!L7332</f>
        <v>300</v>
      </c>
      <c r="F2116" s="275" t="str">
        <f>'Profits 2016'!P7332</f>
        <v>Thea</v>
      </c>
      <c r="G2116" s="292">
        <f>'Profits 2016'!N7332-'Profits 2016'!M7332</f>
        <v>150</v>
      </c>
      <c r="H2116" s="319"/>
      <c r="I2116" s="320"/>
      <c r="J2116" s="321"/>
      <c r="K2116" s="321"/>
      <c r="L2116" s="321"/>
      <c r="M2116" s="319"/>
      <c r="N2116" s="322"/>
      <c r="O2116" s="236" t="str">
        <f>'Profits 2016'!T7332</f>
        <v>FEDEX GROUND</v>
      </c>
      <c r="P2116" s="284" t="str">
        <f>'Profits 2016'!U7332</f>
        <v>675157532613</v>
      </c>
      <c r="AF2116" s="276">
        <f t="shared" si="223"/>
        <v>150</v>
      </c>
      <c r="AG2116" s="276">
        <f t="shared" si="224"/>
        <v>0</v>
      </c>
      <c r="AH2116" s="276">
        <f t="shared" si="225"/>
        <v>350.77181999999999</v>
      </c>
      <c r="AI2116" s="283">
        <f t="shared" si="226"/>
        <v>2.3384787999999999</v>
      </c>
    </row>
    <row r="2117" spans="1:35" ht="30" x14ac:dyDescent="0.25">
      <c r="A2117" s="275">
        <f>'Profits 2016'!A7333</f>
        <v>3005765</v>
      </c>
      <c r="B2117" s="279">
        <f>'Profits 2016'!B7333</f>
        <v>42702</v>
      </c>
      <c r="C2117" s="276">
        <f>'Profits 2016'!H7333</f>
        <v>277.32</v>
      </c>
      <c r="D2117" s="280">
        <f>'Profits 2016'!K7333</f>
        <v>246.79212000000001</v>
      </c>
      <c r="E2117" s="276">
        <f>'Profits 2016'!L7333</f>
        <v>580</v>
      </c>
      <c r="F2117" s="275" t="str">
        <f>'Profits 2016'!P7333</f>
        <v>General</v>
      </c>
      <c r="G2117" s="292">
        <f>'Profits 2016'!N7333-'Profits 2016'!M7333</f>
        <v>145</v>
      </c>
      <c r="H2117" s="331"/>
      <c r="I2117" s="332"/>
      <c r="J2117" s="333"/>
      <c r="K2117" s="333"/>
      <c r="L2117" s="333"/>
      <c r="M2117" s="331"/>
      <c r="N2117" s="334"/>
      <c r="O2117" s="236" t="str">
        <f>'Profits 2016'!T7333</f>
        <v>FEDEX GROUND</v>
      </c>
      <c r="P2117" s="284" t="str">
        <f>'Profits 2016'!U7333</f>
        <v>675157532576</v>
      </c>
      <c r="AF2117" s="276">
        <f t="shared" si="223"/>
        <v>145</v>
      </c>
      <c r="AG2117" s="276">
        <f t="shared" si="224"/>
        <v>0</v>
      </c>
      <c r="AH2117" s="276">
        <f t="shared" si="225"/>
        <v>246.79212000000001</v>
      </c>
      <c r="AI2117" s="283">
        <f t="shared" si="226"/>
        <v>1.7020146206896551</v>
      </c>
    </row>
    <row r="2118" spans="1:35" ht="30" x14ac:dyDescent="0.25">
      <c r="A2118" s="275">
        <f>'Profits 2016'!A7334</f>
        <v>3005766</v>
      </c>
      <c r="B2118" s="279">
        <f>'Profits 2016'!B7334</f>
        <v>42702</v>
      </c>
      <c r="C2118" s="276">
        <f>'Profits 2016'!H7334</f>
        <v>474.36</v>
      </c>
      <c r="D2118" s="280">
        <f>'Profits 2016'!K7334</f>
        <v>422.35476</v>
      </c>
      <c r="E2118" s="276">
        <f>'Profits 2016'!L7334</f>
        <v>300</v>
      </c>
      <c r="F2118" s="275" t="str">
        <f>'Profits 2016'!P7334</f>
        <v>Thea</v>
      </c>
      <c r="G2118" s="292">
        <f>'Profits 2016'!N7334-'Profits 2016'!M7334</f>
        <v>211.50000000000003</v>
      </c>
      <c r="H2118" s="319"/>
      <c r="I2118" s="320"/>
      <c r="J2118" s="321"/>
      <c r="K2118" s="321"/>
      <c r="L2118" s="321"/>
      <c r="M2118" s="319"/>
      <c r="N2118" s="322"/>
      <c r="O2118" s="236" t="str">
        <f>'Profits 2016'!T7334</f>
        <v>PITT OHIO/DLS</v>
      </c>
      <c r="P2118" s="284" t="str">
        <f>'Profits 2016'!U7334</f>
        <v>5011218753</v>
      </c>
      <c r="AF2118" s="276">
        <f t="shared" si="223"/>
        <v>211.50000000000003</v>
      </c>
      <c r="AG2118" s="276">
        <f t="shared" si="224"/>
        <v>0</v>
      </c>
      <c r="AH2118" s="276">
        <f t="shared" si="225"/>
        <v>422.35476</v>
      </c>
      <c r="AI2118" s="283">
        <f t="shared" si="226"/>
        <v>1.9969492198581558</v>
      </c>
    </row>
    <row r="2119" spans="1:35" ht="30" x14ac:dyDescent="0.25">
      <c r="A2119" s="275">
        <f>'Profits 2016'!A7335</f>
        <v>3005767</v>
      </c>
      <c r="B2119" s="279">
        <f>'Profits 2016'!B7335</f>
        <v>42702</v>
      </c>
      <c r="C2119" s="276">
        <f>'Profits 2016'!H7335</f>
        <v>278.82</v>
      </c>
      <c r="D2119" s="280">
        <f>'Profits 2016'!K7335</f>
        <v>248.12862000000001</v>
      </c>
      <c r="E2119" s="276">
        <f>'Profits 2016'!L7335</f>
        <v>424</v>
      </c>
      <c r="F2119" s="275" t="str">
        <f>'Profits 2016'!P7335</f>
        <v>Nassau</v>
      </c>
      <c r="G2119" s="292">
        <f>'Profits 2016'!N7335-'Profits 2016'!M7335</f>
        <v>95.4</v>
      </c>
      <c r="H2119" s="319"/>
      <c r="I2119" s="320"/>
      <c r="J2119" s="321"/>
      <c r="K2119" s="321"/>
      <c r="L2119" s="321"/>
      <c r="M2119" s="319"/>
      <c r="N2119" s="322"/>
      <c r="O2119" s="236" t="str">
        <f>'Profits 2016'!T7335</f>
        <v>FEDEX GROUND</v>
      </c>
      <c r="P2119" s="284" t="str">
        <f>'Profits 2016'!U7335</f>
        <v>665645048467</v>
      </c>
      <c r="AF2119" s="276">
        <f t="shared" si="223"/>
        <v>95.4</v>
      </c>
      <c r="AG2119" s="276">
        <f t="shared" si="224"/>
        <v>0</v>
      </c>
      <c r="AH2119" s="276">
        <f t="shared" si="225"/>
        <v>248.12862000000001</v>
      </c>
      <c r="AI2119" s="283">
        <f t="shared" si="226"/>
        <v>2.6009289308176102</v>
      </c>
    </row>
    <row r="2120" spans="1:35" ht="30" x14ac:dyDescent="0.25">
      <c r="A2120" s="275">
        <f>'Profits 2016'!A7336</f>
        <v>3005768</v>
      </c>
      <c r="B2120" s="279">
        <f>'Profits 2016'!B7336</f>
        <v>42702</v>
      </c>
      <c r="C2120" s="276">
        <f>'Profits 2016'!H7336</f>
        <v>185</v>
      </c>
      <c r="D2120" s="280">
        <f>'Profits 2016'!K7336</f>
        <v>157.25</v>
      </c>
      <c r="E2120" s="276">
        <f>'Profits 2016'!L7336</f>
        <v>1190</v>
      </c>
      <c r="F2120" s="275" t="str">
        <f>'Profits 2016'!P7336</f>
        <v>Direct</v>
      </c>
      <c r="G2120" s="292">
        <f>'Profits 2016'!N7336-'Profits 2016'!M7336</f>
        <v>119</v>
      </c>
      <c r="H2120" s="331"/>
      <c r="I2120" s="332"/>
      <c r="J2120" s="333"/>
      <c r="K2120" s="333"/>
      <c r="L2120" s="333"/>
      <c r="M2120" s="331"/>
      <c r="N2120" s="334"/>
      <c r="O2120" s="236" t="str">
        <f>'Profits 2016'!T7336</f>
        <v>FEDEX GROUND</v>
      </c>
      <c r="P2120" s="284" t="str">
        <f>'Profits 2016'!U7336</f>
        <v>630512245990</v>
      </c>
      <c r="AF2120" s="276">
        <f t="shared" si="223"/>
        <v>119</v>
      </c>
      <c r="AG2120" s="276">
        <f t="shared" si="224"/>
        <v>0</v>
      </c>
      <c r="AH2120" s="276">
        <f t="shared" si="225"/>
        <v>157.25</v>
      </c>
      <c r="AI2120" s="283">
        <f t="shared" si="226"/>
        <v>1.3214285714285714</v>
      </c>
    </row>
    <row r="2121" spans="1:35" x14ac:dyDescent="0.25">
      <c r="A2121" s="275">
        <f>'Profits 2016'!A7337</f>
        <v>3005769</v>
      </c>
      <c r="B2121" s="279">
        <f>'Profits 2016'!B7337</f>
        <v>42702</v>
      </c>
      <c r="C2121" s="276">
        <f>'Profits 2016'!H7337</f>
        <v>1449.62</v>
      </c>
      <c r="D2121" s="280">
        <f>'Profits 2016'!K7337</f>
        <v>1232.1769999999999</v>
      </c>
      <c r="E2121" s="276">
        <f>'Profits 2016'!L7337</f>
        <v>464.86</v>
      </c>
      <c r="F2121" s="275" t="str">
        <f>'Profits 2016'!P7337</f>
        <v>General</v>
      </c>
      <c r="G2121" s="292">
        <f>'Profits 2016'!N7337-'Profits 2016'!M7337</f>
        <v>929.71999999999991</v>
      </c>
      <c r="H2121" s="331"/>
      <c r="I2121" s="332"/>
      <c r="J2121" s="333"/>
      <c r="K2121" s="333"/>
      <c r="L2121" s="333"/>
      <c r="M2121" s="331"/>
      <c r="N2121" s="334"/>
      <c r="O2121" s="236" t="str">
        <f>'Profits 2016'!T7337</f>
        <v>FEDEX/DLS</v>
      </c>
      <c r="P2121" s="284">
        <f>'Profits 2016'!U7337</f>
        <v>0</v>
      </c>
      <c r="AF2121" s="276">
        <f t="shared" si="223"/>
        <v>929.71999999999991</v>
      </c>
      <c r="AG2121" s="276">
        <f t="shared" si="224"/>
        <v>0</v>
      </c>
      <c r="AH2121" s="276">
        <f t="shared" si="225"/>
        <v>1232.1769999999999</v>
      </c>
      <c r="AI2121" s="283">
        <f t="shared" si="226"/>
        <v>1.3253205266101622</v>
      </c>
    </row>
    <row r="2122" spans="1:35" ht="30" x14ac:dyDescent="0.25">
      <c r="A2122" s="275">
        <f>'Profits 2016'!A7338</f>
        <v>3005770</v>
      </c>
      <c r="B2122" s="279">
        <f>'Profits 2016'!B7338</f>
        <v>42702</v>
      </c>
      <c r="C2122" s="276">
        <f>'Profits 2016'!H7338</f>
        <v>147.44</v>
      </c>
      <c r="D2122" s="280">
        <f>'Profits 2016'!K7338</f>
        <v>125.324</v>
      </c>
      <c r="E2122" s="276">
        <f>'Profits 2016'!L7338</f>
        <v>970</v>
      </c>
      <c r="F2122" s="275" t="str">
        <f>'Profits 2016'!P7338</f>
        <v>Direct</v>
      </c>
      <c r="G2122" s="292">
        <f>'Profits 2016'!N7338-'Profits 2016'!M7338</f>
        <v>48.5</v>
      </c>
      <c r="H2122" s="331"/>
      <c r="I2122" s="332"/>
      <c r="J2122" s="333"/>
      <c r="K2122" s="333"/>
      <c r="L2122" s="333"/>
      <c r="M2122" s="331"/>
      <c r="N2122" s="334"/>
      <c r="O2122" s="236" t="str">
        <f>'Profits 2016'!T7338</f>
        <v>FEDEX GROUND</v>
      </c>
      <c r="P2122" s="284" t="str">
        <f>'Profits 2016'!U7338</f>
        <v>639794970630</v>
      </c>
      <c r="AF2122" s="276">
        <f t="shared" si="223"/>
        <v>48.5</v>
      </c>
      <c r="AG2122" s="276">
        <f t="shared" si="224"/>
        <v>0</v>
      </c>
      <c r="AH2122" s="276">
        <f t="shared" si="225"/>
        <v>125.324</v>
      </c>
      <c r="AI2122" s="283">
        <f t="shared" si="226"/>
        <v>2.5840000000000001</v>
      </c>
    </row>
    <row r="2123" spans="1:35" x14ac:dyDescent="0.25">
      <c r="A2123" s="275">
        <f>'Profits 2016'!A7339</f>
        <v>0</v>
      </c>
      <c r="B2123" s="279">
        <f>'Profits 2016'!B7339</f>
        <v>0</v>
      </c>
      <c r="C2123" s="276">
        <f>'Profits 2016'!H7339</f>
        <v>0</v>
      </c>
      <c r="D2123" s="280">
        <f>'Profits 2016'!K7339</f>
        <v>0</v>
      </c>
      <c r="E2123" s="276">
        <f>'Profits 2016'!L7339</f>
        <v>970</v>
      </c>
      <c r="F2123" s="275" t="str">
        <f>'Profits 2016'!P7339</f>
        <v>Direct</v>
      </c>
      <c r="G2123" s="292">
        <f>'Profits 2016'!N7339-'Profits 2016'!M7339</f>
        <v>48.5</v>
      </c>
      <c r="H2123" s="331"/>
      <c r="I2123" s="332"/>
      <c r="J2123" s="333"/>
      <c r="K2123" s="333"/>
      <c r="L2123" s="333"/>
      <c r="M2123" s="331"/>
      <c r="N2123" s="334"/>
      <c r="O2123" s="236">
        <f>'Profits 2016'!T7339</f>
        <v>0</v>
      </c>
      <c r="P2123" s="284">
        <f>'Profits 2016'!U7339</f>
        <v>0</v>
      </c>
      <c r="AF2123" s="276">
        <f t="shared" si="223"/>
        <v>48.5</v>
      </c>
      <c r="AG2123" s="276">
        <f t="shared" si="224"/>
        <v>0</v>
      </c>
      <c r="AH2123" s="276">
        <f t="shared" si="225"/>
        <v>0</v>
      </c>
      <c r="AI2123" s="283">
        <f t="shared" si="226"/>
        <v>0</v>
      </c>
    </row>
    <row r="2124" spans="1:35" ht="30" x14ac:dyDescent="0.25">
      <c r="A2124" s="275">
        <f>'Profits 2016'!A7340</f>
        <v>3005771</v>
      </c>
      <c r="B2124" s="279">
        <f>'Profits 2016'!B7340</f>
        <v>42702</v>
      </c>
      <c r="C2124" s="276">
        <f>'Profits 2016'!H7340</f>
        <v>120.09</v>
      </c>
      <c r="D2124" s="280">
        <f>'Profits 2016'!K7340</f>
        <v>102.07650000000001</v>
      </c>
      <c r="E2124" s="276">
        <f>'Profits 2016'!L7340</f>
        <v>630</v>
      </c>
      <c r="F2124" s="275" t="str">
        <f>'Profits 2016'!P7340</f>
        <v>A-Z</v>
      </c>
      <c r="G2124" s="292">
        <f>'Profits 2016'!N7340-'Profits 2016'!M7340</f>
        <v>63</v>
      </c>
      <c r="H2124" s="331"/>
      <c r="I2124" s="332"/>
      <c r="J2124" s="333"/>
      <c r="K2124" s="333"/>
      <c r="L2124" s="333"/>
      <c r="M2124" s="331"/>
      <c r="N2124" s="334"/>
      <c r="O2124" s="236" t="str">
        <f>'Profits 2016'!T7340</f>
        <v>FEDEX GROUND</v>
      </c>
      <c r="P2124" s="284" t="str">
        <f>'Profits 2016'!U7340</f>
        <v>676563251315</v>
      </c>
      <c r="AF2124" s="276">
        <f t="shared" si="223"/>
        <v>63</v>
      </c>
      <c r="AG2124" s="276">
        <f t="shared" si="224"/>
        <v>0</v>
      </c>
      <c r="AH2124" s="276">
        <f t="shared" si="225"/>
        <v>102.07650000000001</v>
      </c>
      <c r="AI2124" s="283">
        <f t="shared" si="226"/>
        <v>1.6202619047619049</v>
      </c>
    </row>
    <row r="2125" spans="1:35" ht="30" x14ac:dyDescent="0.25">
      <c r="A2125" s="275">
        <f>'Profits 2016'!A7341</f>
        <v>3005772</v>
      </c>
      <c r="B2125" s="279">
        <f>'Profits 2016'!B7341</f>
        <v>42702</v>
      </c>
      <c r="C2125" s="276">
        <f>'Profits 2016'!H7341</f>
        <v>190</v>
      </c>
      <c r="D2125" s="280">
        <f>'Profits 2016'!K7341</f>
        <v>161.5</v>
      </c>
      <c r="E2125" s="276">
        <f>'Profits 2016'!L7341</f>
        <v>424</v>
      </c>
      <c r="F2125" s="275" t="str">
        <f>'Profits 2016'!P7341</f>
        <v>Nassau</v>
      </c>
      <c r="G2125" s="292">
        <f>'Profits 2016'!N7341-'Profits 2016'!M7341</f>
        <v>95.4</v>
      </c>
      <c r="H2125" s="319"/>
      <c r="I2125" s="320"/>
      <c r="J2125" s="321"/>
      <c r="K2125" s="321"/>
      <c r="L2125" s="321"/>
      <c r="M2125" s="319"/>
      <c r="N2125" s="322"/>
      <c r="O2125" s="236" t="str">
        <f>'Profits 2016'!T7341</f>
        <v>FEDEX GROUND</v>
      </c>
      <c r="P2125" s="284" t="str">
        <f>'Profits 2016'!U7341</f>
        <v>665645048489</v>
      </c>
      <c r="AF2125" s="276">
        <f t="shared" si="223"/>
        <v>95.4</v>
      </c>
      <c r="AG2125" s="276">
        <f t="shared" si="224"/>
        <v>0</v>
      </c>
      <c r="AH2125" s="276">
        <f t="shared" si="225"/>
        <v>161.5</v>
      </c>
      <c r="AI2125" s="283">
        <f t="shared" si="226"/>
        <v>1.6928721174004191</v>
      </c>
    </row>
    <row r="2126" spans="1:35" ht="30" x14ac:dyDescent="0.25">
      <c r="A2126" s="275">
        <f>'Profits 2016'!A7342</f>
        <v>3005773</v>
      </c>
      <c r="B2126" s="279">
        <f>'Profits 2016'!B7342</f>
        <v>42702</v>
      </c>
      <c r="C2126" s="276">
        <f>'Profits 2016'!H7342</f>
        <v>210.56</v>
      </c>
      <c r="D2126" s="280">
        <f>'Profits 2016'!K7342</f>
        <v>178.976</v>
      </c>
      <c r="E2126" s="276">
        <f>'Profits 2016'!L7342</f>
        <v>900</v>
      </c>
      <c r="F2126" s="275" t="str">
        <f>'Profits 2016'!P7342</f>
        <v>Nassau</v>
      </c>
      <c r="G2126" s="292">
        <f>'Profits 2016'!N7342-'Profits 2016'!M7342</f>
        <v>112.5</v>
      </c>
      <c r="H2126" s="319"/>
      <c r="I2126" s="320"/>
      <c r="J2126" s="321"/>
      <c r="K2126" s="321"/>
      <c r="L2126" s="321"/>
      <c r="M2126" s="319"/>
      <c r="N2126" s="322"/>
      <c r="O2126" s="236" t="str">
        <f>'Profits 2016'!T7342</f>
        <v>FEDEX GROUND</v>
      </c>
      <c r="P2126" s="284" t="str">
        <f>'Profits 2016'!U7342</f>
        <v>680483361295</v>
      </c>
      <c r="AF2126" s="276">
        <f t="shared" si="223"/>
        <v>112.5</v>
      </c>
      <c r="AG2126" s="276">
        <f t="shared" si="224"/>
        <v>0</v>
      </c>
      <c r="AH2126" s="276">
        <f t="shared" si="225"/>
        <v>178.976</v>
      </c>
      <c r="AI2126" s="283">
        <f t="shared" si="226"/>
        <v>1.5908977777777777</v>
      </c>
    </row>
    <row r="2127" spans="1:35" ht="30" x14ac:dyDescent="0.25">
      <c r="A2127" s="275">
        <f>'Profits 2016'!A7343</f>
        <v>3005774</v>
      </c>
      <c r="B2127" s="279">
        <f>'Profits 2016'!B7343</f>
        <v>42702</v>
      </c>
      <c r="C2127" s="276">
        <f>'Profits 2016'!H7343</f>
        <v>189.14</v>
      </c>
      <c r="D2127" s="280">
        <f>'Profits 2016'!K7343</f>
        <v>160.76899999999998</v>
      </c>
      <c r="E2127" s="276">
        <f>'Profits 2016'!L7343</f>
        <v>900</v>
      </c>
      <c r="F2127" s="275" t="str">
        <f>'Profits 2016'!P7343</f>
        <v>Nassau</v>
      </c>
      <c r="G2127" s="292">
        <f>'Profits 2016'!N7343-'Profits 2016'!M7343</f>
        <v>90</v>
      </c>
      <c r="H2127" s="319"/>
      <c r="I2127" s="320"/>
      <c r="J2127" s="321"/>
      <c r="K2127" s="321"/>
      <c r="L2127" s="321"/>
      <c r="M2127" s="319"/>
      <c r="N2127" s="322"/>
      <c r="O2127" s="236" t="str">
        <f>'Profits 2016'!T7343</f>
        <v>FEDEX GROUND</v>
      </c>
      <c r="P2127" s="284" t="str">
        <f>'Profits 2016'!U7343</f>
        <v>680483361300</v>
      </c>
      <c r="AF2127" s="276">
        <f t="shared" si="223"/>
        <v>90</v>
      </c>
      <c r="AG2127" s="276">
        <f t="shared" si="224"/>
        <v>0</v>
      </c>
      <c r="AH2127" s="276">
        <f t="shared" si="225"/>
        <v>160.76899999999998</v>
      </c>
      <c r="AI2127" s="283">
        <f t="shared" si="226"/>
        <v>1.7863222222222219</v>
      </c>
    </row>
    <row r="2128" spans="1:35" ht="30" x14ac:dyDescent="0.25">
      <c r="A2128" s="275">
        <f>'Profits 2016'!A7344</f>
        <v>3005775</v>
      </c>
      <c r="B2128" s="279">
        <f>'Profits 2016'!B7344</f>
        <v>42702</v>
      </c>
      <c r="C2128" s="276">
        <f>'Profits 2016'!H7344</f>
        <v>144.53</v>
      </c>
      <c r="D2128" s="280">
        <f>'Profits 2016'!K7344</f>
        <v>122.8505</v>
      </c>
      <c r="E2128" s="276">
        <f>'Profits 2016'!L7344</f>
        <v>400</v>
      </c>
      <c r="F2128" s="275" t="str">
        <f>'Profits 2016'!P7344</f>
        <v>Nassau</v>
      </c>
      <c r="G2128" s="292">
        <f>'Profits 2016'!N7344-'Profits 2016'!M7344</f>
        <v>60</v>
      </c>
      <c r="H2128" s="319"/>
      <c r="I2128" s="320"/>
      <c r="J2128" s="321"/>
      <c r="K2128" s="321"/>
      <c r="L2128" s="321"/>
      <c r="M2128" s="319"/>
      <c r="N2128" s="322"/>
      <c r="O2128" s="236" t="str">
        <f>'Profits 2016'!T7344</f>
        <v>FEDEX GROUND</v>
      </c>
      <c r="P2128" s="284" t="str">
        <f>'Profits 2016'!U7344</f>
        <v>665645048504</v>
      </c>
      <c r="AF2128" s="276">
        <f t="shared" si="223"/>
        <v>60</v>
      </c>
      <c r="AG2128" s="276">
        <f t="shared" si="224"/>
        <v>0</v>
      </c>
      <c r="AH2128" s="276">
        <f t="shared" si="225"/>
        <v>122.8505</v>
      </c>
      <c r="AI2128" s="283">
        <f t="shared" si="226"/>
        <v>2.0475083333333335</v>
      </c>
    </row>
    <row r="2129" spans="1:35" ht="30" x14ac:dyDescent="0.25">
      <c r="A2129" s="275">
        <f>'Profits 2016'!A7345</f>
        <v>3005776</v>
      </c>
      <c r="B2129" s="279">
        <f>'Profits 2016'!B7345</f>
        <v>42702</v>
      </c>
      <c r="C2129" s="276">
        <f>'Profits 2016'!H7345</f>
        <v>118.34</v>
      </c>
      <c r="D2129" s="280">
        <f>'Profits 2016'!K7345</f>
        <v>100.589</v>
      </c>
      <c r="E2129" s="276">
        <f>'Profits 2016'!L7345</f>
        <v>720</v>
      </c>
      <c r="F2129" s="275" t="str">
        <f>'Profits 2016'!P7345</f>
        <v>Priority</v>
      </c>
      <c r="G2129" s="292">
        <f>'Profits 2016'!N7345-'Profits 2016'!M7345</f>
        <v>72</v>
      </c>
      <c r="H2129" s="331"/>
      <c r="I2129" s="332"/>
      <c r="J2129" s="333"/>
      <c r="K2129" s="333"/>
      <c r="L2129" s="333"/>
      <c r="M2129" s="331"/>
      <c r="N2129" s="334"/>
      <c r="O2129" s="236" t="str">
        <f>'Profits 2016'!T7345</f>
        <v>FEDEX GROUND</v>
      </c>
      <c r="P2129" s="284" t="str">
        <f>'Profits 2016'!U7345</f>
        <v>616712878659</v>
      </c>
      <c r="AF2129" s="276">
        <f t="shared" si="223"/>
        <v>72</v>
      </c>
      <c r="AG2129" s="276">
        <f t="shared" si="224"/>
        <v>0</v>
      </c>
      <c r="AH2129" s="276">
        <f t="shared" si="225"/>
        <v>100.589</v>
      </c>
      <c r="AI2129" s="283">
        <f t="shared" si="226"/>
        <v>1.3970694444444445</v>
      </c>
    </row>
    <row r="2130" spans="1:35" ht="30" x14ac:dyDescent="0.25">
      <c r="A2130" s="275">
        <f>'Profits 2016'!A7346</f>
        <v>3005777</v>
      </c>
      <c r="B2130" s="279">
        <f>'Profits 2016'!B7346</f>
        <v>42702</v>
      </c>
      <c r="C2130" s="276">
        <f>'Profits 2016'!H7346</f>
        <v>130</v>
      </c>
      <c r="D2130" s="280">
        <f>'Profits 2016'!K7346</f>
        <v>110.5</v>
      </c>
      <c r="E2130" s="276">
        <f>'Profits 2016'!L7346</f>
        <v>510</v>
      </c>
      <c r="F2130" s="275" t="str">
        <f>'Profits 2016'!P7346</f>
        <v>Nassau</v>
      </c>
      <c r="G2130" s="292">
        <f>'Profits 2016'!N7346-'Profits 2016'!M7346</f>
        <v>51</v>
      </c>
      <c r="H2130" s="319"/>
      <c r="I2130" s="320"/>
      <c r="J2130" s="321"/>
      <c r="K2130" s="321"/>
      <c r="L2130" s="321"/>
      <c r="M2130" s="319"/>
      <c r="N2130" s="322"/>
      <c r="O2130" s="236" t="str">
        <f>'Profits 2016'!T7346</f>
        <v>FEDEX GROUND</v>
      </c>
      <c r="P2130" s="284" t="str">
        <f>'Profits 2016'!U7346</f>
        <v>665645048515</v>
      </c>
      <c r="AF2130" s="276">
        <f t="shared" si="223"/>
        <v>51</v>
      </c>
      <c r="AG2130" s="276">
        <f t="shared" si="224"/>
        <v>0</v>
      </c>
      <c r="AH2130" s="276">
        <f t="shared" si="225"/>
        <v>110.5</v>
      </c>
      <c r="AI2130" s="283">
        <f t="shared" si="226"/>
        <v>2.1666666666666665</v>
      </c>
    </row>
    <row r="2131" spans="1:35" ht="30" x14ac:dyDescent="0.25">
      <c r="A2131" s="275">
        <f>'Profits 2016'!A7347</f>
        <v>3005778</v>
      </c>
      <c r="B2131" s="279">
        <f>'Profits 2016'!B7347</f>
        <v>42702</v>
      </c>
      <c r="C2131" s="276">
        <f>'Profits 2016'!H7347</f>
        <v>210.56</v>
      </c>
      <c r="D2131" s="280">
        <f>'Profits 2016'!K7347</f>
        <v>178.976</v>
      </c>
      <c r="E2131" s="276">
        <f>'Profits 2016'!L7347</f>
        <v>900</v>
      </c>
      <c r="F2131" s="275" t="str">
        <f>'Profits 2016'!P7347</f>
        <v>Nassau</v>
      </c>
      <c r="G2131" s="292">
        <f>'Profits 2016'!N7347-'Profits 2016'!M7347</f>
        <v>112.5</v>
      </c>
      <c r="H2131" s="319"/>
      <c r="I2131" s="320"/>
      <c r="J2131" s="321"/>
      <c r="K2131" s="321"/>
      <c r="L2131" s="321"/>
      <c r="M2131" s="319"/>
      <c r="N2131" s="322"/>
      <c r="O2131" s="236" t="str">
        <f>'Profits 2016'!T7347</f>
        <v>FEDEX GROUND</v>
      </c>
      <c r="P2131" s="284" t="str">
        <f>'Profits 2016'!U7347</f>
        <v>680483361310</v>
      </c>
      <c r="AF2131" s="276">
        <f t="shared" si="223"/>
        <v>112.5</v>
      </c>
      <c r="AG2131" s="276">
        <f t="shared" si="224"/>
        <v>0</v>
      </c>
      <c r="AH2131" s="276">
        <f t="shared" si="225"/>
        <v>178.976</v>
      </c>
      <c r="AI2131" s="283">
        <f t="shared" si="226"/>
        <v>1.5908977777777777</v>
      </c>
    </row>
    <row r="2132" spans="1:35" ht="30" x14ac:dyDescent="0.25">
      <c r="A2132" s="275">
        <f>'Profits 2016'!A7348</f>
        <v>3005779</v>
      </c>
      <c r="B2132" s="279">
        <f>'Profits 2016'!B7348</f>
        <v>42702</v>
      </c>
      <c r="C2132" s="276">
        <f>'Profits 2016'!H7348</f>
        <v>297.79000000000002</v>
      </c>
      <c r="D2132" s="280">
        <f>'Profits 2016'!K7348</f>
        <v>253.12150000000003</v>
      </c>
      <c r="E2132" s="276">
        <f>'Profits 2016'!L7348</f>
        <v>909</v>
      </c>
      <c r="F2132" s="275" t="str">
        <f>'Profits 2016'!P7348</f>
        <v>Nassau</v>
      </c>
      <c r="G2132" s="292">
        <f>'Profits 2016'!N7348-'Profits 2016'!M7348</f>
        <v>127.26</v>
      </c>
      <c r="H2132" s="319"/>
      <c r="I2132" s="320"/>
      <c r="J2132" s="321"/>
      <c r="K2132" s="321"/>
      <c r="L2132" s="321"/>
      <c r="M2132" s="319"/>
      <c r="N2132" s="322"/>
      <c r="O2132" s="236" t="str">
        <f>'Profits 2016'!T7348</f>
        <v>FEDEX GROUND</v>
      </c>
      <c r="P2132" s="284" t="str">
        <f>'Profits 2016'!U7348</f>
        <v>665645048490</v>
      </c>
      <c r="AF2132" s="276">
        <f t="shared" si="223"/>
        <v>127.26</v>
      </c>
      <c r="AG2132" s="276">
        <f t="shared" si="224"/>
        <v>0</v>
      </c>
      <c r="AH2132" s="276">
        <f t="shared" si="225"/>
        <v>253.12150000000003</v>
      </c>
      <c r="AI2132" s="283">
        <f t="shared" si="226"/>
        <v>1.9890106867829642</v>
      </c>
    </row>
    <row r="2133" spans="1:35" ht="30" x14ac:dyDescent="0.25">
      <c r="A2133" s="275">
        <f>'Profits 2016'!A7349</f>
        <v>3005780</v>
      </c>
      <c r="B2133" s="279">
        <f>'Profits 2016'!B7349</f>
        <v>42702</v>
      </c>
      <c r="C2133" s="276">
        <f>'Profits 2016'!H7349</f>
        <v>100</v>
      </c>
      <c r="D2133" s="280">
        <f>'Profits 2016'!K7349</f>
        <v>85</v>
      </c>
      <c r="E2133" s="276">
        <f>'Profits 2016'!L7349</f>
        <v>2279</v>
      </c>
      <c r="F2133" s="275" t="str">
        <f>'Profits 2016'!P7349</f>
        <v>Direct</v>
      </c>
      <c r="G2133" s="292">
        <f>'Profits 2016'!N7349-'Profits 2016'!M7349</f>
        <v>56.975000000000001</v>
      </c>
      <c r="H2133" s="331"/>
      <c r="I2133" s="332"/>
      <c r="J2133" s="333"/>
      <c r="K2133" s="333"/>
      <c r="L2133" s="333"/>
      <c r="M2133" s="331"/>
      <c r="N2133" s="334"/>
      <c r="O2133" s="236" t="str">
        <f>'Profits 2016'!T7349</f>
        <v>FEDEX GROUND</v>
      </c>
      <c r="P2133" s="284" t="str">
        <f>'Profits 2016'!U7349</f>
        <v>639794970640</v>
      </c>
      <c r="AF2133" s="276">
        <f t="shared" si="223"/>
        <v>56.975000000000001</v>
      </c>
      <c r="AG2133" s="276">
        <f t="shared" si="224"/>
        <v>0</v>
      </c>
      <c r="AH2133" s="276">
        <f t="shared" si="225"/>
        <v>85</v>
      </c>
      <c r="AI2133" s="283">
        <f t="shared" si="226"/>
        <v>1.4918824045634049</v>
      </c>
    </row>
    <row r="2134" spans="1:35" x14ac:dyDescent="0.25">
      <c r="A2134" s="275">
        <f>'Profits 2016'!A7350</f>
        <v>0</v>
      </c>
      <c r="B2134" s="279">
        <f>'Profits 2016'!B7350</f>
        <v>0</v>
      </c>
      <c r="C2134" s="276">
        <f>'Profits 2016'!H7350</f>
        <v>0</v>
      </c>
      <c r="D2134" s="280">
        <f>'Profits 2016'!K7350</f>
        <v>0</v>
      </c>
      <c r="E2134" s="276">
        <f>'Profits 2016'!L7350</f>
        <v>2279</v>
      </c>
      <c r="F2134" s="275" t="str">
        <f>'Profits 2016'!P7350</f>
        <v>Direct</v>
      </c>
      <c r="G2134" s="292">
        <f>'Profits 2016'!N7350-'Profits 2016'!M7350</f>
        <v>56.975000000000001</v>
      </c>
      <c r="H2134" s="331"/>
      <c r="I2134" s="332"/>
      <c r="J2134" s="333"/>
      <c r="K2134" s="333"/>
      <c r="L2134" s="333"/>
      <c r="M2134" s="331"/>
      <c r="N2134" s="334"/>
      <c r="O2134" s="236">
        <f>'Profits 2016'!T7350</f>
        <v>0</v>
      </c>
      <c r="P2134" s="284">
        <f>'Profits 2016'!U7350</f>
        <v>0</v>
      </c>
      <c r="AF2134" s="276">
        <f t="shared" si="223"/>
        <v>56.975000000000001</v>
      </c>
      <c r="AG2134" s="276">
        <f t="shared" si="224"/>
        <v>0</v>
      </c>
      <c r="AH2134" s="276">
        <f t="shared" si="225"/>
        <v>0</v>
      </c>
      <c r="AI2134" s="283">
        <f t="shared" si="226"/>
        <v>0</v>
      </c>
    </row>
    <row r="2135" spans="1:35" x14ac:dyDescent="0.25">
      <c r="A2135" s="275">
        <f>'Profits 2016'!A7351</f>
        <v>3005781</v>
      </c>
      <c r="B2135" s="279">
        <f>'Profits 2016'!B7351</f>
        <v>42702</v>
      </c>
      <c r="C2135" s="276">
        <f>'Profits 2016'!H7351</f>
        <v>5994.59</v>
      </c>
      <c r="D2135" s="280">
        <f>'Profits 2016'!K7351</f>
        <v>5994.59</v>
      </c>
      <c r="E2135" s="276">
        <f>'Profits 2016'!L7351</f>
        <v>525</v>
      </c>
      <c r="F2135" s="275" t="str">
        <f>'Profits 2016'!P7351</f>
        <v>Nassau</v>
      </c>
      <c r="G2135" s="292">
        <f>'Profits 2016'!N7351-'Profits 2016'!M7351</f>
        <v>1575</v>
      </c>
      <c r="H2135" s="319"/>
      <c r="I2135" s="320"/>
      <c r="J2135" s="321"/>
      <c r="K2135" s="321"/>
      <c r="L2135" s="321"/>
      <c r="M2135" s="319"/>
      <c r="N2135" s="322"/>
      <c r="O2135" s="236" t="str">
        <f>'Profits 2016'!T7351</f>
        <v>ESTES/DLS</v>
      </c>
      <c r="P2135" s="284" t="str">
        <f>'Profits 2016'!U7351</f>
        <v>0272136776</v>
      </c>
      <c r="AF2135" s="276">
        <f t="shared" si="223"/>
        <v>1575</v>
      </c>
      <c r="AG2135" s="276">
        <f t="shared" si="224"/>
        <v>0</v>
      </c>
      <c r="AH2135" s="276">
        <f t="shared" si="225"/>
        <v>5994.59</v>
      </c>
      <c r="AI2135" s="283">
        <f t="shared" si="226"/>
        <v>3.8060888888888891</v>
      </c>
    </row>
    <row r="2136" spans="1:35" x14ac:dyDescent="0.25">
      <c r="A2136" s="275">
        <f>'Profits 2016'!A7352</f>
        <v>0</v>
      </c>
      <c r="B2136" s="279">
        <f>'Profits 2016'!B7352</f>
        <v>0</v>
      </c>
      <c r="C2136" s="276">
        <f>'Profits 2016'!H7352</f>
        <v>0</v>
      </c>
      <c r="D2136" s="280">
        <f>'Profits 2016'!K7352</f>
        <v>0</v>
      </c>
      <c r="E2136" s="276">
        <f>'Profits 2016'!L7352</f>
        <v>589</v>
      </c>
      <c r="F2136" s="275" t="str">
        <f>'Profits 2016'!P7352</f>
        <v>Nassau</v>
      </c>
      <c r="G2136" s="292">
        <f>'Profits 2016'!N7352-'Profits 2016'!M7352</f>
        <v>589</v>
      </c>
      <c r="H2136" s="319"/>
      <c r="I2136" s="320"/>
      <c r="J2136" s="321"/>
      <c r="K2136" s="321"/>
      <c r="L2136" s="321"/>
      <c r="M2136" s="319"/>
      <c r="N2136" s="322"/>
      <c r="O2136" s="236">
        <f>'Profits 2016'!T7352</f>
        <v>0</v>
      </c>
      <c r="P2136" s="284">
        <f>'Profits 2016'!U7352</f>
        <v>0</v>
      </c>
      <c r="AF2136" s="276">
        <f t="shared" si="223"/>
        <v>589</v>
      </c>
      <c r="AG2136" s="276">
        <f t="shared" si="224"/>
        <v>0</v>
      </c>
      <c r="AH2136" s="276">
        <f t="shared" si="225"/>
        <v>0</v>
      </c>
      <c r="AI2136" s="283">
        <f t="shared" si="226"/>
        <v>0</v>
      </c>
    </row>
    <row r="2137" spans="1:35" x14ac:dyDescent="0.25">
      <c r="A2137" s="275">
        <f>'Profits 2016'!A7353</f>
        <v>0</v>
      </c>
      <c r="B2137" s="279">
        <f>'Profits 2016'!B7353</f>
        <v>0</v>
      </c>
      <c r="C2137" s="276">
        <f>'Profits 2016'!H7353</f>
        <v>0</v>
      </c>
      <c r="D2137" s="280">
        <f>'Profits 2016'!K7353</f>
        <v>0</v>
      </c>
      <c r="E2137" s="276">
        <f>'Profits 2016'!L7353</f>
        <v>616</v>
      </c>
      <c r="F2137" s="275" t="str">
        <f>'Profits 2016'!P7353</f>
        <v>Nassau</v>
      </c>
      <c r="G2137" s="292">
        <f>'Profits 2016'!N7353-'Profits 2016'!M7353</f>
        <v>616</v>
      </c>
      <c r="H2137" s="319"/>
      <c r="I2137" s="320"/>
      <c r="J2137" s="321"/>
      <c r="K2137" s="321"/>
      <c r="L2137" s="321"/>
      <c r="M2137" s="319"/>
      <c r="N2137" s="322"/>
      <c r="O2137" s="236">
        <f>'Profits 2016'!T7353</f>
        <v>0</v>
      </c>
      <c r="P2137" s="284">
        <f>'Profits 2016'!U7353</f>
        <v>0</v>
      </c>
      <c r="AF2137" s="276">
        <f t="shared" ref="AF2137:AF2159" si="227">G2137+H2138+R2137+Y2137</f>
        <v>616</v>
      </c>
      <c r="AG2137" s="276">
        <f t="shared" ref="AG2137:AG2159" si="228">M2137+R2137+Y2137</f>
        <v>0</v>
      </c>
      <c r="AH2137" s="276">
        <f t="shared" ref="AH2137:AH2159" si="229">D2137-AG2137</f>
        <v>0</v>
      </c>
      <c r="AI2137" s="283">
        <f t="shared" ref="AI2137:AI2159" si="230">AH2137/AF2137</f>
        <v>0</v>
      </c>
    </row>
    <row r="2138" spans="1:35" x14ac:dyDescent="0.25">
      <c r="A2138" s="275">
        <f>'Profits 2016'!A7354</f>
        <v>0</v>
      </c>
      <c r="B2138" s="279">
        <f>'Profits 2016'!B7354</f>
        <v>0</v>
      </c>
      <c r="C2138" s="276">
        <f>'Profits 2016'!H7354</f>
        <v>0</v>
      </c>
      <c r="D2138" s="280">
        <f>'Profits 2016'!K7354</f>
        <v>0</v>
      </c>
      <c r="E2138" s="276">
        <f>'Profits 2016'!L7354</f>
        <v>400</v>
      </c>
      <c r="F2138" s="275" t="str">
        <f>'Profits 2016'!P7354</f>
        <v>Nassau</v>
      </c>
      <c r="G2138" s="292">
        <f>'Profits 2016'!N7354-'Profits 2016'!M7354</f>
        <v>451.20000000000005</v>
      </c>
      <c r="H2138" s="319"/>
      <c r="I2138" s="320"/>
      <c r="J2138" s="321"/>
      <c r="K2138" s="321"/>
      <c r="L2138" s="321"/>
      <c r="M2138" s="319"/>
      <c r="N2138" s="322"/>
      <c r="O2138" s="236">
        <f>'Profits 2016'!T7354</f>
        <v>0</v>
      </c>
      <c r="P2138" s="284">
        <f>'Profits 2016'!U7354</f>
        <v>0</v>
      </c>
      <c r="AF2138" s="276">
        <f t="shared" si="227"/>
        <v>451.20000000000005</v>
      </c>
      <c r="AG2138" s="276">
        <f t="shared" si="228"/>
        <v>0</v>
      </c>
      <c r="AH2138" s="276">
        <f t="shared" si="229"/>
        <v>0</v>
      </c>
      <c r="AI2138" s="283">
        <f t="shared" si="230"/>
        <v>0</v>
      </c>
    </row>
    <row r="2139" spans="1:35" x14ac:dyDescent="0.25">
      <c r="A2139" s="275">
        <f>'Profits 2016'!A7355</f>
        <v>0</v>
      </c>
      <c r="B2139" s="279">
        <f>'Profits 2016'!B7355</f>
        <v>0</v>
      </c>
      <c r="C2139" s="276">
        <f>'Profits 2016'!H7355</f>
        <v>0</v>
      </c>
      <c r="D2139" s="280">
        <f>'Profits 2016'!K7355</f>
        <v>0</v>
      </c>
      <c r="E2139" s="276">
        <f>'Profits 2016'!L7355</f>
        <v>560</v>
      </c>
      <c r="F2139" s="275" t="str">
        <f>'Profits 2016'!P7355</f>
        <v>General</v>
      </c>
      <c r="G2139" s="292">
        <f>'Profits 2016'!N7355-'Profits 2016'!M7355</f>
        <v>560</v>
      </c>
      <c r="H2139" s="331"/>
      <c r="I2139" s="332"/>
      <c r="J2139" s="333"/>
      <c r="K2139" s="333"/>
      <c r="L2139" s="333"/>
      <c r="M2139" s="331"/>
      <c r="N2139" s="334"/>
      <c r="O2139" s="236" t="str">
        <f>'Profits 2016'!T7355</f>
        <v>PITT OHIO</v>
      </c>
      <c r="P2139" s="284" t="str">
        <f>'Profits 2016'!U7355</f>
        <v>5015028157</v>
      </c>
      <c r="AF2139" s="276">
        <f t="shared" si="227"/>
        <v>560</v>
      </c>
      <c r="AG2139" s="276">
        <f t="shared" si="228"/>
        <v>0</v>
      </c>
      <c r="AH2139" s="276">
        <f t="shared" si="229"/>
        <v>0</v>
      </c>
      <c r="AI2139" s="283">
        <f t="shared" si="230"/>
        <v>0</v>
      </c>
    </row>
    <row r="2140" spans="1:35" x14ac:dyDescent="0.25">
      <c r="A2140" s="275">
        <f>'Profits 2016'!A7356</f>
        <v>0</v>
      </c>
      <c r="B2140" s="279">
        <f>'Profits 2016'!B7356</f>
        <v>0</v>
      </c>
      <c r="C2140" s="276">
        <f>'Profits 2016'!H7356</f>
        <v>0</v>
      </c>
      <c r="D2140" s="280">
        <f>'Profits 2016'!K7356</f>
        <v>0</v>
      </c>
      <c r="E2140" s="276">
        <f>'Profits 2016'!L7356</f>
        <v>464</v>
      </c>
      <c r="F2140" s="275" t="str">
        <f>'Profits 2016'!P7356</f>
        <v>General</v>
      </c>
      <c r="G2140" s="292">
        <f>'Profits 2016'!N7356-'Profits 2016'!M7356</f>
        <v>928</v>
      </c>
      <c r="H2140" s="331"/>
      <c r="I2140" s="332"/>
      <c r="J2140" s="333"/>
      <c r="K2140" s="333"/>
      <c r="L2140" s="333"/>
      <c r="M2140" s="331"/>
      <c r="N2140" s="334"/>
      <c r="O2140" s="236">
        <f>'Profits 2016'!T7356</f>
        <v>0</v>
      </c>
      <c r="P2140" s="284">
        <f>'Profits 2016'!U7356</f>
        <v>0</v>
      </c>
      <c r="AF2140" s="276">
        <f t="shared" si="227"/>
        <v>928</v>
      </c>
      <c r="AG2140" s="276">
        <f t="shared" si="228"/>
        <v>0</v>
      </c>
      <c r="AH2140" s="276">
        <f t="shared" si="229"/>
        <v>0</v>
      </c>
      <c r="AI2140" s="283">
        <f t="shared" si="230"/>
        <v>0</v>
      </c>
    </row>
    <row r="2141" spans="1:35" ht="30" x14ac:dyDescent="0.25">
      <c r="A2141" s="275">
        <f>'Profits 2016'!A7357</f>
        <v>3005782</v>
      </c>
      <c r="B2141" s="279">
        <f>'Profits 2016'!B7357</f>
        <v>42702</v>
      </c>
      <c r="C2141" s="276">
        <f>'Profits 2016'!H7357</f>
        <v>1550</v>
      </c>
      <c r="D2141" s="280">
        <f>'Profits 2016'!K7357</f>
        <v>1499.325</v>
      </c>
      <c r="E2141" s="276">
        <f>'Profits 2016'!L7357</f>
        <v>1299</v>
      </c>
      <c r="F2141" s="275" t="str">
        <f>'Profits 2016'!P7357</f>
        <v>West Virginia</v>
      </c>
      <c r="G2141" s="292">
        <f>'Profits 2016'!N7357-'Profits 2016'!M7357</f>
        <v>1299</v>
      </c>
      <c r="H2141" s="331"/>
      <c r="I2141" s="332"/>
      <c r="J2141" s="333"/>
      <c r="K2141" s="333"/>
      <c r="L2141" s="333"/>
      <c r="M2141" s="331"/>
      <c r="N2141" s="334"/>
      <c r="O2141" s="236" t="str">
        <f>'Profits 2016'!T7357</f>
        <v>PITT OHIO</v>
      </c>
      <c r="P2141" s="284" t="str">
        <f>'Profits 2016'!U7357</f>
        <v>5013344576</v>
      </c>
      <c r="AF2141" s="276">
        <f t="shared" si="227"/>
        <v>1299</v>
      </c>
      <c r="AG2141" s="276">
        <f t="shared" si="228"/>
        <v>0</v>
      </c>
      <c r="AH2141" s="276">
        <f t="shared" si="229"/>
        <v>1499.325</v>
      </c>
      <c r="AI2141" s="283">
        <f t="shared" si="230"/>
        <v>1.1542147806004619</v>
      </c>
    </row>
    <row r="2142" spans="1:35" ht="30" x14ac:dyDescent="0.25">
      <c r="A2142" s="275">
        <f>'Profits 2016'!A7358</f>
        <v>3005783</v>
      </c>
      <c r="B2142" s="279">
        <f>'Profits 2016'!B7358</f>
        <v>42702</v>
      </c>
      <c r="C2142" s="276">
        <f>'Profits 2016'!H7358</f>
        <v>475</v>
      </c>
      <c r="D2142" s="280">
        <f>'Profits 2016'!K7358</f>
        <v>464.25</v>
      </c>
      <c r="E2142" s="276">
        <f>'Profits 2016'!L7358</f>
        <v>1677.88</v>
      </c>
      <c r="F2142" s="275" t="str">
        <f>'Profits 2016'!P7358</f>
        <v>General</v>
      </c>
      <c r="G2142" s="292">
        <f>'Profits 2016'!N7358-'Profits 2016'!M7358</f>
        <v>117.45160000000001</v>
      </c>
      <c r="H2142" s="331"/>
      <c r="I2142" s="332"/>
      <c r="J2142" s="333"/>
      <c r="K2142" s="333"/>
      <c r="L2142" s="333"/>
      <c r="M2142" s="331"/>
      <c r="N2142" s="334"/>
      <c r="O2142" s="236" t="str">
        <f>'Profits 2016'!T7358</f>
        <v>UPS GROUND</v>
      </c>
      <c r="P2142" s="284" t="str">
        <f>'Profits 2016'!U7358</f>
        <v>1ZE412720308464311</v>
      </c>
      <c r="AF2142" s="276">
        <f t="shared" si="227"/>
        <v>117.45160000000001</v>
      </c>
      <c r="AG2142" s="276">
        <f t="shared" si="228"/>
        <v>0</v>
      </c>
      <c r="AH2142" s="276">
        <f t="shared" si="229"/>
        <v>464.25</v>
      </c>
      <c r="AI2142" s="283">
        <f t="shared" si="230"/>
        <v>3.9526920024929413</v>
      </c>
    </row>
    <row r="2143" spans="1:35" x14ac:dyDescent="0.25">
      <c r="A2143" s="275">
        <f>'Profits 2016'!A7359</f>
        <v>0</v>
      </c>
      <c r="B2143" s="279">
        <f>'Profits 2016'!B7359</f>
        <v>0</v>
      </c>
      <c r="C2143" s="276">
        <f>'Profits 2016'!H7359</f>
        <v>0</v>
      </c>
      <c r="D2143" s="280">
        <f>'Profits 2016'!K7359</f>
        <v>0</v>
      </c>
      <c r="E2143" s="276">
        <f>'Profits 2016'!L7359</f>
        <v>793.07</v>
      </c>
      <c r="F2143" s="275" t="str">
        <f>'Profits 2016'!P7359</f>
        <v>General</v>
      </c>
      <c r="G2143" s="292">
        <f>'Profits 2016'!N7359-'Profits 2016'!M7359</f>
        <v>198.26750000000001</v>
      </c>
      <c r="H2143" s="331"/>
      <c r="I2143" s="332"/>
      <c r="J2143" s="333"/>
      <c r="K2143" s="333"/>
      <c r="L2143" s="333"/>
      <c r="M2143" s="331"/>
      <c r="N2143" s="334"/>
      <c r="O2143" s="236">
        <f>'Profits 2016'!T7359</f>
        <v>0</v>
      </c>
      <c r="P2143" s="284">
        <f>'Profits 2016'!U7359</f>
        <v>0</v>
      </c>
      <c r="AF2143" s="276">
        <f t="shared" si="227"/>
        <v>198.26750000000001</v>
      </c>
      <c r="AG2143" s="276">
        <f t="shared" si="228"/>
        <v>0</v>
      </c>
      <c r="AH2143" s="276">
        <f t="shared" si="229"/>
        <v>0</v>
      </c>
      <c r="AI2143" s="283">
        <f t="shared" si="230"/>
        <v>0</v>
      </c>
    </row>
    <row r="2144" spans="1:35" ht="30" x14ac:dyDescent="0.25">
      <c r="A2144" s="275">
        <f>'Profits 2016'!A7360</f>
        <v>3005784</v>
      </c>
      <c r="B2144" s="279">
        <f>'Profits 2016'!B7360</f>
        <v>42702</v>
      </c>
      <c r="C2144" s="276">
        <f>'Profits 2016'!H7360</f>
        <v>465</v>
      </c>
      <c r="D2144" s="280">
        <f>'Profits 2016'!K7360</f>
        <v>454.47</v>
      </c>
      <c r="E2144" s="276">
        <f>'Profits 2016'!L7360</f>
        <v>589</v>
      </c>
      <c r="F2144" s="275" t="str">
        <f>'Profits 2016'!P7360</f>
        <v>Wirexpress</v>
      </c>
      <c r="G2144" s="292">
        <f>'Profits 2016'!N7360-'Profits 2016'!M7360</f>
        <v>294.5</v>
      </c>
      <c r="H2144" s="331"/>
      <c r="I2144" s="332"/>
      <c r="J2144" s="333"/>
      <c r="K2144" s="333"/>
      <c r="L2144" s="333"/>
      <c r="M2144" s="331"/>
      <c r="N2144" s="334"/>
      <c r="O2144" s="236" t="str">
        <f>'Profits 2016'!T7360</f>
        <v>FEDEX GROUND</v>
      </c>
      <c r="P2144" s="284" t="str">
        <f>'Profits 2016'!U7360</f>
        <v xml:space="preserve">440801774656820 </v>
      </c>
      <c r="AF2144" s="276">
        <f t="shared" si="227"/>
        <v>294.5</v>
      </c>
      <c r="AG2144" s="276">
        <f t="shared" si="228"/>
        <v>0</v>
      </c>
      <c r="AH2144" s="276">
        <f t="shared" si="229"/>
        <v>454.47</v>
      </c>
      <c r="AI2144" s="283">
        <f t="shared" si="230"/>
        <v>1.5431918505942277</v>
      </c>
    </row>
    <row r="2145" spans="1:35" ht="30" x14ac:dyDescent="0.25">
      <c r="A2145" s="275">
        <f>'Profits 2016'!A7361</f>
        <v>3005785</v>
      </c>
      <c r="B2145" s="279">
        <f>'Profits 2016'!B7361</f>
        <v>42703</v>
      </c>
      <c r="C2145" s="276">
        <f>'Profits 2016'!H7361</f>
        <v>388.05</v>
      </c>
      <c r="D2145" s="280">
        <f>'Profits 2016'!K7361</f>
        <v>375.138375</v>
      </c>
      <c r="E2145" s="276">
        <f>'Profits 2016'!L7361</f>
        <v>3650</v>
      </c>
      <c r="F2145" s="275" t="str">
        <f>'Profits 2016'!P7361</f>
        <v>Priority</v>
      </c>
      <c r="G2145" s="292">
        <f>'Profits 2016'!N7361-'Profits 2016'!M7361</f>
        <v>237.25</v>
      </c>
      <c r="H2145" s="331"/>
      <c r="I2145" s="332"/>
      <c r="J2145" s="333"/>
      <c r="K2145" s="333"/>
      <c r="L2145" s="333"/>
      <c r="M2145" s="331"/>
      <c r="N2145" s="334"/>
      <c r="O2145" s="236" t="str">
        <f>'Profits 2016'!T7361</f>
        <v>FEDEX GROUND</v>
      </c>
      <c r="P2145" s="284" t="str">
        <f>'Profits 2016'!U7361</f>
        <v xml:space="preserve">	680993425880</v>
      </c>
      <c r="AF2145" s="276">
        <f t="shared" si="227"/>
        <v>237.25</v>
      </c>
      <c r="AG2145" s="276">
        <f t="shared" si="228"/>
        <v>0</v>
      </c>
      <c r="AH2145" s="276">
        <f t="shared" si="229"/>
        <v>375.138375</v>
      </c>
      <c r="AI2145" s="283">
        <f t="shared" si="230"/>
        <v>1.5811944151738673</v>
      </c>
    </row>
    <row r="2146" spans="1:35" ht="30" x14ac:dyDescent="0.25">
      <c r="A2146" s="275">
        <f>'Profits 2016'!A7362</f>
        <v>3005786</v>
      </c>
      <c r="B2146" s="279">
        <f>'Profits 2016'!B7362</f>
        <v>42703</v>
      </c>
      <c r="C2146" s="276">
        <f>'Profits 2016'!H7362</f>
        <v>660</v>
      </c>
      <c r="D2146" s="280">
        <f>'Profits 2016'!K7362</f>
        <v>660</v>
      </c>
      <c r="E2146" s="276">
        <f>'Profits 2016'!L7362</f>
        <v>1650</v>
      </c>
      <c r="F2146" s="275" t="str">
        <f>'Profits 2016'!P7362</f>
        <v>A-Z</v>
      </c>
      <c r="G2146" s="292">
        <f>'Profits 2016'!N7362-'Profits 2016'!M7362</f>
        <v>541.20000000000005</v>
      </c>
      <c r="H2146" s="331"/>
      <c r="I2146" s="332"/>
      <c r="J2146" s="333"/>
      <c r="K2146" s="333"/>
      <c r="L2146" s="333"/>
      <c r="M2146" s="331"/>
      <c r="N2146" s="334"/>
      <c r="O2146" s="236" t="str">
        <f>'Profits 2016'!T7362</f>
        <v>Customer Pick Up</v>
      </c>
      <c r="P2146" s="284" t="str">
        <f>'Profits 2016'!U7362</f>
        <v>Customer Pick Up</v>
      </c>
      <c r="AF2146" s="276">
        <f t="shared" si="227"/>
        <v>541.20000000000005</v>
      </c>
      <c r="AG2146" s="276">
        <f t="shared" si="228"/>
        <v>0</v>
      </c>
      <c r="AH2146" s="276">
        <f t="shared" si="229"/>
        <v>660</v>
      </c>
      <c r="AI2146" s="283">
        <f t="shared" si="230"/>
        <v>1.2195121951219512</v>
      </c>
    </row>
    <row r="2147" spans="1:35" ht="45" x14ac:dyDescent="0.25">
      <c r="A2147" s="275">
        <f>'Profits 2016'!A7363</f>
        <v>3005787</v>
      </c>
      <c r="B2147" s="279">
        <f>'Profits 2016'!B7363</f>
        <v>42703</v>
      </c>
      <c r="C2147" s="276">
        <f>'Profits 2016'!H7363</f>
        <v>3484</v>
      </c>
      <c r="D2147" s="280">
        <f>'Profits 2016'!K7363</f>
        <v>3370.47</v>
      </c>
      <c r="E2147" s="276">
        <f>'Profits 2016'!L7363</f>
        <v>1805</v>
      </c>
      <c r="F2147" s="275" t="str">
        <f>'Profits 2016'!P7363</f>
        <v>AWG</v>
      </c>
      <c r="G2147" s="292">
        <f>'Profits 2016'!N7363-'Profits 2016'!M7363</f>
        <v>1570.35</v>
      </c>
      <c r="H2147" s="331"/>
      <c r="I2147" s="332"/>
      <c r="J2147" s="333"/>
      <c r="K2147" s="333"/>
      <c r="L2147" s="333"/>
      <c r="M2147" s="331"/>
      <c r="N2147" s="334"/>
      <c r="O2147" s="236" t="str">
        <f>'Profits 2016'!T7363</f>
        <v>ROAD RUNNER/ECHO</v>
      </c>
      <c r="P2147" s="284">
        <f>'Profits 2016'!U7363</f>
        <v>0</v>
      </c>
      <c r="AF2147" s="276">
        <f t="shared" si="227"/>
        <v>1570.35</v>
      </c>
      <c r="AG2147" s="276">
        <f t="shared" si="228"/>
        <v>0</v>
      </c>
      <c r="AH2147" s="276">
        <f t="shared" si="229"/>
        <v>3370.47</v>
      </c>
      <c r="AI2147" s="283">
        <f t="shared" si="230"/>
        <v>2.1463176998758238</v>
      </c>
    </row>
    <row r="2148" spans="1:35" x14ac:dyDescent="0.25">
      <c r="A2148" s="275">
        <f>'Profits 2016'!A7364</f>
        <v>0</v>
      </c>
      <c r="B2148" s="279">
        <f>'Profits 2016'!B7364</f>
        <v>0</v>
      </c>
      <c r="C2148" s="276">
        <f>'Profits 2016'!H7364</f>
        <v>0</v>
      </c>
      <c r="D2148" s="280">
        <f>'Profits 2016'!K7364</f>
        <v>0</v>
      </c>
      <c r="E2148" s="276">
        <f>'Profits 2016'!L7364</f>
        <v>1040</v>
      </c>
      <c r="F2148" s="275" t="str">
        <f>'Profits 2016'!P7364</f>
        <v>AWG</v>
      </c>
      <c r="G2148" s="292">
        <f>'Profits 2016'!N7364-'Profits 2016'!M7364</f>
        <v>228.8</v>
      </c>
      <c r="H2148" s="331"/>
      <c r="I2148" s="332"/>
      <c r="J2148" s="333"/>
      <c r="K2148" s="333"/>
      <c r="L2148" s="333"/>
      <c r="M2148" s="331"/>
      <c r="N2148" s="334"/>
      <c r="O2148" s="236">
        <f>'Profits 2016'!T7364</f>
        <v>0</v>
      </c>
      <c r="P2148" s="284">
        <f>'Profits 2016'!U7364</f>
        <v>0</v>
      </c>
      <c r="AF2148" s="276">
        <f t="shared" si="227"/>
        <v>228.8</v>
      </c>
      <c r="AG2148" s="276">
        <f t="shared" si="228"/>
        <v>0</v>
      </c>
      <c r="AH2148" s="276">
        <f t="shared" si="229"/>
        <v>0</v>
      </c>
      <c r="AI2148" s="283">
        <f t="shared" si="230"/>
        <v>0</v>
      </c>
    </row>
    <row r="2149" spans="1:35" ht="30" x14ac:dyDescent="0.25">
      <c r="A2149" s="275">
        <f>'Profits 2016'!A7365</f>
        <v>3005788</v>
      </c>
      <c r="B2149" s="279">
        <f>'Profits 2016'!B7365</f>
        <v>42703</v>
      </c>
      <c r="C2149" s="276">
        <f>'Profits 2016'!H7365</f>
        <v>376.75</v>
      </c>
      <c r="D2149" s="280">
        <f>'Profits 2016'!K7365</f>
        <v>368.16149999999999</v>
      </c>
      <c r="E2149" s="276">
        <f>'Profits 2016'!L7365</f>
        <v>538.08000000000004</v>
      </c>
      <c r="F2149" s="275" t="str">
        <f>'Profits 2016'!P7365</f>
        <v>Thea</v>
      </c>
      <c r="G2149" s="292">
        <f>'Profits 2016'!N7365-'Profits 2016'!M7365</f>
        <v>177.56640000000002</v>
      </c>
      <c r="H2149" s="319"/>
      <c r="I2149" s="320"/>
      <c r="J2149" s="321"/>
      <c r="K2149" s="321"/>
      <c r="L2149" s="321"/>
      <c r="M2149" s="319"/>
      <c r="N2149" s="322"/>
      <c r="O2149" s="236" t="str">
        <f>'Profits 2016'!T7365</f>
        <v>Committed</v>
      </c>
      <c r="P2149" s="284">
        <f>'Profits 2016'!U7365</f>
        <v>0</v>
      </c>
      <c r="AF2149" s="276">
        <f t="shared" si="227"/>
        <v>177.56640000000002</v>
      </c>
      <c r="AG2149" s="276">
        <f t="shared" si="228"/>
        <v>0</v>
      </c>
      <c r="AH2149" s="276">
        <f t="shared" si="229"/>
        <v>368.16149999999999</v>
      </c>
      <c r="AI2149" s="283">
        <f t="shared" si="230"/>
        <v>2.073373678804098</v>
      </c>
    </row>
    <row r="2150" spans="1:35" ht="30" x14ac:dyDescent="0.25">
      <c r="A2150" s="275">
        <f>'Profits 2016'!A7366</f>
        <v>3005789</v>
      </c>
      <c r="B2150" s="279">
        <f>'Profits 2016'!B7366</f>
        <v>42703</v>
      </c>
      <c r="C2150" s="276">
        <f>'Profits 2016'!H7366</f>
        <v>680</v>
      </c>
      <c r="D2150" s="280">
        <f>'Profits 2016'!K7366</f>
        <v>664.74</v>
      </c>
      <c r="E2150" s="276">
        <f>'Profits 2016'!L7366</f>
        <v>1383</v>
      </c>
      <c r="F2150" s="275" t="str">
        <f>'Profits 2016'!P7366</f>
        <v>West Virginia</v>
      </c>
      <c r="G2150" s="292">
        <f>'Profits 2016'!N7366-'Profits 2016'!M7366</f>
        <v>553.20000000000005</v>
      </c>
      <c r="H2150" s="331"/>
      <c r="I2150" s="332"/>
      <c r="J2150" s="333"/>
      <c r="K2150" s="333"/>
      <c r="L2150" s="333"/>
      <c r="M2150" s="331"/>
      <c r="N2150" s="334"/>
      <c r="O2150" s="236" t="str">
        <f>'Profits 2016'!T7366</f>
        <v>PITT OHIO</v>
      </c>
      <c r="P2150" s="284" t="str">
        <f>'Profits 2016'!U7366</f>
        <v>5013344581.</v>
      </c>
      <c r="AF2150" s="276">
        <f t="shared" si="227"/>
        <v>553.20000000000005</v>
      </c>
      <c r="AG2150" s="276">
        <f t="shared" si="228"/>
        <v>0</v>
      </c>
      <c r="AH2150" s="276">
        <f t="shared" si="229"/>
        <v>664.74</v>
      </c>
      <c r="AI2150" s="283">
        <f t="shared" si="230"/>
        <v>1.2016268980477223</v>
      </c>
    </row>
    <row r="2151" spans="1:35" ht="30" x14ac:dyDescent="0.25">
      <c r="A2151" s="275">
        <f>'Profits 2016'!A7367</f>
        <v>3005790</v>
      </c>
      <c r="B2151" s="279">
        <f>'Profits 2016'!B7367</f>
        <v>42703</v>
      </c>
      <c r="C2151" s="276">
        <f>'Profits 2016'!H7367</f>
        <v>250</v>
      </c>
      <c r="D2151" s="280">
        <f>'Profits 2016'!K7367</f>
        <v>222.45</v>
      </c>
      <c r="E2151" s="276">
        <f>'Profits 2016'!L7367</f>
        <v>2600</v>
      </c>
      <c r="F2151" s="275" t="str">
        <f>'Profits 2016'!P7367</f>
        <v>A-Z</v>
      </c>
      <c r="G2151" s="292">
        <f>'Profits 2016'!N7367-'Profits 2016'!M7367</f>
        <v>130</v>
      </c>
      <c r="H2151" s="331"/>
      <c r="I2151" s="332"/>
      <c r="J2151" s="333"/>
      <c r="K2151" s="333"/>
      <c r="L2151" s="333"/>
      <c r="M2151" s="331"/>
      <c r="N2151" s="334"/>
      <c r="O2151" s="236" t="str">
        <f>'Profits 2016'!T7367</f>
        <v>FEDEX GROUND</v>
      </c>
      <c r="P2151" s="284" t="str">
        <f>'Profits 2016'!U7367</f>
        <v>712301699650</v>
      </c>
      <c r="AF2151" s="276">
        <f t="shared" si="227"/>
        <v>130</v>
      </c>
      <c r="AG2151" s="276">
        <f t="shared" si="228"/>
        <v>0</v>
      </c>
      <c r="AH2151" s="276">
        <f t="shared" si="229"/>
        <v>222.45</v>
      </c>
      <c r="AI2151" s="283">
        <f t="shared" si="230"/>
        <v>1.711153846153846</v>
      </c>
    </row>
    <row r="2152" spans="1:35" ht="30" x14ac:dyDescent="0.25">
      <c r="A2152" s="275">
        <f>'Profits 2016'!A7368</f>
        <v>3005791</v>
      </c>
      <c r="B2152" s="279">
        <f>'Profits 2016'!B7368</f>
        <v>42703</v>
      </c>
      <c r="C2152" s="276">
        <f>'Profits 2016'!H7368</f>
        <v>409.69</v>
      </c>
      <c r="D2152" s="280">
        <f>'Profits 2016'!K7368</f>
        <v>364.73379</v>
      </c>
      <c r="E2152" s="276">
        <f>'Profits 2016'!L7368</f>
        <v>1540</v>
      </c>
      <c r="F2152" s="275" t="str">
        <f>'Profits 2016'!P7368</f>
        <v>Nassau</v>
      </c>
      <c r="G2152" s="292">
        <f>'Profits 2016'!N7368-'Profits 2016'!M7368</f>
        <v>154</v>
      </c>
      <c r="H2152" s="319"/>
      <c r="I2152" s="320"/>
      <c r="J2152" s="321"/>
      <c r="K2152" s="321"/>
      <c r="L2152" s="321"/>
      <c r="M2152" s="319"/>
      <c r="N2152" s="322"/>
      <c r="O2152" s="236" t="str">
        <f>'Profits 2016'!T7368</f>
        <v>FEDEX GROUND</v>
      </c>
      <c r="P2152" s="284" t="str">
        <f>'Profits 2016'!U7368</f>
        <v>665645048560</v>
      </c>
      <c r="AF2152" s="276">
        <f t="shared" si="227"/>
        <v>154</v>
      </c>
      <c r="AG2152" s="276">
        <f t="shared" si="228"/>
        <v>0</v>
      </c>
      <c r="AH2152" s="276">
        <f t="shared" si="229"/>
        <v>364.73379</v>
      </c>
      <c r="AI2152" s="283">
        <f t="shared" si="230"/>
        <v>2.3684012337662339</v>
      </c>
    </row>
    <row r="2153" spans="1:35" ht="30" x14ac:dyDescent="0.25">
      <c r="A2153" s="275">
        <f>'Profits 2016'!A7369</f>
        <v>3005792</v>
      </c>
      <c r="B2153" s="279">
        <f>'Profits 2016'!B7369</f>
        <v>42703</v>
      </c>
      <c r="C2153" s="276">
        <f>'Profits 2016'!H7369</f>
        <v>159.75</v>
      </c>
      <c r="D2153" s="280">
        <f>'Profits 2016'!K7369</f>
        <v>142.03725</v>
      </c>
      <c r="E2153" s="276">
        <f>'Profits 2016'!L7369</f>
        <v>0</v>
      </c>
      <c r="F2153" s="275" t="str">
        <f>'Profits 2016'!P7369</f>
        <v>Thea</v>
      </c>
      <c r="G2153" s="292">
        <f>'Profits 2016'!N7369-'Profits 2016'!M7369</f>
        <v>0</v>
      </c>
      <c r="H2153" s="319"/>
      <c r="I2153" s="320"/>
      <c r="J2153" s="321"/>
      <c r="K2153" s="321"/>
      <c r="L2153" s="321"/>
      <c r="M2153" s="319"/>
      <c r="N2153" s="322"/>
      <c r="O2153" s="236" t="str">
        <f>'Profits 2016'!T7369</f>
        <v>Committed</v>
      </c>
      <c r="P2153" s="284">
        <f>'Profits 2016'!U7369</f>
        <v>0</v>
      </c>
      <c r="AF2153" s="276">
        <f t="shared" si="227"/>
        <v>0</v>
      </c>
      <c r="AG2153" s="276">
        <f t="shared" si="228"/>
        <v>0</v>
      </c>
      <c r="AH2153" s="276">
        <f t="shared" si="229"/>
        <v>142.03725</v>
      </c>
      <c r="AI2153" s="283" t="e">
        <f t="shared" si="230"/>
        <v>#DIV/0!</v>
      </c>
    </row>
    <row r="2154" spans="1:35" ht="30" x14ac:dyDescent="0.25">
      <c r="A2154" s="275">
        <f>'Profits 2016'!A7370</f>
        <v>3005793</v>
      </c>
      <c r="B2154" s="279">
        <f>'Profits 2016'!B7370</f>
        <v>42703</v>
      </c>
      <c r="C2154" s="276">
        <f>'Profits 2016'!H7370</f>
        <v>310</v>
      </c>
      <c r="D2154" s="280">
        <f>'Profits 2016'!K7370</f>
        <v>275.91000000000003</v>
      </c>
      <c r="E2154" s="276">
        <f>'Profits 2016'!L7370</f>
        <v>0</v>
      </c>
      <c r="F2154" s="275" t="str">
        <f>'Profits 2016'!P7370</f>
        <v>Nassau</v>
      </c>
      <c r="G2154" s="292">
        <f>'Profits 2016'!N7370-'Profits 2016'!M7370</f>
        <v>0</v>
      </c>
      <c r="H2154" s="319"/>
      <c r="I2154" s="320"/>
      <c r="J2154" s="321"/>
      <c r="K2154" s="321"/>
      <c r="L2154" s="321"/>
      <c r="M2154" s="319"/>
      <c r="N2154" s="322"/>
      <c r="O2154" s="236" t="str">
        <f>'Profits 2016'!T7370</f>
        <v>FEDEX GROUND</v>
      </c>
      <c r="P2154" s="284" t="str">
        <f>'Profits 2016'!U7370</f>
        <v>665645048559</v>
      </c>
      <c r="AF2154" s="276">
        <f t="shared" si="227"/>
        <v>0</v>
      </c>
      <c r="AG2154" s="276">
        <f t="shared" si="228"/>
        <v>0</v>
      </c>
      <c r="AH2154" s="276">
        <f t="shared" si="229"/>
        <v>275.91000000000003</v>
      </c>
      <c r="AI2154" s="283" t="e">
        <f t="shared" si="230"/>
        <v>#DIV/0!</v>
      </c>
    </row>
    <row r="2155" spans="1:35" ht="30" x14ac:dyDescent="0.25">
      <c r="A2155" s="275">
        <f>'Profits 2016'!A7371</f>
        <v>3005794</v>
      </c>
      <c r="B2155" s="279">
        <f>'Profits 2016'!B7371</f>
        <v>42703</v>
      </c>
      <c r="C2155" s="276">
        <f>'Profits 2016'!H7371</f>
        <v>583.15</v>
      </c>
      <c r="D2155" s="280">
        <f>'Profits 2016'!K7371</f>
        <v>519.2866499999999</v>
      </c>
      <c r="E2155" s="276">
        <f>'Profits 2016'!L7371</f>
        <v>1000</v>
      </c>
      <c r="F2155" s="275" t="str">
        <f>'Profits 2016'!P7371</f>
        <v>West Virginia</v>
      </c>
      <c r="G2155" s="292">
        <f>'Profits 2016'!N7371-'Profits 2016'!M7371</f>
        <v>425</v>
      </c>
      <c r="H2155" s="331"/>
      <c r="I2155" s="332"/>
      <c r="J2155" s="333"/>
      <c r="K2155" s="333"/>
      <c r="L2155" s="333"/>
      <c r="M2155" s="331"/>
      <c r="N2155" s="334"/>
      <c r="O2155" s="236" t="str">
        <f>'Profits 2016'!T7371</f>
        <v>FEDEX FREIGHT</v>
      </c>
      <c r="P2155" s="284" t="str">
        <f>'Profits 2016'!U7371</f>
        <v>3940411845</v>
      </c>
      <c r="AF2155" s="276">
        <f t="shared" si="227"/>
        <v>425</v>
      </c>
      <c r="AG2155" s="276">
        <f t="shared" si="228"/>
        <v>0</v>
      </c>
      <c r="AH2155" s="276">
        <f t="shared" si="229"/>
        <v>519.2866499999999</v>
      </c>
      <c r="AI2155" s="283">
        <f t="shared" si="230"/>
        <v>1.2218509411764704</v>
      </c>
    </row>
    <row r="2156" spans="1:35" ht="30" x14ac:dyDescent="0.25">
      <c r="A2156" s="275">
        <f>'Profits 2016'!A7372</f>
        <v>3005795</v>
      </c>
      <c r="B2156" s="279">
        <f>'Profits 2016'!B7372</f>
        <v>42703</v>
      </c>
      <c r="C2156" s="276">
        <f>'Profits 2016'!H7372</f>
        <v>191</v>
      </c>
      <c r="D2156" s="280">
        <f>'Profits 2016'!K7372</f>
        <v>169.881</v>
      </c>
      <c r="E2156" s="276">
        <f>'Profits 2016'!L7372</f>
        <v>342</v>
      </c>
      <c r="F2156" s="275" t="str">
        <f>'Profits 2016'!P7372</f>
        <v>Priority</v>
      </c>
      <c r="G2156" s="292">
        <f>'Profits 2016'!N7372-'Profits 2016'!M7372</f>
        <v>85.5</v>
      </c>
      <c r="H2156" s="331"/>
      <c r="I2156" s="332"/>
      <c r="J2156" s="333"/>
      <c r="K2156" s="333"/>
      <c r="L2156" s="333"/>
      <c r="M2156" s="331"/>
      <c r="N2156" s="334"/>
      <c r="O2156" s="236" t="str">
        <f>'Profits 2016'!T7372</f>
        <v>FEDEX GROUND</v>
      </c>
      <c r="P2156" s="284" t="str">
        <f>'Profits 2016'!U7372</f>
        <v>700044014130</v>
      </c>
      <c r="AF2156" s="276">
        <f t="shared" si="227"/>
        <v>85.5</v>
      </c>
      <c r="AG2156" s="276">
        <f t="shared" si="228"/>
        <v>0</v>
      </c>
      <c r="AH2156" s="276">
        <f t="shared" si="229"/>
        <v>169.881</v>
      </c>
      <c r="AI2156" s="283">
        <f t="shared" si="230"/>
        <v>1.9869122807017543</v>
      </c>
    </row>
    <row r="2157" spans="1:35" ht="30" x14ac:dyDescent="0.25">
      <c r="A2157" s="275">
        <f>'Profits 2016'!A7373</f>
        <v>3005796</v>
      </c>
      <c r="B2157" s="279">
        <f>'Profits 2016'!B7373</f>
        <v>42703</v>
      </c>
      <c r="C2157" s="276">
        <f>'Profits 2016'!H7373</f>
        <v>108</v>
      </c>
      <c r="D2157" s="280">
        <f>'Profits 2016'!K7373</f>
        <v>91.8</v>
      </c>
      <c r="E2157" s="276">
        <f>'Profits 2016'!L7373</f>
        <v>774</v>
      </c>
      <c r="F2157" s="275" t="str">
        <f>'Profits 2016'!P7373</f>
        <v>Direct</v>
      </c>
      <c r="G2157" s="292">
        <f>'Profits 2016'!N7373-'Profits 2016'!M7373</f>
        <v>77.400000000000006</v>
      </c>
      <c r="H2157" s="331"/>
      <c r="I2157" s="332"/>
      <c r="J2157" s="333"/>
      <c r="K2157" s="333"/>
      <c r="L2157" s="333"/>
      <c r="M2157" s="331"/>
      <c r="N2157" s="334"/>
      <c r="O2157" s="236" t="str">
        <f>'Profits 2016'!T7373</f>
        <v>FEDEX GROUND</v>
      </c>
      <c r="P2157" s="284" t="str">
        <f>'Profits 2016'!U7373</f>
        <v>630512246048</v>
      </c>
      <c r="AF2157" s="276">
        <f t="shared" si="227"/>
        <v>77.400000000000006</v>
      </c>
      <c r="AG2157" s="276">
        <f t="shared" si="228"/>
        <v>0</v>
      </c>
      <c r="AH2157" s="276">
        <f t="shared" si="229"/>
        <v>91.8</v>
      </c>
      <c r="AI2157" s="283">
        <f t="shared" si="230"/>
        <v>1.1860465116279069</v>
      </c>
    </row>
    <row r="2158" spans="1:35" ht="30" x14ac:dyDescent="0.25">
      <c r="A2158" s="275">
        <f>'Profits 2016'!A7374</f>
        <v>3005797</v>
      </c>
      <c r="B2158" s="279">
        <f>'Profits 2016'!B7374</f>
        <v>42703</v>
      </c>
      <c r="C2158" s="276">
        <f>'Profits 2016'!H7374</f>
        <v>200</v>
      </c>
      <c r="D2158" s="280">
        <f>'Profits 2016'!K7374</f>
        <v>170</v>
      </c>
      <c r="E2158" s="276">
        <f>'Profits 2016'!L7374</f>
        <v>424</v>
      </c>
      <c r="F2158" s="275" t="str">
        <f>'Profits 2016'!P7374</f>
        <v>Nassau</v>
      </c>
      <c r="G2158" s="292">
        <f>'Profits 2016'!N7374-'Profits 2016'!M7374</f>
        <v>84.800000000000011</v>
      </c>
      <c r="H2158" s="319"/>
      <c r="I2158" s="320"/>
      <c r="J2158" s="321"/>
      <c r="K2158" s="321"/>
      <c r="L2158" s="321"/>
      <c r="M2158" s="319"/>
      <c r="N2158" s="322"/>
      <c r="O2158" s="236" t="str">
        <f>'Profits 2016'!T7374</f>
        <v>FEDEX GROUND</v>
      </c>
      <c r="P2158" s="284" t="str">
        <f>'Profits 2016'!U7374</f>
        <v>702723293211</v>
      </c>
      <c r="AF2158" s="276">
        <f t="shared" si="227"/>
        <v>84.800000000000011</v>
      </c>
      <c r="AG2158" s="276">
        <f t="shared" si="228"/>
        <v>0</v>
      </c>
      <c r="AH2158" s="276">
        <f t="shared" si="229"/>
        <v>170</v>
      </c>
      <c r="AI2158" s="283">
        <f t="shared" si="230"/>
        <v>2.0047169811320753</v>
      </c>
    </row>
    <row r="2159" spans="1:35" ht="30" x14ac:dyDescent="0.25">
      <c r="A2159" s="275">
        <f>'Profits 2016'!A7375</f>
        <v>3005798</v>
      </c>
      <c r="B2159" s="279">
        <f>'Profits 2016'!B7375</f>
        <v>42703</v>
      </c>
      <c r="C2159" s="276">
        <f>'Profits 2016'!H7375</f>
        <v>135</v>
      </c>
      <c r="D2159" s="280">
        <f>'Profits 2016'!K7375</f>
        <v>114.75</v>
      </c>
      <c r="E2159" s="276">
        <f>'Profits 2016'!L7375</f>
        <v>774</v>
      </c>
      <c r="F2159" s="275" t="str">
        <f>'Profits 2016'!P7375</f>
        <v>Direct</v>
      </c>
      <c r="G2159" s="292">
        <f>'Profits 2016'!N7375-'Profits 2016'!M7375</f>
        <v>38.700000000000003</v>
      </c>
      <c r="H2159" s="331"/>
      <c r="I2159" s="332"/>
      <c r="J2159" s="333"/>
      <c r="K2159" s="333"/>
      <c r="L2159" s="333"/>
      <c r="M2159" s="331"/>
      <c r="N2159" s="334"/>
      <c r="O2159" s="236" t="str">
        <f>'Profits 2016'!T7375</f>
        <v>FEDEX GROUND</v>
      </c>
      <c r="P2159" s="284" t="str">
        <f>'Profits 2016'!U7375</f>
        <v>639794970695</v>
      </c>
      <c r="AF2159" s="276">
        <f t="shared" si="227"/>
        <v>38.700000000000003</v>
      </c>
      <c r="AG2159" s="276">
        <f t="shared" si="228"/>
        <v>0</v>
      </c>
      <c r="AH2159" s="276">
        <f t="shared" si="229"/>
        <v>114.75</v>
      </c>
      <c r="AI2159" s="283">
        <f t="shared" si="230"/>
        <v>2.9651162790697674</v>
      </c>
    </row>
    <row r="2160" spans="1:35" x14ac:dyDescent="0.25">
      <c r="A2160" s="275">
        <f>'Profits 2016'!A7376</f>
        <v>0</v>
      </c>
      <c r="B2160" s="279">
        <f>'Profits 2016'!B7376</f>
        <v>0</v>
      </c>
      <c r="C2160" s="276">
        <f>'Profits 2016'!H7376</f>
        <v>0</v>
      </c>
      <c r="D2160" s="280">
        <f>'Profits 2016'!K7376</f>
        <v>0</v>
      </c>
      <c r="E2160" s="276">
        <f>'Profits 2016'!L7376</f>
        <v>774</v>
      </c>
      <c r="F2160" s="275" t="str">
        <f>'Profits 2016'!P7376</f>
        <v>Direct</v>
      </c>
      <c r="G2160" s="292">
        <f>'Profits 2016'!N7376-'Profits 2016'!M7376</f>
        <v>38.700000000000003</v>
      </c>
      <c r="H2160" s="331"/>
      <c r="I2160" s="332"/>
      <c r="J2160" s="333"/>
      <c r="K2160" s="333"/>
      <c r="L2160" s="333"/>
      <c r="M2160" s="331"/>
      <c r="N2160" s="334"/>
      <c r="O2160" s="236">
        <f>'Profits 2016'!T7376</f>
        <v>0</v>
      </c>
      <c r="P2160" s="284">
        <f>'Profits 2016'!U7376</f>
        <v>0</v>
      </c>
      <c r="AF2160" s="276">
        <f t="shared" ref="AF2160:AF2223" si="231">G2160+H2161+R2160+Y2160</f>
        <v>38.700000000000003</v>
      </c>
      <c r="AG2160" s="276">
        <f t="shared" ref="AG2160:AG2223" si="232">M2160+R2160+Y2160</f>
        <v>0</v>
      </c>
      <c r="AH2160" s="276">
        <f t="shared" ref="AH2160:AH2223" si="233">D2160-AG2160</f>
        <v>0</v>
      </c>
      <c r="AI2160" s="283">
        <f t="shared" ref="AI2160:AI2223" si="234">AH2160/AF2160</f>
        <v>0</v>
      </c>
    </row>
    <row r="2161" spans="1:35" ht="30" x14ac:dyDescent="0.25">
      <c r="A2161" s="275">
        <f>'Profits 2016'!A7377</f>
        <v>3005799</v>
      </c>
      <c r="B2161" s="279">
        <f>'Profits 2016'!B7377</f>
        <v>42703</v>
      </c>
      <c r="C2161" s="276">
        <f>'Profits 2016'!H7377</f>
        <v>141.55000000000001</v>
      </c>
      <c r="D2161" s="280">
        <f>'Profits 2016'!K7377</f>
        <v>120.31750000000001</v>
      </c>
      <c r="E2161" s="276">
        <f>'Profits 2016'!L7377</f>
        <v>702</v>
      </c>
      <c r="F2161" s="275" t="str">
        <f>'Profits 2016'!P7377</f>
        <v>Priority</v>
      </c>
      <c r="G2161" s="292">
        <f>'Profits 2016'!N7377-'Profits 2016'!M7377</f>
        <v>105.3</v>
      </c>
      <c r="H2161" s="331"/>
      <c r="I2161" s="332"/>
      <c r="J2161" s="333"/>
      <c r="K2161" s="333"/>
      <c r="L2161" s="333"/>
      <c r="M2161" s="331"/>
      <c r="N2161" s="334"/>
      <c r="O2161" s="236" t="str">
        <f>'Profits 2016'!T7377</f>
        <v>FEDEX GROUND</v>
      </c>
      <c r="P2161" s="284" t="str">
        <f>'Profits 2016'!U7377</f>
        <v xml:space="preserve">	574454204350</v>
      </c>
      <c r="AF2161" s="276">
        <f t="shared" si="231"/>
        <v>105.3</v>
      </c>
      <c r="AG2161" s="276">
        <f t="shared" si="232"/>
        <v>0</v>
      </c>
      <c r="AH2161" s="276">
        <f t="shared" si="233"/>
        <v>120.31750000000001</v>
      </c>
      <c r="AI2161" s="283">
        <f t="shared" si="234"/>
        <v>1.1426163342830011</v>
      </c>
    </row>
    <row r="2162" spans="1:35" ht="30" x14ac:dyDescent="0.25">
      <c r="A2162" s="275">
        <f>'Profits 2016'!A7378</f>
        <v>3005800</v>
      </c>
      <c r="B2162" s="279">
        <f>'Profits 2016'!B7378</f>
        <v>42703</v>
      </c>
      <c r="C2162" s="276">
        <f>'Profits 2016'!H7378</f>
        <v>135</v>
      </c>
      <c r="D2162" s="280">
        <f>'Profits 2016'!K7378</f>
        <v>114.75</v>
      </c>
      <c r="E2162" s="276">
        <f>'Profits 2016'!L7378</f>
        <v>774</v>
      </c>
      <c r="F2162" s="275" t="str">
        <f>'Profits 2016'!P7378</f>
        <v>Direct</v>
      </c>
      <c r="G2162" s="292">
        <f>'Profits 2016'!N7378-'Profits 2016'!M7378</f>
        <v>38.700000000000003</v>
      </c>
      <c r="H2162" s="331"/>
      <c r="I2162" s="332"/>
      <c r="J2162" s="333"/>
      <c r="K2162" s="333"/>
      <c r="L2162" s="333"/>
      <c r="M2162" s="331"/>
      <c r="N2162" s="334"/>
      <c r="O2162" s="236" t="str">
        <f>'Profits 2016'!T7378</f>
        <v>FEDEX GROUND</v>
      </c>
      <c r="P2162" s="284" t="str">
        <f>'Profits 2016'!U7378</f>
        <v>639564016927</v>
      </c>
      <c r="AF2162" s="276">
        <f t="shared" si="231"/>
        <v>38.700000000000003</v>
      </c>
      <c r="AG2162" s="276">
        <f t="shared" si="232"/>
        <v>0</v>
      </c>
      <c r="AH2162" s="276">
        <f t="shared" si="233"/>
        <v>114.75</v>
      </c>
      <c r="AI2162" s="283">
        <f t="shared" si="234"/>
        <v>2.9651162790697674</v>
      </c>
    </row>
    <row r="2163" spans="1:35" x14ac:dyDescent="0.25">
      <c r="A2163" s="275">
        <f>'Profits 2016'!A7379</f>
        <v>0</v>
      </c>
      <c r="B2163" s="279">
        <f>'Profits 2016'!B7379</f>
        <v>0</v>
      </c>
      <c r="C2163" s="276">
        <f>'Profits 2016'!H7379</f>
        <v>0</v>
      </c>
      <c r="D2163" s="280">
        <f>'Profits 2016'!K7379</f>
        <v>0</v>
      </c>
      <c r="E2163" s="276">
        <f>'Profits 2016'!L7379</f>
        <v>774</v>
      </c>
      <c r="F2163" s="275" t="str">
        <f>'Profits 2016'!P7379</f>
        <v>Direct</v>
      </c>
      <c r="G2163" s="292">
        <f>'Profits 2016'!N7379-'Profits 2016'!M7379</f>
        <v>38.700000000000003</v>
      </c>
      <c r="H2163" s="331"/>
      <c r="I2163" s="332"/>
      <c r="J2163" s="333"/>
      <c r="K2163" s="333"/>
      <c r="L2163" s="333"/>
      <c r="M2163" s="331"/>
      <c r="N2163" s="334"/>
      <c r="O2163" s="236">
        <f>'Profits 2016'!T7379</f>
        <v>0</v>
      </c>
      <c r="P2163" s="284">
        <f>'Profits 2016'!U7379</f>
        <v>0</v>
      </c>
      <c r="AF2163" s="276">
        <f t="shared" si="231"/>
        <v>38.700000000000003</v>
      </c>
      <c r="AG2163" s="276">
        <f t="shared" si="232"/>
        <v>0</v>
      </c>
      <c r="AH2163" s="276">
        <f t="shared" si="233"/>
        <v>0</v>
      </c>
      <c r="AI2163" s="283">
        <f t="shared" si="234"/>
        <v>0</v>
      </c>
    </row>
    <row r="2164" spans="1:35" ht="30" x14ac:dyDescent="0.25">
      <c r="A2164" s="275">
        <f>'Profits 2016'!A7380</f>
        <v>3005801</v>
      </c>
      <c r="B2164" s="279">
        <f>'Profits 2016'!B7380</f>
        <v>42703</v>
      </c>
      <c r="C2164" s="276">
        <f>'Profits 2016'!H7380</f>
        <v>108</v>
      </c>
      <c r="D2164" s="280">
        <f>'Profits 2016'!K7380</f>
        <v>91.8</v>
      </c>
      <c r="E2164" s="276">
        <f>'Profits 2016'!L7380</f>
        <v>774</v>
      </c>
      <c r="F2164" s="275" t="str">
        <f>'Profits 2016'!P7380</f>
        <v>Direct</v>
      </c>
      <c r="G2164" s="292">
        <f>'Profits 2016'!N7380-'Profits 2016'!M7380</f>
        <v>77.400000000000006</v>
      </c>
      <c r="H2164" s="331"/>
      <c r="I2164" s="332"/>
      <c r="J2164" s="333"/>
      <c r="K2164" s="333"/>
      <c r="L2164" s="333"/>
      <c r="M2164" s="331"/>
      <c r="N2164" s="334"/>
      <c r="O2164" s="236" t="str">
        <f>'Profits 2016'!T7380</f>
        <v>FEDEX GROUND</v>
      </c>
      <c r="P2164" s="284" t="str">
        <f>'Profits 2016'!U7380</f>
        <v>630512246059</v>
      </c>
      <c r="AF2164" s="276">
        <f t="shared" si="231"/>
        <v>77.400000000000006</v>
      </c>
      <c r="AG2164" s="276">
        <f t="shared" si="232"/>
        <v>0</v>
      </c>
      <c r="AH2164" s="276">
        <f t="shared" si="233"/>
        <v>91.8</v>
      </c>
      <c r="AI2164" s="283">
        <f t="shared" si="234"/>
        <v>1.1860465116279069</v>
      </c>
    </row>
    <row r="2165" spans="1:35" ht="30" x14ac:dyDescent="0.25">
      <c r="A2165" s="275">
        <f>'Profits 2016'!A7381</f>
        <v>3005802</v>
      </c>
      <c r="B2165" s="279">
        <f>'Profits 2016'!B7381</f>
        <v>42703</v>
      </c>
      <c r="C2165" s="276">
        <f>'Profits 2016'!H7381</f>
        <v>2165.6</v>
      </c>
      <c r="D2165" s="280">
        <f>'Profits 2016'!K7381</f>
        <v>2165.6</v>
      </c>
      <c r="E2165" s="276">
        <f>'Profits 2016'!L7381</f>
        <v>1693</v>
      </c>
      <c r="F2165" s="275" t="str">
        <f>'Profits 2016'!P7381</f>
        <v>Nassau</v>
      </c>
      <c r="G2165" s="292">
        <f>'Profits 2016'!N7381-'Profits 2016'!M7381</f>
        <v>348.75800000000004</v>
      </c>
      <c r="H2165" s="319"/>
      <c r="I2165" s="320"/>
      <c r="J2165" s="321"/>
      <c r="K2165" s="321"/>
      <c r="L2165" s="321"/>
      <c r="M2165" s="319"/>
      <c r="N2165" s="322"/>
      <c r="O2165" s="236" t="str">
        <f>'Profits 2016'!T7381</f>
        <v>NEW PENN/DLS</v>
      </c>
      <c r="P2165" s="284">
        <f>'Profits 2016'!U7381</f>
        <v>0</v>
      </c>
      <c r="AF2165" s="276">
        <f t="shared" si="231"/>
        <v>348.75800000000004</v>
      </c>
      <c r="AG2165" s="276">
        <f t="shared" si="232"/>
        <v>0</v>
      </c>
      <c r="AH2165" s="276">
        <f t="shared" si="233"/>
        <v>2165.6</v>
      </c>
      <c r="AI2165" s="283">
        <f t="shared" si="234"/>
        <v>6.209463295465623</v>
      </c>
    </row>
    <row r="2166" spans="1:35" x14ac:dyDescent="0.25">
      <c r="A2166" s="275">
        <f>'Profits 2016'!A7382</f>
        <v>0</v>
      </c>
      <c r="B2166" s="279">
        <f>'Profits 2016'!B7382</f>
        <v>0</v>
      </c>
      <c r="C2166" s="276">
        <f>'Profits 2016'!H7382</f>
        <v>0</v>
      </c>
      <c r="D2166" s="280">
        <f>'Profits 2016'!K7382</f>
        <v>0</v>
      </c>
      <c r="E2166" s="276">
        <f>'Profits 2016'!L7382</f>
        <v>1436</v>
      </c>
      <c r="F2166" s="275" t="str">
        <f>'Profits 2016'!P7382</f>
        <v>Nassau</v>
      </c>
      <c r="G2166" s="292">
        <f>'Profits 2016'!N7382-'Profits 2016'!M7382</f>
        <v>244.12</v>
      </c>
      <c r="H2166" s="319"/>
      <c r="I2166" s="320"/>
      <c r="J2166" s="321"/>
      <c r="K2166" s="321"/>
      <c r="L2166" s="321"/>
      <c r="M2166" s="319"/>
      <c r="N2166" s="322"/>
      <c r="O2166" s="236">
        <f>'Profits 2016'!T7382</f>
        <v>0</v>
      </c>
      <c r="P2166" s="284">
        <f>'Profits 2016'!U7382</f>
        <v>0</v>
      </c>
      <c r="AF2166" s="276">
        <f t="shared" si="231"/>
        <v>244.12</v>
      </c>
      <c r="AG2166" s="276">
        <f t="shared" si="232"/>
        <v>0</v>
      </c>
      <c r="AH2166" s="276">
        <f t="shared" si="233"/>
        <v>0</v>
      </c>
      <c r="AI2166" s="283">
        <f t="shared" si="234"/>
        <v>0</v>
      </c>
    </row>
    <row r="2167" spans="1:35" ht="30" x14ac:dyDescent="0.25">
      <c r="A2167" s="275">
        <f>'Profits 2016'!A7383</f>
        <v>0</v>
      </c>
      <c r="B2167" s="279">
        <f>'Profits 2016'!B7383</f>
        <v>0</v>
      </c>
      <c r="C2167" s="276">
        <f>'Profits 2016'!H7383</f>
        <v>0</v>
      </c>
      <c r="D2167" s="280">
        <f>'Profits 2016'!K7383</f>
        <v>0</v>
      </c>
      <c r="E2167" s="276">
        <f>'Profits 2016'!L7383</f>
        <v>3650</v>
      </c>
      <c r="F2167" s="275" t="str">
        <f>'Profits 2016'!P7383</f>
        <v>Priority</v>
      </c>
      <c r="G2167" s="292">
        <f>'Profits 2016'!N7383-'Profits 2016'!M7383</f>
        <v>730</v>
      </c>
      <c r="H2167" s="331"/>
      <c r="I2167" s="332"/>
      <c r="J2167" s="333"/>
      <c r="K2167" s="333"/>
      <c r="L2167" s="333"/>
      <c r="M2167" s="331"/>
      <c r="N2167" s="334"/>
      <c r="O2167" s="236" t="str">
        <f>'Profits 2016'!T7383</f>
        <v>NEW PENN/DLS</v>
      </c>
      <c r="P2167" s="284">
        <f>'Profits 2016'!U7383</f>
        <v>0</v>
      </c>
      <c r="AF2167" s="276">
        <f t="shared" si="231"/>
        <v>730</v>
      </c>
      <c r="AG2167" s="276">
        <f t="shared" si="232"/>
        <v>0</v>
      </c>
      <c r="AH2167" s="276">
        <f t="shared" si="233"/>
        <v>0</v>
      </c>
      <c r="AI2167" s="283">
        <f t="shared" si="234"/>
        <v>0</v>
      </c>
    </row>
    <row r="2168" spans="1:35" ht="30" x14ac:dyDescent="0.25">
      <c r="A2168" s="275">
        <f>'Profits 2016'!A7384</f>
        <v>0</v>
      </c>
      <c r="B2168" s="279">
        <f>'Profits 2016'!B7384</f>
        <v>0</v>
      </c>
      <c r="C2168" s="276">
        <f>'Profits 2016'!H7384</f>
        <v>0</v>
      </c>
      <c r="D2168" s="280">
        <f>'Profits 2016'!K7384</f>
        <v>0</v>
      </c>
      <c r="E2168" s="276">
        <f>'Profits 2016'!L7384</f>
        <v>1660</v>
      </c>
      <c r="F2168" s="275" t="str">
        <f>'Profits 2016'!P7384</f>
        <v>Service</v>
      </c>
      <c r="G2168" s="292">
        <f>'Profits 2016'!N7384-'Profits 2016'!M7384</f>
        <v>415</v>
      </c>
      <c r="H2168" s="331"/>
      <c r="I2168" s="332"/>
      <c r="J2168" s="333"/>
      <c r="K2168" s="333"/>
      <c r="L2168" s="333"/>
      <c r="M2168" s="331"/>
      <c r="N2168" s="334"/>
      <c r="O2168" s="236" t="str">
        <f>'Profits 2016'!T7384</f>
        <v>Committed</v>
      </c>
      <c r="P2168" s="284">
        <f>'Profits 2016'!U7384</f>
        <v>0</v>
      </c>
      <c r="AF2168" s="276">
        <f t="shared" si="231"/>
        <v>415</v>
      </c>
      <c r="AG2168" s="276">
        <f t="shared" si="232"/>
        <v>0</v>
      </c>
      <c r="AH2168" s="276">
        <f t="shared" si="233"/>
        <v>0</v>
      </c>
      <c r="AI2168" s="283">
        <f t="shared" si="234"/>
        <v>0</v>
      </c>
    </row>
    <row r="2169" spans="1:35" ht="30" x14ac:dyDescent="0.25">
      <c r="A2169" s="275">
        <f>'Profits 2016'!A7385</f>
        <v>0</v>
      </c>
      <c r="B2169" s="279">
        <f>'Profits 2016'!B7385</f>
        <v>0</v>
      </c>
      <c r="C2169" s="276">
        <f>'Profits 2016'!H7385</f>
        <v>0</v>
      </c>
      <c r="D2169" s="280">
        <f>'Profits 2016'!K7385</f>
        <v>0</v>
      </c>
      <c r="E2169" s="276">
        <f>'Profits 2016'!L7385</f>
        <v>5000</v>
      </c>
      <c r="F2169" s="275" t="str">
        <f>'Profits 2016'!P7385</f>
        <v>Nassau</v>
      </c>
      <c r="G2169" s="292">
        <f>'Profits 2016'!N7385-'Profits 2016'!M7385</f>
        <v>0</v>
      </c>
      <c r="H2169" s="319"/>
      <c r="I2169" s="320"/>
      <c r="J2169" s="321"/>
      <c r="K2169" s="321"/>
      <c r="L2169" s="321"/>
      <c r="M2169" s="319"/>
      <c r="N2169" s="322"/>
      <c r="O2169" s="236" t="str">
        <f>'Profits 2016'!T7385</f>
        <v>NEW PENN/DLS</v>
      </c>
      <c r="P2169" s="284">
        <f>'Profits 2016'!U7385</f>
        <v>0</v>
      </c>
      <c r="AF2169" s="276">
        <f t="shared" si="231"/>
        <v>0</v>
      </c>
      <c r="AG2169" s="276">
        <f t="shared" si="232"/>
        <v>0</v>
      </c>
      <c r="AH2169" s="276">
        <f t="shared" si="233"/>
        <v>0</v>
      </c>
      <c r="AI2169" s="283" t="e">
        <f t="shared" si="234"/>
        <v>#DIV/0!</v>
      </c>
    </row>
    <row r="2170" spans="1:35" ht="30" x14ac:dyDescent="0.25">
      <c r="A2170" s="275">
        <f>'Profits 2016'!A7386</f>
        <v>3005803</v>
      </c>
      <c r="B2170" s="279">
        <f>'Profits 2016'!B7386</f>
        <v>42703</v>
      </c>
      <c r="C2170" s="276">
        <f>'Profits 2016'!H7386</f>
        <v>156.16999999999999</v>
      </c>
      <c r="D2170" s="280">
        <f>'Profits 2016'!K7386</f>
        <v>152.43425999999999</v>
      </c>
      <c r="E2170" s="276">
        <f>'Profits 2016'!L7386</f>
        <v>2270</v>
      </c>
      <c r="F2170" s="275" t="str">
        <f>'Profits 2016'!P7386</f>
        <v>Direct</v>
      </c>
      <c r="G2170" s="292">
        <f>'Profits 2016'!N7386-'Profits 2016'!M7386</f>
        <v>113.5</v>
      </c>
      <c r="H2170" s="331"/>
      <c r="I2170" s="332"/>
      <c r="J2170" s="333"/>
      <c r="K2170" s="333"/>
      <c r="L2170" s="333"/>
      <c r="M2170" s="331"/>
      <c r="N2170" s="334"/>
      <c r="O2170" s="236" t="str">
        <f>'Profits 2016'!T7386</f>
        <v>FEDEX GROUND</v>
      </c>
      <c r="P2170" s="284" t="str">
        <f>'Profits 2016'!U7386</f>
        <v>639564016880</v>
      </c>
      <c r="AF2170" s="276">
        <f t="shared" si="231"/>
        <v>113.5</v>
      </c>
      <c r="AG2170" s="276">
        <f t="shared" si="232"/>
        <v>0</v>
      </c>
      <c r="AH2170" s="276">
        <f t="shared" si="233"/>
        <v>152.43425999999999</v>
      </c>
      <c r="AI2170" s="283">
        <f t="shared" si="234"/>
        <v>1.3430331277533039</v>
      </c>
    </row>
    <row r="2171" spans="1:35" ht="30" x14ac:dyDescent="0.25">
      <c r="A2171" s="275">
        <f>'Profits 2016'!A7387</f>
        <v>3005804</v>
      </c>
      <c r="B2171" s="279">
        <f>'Profits 2016'!B7387</f>
        <v>42703</v>
      </c>
      <c r="C2171" s="276">
        <f>'Profits 2016'!H7387</f>
        <v>564.88</v>
      </c>
      <c r="D2171" s="280">
        <f>'Profits 2016'!K7387</f>
        <v>552.15264000000002</v>
      </c>
      <c r="E2171" s="276">
        <f>'Profits 2016'!L7387</f>
        <v>2150</v>
      </c>
      <c r="F2171" s="275" t="str">
        <f>'Profits 2016'!P7387</f>
        <v>Nassau</v>
      </c>
      <c r="G2171" s="292">
        <f>'Profits 2016'!N7387-'Profits 2016'!M7387</f>
        <v>376.25000000000011</v>
      </c>
      <c r="H2171" s="319"/>
      <c r="I2171" s="320"/>
      <c r="J2171" s="321"/>
      <c r="K2171" s="321"/>
      <c r="L2171" s="321"/>
      <c r="M2171" s="319"/>
      <c r="N2171" s="322"/>
      <c r="O2171" s="236" t="str">
        <f>'Profits 2016'!T7387</f>
        <v>NEW PENN/DLS</v>
      </c>
      <c r="P2171" s="284">
        <f>'Profits 2016'!U7387</f>
        <v>0</v>
      </c>
      <c r="AF2171" s="276">
        <f t="shared" si="231"/>
        <v>376.25000000000011</v>
      </c>
      <c r="AG2171" s="276">
        <f t="shared" si="232"/>
        <v>0</v>
      </c>
      <c r="AH2171" s="276">
        <f t="shared" si="233"/>
        <v>552.15264000000002</v>
      </c>
      <c r="AI2171" s="283">
        <f t="shared" si="234"/>
        <v>1.4675153222591357</v>
      </c>
    </row>
    <row r="2172" spans="1:35" ht="30" x14ac:dyDescent="0.25">
      <c r="A2172" s="275">
        <f>'Profits 2016'!A7388</f>
        <v>3005805</v>
      </c>
      <c r="B2172" s="279">
        <f>'Profits 2016'!B7388</f>
        <v>42703</v>
      </c>
      <c r="C2172" s="276">
        <f>'Profits 2016'!H7388</f>
        <v>93</v>
      </c>
      <c r="D2172" s="280">
        <f>'Profits 2016'!K7388</f>
        <v>90.653999999999996</v>
      </c>
      <c r="E2172" s="276">
        <f>'Profits 2016'!L7388</f>
        <v>400</v>
      </c>
      <c r="F2172" s="275" t="str">
        <f>'Profits 2016'!P7388</f>
        <v>Nassau</v>
      </c>
      <c r="G2172" s="292">
        <f>'Profits 2016'!N7388-'Profits 2016'!M7388</f>
        <v>24</v>
      </c>
      <c r="H2172" s="319"/>
      <c r="I2172" s="320"/>
      <c r="J2172" s="321"/>
      <c r="K2172" s="321"/>
      <c r="L2172" s="321"/>
      <c r="M2172" s="319"/>
      <c r="N2172" s="322"/>
      <c r="O2172" s="236" t="str">
        <f>'Profits 2016'!T7388</f>
        <v>FEDEX GROUND</v>
      </c>
      <c r="P2172" s="284">
        <f>'Profits 2016'!U7388</f>
        <v>0</v>
      </c>
      <c r="AF2172" s="276">
        <f t="shared" si="231"/>
        <v>24</v>
      </c>
      <c r="AG2172" s="276">
        <f t="shared" si="232"/>
        <v>0</v>
      </c>
      <c r="AH2172" s="276">
        <f t="shared" si="233"/>
        <v>90.653999999999996</v>
      </c>
      <c r="AI2172" s="283">
        <f t="shared" si="234"/>
        <v>3.77725</v>
      </c>
    </row>
    <row r="2173" spans="1:35" ht="30" x14ac:dyDescent="0.25">
      <c r="A2173" s="275">
        <f>'Profits 2016'!A7389</f>
        <v>3005806</v>
      </c>
      <c r="B2173" s="279">
        <f>'Profits 2016'!B7389</f>
        <v>42703</v>
      </c>
      <c r="C2173" s="276">
        <f>'Profits 2016'!H7389</f>
        <v>368.87</v>
      </c>
      <c r="D2173" s="280">
        <f>'Profits 2016'!K7389</f>
        <v>328.36316999999997</v>
      </c>
      <c r="E2173" s="276">
        <f>'Profits 2016'!L7389</f>
        <v>1440</v>
      </c>
      <c r="F2173" s="275" t="str">
        <f>'Profits 2016'!P7389</f>
        <v>Nassau</v>
      </c>
      <c r="G2173" s="292">
        <f>'Profits 2016'!N7389-'Profits 2016'!M7389</f>
        <v>216</v>
      </c>
      <c r="H2173" s="319"/>
      <c r="I2173" s="320"/>
      <c r="J2173" s="321"/>
      <c r="K2173" s="321"/>
      <c r="L2173" s="321"/>
      <c r="M2173" s="319"/>
      <c r="N2173" s="322"/>
      <c r="O2173" s="236" t="str">
        <f>'Profits 2016'!T7389</f>
        <v>FEDEX GROUND</v>
      </c>
      <c r="P2173" s="284" t="str">
        <f>'Profits 2016'!U7389</f>
        <v>665645048570</v>
      </c>
      <c r="AF2173" s="276">
        <f t="shared" si="231"/>
        <v>216</v>
      </c>
      <c r="AG2173" s="276">
        <f t="shared" si="232"/>
        <v>0</v>
      </c>
      <c r="AH2173" s="276">
        <f t="shared" si="233"/>
        <v>328.36316999999997</v>
      </c>
      <c r="AI2173" s="283">
        <f t="shared" si="234"/>
        <v>1.5201998611111109</v>
      </c>
    </row>
    <row r="2174" spans="1:35" ht="30" x14ac:dyDescent="0.25">
      <c r="A2174" s="275">
        <f>'Profits 2016'!A7390</f>
        <v>3005807</v>
      </c>
      <c r="B2174" s="279">
        <f>'Profits 2016'!B7390</f>
        <v>42703</v>
      </c>
      <c r="C2174" s="276">
        <f>'Profits 2016'!H7390</f>
        <v>386.19</v>
      </c>
      <c r="D2174" s="280">
        <f>'Profits 2016'!K7390</f>
        <v>343.79529000000002</v>
      </c>
      <c r="E2174" s="276">
        <f>'Profits 2016'!L7390</f>
        <v>3650</v>
      </c>
      <c r="F2174" s="275" t="str">
        <f>'Profits 2016'!P7390</f>
        <v>Priority</v>
      </c>
      <c r="G2174" s="292">
        <f>'Profits 2016'!N7390-'Profits 2016'!M7390</f>
        <v>182.5</v>
      </c>
      <c r="H2174" s="331"/>
      <c r="I2174" s="332"/>
      <c r="J2174" s="333"/>
      <c r="K2174" s="333"/>
      <c r="L2174" s="333"/>
      <c r="M2174" s="331"/>
      <c r="N2174" s="334"/>
      <c r="O2174" s="236" t="str">
        <f>'Profits 2016'!T7390</f>
        <v>FEDEX GROUND</v>
      </c>
      <c r="P2174" s="284" t="str">
        <f>'Profits 2016'!U7390</f>
        <v xml:space="preserve">	574454204361</v>
      </c>
      <c r="AF2174" s="276">
        <f t="shared" si="231"/>
        <v>182.5</v>
      </c>
      <c r="AG2174" s="276">
        <f t="shared" si="232"/>
        <v>0</v>
      </c>
      <c r="AH2174" s="276">
        <f t="shared" si="233"/>
        <v>343.79529000000002</v>
      </c>
      <c r="AI2174" s="283">
        <f t="shared" si="234"/>
        <v>1.8838098082191783</v>
      </c>
    </row>
    <row r="2175" spans="1:35" ht="30" x14ac:dyDescent="0.25">
      <c r="A2175" s="275">
        <f>'Profits 2016'!A7391</f>
        <v>3005808</v>
      </c>
      <c r="B2175" s="279">
        <f>'Profits 2016'!B7391</f>
        <v>42703</v>
      </c>
      <c r="C2175" s="276">
        <f>'Profits 2016'!H7391</f>
        <v>285.27999999999997</v>
      </c>
      <c r="D2175" s="280">
        <f>'Profits 2016'!K7391</f>
        <v>253.88447999999997</v>
      </c>
      <c r="E2175" s="276">
        <f>'Profits 2016'!L7391</f>
        <v>235</v>
      </c>
      <c r="F2175" s="275" t="str">
        <f>'Profits 2016'!P7391</f>
        <v>Nassau</v>
      </c>
      <c r="G2175" s="292">
        <f>'Profits 2016'!N7391-'Profits 2016'!M7391</f>
        <v>70.5</v>
      </c>
      <c r="H2175" s="319"/>
      <c r="I2175" s="320"/>
      <c r="J2175" s="321"/>
      <c r="K2175" s="321"/>
      <c r="L2175" s="321"/>
      <c r="M2175" s="319"/>
      <c r="N2175" s="322"/>
      <c r="O2175" s="236" t="str">
        <f>'Profits 2016'!T7391</f>
        <v>FEDEX GROUND</v>
      </c>
      <c r="P2175" s="284" t="str">
        <f>'Profits 2016'!U7391</f>
        <v>702723293233</v>
      </c>
      <c r="AF2175" s="276">
        <f t="shared" si="231"/>
        <v>70.5</v>
      </c>
      <c r="AG2175" s="276">
        <f t="shared" si="232"/>
        <v>0</v>
      </c>
      <c r="AH2175" s="276">
        <f t="shared" si="233"/>
        <v>253.88447999999997</v>
      </c>
      <c r="AI2175" s="283">
        <f t="shared" si="234"/>
        <v>3.6011982978723398</v>
      </c>
    </row>
    <row r="2176" spans="1:35" ht="30" x14ac:dyDescent="0.25">
      <c r="A2176" s="275">
        <f>'Profits 2016'!A7392</f>
        <v>3005809</v>
      </c>
      <c r="B2176" s="279">
        <f>'Profits 2016'!B7392</f>
        <v>42703</v>
      </c>
      <c r="C2176" s="276">
        <f>'Profits 2016'!H7392</f>
        <v>3577.5</v>
      </c>
      <c r="D2176" s="280">
        <f>'Profits 2016'!K7392</f>
        <v>3498.4949999999999</v>
      </c>
      <c r="E2176" s="276">
        <f>'Profits 2016'!L7392</f>
        <v>5018</v>
      </c>
      <c r="F2176" s="275" t="str">
        <f>'Profits 2016'!P7392</f>
        <v xml:space="preserve">General </v>
      </c>
      <c r="G2176" s="292">
        <f>'Profits 2016'!N7392-'Profits 2016'!M7392</f>
        <v>2509</v>
      </c>
      <c r="H2176" s="331"/>
      <c r="I2176" s="332"/>
      <c r="J2176" s="333"/>
      <c r="K2176" s="333"/>
      <c r="L2176" s="333"/>
      <c r="M2176" s="331"/>
      <c r="N2176" s="334"/>
      <c r="O2176" s="236" t="str">
        <f>'Profits 2016'!T7392</f>
        <v>Committed</v>
      </c>
      <c r="P2176" s="284">
        <f>'Profits 2016'!U7392</f>
        <v>0</v>
      </c>
      <c r="AF2176" s="276">
        <f t="shared" si="231"/>
        <v>2509</v>
      </c>
      <c r="AG2176" s="276">
        <f t="shared" si="232"/>
        <v>0</v>
      </c>
      <c r="AH2176" s="276">
        <f t="shared" si="233"/>
        <v>3498.4949999999999</v>
      </c>
      <c r="AI2176" s="283">
        <f t="shared" si="234"/>
        <v>1.3943782383419689</v>
      </c>
    </row>
    <row r="2177" spans="1:35" ht="45" x14ac:dyDescent="0.25">
      <c r="A2177" s="275">
        <f>'Profits 2016'!A7393</f>
        <v>3005810</v>
      </c>
      <c r="B2177" s="279">
        <f>'Profits 2016'!B7393</f>
        <v>42704</v>
      </c>
      <c r="C2177" s="276">
        <f>'Profits 2016'!H7393</f>
        <v>700</v>
      </c>
      <c r="D2177" s="280">
        <f>'Profits 2016'!K7393</f>
        <v>700</v>
      </c>
      <c r="E2177" s="276">
        <f>'Profits 2016'!L7393</f>
        <v>1760</v>
      </c>
      <c r="F2177" s="275" t="str">
        <f>'Profits 2016'!P7393</f>
        <v>AWG</v>
      </c>
      <c r="G2177" s="292">
        <f>'Profits 2016'!N7393-'Profits 2016'!M7393</f>
        <v>176</v>
      </c>
      <c r="H2177" s="331"/>
      <c r="I2177" s="332"/>
      <c r="J2177" s="333"/>
      <c r="K2177" s="333"/>
      <c r="L2177" s="333"/>
      <c r="M2177" s="331"/>
      <c r="N2177" s="334"/>
      <c r="O2177" s="236" t="str">
        <f>'Profits 2016'!T7393</f>
        <v>OLD DOMINION</v>
      </c>
      <c r="P2177" s="284" t="str">
        <f>'Profits 2016'!U7393</f>
        <v>06012428204</v>
      </c>
      <c r="AF2177" s="276">
        <f t="shared" si="231"/>
        <v>176</v>
      </c>
      <c r="AG2177" s="276">
        <f t="shared" si="232"/>
        <v>0</v>
      </c>
      <c r="AH2177" s="276">
        <f t="shared" si="233"/>
        <v>700</v>
      </c>
      <c r="AI2177" s="283">
        <f t="shared" si="234"/>
        <v>3.9772727272727271</v>
      </c>
    </row>
    <row r="2178" spans="1:35" ht="30" x14ac:dyDescent="0.25">
      <c r="A2178" s="275">
        <f>'Profits 2016'!A7394</f>
        <v>3005811</v>
      </c>
      <c r="B2178" s="279">
        <f>'Profits 2016'!B7394</f>
        <v>42704</v>
      </c>
      <c r="C2178" s="276">
        <f>'Profits 2016'!H7394</f>
        <v>140.30000000000001</v>
      </c>
      <c r="D2178" s="280">
        <f>'Profits 2016'!K7394</f>
        <v>124.70730000000002</v>
      </c>
      <c r="E2178" s="276">
        <f>'Profits 2016'!L7394</f>
        <v>300</v>
      </c>
      <c r="F2178" s="275" t="str">
        <f>'Profits 2016'!P7394</f>
        <v>Nassau</v>
      </c>
      <c r="G2178" s="292">
        <f>'Profits 2016'!N7394-'Profits 2016'!M7394</f>
        <v>60</v>
      </c>
      <c r="H2178" s="331"/>
      <c r="I2178" s="332"/>
      <c r="J2178" s="333"/>
      <c r="K2178" s="333"/>
      <c r="L2178" s="333"/>
      <c r="M2178" s="331"/>
      <c r="N2178" s="334"/>
      <c r="O2178" s="236" t="str">
        <f>'Profits 2016'!T7394</f>
        <v>FEDEX GROUND</v>
      </c>
      <c r="P2178" s="284" t="str">
        <f>'Profits 2016'!U7394</f>
        <v>680483361354</v>
      </c>
      <c r="AF2178" s="276">
        <f t="shared" si="231"/>
        <v>60</v>
      </c>
      <c r="AG2178" s="276">
        <f t="shared" si="232"/>
        <v>0</v>
      </c>
      <c r="AH2178" s="276">
        <f t="shared" si="233"/>
        <v>124.70730000000002</v>
      </c>
      <c r="AI2178" s="283">
        <f t="shared" si="234"/>
        <v>2.0784550000000004</v>
      </c>
    </row>
    <row r="2179" spans="1:35" ht="30" x14ac:dyDescent="0.25">
      <c r="A2179" s="275">
        <f>'Profits 2016'!A7395</f>
        <v>3005812</v>
      </c>
      <c r="B2179" s="279">
        <f>'Profits 2016'!B7395</f>
        <v>42704</v>
      </c>
      <c r="C2179" s="276">
        <f>'Profits 2016'!H7395</f>
        <v>220.51</v>
      </c>
      <c r="D2179" s="280">
        <f>'Profits 2016'!K7395</f>
        <v>196.17440999999999</v>
      </c>
      <c r="E2179" s="276">
        <f>'Profits 2016'!L7395</f>
        <v>480</v>
      </c>
      <c r="F2179" s="275" t="str">
        <f>'Profits 2016'!P7395</f>
        <v>Thea</v>
      </c>
      <c r="G2179" s="292">
        <f>'Profits 2016'!N7395-'Profits 2016'!M7395</f>
        <v>108</v>
      </c>
      <c r="H2179" s="331"/>
      <c r="I2179" s="332"/>
      <c r="J2179" s="333"/>
      <c r="K2179" s="333"/>
      <c r="L2179" s="333"/>
      <c r="M2179" s="331"/>
      <c r="N2179" s="334"/>
      <c r="O2179" s="236" t="str">
        <f>'Profits 2016'!T7395</f>
        <v>Committed</v>
      </c>
      <c r="P2179" s="284">
        <f>'Profits 2016'!U7395</f>
        <v>0</v>
      </c>
      <c r="AF2179" s="276">
        <f t="shared" si="231"/>
        <v>108</v>
      </c>
      <c r="AG2179" s="276">
        <f t="shared" si="232"/>
        <v>0</v>
      </c>
      <c r="AH2179" s="276">
        <f t="shared" si="233"/>
        <v>196.17440999999999</v>
      </c>
      <c r="AI2179" s="283">
        <f t="shared" si="234"/>
        <v>1.8164297222222221</v>
      </c>
    </row>
    <row r="2180" spans="1:35" ht="30" x14ac:dyDescent="0.25">
      <c r="A2180" s="275">
        <f>'Profits 2016'!A7396</f>
        <v>3005813</v>
      </c>
      <c r="B2180" s="279">
        <f>'Profits 2016'!B7396</f>
        <v>42704</v>
      </c>
      <c r="C2180" s="276">
        <f>'Profits 2016'!H7396</f>
        <v>312.12</v>
      </c>
      <c r="D2180" s="280">
        <f>'Profits 2016'!K7396</f>
        <v>277.79892000000001</v>
      </c>
      <c r="E2180" s="276">
        <f>'Profits 2016'!L7396</f>
        <v>1460</v>
      </c>
      <c r="F2180" s="275" t="str">
        <f>'Profits 2016'!P7396</f>
        <v>Direct</v>
      </c>
      <c r="G2180" s="292">
        <f>'Profits 2016'!N7396-'Profits 2016'!M7396</f>
        <v>73</v>
      </c>
      <c r="H2180" s="331"/>
      <c r="I2180" s="332"/>
      <c r="J2180" s="333"/>
      <c r="K2180" s="333"/>
      <c r="L2180" s="333"/>
      <c r="M2180" s="331"/>
      <c r="N2180" s="334"/>
      <c r="O2180" s="236" t="str">
        <f>'Profits 2016'!T7396</f>
        <v>FEDEX GROUND</v>
      </c>
      <c r="P2180" s="284" t="str">
        <f>'Profits 2016'!U7396</f>
        <v>639794970673</v>
      </c>
      <c r="AF2180" s="276">
        <f t="shared" si="231"/>
        <v>73</v>
      </c>
      <c r="AG2180" s="276">
        <f t="shared" si="232"/>
        <v>0</v>
      </c>
      <c r="AH2180" s="276">
        <f t="shared" si="233"/>
        <v>277.79892000000001</v>
      </c>
      <c r="AI2180" s="283">
        <f t="shared" si="234"/>
        <v>3.8054646575342468</v>
      </c>
    </row>
    <row r="2181" spans="1:35" x14ac:dyDescent="0.25">
      <c r="A2181" s="275">
        <f>'Profits 2016'!A7397</f>
        <v>0</v>
      </c>
      <c r="B2181" s="279">
        <f>'Profits 2016'!B7397</f>
        <v>0</v>
      </c>
      <c r="C2181" s="276">
        <f>'Profits 2016'!H7397</f>
        <v>0</v>
      </c>
      <c r="D2181" s="280">
        <f>'Profits 2016'!K7397</f>
        <v>0</v>
      </c>
      <c r="E2181" s="276">
        <f>'Profits 2016'!L7397</f>
        <v>1488</v>
      </c>
      <c r="F2181" s="275" t="str">
        <f>'Profits 2016'!P7397</f>
        <v>Direct</v>
      </c>
      <c r="G2181" s="292">
        <f>'Profits 2016'!N7397-'Profits 2016'!M7397</f>
        <v>74.400000000000006</v>
      </c>
      <c r="H2181" s="331"/>
      <c r="I2181" s="332"/>
      <c r="J2181" s="333"/>
      <c r="K2181" s="333"/>
      <c r="L2181" s="333"/>
      <c r="M2181" s="331"/>
      <c r="N2181" s="334"/>
      <c r="O2181" s="236">
        <f>'Profits 2016'!T7397</f>
        <v>0</v>
      </c>
      <c r="P2181" s="284">
        <f>'Profits 2016'!U7397</f>
        <v>0</v>
      </c>
      <c r="AF2181" s="276">
        <f t="shared" si="231"/>
        <v>74.400000000000006</v>
      </c>
      <c r="AG2181" s="276">
        <f t="shared" si="232"/>
        <v>0</v>
      </c>
      <c r="AH2181" s="276">
        <f t="shared" si="233"/>
        <v>0</v>
      </c>
      <c r="AI2181" s="283">
        <f t="shared" si="234"/>
        <v>0</v>
      </c>
    </row>
    <row r="2182" spans="1:35" ht="30" x14ac:dyDescent="0.25">
      <c r="A2182" s="275">
        <f>'Profits 2016'!A7398</f>
        <v>3005814</v>
      </c>
      <c r="B2182" s="279">
        <f>'Profits 2016'!B7398</f>
        <v>42704</v>
      </c>
      <c r="C2182" s="276">
        <f>'Profits 2016'!H7398</f>
        <v>310</v>
      </c>
      <c r="D2182" s="280">
        <f>'Profits 2016'!K7398</f>
        <v>275.91000000000003</v>
      </c>
      <c r="E2182" s="276">
        <f>'Profits 2016'!L7398</f>
        <v>310</v>
      </c>
      <c r="F2182" s="275" t="str">
        <f>'Profits 2016'!P7398</f>
        <v>Priority</v>
      </c>
      <c r="G2182" s="292">
        <f>'Profits 2016'!N7398-'Profits 2016'!M7398</f>
        <v>155</v>
      </c>
      <c r="H2182" s="331"/>
      <c r="I2182" s="332"/>
      <c r="J2182" s="333"/>
      <c r="K2182" s="333"/>
      <c r="L2182" s="333"/>
      <c r="M2182" s="331"/>
      <c r="N2182" s="334"/>
      <c r="O2182" s="236" t="str">
        <f>'Profits 2016'!T7398</f>
        <v>FEDEX GROUND</v>
      </c>
      <c r="P2182" s="284" t="str">
        <f>'Profits 2016'!U7398</f>
        <v xml:space="preserve">	680993425890</v>
      </c>
      <c r="AF2182" s="276">
        <f t="shared" si="231"/>
        <v>155</v>
      </c>
      <c r="AG2182" s="276">
        <f t="shared" si="232"/>
        <v>0</v>
      </c>
      <c r="AH2182" s="276">
        <f t="shared" si="233"/>
        <v>275.91000000000003</v>
      </c>
      <c r="AI2182" s="283">
        <f t="shared" si="234"/>
        <v>1.7800645161290325</v>
      </c>
    </row>
    <row r="2183" spans="1:35" ht="30" x14ac:dyDescent="0.25">
      <c r="A2183" s="275">
        <f>'Profits 2016'!A7399</f>
        <v>3005815</v>
      </c>
      <c r="B2183" s="279">
        <f>'Profits 2016'!B7399</f>
        <v>42704</v>
      </c>
      <c r="C2183" s="276">
        <f>'Profits 2016'!H7399</f>
        <v>228.29</v>
      </c>
      <c r="D2183" s="280">
        <f>'Profits 2016'!K7399</f>
        <v>203.10639</v>
      </c>
      <c r="E2183" s="276">
        <f>'Profits 2016'!L7399</f>
        <v>424</v>
      </c>
      <c r="F2183" s="275" t="str">
        <f>'Profits 2016'!P7399</f>
        <v>Nassau</v>
      </c>
      <c r="G2183" s="292">
        <f>'Profits 2016'!N7399-'Profits 2016'!M7399</f>
        <v>74.2</v>
      </c>
      <c r="H2183" s="331"/>
      <c r="I2183" s="332"/>
      <c r="J2183" s="333"/>
      <c r="K2183" s="333"/>
      <c r="L2183" s="333"/>
      <c r="M2183" s="331"/>
      <c r="N2183" s="334"/>
      <c r="O2183" s="236" t="str">
        <f>'Profits 2016'!T7399</f>
        <v>FEDEX GROUND</v>
      </c>
      <c r="P2183" s="284" t="str">
        <f>'Profits 2016'!U7399</f>
        <v>680483361424</v>
      </c>
      <c r="AF2183" s="276">
        <f t="shared" si="231"/>
        <v>74.2</v>
      </c>
      <c r="AG2183" s="276">
        <f t="shared" si="232"/>
        <v>0</v>
      </c>
      <c r="AH2183" s="276">
        <f t="shared" si="233"/>
        <v>203.10639</v>
      </c>
      <c r="AI2183" s="283">
        <f t="shared" si="234"/>
        <v>2.7372828840970351</v>
      </c>
    </row>
    <row r="2184" spans="1:35" ht="30" x14ac:dyDescent="0.25">
      <c r="A2184" s="275">
        <f>'Profits 2016'!A7400</f>
        <v>3005816</v>
      </c>
      <c r="B2184" s="279">
        <f>'Profits 2016'!B7400</f>
        <v>42704</v>
      </c>
      <c r="C2184" s="276">
        <f>'Profits 2016'!H7400</f>
        <v>196.01</v>
      </c>
      <c r="D2184" s="280">
        <f>'Profits 2016'!K7400</f>
        <v>174.34491</v>
      </c>
      <c r="E2184" s="276">
        <f>'Profits 2016'!L7400</f>
        <v>510</v>
      </c>
      <c r="F2184" s="275" t="str">
        <f>'Profits 2016'!P7400</f>
        <v>Nassau</v>
      </c>
      <c r="G2184" s="292">
        <f>'Profits 2016'!N7400-'Profits 2016'!M7400</f>
        <v>102</v>
      </c>
      <c r="H2184" s="331"/>
      <c r="I2184" s="332"/>
      <c r="J2184" s="333"/>
      <c r="K2184" s="333"/>
      <c r="L2184" s="333"/>
      <c r="M2184" s="331"/>
      <c r="N2184" s="334"/>
      <c r="O2184" s="236" t="str">
        <f>'Profits 2016'!T7400</f>
        <v>FEDEX GROUND</v>
      </c>
      <c r="P2184" s="284" t="str">
        <f>'Profits 2016'!U7400</f>
        <v>680483361398</v>
      </c>
      <c r="AF2184" s="276">
        <f t="shared" si="231"/>
        <v>102</v>
      </c>
      <c r="AG2184" s="276">
        <f t="shared" si="232"/>
        <v>0</v>
      </c>
      <c r="AH2184" s="276">
        <f t="shared" si="233"/>
        <v>174.34491</v>
      </c>
      <c r="AI2184" s="283">
        <f t="shared" si="234"/>
        <v>1.7092638235294118</v>
      </c>
    </row>
    <row r="2185" spans="1:35" ht="30" x14ac:dyDescent="0.25">
      <c r="A2185" s="275">
        <f>'Profits 2016'!A7401</f>
        <v>3005817</v>
      </c>
      <c r="B2185" s="279">
        <f>'Profits 2016'!B7401</f>
        <v>42704</v>
      </c>
      <c r="C2185" s="276">
        <f>'Profits 2016'!H7401</f>
        <v>341.55</v>
      </c>
      <c r="D2185" s="280">
        <f>'Profits 2016'!K7401</f>
        <v>304.02105</v>
      </c>
      <c r="E2185" s="276">
        <f>'Profits 2016'!L7401</f>
        <v>1440</v>
      </c>
      <c r="F2185" s="275" t="str">
        <f>'Profits 2016'!P7401</f>
        <v>Nassau</v>
      </c>
      <c r="G2185" s="292">
        <f>'Profits 2016'!N7401-'Profits 2016'!M7401</f>
        <v>216</v>
      </c>
      <c r="H2185" s="331"/>
      <c r="I2185" s="332"/>
      <c r="J2185" s="333"/>
      <c r="K2185" s="333"/>
      <c r="L2185" s="333"/>
      <c r="M2185" s="331"/>
      <c r="N2185" s="334"/>
      <c r="O2185" s="236" t="str">
        <f>'Profits 2016'!T7401</f>
        <v>FEDEX GROUND</v>
      </c>
      <c r="P2185" s="284" t="str">
        <f>'Profits 2016'!U7401</f>
        <v>665645048581</v>
      </c>
      <c r="AF2185" s="276">
        <f t="shared" si="231"/>
        <v>216</v>
      </c>
      <c r="AG2185" s="276">
        <f t="shared" si="232"/>
        <v>0</v>
      </c>
      <c r="AH2185" s="276">
        <f t="shared" si="233"/>
        <v>304.02105</v>
      </c>
      <c r="AI2185" s="283">
        <f t="shared" si="234"/>
        <v>1.4075048611111112</v>
      </c>
    </row>
    <row r="2186" spans="1:35" ht="30" x14ac:dyDescent="0.25">
      <c r="A2186" s="275">
        <f>'Profits 2016'!A7402</f>
        <v>3005818</v>
      </c>
      <c r="B2186" s="279">
        <f>'Profits 2016'!B7402</f>
        <v>42704</v>
      </c>
      <c r="C2186" s="276">
        <f>'Profits 2016'!H7402</f>
        <v>1300</v>
      </c>
      <c r="D2186" s="280">
        <f>'Profits 2016'!K7402</f>
        <v>1158</v>
      </c>
      <c r="E2186" s="276">
        <f>'Profits 2016'!L7402</f>
        <v>1693</v>
      </c>
      <c r="F2186" s="275" t="str">
        <f>'Profits 2016'!P7402</f>
        <v>Nassau</v>
      </c>
      <c r="G2186" s="292">
        <f>'Profits 2016'!N7402-'Profits 2016'!M7402</f>
        <v>846.5</v>
      </c>
      <c r="H2186" s="331"/>
      <c r="I2186" s="332"/>
      <c r="J2186" s="333"/>
      <c r="K2186" s="333"/>
      <c r="L2186" s="333"/>
      <c r="M2186" s="331"/>
      <c r="N2186" s="334"/>
      <c r="O2186" s="236" t="str">
        <f>'Profits 2016'!T7402</f>
        <v>Committed</v>
      </c>
      <c r="P2186" s="284">
        <f>'Profits 2016'!U7402</f>
        <v>0</v>
      </c>
      <c r="AF2186" s="276">
        <f t="shared" si="231"/>
        <v>846.5</v>
      </c>
      <c r="AG2186" s="276">
        <f t="shared" si="232"/>
        <v>0</v>
      </c>
      <c r="AH2186" s="276">
        <f t="shared" si="233"/>
        <v>1158</v>
      </c>
      <c r="AI2186" s="283">
        <f t="shared" si="234"/>
        <v>1.3679858239810987</v>
      </c>
    </row>
    <row r="2187" spans="1:35" ht="30" x14ac:dyDescent="0.25">
      <c r="A2187" s="275">
        <f>'Profits 2016'!A7403</f>
        <v>3005819</v>
      </c>
      <c r="B2187" s="279">
        <f>'Profits 2016'!B7403</f>
        <v>42704</v>
      </c>
      <c r="C2187" s="276">
        <f>'Profits 2016'!H7403</f>
        <v>133</v>
      </c>
      <c r="D2187" s="280">
        <f>'Profits 2016'!K7403</f>
        <v>118.203</v>
      </c>
      <c r="E2187" s="276">
        <f>'Profits 2016'!L7403</f>
        <v>220</v>
      </c>
      <c r="F2187" s="275" t="str">
        <f>'Profits 2016'!P7403</f>
        <v>Nassau</v>
      </c>
      <c r="G2187" s="292">
        <f>'Profits 2016'!N7403-'Profits 2016'!M7403</f>
        <v>55</v>
      </c>
      <c r="H2187" s="331"/>
      <c r="I2187" s="332"/>
      <c r="J2187" s="333"/>
      <c r="K2187" s="333"/>
      <c r="L2187" s="333"/>
      <c r="M2187" s="331"/>
      <c r="N2187" s="334"/>
      <c r="O2187" s="236" t="str">
        <f>'Profits 2016'!T7403</f>
        <v>FEDEX GROUND</v>
      </c>
      <c r="P2187" s="284" t="str">
        <f>'Profits 2016'!U7403</f>
        <v>680483361321</v>
      </c>
      <c r="AF2187" s="276">
        <f t="shared" si="231"/>
        <v>55</v>
      </c>
      <c r="AG2187" s="276">
        <f t="shared" si="232"/>
        <v>0</v>
      </c>
      <c r="AH2187" s="276">
        <f t="shared" si="233"/>
        <v>118.203</v>
      </c>
      <c r="AI2187" s="283">
        <f t="shared" si="234"/>
        <v>2.1491454545454545</v>
      </c>
    </row>
    <row r="2188" spans="1:35" ht="30" x14ac:dyDescent="0.25">
      <c r="A2188" s="275">
        <f>'Profits 2016'!A7404</f>
        <v>3005820</v>
      </c>
      <c r="B2188" s="279">
        <f>'Profits 2016'!B7404</f>
        <v>42704</v>
      </c>
      <c r="C2188" s="276">
        <f>'Profits 2016'!H7404</f>
        <v>211.46</v>
      </c>
      <c r="D2188" s="280">
        <f>'Profits 2016'!K7404</f>
        <v>179.74100000000001</v>
      </c>
      <c r="E2188" s="276">
        <f>'Profits 2016'!L7404</f>
        <v>0</v>
      </c>
      <c r="F2188" s="275" t="str">
        <f>'Profits 2016'!P7404</f>
        <v>Nassau</v>
      </c>
      <c r="G2188" s="292">
        <f>'Profits 2016'!N7404-'Profits 2016'!M7404</f>
        <v>0</v>
      </c>
      <c r="H2188" s="331"/>
      <c r="I2188" s="332"/>
      <c r="J2188" s="333"/>
      <c r="K2188" s="333"/>
      <c r="L2188" s="333"/>
      <c r="M2188" s="331"/>
      <c r="N2188" s="334"/>
      <c r="O2188" s="236" t="str">
        <f>'Profits 2016'!T7404</f>
        <v>FEDEX GROUND</v>
      </c>
      <c r="P2188" s="284" t="str">
        <f>'Profits 2016'!U7404</f>
        <v>680483361343</v>
      </c>
      <c r="AF2188" s="276">
        <f t="shared" si="231"/>
        <v>0</v>
      </c>
      <c r="AG2188" s="276">
        <f t="shared" si="232"/>
        <v>0</v>
      </c>
      <c r="AH2188" s="276">
        <f t="shared" si="233"/>
        <v>179.74100000000001</v>
      </c>
      <c r="AI2188" s="283" t="e">
        <f t="shared" si="234"/>
        <v>#DIV/0!</v>
      </c>
    </row>
    <row r="2189" spans="1:35" ht="30" x14ac:dyDescent="0.25">
      <c r="A2189" s="275">
        <f>'Profits 2016'!A7405</f>
        <v>3005821</v>
      </c>
      <c r="B2189" s="279">
        <f>'Profits 2016'!B7405</f>
        <v>42704</v>
      </c>
      <c r="C2189" s="276">
        <f>'Profits 2016'!H7405</f>
        <v>147.44</v>
      </c>
      <c r="D2189" s="280">
        <f>'Profits 2016'!K7405</f>
        <v>125.324</v>
      </c>
      <c r="E2189" s="276">
        <f>'Profits 2016'!L7405</f>
        <v>970</v>
      </c>
      <c r="F2189" s="275" t="str">
        <f>'Profits 2016'!P7405</f>
        <v>Direct</v>
      </c>
      <c r="G2189" s="292">
        <f>'Profits 2016'!N7405-'Profits 2016'!M7405</f>
        <v>97</v>
      </c>
      <c r="H2189" s="331"/>
      <c r="I2189" s="332"/>
      <c r="J2189" s="333"/>
      <c r="K2189" s="333"/>
      <c r="L2189" s="333"/>
      <c r="M2189" s="331"/>
      <c r="N2189" s="334"/>
      <c r="O2189" s="236" t="str">
        <f>'Profits 2016'!T7405</f>
        <v>FEDEX GROUND</v>
      </c>
      <c r="P2189" s="284" t="str">
        <f>'Profits 2016'!U7405</f>
        <v>639564016950</v>
      </c>
      <c r="AF2189" s="276">
        <f t="shared" si="231"/>
        <v>97</v>
      </c>
      <c r="AG2189" s="276">
        <f t="shared" si="232"/>
        <v>0</v>
      </c>
      <c r="AH2189" s="276">
        <f t="shared" si="233"/>
        <v>125.324</v>
      </c>
      <c r="AI2189" s="283">
        <f t="shared" si="234"/>
        <v>1.292</v>
      </c>
    </row>
    <row r="2190" spans="1:35" ht="30" x14ac:dyDescent="0.25">
      <c r="A2190" s="275">
        <f>'Profits 2016'!A7406</f>
        <v>3005822</v>
      </c>
      <c r="B2190" s="279">
        <f>'Profits 2016'!B7406</f>
        <v>42704</v>
      </c>
      <c r="C2190" s="276">
        <f>'Profits 2016'!H7406</f>
        <v>118.34</v>
      </c>
      <c r="D2190" s="280">
        <f>'Profits 2016'!K7406</f>
        <v>100.589</v>
      </c>
      <c r="E2190" s="276">
        <f>'Profits 2016'!L7406</f>
        <v>1460</v>
      </c>
      <c r="F2190" s="275" t="str">
        <f>'Profits 2016'!P7406</f>
        <v>Direct</v>
      </c>
      <c r="G2190" s="292">
        <f>'Profits 2016'!N7406-'Profits 2016'!M7406</f>
        <v>36.5</v>
      </c>
      <c r="H2190" s="331"/>
      <c r="I2190" s="332"/>
      <c r="J2190" s="333"/>
      <c r="K2190" s="333"/>
      <c r="L2190" s="333"/>
      <c r="M2190" s="331"/>
      <c r="N2190" s="334"/>
      <c r="O2190" s="236" t="str">
        <f>'Profits 2016'!T7406</f>
        <v>FEDEX GROUND</v>
      </c>
      <c r="P2190" s="284" t="str">
        <f>'Profits 2016'!U7406</f>
        <v>630512246070</v>
      </c>
      <c r="AF2190" s="276">
        <f t="shared" si="231"/>
        <v>36.5</v>
      </c>
      <c r="AG2190" s="276">
        <f t="shared" si="232"/>
        <v>0</v>
      </c>
      <c r="AH2190" s="276">
        <f t="shared" si="233"/>
        <v>100.589</v>
      </c>
      <c r="AI2190" s="283">
        <f t="shared" si="234"/>
        <v>2.75586301369863</v>
      </c>
    </row>
    <row r="2191" spans="1:35" x14ac:dyDescent="0.25">
      <c r="A2191" s="275">
        <f>'Profits 2016'!A7407</f>
        <v>0</v>
      </c>
      <c r="B2191" s="279">
        <f>'Profits 2016'!B7407</f>
        <v>0</v>
      </c>
      <c r="C2191" s="276">
        <f>'Profits 2016'!H7407</f>
        <v>0</v>
      </c>
      <c r="D2191" s="280">
        <f>'Profits 2016'!K7407</f>
        <v>0</v>
      </c>
      <c r="E2191" s="276">
        <f>'Profits 2016'!L7407</f>
        <v>1488</v>
      </c>
      <c r="F2191" s="275" t="str">
        <f>'Profits 2016'!P7407</f>
        <v>Direct</v>
      </c>
      <c r="G2191" s="292">
        <f>'Profits 2016'!N7407-'Profits 2016'!M7407</f>
        <v>37.200000000000003</v>
      </c>
      <c r="H2191" s="331"/>
      <c r="I2191" s="332"/>
      <c r="J2191" s="333"/>
      <c r="K2191" s="333"/>
      <c r="L2191" s="333"/>
      <c r="M2191" s="331"/>
      <c r="N2191" s="334"/>
      <c r="O2191" s="236">
        <f>'Profits 2016'!T7407</f>
        <v>0</v>
      </c>
      <c r="P2191" s="284">
        <f>'Profits 2016'!U7407</f>
        <v>0</v>
      </c>
      <c r="AF2191" s="276">
        <f t="shared" si="231"/>
        <v>37.200000000000003</v>
      </c>
      <c r="AG2191" s="276">
        <f t="shared" si="232"/>
        <v>0</v>
      </c>
      <c r="AH2191" s="276">
        <f t="shared" si="233"/>
        <v>0</v>
      </c>
      <c r="AI2191" s="283">
        <f t="shared" si="234"/>
        <v>0</v>
      </c>
    </row>
    <row r="2192" spans="1:35" ht="30" x14ac:dyDescent="0.25">
      <c r="A2192" s="275">
        <f>'Profits 2016'!A7408</f>
        <v>3005823</v>
      </c>
      <c r="B2192" s="279">
        <f>'Profits 2016'!B7408</f>
        <v>42704</v>
      </c>
      <c r="C2192" s="276">
        <f>'Profits 2016'!H7408</f>
        <v>157.13999999999999</v>
      </c>
      <c r="D2192" s="280">
        <f>'Profits 2016'!K7408</f>
        <v>133.56899999999999</v>
      </c>
      <c r="E2192" s="276">
        <f>'Profits 2016'!L7408</f>
        <v>698</v>
      </c>
      <c r="F2192" s="275" t="str">
        <f>'Profits 2016'!P7408</f>
        <v>Nassau</v>
      </c>
      <c r="G2192" s="292">
        <f>'Profits 2016'!N7408-'Profits 2016'!M7408</f>
        <v>69.8</v>
      </c>
      <c r="H2192" s="331"/>
      <c r="I2192" s="332"/>
      <c r="J2192" s="333"/>
      <c r="K2192" s="333"/>
      <c r="L2192" s="333"/>
      <c r="M2192" s="331"/>
      <c r="N2192" s="334"/>
      <c r="O2192" s="236" t="str">
        <f>'Profits 2016'!T7408</f>
        <v>FEDEX GROUND</v>
      </c>
      <c r="P2192" s="284" t="str">
        <f>'Profits 2016'!U7408</f>
        <v>665645048629</v>
      </c>
      <c r="AF2192" s="276">
        <f t="shared" si="231"/>
        <v>69.8</v>
      </c>
      <c r="AG2192" s="276">
        <f t="shared" si="232"/>
        <v>0</v>
      </c>
      <c r="AH2192" s="276">
        <f t="shared" si="233"/>
        <v>133.56899999999999</v>
      </c>
      <c r="AI2192" s="283">
        <f t="shared" si="234"/>
        <v>1.913595988538682</v>
      </c>
    </row>
    <row r="2193" spans="1:35" ht="30" x14ac:dyDescent="0.25">
      <c r="A2193" s="275">
        <f>'Profits 2016'!A7409</f>
        <v>3005824</v>
      </c>
      <c r="B2193" s="279">
        <f>'Profits 2016'!B7409</f>
        <v>42704</v>
      </c>
      <c r="C2193" s="276">
        <f>'Profits 2016'!H7409</f>
        <v>355.94</v>
      </c>
      <c r="D2193" s="280">
        <f>'Profits 2016'!K7409</f>
        <v>302.54899999999998</v>
      </c>
      <c r="E2193" s="276">
        <f>'Profits 2016'!L7409</f>
        <v>900</v>
      </c>
      <c r="F2193" s="275" t="str">
        <f>'Profits 2016'!P7409</f>
        <v>Nassau</v>
      </c>
      <c r="G2193" s="292">
        <f>'Profits 2016'!N7409-'Profits 2016'!M7409</f>
        <v>180</v>
      </c>
      <c r="H2193" s="331"/>
      <c r="I2193" s="332"/>
      <c r="J2193" s="333"/>
      <c r="K2193" s="333"/>
      <c r="L2193" s="333"/>
      <c r="M2193" s="331"/>
      <c r="N2193" s="334"/>
      <c r="O2193" s="236" t="str">
        <f>'Profits 2016'!T7409</f>
        <v>FEDEX GROUND</v>
      </c>
      <c r="P2193" s="284" t="str">
        <f>'Profits 2016'!U7409</f>
        <v>680483361376</v>
      </c>
      <c r="AF2193" s="276">
        <f t="shared" si="231"/>
        <v>180</v>
      </c>
      <c r="AG2193" s="276">
        <f t="shared" si="232"/>
        <v>0</v>
      </c>
      <c r="AH2193" s="276">
        <f t="shared" si="233"/>
        <v>302.54899999999998</v>
      </c>
      <c r="AI2193" s="283">
        <f t="shared" si="234"/>
        <v>1.6808277777777776</v>
      </c>
    </row>
    <row r="2194" spans="1:35" ht="30" x14ac:dyDescent="0.25">
      <c r="A2194" s="275">
        <f>'Profits 2016'!A7410</f>
        <v>3005825</v>
      </c>
      <c r="B2194" s="279">
        <f>'Profits 2016'!B7410</f>
        <v>42704</v>
      </c>
      <c r="C2194" s="276">
        <f>'Profits 2016'!H7410</f>
        <v>136.77000000000001</v>
      </c>
      <c r="D2194" s="280">
        <f>'Profits 2016'!K7410</f>
        <v>116.25450000000001</v>
      </c>
      <c r="E2194" s="276">
        <f>'Profits 2016'!L7410</f>
        <v>1440</v>
      </c>
      <c r="F2194" s="275" t="str">
        <f>'Profits 2016'!P7410</f>
        <v>Nassau</v>
      </c>
      <c r="G2194" s="292">
        <f>'Profits 2016'!N7410-'Profits 2016'!M7410</f>
        <v>72</v>
      </c>
      <c r="H2194" s="331"/>
      <c r="I2194" s="332"/>
      <c r="J2194" s="333"/>
      <c r="K2194" s="333"/>
      <c r="L2194" s="333"/>
      <c r="M2194" s="331"/>
      <c r="N2194" s="334"/>
      <c r="O2194" s="236" t="str">
        <f>'Profits 2016'!T7410</f>
        <v>FEDEX GROUND</v>
      </c>
      <c r="P2194" s="284" t="str">
        <f>'Profits 2016'!U7410</f>
        <v>665645048592</v>
      </c>
      <c r="AF2194" s="276">
        <f t="shared" si="231"/>
        <v>72</v>
      </c>
      <c r="AG2194" s="276">
        <f t="shared" si="232"/>
        <v>0</v>
      </c>
      <c r="AH2194" s="276">
        <f t="shared" si="233"/>
        <v>116.25450000000001</v>
      </c>
      <c r="AI2194" s="283">
        <f t="shared" si="234"/>
        <v>1.6146458333333333</v>
      </c>
    </row>
    <row r="2195" spans="1:35" ht="30" x14ac:dyDescent="0.25">
      <c r="A2195" s="275">
        <f>'Profits 2016'!A7411</f>
        <v>3005826</v>
      </c>
      <c r="B2195" s="279">
        <f>'Profits 2016'!B7411</f>
        <v>42704</v>
      </c>
      <c r="C2195" s="276">
        <f>'Profits 2016'!H7411</f>
        <v>200</v>
      </c>
      <c r="D2195" s="280">
        <f>'Profits 2016'!K7411</f>
        <v>170</v>
      </c>
      <c r="E2195" s="276">
        <f>'Profits 2016'!L7411</f>
        <v>424</v>
      </c>
      <c r="F2195" s="275" t="str">
        <f>'Profits 2016'!P7411</f>
        <v>Nassau</v>
      </c>
      <c r="G2195" s="292">
        <f>'Profits 2016'!N7411-'Profits 2016'!M7411</f>
        <v>84.800000000000011</v>
      </c>
      <c r="H2195" s="331"/>
      <c r="I2195" s="332"/>
      <c r="J2195" s="333"/>
      <c r="K2195" s="333"/>
      <c r="L2195" s="333"/>
      <c r="M2195" s="331"/>
      <c r="N2195" s="334"/>
      <c r="O2195" s="236" t="str">
        <f>'Profits 2016'!T7411</f>
        <v>FEDEX GROUND</v>
      </c>
      <c r="P2195" s="284" t="str">
        <f>'Profits 2016'!U7411</f>
        <v>680483361413</v>
      </c>
      <c r="AF2195" s="276">
        <f t="shared" si="231"/>
        <v>84.800000000000011</v>
      </c>
      <c r="AG2195" s="276">
        <f t="shared" si="232"/>
        <v>0</v>
      </c>
      <c r="AH2195" s="276">
        <f t="shared" si="233"/>
        <v>170</v>
      </c>
      <c r="AI2195" s="283">
        <f t="shared" si="234"/>
        <v>2.0047169811320753</v>
      </c>
    </row>
    <row r="2196" spans="1:35" ht="30" x14ac:dyDescent="0.25">
      <c r="A2196" s="275">
        <f>'Profits 2016'!A7412</f>
        <v>3005827</v>
      </c>
      <c r="B2196" s="279">
        <f>'Profits 2016'!B7412</f>
        <v>42704</v>
      </c>
      <c r="C2196" s="276">
        <f>'Profits 2016'!H7412</f>
        <v>150</v>
      </c>
      <c r="D2196" s="280">
        <f>'Profits 2016'!K7412</f>
        <v>127.5</v>
      </c>
      <c r="E2196" s="276">
        <f>'Profits 2016'!L7412</f>
        <v>424</v>
      </c>
      <c r="F2196" s="275" t="str">
        <f>'Profits 2016'!P7412</f>
        <v>Nassau</v>
      </c>
      <c r="G2196" s="292">
        <f>'Profits 2016'!N7412-'Profits 2016'!M7412</f>
        <v>74.2</v>
      </c>
      <c r="H2196" s="331"/>
      <c r="I2196" s="332"/>
      <c r="J2196" s="333"/>
      <c r="K2196" s="333"/>
      <c r="L2196" s="333"/>
      <c r="M2196" s="331"/>
      <c r="N2196" s="334"/>
      <c r="O2196" s="236" t="str">
        <f>'Profits 2016'!T7412</f>
        <v>FEDEX GROUND</v>
      </c>
      <c r="P2196" s="284" t="str">
        <f>'Profits 2016'!U7412</f>
        <v>680483361402</v>
      </c>
      <c r="AF2196" s="276">
        <f t="shared" si="231"/>
        <v>74.2</v>
      </c>
      <c r="AG2196" s="276">
        <f t="shared" si="232"/>
        <v>0</v>
      </c>
      <c r="AH2196" s="276">
        <f t="shared" si="233"/>
        <v>127.5</v>
      </c>
      <c r="AI2196" s="283">
        <f t="shared" si="234"/>
        <v>1.7183288409703503</v>
      </c>
    </row>
    <row r="2197" spans="1:35" ht="30" x14ac:dyDescent="0.25">
      <c r="A2197" s="275">
        <f>'Profits 2016'!A7413</f>
        <v>3005828</v>
      </c>
      <c r="B2197" s="279">
        <f>'Profits 2016'!B7413</f>
        <v>42704</v>
      </c>
      <c r="C2197" s="276">
        <f>'Profits 2016'!H7413</f>
        <v>228.09</v>
      </c>
      <c r="D2197" s="280">
        <f>'Profits 2016'!K7413</f>
        <v>193.87650000000002</v>
      </c>
      <c r="E2197" s="276">
        <f>'Profits 2016'!L7413</f>
        <v>1440</v>
      </c>
      <c r="F2197" s="275" t="str">
        <f>'Profits 2016'!P7413</f>
        <v>Nassau</v>
      </c>
      <c r="G2197" s="292">
        <f>'Profits 2016'!N7413-'Profits 2016'!M7413</f>
        <v>144</v>
      </c>
      <c r="H2197" s="331"/>
      <c r="I2197" s="332"/>
      <c r="J2197" s="333"/>
      <c r="K2197" s="333"/>
      <c r="L2197" s="333"/>
      <c r="M2197" s="331"/>
      <c r="N2197" s="334"/>
      <c r="O2197" s="236" t="str">
        <f>'Profits 2016'!T7413</f>
        <v>FEDEX GROUND</v>
      </c>
      <c r="P2197" s="284" t="str">
        <f>'Profits 2016'!U7413</f>
        <v>680483361332</v>
      </c>
      <c r="AF2197" s="276">
        <f t="shared" si="231"/>
        <v>144</v>
      </c>
      <c r="AG2197" s="276">
        <f t="shared" si="232"/>
        <v>0</v>
      </c>
      <c r="AH2197" s="276">
        <f t="shared" si="233"/>
        <v>193.87650000000002</v>
      </c>
      <c r="AI2197" s="283">
        <f t="shared" si="234"/>
        <v>1.3463645833333335</v>
      </c>
    </row>
    <row r="2198" spans="1:35" ht="30" x14ac:dyDescent="0.25">
      <c r="A2198" s="275">
        <f>'Profits 2016'!A7414</f>
        <v>3005829</v>
      </c>
      <c r="B2198" s="279">
        <f>'Profits 2016'!B7414</f>
        <v>42704</v>
      </c>
      <c r="C2198" s="276">
        <f>'Profits 2016'!H7414</f>
        <v>147.44</v>
      </c>
      <c r="D2198" s="280">
        <f>'Profits 2016'!K7414</f>
        <v>125.324</v>
      </c>
      <c r="E2198" s="276">
        <f>'Profits 2016'!L7414</f>
        <v>970</v>
      </c>
      <c r="F2198" s="275" t="str">
        <f>'Profits 2016'!P7414</f>
        <v>Direct</v>
      </c>
      <c r="G2198" s="292">
        <f>'Profits 2016'!N7414-'Profits 2016'!M7414</f>
        <v>48.5</v>
      </c>
      <c r="H2198" s="331"/>
      <c r="I2198" s="332"/>
      <c r="J2198" s="333"/>
      <c r="K2198" s="333"/>
      <c r="L2198" s="333"/>
      <c r="M2198" s="331"/>
      <c r="N2198" s="334"/>
      <c r="O2198" s="236" t="str">
        <f>'Profits 2016'!T7414</f>
        <v>Committed</v>
      </c>
      <c r="P2198" s="284">
        <f>'Profits 2016'!U7414</f>
        <v>0</v>
      </c>
      <c r="AF2198" s="276">
        <f t="shared" si="231"/>
        <v>48.5</v>
      </c>
      <c r="AG2198" s="276">
        <f t="shared" si="232"/>
        <v>0</v>
      </c>
      <c r="AH2198" s="276">
        <f t="shared" si="233"/>
        <v>125.324</v>
      </c>
      <c r="AI2198" s="283">
        <f t="shared" si="234"/>
        <v>2.5840000000000001</v>
      </c>
    </row>
    <row r="2199" spans="1:35" x14ac:dyDescent="0.25">
      <c r="A2199" s="275">
        <f>'Profits 2016'!A7415</f>
        <v>0</v>
      </c>
      <c r="B2199" s="279">
        <f>'Profits 2016'!B7415</f>
        <v>0</v>
      </c>
      <c r="C2199" s="276">
        <f>'Profits 2016'!H7415</f>
        <v>0</v>
      </c>
      <c r="D2199" s="280">
        <f>'Profits 2016'!K7415</f>
        <v>0</v>
      </c>
      <c r="E2199" s="276">
        <f>'Profits 2016'!L7415</f>
        <v>970</v>
      </c>
      <c r="F2199" s="275" t="str">
        <f>'Profits 2016'!P7415</f>
        <v>Direct</v>
      </c>
      <c r="G2199" s="292">
        <f>'Profits 2016'!N7415-'Profits 2016'!M7415</f>
        <v>48.5</v>
      </c>
      <c r="H2199" s="331"/>
      <c r="I2199" s="332"/>
      <c r="J2199" s="333"/>
      <c r="K2199" s="333"/>
      <c r="L2199" s="333"/>
      <c r="M2199" s="331"/>
      <c r="N2199" s="334"/>
      <c r="O2199" s="236">
        <f>'Profits 2016'!T7415</f>
        <v>0</v>
      </c>
      <c r="P2199" s="284">
        <f>'Profits 2016'!U7415</f>
        <v>0</v>
      </c>
      <c r="AF2199" s="276">
        <f t="shared" si="231"/>
        <v>48.5</v>
      </c>
      <c r="AG2199" s="276">
        <f t="shared" si="232"/>
        <v>0</v>
      </c>
      <c r="AH2199" s="276">
        <f t="shared" si="233"/>
        <v>0</v>
      </c>
      <c r="AI2199" s="283">
        <f t="shared" si="234"/>
        <v>0</v>
      </c>
    </row>
    <row r="2200" spans="1:35" ht="30" x14ac:dyDescent="0.25">
      <c r="A2200" s="275">
        <f>'Profits 2016'!A7416</f>
        <v>3005830</v>
      </c>
      <c r="B2200" s="279">
        <f>'Profits 2016'!B7416</f>
        <v>42704</v>
      </c>
      <c r="C2200" s="276">
        <f>'Profits 2016'!H7416</f>
        <v>176.54</v>
      </c>
      <c r="D2200" s="280">
        <f>'Profits 2016'!K7416</f>
        <v>150.059</v>
      </c>
      <c r="E2200" s="276">
        <f>'Profits 2016'!L7416</f>
        <v>1197</v>
      </c>
      <c r="F2200" s="275" t="str">
        <f>'Profits 2016'!P7416</f>
        <v>Direct</v>
      </c>
      <c r="G2200" s="292">
        <f>'Profits 2016'!N7416-'Profits 2016'!M7416</f>
        <v>59.85</v>
      </c>
      <c r="H2200" s="331"/>
      <c r="I2200" s="332"/>
      <c r="J2200" s="333"/>
      <c r="K2200" s="333"/>
      <c r="L2200" s="333"/>
      <c r="M2200" s="331"/>
      <c r="N2200" s="334"/>
      <c r="O2200" s="236" t="str">
        <f>'Profits 2016'!T7416</f>
        <v>Committed</v>
      </c>
      <c r="P2200" s="284">
        <f>'Profits 2016'!U7416</f>
        <v>0</v>
      </c>
      <c r="AF2200" s="276">
        <f t="shared" si="231"/>
        <v>59.85</v>
      </c>
      <c r="AG2200" s="276">
        <f t="shared" si="232"/>
        <v>0</v>
      </c>
      <c r="AH2200" s="276">
        <f t="shared" si="233"/>
        <v>150.059</v>
      </c>
      <c r="AI2200" s="283">
        <f t="shared" si="234"/>
        <v>2.5072514619883042</v>
      </c>
    </row>
    <row r="2201" spans="1:35" x14ac:dyDescent="0.25">
      <c r="A2201" s="275">
        <f>'Profits 2016'!A7417</f>
        <v>0</v>
      </c>
      <c r="B2201" s="279">
        <f>'Profits 2016'!B7417</f>
        <v>0</v>
      </c>
      <c r="C2201" s="276">
        <f>'Profits 2016'!H7417</f>
        <v>0</v>
      </c>
      <c r="D2201" s="280">
        <f>'Profits 2016'!K7417</f>
        <v>0</v>
      </c>
      <c r="E2201" s="276">
        <f>'Profits 2016'!L7417</f>
        <v>1197</v>
      </c>
      <c r="F2201" s="275" t="str">
        <f>'Profits 2016'!P7417</f>
        <v>Direct</v>
      </c>
      <c r="G2201" s="292">
        <f>'Profits 2016'!N7417-'Profits 2016'!M7417</f>
        <v>59.85</v>
      </c>
      <c r="H2201" s="331"/>
      <c r="I2201" s="332"/>
      <c r="J2201" s="333"/>
      <c r="K2201" s="333"/>
      <c r="L2201" s="333"/>
      <c r="M2201" s="331"/>
      <c r="N2201" s="334"/>
      <c r="O2201" s="236">
        <f>'Profits 2016'!T7417</f>
        <v>0</v>
      </c>
      <c r="P2201" s="284">
        <f>'Profits 2016'!U7417</f>
        <v>0</v>
      </c>
      <c r="AF2201" s="276">
        <f t="shared" si="231"/>
        <v>59.85</v>
      </c>
      <c r="AG2201" s="276">
        <f t="shared" si="232"/>
        <v>0</v>
      </c>
      <c r="AH2201" s="276">
        <f t="shared" si="233"/>
        <v>0</v>
      </c>
      <c r="AI2201" s="283">
        <f t="shared" si="234"/>
        <v>0</v>
      </c>
    </row>
    <row r="2202" spans="1:35" ht="30" x14ac:dyDescent="0.25">
      <c r="A2202" s="275">
        <f>'Profits 2016'!A7418</f>
        <v>3005831</v>
      </c>
      <c r="B2202" s="279">
        <f>'Profits 2016'!B7418</f>
        <v>42704</v>
      </c>
      <c r="C2202" s="276">
        <f>'Profits 2016'!H7418</f>
        <v>131.35</v>
      </c>
      <c r="D2202" s="280">
        <f>'Profits 2016'!K7418</f>
        <v>111.64749999999999</v>
      </c>
      <c r="E2202" s="276">
        <f>'Profits 2016'!L7418</f>
        <v>642.99</v>
      </c>
      <c r="F2202" s="275" t="str">
        <f>'Profits 2016'!P7418</f>
        <v>Nassau</v>
      </c>
      <c r="G2202" s="292">
        <f>'Profits 2016'!N7418-'Profits 2016'!M7418</f>
        <v>64.299000000000007</v>
      </c>
      <c r="H2202" s="331"/>
      <c r="I2202" s="332"/>
      <c r="J2202" s="333"/>
      <c r="K2202" s="333"/>
      <c r="L2202" s="333"/>
      <c r="M2202" s="331"/>
      <c r="N2202" s="334"/>
      <c r="O2202" s="236" t="str">
        <f>'Profits 2016'!T7418</f>
        <v>FEDEX GROUND</v>
      </c>
      <c r="P2202" s="284" t="str">
        <f>'Profits 2016'!U7418</f>
        <v>665645048630</v>
      </c>
      <c r="AF2202" s="276">
        <f t="shared" si="231"/>
        <v>64.299000000000007</v>
      </c>
      <c r="AG2202" s="276">
        <f t="shared" si="232"/>
        <v>0</v>
      </c>
      <c r="AH2202" s="276">
        <f t="shared" si="233"/>
        <v>111.64749999999999</v>
      </c>
      <c r="AI2202" s="283">
        <f t="shared" si="234"/>
        <v>1.7363800370145723</v>
      </c>
    </row>
    <row r="2203" spans="1:35" ht="30" x14ac:dyDescent="0.25">
      <c r="A2203" s="275">
        <f>'Profits 2016'!A7419</f>
        <v>3005832</v>
      </c>
      <c r="B2203" s="279">
        <f>'Profits 2016'!B7419</f>
        <v>42704</v>
      </c>
      <c r="C2203" s="276">
        <f>'Profits 2016'!H7419</f>
        <v>179</v>
      </c>
      <c r="D2203" s="280">
        <f>'Profits 2016'!K7419</f>
        <v>152.15</v>
      </c>
      <c r="E2203" s="276">
        <f>'Profits 2016'!L7419</f>
        <v>410</v>
      </c>
      <c r="F2203" s="275" t="str">
        <f>'Profits 2016'!P7419</f>
        <v>A-Z</v>
      </c>
      <c r="G2203" s="292">
        <f>'Profits 2016'!N7419-'Profits 2016'!M7419</f>
        <v>102.5</v>
      </c>
      <c r="H2203" s="331"/>
      <c r="I2203" s="332"/>
      <c r="J2203" s="333"/>
      <c r="K2203" s="333"/>
      <c r="L2203" s="333"/>
      <c r="M2203" s="331"/>
      <c r="N2203" s="334"/>
      <c r="O2203" s="236" t="str">
        <f>'Profits 2016'!T7419</f>
        <v>FEDEX GROUND</v>
      </c>
      <c r="P2203" s="284" t="str">
        <f>'Profits 2016'!U7419</f>
        <v>654016293395</v>
      </c>
      <c r="AF2203" s="276">
        <f t="shared" si="231"/>
        <v>102.5</v>
      </c>
      <c r="AG2203" s="276">
        <f t="shared" si="232"/>
        <v>0</v>
      </c>
      <c r="AH2203" s="276">
        <f t="shared" si="233"/>
        <v>152.15</v>
      </c>
      <c r="AI2203" s="283">
        <f t="shared" si="234"/>
        <v>1.484390243902439</v>
      </c>
    </row>
    <row r="2204" spans="1:35" ht="30" x14ac:dyDescent="0.25">
      <c r="A2204" s="275">
        <f>'Profits 2016'!A7420</f>
        <v>3005833</v>
      </c>
      <c r="B2204" s="279">
        <f>'Profits 2016'!B7420</f>
        <v>42704</v>
      </c>
      <c r="C2204" s="276">
        <f>'Profits 2016'!H7420</f>
        <v>283.14</v>
      </c>
      <c r="D2204" s="280">
        <f>'Profits 2016'!K7420</f>
        <v>251.97773999999998</v>
      </c>
      <c r="E2204" s="276">
        <f>'Profits 2016'!L7420</f>
        <v>300</v>
      </c>
      <c r="F2204" s="275" t="str">
        <f>'Profits 2016'!P7420</f>
        <v>Nassau</v>
      </c>
      <c r="G2204" s="292">
        <f>'Profits 2016'!N7420-'Profits 2016'!M7420</f>
        <v>150</v>
      </c>
      <c r="H2204" s="331"/>
      <c r="I2204" s="332"/>
      <c r="J2204" s="333"/>
      <c r="K2204" s="333"/>
      <c r="L2204" s="333"/>
      <c r="M2204" s="331"/>
      <c r="N2204" s="334"/>
      <c r="O2204" s="236" t="str">
        <f>'Profits 2016'!T7420</f>
        <v>FEDEX GROUND</v>
      </c>
      <c r="P2204" s="284" t="str">
        <f>'Profits 2016'!U7420</f>
        <v>665645048640</v>
      </c>
      <c r="AF2204" s="276">
        <f t="shared" si="231"/>
        <v>150</v>
      </c>
      <c r="AG2204" s="276">
        <f t="shared" si="232"/>
        <v>0</v>
      </c>
      <c r="AH2204" s="276">
        <f t="shared" si="233"/>
        <v>251.97773999999998</v>
      </c>
      <c r="AI2204" s="283">
        <f t="shared" si="234"/>
        <v>1.6798515999999999</v>
      </c>
    </row>
    <row r="2205" spans="1:35" ht="30" x14ac:dyDescent="0.25">
      <c r="A2205" s="275">
        <f>'Profits 2016'!A7421</f>
        <v>3005834</v>
      </c>
      <c r="B2205" s="279">
        <f>'Profits 2016'!B7421</f>
        <v>42704</v>
      </c>
      <c r="C2205" s="276">
        <f>'Profits 2016'!H7421</f>
        <v>1300</v>
      </c>
      <c r="D2205" s="280">
        <f>'Profits 2016'!K7421</f>
        <v>1300</v>
      </c>
      <c r="E2205" s="276">
        <f>'Profits 2016'!L7421</f>
        <v>700</v>
      </c>
      <c r="F2205" s="275" t="str">
        <f>'Profits 2016'!P7421</f>
        <v>Nexans</v>
      </c>
      <c r="G2205" s="292">
        <f>'Profits 2016'!N7421-'Profits 2016'!M7421</f>
        <v>700</v>
      </c>
      <c r="H2205" s="331"/>
      <c r="I2205" s="332"/>
      <c r="J2205" s="333"/>
      <c r="K2205" s="333"/>
      <c r="L2205" s="333"/>
      <c r="M2205" s="331"/>
      <c r="N2205" s="334"/>
      <c r="O2205" s="236" t="str">
        <f>'Profits 2016'!T7421</f>
        <v>Committed</v>
      </c>
      <c r="P2205" s="284">
        <f>'Profits 2016'!U7421</f>
        <v>0</v>
      </c>
      <c r="AF2205" s="276">
        <f t="shared" si="231"/>
        <v>700</v>
      </c>
      <c r="AG2205" s="276">
        <f t="shared" si="232"/>
        <v>0</v>
      </c>
      <c r="AH2205" s="276">
        <f t="shared" si="233"/>
        <v>1300</v>
      </c>
      <c r="AI2205" s="283">
        <f t="shared" si="234"/>
        <v>1.8571428571428572</v>
      </c>
    </row>
    <row r="2206" spans="1:35" ht="30" x14ac:dyDescent="0.25">
      <c r="A2206" s="275">
        <f>'Profits 2016'!A7422</f>
        <v>3005835</v>
      </c>
      <c r="B2206" s="279">
        <f>'Profits 2016'!B7422</f>
        <v>42704</v>
      </c>
      <c r="C2206" s="276">
        <f>'Profits 2016'!H7422</f>
        <v>1343.98</v>
      </c>
      <c r="D2206" s="280">
        <f>'Profits 2016'!K7422</f>
        <v>1343.98</v>
      </c>
      <c r="E2206" s="276">
        <f>'Profits 2016'!L7422</f>
        <v>700</v>
      </c>
      <c r="F2206" s="275" t="str">
        <f>'Profits 2016'!P7422</f>
        <v xml:space="preserve">General </v>
      </c>
      <c r="G2206" s="292">
        <f>'Profits 2016'!N7422-'Profits 2016'!M7422</f>
        <v>126</v>
      </c>
      <c r="H2206" s="331"/>
      <c r="I2206" s="332"/>
      <c r="J2206" s="333"/>
      <c r="K2206" s="333"/>
      <c r="L2206" s="333"/>
      <c r="M2206" s="331"/>
      <c r="N2206" s="334"/>
      <c r="O2206" s="236" t="str">
        <f>'Profits 2016'!T7422</f>
        <v>CUSTOMER PICK UP</v>
      </c>
      <c r="P2206" s="284" t="str">
        <f>'Profits 2016'!U7422</f>
        <v>CUSTOMER PICK UP</v>
      </c>
      <c r="AF2206" s="276">
        <f t="shared" si="231"/>
        <v>126</v>
      </c>
      <c r="AG2206" s="276">
        <f t="shared" si="232"/>
        <v>0</v>
      </c>
      <c r="AH2206" s="276">
        <f t="shared" si="233"/>
        <v>1343.98</v>
      </c>
      <c r="AI2206" s="283">
        <f t="shared" si="234"/>
        <v>10.666507936507937</v>
      </c>
    </row>
    <row r="2207" spans="1:35" x14ac:dyDescent="0.25">
      <c r="A2207" s="275">
        <f>'Profits 2016'!A7423</f>
        <v>0</v>
      </c>
      <c r="B2207" s="279">
        <f>'Profits 2016'!B7423</f>
        <v>0</v>
      </c>
      <c r="C2207" s="276">
        <f>'Profits 2016'!H7423</f>
        <v>0</v>
      </c>
      <c r="D2207" s="280">
        <f>'Profits 2016'!K7423</f>
        <v>0</v>
      </c>
      <c r="E2207" s="276">
        <f>'Profits 2016'!L7423</f>
        <v>500</v>
      </c>
      <c r="F2207" s="275" t="str">
        <f>'Profits 2016'!P7423</f>
        <v xml:space="preserve">General </v>
      </c>
      <c r="G2207" s="292">
        <f>'Profits 2016'!N7423-'Profits 2016'!M7423</f>
        <v>90</v>
      </c>
      <c r="H2207" s="331"/>
      <c r="I2207" s="332"/>
      <c r="J2207" s="333"/>
      <c r="K2207" s="333"/>
      <c r="L2207" s="333"/>
      <c r="M2207" s="331"/>
      <c r="N2207" s="334"/>
      <c r="O2207" s="236">
        <f>'Profits 2016'!T7423</f>
        <v>0</v>
      </c>
      <c r="P2207" s="284">
        <f>'Profits 2016'!U7423</f>
        <v>0</v>
      </c>
      <c r="AF2207" s="276">
        <f t="shared" si="231"/>
        <v>90</v>
      </c>
      <c r="AG2207" s="276">
        <f t="shared" si="232"/>
        <v>0</v>
      </c>
      <c r="AH2207" s="276">
        <f t="shared" si="233"/>
        <v>0</v>
      </c>
      <c r="AI2207" s="283">
        <f t="shared" si="234"/>
        <v>0</v>
      </c>
    </row>
    <row r="2208" spans="1:35" ht="30" x14ac:dyDescent="0.25">
      <c r="A2208" s="275">
        <f>'Profits 2016'!A7424</f>
        <v>3005836</v>
      </c>
      <c r="B2208" s="279">
        <f>'Profits 2016'!B7424</f>
        <v>42704</v>
      </c>
      <c r="C2208" s="276">
        <f>'Profits 2016'!H7424</f>
        <v>179.23</v>
      </c>
      <c r="D2208" s="280">
        <f>'Profits 2016'!K7424</f>
        <v>173.10502499999998</v>
      </c>
      <c r="E2208" s="276">
        <f>'Profits 2016'!L7424</f>
        <v>880</v>
      </c>
      <c r="F2208" s="275" t="str">
        <f>'Profits 2016'!P7424</f>
        <v>Priority</v>
      </c>
      <c r="G2208" s="292">
        <f>'Profits 2016'!N7424-'Profits 2016'!M7424</f>
        <v>132</v>
      </c>
      <c r="H2208" s="331"/>
      <c r="I2208" s="332"/>
      <c r="J2208" s="333"/>
      <c r="K2208" s="333"/>
      <c r="L2208" s="333"/>
      <c r="M2208" s="331"/>
      <c r="N2208" s="334"/>
      <c r="O2208" s="236" t="str">
        <f>'Profits 2016'!T7424</f>
        <v>FEDEX GROUND</v>
      </c>
      <c r="P2208" s="284" t="str">
        <f>'Profits 2016'!U7424</f>
        <v xml:space="preserve">	616712878740</v>
      </c>
      <c r="AF2208" s="276">
        <f t="shared" si="231"/>
        <v>132</v>
      </c>
      <c r="AG2208" s="276">
        <f t="shared" si="232"/>
        <v>0</v>
      </c>
      <c r="AH2208" s="276">
        <f t="shared" si="233"/>
        <v>173.10502499999998</v>
      </c>
      <c r="AI2208" s="283">
        <f t="shared" si="234"/>
        <v>1.3114017045454545</v>
      </c>
    </row>
    <row r="2209" spans="1:35" ht="30" x14ac:dyDescent="0.25">
      <c r="A2209" s="275">
        <f>'Profits 2016'!A7425</f>
        <v>3005837</v>
      </c>
      <c r="B2209" s="279">
        <f>'Profits 2016'!B7425</f>
        <v>42704</v>
      </c>
      <c r="C2209" s="276">
        <f>'Profits 2016'!H7425</f>
        <v>177.97</v>
      </c>
      <c r="D2209" s="280">
        <f>'Profits 2016'!K7425</f>
        <v>151.27449999999999</v>
      </c>
      <c r="E2209" s="276">
        <f>'Profits 2016'!L7425</f>
        <v>900</v>
      </c>
      <c r="F2209" s="275" t="str">
        <f>'Profits 2016'!P7425</f>
        <v>Nassau</v>
      </c>
      <c r="G2209" s="292">
        <f>'Profits 2016'!N7425-'Profits 2016'!M7425</f>
        <v>90</v>
      </c>
      <c r="H2209" s="331"/>
      <c r="I2209" s="332"/>
      <c r="J2209" s="333"/>
      <c r="K2209" s="333"/>
      <c r="L2209" s="333"/>
      <c r="M2209" s="331"/>
      <c r="N2209" s="334"/>
      <c r="O2209" s="236" t="str">
        <f>'Profits 2016'!T7425</f>
        <v>FEDEX GROUND</v>
      </c>
      <c r="P2209" s="284" t="str">
        <f>'Profits 2016'!U7425</f>
        <v>665645048618</v>
      </c>
      <c r="AF2209" s="276">
        <f t="shared" si="231"/>
        <v>90</v>
      </c>
      <c r="AG2209" s="276">
        <f t="shared" si="232"/>
        <v>0</v>
      </c>
      <c r="AH2209" s="276">
        <f t="shared" si="233"/>
        <v>151.27449999999999</v>
      </c>
      <c r="AI2209" s="283">
        <f t="shared" si="234"/>
        <v>1.6808277777777776</v>
      </c>
    </row>
    <row r="2210" spans="1:35" x14ac:dyDescent="0.25">
      <c r="A2210" s="275">
        <f>'Profits 2016'!A7426</f>
        <v>3005838</v>
      </c>
      <c r="B2210" s="279">
        <f>'Profits 2016'!B7426</f>
        <v>42704</v>
      </c>
      <c r="C2210" s="276">
        <f>'Profits 2016'!H7426</f>
        <v>100</v>
      </c>
      <c r="D2210" s="280">
        <f>'Profits 2016'!K7426</f>
        <v>85</v>
      </c>
      <c r="E2210" s="276">
        <f>'Profits 2016'!L7426</f>
        <v>0</v>
      </c>
      <c r="F2210" s="275" t="str">
        <f>'Profits 2016'!P7426</f>
        <v>Nassau</v>
      </c>
      <c r="G2210" s="292">
        <f>'Profits 2016'!N7426-'Profits 2016'!M7426</f>
        <v>0</v>
      </c>
      <c r="H2210" s="331"/>
      <c r="I2210" s="332"/>
      <c r="J2210" s="333"/>
      <c r="K2210" s="333"/>
      <c r="L2210" s="333"/>
      <c r="M2210" s="331"/>
      <c r="N2210" s="334"/>
      <c r="O2210" s="236" t="e">
        <f>'Profits 2016'!#REF!</f>
        <v>#REF!</v>
      </c>
      <c r="P2210" s="284">
        <f>'Profits 2016'!U7426</f>
        <v>0</v>
      </c>
      <c r="AF2210" s="276">
        <f t="shared" si="231"/>
        <v>0</v>
      </c>
      <c r="AG2210" s="276">
        <f t="shared" si="232"/>
        <v>0</v>
      </c>
      <c r="AH2210" s="276">
        <f t="shared" si="233"/>
        <v>85</v>
      </c>
      <c r="AI2210" s="283" t="e">
        <f t="shared" si="234"/>
        <v>#DIV/0!</v>
      </c>
    </row>
    <row r="2211" spans="1:35" ht="30" x14ac:dyDescent="0.25">
      <c r="A2211" s="275">
        <f>'Profits 2016'!A7427</f>
        <v>0</v>
      </c>
      <c r="B2211" s="279">
        <f>'Profits 2016'!B7427</f>
        <v>0</v>
      </c>
      <c r="C2211" s="276">
        <f>'Profits 2016'!H7427</f>
        <v>0</v>
      </c>
      <c r="D2211" s="280">
        <f>'Profits 2016'!K7427</f>
        <v>0</v>
      </c>
      <c r="E2211" s="276">
        <f>'Profits 2016'!L7427</f>
        <v>0</v>
      </c>
      <c r="F2211" s="275" t="str">
        <f>'Profits 2016'!P7427</f>
        <v>Nassau</v>
      </c>
      <c r="G2211" s="292">
        <f>'Profits 2016'!N7427-'Profits 2016'!M7427</f>
        <v>0</v>
      </c>
      <c r="H2211" s="331"/>
      <c r="I2211" s="332"/>
      <c r="J2211" s="333"/>
      <c r="K2211" s="333"/>
      <c r="L2211" s="333"/>
      <c r="M2211" s="331"/>
      <c r="N2211" s="334"/>
      <c r="O2211" s="236" t="str">
        <f>'Profits 2016'!T7426</f>
        <v>FEDEX GROUND</v>
      </c>
      <c r="P2211" s="284">
        <f>'Profits 2016'!U7427</f>
        <v>0</v>
      </c>
      <c r="AF2211" s="276">
        <f t="shared" si="231"/>
        <v>0</v>
      </c>
      <c r="AG2211" s="276">
        <f t="shared" si="232"/>
        <v>0</v>
      </c>
      <c r="AH2211" s="276">
        <f t="shared" si="233"/>
        <v>0</v>
      </c>
      <c r="AI2211" s="283" t="e">
        <f t="shared" si="234"/>
        <v>#DIV/0!</v>
      </c>
    </row>
    <row r="2212" spans="1:35" ht="30" x14ac:dyDescent="0.25">
      <c r="A2212" s="275">
        <f>'Profits 2016'!A7428</f>
        <v>3005839</v>
      </c>
      <c r="B2212" s="279">
        <f>'Profits 2016'!B7428</f>
        <v>42704</v>
      </c>
      <c r="C2212" s="276">
        <f>'Profits 2016'!H7428</f>
        <v>1580</v>
      </c>
      <c r="D2212" s="280">
        <f>'Profits 2016'!K7428</f>
        <v>1580</v>
      </c>
      <c r="E2212" s="276">
        <f>'Profits 2016'!L7428</f>
        <v>351</v>
      </c>
      <c r="F2212" s="275" t="str">
        <f>'Profits 2016'!P7428</f>
        <v>Nexans</v>
      </c>
      <c r="G2212" s="292">
        <f>'Profits 2016'!N7428-'Profits 2016'!M7428</f>
        <v>175.5</v>
      </c>
      <c r="H2212" s="331"/>
      <c r="I2212" s="332"/>
      <c r="J2212" s="333"/>
      <c r="K2212" s="333"/>
      <c r="L2212" s="333"/>
      <c r="M2212" s="331"/>
      <c r="N2212" s="334"/>
      <c r="O2212" s="236" t="str">
        <f>'Profits 2016'!T7428</f>
        <v>Committed</v>
      </c>
      <c r="P2212" s="284">
        <f>'Profits 2016'!U7428</f>
        <v>0</v>
      </c>
      <c r="AF2212" s="276">
        <f t="shared" si="231"/>
        <v>175.5</v>
      </c>
      <c r="AG2212" s="276">
        <f t="shared" si="232"/>
        <v>0</v>
      </c>
      <c r="AH2212" s="276">
        <f t="shared" si="233"/>
        <v>1580</v>
      </c>
      <c r="AI2212" s="283">
        <f t="shared" si="234"/>
        <v>9.0028490028490022</v>
      </c>
    </row>
    <row r="2213" spans="1:35" x14ac:dyDescent="0.25">
      <c r="A2213" s="275">
        <f>'Profits 2016'!A7429</f>
        <v>0</v>
      </c>
      <c r="B2213" s="279">
        <f>'Profits 2016'!B7429</f>
        <v>0</v>
      </c>
      <c r="C2213" s="276">
        <f>'Profits 2016'!H7429</f>
        <v>0</v>
      </c>
      <c r="D2213" s="280">
        <f>'Profits 2016'!K7429</f>
        <v>0</v>
      </c>
      <c r="E2213" s="276">
        <f>'Profits 2016'!L7429</f>
        <v>750</v>
      </c>
      <c r="F2213" s="275" t="str">
        <f>'Profits 2016'!P7429</f>
        <v>Nexans</v>
      </c>
      <c r="G2213" s="292">
        <f>'Profits 2016'!N7429-'Profits 2016'!M7429</f>
        <v>375</v>
      </c>
      <c r="H2213" s="331"/>
      <c r="I2213" s="332"/>
      <c r="J2213" s="333"/>
      <c r="K2213" s="333"/>
      <c r="L2213" s="333"/>
      <c r="M2213" s="331"/>
      <c r="N2213" s="334"/>
      <c r="O2213" s="236">
        <f>'Profits 2016'!T7429</f>
        <v>0</v>
      </c>
      <c r="P2213" s="284">
        <f>'Profits 2016'!U7429</f>
        <v>0</v>
      </c>
      <c r="AF2213" s="276">
        <f t="shared" si="231"/>
        <v>375</v>
      </c>
      <c r="AG2213" s="276">
        <f t="shared" si="232"/>
        <v>0</v>
      </c>
      <c r="AH2213" s="276">
        <f t="shared" si="233"/>
        <v>0</v>
      </c>
      <c r="AI2213" s="283">
        <f t="shared" si="234"/>
        <v>0</v>
      </c>
    </row>
    <row r="2214" spans="1:35" x14ac:dyDescent="0.25">
      <c r="A2214" s="275">
        <f>'Profits 2016'!A7430</f>
        <v>0</v>
      </c>
      <c r="B2214" s="279">
        <f>'Profits 2016'!B7430</f>
        <v>0</v>
      </c>
      <c r="C2214" s="276">
        <f>'Profits 2016'!H7430</f>
        <v>0</v>
      </c>
      <c r="D2214" s="280">
        <f>'Profits 2016'!K7430</f>
        <v>0</v>
      </c>
      <c r="E2214" s="276">
        <f>'Profits 2016'!L7430</f>
        <v>750</v>
      </c>
      <c r="F2214" s="275" t="str">
        <f>'Profits 2016'!P7430</f>
        <v>Nexans</v>
      </c>
      <c r="G2214" s="292" t="e">
        <f>'Profits 2016'!N7430-'Profits 2016'!M7430</f>
        <v>#VALUE!</v>
      </c>
      <c r="H2214" s="331"/>
      <c r="I2214" s="332"/>
      <c r="J2214" s="333"/>
      <c r="K2214" s="333"/>
      <c r="L2214" s="333"/>
      <c r="M2214" s="331"/>
      <c r="N2214" s="334"/>
      <c r="O2214" s="236">
        <f>'Profits 2016'!T7430</f>
        <v>0</v>
      </c>
      <c r="P2214" s="284">
        <f>'Profits 2016'!U7430</f>
        <v>0</v>
      </c>
      <c r="AF2214" s="276" t="e">
        <f t="shared" si="231"/>
        <v>#VALUE!</v>
      </c>
      <c r="AG2214" s="276">
        <f t="shared" si="232"/>
        <v>0</v>
      </c>
      <c r="AH2214" s="276">
        <f t="shared" si="233"/>
        <v>0</v>
      </c>
      <c r="AI2214" s="283" t="e">
        <f t="shared" si="234"/>
        <v>#VALUE!</v>
      </c>
    </row>
    <row r="2215" spans="1:35" x14ac:dyDescent="0.25">
      <c r="A2215" s="275">
        <f>'Profits 2016'!A7431</f>
        <v>0</v>
      </c>
      <c r="B2215" s="279">
        <f>'Profits 2016'!B7431</f>
        <v>0</v>
      </c>
      <c r="C2215" s="276">
        <f>'Profits 2016'!H7431</f>
        <v>0</v>
      </c>
      <c r="D2215" s="280">
        <f>'Profits 2016'!K7431</f>
        <v>0</v>
      </c>
      <c r="E2215" s="276">
        <f>'Profits 2016'!L7431</f>
        <v>750</v>
      </c>
      <c r="F2215" s="275" t="str">
        <f>'Profits 2016'!P7431</f>
        <v>Nexans</v>
      </c>
      <c r="G2215" s="292">
        <f>'Profits 2016'!N7431-'Profits 2016'!M7431</f>
        <v>375</v>
      </c>
      <c r="H2215" s="331"/>
      <c r="I2215" s="332"/>
      <c r="J2215" s="333"/>
      <c r="K2215" s="333"/>
      <c r="L2215" s="333"/>
      <c r="M2215" s="331"/>
      <c r="N2215" s="334"/>
      <c r="O2215" s="236">
        <f>'Profits 2016'!T7431</f>
        <v>0</v>
      </c>
      <c r="P2215" s="284">
        <f>'Profits 2016'!U7431</f>
        <v>0</v>
      </c>
      <c r="AF2215" s="276">
        <f t="shared" si="231"/>
        <v>375</v>
      </c>
      <c r="AG2215" s="276">
        <f t="shared" si="232"/>
        <v>0</v>
      </c>
      <c r="AH2215" s="276">
        <f t="shared" si="233"/>
        <v>0</v>
      </c>
      <c r="AI2215" s="283">
        <f t="shared" si="234"/>
        <v>0</v>
      </c>
    </row>
    <row r="2216" spans="1:35" x14ac:dyDescent="0.25">
      <c r="A2216" s="275">
        <f>'Profits 2016'!A7432</f>
        <v>0</v>
      </c>
      <c r="B2216" s="279">
        <f>'Profits 2016'!B7432</f>
        <v>0</v>
      </c>
      <c r="C2216" s="276">
        <f>'Profits 2016'!H7432</f>
        <v>0</v>
      </c>
      <c r="D2216" s="280">
        <f>'Profits 2016'!K7432</f>
        <v>0</v>
      </c>
      <c r="E2216" s="276">
        <f>'Profits 2016'!L7432</f>
        <v>342</v>
      </c>
      <c r="F2216" s="275" t="str">
        <f>'Profits 2016'!P7432</f>
        <v>Nexans</v>
      </c>
      <c r="G2216" s="292">
        <f>'Profits 2016'!N7432-'Profits 2016'!M7432</f>
        <v>171</v>
      </c>
      <c r="H2216" s="331"/>
      <c r="I2216" s="332"/>
      <c r="J2216" s="333"/>
      <c r="K2216" s="333"/>
      <c r="L2216" s="333"/>
      <c r="M2216" s="331"/>
      <c r="N2216" s="334"/>
      <c r="O2216" s="236">
        <f>'Profits 2016'!T7432</f>
        <v>0</v>
      </c>
      <c r="P2216" s="284">
        <f>'Profits 2016'!U7432</f>
        <v>0</v>
      </c>
      <c r="AF2216" s="276">
        <f t="shared" si="231"/>
        <v>171</v>
      </c>
      <c r="AG2216" s="276">
        <f t="shared" si="232"/>
        <v>0</v>
      </c>
      <c r="AH2216" s="276">
        <f t="shared" si="233"/>
        <v>0</v>
      </c>
      <c r="AI2216" s="283">
        <f t="shared" si="234"/>
        <v>0</v>
      </c>
    </row>
    <row r="2217" spans="1:35" x14ac:dyDescent="0.25">
      <c r="A2217" s="275">
        <f>'Profits 2016'!A7433</f>
        <v>3005840</v>
      </c>
      <c r="B2217" s="279">
        <f>'Profits 2016'!B7433</f>
        <v>42704</v>
      </c>
      <c r="C2217" s="276">
        <f>'Profits 2016'!H7433</f>
        <v>1900</v>
      </c>
      <c r="D2217" s="280">
        <f>'Profits 2016'!K7433</f>
        <v>1857.9</v>
      </c>
      <c r="E2217" s="276">
        <f>'Profits 2016'!L7433</f>
        <v>700</v>
      </c>
      <c r="F2217" s="275" t="str">
        <f>'Profits 2016'!P7433</f>
        <v>Nexans</v>
      </c>
      <c r="G2217" s="292">
        <f>'Profits 2016'!N7433-'Profits 2016'!M7433</f>
        <v>1400</v>
      </c>
      <c r="H2217" s="331"/>
      <c r="I2217" s="332"/>
      <c r="J2217" s="333"/>
      <c r="K2217" s="333"/>
      <c r="L2217" s="333"/>
      <c r="M2217" s="331"/>
      <c r="N2217" s="334"/>
      <c r="O2217" s="236" t="str">
        <f>'Profits 2016'!T7433</f>
        <v>XPO/DLS</v>
      </c>
      <c r="P2217" s="284">
        <f>'Profits 2016'!U7433</f>
        <v>0</v>
      </c>
      <c r="AF2217" s="276">
        <f t="shared" si="231"/>
        <v>1400</v>
      </c>
      <c r="AG2217" s="276">
        <f t="shared" si="232"/>
        <v>0</v>
      </c>
      <c r="AH2217" s="276">
        <f t="shared" si="233"/>
        <v>1857.9</v>
      </c>
      <c r="AI2217" s="283">
        <f t="shared" si="234"/>
        <v>1.3270714285714287</v>
      </c>
    </row>
    <row r="2218" spans="1:35" ht="30" x14ac:dyDescent="0.25">
      <c r="A2218" s="275">
        <f>'Profits 2016'!A7434</f>
        <v>3005841</v>
      </c>
      <c r="B2218" s="279">
        <f>'Profits 2016'!B7434</f>
        <v>42705</v>
      </c>
      <c r="C2218" s="276">
        <f>'Profits 2016'!H7434</f>
        <v>290</v>
      </c>
      <c r="D2218" s="280">
        <f>'Profits 2016'!K7434</f>
        <v>290</v>
      </c>
      <c r="E2218" s="276">
        <f>'Profits 2016'!L7434</f>
        <v>110</v>
      </c>
      <c r="F2218" s="275" t="str">
        <f>'Profits 2016'!P7434</f>
        <v>Priority</v>
      </c>
      <c r="G2218" s="292">
        <f>'Profits 2016'!N7434-'Profits 2016'!M7434</f>
        <v>110</v>
      </c>
      <c r="H2218" s="331"/>
      <c r="I2218" s="332"/>
      <c r="J2218" s="333"/>
      <c r="K2218" s="333"/>
      <c r="L2218" s="333"/>
      <c r="M2218" s="331"/>
      <c r="N2218" s="334"/>
      <c r="O2218" s="236" t="str">
        <f>'Profits 2016'!T7434</f>
        <v>Committed</v>
      </c>
      <c r="P2218" s="284">
        <f>'Profits 2016'!U7434</f>
        <v>0</v>
      </c>
      <c r="AF2218" s="276">
        <f t="shared" si="231"/>
        <v>110</v>
      </c>
      <c r="AG2218" s="276">
        <f t="shared" si="232"/>
        <v>0</v>
      </c>
      <c r="AH2218" s="276">
        <f t="shared" si="233"/>
        <v>290</v>
      </c>
      <c r="AI2218" s="283">
        <f t="shared" si="234"/>
        <v>2.6363636363636362</v>
      </c>
    </row>
    <row r="2219" spans="1:35" ht="30" x14ac:dyDescent="0.25">
      <c r="A2219" s="275">
        <f>'Profits 2016'!A7435</f>
        <v>3005842</v>
      </c>
      <c r="B2219" s="279">
        <f>'Profits 2016'!B7435</f>
        <v>42705</v>
      </c>
      <c r="C2219" s="276">
        <f>'Profits 2016'!H7435</f>
        <v>199.5</v>
      </c>
      <c r="D2219" s="280">
        <f>'Profits 2016'!K7435</f>
        <v>177.45450000000002</v>
      </c>
      <c r="E2219" s="276">
        <f>'Profits 2016'!L7435</f>
        <v>443</v>
      </c>
      <c r="F2219" s="275" t="str">
        <f>'Profits 2016'!P7435</f>
        <v>Priority</v>
      </c>
      <c r="G2219" s="292">
        <f>'Profits 2016'!N7435-'Profits 2016'!M7435</f>
        <v>88.600000000000009</v>
      </c>
      <c r="H2219" s="331"/>
      <c r="I2219" s="332"/>
      <c r="J2219" s="333"/>
      <c r="K2219" s="333"/>
      <c r="L2219" s="333"/>
      <c r="M2219" s="331"/>
      <c r="N2219" s="334"/>
      <c r="O2219" s="236" t="str">
        <f>'Profits 2016'!T7435</f>
        <v>Committed</v>
      </c>
      <c r="P2219" s="284">
        <f>'Profits 2016'!U7435</f>
        <v>0</v>
      </c>
      <c r="AF2219" s="276">
        <f t="shared" si="231"/>
        <v>88.600000000000009</v>
      </c>
      <c r="AG2219" s="276">
        <f t="shared" si="232"/>
        <v>0</v>
      </c>
      <c r="AH2219" s="276">
        <f t="shared" si="233"/>
        <v>177.45450000000002</v>
      </c>
      <c r="AI2219" s="283">
        <f t="shared" si="234"/>
        <v>2.0028724604966142</v>
      </c>
    </row>
    <row r="2220" spans="1:35" ht="30" x14ac:dyDescent="0.25">
      <c r="A2220" s="275">
        <f>'Profits 2016'!A7436</f>
        <v>3005843</v>
      </c>
      <c r="B2220" s="279">
        <f>'Profits 2016'!B7436</f>
        <v>42705</v>
      </c>
      <c r="C2220" s="276">
        <f>'Profits 2016'!H7436</f>
        <v>141.6</v>
      </c>
      <c r="D2220" s="280">
        <f>'Profits 2016'!K7436</f>
        <v>125.8656</v>
      </c>
      <c r="E2220" s="276">
        <f>'Profits 2016'!L7436</f>
        <v>424</v>
      </c>
      <c r="F2220" s="275" t="str">
        <f>'Profits 2016'!P7436</f>
        <v>Nassau</v>
      </c>
      <c r="G2220" s="292">
        <f>'Profits 2016'!N7436-'Profits 2016'!M7436</f>
        <v>50.879999999999995</v>
      </c>
      <c r="H2220" s="331"/>
      <c r="I2220" s="332"/>
      <c r="J2220" s="333"/>
      <c r="K2220" s="333"/>
      <c r="L2220" s="333"/>
      <c r="M2220" s="331"/>
      <c r="N2220" s="334"/>
      <c r="O2220" s="236" t="str">
        <f>'Profits 2016'!T7436</f>
        <v>FEDEX GROUND</v>
      </c>
      <c r="P2220" s="284">
        <f>'Profits 2016'!U7436</f>
        <v>0</v>
      </c>
      <c r="AF2220" s="276">
        <f t="shared" si="231"/>
        <v>50.879999999999995</v>
      </c>
      <c r="AG2220" s="276">
        <f t="shared" si="232"/>
        <v>0</v>
      </c>
      <c r="AH2220" s="276">
        <f t="shared" si="233"/>
        <v>125.8656</v>
      </c>
      <c r="AI2220" s="283">
        <f t="shared" si="234"/>
        <v>2.4737735849056608</v>
      </c>
    </row>
    <row r="2221" spans="1:35" ht="30" x14ac:dyDescent="0.25">
      <c r="A2221" s="275">
        <f>'Profits 2016'!A7437</f>
        <v>3005844</v>
      </c>
      <c r="B2221" s="279">
        <f>'Profits 2016'!B7437</f>
        <v>42705</v>
      </c>
      <c r="C2221" s="276">
        <f>'Profits 2016'!H7437</f>
        <v>100</v>
      </c>
      <c r="D2221" s="280">
        <f>'Profits 2016'!K7437</f>
        <v>88.8</v>
      </c>
      <c r="E2221" s="276">
        <f>'Profits 2016'!L7437</f>
        <v>98.8</v>
      </c>
      <c r="F2221" s="275" t="str">
        <f>'Profits 2016'!P7437</f>
        <v>Priority</v>
      </c>
      <c r="G2221" s="292">
        <f>'Profits 2016'!N7437-'Profits 2016'!M7437</f>
        <v>49.4</v>
      </c>
      <c r="H2221" s="331"/>
      <c r="I2221" s="332"/>
      <c r="J2221" s="333"/>
      <c r="K2221" s="333"/>
      <c r="L2221" s="333"/>
      <c r="M2221" s="331"/>
      <c r="N2221" s="334"/>
      <c r="O2221" s="236" t="str">
        <f>'Profits 2016'!T7437</f>
        <v>Committed</v>
      </c>
      <c r="P2221" s="284">
        <f>'Profits 2016'!U7437</f>
        <v>0</v>
      </c>
      <c r="AF2221" s="276">
        <f t="shared" si="231"/>
        <v>49.4</v>
      </c>
      <c r="AG2221" s="276">
        <f t="shared" si="232"/>
        <v>0</v>
      </c>
      <c r="AH2221" s="276">
        <f t="shared" si="233"/>
        <v>88.8</v>
      </c>
      <c r="AI2221" s="283">
        <f t="shared" si="234"/>
        <v>1.7975708502024292</v>
      </c>
    </row>
    <row r="2222" spans="1:35" ht="30" x14ac:dyDescent="0.25">
      <c r="A2222" s="275">
        <f>'Profits 2016'!A7438</f>
        <v>3005845</v>
      </c>
      <c r="B2222" s="279">
        <f>'Profits 2016'!B7438</f>
        <v>42705</v>
      </c>
      <c r="C2222" s="276">
        <f>'Profits 2016'!H7438</f>
        <v>228</v>
      </c>
      <c r="D2222" s="280">
        <f>'Profits 2016'!K7438</f>
        <v>202.84799999999998</v>
      </c>
      <c r="E2222" s="276">
        <f>'Profits 2016'!L7438</f>
        <v>1035</v>
      </c>
      <c r="F2222" s="275" t="str">
        <f>'Profits 2016'!P7438</f>
        <v>Nassau</v>
      </c>
      <c r="G2222" s="292">
        <f>'Profits 2016'!N7438-'Profits 2016'!M7438</f>
        <v>93.149999999999991</v>
      </c>
      <c r="H2222" s="331"/>
      <c r="I2222" s="332"/>
      <c r="J2222" s="333"/>
      <c r="K2222" s="333"/>
      <c r="L2222" s="333"/>
      <c r="M2222" s="331"/>
      <c r="N2222" s="334"/>
      <c r="O2222" s="236" t="str">
        <f>'Profits 2016'!T7438</f>
        <v>FEDEX GROUND</v>
      </c>
      <c r="P2222" s="284">
        <f>'Profits 2016'!U7438</f>
        <v>0</v>
      </c>
      <c r="AF2222" s="276">
        <f t="shared" si="231"/>
        <v>93.149999999999991</v>
      </c>
      <c r="AG2222" s="276">
        <f t="shared" si="232"/>
        <v>0</v>
      </c>
      <c r="AH2222" s="276">
        <f t="shared" si="233"/>
        <v>202.84799999999998</v>
      </c>
      <c r="AI2222" s="283">
        <f t="shared" si="234"/>
        <v>2.1776489533011274</v>
      </c>
    </row>
    <row r="2223" spans="1:35" ht="30" x14ac:dyDescent="0.25">
      <c r="A2223" s="275">
        <f>'Profits 2016'!A7439</f>
        <v>3005846</v>
      </c>
      <c r="B2223" s="279">
        <f>'Profits 2016'!B7439</f>
        <v>42705</v>
      </c>
      <c r="C2223" s="276">
        <f>'Profits 2016'!H7439</f>
        <v>90.84</v>
      </c>
      <c r="D2223" s="280">
        <f>'Profits 2016'!K7439</f>
        <v>88.541520000000006</v>
      </c>
      <c r="E2223" s="276">
        <f>'Profits 2016'!L7439</f>
        <v>424</v>
      </c>
      <c r="F2223" s="275" t="str">
        <f>'Profits 2016'!P7439</f>
        <v>Nassau</v>
      </c>
      <c r="G2223" s="292">
        <f>'Profits 2016'!N7439-'Profits 2016'!M7439</f>
        <v>30.951999999999998</v>
      </c>
      <c r="H2223" s="331"/>
      <c r="I2223" s="332"/>
      <c r="J2223" s="333"/>
      <c r="K2223" s="333"/>
      <c r="L2223" s="333"/>
      <c r="M2223" s="331"/>
      <c r="N2223" s="334"/>
      <c r="O2223" s="236" t="str">
        <f>'Profits 2016'!T7439</f>
        <v>FEDEX GROUND</v>
      </c>
      <c r="P2223" s="284">
        <f>'Profits 2016'!U7439</f>
        <v>0</v>
      </c>
      <c r="AF2223" s="276">
        <f t="shared" si="231"/>
        <v>30.951999999999998</v>
      </c>
      <c r="AG2223" s="276">
        <f t="shared" si="232"/>
        <v>0</v>
      </c>
      <c r="AH2223" s="276">
        <f t="shared" si="233"/>
        <v>88.541520000000006</v>
      </c>
      <c r="AI2223" s="283">
        <f t="shared" si="234"/>
        <v>2.86060739209098</v>
      </c>
    </row>
    <row r="2224" spans="1:35" x14ac:dyDescent="0.25">
      <c r="A2224" s="275">
        <f>'Profits 2016'!A7440</f>
        <v>3005847</v>
      </c>
      <c r="B2224" s="279">
        <f>'Profits 2016'!B7440</f>
        <v>42705</v>
      </c>
      <c r="C2224" s="276">
        <f>'Profits 2016'!H7440</f>
        <v>152</v>
      </c>
      <c r="D2224" s="280">
        <f>'Profits 2016'!K7440</f>
        <v>129.19999999999999</v>
      </c>
      <c r="E2224" s="276">
        <f>'Profits 2016'!L7440</f>
        <v>0</v>
      </c>
      <c r="F2224" s="275">
        <f>'Profits 2016'!P7440</f>
        <v>0</v>
      </c>
      <c r="G2224" s="292">
        <f>'Profits 2016'!N7440-'Profits 2016'!M7440</f>
        <v>0</v>
      </c>
      <c r="H2224" s="331"/>
      <c r="I2224" s="332"/>
      <c r="J2224" s="333"/>
      <c r="K2224" s="333"/>
      <c r="L2224" s="333"/>
      <c r="M2224" s="331"/>
      <c r="N2224" s="334"/>
      <c r="O2224" s="236">
        <f>'Profits 2016'!T7440</f>
        <v>0</v>
      </c>
      <c r="P2224" s="284">
        <f>'Profits 2016'!U7440</f>
        <v>0</v>
      </c>
      <c r="AF2224" s="276">
        <f t="shared" ref="AF2224:AF2287" si="235">G2224+H2225+R2224+Y2224</f>
        <v>0</v>
      </c>
      <c r="AG2224" s="276">
        <f t="shared" ref="AG2224:AG2287" si="236">M2224+R2224+Y2224</f>
        <v>0</v>
      </c>
      <c r="AH2224" s="276">
        <f t="shared" ref="AH2224:AH2287" si="237">D2224-AG2224</f>
        <v>129.19999999999999</v>
      </c>
      <c r="AI2224" s="283" t="e">
        <f t="shared" ref="AI2224:AI2287" si="238">AH2224/AF2224</f>
        <v>#DIV/0!</v>
      </c>
    </row>
    <row r="2225" spans="1:35" ht="30" x14ac:dyDescent="0.25">
      <c r="A2225" s="275">
        <f>'Profits 2016'!A7441</f>
        <v>3005848</v>
      </c>
      <c r="B2225" s="279">
        <f>'Profits 2016'!B7441</f>
        <v>42705</v>
      </c>
      <c r="C2225" s="276">
        <f>'Profits 2016'!H7441</f>
        <v>100</v>
      </c>
      <c r="D2225" s="280">
        <f>'Profits 2016'!K7441</f>
        <v>85</v>
      </c>
      <c r="E2225" s="276">
        <f>'Profits 2016'!L7441</f>
        <v>174</v>
      </c>
      <c r="F2225" s="275" t="str">
        <f>'Profits 2016'!P7441</f>
        <v>Thea</v>
      </c>
      <c r="G2225" s="292">
        <f>'Profits 2016'!N7441-'Profits 2016'!M7441</f>
        <v>39.15</v>
      </c>
      <c r="H2225" s="331"/>
      <c r="I2225" s="332"/>
      <c r="J2225" s="333"/>
      <c r="K2225" s="333"/>
      <c r="L2225" s="333"/>
      <c r="M2225" s="331"/>
      <c r="N2225" s="334"/>
      <c r="O2225" s="236" t="str">
        <f>'Profits 2016'!T7441</f>
        <v>Committed</v>
      </c>
      <c r="P2225" s="284">
        <f>'Profits 2016'!U7441</f>
        <v>0</v>
      </c>
      <c r="AF2225" s="276">
        <f t="shared" si="235"/>
        <v>39.15</v>
      </c>
      <c r="AG2225" s="276">
        <f t="shared" si="236"/>
        <v>0</v>
      </c>
      <c r="AH2225" s="276">
        <f t="shared" si="237"/>
        <v>85</v>
      </c>
      <c r="AI2225" s="283">
        <f t="shared" si="238"/>
        <v>2.1711366538952745</v>
      </c>
    </row>
    <row r="2226" spans="1:35" x14ac:dyDescent="0.25">
      <c r="A2226" s="275">
        <f>'Profits 2016'!A7442</f>
        <v>3005849</v>
      </c>
      <c r="B2226" s="279">
        <f>'Profits 2016'!B7442</f>
        <v>42705</v>
      </c>
      <c r="C2226" s="276">
        <f>'Profits 2016'!H7442</f>
        <v>211.46</v>
      </c>
      <c r="D2226" s="280">
        <f>'Profits 2016'!K7442</f>
        <v>179.74100000000001</v>
      </c>
      <c r="E2226" s="276">
        <f>'Profits 2016'!L7442</f>
        <v>0</v>
      </c>
      <c r="F2226" s="275" t="str">
        <f>'Profits 2016'!P7442</f>
        <v>Nassau</v>
      </c>
      <c r="G2226" s="292">
        <f>'Profits 2016'!N7442-'Profits 2016'!M7442</f>
        <v>0</v>
      </c>
      <c r="H2226" s="331"/>
      <c r="I2226" s="332"/>
      <c r="J2226" s="333"/>
      <c r="K2226" s="333"/>
      <c r="L2226" s="333"/>
      <c r="M2226" s="331"/>
      <c r="N2226" s="334"/>
      <c r="O2226" s="236">
        <f>'Profits 2016'!T7442</f>
        <v>0</v>
      </c>
      <c r="P2226" s="284">
        <f>'Profits 2016'!U7442</f>
        <v>0</v>
      </c>
      <c r="AF2226" s="276">
        <f t="shared" si="235"/>
        <v>0</v>
      </c>
      <c r="AG2226" s="276">
        <f t="shared" si="236"/>
        <v>0</v>
      </c>
      <c r="AH2226" s="276">
        <f t="shared" si="237"/>
        <v>179.74100000000001</v>
      </c>
      <c r="AI2226" s="283" t="e">
        <f t="shared" si="238"/>
        <v>#DIV/0!</v>
      </c>
    </row>
    <row r="2227" spans="1:35" x14ac:dyDescent="0.25">
      <c r="A2227" s="275">
        <f>'Profits 2016'!A7443</f>
        <v>3005850</v>
      </c>
      <c r="B2227" s="279">
        <f>'Profits 2016'!B7443</f>
        <v>42705</v>
      </c>
      <c r="C2227" s="276">
        <f>'Profits 2016'!H7443</f>
        <v>118.34</v>
      </c>
      <c r="D2227" s="280">
        <f>'Profits 2016'!K7443</f>
        <v>100.589</v>
      </c>
      <c r="E2227" s="276">
        <f>'Profits 2016'!L7443</f>
        <v>0</v>
      </c>
      <c r="F2227" s="275" t="str">
        <f>'Profits 2016'!P7443</f>
        <v>Nassau</v>
      </c>
      <c r="G2227" s="292">
        <f>'Profits 2016'!N7443-'Profits 2016'!M7443</f>
        <v>0</v>
      </c>
      <c r="H2227" s="331"/>
      <c r="I2227" s="332"/>
      <c r="J2227" s="333"/>
      <c r="K2227" s="333"/>
      <c r="L2227" s="333"/>
      <c r="M2227" s="331"/>
      <c r="N2227" s="334"/>
      <c r="O2227" s="236">
        <f>'Profits 2016'!T7443</f>
        <v>0</v>
      </c>
      <c r="P2227" s="284">
        <f>'Profits 2016'!U7443</f>
        <v>0</v>
      </c>
      <c r="AF2227" s="276">
        <f t="shared" si="235"/>
        <v>0</v>
      </c>
      <c r="AG2227" s="276">
        <f t="shared" si="236"/>
        <v>0</v>
      </c>
      <c r="AH2227" s="276">
        <f t="shared" si="237"/>
        <v>100.589</v>
      </c>
      <c r="AI2227" s="283" t="e">
        <f t="shared" si="238"/>
        <v>#DIV/0!</v>
      </c>
    </row>
    <row r="2228" spans="1:35" ht="30" x14ac:dyDescent="0.25">
      <c r="A2228" s="275">
        <f>'Profits 2016'!A7444</f>
        <v>3005851</v>
      </c>
      <c r="B2228" s="279">
        <f>'Profits 2016'!B7444</f>
        <v>42705</v>
      </c>
      <c r="C2228" s="276">
        <f>'Profits 2016'!H7444</f>
        <v>140.69</v>
      </c>
      <c r="D2228" s="280">
        <f>'Profits 2016'!K7444</f>
        <v>119.5865</v>
      </c>
      <c r="E2228" s="276">
        <f>'Profits 2016'!L7444</f>
        <v>250</v>
      </c>
      <c r="F2228" s="275" t="str">
        <f>'Profits 2016'!P7444</f>
        <v>Nassau</v>
      </c>
      <c r="G2228" s="292">
        <f>'Profits 2016'!N7444-'Profits 2016'!M7444</f>
        <v>62.5</v>
      </c>
      <c r="H2228" s="331"/>
      <c r="I2228" s="332"/>
      <c r="J2228" s="333"/>
      <c r="K2228" s="333"/>
      <c r="L2228" s="333"/>
      <c r="M2228" s="331"/>
      <c r="N2228" s="334"/>
      <c r="O2228" s="236" t="str">
        <f>'Profits 2016'!T7444</f>
        <v>FEDEX GROUND</v>
      </c>
      <c r="P2228" s="284">
        <f>'Profits 2016'!U7444</f>
        <v>0</v>
      </c>
      <c r="AF2228" s="276">
        <f t="shared" si="235"/>
        <v>62.5</v>
      </c>
      <c r="AG2228" s="276">
        <f t="shared" si="236"/>
        <v>0</v>
      </c>
      <c r="AH2228" s="276">
        <f t="shared" si="237"/>
        <v>119.5865</v>
      </c>
      <c r="AI2228" s="283">
        <f t="shared" si="238"/>
        <v>1.913384</v>
      </c>
    </row>
    <row r="2229" spans="1:35" ht="30" x14ac:dyDescent="0.25">
      <c r="A2229" s="275">
        <f>'Profits 2016'!A7445</f>
        <v>3005852</v>
      </c>
      <c r="B2229" s="279">
        <f>'Profits 2016'!B7445</f>
        <v>42705</v>
      </c>
      <c r="C2229" s="276">
        <f>'Profits 2016'!H7445</f>
        <v>810</v>
      </c>
      <c r="D2229" s="280">
        <f>'Profits 2016'!K7445</f>
        <v>688.5</v>
      </c>
      <c r="E2229" s="276">
        <f>'Profits 2016'!L7445</f>
        <v>300</v>
      </c>
      <c r="F2229" s="275" t="str">
        <f>'Profits 2016'!P7445</f>
        <v>Nassau</v>
      </c>
      <c r="G2229" s="292">
        <f>'Profits 2016'!N7445-'Profits 2016'!M7445</f>
        <v>450</v>
      </c>
      <c r="H2229" s="331"/>
      <c r="I2229" s="332"/>
      <c r="J2229" s="333"/>
      <c r="K2229" s="333"/>
      <c r="L2229" s="333"/>
      <c r="M2229" s="331"/>
      <c r="N2229" s="334"/>
      <c r="O2229" s="236" t="str">
        <f>'Profits 2016'!T7445</f>
        <v>FEDEX GROUND</v>
      </c>
      <c r="P2229" s="284">
        <f>'Profits 2016'!U7445</f>
        <v>0</v>
      </c>
      <c r="AF2229" s="276">
        <f t="shared" si="235"/>
        <v>450</v>
      </c>
      <c r="AG2229" s="276">
        <f t="shared" si="236"/>
        <v>0</v>
      </c>
      <c r="AH2229" s="276">
        <f t="shared" si="237"/>
        <v>688.5</v>
      </c>
      <c r="AI2229" s="283">
        <f t="shared" si="238"/>
        <v>1.53</v>
      </c>
    </row>
    <row r="2230" spans="1:35" ht="30" x14ac:dyDescent="0.25">
      <c r="A2230" s="275">
        <f>'Profits 2016'!A7446</f>
        <v>3005853</v>
      </c>
      <c r="B2230" s="279">
        <f>'Profits 2016'!B7446</f>
        <v>42705</v>
      </c>
      <c r="C2230" s="276">
        <f>'Profits 2016'!H7446</f>
        <v>200.25</v>
      </c>
      <c r="D2230" s="280">
        <f>'Profits 2016'!K7446</f>
        <v>170.21250000000001</v>
      </c>
      <c r="E2230" s="276">
        <f>'Profits 2016'!L7446</f>
        <v>409</v>
      </c>
      <c r="F2230" s="275" t="str">
        <f>'Profits 2016'!P7446</f>
        <v>Nassau</v>
      </c>
      <c r="G2230" s="292">
        <f>'Profits 2016'!N7446-'Profits 2016'!M7446</f>
        <v>102.25</v>
      </c>
      <c r="H2230" s="331"/>
      <c r="I2230" s="332"/>
      <c r="J2230" s="333"/>
      <c r="K2230" s="333"/>
      <c r="L2230" s="333"/>
      <c r="M2230" s="331"/>
      <c r="N2230" s="334"/>
      <c r="O2230" s="236" t="str">
        <f>'Profits 2016'!T7446</f>
        <v>FEDEX GROUND</v>
      </c>
      <c r="P2230" s="284">
        <f>'Profits 2016'!U7446</f>
        <v>0</v>
      </c>
      <c r="AF2230" s="276">
        <f t="shared" si="235"/>
        <v>102.25</v>
      </c>
      <c r="AG2230" s="276">
        <f t="shared" si="236"/>
        <v>0</v>
      </c>
      <c r="AH2230" s="276">
        <f t="shared" si="237"/>
        <v>170.21250000000001</v>
      </c>
      <c r="AI2230" s="283">
        <f t="shared" si="238"/>
        <v>1.6646699266503668</v>
      </c>
    </row>
    <row r="2231" spans="1:35" ht="30" x14ac:dyDescent="0.25">
      <c r="A2231" s="275">
        <f>'Profits 2016'!A7447</f>
        <v>3005854</v>
      </c>
      <c r="B2231" s="279">
        <f>'Profits 2016'!B7447</f>
        <v>42705</v>
      </c>
      <c r="C2231" s="276">
        <f>'Profits 2016'!H7447</f>
        <v>156.16999999999999</v>
      </c>
      <c r="D2231" s="280">
        <f>'Profits 2016'!K7447</f>
        <v>132.74449999999999</v>
      </c>
      <c r="E2231" s="276">
        <f>'Profits 2016'!L7447</f>
        <v>2270</v>
      </c>
      <c r="F2231" s="275" t="str">
        <f>'Profits 2016'!P7447</f>
        <v>Direct</v>
      </c>
      <c r="G2231" s="292">
        <f>'Profits 2016'!N7447-'Profits 2016'!M7447</f>
        <v>113.5</v>
      </c>
      <c r="H2231" s="331"/>
      <c r="I2231" s="332"/>
      <c r="J2231" s="333"/>
      <c r="K2231" s="333"/>
      <c r="L2231" s="333"/>
      <c r="M2231" s="331"/>
      <c r="N2231" s="334"/>
      <c r="O2231" s="236" t="str">
        <f>'Profits 2016'!T7447</f>
        <v>Committed</v>
      </c>
      <c r="P2231" s="284">
        <f>'Profits 2016'!U7447</f>
        <v>0</v>
      </c>
      <c r="AF2231" s="276">
        <f t="shared" si="235"/>
        <v>113.5</v>
      </c>
      <c r="AG2231" s="276">
        <f t="shared" si="236"/>
        <v>0</v>
      </c>
      <c r="AH2231" s="276">
        <f t="shared" si="237"/>
        <v>132.74449999999999</v>
      </c>
      <c r="AI2231" s="283">
        <f t="shared" si="238"/>
        <v>1.169555066079295</v>
      </c>
    </row>
    <row r="2232" spans="1:35" ht="30" x14ac:dyDescent="0.25">
      <c r="A2232" s="275">
        <f>'Profits 2016'!A7448</f>
        <v>3005855</v>
      </c>
      <c r="B2232" s="279">
        <f>'Profits 2016'!B7448</f>
        <v>42705</v>
      </c>
      <c r="C2232" s="276">
        <f>'Profits 2016'!H7448</f>
        <v>156.16999999999999</v>
      </c>
      <c r="D2232" s="280">
        <f>'Profits 2016'!K7448</f>
        <v>132.74449999999999</v>
      </c>
      <c r="E2232" s="276">
        <f>'Profits 2016'!L7448</f>
        <v>2270</v>
      </c>
      <c r="F2232" s="275" t="str">
        <f>'Profits 2016'!P7448</f>
        <v>Direct</v>
      </c>
      <c r="G2232" s="292">
        <f>'Profits 2016'!N7448-'Profits 2016'!M7448</f>
        <v>56.75</v>
      </c>
      <c r="H2232" s="331"/>
      <c r="I2232" s="332"/>
      <c r="J2232" s="333"/>
      <c r="K2232" s="333"/>
      <c r="L2232" s="333"/>
      <c r="M2232" s="331"/>
      <c r="N2232" s="334"/>
      <c r="O2232" s="236" t="str">
        <f>'Profits 2016'!T7448</f>
        <v>Committed</v>
      </c>
      <c r="P2232" s="284">
        <f>'Profits 2016'!U7448</f>
        <v>0</v>
      </c>
      <c r="AF2232" s="276">
        <f t="shared" si="235"/>
        <v>56.75</v>
      </c>
      <c r="AG2232" s="276">
        <f t="shared" si="236"/>
        <v>0</v>
      </c>
      <c r="AH2232" s="276">
        <f t="shared" si="237"/>
        <v>132.74449999999999</v>
      </c>
      <c r="AI2232" s="283">
        <f t="shared" si="238"/>
        <v>2.3391101321585901</v>
      </c>
    </row>
    <row r="2233" spans="1:35" x14ac:dyDescent="0.25">
      <c r="A2233" s="275">
        <f>'Profits 2016'!A7449</f>
        <v>0</v>
      </c>
      <c r="B2233" s="279">
        <f>'Profits 2016'!B7449</f>
        <v>0</v>
      </c>
      <c r="C2233" s="276">
        <f>'Profits 2016'!H7449</f>
        <v>0</v>
      </c>
      <c r="D2233" s="280">
        <f>'Profits 2016'!K7449</f>
        <v>0</v>
      </c>
      <c r="E2233" s="276">
        <f>'Profits 2016'!L7449</f>
        <v>2270</v>
      </c>
      <c r="F2233" s="275" t="str">
        <f>'Profits 2016'!P7449</f>
        <v>Direct</v>
      </c>
      <c r="G2233" s="292">
        <f>'Profits 2016'!N7449-'Profits 2016'!M7449</f>
        <v>56.75</v>
      </c>
      <c r="H2233" s="331"/>
      <c r="I2233" s="332"/>
      <c r="J2233" s="333"/>
      <c r="K2233" s="333"/>
      <c r="L2233" s="333"/>
      <c r="M2233" s="331"/>
      <c r="N2233" s="334"/>
      <c r="O2233" s="236">
        <f>'Profits 2016'!T7449</f>
        <v>0</v>
      </c>
      <c r="P2233" s="284">
        <f>'Profits 2016'!U7449</f>
        <v>0</v>
      </c>
      <c r="AF2233" s="276">
        <f t="shared" si="235"/>
        <v>56.75</v>
      </c>
      <c r="AG2233" s="276">
        <f t="shared" si="236"/>
        <v>0</v>
      </c>
      <c r="AH2233" s="276">
        <f t="shared" si="237"/>
        <v>0</v>
      </c>
      <c r="AI2233" s="283">
        <f t="shared" si="238"/>
        <v>0</v>
      </c>
    </row>
    <row r="2234" spans="1:35" ht="30" x14ac:dyDescent="0.25">
      <c r="A2234" s="275">
        <f>'Profits 2016'!A7450</f>
        <v>3005856</v>
      </c>
      <c r="B2234" s="279">
        <f>'Profits 2016'!B7450</f>
        <v>42705</v>
      </c>
      <c r="C2234" s="276">
        <f>'Profits 2016'!H7450</f>
        <v>1552</v>
      </c>
      <c r="D2234" s="280">
        <f>'Profits 2016'!K7450</f>
        <v>1552</v>
      </c>
      <c r="E2234" s="276">
        <f>'Profits 2016'!L7450</f>
        <v>9000</v>
      </c>
      <c r="F2234" s="275" t="str">
        <f>'Profits 2016'!P7450</f>
        <v>Priority</v>
      </c>
      <c r="G2234" s="292">
        <f>'Profits 2016'!N7450-'Profits 2016'!M7450</f>
        <v>900</v>
      </c>
      <c r="H2234" s="331"/>
      <c r="I2234" s="332"/>
      <c r="J2234" s="333"/>
      <c r="K2234" s="333"/>
      <c r="L2234" s="333"/>
      <c r="M2234" s="331"/>
      <c r="N2234" s="334"/>
      <c r="O2234" s="236" t="str">
        <f>'Profits 2016'!T7450</f>
        <v>Committed</v>
      </c>
      <c r="P2234" s="284">
        <f>'Profits 2016'!U7450</f>
        <v>0</v>
      </c>
      <c r="AF2234" s="276">
        <f t="shared" si="235"/>
        <v>900</v>
      </c>
      <c r="AG2234" s="276">
        <f t="shared" si="236"/>
        <v>0</v>
      </c>
      <c r="AH2234" s="276">
        <f t="shared" si="237"/>
        <v>1552</v>
      </c>
      <c r="AI2234" s="283">
        <f t="shared" si="238"/>
        <v>1.7244444444444444</v>
      </c>
    </row>
    <row r="2235" spans="1:35" x14ac:dyDescent="0.25">
      <c r="A2235" s="275">
        <f>'Profits 2016'!A7451</f>
        <v>3005857</v>
      </c>
      <c r="B2235" s="279">
        <f>'Profits 2016'!B7451</f>
        <v>42705</v>
      </c>
      <c r="C2235" s="276">
        <f>'Profits 2016'!H7451</f>
        <v>1330</v>
      </c>
      <c r="D2235" s="280">
        <f>'Profits 2016'!K7451</f>
        <v>1330</v>
      </c>
      <c r="E2235" s="276">
        <f>'Profits 2016'!L7451</f>
        <v>0</v>
      </c>
      <c r="F2235" s="275">
        <f>'Profits 2016'!P7451</f>
        <v>0</v>
      </c>
      <c r="G2235" s="292">
        <f>'Profits 2016'!N7451-'Profits 2016'!M7451</f>
        <v>0</v>
      </c>
      <c r="H2235" s="331"/>
      <c r="I2235" s="332"/>
      <c r="J2235" s="333"/>
      <c r="K2235" s="333"/>
      <c r="L2235" s="333"/>
      <c r="M2235" s="331"/>
      <c r="N2235" s="334"/>
      <c r="O2235" s="236">
        <f>'Profits 2016'!T7451</f>
        <v>0</v>
      </c>
      <c r="P2235" s="284">
        <f>'Profits 2016'!U7451</f>
        <v>0</v>
      </c>
      <c r="AF2235" s="276">
        <f t="shared" si="235"/>
        <v>0</v>
      </c>
      <c r="AG2235" s="276">
        <f t="shared" si="236"/>
        <v>0</v>
      </c>
      <c r="AH2235" s="276">
        <f t="shared" si="237"/>
        <v>1330</v>
      </c>
      <c r="AI2235" s="283" t="e">
        <f t="shared" si="238"/>
        <v>#DIV/0!</v>
      </c>
    </row>
    <row r="2236" spans="1:35" x14ac:dyDescent="0.25">
      <c r="A2236" s="275">
        <f>'Profits 2016'!A7452</f>
        <v>0</v>
      </c>
      <c r="B2236" s="279">
        <f>'Profits 2016'!B7452</f>
        <v>0</v>
      </c>
      <c r="C2236" s="276">
        <f>'Profits 2016'!H7452</f>
        <v>0</v>
      </c>
      <c r="D2236" s="280">
        <f>'Profits 2016'!K7452</f>
        <v>0</v>
      </c>
      <c r="E2236" s="276">
        <f>'Profits 2016'!L7452</f>
        <v>0</v>
      </c>
      <c r="F2236" s="275">
        <f>'Profits 2016'!P7452</f>
        <v>0</v>
      </c>
      <c r="G2236" s="292">
        <f>'Profits 2016'!N7452-'Profits 2016'!M7452</f>
        <v>0</v>
      </c>
      <c r="H2236" s="331"/>
      <c r="I2236" s="332"/>
      <c r="J2236" s="333"/>
      <c r="K2236" s="333"/>
      <c r="L2236" s="333"/>
      <c r="M2236" s="331"/>
      <c r="N2236" s="334"/>
      <c r="O2236" s="236">
        <f>'Profits 2016'!T7452</f>
        <v>0</v>
      </c>
      <c r="P2236" s="284">
        <f>'Profits 2016'!U7452</f>
        <v>0</v>
      </c>
      <c r="AF2236" s="276">
        <f t="shared" si="235"/>
        <v>0</v>
      </c>
      <c r="AG2236" s="276">
        <f t="shared" si="236"/>
        <v>0</v>
      </c>
      <c r="AH2236" s="276">
        <f t="shared" si="237"/>
        <v>0</v>
      </c>
      <c r="AI2236" s="283" t="e">
        <f t="shared" si="238"/>
        <v>#DIV/0!</v>
      </c>
    </row>
    <row r="2237" spans="1:35" x14ac:dyDescent="0.25">
      <c r="A2237" s="275">
        <f>'Profits 2016'!A7453</f>
        <v>0</v>
      </c>
      <c r="B2237" s="279">
        <f>'Profits 2016'!B7453</f>
        <v>0</v>
      </c>
      <c r="C2237" s="276">
        <f>'Profits 2016'!H7453</f>
        <v>0</v>
      </c>
      <c r="D2237" s="280">
        <f>'Profits 2016'!K7453</f>
        <v>0</v>
      </c>
      <c r="E2237" s="276">
        <f>'Profits 2016'!L7453</f>
        <v>0</v>
      </c>
      <c r="F2237" s="275">
        <f>'Profits 2016'!P7453</f>
        <v>0</v>
      </c>
      <c r="G2237" s="292">
        <f>'Profits 2016'!N7453-'Profits 2016'!M7453</f>
        <v>0</v>
      </c>
      <c r="H2237" s="331"/>
      <c r="I2237" s="332"/>
      <c r="J2237" s="333"/>
      <c r="K2237" s="333"/>
      <c r="L2237" s="333"/>
      <c r="M2237" s="331"/>
      <c r="N2237" s="334"/>
      <c r="O2237" s="236">
        <f>'Profits 2016'!T7453</f>
        <v>0</v>
      </c>
      <c r="P2237" s="284">
        <f>'Profits 2016'!U7453</f>
        <v>0</v>
      </c>
      <c r="AF2237" s="276">
        <f t="shared" si="235"/>
        <v>0</v>
      </c>
      <c r="AG2237" s="276">
        <f t="shared" si="236"/>
        <v>0</v>
      </c>
      <c r="AH2237" s="276">
        <f t="shared" si="237"/>
        <v>0</v>
      </c>
      <c r="AI2237" s="283" t="e">
        <f t="shared" si="238"/>
        <v>#DIV/0!</v>
      </c>
    </row>
    <row r="2238" spans="1:35" x14ac:dyDescent="0.25">
      <c r="A2238" s="275">
        <f>'Profits 2016'!A7454</f>
        <v>0</v>
      </c>
      <c r="B2238" s="279">
        <f>'Profits 2016'!B7454</f>
        <v>0</v>
      </c>
      <c r="C2238" s="276">
        <f>'Profits 2016'!H7454</f>
        <v>0</v>
      </c>
      <c r="D2238" s="280">
        <f>'Profits 2016'!K7454</f>
        <v>0</v>
      </c>
      <c r="E2238" s="276">
        <f>'Profits 2016'!L7454</f>
        <v>0</v>
      </c>
      <c r="F2238" s="275">
        <f>'Profits 2016'!P7454</f>
        <v>0</v>
      </c>
      <c r="G2238" s="292">
        <f>'Profits 2016'!N7454-'Profits 2016'!M7454</f>
        <v>0</v>
      </c>
      <c r="H2238" s="331"/>
      <c r="I2238" s="332"/>
      <c r="J2238" s="333"/>
      <c r="K2238" s="333"/>
      <c r="L2238" s="333"/>
      <c r="M2238" s="331"/>
      <c r="N2238" s="334"/>
      <c r="O2238" s="236">
        <f>'Profits 2016'!T7454</f>
        <v>0</v>
      </c>
      <c r="P2238" s="284">
        <f>'Profits 2016'!U7454</f>
        <v>0</v>
      </c>
      <c r="AF2238" s="276">
        <f t="shared" si="235"/>
        <v>0</v>
      </c>
      <c r="AG2238" s="276">
        <f t="shared" si="236"/>
        <v>0</v>
      </c>
      <c r="AH2238" s="276">
        <f t="shared" si="237"/>
        <v>0</v>
      </c>
      <c r="AI2238" s="283" t="e">
        <f t="shared" si="238"/>
        <v>#DIV/0!</v>
      </c>
    </row>
    <row r="2239" spans="1:35" ht="30" x14ac:dyDescent="0.25">
      <c r="A2239" s="275">
        <f>'Profits 2016'!A7455</f>
        <v>3005858</v>
      </c>
      <c r="B2239" s="279">
        <f>'Profits 2016'!B7455</f>
        <v>42705</v>
      </c>
      <c r="C2239" s="276">
        <f>'Profits 2016'!H7455</f>
        <v>240</v>
      </c>
      <c r="D2239" s="280">
        <f>'Profits 2016'!K7455</f>
        <v>234.42</v>
      </c>
      <c r="E2239" s="276">
        <f>'Profits 2016'!L7455</f>
        <v>260</v>
      </c>
      <c r="F2239" s="275" t="str">
        <f>'Profits 2016'!P7455</f>
        <v>A-Z</v>
      </c>
      <c r="G2239" s="292">
        <f>'Profits 2016'!N7455-'Profits 2016'!M7455</f>
        <v>26</v>
      </c>
      <c r="H2239" s="331"/>
      <c r="I2239" s="332"/>
      <c r="J2239" s="333"/>
      <c r="K2239" s="333"/>
      <c r="L2239" s="333"/>
      <c r="M2239" s="331"/>
      <c r="N2239" s="334"/>
      <c r="O2239" s="236" t="str">
        <f>'Profits 2016'!T7455</f>
        <v>FEDEX GROUND</v>
      </c>
      <c r="P2239" s="284" t="str">
        <f>'Profits 2016'!U7455</f>
        <v>715590529990</v>
      </c>
      <c r="AF2239" s="276">
        <f t="shared" si="235"/>
        <v>26</v>
      </c>
      <c r="AG2239" s="276">
        <f t="shared" si="236"/>
        <v>0</v>
      </c>
      <c r="AH2239" s="276">
        <f t="shared" si="237"/>
        <v>234.42</v>
      </c>
      <c r="AI2239" s="283">
        <f t="shared" si="238"/>
        <v>9.0161538461538449</v>
      </c>
    </row>
    <row r="2240" spans="1:35" x14ac:dyDescent="0.25">
      <c r="A2240" s="275">
        <f>'Profits 2016'!A7456</f>
        <v>0</v>
      </c>
      <c r="B2240" s="279">
        <f>'Profits 2016'!B7456</f>
        <v>0</v>
      </c>
      <c r="C2240" s="276">
        <f>'Profits 2016'!H7456</f>
        <v>0</v>
      </c>
      <c r="D2240" s="280">
        <f>'Profits 2016'!K7456</f>
        <v>0</v>
      </c>
      <c r="E2240" s="276">
        <f>'Profits 2016'!L7456</f>
        <v>260</v>
      </c>
      <c r="F2240" s="275" t="str">
        <f>'Profits 2016'!P7456</f>
        <v>A-Z</v>
      </c>
      <c r="G2240" s="292">
        <f>'Profits 2016'!N7456-'Profits 2016'!M7456</f>
        <v>26</v>
      </c>
      <c r="H2240" s="331"/>
      <c r="I2240" s="332"/>
      <c r="J2240" s="333"/>
      <c r="K2240" s="333"/>
      <c r="L2240" s="333"/>
      <c r="M2240" s="331"/>
      <c r="N2240" s="334"/>
      <c r="O2240" s="236">
        <f>'Profits 2016'!T7456</f>
        <v>0</v>
      </c>
      <c r="P2240" s="284">
        <f>'Profits 2016'!U7456</f>
        <v>0</v>
      </c>
      <c r="AF2240" s="276">
        <f t="shared" si="235"/>
        <v>26</v>
      </c>
      <c r="AG2240" s="276">
        <f t="shared" si="236"/>
        <v>0</v>
      </c>
      <c r="AH2240" s="276">
        <f t="shared" si="237"/>
        <v>0</v>
      </c>
      <c r="AI2240" s="283">
        <f t="shared" si="238"/>
        <v>0</v>
      </c>
    </row>
    <row r="2241" spans="1:35" x14ac:dyDescent="0.25">
      <c r="A2241" s="275">
        <f>'Profits 2016'!A7457</f>
        <v>0</v>
      </c>
      <c r="B2241" s="279">
        <f>'Profits 2016'!B7457</f>
        <v>0</v>
      </c>
      <c r="C2241" s="276">
        <f>'Profits 2016'!H7457</f>
        <v>0</v>
      </c>
      <c r="D2241" s="280">
        <f>'Profits 2016'!K7457</f>
        <v>0</v>
      </c>
      <c r="E2241" s="276">
        <f>'Profits 2016'!L7457</f>
        <v>260</v>
      </c>
      <c r="F2241" s="275" t="str">
        <f>'Profits 2016'!P7457</f>
        <v>A-Z</v>
      </c>
      <c r="G2241" s="292">
        <f>'Profits 2016'!N7457-'Profits 2016'!M7457</f>
        <v>26</v>
      </c>
      <c r="H2241" s="331"/>
      <c r="I2241" s="332"/>
      <c r="J2241" s="333"/>
      <c r="K2241" s="333"/>
      <c r="L2241" s="333"/>
      <c r="M2241" s="331"/>
      <c r="N2241" s="334"/>
      <c r="O2241" s="236">
        <f>'Profits 2016'!T7457</f>
        <v>0</v>
      </c>
      <c r="P2241" s="284">
        <f>'Profits 2016'!U7457</f>
        <v>0</v>
      </c>
      <c r="AF2241" s="276">
        <f t="shared" si="235"/>
        <v>26</v>
      </c>
      <c r="AG2241" s="276">
        <f t="shared" si="236"/>
        <v>0</v>
      </c>
      <c r="AH2241" s="276">
        <f t="shared" si="237"/>
        <v>0</v>
      </c>
      <c r="AI2241" s="283">
        <f t="shared" si="238"/>
        <v>0</v>
      </c>
    </row>
    <row r="2242" spans="1:35" x14ac:dyDescent="0.25">
      <c r="A2242" s="275">
        <f>'Profits 2016'!A7458</f>
        <v>0</v>
      </c>
      <c r="B2242" s="279">
        <f>'Profits 2016'!B7458</f>
        <v>0</v>
      </c>
      <c r="C2242" s="276">
        <f>'Profits 2016'!H7458</f>
        <v>0</v>
      </c>
      <c r="D2242" s="280">
        <f>'Profits 2016'!K7458</f>
        <v>0</v>
      </c>
      <c r="E2242" s="276">
        <f>'Profits 2016'!L7458</f>
        <v>260</v>
      </c>
      <c r="F2242" s="275" t="str">
        <f>'Profits 2016'!P7458</f>
        <v>A-Z</v>
      </c>
      <c r="G2242" s="292">
        <f>'Profits 2016'!N7458-'Profits 2016'!M7458</f>
        <v>26</v>
      </c>
      <c r="H2242" s="331"/>
      <c r="I2242" s="332"/>
      <c r="J2242" s="333"/>
      <c r="K2242" s="333"/>
      <c r="L2242" s="333"/>
      <c r="M2242" s="331"/>
      <c r="N2242" s="334"/>
      <c r="O2242" s="236">
        <f>'Profits 2016'!T7458</f>
        <v>0</v>
      </c>
      <c r="P2242" s="284">
        <f>'Profits 2016'!U7458</f>
        <v>0</v>
      </c>
      <c r="AF2242" s="276">
        <f t="shared" si="235"/>
        <v>26</v>
      </c>
      <c r="AG2242" s="276">
        <f t="shared" si="236"/>
        <v>0</v>
      </c>
      <c r="AH2242" s="276">
        <f t="shared" si="237"/>
        <v>0</v>
      </c>
      <c r="AI2242" s="283">
        <f t="shared" si="238"/>
        <v>0</v>
      </c>
    </row>
    <row r="2243" spans="1:35" x14ac:dyDescent="0.25">
      <c r="A2243" s="275">
        <f>'Profits 2016'!A7459</f>
        <v>3005859</v>
      </c>
      <c r="B2243" s="279">
        <f>'Profits 2016'!B7459</f>
        <v>42705</v>
      </c>
      <c r="C2243" s="276">
        <f>'Profits 2016'!H7459</f>
        <v>197.86</v>
      </c>
      <c r="D2243" s="280">
        <f>'Profits 2016'!K7459</f>
        <v>168.18100000000001</v>
      </c>
      <c r="E2243" s="276">
        <f>'Profits 2016'!L7459</f>
        <v>0</v>
      </c>
      <c r="F2243" s="275">
        <f>'Profits 2016'!P7459</f>
        <v>0</v>
      </c>
      <c r="G2243" s="292">
        <f>'Profits 2016'!N7459-'Profits 2016'!M7459</f>
        <v>0</v>
      </c>
      <c r="H2243" s="331"/>
      <c r="I2243" s="332"/>
      <c r="J2243" s="333"/>
      <c r="K2243" s="333"/>
      <c r="L2243" s="333"/>
      <c r="M2243" s="331"/>
      <c r="N2243" s="334"/>
      <c r="O2243" s="236">
        <f>'Profits 2016'!T7459</f>
        <v>0</v>
      </c>
      <c r="P2243" s="284">
        <f>'Profits 2016'!U7459</f>
        <v>0</v>
      </c>
      <c r="AF2243" s="276">
        <f t="shared" si="235"/>
        <v>0</v>
      </c>
      <c r="AG2243" s="276">
        <f t="shared" si="236"/>
        <v>0</v>
      </c>
      <c r="AH2243" s="276">
        <f t="shared" si="237"/>
        <v>168.18100000000001</v>
      </c>
      <c r="AI2243" s="283" t="e">
        <f t="shared" si="238"/>
        <v>#DIV/0!</v>
      </c>
    </row>
    <row r="2244" spans="1:35" x14ac:dyDescent="0.25">
      <c r="A2244" s="275">
        <f>'Profits 2016'!A7460</f>
        <v>3005860</v>
      </c>
      <c r="B2244" s="279">
        <f>'Profits 2016'!B7460</f>
        <v>42705</v>
      </c>
      <c r="C2244" s="276">
        <f>'Profits 2016'!H7460</f>
        <v>535</v>
      </c>
      <c r="D2244" s="280">
        <f>'Profits 2016'!K7460</f>
        <v>522.92999999999995</v>
      </c>
      <c r="E2244" s="276">
        <f>'Profits 2016'!L7460</f>
        <v>300</v>
      </c>
      <c r="F2244" s="275" t="str">
        <f>'Profits 2016'!P7460</f>
        <v>Nassau</v>
      </c>
      <c r="G2244" s="292">
        <f>'Profits 2016'!N7460-'Profits 2016'!M7460</f>
        <v>300</v>
      </c>
      <c r="H2244" s="331"/>
      <c r="I2244" s="332"/>
      <c r="J2244" s="333"/>
      <c r="K2244" s="333"/>
      <c r="L2244" s="333"/>
      <c r="M2244" s="331"/>
      <c r="N2244" s="334"/>
      <c r="O2244" s="236">
        <f>'Profits 2016'!T7460</f>
        <v>0</v>
      </c>
      <c r="P2244" s="284">
        <f>'Profits 2016'!U7460</f>
        <v>0</v>
      </c>
      <c r="AF2244" s="276">
        <f t="shared" si="235"/>
        <v>300</v>
      </c>
      <c r="AG2244" s="276">
        <f t="shared" si="236"/>
        <v>0</v>
      </c>
      <c r="AH2244" s="276">
        <f t="shared" si="237"/>
        <v>522.92999999999995</v>
      </c>
      <c r="AI2244" s="283">
        <f t="shared" si="238"/>
        <v>1.7430999999999999</v>
      </c>
    </row>
    <row r="2245" spans="1:35" x14ac:dyDescent="0.25">
      <c r="A2245" s="275">
        <f>'Profits 2016'!A7461</f>
        <v>3005861</v>
      </c>
      <c r="B2245" s="279">
        <f>'Profits 2016'!B7461</f>
        <v>42705</v>
      </c>
      <c r="C2245" s="276">
        <f>'Profits 2016'!H7461</f>
        <v>5885</v>
      </c>
      <c r="D2245" s="280">
        <f>'Profits 2016'!K7461</f>
        <v>5885</v>
      </c>
      <c r="E2245" s="276">
        <f>'Profits 2016'!L7461</f>
        <v>824</v>
      </c>
      <c r="F2245" s="275" t="str">
        <f>'Profits 2016'!P7461</f>
        <v>Kris-Tech</v>
      </c>
      <c r="G2245" s="292">
        <f>'Profits 2016'!N7461-'Profits 2016'!M7461</f>
        <v>4408.4000000000005</v>
      </c>
      <c r="H2245" s="331"/>
      <c r="I2245" s="332"/>
      <c r="J2245" s="333"/>
      <c r="K2245" s="333"/>
      <c r="L2245" s="333"/>
      <c r="M2245" s="331"/>
      <c r="N2245" s="334"/>
      <c r="O2245" s="236">
        <f>'Profits 2016'!T7461</f>
        <v>0</v>
      </c>
      <c r="P2245" s="284">
        <f>'Profits 2016'!U7461</f>
        <v>0</v>
      </c>
      <c r="AF2245" s="276">
        <f t="shared" si="235"/>
        <v>4408.4000000000005</v>
      </c>
      <c r="AG2245" s="276">
        <f t="shared" si="236"/>
        <v>0</v>
      </c>
      <c r="AH2245" s="276">
        <f t="shared" si="237"/>
        <v>5885</v>
      </c>
      <c r="AI2245" s="283">
        <f t="shared" si="238"/>
        <v>1.3349514563106795</v>
      </c>
    </row>
    <row r="2246" spans="1:35" x14ac:dyDescent="0.25">
      <c r="A2246" s="275">
        <f>'Profits 2016'!A7462</f>
        <v>3005862</v>
      </c>
      <c r="B2246" s="279">
        <f>'Profits 2016'!B7462</f>
        <v>42705</v>
      </c>
      <c r="C2246" s="276">
        <f>'Profits 2016'!H7462</f>
        <v>868</v>
      </c>
      <c r="D2246" s="280">
        <f>'Profits 2016'!K7462</f>
        <v>868</v>
      </c>
      <c r="E2246" s="276">
        <f>'Profits 2016'!L7462</f>
        <v>4250</v>
      </c>
      <c r="F2246" s="275" t="str">
        <f>'Profits 2016'!P7462</f>
        <v>Nassau</v>
      </c>
      <c r="G2246" s="292">
        <f>'Profits 2016'!N7462-'Profits 2016'!M7462</f>
        <v>658.75</v>
      </c>
      <c r="H2246" s="331"/>
      <c r="I2246" s="332"/>
      <c r="J2246" s="333"/>
      <c r="K2246" s="333"/>
      <c r="L2246" s="333"/>
      <c r="M2246" s="331"/>
      <c r="N2246" s="334"/>
      <c r="O2246" s="236">
        <f>'Profits 2016'!T7462</f>
        <v>0</v>
      </c>
      <c r="P2246" s="284">
        <f>'Profits 2016'!U7462</f>
        <v>0</v>
      </c>
      <c r="AF2246" s="276">
        <f t="shared" si="235"/>
        <v>658.75</v>
      </c>
      <c r="AG2246" s="276">
        <f t="shared" si="236"/>
        <v>0</v>
      </c>
      <c r="AH2246" s="276">
        <f t="shared" si="237"/>
        <v>868</v>
      </c>
      <c r="AI2246" s="283">
        <f t="shared" si="238"/>
        <v>1.3176470588235294</v>
      </c>
    </row>
    <row r="2247" spans="1:35" x14ac:dyDescent="0.25">
      <c r="A2247" s="275">
        <f>'Profits 2016'!A7463</f>
        <v>3005863</v>
      </c>
      <c r="B2247" s="279">
        <f>'Profits 2016'!B7463</f>
        <v>42705</v>
      </c>
      <c r="C2247" s="276">
        <f>'Profits 2016'!H7463</f>
        <v>1063.27</v>
      </c>
      <c r="D2247" s="280">
        <f>'Profits 2016'!K7463</f>
        <v>1028.4137249999999</v>
      </c>
      <c r="E2247" s="276">
        <f>'Profits 2016'!L7463</f>
        <v>307</v>
      </c>
      <c r="F2247" s="275" t="str">
        <f>'Profits 2016'!P7463</f>
        <v xml:space="preserve">General </v>
      </c>
      <c r="G2247" s="292">
        <f>'Profits 2016'!N7463-'Profits 2016'!M7463</f>
        <v>614</v>
      </c>
      <c r="H2247" s="331"/>
      <c r="I2247" s="332"/>
      <c r="J2247" s="333"/>
      <c r="K2247" s="333"/>
      <c r="L2247" s="333"/>
      <c r="M2247" s="331"/>
      <c r="N2247" s="334"/>
      <c r="O2247" s="236">
        <f>'Profits 2016'!T7463</f>
        <v>0</v>
      </c>
      <c r="P2247" s="284">
        <f>'Profits 2016'!U7463</f>
        <v>0</v>
      </c>
      <c r="AF2247" s="276">
        <f t="shared" si="235"/>
        <v>614</v>
      </c>
      <c r="AG2247" s="276">
        <f t="shared" si="236"/>
        <v>0</v>
      </c>
      <c r="AH2247" s="276">
        <f t="shared" si="237"/>
        <v>1028.4137249999999</v>
      </c>
      <c r="AI2247" s="283">
        <f t="shared" si="238"/>
        <v>1.6749409201954395</v>
      </c>
    </row>
    <row r="2248" spans="1:35" x14ac:dyDescent="0.25">
      <c r="A2248" s="275">
        <f>'Profits 2016'!A7464</f>
        <v>3005864</v>
      </c>
      <c r="B2248" s="279">
        <f>'Profits 2016'!B7464</f>
        <v>42705</v>
      </c>
      <c r="C2248" s="276">
        <f>'Profits 2016'!H7464</f>
        <v>560</v>
      </c>
      <c r="D2248" s="280">
        <f>'Profits 2016'!K7464</f>
        <v>547.38</v>
      </c>
      <c r="E2248" s="276">
        <f>'Profits 2016'!L7464</f>
        <v>395</v>
      </c>
      <c r="F2248" s="275" t="str">
        <f>'Profits 2016'!P7464</f>
        <v>Nassau</v>
      </c>
      <c r="G2248" s="292">
        <f>'Profits 2016'!N7464-'Profits 2016'!M7464</f>
        <v>118.5</v>
      </c>
      <c r="H2248" s="331"/>
      <c r="I2248" s="332"/>
      <c r="J2248" s="333"/>
      <c r="K2248" s="333"/>
      <c r="L2248" s="333"/>
      <c r="M2248" s="331"/>
      <c r="N2248" s="334"/>
      <c r="O2248" s="236">
        <f>'Profits 2016'!T7464</f>
        <v>0</v>
      </c>
      <c r="P2248" s="284">
        <f>'Profits 2016'!U7464</f>
        <v>0</v>
      </c>
      <c r="AF2248" s="276">
        <f t="shared" si="235"/>
        <v>118.5</v>
      </c>
      <c r="AG2248" s="276">
        <f t="shared" si="236"/>
        <v>0</v>
      </c>
      <c r="AH2248" s="276">
        <f t="shared" si="237"/>
        <v>547.38</v>
      </c>
      <c r="AI2248" s="283">
        <f t="shared" si="238"/>
        <v>4.6192405063291142</v>
      </c>
    </row>
    <row r="2249" spans="1:35" x14ac:dyDescent="0.25">
      <c r="A2249" s="275">
        <f>'Profits 2016'!A7465</f>
        <v>0</v>
      </c>
      <c r="B2249" s="279">
        <f>'Profits 2016'!B7465</f>
        <v>0</v>
      </c>
      <c r="C2249" s="276">
        <f>'Profits 2016'!H7465</f>
        <v>0</v>
      </c>
      <c r="D2249" s="280">
        <f>'Profits 2016'!K7465</f>
        <v>0</v>
      </c>
      <c r="E2249" s="276">
        <f>'Profits 2016'!L7465</f>
        <v>642.99</v>
      </c>
      <c r="F2249" s="275" t="str">
        <f>'Profits 2016'!P7465</f>
        <v>Nassau</v>
      </c>
      <c r="G2249" s="292">
        <f>'Profits 2016'!N7465-'Profits 2016'!M7465</f>
        <v>192.89699999999999</v>
      </c>
      <c r="H2249" s="331"/>
      <c r="I2249" s="332"/>
      <c r="J2249" s="333"/>
      <c r="K2249" s="333"/>
      <c r="L2249" s="333"/>
      <c r="M2249" s="331"/>
      <c r="N2249" s="334"/>
      <c r="O2249" s="236">
        <f>'Profits 2016'!T7465</f>
        <v>0</v>
      </c>
      <c r="P2249" s="284">
        <f>'Profits 2016'!U7465</f>
        <v>0</v>
      </c>
      <c r="AF2249" s="276">
        <f t="shared" si="235"/>
        <v>192.89699999999999</v>
      </c>
      <c r="AG2249" s="276">
        <f t="shared" si="236"/>
        <v>0</v>
      </c>
      <c r="AH2249" s="276">
        <f t="shared" si="237"/>
        <v>0</v>
      </c>
      <c r="AI2249" s="283">
        <f t="shared" si="238"/>
        <v>0</v>
      </c>
    </row>
    <row r="2250" spans="1:35" x14ac:dyDescent="0.25">
      <c r="A2250" s="275">
        <f>'Profits 2016'!A7466</f>
        <v>0</v>
      </c>
      <c r="B2250" s="279">
        <f>'Profits 2016'!B7466</f>
        <v>0</v>
      </c>
      <c r="C2250" s="276">
        <f>'Profits 2016'!H7466</f>
        <v>0</v>
      </c>
      <c r="D2250" s="280">
        <f>'Profits 2016'!K7466</f>
        <v>0</v>
      </c>
      <c r="E2250" s="276">
        <f>'Profits 2016'!L7466</f>
        <v>0</v>
      </c>
      <c r="F2250" s="275">
        <f>'Profits 2016'!P7466</f>
        <v>0</v>
      </c>
      <c r="G2250" s="292">
        <f>'Profits 2016'!N7466-'Profits 2016'!M7466</f>
        <v>0</v>
      </c>
      <c r="H2250" s="331"/>
      <c r="I2250" s="332"/>
      <c r="J2250" s="333"/>
      <c r="K2250" s="333"/>
      <c r="L2250" s="333"/>
      <c r="M2250" s="331"/>
      <c r="N2250" s="334"/>
      <c r="O2250" s="236">
        <f>'Profits 2016'!T7466</f>
        <v>0</v>
      </c>
      <c r="P2250" s="284">
        <f>'Profits 2016'!U7466</f>
        <v>0</v>
      </c>
      <c r="AF2250" s="276">
        <f t="shared" si="235"/>
        <v>0</v>
      </c>
      <c r="AG2250" s="276">
        <f t="shared" si="236"/>
        <v>0</v>
      </c>
      <c r="AH2250" s="276">
        <f t="shared" si="237"/>
        <v>0</v>
      </c>
      <c r="AI2250" s="283" t="e">
        <f t="shared" si="238"/>
        <v>#DIV/0!</v>
      </c>
    </row>
    <row r="2251" spans="1:35" x14ac:dyDescent="0.25">
      <c r="A2251" s="275">
        <f>'Profits 2016'!A7467</f>
        <v>0</v>
      </c>
      <c r="B2251" s="279">
        <f>'Profits 2016'!B7467</f>
        <v>0</v>
      </c>
      <c r="C2251" s="276">
        <f>'Profits 2016'!H7467</f>
        <v>0</v>
      </c>
      <c r="D2251" s="280">
        <f>'Profits 2016'!K7467</f>
        <v>0</v>
      </c>
      <c r="E2251" s="276">
        <f>'Profits 2016'!L7467</f>
        <v>0</v>
      </c>
      <c r="F2251" s="275">
        <f>'Profits 2016'!P7467</f>
        <v>0</v>
      </c>
      <c r="G2251" s="292">
        <f>'Profits 2016'!N7467-'Profits 2016'!M7467</f>
        <v>0</v>
      </c>
      <c r="H2251" s="331"/>
      <c r="I2251" s="332"/>
      <c r="J2251" s="333"/>
      <c r="K2251" s="333"/>
      <c r="L2251" s="333"/>
      <c r="M2251" s="331"/>
      <c r="N2251" s="334"/>
      <c r="O2251" s="236">
        <f>'Profits 2016'!T7467</f>
        <v>0</v>
      </c>
      <c r="P2251" s="284">
        <f>'Profits 2016'!U7467</f>
        <v>0</v>
      </c>
      <c r="AF2251" s="276">
        <f t="shared" si="235"/>
        <v>0</v>
      </c>
      <c r="AG2251" s="276">
        <f t="shared" si="236"/>
        <v>0</v>
      </c>
      <c r="AH2251" s="276">
        <f t="shared" si="237"/>
        <v>0</v>
      </c>
      <c r="AI2251" s="283" t="e">
        <f t="shared" si="238"/>
        <v>#DIV/0!</v>
      </c>
    </row>
    <row r="2252" spans="1:35" x14ac:dyDescent="0.25">
      <c r="A2252" s="275">
        <f>'Profits 2016'!A7468</f>
        <v>0</v>
      </c>
      <c r="B2252" s="279">
        <f>'Profits 2016'!B7468</f>
        <v>0</v>
      </c>
      <c r="C2252" s="276">
        <f>'Profits 2016'!H7468</f>
        <v>0</v>
      </c>
      <c r="D2252" s="280">
        <f>'Profits 2016'!K7468</f>
        <v>0</v>
      </c>
      <c r="E2252" s="276">
        <f>'Profits 2016'!L7468</f>
        <v>0</v>
      </c>
      <c r="F2252" s="275">
        <f>'Profits 2016'!P7468</f>
        <v>0</v>
      </c>
      <c r="G2252" s="292">
        <f>'Profits 2016'!N7468-'Profits 2016'!M7468</f>
        <v>0</v>
      </c>
      <c r="H2252" s="331"/>
      <c r="I2252" s="332"/>
      <c r="J2252" s="333"/>
      <c r="K2252" s="333"/>
      <c r="L2252" s="333"/>
      <c r="M2252" s="331"/>
      <c r="N2252" s="334"/>
      <c r="O2252" s="236">
        <f>'Profits 2016'!T7468</f>
        <v>0</v>
      </c>
      <c r="P2252" s="284">
        <f>'Profits 2016'!U7468</f>
        <v>0</v>
      </c>
      <c r="AF2252" s="276">
        <f t="shared" si="235"/>
        <v>0</v>
      </c>
      <c r="AG2252" s="276">
        <f t="shared" si="236"/>
        <v>0</v>
      </c>
      <c r="AH2252" s="276">
        <f t="shared" si="237"/>
        <v>0</v>
      </c>
      <c r="AI2252" s="283" t="e">
        <f t="shared" si="238"/>
        <v>#DIV/0!</v>
      </c>
    </row>
    <row r="2253" spans="1:35" x14ac:dyDescent="0.25">
      <c r="A2253" s="275">
        <f>'Profits 2016'!A7469</f>
        <v>0</v>
      </c>
      <c r="B2253" s="279">
        <f>'Profits 2016'!B7469</f>
        <v>0</v>
      </c>
      <c r="C2253" s="276">
        <f>'Profits 2016'!H7469</f>
        <v>0</v>
      </c>
      <c r="D2253" s="280">
        <f>'Profits 2016'!K7469</f>
        <v>0</v>
      </c>
      <c r="E2253" s="276">
        <f>'Profits 2016'!L7469</f>
        <v>0</v>
      </c>
      <c r="F2253" s="275">
        <f>'Profits 2016'!P7469</f>
        <v>0</v>
      </c>
      <c r="G2253" s="292">
        <f>'Profits 2016'!N7469-'Profits 2016'!M7469</f>
        <v>0</v>
      </c>
      <c r="H2253" s="331"/>
      <c r="I2253" s="332"/>
      <c r="J2253" s="333"/>
      <c r="K2253" s="333"/>
      <c r="L2253" s="333"/>
      <c r="M2253" s="331"/>
      <c r="N2253" s="334"/>
      <c r="O2253" s="236">
        <f>'Profits 2016'!T7469</f>
        <v>0</v>
      </c>
      <c r="P2253" s="284">
        <f>'Profits 2016'!U7469</f>
        <v>0</v>
      </c>
      <c r="AF2253" s="276">
        <f t="shared" si="235"/>
        <v>0</v>
      </c>
      <c r="AG2253" s="276">
        <f t="shared" si="236"/>
        <v>0</v>
      </c>
      <c r="AH2253" s="276">
        <f t="shared" si="237"/>
        <v>0</v>
      </c>
      <c r="AI2253" s="283" t="e">
        <f t="shared" si="238"/>
        <v>#DIV/0!</v>
      </c>
    </row>
    <row r="2254" spans="1:35" x14ac:dyDescent="0.25">
      <c r="A2254" s="275">
        <f>'Profits 2016'!A7470</f>
        <v>0</v>
      </c>
      <c r="B2254" s="279">
        <f>'Profits 2016'!B7470</f>
        <v>0</v>
      </c>
      <c r="C2254" s="276">
        <f>'Profits 2016'!H7470</f>
        <v>0</v>
      </c>
      <c r="D2254" s="280">
        <f>'Profits 2016'!K7470</f>
        <v>0</v>
      </c>
      <c r="E2254" s="276">
        <f>'Profits 2016'!L7470</f>
        <v>0</v>
      </c>
      <c r="F2254" s="275">
        <f>'Profits 2016'!P7470</f>
        <v>0</v>
      </c>
      <c r="G2254" s="292">
        <f>'Profits 2016'!N7470-'Profits 2016'!M7470</f>
        <v>0</v>
      </c>
      <c r="H2254" s="331"/>
      <c r="I2254" s="332"/>
      <c r="J2254" s="333"/>
      <c r="K2254" s="333"/>
      <c r="L2254" s="333"/>
      <c r="M2254" s="331"/>
      <c r="N2254" s="334"/>
      <c r="O2254" s="236">
        <f>'Profits 2016'!T7470</f>
        <v>0</v>
      </c>
      <c r="P2254" s="284">
        <f>'Profits 2016'!U7470</f>
        <v>0</v>
      </c>
      <c r="AF2254" s="276">
        <f t="shared" si="235"/>
        <v>0</v>
      </c>
      <c r="AG2254" s="276">
        <f t="shared" si="236"/>
        <v>0</v>
      </c>
      <c r="AH2254" s="276">
        <f t="shared" si="237"/>
        <v>0</v>
      </c>
      <c r="AI2254" s="283" t="e">
        <f t="shared" si="238"/>
        <v>#DIV/0!</v>
      </c>
    </row>
    <row r="2255" spans="1:35" x14ac:dyDescent="0.25">
      <c r="A2255" s="275">
        <f>'Profits 2016'!A7471</f>
        <v>0</v>
      </c>
      <c r="B2255" s="279">
        <f>'Profits 2016'!B7471</f>
        <v>0</v>
      </c>
      <c r="C2255" s="276">
        <f>'Profits 2016'!H7471</f>
        <v>0</v>
      </c>
      <c r="D2255" s="280">
        <f>'Profits 2016'!K7471</f>
        <v>0</v>
      </c>
      <c r="E2255" s="276">
        <f>'Profits 2016'!L7471</f>
        <v>0</v>
      </c>
      <c r="F2255" s="275">
        <f>'Profits 2016'!P7471</f>
        <v>0</v>
      </c>
      <c r="G2255" s="292">
        <f>'Profits 2016'!N7471-'Profits 2016'!M7471</f>
        <v>0</v>
      </c>
      <c r="H2255" s="331"/>
      <c r="I2255" s="332"/>
      <c r="J2255" s="333"/>
      <c r="K2255" s="333"/>
      <c r="L2255" s="333"/>
      <c r="M2255" s="331"/>
      <c r="N2255" s="334"/>
      <c r="O2255" s="236">
        <f>'Profits 2016'!T7471</f>
        <v>0</v>
      </c>
      <c r="P2255" s="284">
        <f>'Profits 2016'!U7471</f>
        <v>0</v>
      </c>
      <c r="AF2255" s="276">
        <f t="shared" si="235"/>
        <v>0</v>
      </c>
      <c r="AG2255" s="276">
        <f t="shared" si="236"/>
        <v>0</v>
      </c>
      <c r="AH2255" s="276">
        <f t="shared" si="237"/>
        <v>0</v>
      </c>
      <c r="AI2255" s="283" t="e">
        <f t="shared" si="238"/>
        <v>#DIV/0!</v>
      </c>
    </row>
    <row r="2256" spans="1:35" x14ac:dyDescent="0.25">
      <c r="A2256" s="275">
        <f>'Profits 2016'!A7472</f>
        <v>0</v>
      </c>
      <c r="B2256" s="279">
        <f>'Profits 2016'!B7472</f>
        <v>0</v>
      </c>
      <c r="C2256" s="276">
        <f>'Profits 2016'!H7472</f>
        <v>0</v>
      </c>
      <c r="D2256" s="280">
        <f>'Profits 2016'!K7472</f>
        <v>0</v>
      </c>
      <c r="E2256" s="276">
        <f>'Profits 2016'!L7472</f>
        <v>0</v>
      </c>
      <c r="F2256" s="275">
        <f>'Profits 2016'!P7472</f>
        <v>0</v>
      </c>
      <c r="G2256" s="292">
        <f>'Profits 2016'!N7472-'Profits 2016'!M7472</f>
        <v>0</v>
      </c>
      <c r="H2256" s="331"/>
      <c r="I2256" s="332"/>
      <c r="J2256" s="333"/>
      <c r="K2256" s="333"/>
      <c r="L2256" s="333"/>
      <c r="M2256" s="331"/>
      <c r="N2256" s="334"/>
      <c r="O2256" s="236">
        <f>'Profits 2016'!T7472</f>
        <v>0</v>
      </c>
      <c r="P2256" s="284">
        <f>'Profits 2016'!U7472</f>
        <v>0</v>
      </c>
      <c r="AF2256" s="276">
        <f t="shared" si="235"/>
        <v>0</v>
      </c>
      <c r="AG2256" s="276">
        <f t="shared" si="236"/>
        <v>0</v>
      </c>
      <c r="AH2256" s="276">
        <f t="shared" si="237"/>
        <v>0</v>
      </c>
      <c r="AI2256" s="283" t="e">
        <f t="shared" si="238"/>
        <v>#DIV/0!</v>
      </c>
    </row>
    <row r="2257" spans="1:35" x14ac:dyDescent="0.25">
      <c r="A2257" s="275">
        <f>'Profits 2016'!A7473</f>
        <v>0</v>
      </c>
      <c r="B2257" s="279">
        <f>'Profits 2016'!B7473</f>
        <v>0</v>
      </c>
      <c r="C2257" s="276">
        <f>'Profits 2016'!H7473</f>
        <v>0</v>
      </c>
      <c r="D2257" s="280">
        <f>'Profits 2016'!K7473</f>
        <v>0</v>
      </c>
      <c r="E2257" s="276">
        <f>'Profits 2016'!L7473</f>
        <v>0</v>
      </c>
      <c r="F2257" s="275">
        <f>'Profits 2016'!P7473</f>
        <v>0</v>
      </c>
      <c r="G2257" s="292">
        <f>'Profits 2016'!N7473-'Profits 2016'!M7473</f>
        <v>0</v>
      </c>
      <c r="H2257" s="331"/>
      <c r="I2257" s="332"/>
      <c r="J2257" s="333"/>
      <c r="K2257" s="333"/>
      <c r="L2257" s="333"/>
      <c r="M2257" s="331"/>
      <c r="N2257" s="334"/>
      <c r="O2257" s="236">
        <f>'Profits 2016'!T7473</f>
        <v>0</v>
      </c>
      <c r="P2257" s="284">
        <f>'Profits 2016'!U7473</f>
        <v>0</v>
      </c>
      <c r="AF2257" s="276">
        <f t="shared" si="235"/>
        <v>0</v>
      </c>
      <c r="AG2257" s="276">
        <f t="shared" si="236"/>
        <v>0</v>
      </c>
      <c r="AH2257" s="276">
        <f t="shared" si="237"/>
        <v>0</v>
      </c>
      <c r="AI2257" s="283" t="e">
        <f t="shared" si="238"/>
        <v>#DIV/0!</v>
      </c>
    </row>
    <row r="2258" spans="1:35" x14ac:dyDescent="0.25">
      <c r="A2258" s="275">
        <f>'Profits 2016'!A7474</f>
        <v>0</v>
      </c>
      <c r="B2258" s="279">
        <f>'Profits 2016'!B7474</f>
        <v>0</v>
      </c>
      <c r="C2258" s="276">
        <f>'Profits 2016'!H7474</f>
        <v>0</v>
      </c>
      <c r="D2258" s="280">
        <f>'Profits 2016'!K7474</f>
        <v>0</v>
      </c>
      <c r="E2258" s="276">
        <f>'Profits 2016'!L7474</f>
        <v>0</v>
      </c>
      <c r="F2258" s="275">
        <f>'Profits 2016'!P7474</f>
        <v>0</v>
      </c>
      <c r="G2258" s="292">
        <f>'Profits 2016'!N7474-'Profits 2016'!M7474</f>
        <v>0</v>
      </c>
      <c r="H2258" s="331"/>
      <c r="I2258" s="332"/>
      <c r="J2258" s="333"/>
      <c r="K2258" s="333"/>
      <c r="L2258" s="333"/>
      <c r="M2258" s="331"/>
      <c r="N2258" s="334"/>
      <c r="O2258" s="236">
        <f>'Profits 2016'!T7474</f>
        <v>0</v>
      </c>
      <c r="P2258" s="284">
        <f>'Profits 2016'!U7474</f>
        <v>0</v>
      </c>
      <c r="AF2258" s="276">
        <f t="shared" si="235"/>
        <v>0</v>
      </c>
      <c r="AG2258" s="276">
        <f t="shared" si="236"/>
        <v>0</v>
      </c>
      <c r="AH2258" s="276">
        <f t="shared" si="237"/>
        <v>0</v>
      </c>
      <c r="AI2258" s="283" t="e">
        <f t="shared" si="238"/>
        <v>#DIV/0!</v>
      </c>
    </row>
    <row r="2259" spans="1:35" x14ac:dyDescent="0.25">
      <c r="A2259" s="275">
        <f>'Profits 2016'!A7475</f>
        <v>0</v>
      </c>
      <c r="B2259" s="279">
        <f>'Profits 2016'!B7475</f>
        <v>0</v>
      </c>
      <c r="C2259" s="276">
        <f>'Profits 2016'!H7475</f>
        <v>0</v>
      </c>
      <c r="D2259" s="280">
        <f>'Profits 2016'!K7475</f>
        <v>0</v>
      </c>
      <c r="E2259" s="276">
        <f>'Profits 2016'!L7475</f>
        <v>0</v>
      </c>
      <c r="F2259" s="275">
        <f>'Profits 2016'!P7475</f>
        <v>0</v>
      </c>
      <c r="G2259" s="292">
        <f>'Profits 2016'!N7475-'Profits 2016'!M7475</f>
        <v>0</v>
      </c>
      <c r="H2259" s="331"/>
      <c r="I2259" s="332"/>
      <c r="J2259" s="333"/>
      <c r="K2259" s="333"/>
      <c r="L2259" s="333"/>
      <c r="M2259" s="331"/>
      <c r="N2259" s="334"/>
      <c r="O2259" s="236">
        <f>'Profits 2016'!T7475</f>
        <v>0</v>
      </c>
      <c r="P2259" s="284">
        <f>'Profits 2016'!U7475</f>
        <v>0</v>
      </c>
      <c r="AF2259" s="276">
        <f t="shared" si="235"/>
        <v>0</v>
      </c>
      <c r="AG2259" s="276">
        <f t="shared" si="236"/>
        <v>0</v>
      </c>
      <c r="AH2259" s="276">
        <f t="shared" si="237"/>
        <v>0</v>
      </c>
      <c r="AI2259" s="283" t="e">
        <f t="shared" si="238"/>
        <v>#DIV/0!</v>
      </c>
    </row>
    <row r="2260" spans="1:35" x14ac:dyDescent="0.25">
      <c r="A2260" s="275">
        <f>'Profits 2016'!A7476</f>
        <v>0</v>
      </c>
      <c r="B2260" s="279">
        <f>'Profits 2016'!B7476</f>
        <v>0</v>
      </c>
      <c r="C2260" s="276">
        <f>'Profits 2016'!H7476</f>
        <v>0</v>
      </c>
      <c r="D2260" s="280">
        <f>'Profits 2016'!K7476</f>
        <v>0</v>
      </c>
      <c r="E2260" s="276">
        <f>'Profits 2016'!L7476</f>
        <v>0</v>
      </c>
      <c r="F2260" s="275">
        <f>'Profits 2016'!P7476</f>
        <v>0</v>
      </c>
      <c r="G2260" s="292">
        <f>'Profits 2016'!N7476-'Profits 2016'!M7476</f>
        <v>0</v>
      </c>
      <c r="H2260" s="331"/>
      <c r="I2260" s="332"/>
      <c r="J2260" s="333"/>
      <c r="K2260" s="333"/>
      <c r="L2260" s="333"/>
      <c r="M2260" s="331"/>
      <c r="N2260" s="334"/>
      <c r="O2260" s="236">
        <f>'Profits 2016'!T7476</f>
        <v>0</v>
      </c>
      <c r="P2260" s="284">
        <f>'Profits 2016'!U7476</f>
        <v>0</v>
      </c>
      <c r="AF2260" s="276">
        <f t="shared" si="235"/>
        <v>0</v>
      </c>
      <c r="AG2260" s="276">
        <f t="shared" si="236"/>
        <v>0</v>
      </c>
      <c r="AH2260" s="276">
        <f t="shared" si="237"/>
        <v>0</v>
      </c>
      <c r="AI2260" s="283" t="e">
        <f t="shared" si="238"/>
        <v>#DIV/0!</v>
      </c>
    </row>
    <row r="2261" spans="1:35" x14ac:dyDescent="0.25">
      <c r="A2261" s="275">
        <f>'Profits 2016'!A7477</f>
        <v>0</v>
      </c>
      <c r="B2261" s="279">
        <f>'Profits 2016'!B7477</f>
        <v>0</v>
      </c>
      <c r="C2261" s="276">
        <f>'Profits 2016'!H7477</f>
        <v>0</v>
      </c>
      <c r="D2261" s="280">
        <f>'Profits 2016'!K7477</f>
        <v>0</v>
      </c>
      <c r="E2261" s="276">
        <f>'Profits 2016'!L7477</f>
        <v>0</v>
      </c>
      <c r="F2261" s="275">
        <f>'Profits 2016'!P7477</f>
        <v>0</v>
      </c>
      <c r="G2261" s="292">
        <f>'Profits 2016'!N7477-'Profits 2016'!M7477</f>
        <v>0</v>
      </c>
      <c r="H2261" s="331"/>
      <c r="I2261" s="332"/>
      <c r="J2261" s="333"/>
      <c r="K2261" s="333"/>
      <c r="L2261" s="333"/>
      <c r="M2261" s="331"/>
      <c r="N2261" s="334"/>
      <c r="O2261" s="236">
        <f>'Profits 2016'!T7477</f>
        <v>0</v>
      </c>
      <c r="P2261" s="284">
        <f>'Profits 2016'!U7477</f>
        <v>0</v>
      </c>
      <c r="AF2261" s="276">
        <f t="shared" si="235"/>
        <v>0</v>
      </c>
      <c r="AG2261" s="276">
        <f t="shared" si="236"/>
        <v>0</v>
      </c>
      <c r="AH2261" s="276">
        <f t="shared" si="237"/>
        <v>0</v>
      </c>
      <c r="AI2261" s="283" t="e">
        <f t="shared" si="238"/>
        <v>#DIV/0!</v>
      </c>
    </row>
    <row r="2262" spans="1:35" x14ac:dyDescent="0.25">
      <c r="A2262" s="275">
        <f>'Profits 2016'!A7478</f>
        <v>0</v>
      </c>
      <c r="B2262" s="279">
        <f>'Profits 2016'!B7478</f>
        <v>0</v>
      </c>
      <c r="C2262" s="276">
        <f>'Profits 2016'!H7478</f>
        <v>0</v>
      </c>
      <c r="D2262" s="280">
        <f>'Profits 2016'!K7478</f>
        <v>0</v>
      </c>
      <c r="E2262" s="276">
        <f>'Profits 2016'!L7478</f>
        <v>0</v>
      </c>
      <c r="F2262" s="275">
        <f>'Profits 2016'!P7478</f>
        <v>0</v>
      </c>
      <c r="G2262" s="292">
        <f>'Profits 2016'!N7478-'Profits 2016'!M7478</f>
        <v>0</v>
      </c>
      <c r="H2262" s="331"/>
      <c r="I2262" s="332"/>
      <c r="J2262" s="333"/>
      <c r="K2262" s="333"/>
      <c r="L2262" s="333"/>
      <c r="M2262" s="331"/>
      <c r="N2262" s="334"/>
      <c r="O2262" s="236">
        <f>'Profits 2016'!T7478</f>
        <v>0</v>
      </c>
      <c r="P2262" s="284">
        <f>'Profits 2016'!U7478</f>
        <v>0</v>
      </c>
      <c r="AF2262" s="276">
        <f t="shared" si="235"/>
        <v>0</v>
      </c>
      <c r="AG2262" s="276">
        <f t="shared" si="236"/>
        <v>0</v>
      </c>
      <c r="AH2262" s="276">
        <f t="shared" si="237"/>
        <v>0</v>
      </c>
      <c r="AI2262" s="283" t="e">
        <f t="shared" si="238"/>
        <v>#DIV/0!</v>
      </c>
    </row>
    <row r="2263" spans="1:35" x14ac:dyDescent="0.25">
      <c r="A2263" s="275">
        <f>'Profits 2016'!A7479</f>
        <v>0</v>
      </c>
      <c r="B2263" s="279">
        <f>'Profits 2016'!B7479</f>
        <v>0</v>
      </c>
      <c r="C2263" s="276">
        <f>'Profits 2016'!H7479</f>
        <v>0</v>
      </c>
      <c r="D2263" s="280">
        <f>'Profits 2016'!K7479</f>
        <v>0</v>
      </c>
      <c r="E2263" s="276">
        <f>'Profits 2016'!L7479</f>
        <v>0</v>
      </c>
      <c r="F2263" s="275">
        <f>'Profits 2016'!P7479</f>
        <v>0</v>
      </c>
      <c r="G2263" s="292">
        <f>'Profits 2016'!N7479-'Profits 2016'!M7479</f>
        <v>0</v>
      </c>
      <c r="H2263" s="331"/>
      <c r="I2263" s="332"/>
      <c r="J2263" s="333"/>
      <c r="K2263" s="333"/>
      <c r="L2263" s="333"/>
      <c r="M2263" s="331"/>
      <c r="N2263" s="334"/>
      <c r="O2263" s="236">
        <f>'Profits 2016'!T7479</f>
        <v>0</v>
      </c>
      <c r="P2263" s="284">
        <f>'Profits 2016'!U7479</f>
        <v>0</v>
      </c>
      <c r="AF2263" s="276">
        <f t="shared" si="235"/>
        <v>0</v>
      </c>
      <c r="AG2263" s="276">
        <f t="shared" si="236"/>
        <v>0</v>
      </c>
      <c r="AH2263" s="276">
        <f t="shared" si="237"/>
        <v>0</v>
      </c>
      <c r="AI2263" s="283" t="e">
        <f t="shared" si="238"/>
        <v>#DIV/0!</v>
      </c>
    </row>
    <row r="2264" spans="1:35" x14ac:dyDescent="0.25">
      <c r="A2264" s="275">
        <f>'Profits 2016'!A7480</f>
        <v>0</v>
      </c>
      <c r="B2264" s="279">
        <f>'Profits 2016'!B7480</f>
        <v>0</v>
      </c>
      <c r="C2264" s="276">
        <f>'Profits 2016'!H7480</f>
        <v>0</v>
      </c>
      <c r="D2264" s="280">
        <f>'Profits 2016'!K7480</f>
        <v>0</v>
      </c>
      <c r="E2264" s="276">
        <f>'Profits 2016'!L7480</f>
        <v>0</v>
      </c>
      <c r="F2264" s="275">
        <f>'Profits 2016'!P7480</f>
        <v>0</v>
      </c>
      <c r="G2264" s="292">
        <f>'Profits 2016'!N7480-'Profits 2016'!M7480</f>
        <v>0</v>
      </c>
      <c r="H2264" s="331"/>
      <c r="I2264" s="332"/>
      <c r="J2264" s="333"/>
      <c r="K2264" s="333"/>
      <c r="L2264" s="333"/>
      <c r="M2264" s="331"/>
      <c r="N2264" s="334"/>
      <c r="O2264" s="236">
        <f>'Profits 2016'!T7480</f>
        <v>0</v>
      </c>
      <c r="P2264" s="284">
        <f>'Profits 2016'!U7480</f>
        <v>0</v>
      </c>
      <c r="AF2264" s="276">
        <f t="shared" si="235"/>
        <v>0</v>
      </c>
      <c r="AG2264" s="276">
        <f t="shared" si="236"/>
        <v>0</v>
      </c>
      <c r="AH2264" s="276">
        <f t="shared" si="237"/>
        <v>0</v>
      </c>
      <c r="AI2264" s="283" t="e">
        <f t="shared" si="238"/>
        <v>#DIV/0!</v>
      </c>
    </row>
    <row r="2265" spans="1:35" x14ac:dyDescent="0.25">
      <c r="A2265" s="275">
        <f>'Profits 2016'!A7481</f>
        <v>0</v>
      </c>
      <c r="B2265" s="279">
        <f>'Profits 2016'!B7481</f>
        <v>0</v>
      </c>
      <c r="C2265" s="276">
        <f>'Profits 2016'!H7481</f>
        <v>0</v>
      </c>
      <c r="D2265" s="280">
        <f>'Profits 2016'!K7481</f>
        <v>0</v>
      </c>
      <c r="E2265" s="276">
        <f>'Profits 2016'!L7481</f>
        <v>0</v>
      </c>
      <c r="F2265" s="275">
        <f>'Profits 2016'!P7481</f>
        <v>0</v>
      </c>
      <c r="G2265" s="292">
        <f>'Profits 2016'!N7481-'Profits 2016'!M7481</f>
        <v>0</v>
      </c>
      <c r="H2265" s="331"/>
      <c r="I2265" s="332"/>
      <c r="J2265" s="333"/>
      <c r="K2265" s="333"/>
      <c r="L2265" s="333"/>
      <c r="M2265" s="331"/>
      <c r="N2265" s="334"/>
      <c r="O2265" s="236">
        <f>'Profits 2016'!T7481</f>
        <v>0</v>
      </c>
      <c r="P2265" s="284">
        <f>'Profits 2016'!U7481</f>
        <v>0</v>
      </c>
      <c r="AF2265" s="276">
        <f t="shared" si="235"/>
        <v>0</v>
      </c>
      <c r="AG2265" s="276">
        <f t="shared" si="236"/>
        <v>0</v>
      </c>
      <c r="AH2265" s="276">
        <f t="shared" si="237"/>
        <v>0</v>
      </c>
      <c r="AI2265" s="283" t="e">
        <f t="shared" si="238"/>
        <v>#DIV/0!</v>
      </c>
    </row>
    <row r="2266" spans="1:35" x14ac:dyDescent="0.25">
      <c r="A2266" s="275">
        <f>'Profits 2016'!A7482</f>
        <v>0</v>
      </c>
      <c r="B2266" s="279">
        <f>'Profits 2016'!B7482</f>
        <v>0</v>
      </c>
      <c r="C2266" s="276">
        <f>'Profits 2016'!H7482</f>
        <v>0</v>
      </c>
      <c r="D2266" s="280">
        <f>'Profits 2016'!K7482</f>
        <v>0</v>
      </c>
      <c r="E2266" s="276">
        <f>'Profits 2016'!L7482</f>
        <v>0</v>
      </c>
      <c r="F2266" s="275">
        <f>'Profits 2016'!P7482</f>
        <v>0</v>
      </c>
      <c r="G2266" s="292">
        <f>'Profits 2016'!N7482-'Profits 2016'!M7482</f>
        <v>0</v>
      </c>
      <c r="H2266" s="331"/>
      <c r="I2266" s="332"/>
      <c r="J2266" s="333"/>
      <c r="K2266" s="333"/>
      <c r="L2266" s="333"/>
      <c r="M2266" s="331"/>
      <c r="N2266" s="334"/>
      <c r="O2266" s="236">
        <f>'Profits 2016'!T7482</f>
        <v>0</v>
      </c>
      <c r="P2266" s="284">
        <f>'Profits 2016'!U7482</f>
        <v>0</v>
      </c>
      <c r="AF2266" s="276">
        <f t="shared" si="235"/>
        <v>0</v>
      </c>
      <c r="AG2266" s="276">
        <f t="shared" si="236"/>
        <v>0</v>
      </c>
      <c r="AH2266" s="276">
        <f t="shared" si="237"/>
        <v>0</v>
      </c>
      <c r="AI2266" s="283" t="e">
        <f t="shared" si="238"/>
        <v>#DIV/0!</v>
      </c>
    </row>
    <row r="2267" spans="1:35" x14ac:dyDescent="0.25">
      <c r="A2267" s="275">
        <f>'Profits 2016'!A7483</f>
        <v>0</v>
      </c>
      <c r="B2267" s="279">
        <f>'Profits 2016'!B7483</f>
        <v>0</v>
      </c>
      <c r="C2267" s="276">
        <f>'Profits 2016'!H7483</f>
        <v>0</v>
      </c>
      <c r="D2267" s="280">
        <f>'Profits 2016'!K7483</f>
        <v>0</v>
      </c>
      <c r="E2267" s="276">
        <f>'Profits 2016'!L7483</f>
        <v>0</v>
      </c>
      <c r="F2267" s="275">
        <f>'Profits 2016'!P7483</f>
        <v>0</v>
      </c>
      <c r="G2267" s="292">
        <f>'Profits 2016'!N7483-'Profits 2016'!M7483</f>
        <v>0</v>
      </c>
      <c r="H2267" s="331"/>
      <c r="I2267" s="332"/>
      <c r="J2267" s="333"/>
      <c r="K2267" s="333"/>
      <c r="L2267" s="333"/>
      <c r="M2267" s="331"/>
      <c r="N2267" s="334"/>
      <c r="O2267" s="236">
        <f>'Profits 2016'!T7483</f>
        <v>0</v>
      </c>
      <c r="P2267" s="284">
        <f>'Profits 2016'!U7483</f>
        <v>0</v>
      </c>
      <c r="AF2267" s="276">
        <f t="shared" si="235"/>
        <v>0</v>
      </c>
      <c r="AG2267" s="276">
        <f t="shared" si="236"/>
        <v>0</v>
      </c>
      <c r="AH2267" s="276">
        <f t="shared" si="237"/>
        <v>0</v>
      </c>
      <c r="AI2267" s="283" t="e">
        <f t="shared" si="238"/>
        <v>#DIV/0!</v>
      </c>
    </row>
    <row r="2268" spans="1:35" x14ac:dyDescent="0.25">
      <c r="A2268" s="275">
        <f>'Profits 2016'!A7484</f>
        <v>0</v>
      </c>
      <c r="B2268" s="279">
        <f>'Profits 2016'!B7484</f>
        <v>0</v>
      </c>
      <c r="C2268" s="276">
        <f>'Profits 2016'!H7484</f>
        <v>0</v>
      </c>
      <c r="D2268" s="280">
        <f>'Profits 2016'!K7484</f>
        <v>0</v>
      </c>
      <c r="E2268" s="276">
        <f>'Profits 2016'!L7484</f>
        <v>0</v>
      </c>
      <c r="F2268" s="275">
        <f>'Profits 2016'!P7484</f>
        <v>0</v>
      </c>
      <c r="G2268" s="292">
        <f>'Profits 2016'!N7484-'Profits 2016'!M7484</f>
        <v>0</v>
      </c>
      <c r="H2268" s="331"/>
      <c r="I2268" s="332"/>
      <c r="J2268" s="333"/>
      <c r="K2268" s="333"/>
      <c r="L2268" s="333"/>
      <c r="M2268" s="331"/>
      <c r="N2268" s="334"/>
      <c r="O2268" s="236">
        <f>'Profits 2016'!T7484</f>
        <v>0</v>
      </c>
      <c r="P2268" s="284">
        <f>'Profits 2016'!U7484</f>
        <v>0</v>
      </c>
      <c r="AF2268" s="276">
        <f t="shared" si="235"/>
        <v>0</v>
      </c>
      <c r="AG2268" s="276">
        <f t="shared" si="236"/>
        <v>0</v>
      </c>
      <c r="AH2268" s="276">
        <f t="shared" si="237"/>
        <v>0</v>
      </c>
      <c r="AI2268" s="283" t="e">
        <f t="shared" si="238"/>
        <v>#DIV/0!</v>
      </c>
    </row>
    <row r="2269" spans="1:35" x14ac:dyDescent="0.25">
      <c r="A2269" s="275">
        <f>'Profits 2016'!A7485</f>
        <v>0</v>
      </c>
      <c r="B2269" s="279">
        <f>'Profits 2016'!B7485</f>
        <v>0</v>
      </c>
      <c r="C2269" s="276">
        <f>'Profits 2016'!H7485</f>
        <v>0</v>
      </c>
      <c r="D2269" s="280">
        <f>'Profits 2016'!K7485</f>
        <v>0</v>
      </c>
      <c r="E2269" s="276">
        <f>'Profits 2016'!L7485</f>
        <v>0</v>
      </c>
      <c r="F2269" s="275">
        <f>'Profits 2016'!P7485</f>
        <v>0</v>
      </c>
      <c r="G2269" s="292">
        <f>'Profits 2016'!N7485-'Profits 2016'!M7485</f>
        <v>0</v>
      </c>
      <c r="H2269" s="331"/>
      <c r="I2269" s="332"/>
      <c r="J2269" s="333"/>
      <c r="K2269" s="333"/>
      <c r="L2269" s="333"/>
      <c r="M2269" s="331"/>
      <c r="N2269" s="334"/>
      <c r="O2269" s="236">
        <f>'Profits 2016'!T7485</f>
        <v>0</v>
      </c>
      <c r="P2269" s="284">
        <f>'Profits 2016'!U7485</f>
        <v>0</v>
      </c>
      <c r="AF2269" s="276">
        <f t="shared" si="235"/>
        <v>0</v>
      </c>
      <c r="AG2269" s="276">
        <f t="shared" si="236"/>
        <v>0</v>
      </c>
      <c r="AH2269" s="276">
        <f t="shared" si="237"/>
        <v>0</v>
      </c>
      <c r="AI2269" s="283" t="e">
        <f t="shared" si="238"/>
        <v>#DIV/0!</v>
      </c>
    </row>
    <row r="2270" spans="1:35" x14ac:dyDescent="0.25">
      <c r="A2270" s="275">
        <f>'Profits 2016'!A7486</f>
        <v>0</v>
      </c>
      <c r="B2270" s="279">
        <f>'Profits 2016'!B7486</f>
        <v>0</v>
      </c>
      <c r="C2270" s="276">
        <f>'Profits 2016'!H7486</f>
        <v>0</v>
      </c>
      <c r="D2270" s="280">
        <f>'Profits 2016'!K7486</f>
        <v>0</v>
      </c>
      <c r="E2270" s="276">
        <f>'Profits 2016'!L7486</f>
        <v>0</v>
      </c>
      <c r="F2270" s="275">
        <f>'Profits 2016'!P7486</f>
        <v>0</v>
      </c>
      <c r="G2270" s="292">
        <f>'Profits 2016'!N7486-'Profits 2016'!M7486</f>
        <v>0</v>
      </c>
      <c r="H2270" s="331"/>
      <c r="I2270" s="332"/>
      <c r="J2270" s="333"/>
      <c r="K2270" s="333"/>
      <c r="L2270" s="333"/>
      <c r="M2270" s="331"/>
      <c r="N2270" s="334"/>
      <c r="O2270" s="236">
        <f>'Profits 2016'!T7486</f>
        <v>0</v>
      </c>
      <c r="P2270" s="284">
        <f>'Profits 2016'!U7486</f>
        <v>0</v>
      </c>
      <c r="AF2270" s="276">
        <f t="shared" si="235"/>
        <v>0</v>
      </c>
      <c r="AG2270" s="276">
        <f t="shared" si="236"/>
        <v>0</v>
      </c>
      <c r="AH2270" s="276">
        <f t="shared" si="237"/>
        <v>0</v>
      </c>
      <c r="AI2270" s="283" t="e">
        <f t="shared" si="238"/>
        <v>#DIV/0!</v>
      </c>
    </row>
    <row r="2271" spans="1:35" x14ac:dyDescent="0.25">
      <c r="A2271" s="275">
        <f>'Profits 2016'!A7487</f>
        <v>0</v>
      </c>
      <c r="B2271" s="279">
        <f>'Profits 2016'!B7487</f>
        <v>0</v>
      </c>
      <c r="C2271" s="276">
        <f>'Profits 2016'!H7487</f>
        <v>0</v>
      </c>
      <c r="D2271" s="280">
        <f>'Profits 2016'!K7487</f>
        <v>0</v>
      </c>
      <c r="E2271" s="276">
        <f>'Profits 2016'!L7487</f>
        <v>0</v>
      </c>
      <c r="F2271" s="275">
        <f>'Profits 2016'!P7487</f>
        <v>0</v>
      </c>
      <c r="G2271" s="292">
        <f>'Profits 2016'!N7487-'Profits 2016'!M7487</f>
        <v>0</v>
      </c>
      <c r="H2271" s="331"/>
      <c r="I2271" s="332"/>
      <c r="J2271" s="333"/>
      <c r="K2271" s="333"/>
      <c r="L2271" s="333"/>
      <c r="M2271" s="331"/>
      <c r="N2271" s="334"/>
      <c r="O2271" s="236">
        <f>'Profits 2016'!T7487</f>
        <v>0</v>
      </c>
      <c r="P2271" s="284">
        <f>'Profits 2016'!U7487</f>
        <v>0</v>
      </c>
      <c r="AF2271" s="276">
        <f t="shared" si="235"/>
        <v>0</v>
      </c>
      <c r="AG2271" s="276">
        <f t="shared" si="236"/>
        <v>0</v>
      </c>
      <c r="AH2271" s="276">
        <f t="shared" si="237"/>
        <v>0</v>
      </c>
      <c r="AI2271" s="283" t="e">
        <f t="shared" si="238"/>
        <v>#DIV/0!</v>
      </c>
    </row>
    <row r="2272" spans="1:35" x14ac:dyDescent="0.25">
      <c r="A2272" s="275">
        <f>'Profits 2016'!A7488</f>
        <v>0</v>
      </c>
      <c r="B2272" s="279">
        <f>'Profits 2016'!B7488</f>
        <v>0</v>
      </c>
      <c r="C2272" s="276">
        <f>'Profits 2016'!H7488</f>
        <v>0</v>
      </c>
      <c r="D2272" s="280">
        <f>'Profits 2016'!K7488</f>
        <v>0</v>
      </c>
      <c r="E2272" s="276">
        <f>'Profits 2016'!L7488</f>
        <v>0</v>
      </c>
      <c r="F2272" s="275">
        <f>'Profits 2016'!P7488</f>
        <v>0</v>
      </c>
      <c r="G2272" s="292">
        <f>'Profits 2016'!N7488-'Profits 2016'!M7488</f>
        <v>0</v>
      </c>
      <c r="H2272" s="331"/>
      <c r="I2272" s="332"/>
      <c r="J2272" s="333"/>
      <c r="K2272" s="333"/>
      <c r="L2272" s="333"/>
      <c r="M2272" s="331"/>
      <c r="N2272" s="334"/>
      <c r="O2272" s="236">
        <f>'Profits 2016'!T7488</f>
        <v>0</v>
      </c>
      <c r="P2272" s="284">
        <f>'Profits 2016'!U7488</f>
        <v>0</v>
      </c>
      <c r="AF2272" s="276">
        <f t="shared" si="235"/>
        <v>0</v>
      </c>
      <c r="AG2272" s="276">
        <f t="shared" si="236"/>
        <v>0</v>
      </c>
      <c r="AH2272" s="276">
        <f t="shared" si="237"/>
        <v>0</v>
      </c>
      <c r="AI2272" s="283" t="e">
        <f t="shared" si="238"/>
        <v>#DIV/0!</v>
      </c>
    </row>
    <row r="2273" spans="1:35" x14ac:dyDescent="0.25">
      <c r="A2273" s="275">
        <f>'Profits 2016'!A7489</f>
        <v>0</v>
      </c>
      <c r="B2273" s="279">
        <f>'Profits 2016'!B7489</f>
        <v>0</v>
      </c>
      <c r="C2273" s="276">
        <f>'Profits 2016'!H7489</f>
        <v>0</v>
      </c>
      <c r="D2273" s="280">
        <f>'Profits 2016'!K7489</f>
        <v>0</v>
      </c>
      <c r="E2273" s="276">
        <f>'Profits 2016'!L7489</f>
        <v>0</v>
      </c>
      <c r="F2273" s="275">
        <f>'Profits 2016'!P7489</f>
        <v>0</v>
      </c>
      <c r="G2273" s="292">
        <f>'Profits 2016'!N7489-'Profits 2016'!M7489</f>
        <v>0</v>
      </c>
      <c r="H2273" s="331"/>
      <c r="I2273" s="332"/>
      <c r="J2273" s="333"/>
      <c r="K2273" s="333"/>
      <c r="L2273" s="333"/>
      <c r="M2273" s="331"/>
      <c r="N2273" s="334"/>
      <c r="O2273" s="236">
        <f>'Profits 2016'!T7489</f>
        <v>0</v>
      </c>
      <c r="P2273" s="284">
        <f>'Profits 2016'!U7489</f>
        <v>0</v>
      </c>
      <c r="AF2273" s="276">
        <f t="shared" si="235"/>
        <v>0</v>
      </c>
      <c r="AG2273" s="276">
        <f t="shared" si="236"/>
        <v>0</v>
      </c>
      <c r="AH2273" s="276">
        <f t="shared" si="237"/>
        <v>0</v>
      </c>
      <c r="AI2273" s="283" t="e">
        <f t="shared" si="238"/>
        <v>#DIV/0!</v>
      </c>
    </row>
    <row r="2274" spans="1:35" x14ac:dyDescent="0.25">
      <c r="A2274" s="275">
        <f>'Profits 2016'!A7490</f>
        <v>0</v>
      </c>
      <c r="B2274" s="279">
        <f>'Profits 2016'!B7490</f>
        <v>0</v>
      </c>
      <c r="C2274" s="276">
        <f>'Profits 2016'!H7490</f>
        <v>0</v>
      </c>
      <c r="D2274" s="280">
        <f>'Profits 2016'!K7490</f>
        <v>0</v>
      </c>
      <c r="E2274" s="276">
        <f>'Profits 2016'!L7490</f>
        <v>0</v>
      </c>
      <c r="F2274" s="275">
        <f>'Profits 2016'!P7490</f>
        <v>0</v>
      </c>
      <c r="G2274" s="292">
        <f>'Profits 2016'!N7490-'Profits 2016'!M7490</f>
        <v>0</v>
      </c>
      <c r="H2274" s="331"/>
      <c r="I2274" s="332"/>
      <c r="J2274" s="333"/>
      <c r="K2274" s="333"/>
      <c r="L2274" s="333"/>
      <c r="M2274" s="331"/>
      <c r="N2274" s="334"/>
      <c r="O2274" s="236">
        <f>'Profits 2016'!T7490</f>
        <v>0</v>
      </c>
      <c r="P2274" s="284">
        <f>'Profits 2016'!U7490</f>
        <v>0</v>
      </c>
      <c r="AF2274" s="276">
        <f t="shared" si="235"/>
        <v>0</v>
      </c>
      <c r="AG2274" s="276">
        <f t="shared" si="236"/>
        <v>0</v>
      </c>
      <c r="AH2274" s="276">
        <f t="shared" si="237"/>
        <v>0</v>
      </c>
      <c r="AI2274" s="283" t="e">
        <f t="shared" si="238"/>
        <v>#DIV/0!</v>
      </c>
    </row>
    <row r="2275" spans="1:35" x14ac:dyDescent="0.25">
      <c r="A2275" s="275">
        <f>'Profits 2016'!A7491</f>
        <v>0</v>
      </c>
      <c r="B2275" s="279">
        <f>'Profits 2016'!B7491</f>
        <v>0</v>
      </c>
      <c r="C2275" s="276">
        <f>'Profits 2016'!H7491</f>
        <v>0</v>
      </c>
      <c r="D2275" s="280">
        <f>'Profits 2016'!K7491</f>
        <v>0</v>
      </c>
      <c r="E2275" s="276">
        <f>'Profits 2016'!L7491</f>
        <v>0</v>
      </c>
      <c r="F2275" s="275">
        <f>'Profits 2016'!P7491</f>
        <v>0</v>
      </c>
      <c r="G2275" s="292">
        <f>'Profits 2016'!N7491-'Profits 2016'!M7491</f>
        <v>0</v>
      </c>
      <c r="H2275" s="331"/>
      <c r="I2275" s="332"/>
      <c r="J2275" s="333"/>
      <c r="K2275" s="333"/>
      <c r="L2275" s="333"/>
      <c r="M2275" s="331"/>
      <c r="N2275" s="334"/>
      <c r="O2275" s="236">
        <f>'Profits 2016'!T7491</f>
        <v>0</v>
      </c>
      <c r="P2275" s="284">
        <f>'Profits 2016'!U7491</f>
        <v>0</v>
      </c>
      <c r="AF2275" s="276">
        <f t="shared" si="235"/>
        <v>0</v>
      </c>
      <c r="AG2275" s="276">
        <f t="shared" si="236"/>
        <v>0</v>
      </c>
      <c r="AH2275" s="276">
        <f t="shared" si="237"/>
        <v>0</v>
      </c>
      <c r="AI2275" s="283" t="e">
        <f t="shared" si="238"/>
        <v>#DIV/0!</v>
      </c>
    </row>
    <row r="2276" spans="1:35" x14ac:dyDescent="0.25">
      <c r="A2276" s="275">
        <f>'Profits 2016'!A7492</f>
        <v>0</v>
      </c>
      <c r="B2276" s="279">
        <f>'Profits 2016'!B7492</f>
        <v>0</v>
      </c>
      <c r="C2276" s="276">
        <f>'Profits 2016'!H7492</f>
        <v>0</v>
      </c>
      <c r="D2276" s="280">
        <f>'Profits 2016'!K7492</f>
        <v>0</v>
      </c>
      <c r="E2276" s="276">
        <f>'Profits 2016'!L7492</f>
        <v>0</v>
      </c>
      <c r="F2276" s="275">
        <f>'Profits 2016'!P7492</f>
        <v>0</v>
      </c>
      <c r="G2276" s="292">
        <f>'Profits 2016'!N7492-'Profits 2016'!M7492</f>
        <v>0</v>
      </c>
      <c r="H2276" s="331"/>
      <c r="I2276" s="332"/>
      <c r="J2276" s="333"/>
      <c r="K2276" s="333"/>
      <c r="L2276" s="333"/>
      <c r="M2276" s="331"/>
      <c r="N2276" s="334"/>
      <c r="O2276" s="236">
        <f>'Profits 2016'!T7492</f>
        <v>0</v>
      </c>
      <c r="P2276" s="284">
        <f>'Profits 2016'!U7492</f>
        <v>0</v>
      </c>
      <c r="AF2276" s="276">
        <f t="shared" si="235"/>
        <v>0</v>
      </c>
      <c r="AG2276" s="276">
        <f t="shared" si="236"/>
        <v>0</v>
      </c>
      <c r="AH2276" s="276">
        <f t="shared" si="237"/>
        <v>0</v>
      </c>
      <c r="AI2276" s="283" t="e">
        <f t="shared" si="238"/>
        <v>#DIV/0!</v>
      </c>
    </row>
    <row r="2277" spans="1:35" x14ac:dyDescent="0.25">
      <c r="A2277" s="275">
        <f>'Profits 2016'!A7493</f>
        <v>0</v>
      </c>
      <c r="B2277" s="279">
        <f>'Profits 2016'!B7493</f>
        <v>0</v>
      </c>
      <c r="C2277" s="276">
        <f>'Profits 2016'!H7493</f>
        <v>0</v>
      </c>
      <c r="D2277" s="280">
        <f>'Profits 2016'!K7493</f>
        <v>0</v>
      </c>
      <c r="E2277" s="276">
        <f>'Profits 2016'!L7493</f>
        <v>0</v>
      </c>
      <c r="F2277" s="275">
        <f>'Profits 2016'!P7493</f>
        <v>0</v>
      </c>
      <c r="G2277" s="292">
        <f>'Profits 2016'!N7493-'Profits 2016'!M7493</f>
        <v>0</v>
      </c>
      <c r="H2277" s="331"/>
      <c r="I2277" s="332"/>
      <c r="J2277" s="333"/>
      <c r="K2277" s="333"/>
      <c r="L2277" s="333"/>
      <c r="M2277" s="331"/>
      <c r="N2277" s="334"/>
      <c r="O2277" s="236">
        <f>'Profits 2016'!T7493</f>
        <v>0</v>
      </c>
      <c r="P2277" s="284">
        <f>'Profits 2016'!U7493</f>
        <v>0</v>
      </c>
      <c r="AF2277" s="276">
        <f t="shared" si="235"/>
        <v>0</v>
      </c>
      <c r="AG2277" s="276">
        <f t="shared" si="236"/>
        <v>0</v>
      </c>
      <c r="AH2277" s="276">
        <f t="shared" si="237"/>
        <v>0</v>
      </c>
      <c r="AI2277" s="283" t="e">
        <f t="shared" si="238"/>
        <v>#DIV/0!</v>
      </c>
    </row>
    <row r="2278" spans="1:35" x14ac:dyDescent="0.25">
      <c r="A2278" s="275">
        <f>'Profits 2016'!A7494</f>
        <v>0</v>
      </c>
      <c r="B2278" s="279">
        <f>'Profits 2016'!B7494</f>
        <v>0</v>
      </c>
      <c r="C2278" s="276">
        <f>'Profits 2016'!H7494</f>
        <v>0</v>
      </c>
      <c r="D2278" s="280">
        <f>'Profits 2016'!K7494</f>
        <v>0</v>
      </c>
      <c r="E2278" s="276">
        <f>'Profits 2016'!L7494</f>
        <v>0</v>
      </c>
      <c r="F2278" s="275">
        <f>'Profits 2016'!P7494</f>
        <v>0</v>
      </c>
      <c r="G2278" s="292">
        <f>'Profits 2016'!N7494-'Profits 2016'!M7494</f>
        <v>0</v>
      </c>
      <c r="H2278" s="331"/>
      <c r="I2278" s="332"/>
      <c r="J2278" s="333"/>
      <c r="K2278" s="333"/>
      <c r="L2278" s="333"/>
      <c r="M2278" s="331"/>
      <c r="N2278" s="334"/>
      <c r="O2278" s="236">
        <f>'Profits 2016'!T7494</f>
        <v>0</v>
      </c>
      <c r="P2278" s="284">
        <f>'Profits 2016'!U7494</f>
        <v>0</v>
      </c>
      <c r="AF2278" s="276">
        <f t="shared" si="235"/>
        <v>0</v>
      </c>
      <c r="AG2278" s="276">
        <f t="shared" si="236"/>
        <v>0</v>
      </c>
      <c r="AH2278" s="276">
        <f t="shared" si="237"/>
        <v>0</v>
      </c>
      <c r="AI2278" s="283" t="e">
        <f t="shared" si="238"/>
        <v>#DIV/0!</v>
      </c>
    </row>
    <row r="2279" spans="1:35" x14ac:dyDescent="0.25">
      <c r="A2279" s="275">
        <f>'Profits 2016'!A7495</f>
        <v>0</v>
      </c>
      <c r="B2279" s="279">
        <f>'Profits 2016'!B7495</f>
        <v>0</v>
      </c>
      <c r="C2279" s="276">
        <f>'Profits 2016'!H7495</f>
        <v>0</v>
      </c>
      <c r="D2279" s="280">
        <f>'Profits 2016'!K7495</f>
        <v>0</v>
      </c>
      <c r="E2279" s="276">
        <f>'Profits 2016'!L7495</f>
        <v>0</v>
      </c>
      <c r="F2279" s="275">
        <f>'Profits 2016'!P7495</f>
        <v>0</v>
      </c>
      <c r="G2279" s="292">
        <f>'Profits 2016'!N7495-'Profits 2016'!M7495</f>
        <v>0</v>
      </c>
      <c r="H2279" s="331"/>
      <c r="I2279" s="332"/>
      <c r="J2279" s="333"/>
      <c r="K2279" s="333"/>
      <c r="L2279" s="333"/>
      <c r="M2279" s="331"/>
      <c r="N2279" s="334"/>
      <c r="O2279" s="236">
        <f>'Profits 2016'!T7495</f>
        <v>0</v>
      </c>
      <c r="P2279" s="284">
        <f>'Profits 2016'!U7495</f>
        <v>0</v>
      </c>
      <c r="AF2279" s="276">
        <f t="shared" si="235"/>
        <v>0</v>
      </c>
      <c r="AG2279" s="276">
        <f t="shared" si="236"/>
        <v>0</v>
      </c>
      <c r="AH2279" s="276">
        <f t="shared" si="237"/>
        <v>0</v>
      </c>
      <c r="AI2279" s="283" t="e">
        <f t="shared" si="238"/>
        <v>#DIV/0!</v>
      </c>
    </row>
    <row r="2280" spans="1:35" x14ac:dyDescent="0.25">
      <c r="A2280" s="275">
        <f>'Profits 2016'!A7496</f>
        <v>0</v>
      </c>
      <c r="B2280" s="279">
        <f>'Profits 2016'!B7496</f>
        <v>0</v>
      </c>
      <c r="C2280" s="276">
        <f>'Profits 2016'!H7496</f>
        <v>0</v>
      </c>
      <c r="D2280" s="280">
        <f>'Profits 2016'!K7496</f>
        <v>0</v>
      </c>
      <c r="E2280" s="276">
        <f>'Profits 2016'!L7496</f>
        <v>0</v>
      </c>
      <c r="F2280" s="275">
        <f>'Profits 2016'!P7496</f>
        <v>0</v>
      </c>
      <c r="G2280" s="292">
        <f>'Profits 2016'!N7496-'Profits 2016'!M7496</f>
        <v>0</v>
      </c>
      <c r="H2280" s="331"/>
      <c r="I2280" s="332"/>
      <c r="J2280" s="333"/>
      <c r="K2280" s="333"/>
      <c r="L2280" s="333"/>
      <c r="M2280" s="331"/>
      <c r="N2280" s="334"/>
      <c r="O2280" s="236">
        <f>'Profits 2016'!T7496</f>
        <v>0</v>
      </c>
      <c r="P2280" s="284">
        <f>'Profits 2016'!U7496</f>
        <v>0</v>
      </c>
      <c r="AF2280" s="276">
        <f t="shared" si="235"/>
        <v>0</v>
      </c>
      <c r="AG2280" s="276">
        <f t="shared" si="236"/>
        <v>0</v>
      </c>
      <c r="AH2280" s="276">
        <f t="shared" si="237"/>
        <v>0</v>
      </c>
      <c r="AI2280" s="283" t="e">
        <f t="shared" si="238"/>
        <v>#DIV/0!</v>
      </c>
    </row>
    <row r="2281" spans="1:35" x14ac:dyDescent="0.25">
      <c r="A2281" s="275">
        <f>'Profits 2016'!A7497</f>
        <v>0</v>
      </c>
      <c r="B2281" s="279">
        <f>'Profits 2016'!B7497</f>
        <v>0</v>
      </c>
      <c r="C2281" s="276">
        <f>'Profits 2016'!H7497</f>
        <v>0</v>
      </c>
      <c r="D2281" s="280">
        <f>'Profits 2016'!K7497</f>
        <v>0</v>
      </c>
      <c r="E2281" s="276">
        <f>'Profits 2016'!L7497</f>
        <v>0</v>
      </c>
      <c r="F2281" s="275">
        <f>'Profits 2016'!P7497</f>
        <v>0</v>
      </c>
      <c r="G2281" s="292">
        <f>'Profits 2016'!N7497-'Profits 2016'!M7497</f>
        <v>0</v>
      </c>
      <c r="H2281" s="331"/>
      <c r="I2281" s="332"/>
      <c r="J2281" s="333"/>
      <c r="K2281" s="333"/>
      <c r="L2281" s="333"/>
      <c r="M2281" s="331"/>
      <c r="N2281" s="334"/>
      <c r="O2281" s="236">
        <f>'Profits 2016'!T7497</f>
        <v>0</v>
      </c>
      <c r="P2281" s="284">
        <f>'Profits 2016'!U7497</f>
        <v>0</v>
      </c>
      <c r="AF2281" s="276">
        <f t="shared" si="235"/>
        <v>0</v>
      </c>
      <c r="AG2281" s="276">
        <f t="shared" si="236"/>
        <v>0</v>
      </c>
      <c r="AH2281" s="276">
        <f t="shared" si="237"/>
        <v>0</v>
      </c>
      <c r="AI2281" s="283" t="e">
        <f t="shared" si="238"/>
        <v>#DIV/0!</v>
      </c>
    </row>
    <row r="2282" spans="1:35" x14ac:dyDescent="0.25">
      <c r="A2282" s="275">
        <f>'Profits 2016'!A7498</f>
        <v>0</v>
      </c>
      <c r="B2282" s="279">
        <f>'Profits 2016'!B7498</f>
        <v>0</v>
      </c>
      <c r="C2282" s="276">
        <f>'Profits 2016'!H7498</f>
        <v>0</v>
      </c>
      <c r="D2282" s="280">
        <f>'Profits 2016'!K7498</f>
        <v>0</v>
      </c>
      <c r="E2282" s="276">
        <f>'Profits 2016'!L7498</f>
        <v>0</v>
      </c>
      <c r="F2282" s="275">
        <f>'Profits 2016'!P7498</f>
        <v>0</v>
      </c>
      <c r="G2282" s="292">
        <f>'Profits 2016'!N7498-'Profits 2016'!M7498</f>
        <v>0</v>
      </c>
      <c r="H2282" s="331"/>
      <c r="I2282" s="332"/>
      <c r="J2282" s="333"/>
      <c r="K2282" s="333"/>
      <c r="L2282" s="333"/>
      <c r="M2282" s="331"/>
      <c r="N2282" s="334"/>
      <c r="O2282" s="236">
        <f>'Profits 2016'!T7498</f>
        <v>0</v>
      </c>
      <c r="P2282" s="284">
        <f>'Profits 2016'!U7498</f>
        <v>0</v>
      </c>
      <c r="AF2282" s="276">
        <f t="shared" si="235"/>
        <v>0</v>
      </c>
      <c r="AG2282" s="276">
        <f t="shared" si="236"/>
        <v>0</v>
      </c>
      <c r="AH2282" s="276">
        <f t="shared" si="237"/>
        <v>0</v>
      </c>
      <c r="AI2282" s="283" t="e">
        <f t="shared" si="238"/>
        <v>#DIV/0!</v>
      </c>
    </row>
    <row r="2283" spans="1:35" x14ac:dyDescent="0.25">
      <c r="A2283" s="275">
        <f>'Profits 2016'!A7499</f>
        <v>0</v>
      </c>
      <c r="B2283" s="279">
        <f>'Profits 2016'!B7499</f>
        <v>0</v>
      </c>
      <c r="C2283" s="276">
        <f>'Profits 2016'!H7499</f>
        <v>0</v>
      </c>
      <c r="D2283" s="280">
        <f>'Profits 2016'!K7499</f>
        <v>0</v>
      </c>
      <c r="E2283" s="276">
        <f>'Profits 2016'!L7499</f>
        <v>0</v>
      </c>
      <c r="F2283" s="275">
        <f>'Profits 2016'!P7499</f>
        <v>0</v>
      </c>
      <c r="G2283" s="292">
        <f>'Profits 2016'!N7499-'Profits 2016'!M7499</f>
        <v>0</v>
      </c>
      <c r="H2283" s="331"/>
      <c r="I2283" s="332"/>
      <c r="J2283" s="333"/>
      <c r="K2283" s="333"/>
      <c r="L2283" s="333"/>
      <c r="M2283" s="331"/>
      <c r="N2283" s="334"/>
      <c r="O2283" s="236">
        <f>'Profits 2016'!T7499</f>
        <v>0</v>
      </c>
      <c r="P2283" s="284">
        <f>'Profits 2016'!U7499</f>
        <v>0</v>
      </c>
      <c r="AF2283" s="276">
        <f t="shared" si="235"/>
        <v>0</v>
      </c>
      <c r="AG2283" s="276">
        <f t="shared" si="236"/>
        <v>0</v>
      </c>
      <c r="AH2283" s="276">
        <f t="shared" si="237"/>
        <v>0</v>
      </c>
      <c r="AI2283" s="283" t="e">
        <f t="shared" si="238"/>
        <v>#DIV/0!</v>
      </c>
    </row>
    <row r="2284" spans="1:35" x14ac:dyDescent="0.25">
      <c r="A2284" s="275">
        <f>'Profits 2016'!A7500</f>
        <v>0</v>
      </c>
      <c r="B2284" s="279">
        <f>'Profits 2016'!B7500</f>
        <v>0</v>
      </c>
      <c r="C2284" s="276">
        <f>'Profits 2016'!H7500</f>
        <v>0</v>
      </c>
      <c r="D2284" s="280">
        <f>'Profits 2016'!K7500</f>
        <v>0</v>
      </c>
      <c r="E2284" s="276">
        <f>'Profits 2016'!L7500</f>
        <v>0</v>
      </c>
      <c r="F2284" s="275">
        <f>'Profits 2016'!P7500</f>
        <v>0</v>
      </c>
      <c r="G2284" s="292">
        <f>'Profits 2016'!N7500-'Profits 2016'!M7500</f>
        <v>0</v>
      </c>
      <c r="H2284" s="331"/>
      <c r="I2284" s="332"/>
      <c r="J2284" s="333"/>
      <c r="K2284" s="333"/>
      <c r="L2284" s="333"/>
      <c r="M2284" s="331"/>
      <c r="N2284" s="334"/>
      <c r="O2284" s="236">
        <f>'Profits 2016'!T7500</f>
        <v>0</v>
      </c>
      <c r="P2284" s="284">
        <f>'Profits 2016'!U7500</f>
        <v>0</v>
      </c>
      <c r="AF2284" s="276">
        <f t="shared" si="235"/>
        <v>0</v>
      </c>
      <c r="AG2284" s="276">
        <f t="shared" si="236"/>
        <v>0</v>
      </c>
      <c r="AH2284" s="276">
        <f t="shared" si="237"/>
        <v>0</v>
      </c>
      <c r="AI2284" s="283" t="e">
        <f t="shared" si="238"/>
        <v>#DIV/0!</v>
      </c>
    </row>
    <row r="2285" spans="1:35" x14ac:dyDescent="0.25">
      <c r="A2285" s="275">
        <f>'Profits 2016'!A7501</f>
        <v>0</v>
      </c>
      <c r="B2285" s="279">
        <f>'Profits 2016'!B7501</f>
        <v>0</v>
      </c>
      <c r="C2285" s="276">
        <f>'Profits 2016'!H7501</f>
        <v>0</v>
      </c>
      <c r="D2285" s="280">
        <f>'Profits 2016'!K7501</f>
        <v>0</v>
      </c>
      <c r="E2285" s="276">
        <f>'Profits 2016'!L7501</f>
        <v>0</v>
      </c>
      <c r="F2285" s="275">
        <f>'Profits 2016'!P7501</f>
        <v>0</v>
      </c>
      <c r="G2285" s="292">
        <f>'Profits 2016'!N7501-'Profits 2016'!M7501</f>
        <v>0</v>
      </c>
      <c r="H2285" s="331"/>
      <c r="I2285" s="332"/>
      <c r="J2285" s="333"/>
      <c r="K2285" s="333"/>
      <c r="L2285" s="333"/>
      <c r="M2285" s="331"/>
      <c r="N2285" s="334"/>
      <c r="O2285" s="236">
        <f>'Profits 2016'!T7501</f>
        <v>0</v>
      </c>
      <c r="P2285" s="284">
        <f>'Profits 2016'!U7501</f>
        <v>0</v>
      </c>
      <c r="AF2285" s="276">
        <f t="shared" si="235"/>
        <v>0</v>
      </c>
      <c r="AG2285" s="276">
        <f t="shared" si="236"/>
        <v>0</v>
      </c>
      <c r="AH2285" s="276">
        <f t="shared" si="237"/>
        <v>0</v>
      </c>
      <c r="AI2285" s="283" t="e">
        <f t="shared" si="238"/>
        <v>#DIV/0!</v>
      </c>
    </row>
    <row r="2286" spans="1:35" x14ac:dyDescent="0.25">
      <c r="A2286" s="275">
        <f>'Profits 2016'!A7502</f>
        <v>0</v>
      </c>
      <c r="B2286" s="279">
        <f>'Profits 2016'!B7502</f>
        <v>0</v>
      </c>
      <c r="C2286" s="276">
        <f>'Profits 2016'!H7502</f>
        <v>0</v>
      </c>
      <c r="D2286" s="280">
        <f>'Profits 2016'!K7502</f>
        <v>0</v>
      </c>
      <c r="E2286" s="276">
        <f>'Profits 2016'!L7502</f>
        <v>0</v>
      </c>
      <c r="F2286" s="275">
        <f>'Profits 2016'!P7502</f>
        <v>0</v>
      </c>
      <c r="G2286" s="292">
        <f>'Profits 2016'!N7502-'Profits 2016'!M7502</f>
        <v>0</v>
      </c>
      <c r="H2286" s="331"/>
      <c r="I2286" s="332"/>
      <c r="J2286" s="333"/>
      <c r="K2286" s="333"/>
      <c r="L2286" s="333"/>
      <c r="M2286" s="331"/>
      <c r="N2286" s="334"/>
      <c r="O2286" s="236">
        <f>'Profits 2016'!T7502</f>
        <v>0</v>
      </c>
      <c r="P2286" s="284">
        <f>'Profits 2016'!U7502</f>
        <v>0</v>
      </c>
      <c r="AF2286" s="276">
        <f t="shared" si="235"/>
        <v>0</v>
      </c>
      <c r="AG2286" s="276">
        <f t="shared" si="236"/>
        <v>0</v>
      </c>
      <c r="AH2286" s="276">
        <f t="shared" si="237"/>
        <v>0</v>
      </c>
      <c r="AI2286" s="283" t="e">
        <f t="shared" si="238"/>
        <v>#DIV/0!</v>
      </c>
    </row>
    <row r="2287" spans="1:35" x14ac:dyDescent="0.25">
      <c r="A2287" s="275">
        <f>'Profits 2016'!A7503</f>
        <v>0</v>
      </c>
      <c r="B2287" s="279">
        <f>'Profits 2016'!B7503</f>
        <v>0</v>
      </c>
      <c r="C2287" s="276">
        <f>'Profits 2016'!H7503</f>
        <v>0</v>
      </c>
      <c r="D2287" s="280">
        <f>'Profits 2016'!K7503</f>
        <v>0</v>
      </c>
      <c r="E2287" s="276">
        <f>'Profits 2016'!L7503</f>
        <v>0</v>
      </c>
      <c r="F2287" s="275">
        <f>'Profits 2016'!P7503</f>
        <v>0</v>
      </c>
      <c r="G2287" s="292">
        <f>'Profits 2016'!N7503-'Profits 2016'!M7503</f>
        <v>0</v>
      </c>
      <c r="H2287" s="331"/>
      <c r="I2287" s="332"/>
      <c r="J2287" s="333"/>
      <c r="K2287" s="333"/>
      <c r="L2287" s="333"/>
      <c r="M2287" s="331"/>
      <c r="N2287" s="334"/>
      <c r="O2287" s="236">
        <f>'Profits 2016'!T7503</f>
        <v>0</v>
      </c>
      <c r="P2287" s="284">
        <f>'Profits 2016'!U7503</f>
        <v>0</v>
      </c>
      <c r="AF2287" s="276">
        <f t="shared" si="235"/>
        <v>0</v>
      </c>
      <c r="AG2287" s="276">
        <f t="shared" si="236"/>
        <v>0</v>
      </c>
      <c r="AH2287" s="276">
        <f t="shared" si="237"/>
        <v>0</v>
      </c>
      <c r="AI2287" s="283" t="e">
        <f t="shared" si="238"/>
        <v>#DIV/0!</v>
      </c>
    </row>
    <row r="2288" spans="1:35" x14ac:dyDescent="0.25">
      <c r="A2288" s="275">
        <f>'Profits 2016'!A7504</f>
        <v>0</v>
      </c>
      <c r="B2288" s="279">
        <f>'Profits 2016'!B7504</f>
        <v>0</v>
      </c>
      <c r="C2288" s="276">
        <f>'Profits 2016'!H7504</f>
        <v>0</v>
      </c>
      <c r="D2288" s="280">
        <f>'Profits 2016'!K7504</f>
        <v>0</v>
      </c>
      <c r="E2288" s="276">
        <f>'Profits 2016'!L7504</f>
        <v>0</v>
      </c>
      <c r="F2288" s="275">
        <f>'Profits 2016'!P7504</f>
        <v>0</v>
      </c>
      <c r="G2288" s="292">
        <f>'Profits 2016'!N7504-'Profits 2016'!M7504</f>
        <v>0</v>
      </c>
      <c r="H2288" s="331"/>
      <c r="I2288" s="332"/>
      <c r="J2288" s="333"/>
      <c r="K2288" s="333"/>
      <c r="L2288" s="333"/>
      <c r="M2288" s="331"/>
      <c r="N2288" s="334"/>
      <c r="O2288" s="236">
        <f>'Profits 2016'!T7504</f>
        <v>0</v>
      </c>
      <c r="P2288" s="284">
        <f>'Profits 2016'!U7504</f>
        <v>0</v>
      </c>
      <c r="AF2288" s="276">
        <f t="shared" ref="AF2288:AF2351" si="239">G2288+H2289+R2288+Y2288</f>
        <v>0</v>
      </c>
      <c r="AG2288" s="276">
        <f t="shared" ref="AG2288:AG2351" si="240">M2288+R2288+Y2288</f>
        <v>0</v>
      </c>
      <c r="AH2288" s="276">
        <f t="shared" ref="AH2288:AH2351" si="241">D2288-AG2288</f>
        <v>0</v>
      </c>
      <c r="AI2288" s="283" t="e">
        <f t="shared" ref="AI2288:AI2351" si="242">AH2288/AF2288</f>
        <v>#DIV/0!</v>
      </c>
    </row>
    <row r="2289" spans="1:35" x14ac:dyDescent="0.25">
      <c r="A2289" s="275">
        <f>'Profits 2016'!A7505</f>
        <v>0</v>
      </c>
      <c r="B2289" s="279">
        <f>'Profits 2016'!B7505</f>
        <v>0</v>
      </c>
      <c r="C2289" s="276">
        <f>'Profits 2016'!H7505</f>
        <v>0</v>
      </c>
      <c r="D2289" s="280">
        <f>'Profits 2016'!K7505</f>
        <v>0</v>
      </c>
      <c r="E2289" s="276">
        <f>'Profits 2016'!L7505</f>
        <v>0</v>
      </c>
      <c r="F2289" s="275">
        <f>'Profits 2016'!P7505</f>
        <v>0</v>
      </c>
      <c r="G2289" s="292">
        <f>'Profits 2016'!N7505-'Profits 2016'!M7505</f>
        <v>0</v>
      </c>
      <c r="H2289" s="331"/>
      <c r="I2289" s="332"/>
      <c r="J2289" s="333"/>
      <c r="K2289" s="333"/>
      <c r="L2289" s="333"/>
      <c r="M2289" s="331"/>
      <c r="N2289" s="334"/>
      <c r="O2289" s="236">
        <f>'Profits 2016'!T7505</f>
        <v>0</v>
      </c>
      <c r="P2289" s="284">
        <f>'Profits 2016'!U7505</f>
        <v>0</v>
      </c>
      <c r="AF2289" s="276">
        <f t="shared" si="239"/>
        <v>0</v>
      </c>
      <c r="AG2289" s="276">
        <f t="shared" si="240"/>
        <v>0</v>
      </c>
      <c r="AH2289" s="276">
        <f t="shared" si="241"/>
        <v>0</v>
      </c>
      <c r="AI2289" s="283" t="e">
        <f t="shared" si="242"/>
        <v>#DIV/0!</v>
      </c>
    </row>
    <row r="2290" spans="1:35" x14ac:dyDescent="0.25">
      <c r="A2290" s="275">
        <f>'Profits 2016'!A7506</f>
        <v>0</v>
      </c>
      <c r="B2290" s="279">
        <f>'Profits 2016'!B7506</f>
        <v>0</v>
      </c>
      <c r="C2290" s="276">
        <f>'Profits 2016'!H7506</f>
        <v>0</v>
      </c>
      <c r="D2290" s="280">
        <f>'Profits 2016'!K7506</f>
        <v>0</v>
      </c>
      <c r="E2290" s="276">
        <f>'Profits 2016'!L7506</f>
        <v>0</v>
      </c>
      <c r="F2290" s="275">
        <f>'Profits 2016'!P7506</f>
        <v>0</v>
      </c>
      <c r="G2290" s="292">
        <f>'Profits 2016'!N7506-'Profits 2016'!M7506</f>
        <v>0</v>
      </c>
      <c r="H2290" s="331"/>
      <c r="I2290" s="332"/>
      <c r="J2290" s="333"/>
      <c r="K2290" s="333"/>
      <c r="L2290" s="333"/>
      <c r="M2290" s="331"/>
      <c r="N2290" s="334"/>
      <c r="O2290" s="236">
        <f>'Profits 2016'!T7506</f>
        <v>0</v>
      </c>
      <c r="P2290" s="284">
        <f>'Profits 2016'!U7506</f>
        <v>0</v>
      </c>
      <c r="AF2290" s="276">
        <f t="shared" si="239"/>
        <v>0</v>
      </c>
      <c r="AG2290" s="276">
        <f t="shared" si="240"/>
        <v>0</v>
      </c>
      <c r="AH2290" s="276">
        <f t="shared" si="241"/>
        <v>0</v>
      </c>
      <c r="AI2290" s="283" t="e">
        <f t="shared" si="242"/>
        <v>#DIV/0!</v>
      </c>
    </row>
    <row r="2291" spans="1:35" x14ac:dyDescent="0.25">
      <c r="A2291" s="275">
        <f>'Profits 2016'!A7507</f>
        <v>0</v>
      </c>
      <c r="B2291" s="279">
        <f>'Profits 2016'!B7507</f>
        <v>0</v>
      </c>
      <c r="C2291" s="276">
        <f>'Profits 2016'!H7507</f>
        <v>0</v>
      </c>
      <c r="D2291" s="280">
        <f>'Profits 2016'!K7507</f>
        <v>0</v>
      </c>
      <c r="E2291" s="276">
        <f>'Profits 2016'!L7507</f>
        <v>0</v>
      </c>
      <c r="F2291" s="275">
        <f>'Profits 2016'!P7507</f>
        <v>0</v>
      </c>
      <c r="G2291" s="292">
        <f>'Profits 2016'!N7507-'Profits 2016'!M7507</f>
        <v>0</v>
      </c>
      <c r="H2291" s="331"/>
      <c r="I2291" s="332"/>
      <c r="J2291" s="333"/>
      <c r="K2291" s="333"/>
      <c r="L2291" s="333"/>
      <c r="M2291" s="331"/>
      <c r="N2291" s="334"/>
      <c r="O2291" s="236">
        <f>'Profits 2016'!T7507</f>
        <v>0</v>
      </c>
      <c r="P2291" s="284">
        <f>'Profits 2016'!U7507</f>
        <v>0</v>
      </c>
      <c r="AF2291" s="276">
        <f t="shared" si="239"/>
        <v>0</v>
      </c>
      <c r="AG2291" s="276">
        <f t="shared" si="240"/>
        <v>0</v>
      </c>
      <c r="AH2291" s="276">
        <f t="shared" si="241"/>
        <v>0</v>
      </c>
      <c r="AI2291" s="283" t="e">
        <f t="shared" si="242"/>
        <v>#DIV/0!</v>
      </c>
    </row>
    <row r="2292" spans="1:35" x14ac:dyDescent="0.25">
      <c r="A2292" s="275">
        <f>'Profits 2016'!A7508</f>
        <v>0</v>
      </c>
      <c r="B2292" s="279">
        <f>'Profits 2016'!B7508</f>
        <v>0</v>
      </c>
      <c r="C2292" s="276">
        <f>'Profits 2016'!H7508</f>
        <v>0</v>
      </c>
      <c r="D2292" s="280">
        <f>'Profits 2016'!K7508</f>
        <v>0</v>
      </c>
      <c r="E2292" s="276">
        <f>'Profits 2016'!L7508</f>
        <v>0</v>
      </c>
      <c r="F2292" s="275">
        <f>'Profits 2016'!P7508</f>
        <v>0</v>
      </c>
      <c r="G2292" s="292">
        <f>'Profits 2016'!N7508-'Profits 2016'!M7508</f>
        <v>0</v>
      </c>
      <c r="H2292" s="331"/>
      <c r="I2292" s="332"/>
      <c r="J2292" s="333"/>
      <c r="K2292" s="333"/>
      <c r="L2292" s="333"/>
      <c r="M2292" s="331"/>
      <c r="N2292" s="334"/>
      <c r="O2292" s="236">
        <f>'Profits 2016'!T7508</f>
        <v>0</v>
      </c>
      <c r="P2292" s="284">
        <f>'Profits 2016'!U7508</f>
        <v>0</v>
      </c>
      <c r="AF2292" s="276">
        <f t="shared" si="239"/>
        <v>0</v>
      </c>
      <c r="AG2292" s="276">
        <f t="shared" si="240"/>
        <v>0</v>
      </c>
      <c r="AH2292" s="276">
        <f t="shared" si="241"/>
        <v>0</v>
      </c>
      <c r="AI2292" s="283" t="e">
        <f t="shared" si="242"/>
        <v>#DIV/0!</v>
      </c>
    </row>
    <row r="2293" spans="1:35" x14ac:dyDescent="0.25">
      <c r="A2293" s="275">
        <f>'Profits 2016'!A7509</f>
        <v>0</v>
      </c>
      <c r="B2293" s="279">
        <f>'Profits 2016'!B7509</f>
        <v>0</v>
      </c>
      <c r="C2293" s="276">
        <f>'Profits 2016'!H7509</f>
        <v>0</v>
      </c>
      <c r="D2293" s="280">
        <f>'Profits 2016'!K7509</f>
        <v>0</v>
      </c>
      <c r="E2293" s="276">
        <f>'Profits 2016'!L7509</f>
        <v>0</v>
      </c>
      <c r="F2293" s="275">
        <f>'Profits 2016'!P7509</f>
        <v>0</v>
      </c>
      <c r="G2293" s="292">
        <f>'Profits 2016'!N7509-'Profits 2016'!M7509</f>
        <v>0</v>
      </c>
      <c r="H2293" s="331"/>
      <c r="I2293" s="332"/>
      <c r="J2293" s="333"/>
      <c r="K2293" s="333"/>
      <c r="L2293" s="333"/>
      <c r="M2293" s="331"/>
      <c r="N2293" s="334"/>
      <c r="O2293" s="236">
        <f>'Profits 2016'!T7509</f>
        <v>0</v>
      </c>
      <c r="P2293" s="284">
        <f>'Profits 2016'!U7509</f>
        <v>0</v>
      </c>
      <c r="AF2293" s="276">
        <f t="shared" si="239"/>
        <v>0</v>
      </c>
      <c r="AG2293" s="276">
        <f t="shared" si="240"/>
        <v>0</v>
      </c>
      <c r="AH2293" s="276">
        <f t="shared" si="241"/>
        <v>0</v>
      </c>
      <c r="AI2293" s="283" t="e">
        <f t="shared" si="242"/>
        <v>#DIV/0!</v>
      </c>
    </row>
    <row r="2294" spans="1:35" x14ac:dyDescent="0.25">
      <c r="A2294" s="275">
        <f>'Profits 2016'!A7510</f>
        <v>0</v>
      </c>
      <c r="B2294" s="279">
        <f>'Profits 2016'!B7510</f>
        <v>0</v>
      </c>
      <c r="C2294" s="276">
        <f>'Profits 2016'!H7510</f>
        <v>0</v>
      </c>
      <c r="D2294" s="280">
        <f>'Profits 2016'!K7510</f>
        <v>0</v>
      </c>
      <c r="E2294" s="276">
        <f>'Profits 2016'!L7510</f>
        <v>0</v>
      </c>
      <c r="F2294" s="275">
        <f>'Profits 2016'!P7510</f>
        <v>0</v>
      </c>
      <c r="G2294" s="292">
        <f>'Profits 2016'!N7510-'Profits 2016'!M7510</f>
        <v>0</v>
      </c>
      <c r="H2294" s="331"/>
      <c r="I2294" s="332"/>
      <c r="J2294" s="333"/>
      <c r="K2294" s="333"/>
      <c r="L2294" s="333"/>
      <c r="M2294" s="331"/>
      <c r="N2294" s="334"/>
      <c r="O2294" s="236">
        <f>'Profits 2016'!T7510</f>
        <v>0</v>
      </c>
      <c r="P2294" s="284">
        <f>'Profits 2016'!U7510</f>
        <v>0</v>
      </c>
      <c r="AF2294" s="276">
        <f t="shared" si="239"/>
        <v>0</v>
      </c>
      <c r="AG2294" s="276">
        <f t="shared" si="240"/>
        <v>0</v>
      </c>
      <c r="AH2294" s="276">
        <f t="shared" si="241"/>
        <v>0</v>
      </c>
      <c r="AI2294" s="283" t="e">
        <f t="shared" si="242"/>
        <v>#DIV/0!</v>
      </c>
    </row>
    <row r="2295" spans="1:35" x14ac:dyDescent="0.25">
      <c r="A2295" s="275">
        <f>'Profits 2016'!A7511</f>
        <v>0</v>
      </c>
      <c r="B2295" s="279">
        <f>'Profits 2016'!B7511</f>
        <v>0</v>
      </c>
      <c r="C2295" s="276">
        <f>'Profits 2016'!H7511</f>
        <v>0</v>
      </c>
      <c r="D2295" s="280">
        <f>'Profits 2016'!K7511</f>
        <v>0</v>
      </c>
      <c r="E2295" s="276">
        <f>'Profits 2016'!L7511</f>
        <v>0</v>
      </c>
      <c r="F2295" s="275">
        <f>'Profits 2016'!P7511</f>
        <v>0</v>
      </c>
      <c r="G2295" s="292">
        <f>'Profits 2016'!N7511-'Profits 2016'!M7511</f>
        <v>0</v>
      </c>
      <c r="H2295" s="331"/>
      <c r="I2295" s="332"/>
      <c r="J2295" s="333"/>
      <c r="K2295" s="333"/>
      <c r="L2295" s="333"/>
      <c r="M2295" s="331"/>
      <c r="N2295" s="334"/>
      <c r="O2295" s="236">
        <f>'Profits 2016'!T7511</f>
        <v>0</v>
      </c>
      <c r="P2295" s="284">
        <f>'Profits 2016'!U7511</f>
        <v>0</v>
      </c>
      <c r="AF2295" s="276">
        <f t="shared" si="239"/>
        <v>0</v>
      </c>
      <c r="AG2295" s="276">
        <f t="shared" si="240"/>
        <v>0</v>
      </c>
      <c r="AH2295" s="276">
        <f t="shared" si="241"/>
        <v>0</v>
      </c>
      <c r="AI2295" s="283" t="e">
        <f t="shared" si="242"/>
        <v>#DIV/0!</v>
      </c>
    </row>
    <row r="2296" spans="1:35" x14ac:dyDescent="0.25">
      <c r="A2296" s="275">
        <f>'Profits 2016'!A7512</f>
        <v>0</v>
      </c>
      <c r="B2296" s="279">
        <f>'Profits 2016'!B7512</f>
        <v>0</v>
      </c>
      <c r="C2296" s="276">
        <f>'Profits 2016'!H7512</f>
        <v>0</v>
      </c>
      <c r="D2296" s="280">
        <f>'Profits 2016'!K7512</f>
        <v>0</v>
      </c>
      <c r="E2296" s="276">
        <f>'Profits 2016'!L7512</f>
        <v>0</v>
      </c>
      <c r="F2296" s="275">
        <f>'Profits 2016'!P7512</f>
        <v>0</v>
      </c>
      <c r="G2296" s="292">
        <f>'Profits 2016'!N7512-'Profits 2016'!M7512</f>
        <v>0</v>
      </c>
      <c r="H2296" s="331"/>
      <c r="I2296" s="332"/>
      <c r="J2296" s="333"/>
      <c r="K2296" s="333"/>
      <c r="L2296" s="333"/>
      <c r="M2296" s="331"/>
      <c r="N2296" s="334"/>
      <c r="O2296" s="236">
        <f>'Profits 2016'!T7512</f>
        <v>0</v>
      </c>
      <c r="P2296" s="284">
        <f>'Profits 2016'!U7512</f>
        <v>0</v>
      </c>
      <c r="AF2296" s="276">
        <f t="shared" si="239"/>
        <v>0</v>
      </c>
      <c r="AG2296" s="276">
        <f t="shared" si="240"/>
        <v>0</v>
      </c>
      <c r="AH2296" s="276">
        <f t="shared" si="241"/>
        <v>0</v>
      </c>
      <c r="AI2296" s="283" t="e">
        <f t="shared" si="242"/>
        <v>#DIV/0!</v>
      </c>
    </row>
    <row r="2297" spans="1:35" x14ac:dyDescent="0.25">
      <c r="A2297" s="275">
        <f>'Profits 2016'!A7513</f>
        <v>0</v>
      </c>
      <c r="B2297" s="279">
        <f>'Profits 2016'!B7513</f>
        <v>0</v>
      </c>
      <c r="C2297" s="276">
        <f>'Profits 2016'!H7513</f>
        <v>0</v>
      </c>
      <c r="D2297" s="280">
        <f>'Profits 2016'!K7513</f>
        <v>0</v>
      </c>
      <c r="E2297" s="276">
        <f>'Profits 2016'!L7513</f>
        <v>0</v>
      </c>
      <c r="F2297" s="275">
        <f>'Profits 2016'!P7513</f>
        <v>0</v>
      </c>
      <c r="G2297" s="292">
        <f>'Profits 2016'!N7513-'Profits 2016'!M7513</f>
        <v>0</v>
      </c>
      <c r="H2297" s="331"/>
      <c r="I2297" s="332"/>
      <c r="J2297" s="333"/>
      <c r="K2297" s="333"/>
      <c r="L2297" s="333"/>
      <c r="M2297" s="331"/>
      <c r="N2297" s="334"/>
      <c r="O2297" s="236">
        <f>'Profits 2016'!T7513</f>
        <v>0</v>
      </c>
      <c r="P2297" s="284">
        <f>'Profits 2016'!U7513</f>
        <v>0</v>
      </c>
      <c r="AF2297" s="276">
        <f t="shared" si="239"/>
        <v>0</v>
      </c>
      <c r="AG2297" s="276">
        <f t="shared" si="240"/>
        <v>0</v>
      </c>
      <c r="AH2297" s="276">
        <f t="shared" si="241"/>
        <v>0</v>
      </c>
      <c r="AI2297" s="283" t="e">
        <f t="shared" si="242"/>
        <v>#DIV/0!</v>
      </c>
    </row>
    <row r="2298" spans="1:35" x14ac:dyDescent="0.25">
      <c r="A2298" s="275">
        <f>'Profits 2016'!A7514</f>
        <v>0</v>
      </c>
      <c r="B2298" s="279">
        <f>'Profits 2016'!B7514</f>
        <v>0</v>
      </c>
      <c r="C2298" s="276">
        <f>'Profits 2016'!H7514</f>
        <v>0</v>
      </c>
      <c r="D2298" s="280">
        <f>'Profits 2016'!K7514</f>
        <v>0</v>
      </c>
      <c r="E2298" s="276">
        <f>'Profits 2016'!L7514</f>
        <v>0</v>
      </c>
      <c r="F2298" s="275">
        <f>'Profits 2016'!P7514</f>
        <v>0</v>
      </c>
      <c r="G2298" s="292">
        <f>'Profits 2016'!N7514-'Profits 2016'!M7514</f>
        <v>0</v>
      </c>
      <c r="H2298" s="331"/>
      <c r="I2298" s="332"/>
      <c r="J2298" s="333"/>
      <c r="K2298" s="333"/>
      <c r="L2298" s="333"/>
      <c r="M2298" s="331"/>
      <c r="N2298" s="334"/>
      <c r="O2298" s="236">
        <f>'Profits 2016'!T7514</f>
        <v>0</v>
      </c>
      <c r="P2298" s="284">
        <f>'Profits 2016'!U7514</f>
        <v>0</v>
      </c>
      <c r="AF2298" s="276">
        <f t="shared" si="239"/>
        <v>0</v>
      </c>
      <c r="AG2298" s="276">
        <f t="shared" si="240"/>
        <v>0</v>
      </c>
      <c r="AH2298" s="276">
        <f t="shared" si="241"/>
        <v>0</v>
      </c>
      <c r="AI2298" s="283" t="e">
        <f t="shared" si="242"/>
        <v>#DIV/0!</v>
      </c>
    </row>
    <row r="2299" spans="1:35" x14ac:dyDescent="0.25">
      <c r="A2299" s="275">
        <f>'Profits 2016'!A7515</f>
        <v>0</v>
      </c>
      <c r="B2299" s="279">
        <f>'Profits 2016'!B7515</f>
        <v>0</v>
      </c>
      <c r="C2299" s="276">
        <f>'Profits 2016'!H7515</f>
        <v>0</v>
      </c>
      <c r="D2299" s="280">
        <f>'Profits 2016'!K7515</f>
        <v>0</v>
      </c>
      <c r="E2299" s="276">
        <f>'Profits 2016'!L7515</f>
        <v>0</v>
      </c>
      <c r="F2299" s="275">
        <f>'Profits 2016'!P7515</f>
        <v>0</v>
      </c>
      <c r="G2299" s="292">
        <f>'Profits 2016'!N7515-'Profits 2016'!M7515</f>
        <v>0</v>
      </c>
      <c r="H2299" s="331"/>
      <c r="I2299" s="332"/>
      <c r="J2299" s="333"/>
      <c r="K2299" s="333"/>
      <c r="L2299" s="333"/>
      <c r="M2299" s="331"/>
      <c r="N2299" s="334"/>
      <c r="O2299" s="236">
        <f>'Profits 2016'!T7515</f>
        <v>0</v>
      </c>
      <c r="P2299" s="284">
        <f>'Profits 2016'!U7515</f>
        <v>0</v>
      </c>
      <c r="AF2299" s="276">
        <f t="shared" si="239"/>
        <v>0</v>
      </c>
      <c r="AG2299" s="276">
        <f t="shared" si="240"/>
        <v>0</v>
      </c>
      <c r="AH2299" s="276">
        <f t="shared" si="241"/>
        <v>0</v>
      </c>
      <c r="AI2299" s="283" t="e">
        <f t="shared" si="242"/>
        <v>#DIV/0!</v>
      </c>
    </row>
    <row r="2300" spans="1:35" x14ac:dyDescent="0.25">
      <c r="A2300" s="275">
        <f>'Profits 2016'!A7516</f>
        <v>0</v>
      </c>
      <c r="B2300" s="279">
        <f>'Profits 2016'!B7516</f>
        <v>0</v>
      </c>
      <c r="C2300" s="276">
        <f>'Profits 2016'!H7516</f>
        <v>0</v>
      </c>
      <c r="D2300" s="280">
        <f>'Profits 2016'!K7516</f>
        <v>0</v>
      </c>
      <c r="E2300" s="276">
        <f>'Profits 2016'!L7516</f>
        <v>0</v>
      </c>
      <c r="F2300" s="275">
        <f>'Profits 2016'!P7516</f>
        <v>0</v>
      </c>
      <c r="G2300" s="292">
        <f>'Profits 2016'!N7516-'Profits 2016'!M7516</f>
        <v>0</v>
      </c>
      <c r="H2300" s="331"/>
      <c r="I2300" s="332"/>
      <c r="J2300" s="333"/>
      <c r="K2300" s="333"/>
      <c r="L2300" s="333"/>
      <c r="M2300" s="331"/>
      <c r="N2300" s="334"/>
      <c r="O2300" s="236">
        <f>'Profits 2016'!T7516</f>
        <v>0</v>
      </c>
      <c r="P2300" s="284">
        <f>'Profits 2016'!U7516</f>
        <v>0</v>
      </c>
      <c r="AF2300" s="276">
        <f t="shared" si="239"/>
        <v>0</v>
      </c>
      <c r="AG2300" s="276">
        <f t="shared" si="240"/>
        <v>0</v>
      </c>
      <c r="AH2300" s="276">
        <f t="shared" si="241"/>
        <v>0</v>
      </c>
      <c r="AI2300" s="283" t="e">
        <f t="shared" si="242"/>
        <v>#DIV/0!</v>
      </c>
    </row>
    <row r="2301" spans="1:35" x14ac:dyDescent="0.25">
      <c r="A2301" s="275">
        <f>'Profits 2016'!A7517</f>
        <v>0</v>
      </c>
      <c r="B2301" s="279">
        <f>'Profits 2016'!B7517</f>
        <v>0</v>
      </c>
      <c r="C2301" s="276">
        <f>'Profits 2016'!H7517</f>
        <v>0</v>
      </c>
      <c r="D2301" s="280">
        <f>'Profits 2016'!K7517</f>
        <v>0</v>
      </c>
      <c r="E2301" s="276">
        <f>'Profits 2016'!L7517</f>
        <v>0</v>
      </c>
      <c r="F2301" s="275">
        <f>'Profits 2016'!P7517</f>
        <v>0</v>
      </c>
      <c r="G2301" s="292">
        <f>'Profits 2016'!N7517-'Profits 2016'!M7517</f>
        <v>0</v>
      </c>
      <c r="H2301" s="331"/>
      <c r="I2301" s="332"/>
      <c r="J2301" s="333"/>
      <c r="K2301" s="333"/>
      <c r="L2301" s="333"/>
      <c r="M2301" s="331"/>
      <c r="N2301" s="334"/>
      <c r="O2301" s="236">
        <f>'Profits 2016'!T7517</f>
        <v>0</v>
      </c>
      <c r="P2301" s="284">
        <f>'Profits 2016'!U7517</f>
        <v>0</v>
      </c>
      <c r="AF2301" s="276">
        <f t="shared" si="239"/>
        <v>0</v>
      </c>
      <c r="AG2301" s="276">
        <f t="shared" si="240"/>
        <v>0</v>
      </c>
      <c r="AH2301" s="276">
        <f t="shared" si="241"/>
        <v>0</v>
      </c>
      <c r="AI2301" s="283" t="e">
        <f t="shared" si="242"/>
        <v>#DIV/0!</v>
      </c>
    </row>
    <row r="2302" spans="1:35" x14ac:dyDescent="0.25">
      <c r="A2302" s="275">
        <f>'Profits 2016'!A7518</f>
        <v>0</v>
      </c>
      <c r="B2302" s="279">
        <f>'Profits 2016'!B7518</f>
        <v>0</v>
      </c>
      <c r="C2302" s="276">
        <f>'Profits 2016'!H7518</f>
        <v>0</v>
      </c>
      <c r="D2302" s="280">
        <f>'Profits 2016'!K7518</f>
        <v>0</v>
      </c>
      <c r="E2302" s="276">
        <f>'Profits 2016'!L7518</f>
        <v>0</v>
      </c>
      <c r="F2302" s="275">
        <f>'Profits 2016'!P7518</f>
        <v>0</v>
      </c>
      <c r="G2302" s="292">
        <f>'Profits 2016'!N7518-'Profits 2016'!M7518</f>
        <v>0</v>
      </c>
      <c r="H2302" s="331"/>
      <c r="I2302" s="332"/>
      <c r="J2302" s="333"/>
      <c r="K2302" s="333"/>
      <c r="L2302" s="333"/>
      <c r="M2302" s="331"/>
      <c r="N2302" s="334"/>
      <c r="O2302" s="236">
        <f>'Profits 2016'!T7518</f>
        <v>0</v>
      </c>
      <c r="P2302" s="284">
        <f>'Profits 2016'!U7518</f>
        <v>0</v>
      </c>
      <c r="AF2302" s="276">
        <f t="shared" si="239"/>
        <v>0</v>
      </c>
      <c r="AG2302" s="276">
        <f t="shared" si="240"/>
        <v>0</v>
      </c>
      <c r="AH2302" s="276">
        <f t="shared" si="241"/>
        <v>0</v>
      </c>
      <c r="AI2302" s="283" t="e">
        <f t="shared" si="242"/>
        <v>#DIV/0!</v>
      </c>
    </row>
    <row r="2303" spans="1:35" x14ac:dyDescent="0.25">
      <c r="A2303" s="275">
        <f>'Profits 2016'!A7519</f>
        <v>0</v>
      </c>
      <c r="B2303" s="279">
        <f>'Profits 2016'!B7519</f>
        <v>0</v>
      </c>
      <c r="C2303" s="276">
        <f>'Profits 2016'!H7519</f>
        <v>0</v>
      </c>
      <c r="D2303" s="280">
        <f>'Profits 2016'!K7519</f>
        <v>0</v>
      </c>
      <c r="E2303" s="276">
        <f>'Profits 2016'!L7519</f>
        <v>0</v>
      </c>
      <c r="F2303" s="275">
        <f>'Profits 2016'!P7519</f>
        <v>0</v>
      </c>
      <c r="G2303" s="292">
        <f>'Profits 2016'!N7519-'Profits 2016'!M7519</f>
        <v>0</v>
      </c>
      <c r="H2303" s="331"/>
      <c r="I2303" s="332"/>
      <c r="J2303" s="333"/>
      <c r="K2303" s="333"/>
      <c r="L2303" s="333"/>
      <c r="M2303" s="331"/>
      <c r="N2303" s="334"/>
      <c r="O2303" s="236">
        <f>'Profits 2016'!T7519</f>
        <v>0</v>
      </c>
      <c r="P2303" s="284">
        <f>'Profits 2016'!U7519</f>
        <v>0</v>
      </c>
      <c r="AF2303" s="276">
        <f t="shared" si="239"/>
        <v>0</v>
      </c>
      <c r="AG2303" s="276">
        <f t="shared" si="240"/>
        <v>0</v>
      </c>
      <c r="AH2303" s="276">
        <f t="shared" si="241"/>
        <v>0</v>
      </c>
      <c r="AI2303" s="283" t="e">
        <f t="shared" si="242"/>
        <v>#DIV/0!</v>
      </c>
    </row>
    <row r="2304" spans="1:35" x14ac:dyDescent="0.25">
      <c r="A2304" s="275">
        <f>'Profits 2016'!A7520</f>
        <v>0</v>
      </c>
      <c r="B2304" s="279">
        <f>'Profits 2016'!B7520</f>
        <v>0</v>
      </c>
      <c r="C2304" s="276">
        <f>'Profits 2016'!H7520</f>
        <v>0</v>
      </c>
      <c r="D2304" s="280">
        <f>'Profits 2016'!K7520</f>
        <v>0</v>
      </c>
      <c r="E2304" s="276">
        <f>'Profits 2016'!L7520</f>
        <v>0</v>
      </c>
      <c r="F2304" s="275">
        <f>'Profits 2016'!P7520</f>
        <v>0</v>
      </c>
      <c r="G2304" s="292">
        <f>'Profits 2016'!N7520-'Profits 2016'!M7520</f>
        <v>0</v>
      </c>
      <c r="H2304" s="331"/>
      <c r="I2304" s="332"/>
      <c r="J2304" s="333"/>
      <c r="K2304" s="333"/>
      <c r="L2304" s="333"/>
      <c r="M2304" s="331"/>
      <c r="N2304" s="334"/>
      <c r="O2304" s="236">
        <f>'Profits 2016'!T7520</f>
        <v>0</v>
      </c>
      <c r="P2304" s="284">
        <f>'Profits 2016'!U7520</f>
        <v>0</v>
      </c>
      <c r="AF2304" s="276">
        <f t="shared" si="239"/>
        <v>0</v>
      </c>
      <c r="AG2304" s="276">
        <f t="shared" si="240"/>
        <v>0</v>
      </c>
      <c r="AH2304" s="276">
        <f t="shared" si="241"/>
        <v>0</v>
      </c>
      <c r="AI2304" s="283" t="e">
        <f t="shared" si="242"/>
        <v>#DIV/0!</v>
      </c>
    </row>
    <row r="2305" spans="1:35" x14ac:dyDescent="0.25">
      <c r="A2305" s="275">
        <f>'Profits 2016'!A7521</f>
        <v>0</v>
      </c>
      <c r="B2305" s="279">
        <f>'Profits 2016'!B7521</f>
        <v>0</v>
      </c>
      <c r="C2305" s="276">
        <f>'Profits 2016'!H7521</f>
        <v>0</v>
      </c>
      <c r="D2305" s="280">
        <f>'Profits 2016'!K7521</f>
        <v>0</v>
      </c>
      <c r="E2305" s="276">
        <f>'Profits 2016'!L7521</f>
        <v>0</v>
      </c>
      <c r="F2305" s="275">
        <f>'Profits 2016'!P7521</f>
        <v>0</v>
      </c>
      <c r="G2305" s="292">
        <f>'Profits 2016'!N7521-'Profits 2016'!M7521</f>
        <v>0</v>
      </c>
      <c r="H2305" s="331"/>
      <c r="I2305" s="332"/>
      <c r="J2305" s="333"/>
      <c r="K2305" s="333"/>
      <c r="L2305" s="333"/>
      <c r="M2305" s="331"/>
      <c r="N2305" s="334"/>
      <c r="O2305" s="236">
        <f>'Profits 2016'!T7521</f>
        <v>0</v>
      </c>
      <c r="P2305" s="284">
        <f>'Profits 2016'!U7521</f>
        <v>0</v>
      </c>
      <c r="AF2305" s="276">
        <f t="shared" si="239"/>
        <v>0</v>
      </c>
      <c r="AG2305" s="276">
        <f t="shared" si="240"/>
        <v>0</v>
      </c>
      <c r="AH2305" s="276">
        <f t="shared" si="241"/>
        <v>0</v>
      </c>
      <c r="AI2305" s="283" t="e">
        <f t="shared" si="242"/>
        <v>#DIV/0!</v>
      </c>
    </row>
    <row r="2306" spans="1:35" x14ac:dyDescent="0.25">
      <c r="A2306" s="275">
        <f>'Profits 2016'!A7522</f>
        <v>0</v>
      </c>
      <c r="B2306" s="279">
        <f>'Profits 2016'!B7522</f>
        <v>0</v>
      </c>
      <c r="C2306" s="276">
        <f>'Profits 2016'!H7522</f>
        <v>0</v>
      </c>
      <c r="D2306" s="280">
        <f>'Profits 2016'!K7522</f>
        <v>0</v>
      </c>
      <c r="E2306" s="276">
        <f>'Profits 2016'!L7522</f>
        <v>0</v>
      </c>
      <c r="F2306" s="275">
        <f>'Profits 2016'!P7522</f>
        <v>0</v>
      </c>
      <c r="G2306" s="292">
        <f>'Profits 2016'!N7522-'Profits 2016'!M7522</f>
        <v>0</v>
      </c>
      <c r="H2306" s="331"/>
      <c r="I2306" s="332"/>
      <c r="J2306" s="333"/>
      <c r="K2306" s="333"/>
      <c r="L2306" s="333"/>
      <c r="M2306" s="331"/>
      <c r="N2306" s="334"/>
      <c r="O2306" s="236">
        <f>'Profits 2016'!T7522</f>
        <v>0</v>
      </c>
      <c r="P2306" s="284">
        <f>'Profits 2016'!U7522</f>
        <v>0</v>
      </c>
      <c r="AF2306" s="276">
        <f t="shared" si="239"/>
        <v>0</v>
      </c>
      <c r="AG2306" s="276">
        <f t="shared" si="240"/>
        <v>0</v>
      </c>
      <c r="AH2306" s="276">
        <f t="shared" si="241"/>
        <v>0</v>
      </c>
      <c r="AI2306" s="283" t="e">
        <f t="shared" si="242"/>
        <v>#DIV/0!</v>
      </c>
    </row>
    <row r="2307" spans="1:35" x14ac:dyDescent="0.25">
      <c r="A2307" s="275">
        <f>'Profits 2016'!A7523</f>
        <v>0</v>
      </c>
      <c r="B2307" s="279">
        <f>'Profits 2016'!B7523</f>
        <v>0</v>
      </c>
      <c r="C2307" s="276">
        <f>'Profits 2016'!H7523</f>
        <v>0</v>
      </c>
      <c r="D2307" s="280">
        <f>'Profits 2016'!K7523</f>
        <v>0</v>
      </c>
      <c r="E2307" s="276">
        <f>'Profits 2016'!L7523</f>
        <v>0</v>
      </c>
      <c r="F2307" s="275">
        <f>'Profits 2016'!P7523</f>
        <v>0</v>
      </c>
      <c r="G2307" s="292">
        <f>'Profits 2016'!N7523-'Profits 2016'!M7523</f>
        <v>0</v>
      </c>
      <c r="H2307" s="331"/>
      <c r="I2307" s="332"/>
      <c r="J2307" s="333"/>
      <c r="K2307" s="333"/>
      <c r="L2307" s="333"/>
      <c r="M2307" s="331"/>
      <c r="N2307" s="334"/>
      <c r="O2307" s="236">
        <f>'Profits 2016'!T7523</f>
        <v>0</v>
      </c>
      <c r="P2307" s="284">
        <f>'Profits 2016'!U7523</f>
        <v>0</v>
      </c>
      <c r="AF2307" s="276">
        <f t="shared" si="239"/>
        <v>0</v>
      </c>
      <c r="AG2307" s="276">
        <f t="shared" si="240"/>
        <v>0</v>
      </c>
      <c r="AH2307" s="276">
        <f t="shared" si="241"/>
        <v>0</v>
      </c>
      <c r="AI2307" s="283" t="e">
        <f t="shared" si="242"/>
        <v>#DIV/0!</v>
      </c>
    </row>
    <row r="2308" spans="1:35" x14ac:dyDescent="0.25">
      <c r="A2308" s="275">
        <f>'Profits 2016'!A7524</f>
        <v>0</v>
      </c>
      <c r="B2308" s="279">
        <f>'Profits 2016'!B7524</f>
        <v>0</v>
      </c>
      <c r="C2308" s="276">
        <f>'Profits 2016'!H7524</f>
        <v>0</v>
      </c>
      <c r="D2308" s="280">
        <f>'Profits 2016'!K7524</f>
        <v>0</v>
      </c>
      <c r="E2308" s="276">
        <f>'Profits 2016'!L7524</f>
        <v>0</v>
      </c>
      <c r="F2308" s="275">
        <f>'Profits 2016'!P7524</f>
        <v>0</v>
      </c>
      <c r="G2308" s="292">
        <f>'Profits 2016'!N7524-'Profits 2016'!M7524</f>
        <v>0</v>
      </c>
      <c r="H2308" s="331"/>
      <c r="I2308" s="332"/>
      <c r="J2308" s="333"/>
      <c r="K2308" s="333"/>
      <c r="L2308" s="333"/>
      <c r="M2308" s="331"/>
      <c r="N2308" s="334"/>
      <c r="O2308" s="236">
        <f>'Profits 2016'!T7524</f>
        <v>0</v>
      </c>
      <c r="P2308" s="284">
        <f>'Profits 2016'!U7524</f>
        <v>0</v>
      </c>
      <c r="AF2308" s="276">
        <f t="shared" si="239"/>
        <v>0</v>
      </c>
      <c r="AG2308" s="276">
        <f t="shared" si="240"/>
        <v>0</v>
      </c>
      <c r="AH2308" s="276">
        <f t="shared" si="241"/>
        <v>0</v>
      </c>
      <c r="AI2308" s="283" t="e">
        <f t="shared" si="242"/>
        <v>#DIV/0!</v>
      </c>
    </row>
    <row r="2309" spans="1:35" x14ac:dyDescent="0.25">
      <c r="A2309" s="275">
        <f>'Profits 2016'!A7525</f>
        <v>0</v>
      </c>
      <c r="B2309" s="279">
        <f>'Profits 2016'!B7525</f>
        <v>0</v>
      </c>
      <c r="C2309" s="276">
        <f>'Profits 2016'!H7525</f>
        <v>0</v>
      </c>
      <c r="D2309" s="280">
        <f>'Profits 2016'!K7525</f>
        <v>0</v>
      </c>
      <c r="E2309" s="276">
        <f>'Profits 2016'!L7525</f>
        <v>0</v>
      </c>
      <c r="F2309" s="275">
        <f>'Profits 2016'!P7525</f>
        <v>0</v>
      </c>
      <c r="G2309" s="292">
        <f>'Profits 2016'!N7525-'Profits 2016'!M7525</f>
        <v>0</v>
      </c>
      <c r="H2309" s="331"/>
      <c r="I2309" s="332"/>
      <c r="J2309" s="333"/>
      <c r="K2309" s="333"/>
      <c r="L2309" s="333"/>
      <c r="M2309" s="331"/>
      <c r="N2309" s="334"/>
      <c r="O2309" s="236">
        <f>'Profits 2016'!T7525</f>
        <v>0</v>
      </c>
      <c r="P2309" s="284">
        <f>'Profits 2016'!U7525</f>
        <v>0</v>
      </c>
      <c r="AF2309" s="276">
        <f t="shared" si="239"/>
        <v>0</v>
      </c>
      <c r="AG2309" s="276">
        <f t="shared" si="240"/>
        <v>0</v>
      </c>
      <c r="AH2309" s="276">
        <f t="shared" si="241"/>
        <v>0</v>
      </c>
      <c r="AI2309" s="283" t="e">
        <f t="shared" si="242"/>
        <v>#DIV/0!</v>
      </c>
    </row>
    <row r="2310" spans="1:35" x14ac:dyDescent="0.25">
      <c r="A2310" s="275">
        <f>'Profits 2016'!A7526</f>
        <v>0</v>
      </c>
      <c r="B2310" s="279">
        <f>'Profits 2016'!B7526</f>
        <v>0</v>
      </c>
      <c r="C2310" s="276">
        <f>'Profits 2016'!H7526</f>
        <v>0</v>
      </c>
      <c r="D2310" s="280">
        <f>'Profits 2016'!K7526</f>
        <v>0</v>
      </c>
      <c r="E2310" s="276">
        <f>'Profits 2016'!L7526</f>
        <v>0</v>
      </c>
      <c r="F2310" s="275">
        <f>'Profits 2016'!P7526</f>
        <v>0</v>
      </c>
      <c r="G2310" s="292">
        <f>'Profits 2016'!N7526-'Profits 2016'!M7526</f>
        <v>0</v>
      </c>
      <c r="H2310" s="331"/>
      <c r="I2310" s="332"/>
      <c r="J2310" s="333"/>
      <c r="K2310" s="333"/>
      <c r="L2310" s="333"/>
      <c r="M2310" s="331"/>
      <c r="N2310" s="334"/>
      <c r="O2310" s="236">
        <f>'Profits 2016'!T7526</f>
        <v>0</v>
      </c>
      <c r="P2310" s="284">
        <f>'Profits 2016'!U7526</f>
        <v>0</v>
      </c>
      <c r="AF2310" s="276">
        <f t="shared" si="239"/>
        <v>0</v>
      </c>
      <c r="AG2310" s="276">
        <f t="shared" si="240"/>
        <v>0</v>
      </c>
      <c r="AH2310" s="276">
        <f t="shared" si="241"/>
        <v>0</v>
      </c>
      <c r="AI2310" s="283" t="e">
        <f t="shared" si="242"/>
        <v>#DIV/0!</v>
      </c>
    </row>
    <row r="2311" spans="1:35" x14ac:dyDescent="0.25">
      <c r="A2311" s="275">
        <f>'Profits 2016'!A7527</f>
        <v>0</v>
      </c>
      <c r="B2311" s="279">
        <f>'Profits 2016'!B7527</f>
        <v>0</v>
      </c>
      <c r="C2311" s="276">
        <f>'Profits 2016'!H7527</f>
        <v>0</v>
      </c>
      <c r="D2311" s="280">
        <f>'Profits 2016'!K7527</f>
        <v>0</v>
      </c>
      <c r="E2311" s="276">
        <f>'Profits 2016'!L7527</f>
        <v>0</v>
      </c>
      <c r="F2311" s="275">
        <f>'Profits 2016'!P7527</f>
        <v>0</v>
      </c>
      <c r="G2311" s="292">
        <f>'Profits 2016'!N7527-'Profits 2016'!M7527</f>
        <v>0</v>
      </c>
      <c r="H2311" s="331"/>
      <c r="I2311" s="332"/>
      <c r="J2311" s="333"/>
      <c r="K2311" s="333"/>
      <c r="L2311" s="333"/>
      <c r="M2311" s="331"/>
      <c r="N2311" s="334"/>
      <c r="O2311" s="236">
        <f>'Profits 2016'!T7527</f>
        <v>0</v>
      </c>
      <c r="P2311" s="284">
        <f>'Profits 2016'!U7527</f>
        <v>0</v>
      </c>
      <c r="AF2311" s="276">
        <f t="shared" si="239"/>
        <v>0</v>
      </c>
      <c r="AG2311" s="276">
        <f t="shared" si="240"/>
        <v>0</v>
      </c>
      <c r="AH2311" s="276">
        <f t="shared" si="241"/>
        <v>0</v>
      </c>
      <c r="AI2311" s="283" t="e">
        <f t="shared" si="242"/>
        <v>#DIV/0!</v>
      </c>
    </row>
    <row r="2312" spans="1:35" x14ac:dyDescent="0.25">
      <c r="A2312" s="275">
        <f>'Profits 2016'!A7528</f>
        <v>0</v>
      </c>
      <c r="B2312" s="279">
        <f>'Profits 2016'!B7528</f>
        <v>0</v>
      </c>
      <c r="C2312" s="276">
        <f>'Profits 2016'!H7528</f>
        <v>0</v>
      </c>
      <c r="D2312" s="280">
        <f>'Profits 2016'!K7528</f>
        <v>0</v>
      </c>
      <c r="E2312" s="276">
        <f>'Profits 2016'!L7528</f>
        <v>0</v>
      </c>
      <c r="F2312" s="275">
        <f>'Profits 2016'!P7528</f>
        <v>0</v>
      </c>
      <c r="G2312" s="292">
        <f>'Profits 2016'!N7528-'Profits 2016'!M7528</f>
        <v>0</v>
      </c>
      <c r="H2312" s="331"/>
      <c r="I2312" s="332"/>
      <c r="J2312" s="333"/>
      <c r="K2312" s="333"/>
      <c r="L2312" s="333"/>
      <c r="M2312" s="331"/>
      <c r="N2312" s="334"/>
      <c r="O2312" s="236">
        <f>'Profits 2016'!T7528</f>
        <v>0</v>
      </c>
      <c r="P2312" s="284">
        <f>'Profits 2016'!U7528</f>
        <v>0</v>
      </c>
      <c r="AF2312" s="276">
        <f t="shared" si="239"/>
        <v>0</v>
      </c>
      <c r="AG2312" s="276">
        <f t="shared" si="240"/>
        <v>0</v>
      </c>
      <c r="AH2312" s="276">
        <f t="shared" si="241"/>
        <v>0</v>
      </c>
      <c r="AI2312" s="283" t="e">
        <f t="shared" si="242"/>
        <v>#DIV/0!</v>
      </c>
    </row>
    <row r="2313" spans="1:35" x14ac:dyDescent="0.25">
      <c r="A2313" s="275">
        <f>'Profits 2016'!A7529</f>
        <v>0</v>
      </c>
      <c r="B2313" s="279">
        <f>'Profits 2016'!B7529</f>
        <v>0</v>
      </c>
      <c r="C2313" s="276">
        <f>'Profits 2016'!H7529</f>
        <v>0</v>
      </c>
      <c r="D2313" s="280">
        <f>'Profits 2016'!K7529</f>
        <v>0</v>
      </c>
      <c r="E2313" s="276">
        <f>'Profits 2016'!L7529</f>
        <v>0</v>
      </c>
      <c r="F2313" s="275">
        <f>'Profits 2016'!P7529</f>
        <v>0</v>
      </c>
      <c r="G2313" s="292">
        <f>'Profits 2016'!N7529-'Profits 2016'!M7529</f>
        <v>0</v>
      </c>
      <c r="H2313" s="331"/>
      <c r="I2313" s="332"/>
      <c r="J2313" s="333"/>
      <c r="K2313" s="333"/>
      <c r="L2313" s="333"/>
      <c r="M2313" s="331"/>
      <c r="N2313" s="334"/>
      <c r="O2313" s="236">
        <f>'Profits 2016'!T7529</f>
        <v>0</v>
      </c>
      <c r="P2313" s="284">
        <f>'Profits 2016'!U7529</f>
        <v>0</v>
      </c>
      <c r="AF2313" s="276">
        <f t="shared" si="239"/>
        <v>0</v>
      </c>
      <c r="AG2313" s="276">
        <f t="shared" si="240"/>
        <v>0</v>
      </c>
      <c r="AH2313" s="276">
        <f t="shared" si="241"/>
        <v>0</v>
      </c>
      <c r="AI2313" s="283" t="e">
        <f t="shared" si="242"/>
        <v>#DIV/0!</v>
      </c>
    </row>
    <row r="2314" spans="1:35" x14ac:dyDescent="0.25">
      <c r="A2314" s="275">
        <f>'Profits 2016'!A7530</f>
        <v>0</v>
      </c>
      <c r="B2314" s="279">
        <f>'Profits 2016'!B7530</f>
        <v>0</v>
      </c>
      <c r="C2314" s="276">
        <f>'Profits 2016'!H7530</f>
        <v>0</v>
      </c>
      <c r="D2314" s="280">
        <f>'Profits 2016'!K7530</f>
        <v>0</v>
      </c>
      <c r="E2314" s="276">
        <f>'Profits 2016'!L7530</f>
        <v>0</v>
      </c>
      <c r="F2314" s="275">
        <f>'Profits 2016'!P7530</f>
        <v>0</v>
      </c>
      <c r="G2314" s="292">
        <f>'Profits 2016'!N7530-'Profits 2016'!M7530</f>
        <v>0</v>
      </c>
      <c r="H2314" s="331"/>
      <c r="I2314" s="332"/>
      <c r="J2314" s="333"/>
      <c r="K2314" s="333"/>
      <c r="L2314" s="333"/>
      <c r="M2314" s="331"/>
      <c r="N2314" s="334"/>
      <c r="O2314" s="236">
        <f>'Profits 2016'!T7530</f>
        <v>0</v>
      </c>
      <c r="P2314" s="284">
        <f>'Profits 2016'!U7530</f>
        <v>0</v>
      </c>
      <c r="AF2314" s="276">
        <f t="shared" si="239"/>
        <v>0</v>
      </c>
      <c r="AG2314" s="276">
        <f t="shared" si="240"/>
        <v>0</v>
      </c>
      <c r="AH2314" s="276">
        <f t="shared" si="241"/>
        <v>0</v>
      </c>
      <c r="AI2314" s="283" t="e">
        <f t="shared" si="242"/>
        <v>#DIV/0!</v>
      </c>
    </row>
    <row r="2315" spans="1:35" x14ac:dyDescent="0.25">
      <c r="A2315" s="275">
        <f>'Profits 2016'!A7531</f>
        <v>0</v>
      </c>
      <c r="B2315" s="279">
        <f>'Profits 2016'!B7531</f>
        <v>0</v>
      </c>
      <c r="C2315" s="276">
        <f>'Profits 2016'!H7531</f>
        <v>0</v>
      </c>
      <c r="D2315" s="280">
        <f>'Profits 2016'!K7531</f>
        <v>0</v>
      </c>
      <c r="E2315" s="276">
        <f>'Profits 2016'!L7531</f>
        <v>0</v>
      </c>
      <c r="F2315" s="275">
        <f>'Profits 2016'!P7531</f>
        <v>0</v>
      </c>
      <c r="G2315" s="292">
        <f>'Profits 2016'!N7531-'Profits 2016'!M7531</f>
        <v>0</v>
      </c>
      <c r="H2315" s="331"/>
      <c r="I2315" s="332"/>
      <c r="J2315" s="333"/>
      <c r="K2315" s="333"/>
      <c r="L2315" s="333"/>
      <c r="M2315" s="331"/>
      <c r="N2315" s="334"/>
      <c r="O2315" s="236">
        <f>'Profits 2016'!T7531</f>
        <v>0</v>
      </c>
      <c r="P2315" s="284">
        <f>'Profits 2016'!U7531</f>
        <v>0</v>
      </c>
      <c r="AF2315" s="276">
        <f t="shared" si="239"/>
        <v>0</v>
      </c>
      <c r="AG2315" s="276">
        <f t="shared" si="240"/>
        <v>0</v>
      </c>
      <c r="AH2315" s="276">
        <f t="shared" si="241"/>
        <v>0</v>
      </c>
      <c r="AI2315" s="283" t="e">
        <f t="shared" si="242"/>
        <v>#DIV/0!</v>
      </c>
    </row>
    <row r="2316" spans="1:35" x14ac:dyDescent="0.25">
      <c r="A2316" s="275">
        <f>'Profits 2016'!A7532</f>
        <v>0</v>
      </c>
      <c r="B2316" s="279">
        <f>'Profits 2016'!B7532</f>
        <v>0</v>
      </c>
      <c r="C2316" s="276">
        <f>'Profits 2016'!H7532</f>
        <v>0</v>
      </c>
      <c r="D2316" s="280">
        <f>'Profits 2016'!K7532</f>
        <v>0</v>
      </c>
      <c r="E2316" s="276">
        <f>'Profits 2016'!L7532</f>
        <v>0</v>
      </c>
      <c r="F2316" s="275">
        <f>'Profits 2016'!P7532</f>
        <v>0</v>
      </c>
      <c r="G2316" s="292">
        <f>'Profits 2016'!N7532-'Profits 2016'!M7532</f>
        <v>0</v>
      </c>
      <c r="H2316" s="331"/>
      <c r="I2316" s="332"/>
      <c r="J2316" s="333"/>
      <c r="K2316" s="333"/>
      <c r="L2316" s="333"/>
      <c r="M2316" s="331"/>
      <c r="N2316" s="334"/>
      <c r="O2316" s="236">
        <f>'Profits 2016'!T7532</f>
        <v>0</v>
      </c>
      <c r="P2316" s="284">
        <f>'Profits 2016'!U7532</f>
        <v>0</v>
      </c>
      <c r="AF2316" s="276">
        <f t="shared" si="239"/>
        <v>0</v>
      </c>
      <c r="AG2316" s="276">
        <f t="shared" si="240"/>
        <v>0</v>
      </c>
      <c r="AH2316" s="276">
        <f t="shared" si="241"/>
        <v>0</v>
      </c>
      <c r="AI2316" s="283" t="e">
        <f t="shared" si="242"/>
        <v>#DIV/0!</v>
      </c>
    </row>
    <row r="2317" spans="1:35" x14ac:dyDescent="0.25">
      <c r="A2317" s="275">
        <f>'Profits 2016'!A7533</f>
        <v>0</v>
      </c>
      <c r="B2317" s="279">
        <f>'Profits 2016'!B7533</f>
        <v>0</v>
      </c>
      <c r="C2317" s="276">
        <f>'Profits 2016'!H7533</f>
        <v>0</v>
      </c>
      <c r="D2317" s="280">
        <f>'Profits 2016'!K7533</f>
        <v>0</v>
      </c>
      <c r="E2317" s="276">
        <f>'Profits 2016'!L7533</f>
        <v>0</v>
      </c>
      <c r="F2317" s="275">
        <f>'Profits 2016'!P7533</f>
        <v>0</v>
      </c>
      <c r="G2317" s="292">
        <f>'Profits 2016'!N7533-'Profits 2016'!M7533</f>
        <v>0</v>
      </c>
      <c r="H2317" s="331"/>
      <c r="I2317" s="332"/>
      <c r="J2317" s="333"/>
      <c r="K2317" s="333"/>
      <c r="L2317" s="333"/>
      <c r="M2317" s="331"/>
      <c r="N2317" s="334"/>
      <c r="O2317" s="236">
        <f>'Profits 2016'!T7533</f>
        <v>0</v>
      </c>
      <c r="P2317" s="284">
        <f>'Profits 2016'!U7533</f>
        <v>0</v>
      </c>
      <c r="AF2317" s="276">
        <f t="shared" si="239"/>
        <v>0</v>
      </c>
      <c r="AG2317" s="276">
        <f t="shared" si="240"/>
        <v>0</v>
      </c>
      <c r="AH2317" s="276">
        <f t="shared" si="241"/>
        <v>0</v>
      </c>
      <c r="AI2317" s="283" t="e">
        <f t="shared" si="242"/>
        <v>#DIV/0!</v>
      </c>
    </row>
    <row r="2318" spans="1:35" x14ac:dyDescent="0.25">
      <c r="A2318" s="275">
        <f>'Profits 2016'!A7534</f>
        <v>0</v>
      </c>
      <c r="B2318" s="279">
        <f>'Profits 2016'!B7534</f>
        <v>0</v>
      </c>
      <c r="C2318" s="276">
        <f>'Profits 2016'!H7534</f>
        <v>0</v>
      </c>
      <c r="D2318" s="280">
        <f>'Profits 2016'!K7534</f>
        <v>0</v>
      </c>
      <c r="E2318" s="276">
        <f>'Profits 2016'!L7534</f>
        <v>0</v>
      </c>
      <c r="F2318" s="275">
        <f>'Profits 2016'!P7534</f>
        <v>0</v>
      </c>
      <c r="G2318" s="292">
        <f>'Profits 2016'!N7534-'Profits 2016'!M7534</f>
        <v>0</v>
      </c>
      <c r="H2318" s="331"/>
      <c r="I2318" s="332"/>
      <c r="J2318" s="333"/>
      <c r="K2318" s="333"/>
      <c r="L2318" s="333"/>
      <c r="M2318" s="331"/>
      <c r="N2318" s="334"/>
      <c r="O2318" s="236">
        <f>'Profits 2016'!T7534</f>
        <v>0</v>
      </c>
      <c r="P2318" s="284">
        <f>'Profits 2016'!U7534</f>
        <v>0</v>
      </c>
      <c r="AF2318" s="276">
        <f t="shared" si="239"/>
        <v>0</v>
      </c>
      <c r="AG2318" s="276">
        <f t="shared" si="240"/>
        <v>0</v>
      </c>
      <c r="AH2318" s="276">
        <f t="shared" si="241"/>
        <v>0</v>
      </c>
      <c r="AI2318" s="283" t="e">
        <f t="shared" si="242"/>
        <v>#DIV/0!</v>
      </c>
    </row>
    <row r="2319" spans="1:35" x14ac:dyDescent="0.25">
      <c r="A2319" s="275">
        <f>'Profits 2016'!A7535</f>
        <v>0</v>
      </c>
      <c r="B2319" s="279">
        <f>'Profits 2016'!B7535</f>
        <v>0</v>
      </c>
      <c r="C2319" s="276">
        <f>'Profits 2016'!H7535</f>
        <v>0</v>
      </c>
      <c r="D2319" s="280">
        <f>'Profits 2016'!K7535</f>
        <v>0</v>
      </c>
      <c r="E2319" s="276">
        <f>'Profits 2016'!L7535</f>
        <v>0</v>
      </c>
      <c r="F2319" s="275">
        <f>'Profits 2016'!P7535</f>
        <v>0</v>
      </c>
      <c r="G2319" s="292">
        <f>'Profits 2016'!N7535-'Profits 2016'!M7535</f>
        <v>0</v>
      </c>
      <c r="H2319" s="331"/>
      <c r="I2319" s="332"/>
      <c r="J2319" s="333"/>
      <c r="K2319" s="333"/>
      <c r="L2319" s="333"/>
      <c r="M2319" s="331"/>
      <c r="N2319" s="334"/>
      <c r="O2319" s="236">
        <f>'Profits 2016'!T7535</f>
        <v>0</v>
      </c>
      <c r="P2319" s="284">
        <f>'Profits 2016'!U7535</f>
        <v>0</v>
      </c>
      <c r="AF2319" s="276">
        <f t="shared" si="239"/>
        <v>0</v>
      </c>
      <c r="AG2319" s="276">
        <f t="shared" si="240"/>
        <v>0</v>
      </c>
      <c r="AH2319" s="276">
        <f t="shared" si="241"/>
        <v>0</v>
      </c>
      <c r="AI2319" s="283" t="e">
        <f t="shared" si="242"/>
        <v>#DIV/0!</v>
      </c>
    </row>
    <row r="2320" spans="1:35" x14ac:dyDescent="0.25">
      <c r="A2320" s="275">
        <f>'Profits 2016'!A7536</f>
        <v>0</v>
      </c>
      <c r="B2320" s="279">
        <f>'Profits 2016'!B7536</f>
        <v>0</v>
      </c>
      <c r="C2320" s="276">
        <f>'Profits 2016'!H7536</f>
        <v>0</v>
      </c>
      <c r="D2320" s="280">
        <f>'Profits 2016'!K7536</f>
        <v>0</v>
      </c>
      <c r="E2320" s="276">
        <f>'Profits 2016'!L7536</f>
        <v>0</v>
      </c>
      <c r="F2320" s="275">
        <f>'Profits 2016'!P7536</f>
        <v>0</v>
      </c>
      <c r="G2320" s="292">
        <f>'Profits 2016'!N7536-'Profits 2016'!M7536</f>
        <v>0</v>
      </c>
      <c r="H2320" s="331"/>
      <c r="I2320" s="332"/>
      <c r="J2320" s="333"/>
      <c r="K2320" s="333"/>
      <c r="L2320" s="333"/>
      <c r="M2320" s="331"/>
      <c r="N2320" s="334"/>
      <c r="O2320" s="236">
        <f>'Profits 2016'!T7536</f>
        <v>0</v>
      </c>
      <c r="P2320" s="284">
        <f>'Profits 2016'!U7536</f>
        <v>0</v>
      </c>
      <c r="AF2320" s="276">
        <f t="shared" si="239"/>
        <v>0</v>
      </c>
      <c r="AG2320" s="276">
        <f t="shared" si="240"/>
        <v>0</v>
      </c>
      <c r="AH2320" s="276">
        <f t="shared" si="241"/>
        <v>0</v>
      </c>
      <c r="AI2320" s="283" t="e">
        <f t="shared" si="242"/>
        <v>#DIV/0!</v>
      </c>
    </row>
    <row r="2321" spans="1:35" x14ac:dyDescent="0.25">
      <c r="A2321" s="275">
        <f>'Profits 2016'!A7537</f>
        <v>0</v>
      </c>
      <c r="B2321" s="279">
        <f>'Profits 2016'!B7537</f>
        <v>0</v>
      </c>
      <c r="C2321" s="276">
        <f>'Profits 2016'!H7537</f>
        <v>0</v>
      </c>
      <c r="D2321" s="280">
        <f>'Profits 2016'!K7537</f>
        <v>0</v>
      </c>
      <c r="E2321" s="276">
        <f>'Profits 2016'!L7537</f>
        <v>0</v>
      </c>
      <c r="F2321" s="275">
        <f>'Profits 2016'!P7537</f>
        <v>0</v>
      </c>
      <c r="G2321" s="292">
        <f>'Profits 2016'!N7537-'Profits 2016'!M7537</f>
        <v>0</v>
      </c>
      <c r="H2321" s="331"/>
      <c r="I2321" s="332"/>
      <c r="J2321" s="333"/>
      <c r="K2321" s="333"/>
      <c r="L2321" s="333"/>
      <c r="M2321" s="331"/>
      <c r="N2321" s="334"/>
      <c r="O2321" s="236">
        <f>'Profits 2016'!T7537</f>
        <v>0</v>
      </c>
      <c r="P2321" s="284">
        <f>'Profits 2016'!U7537</f>
        <v>0</v>
      </c>
      <c r="AF2321" s="276">
        <f t="shared" si="239"/>
        <v>0</v>
      </c>
      <c r="AG2321" s="276">
        <f t="shared" si="240"/>
        <v>0</v>
      </c>
      <c r="AH2321" s="276">
        <f t="shared" si="241"/>
        <v>0</v>
      </c>
      <c r="AI2321" s="283" t="e">
        <f t="shared" si="242"/>
        <v>#DIV/0!</v>
      </c>
    </row>
    <row r="2322" spans="1:35" x14ac:dyDescent="0.25">
      <c r="A2322" s="275">
        <f>'Profits 2016'!A7538</f>
        <v>0</v>
      </c>
      <c r="B2322" s="279">
        <f>'Profits 2016'!B7538</f>
        <v>0</v>
      </c>
      <c r="C2322" s="276">
        <f>'Profits 2016'!H7538</f>
        <v>0</v>
      </c>
      <c r="D2322" s="280">
        <f>'Profits 2016'!K7538</f>
        <v>0</v>
      </c>
      <c r="E2322" s="276">
        <f>'Profits 2016'!L7538</f>
        <v>0</v>
      </c>
      <c r="F2322" s="275">
        <f>'Profits 2016'!P7538</f>
        <v>0</v>
      </c>
      <c r="G2322" s="292">
        <f>'Profits 2016'!N7538-'Profits 2016'!M7538</f>
        <v>0</v>
      </c>
      <c r="H2322" s="331"/>
      <c r="I2322" s="332"/>
      <c r="J2322" s="333"/>
      <c r="K2322" s="333"/>
      <c r="L2322" s="333"/>
      <c r="M2322" s="331"/>
      <c r="N2322" s="334"/>
      <c r="O2322" s="236">
        <f>'Profits 2016'!T7538</f>
        <v>0</v>
      </c>
      <c r="P2322" s="284">
        <f>'Profits 2016'!U7538</f>
        <v>0</v>
      </c>
      <c r="AF2322" s="276">
        <f t="shared" si="239"/>
        <v>0</v>
      </c>
      <c r="AG2322" s="276">
        <f t="shared" si="240"/>
        <v>0</v>
      </c>
      <c r="AH2322" s="276">
        <f t="shared" si="241"/>
        <v>0</v>
      </c>
      <c r="AI2322" s="283" t="e">
        <f t="shared" si="242"/>
        <v>#DIV/0!</v>
      </c>
    </row>
    <row r="2323" spans="1:35" x14ac:dyDescent="0.25">
      <c r="A2323" s="275">
        <f>'Profits 2016'!A7539</f>
        <v>0</v>
      </c>
      <c r="B2323" s="279">
        <f>'Profits 2016'!B7539</f>
        <v>0</v>
      </c>
      <c r="C2323" s="276">
        <f>'Profits 2016'!H7539</f>
        <v>0</v>
      </c>
      <c r="D2323" s="280">
        <f>'Profits 2016'!K7539</f>
        <v>0</v>
      </c>
      <c r="E2323" s="276">
        <f>'Profits 2016'!L7539</f>
        <v>0</v>
      </c>
      <c r="F2323" s="275">
        <f>'Profits 2016'!P7539</f>
        <v>0</v>
      </c>
      <c r="G2323" s="292">
        <f>'Profits 2016'!N7539-'Profits 2016'!M7539</f>
        <v>0</v>
      </c>
      <c r="H2323" s="331"/>
      <c r="I2323" s="332"/>
      <c r="J2323" s="333"/>
      <c r="K2323" s="333"/>
      <c r="L2323" s="333"/>
      <c r="M2323" s="331"/>
      <c r="N2323" s="334"/>
      <c r="O2323" s="236">
        <f>'Profits 2016'!T7539</f>
        <v>0</v>
      </c>
      <c r="P2323" s="284">
        <f>'Profits 2016'!U7539</f>
        <v>0</v>
      </c>
      <c r="AF2323" s="276">
        <f t="shared" si="239"/>
        <v>0</v>
      </c>
      <c r="AG2323" s="276">
        <f t="shared" si="240"/>
        <v>0</v>
      </c>
      <c r="AH2323" s="276">
        <f t="shared" si="241"/>
        <v>0</v>
      </c>
      <c r="AI2323" s="283" t="e">
        <f t="shared" si="242"/>
        <v>#DIV/0!</v>
      </c>
    </row>
    <row r="2324" spans="1:35" x14ac:dyDescent="0.25">
      <c r="A2324" s="275">
        <f>'Profits 2016'!A7540</f>
        <v>0</v>
      </c>
      <c r="B2324" s="279">
        <f>'Profits 2016'!B7540</f>
        <v>0</v>
      </c>
      <c r="C2324" s="276">
        <f>'Profits 2016'!H7540</f>
        <v>0</v>
      </c>
      <c r="D2324" s="280">
        <f>'Profits 2016'!K7540</f>
        <v>0</v>
      </c>
      <c r="E2324" s="276">
        <f>'Profits 2016'!L7540</f>
        <v>0</v>
      </c>
      <c r="F2324" s="275">
        <f>'Profits 2016'!P7540</f>
        <v>0</v>
      </c>
      <c r="G2324" s="292">
        <f>'Profits 2016'!N7540-'Profits 2016'!M7540</f>
        <v>0</v>
      </c>
      <c r="H2324" s="331"/>
      <c r="I2324" s="332"/>
      <c r="J2324" s="333"/>
      <c r="K2324" s="333"/>
      <c r="L2324" s="333"/>
      <c r="M2324" s="331"/>
      <c r="N2324" s="334"/>
      <c r="O2324" s="236">
        <f>'Profits 2016'!T7540</f>
        <v>0</v>
      </c>
      <c r="P2324" s="284">
        <f>'Profits 2016'!U7540</f>
        <v>0</v>
      </c>
      <c r="AF2324" s="276">
        <f t="shared" si="239"/>
        <v>0</v>
      </c>
      <c r="AG2324" s="276">
        <f t="shared" si="240"/>
        <v>0</v>
      </c>
      <c r="AH2324" s="276">
        <f t="shared" si="241"/>
        <v>0</v>
      </c>
      <c r="AI2324" s="283" t="e">
        <f t="shared" si="242"/>
        <v>#DIV/0!</v>
      </c>
    </row>
    <row r="2325" spans="1:35" x14ac:dyDescent="0.25">
      <c r="A2325" s="275">
        <f>'Profits 2016'!A7541</f>
        <v>0</v>
      </c>
      <c r="B2325" s="279">
        <f>'Profits 2016'!B7541</f>
        <v>0</v>
      </c>
      <c r="C2325" s="276">
        <f>'Profits 2016'!H7541</f>
        <v>0</v>
      </c>
      <c r="D2325" s="280">
        <f>'Profits 2016'!K7541</f>
        <v>0</v>
      </c>
      <c r="E2325" s="276">
        <f>'Profits 2016'!L7541</f>
        <v>0</v>
      </c>
      <c r="F2325" s="275">
        <f>'Profits 2016'!P7541</f>
        <v>0</v>
      </c>
      <c r="G2325" s="292">
        <f>'Profits 2016'!N7541-'Profits 2016'!M7541</f>
        <v>0</v>
      </c>
      <c r="H2325" s="331"/>
      <c r="I2325" s="332"/>
      <c r="J2325" s="333"/>
      <c r="K2325" s="333"/>
      <c r="L2325" s="333"/>
      <c r="M2325" s="331"/>
      <c r="N2325" s="334"/>
      <c r="O2325" s="236">
        <f>'Profits 2016'!T7541</f>
        <v>0</v>
      </c>
      <c r="P2325" s="284">
        <f>'Profits 2016'!U7541</f>
        <v>0</v>
      </c>
      <c r="AF2325" s="276">
        <f t="shared" si="239"/>
        <v>0</v>
      </c>
      <c r="AG2325" s="276">
        <f t="shared" si="240"/>
        <v>0</v>
      </c>
      <c r="AH2325" s="276">
        <f t="shared" si="241"/>
        <v>0</v>
      </c>
      <c r="AI2325" s="283" t="e">
        <f t="shared" si="242"/>
        <v>#DIV/0!</v>
      </c>
    </row>
    <row r="2326" spans="1:35" x14ac:dyDescent="0.25">
      <c r="A2326" s="275">
        <f>'Profits 2016'!A7542</f>
        <v>0</v>
      </c>
      <c r="B2326" s="279">
        <f>'Profits 2016'!B7542</f>
        <v>0</v>
      </c>
      <c r="C2326" s="276">
        <f>'Profits 2016'!H7542</f>
        <v>0</v>
      </c>
      <c r="D2326" s="280">
        <f>'Profits 2016'!K7542</f>
        <v>0</v>
      </c>
      <c r="E2326" s="276">
        <f>'Profits 2016'!L7542</f>
        <v>0</v>
      </c>
      <c r="F2326" s="275">
        <f>'Profits 2016'!P7542</f>
        <v>0</v>
      </c>
      <c r="G2326" s="292">
        <f>'Profits 2016'!N7542-'Profits 2016'!M7542</f>
        <v>0</v>
      </c>
      <c r="H2326" s="331"/>
      <c r="I2326" s="332"/>
      <c r="J2326" s="333"/>
      <c r="K2326" s="333"/>
      <c r="L2326" s="333"/>
      <c r="M2326" s="331"/>
      <c r="N2326" s="334"/>
      <c r="O2326" s="236">
        <f>'Profits 2016'!T7542</f>
        <v>0</v>
      </c>
      <c r="P2326" s="284">
        <f>'Profits 2016'!U7542</f>
        <v>0</v>
      </c>
      <c r="AF2326" s="276">
        <f t="shared" si="239"/>
        <v>0</v>
      </c>
      <c r="AG2326" s="276">
        <f t="shared" si="240"/>
        <v>0</v>
      </c>
      <c r="AH2326" s="276">
        <f t="shared" si="241"/>
        <v>0</v>
      </c>
      <c r="AI2326" s="283" t="e">
        <f t="shared" si="242"/>
        <v>#DIV/0!</v>
      </c>
    </row>
    <row r="2327" spans="1:35" x14ac:dyDescent="0.25">
      <c r="A2327" s="275">
        <f>'Profits 2016'!A7543</f>
        <v>0</v>
      </c>
      <c r="B2327" s="279">
        <f>'Profits 2016'!B7543</f>
        <v>0</v>
      </c>
      <c r="C2327" s="276">
        <f>'Profits 2016'!H7543</f>
        <v>0</v>
      </c>
      <c r="D2327" s="280">
        <f>'Profits 2016'!K7543</f>
        <v>0</v>
      </c>
      <c r="E2327" s="276">
        <f>'Profits 2016'!L7543</f>
        <v>0</v>
      </c>
      <c r="F2327" s="275">
        <f>'Profits 2016'!P7543</f>
        <v>0</v>
      </c>
      <c r="G2327" s="292">
        <f>'Profits 2016'!N7543-'Profits 2016'!M7543</f>
        <v>0</v>
      </c>
      <c r="H2327" s="331"/>
      <c r="I2327" s="332"/>
      <c r="J2327" s="333"/>
      <c r="K2327" s="333"/>
      <c r="L2327" s="333"/>
      <c r="M2327" s="331"/>
      <c r="N2327" s="334"/>
      <c r="O2327" s="236">
        <f>'Profits 2016'!T7543</f>
        <v>0</v>
      </c>
      <c r="P2327" s="284">
        <f>'Profits 2016'!U7543</f>
        <v>0</v>
      </c>
      <c r="AF2327" s="276">
        <f t="shared" si="239"/>
        <v>0</v>
      </c>
      <c r="AG2327" s="276">
        <f t="shared" si="240"/>
        <v>0</v>
      </c>
      <c r="AH2327" s="276">
        <f t="shared" si="241"/>
        <v>0</v>
      </c>
      <c r="AI2327" s="283" t="e">
        <f t="shared" si="242"/>
        <v>#DIV/0!</v>
      </c>
    </row>
    <row r="2328" spans="1:35" x14ac:dyDescent="0.25">
      <c r="A2328" s="275">
        <f>'Profits 2016'!A7544</f>
        <v>0</v>
      </c>
      <c r="B2328" s="279">
        <f>'Profits 2016'!B7544</f>
        <v>0</v>
      </c>
      <c r="C2328" s="276">
        <f>'Profits 2016'!H7544</f>
        <v>0</v>
      </c>
      <c r="D2328" s="280">
        <f>'Profits 2016'!K7544</f>
        <v>0</v>
      </c>
      <c r="E2328" s="276">
        <f>'Profits 2016'!L7544</f>
        <v>0</v>
      </c>
      <c r="F2328" s="275">
        <f>'Profits 2016'!P7544</f>
        <v>0</v>
      </c>
      <c r="G2328" s="292">
        <f>'Profits 2016'!N7544-'Profits 2016'!M7544</f>
        <v>0</v>
      </c>
      <c r="H2328" s="331"/>
      <c r="I2328" s="332"/>
      <c r="J2328" s="333"/>
      <c r="K2328" s="333"/>
      <c r="L2328" s="333"/>
      <c r="M2328" s="331"/>
      <c r="N2328" s="334"/>
      <c r="O2328" s="236">
        <f>'Profits 2016'!T7544</f>
        <v>0</v>
      </c>
      <c r="P2328" s="284">
        <f>'Profits 2016'!U7544</f>
        <v>0</v>
      </c>
      <c r="AF2328" s="276">
        <f t="shared" si="239"/>
        <v>0</v>
      </c>
      <c r="AG2328" s="276">
        <f t="shared" si="240"/>
        <v>0</v>
      </c>
      <c r="AH2328" s="276">
        <f t="shared" si="241"/>
        <v>0</v>
      </c>
      <c r="AI2328" s="283" t="e">
        <f t="shared" si="242"/>
        <v>#DIV/0!</v>
      </c>
    </row>
    <row r="2329" spans="1:35" x14ac:dyDescent="0.25">
      <c r="A2329" s="275">
        <f>'Profits 2016'!A7545</f>
        <v>0</v>
      </c>
      <c r="B2329" s="279">
        <f>'Profits 2016'!B7545</f>
        <v>0</v>
      </c>
      <c r="C2329" s="276">
        <f>'Profits 2016'!H7545</f>
        <v>0</v>
      </c>
      <c r="D2329" s="280">
        <f>'Profits 2016'!K7545</f>
        <v>0</v>
      </c>
      <c r="E2329" s="276">
        <f>'Profits 2016'!L7545</f>
        <v>0</v>
      </c>
      <c r="F2329" s="275">
        <f>'Profits 2016'!P7545</f>
        <v>0</v>
      </c>
      <c r="G2329" s="292">
        <f>'Profits 2016'!N7545-'Profits 2016'!M7545</f>
        <v>0</v>
      </c>
      <c r="H2329" s="331"/>
      <c r="I2329" s="332"/>
      <c r="J2329" s="333"/>
      <c r="K2329" s="333"/>
      <c r="L2329" s="333"/>
      <c r="M2329" s="331"/>
      <c r="N2329" s="334"/>
      <c r="O2329" s="236">
        <f>'Profits 2016'!T7545</f>
        <v>0</v>
      </c>
      <c r="P2329" s="284">
        <f>'Profits 2016'!U7545</f>
        <v>0</v>
      </c>
      <c r="AF2329" s="276">
        <f t="shared" si="239"/>
        <v>0</v>
      </c>
      <c r="AG2329" s="276">
        <f t="shared" si="240"/>
        <v>0</v>
      </c>
      <c r="AH2329" s="276">
        <f t="shared" si="241"/>
        <v>0</v>
      </c>
      <c r="AI2329" s="283" t="e">
        <f t="shared" si="242"/>
        <v>#DIV/0!</v>
      </c>
    </row>
    <row r="2330" spans="1:35" x14ac:dyDescent="0.25">
      <c r="A2330" s="275">
        <f>'Profits 2016'!A7546</f>
        <v>0</v>
      </c>
      <c r="B2330" s="279">
        <f>'Profits 2016'!B7546</f>
        <v>0</v>
      </c>
      <c r="C2330" s="276">
        <f>'Profits 2016'!H7546</f>
        <v>0</v>
      </c>
      <c r="D2330" s="280">
        <f>'Profits 2016'!K7546</f>
        <v>0</v>
      </c>
      <c r="E2330" s="276">
        <f>'Profits 2016'!L7546</f>
        <v>0</v>
      </c>
      <c r="F2330" s="275">
        <f>'Profits 2016'!P7546</f>
        <v>0</v>
      </c>
      <c r="G2330" s="292">
        <f>'Profits 2016'!N7546-'Profits 2016'!M7546</f>
        <v>0</v>
      </c>
      <c r="H2330" s="331"/>
      <c r="I2330" s="332"/>
      <c r="J2330" s="333"/>
      <c r="K2330" s="333"/>
      <c r="L2330" s="333"/>
      <c r="M2330" s="331"/>
      <c r="N2330" s="334"/>
      <c r="O2330" s="236">
        <f>'Profits 2016'!T7546</f>
        <v>0</v>
      </c>
      <c r="P2330" s="284">
        <f>'Profits 2016'!U7546</f>
        <v>0</v>
      </c>
      <c r="AF2330" s="276">
        <f t="shared" si="239"/>
        <v>0</v>
      </c>
      <c r="AG2330" s="276">
        <f t="shared" si="240"/>
        <v>0</v>
      </c>
      <c r="AH2330" s="276">
        <f t="shared" si="241"/>
        <v>0</v>
      </c>
      <c r="AI2330" s="283" t="e">
        <f t="shared" si="242"/>
        <v>#DIV/0!</v>
      </c>
    </row>
    <row r="2331" spans="1:35" x14ac:dyDescent="0.25">
      <c r="A2331" s="275">
        <f>'Profits 2016'!A7547</f>
        <v>0</v>
      </c>
      <c r="B2331" s="279">
        <f>'Profits 2016'!B7547</f>
        <v>0</v>
      </c>
      <c r="C2331" s="276">
        <f>'Profits 2016'!H7547</f>
        <v>0</v>
      </c>
      <c r="D2331" s="280">
        <f>'Profits 2016'!K7547</f>
        <v>0</v>
      </c>
      <c r="E2331" s="276">
        <f>'Profits 2016'!L7547</f>
        <v>0</v>
      </c>
      <c r="F2331" s="275">
        <f>'Profits 2016'!P7547</f>
        <v>0</v>
      </c>
      <c r="G2331" s="292">
        <f>'Profits 2016'!N7547-'Profits 2016'!M7547</f>
        <v>0</v>
      </c>
      <c r="H2331" s="331"/>
      <c r="I2331" s="332"/>
      <c r="J2331" s="333"/>
      <c r="K2331" s="333"/>
      <c r="L2331" s="333"/>
      <c r="M2331" s="331"/>
      <c r="N2331" s="334"/>
      <c r="O2331" s="236">
        <f>'Profits 2016'!T7547</f>
        <v>0</v>
      </c>
      <c r="P2331" s="284">
        <f>'Profits 2016'!U7547</f>
        <v>0</v>
      </c>
      <c r="AF2331" s="276">
        <f t="shared" si="239"/>
        <v>0</v>
      </c>
      <c r="AG2331" s="276">
        <f t="shared" si="240"/>
        <v>0</v>
      </c>
      <c r="AH2331" s="276">
        <f t="shared" si="241"/>
        <v>0</v>
      </c>
      <c r="AI2331" s="283" t="e">
        <f t="shared" si="242"/>
        <v>#DIV/0!</v>
      </c>
    </row>
    <row r="2332" spans="1:35" x14ac:dyDescent="0.25">
      <c r="A2332" s="275">
        <f>'Profits 2016'!A7548</f>
        <v>0</v>
      </c>
      <c r="B2332" s="279">
        <f>'Profits 2016'!B7548</f>
        <v>0</v>
      </c>
      <c r="C2332" s="276">
        <f>'Profits 2016'!H7548</f>
        <v>0</v>
      </c>
      <c r="D2332" s="280">
        <f>'Profits 2016'!K7548</f>
        <v>0</v>
      </c>
      <c r="E2332" s="276">
        <f>'Profits 2016'!L7548</f>
        <v>0</v>
      </c>
      <c r="F2332" s="275">
        <f>'Profits 2016'!P7548</f>
        <v>0</v>
      </c>
      <c r="G2332" s="292">
        <f>'Profits 2016'!N7548-'Profits 2016'!M7548</f>
        <v>0</v>
      </c>
      <c r="H2332" s="331"/>
      <c r="I2332" s="332"/>
      <c r="J2332" s="333"/>
      <c r="K2332" s="333"/>
      <c r="L2332" s="333"/>
      <c r="M2332" s="331"/>
      <c r="N2332" s="334"/>
      <c r="O2332" s="236">
        <f>'Profits 2016'!T7548</f>
        <v>0</v>
      </c>
      <c r="P2332" s="284">
        <f>'Profits 2016'!U7548</f>
        <v>0</v>
      </c>
      <c r="AF2332" s="276">
        <f t="shared" si="239"/>
        <v>0</v>
      </c>
      <c r="AG2332" s="276">
        <f t="shared" si="240"/>
        <v>0</v>
      </c>
      <c r="AH2332" s="276">
        <f t="shared" si="241"/>
        <v>0</v>
      </c>
      <c r="AI2332" s="283" t="e">
        <f t="shared" si="242"/>
        <v>#DIV/0!</v>
      </c>
    </row>
    <row r="2333" spans="1:35" x14ac:dyDescent="0.25">
      <c r="A2333" s="275">
        <f>'Profits 2016'!A7549</f>
        <v>0</v>
      </c>
      <c r="B2333" s="279">
        <f>'Profits 2016'!B7549</f>
        <v>0</v>
      </c>
      <c r="C2333" s="276">
        <f>'Profits 2016'!H7549</f>
        <v>0</v>
      </c>
      <c r="D2333" s="280">
        <f>'Profits 2016'!K7549</f>
        <v>0</v>
      </c>
      <c r="E2333" s="276">
        <f>'Profits 2016'!L7549</f>
        <v>0</v>
      </c>
      <c r="F2333" s="275">
        <f>'Profits 2016'!P7549</f>
        <v>0</v>
      </c>
      <c r="G2333" s="292">
        <f>'Profits 2016'!N7549-'Profits 2016'!M7549</f>
        <v>0</v>
      </c>
      <c r="H2333" s="331"/>
      <c r="I2333" s="332"/>
      <c r="J2333" s="333"/>
      <c r="K2333" s="333"/>
      <c r="L2333" s="333"/>
      <c r="M2333" s="331"/>
      <c r="N2333" s="334"/>
      <c r="O2333" s="236">
        <f>'Profits 2016'!T7549</f>
        <v>0</v>
      </c>
      <c r="P2333" s="284">
        <f>'Profits 2016'!U7549</f>
        <v>0</v>
      </c>
      <c r="AF2333" s="276">
        <f t="shared" si="239"/>
        <v>0</v>
      </c>
      <c r="AG2333" s="276">
        <f t="shared" si="240"/>
        <v>0</v>
      </c>
      <c r="AH2333" s="276">
        <f t="shared" si="241"/>
        <v>0</v>
      </c>
      <c r="AI2333" s="283" t="e">
        <f t="shared" si="242"/>
        <v>#DIV/0!</v>
      </c>
    </row>
    <row r="2334" spans="1:35" x14ac:dyDescent="0.25">
      <c r="A2334" s="275">
        <f>'Profits 2016'!A7550</f>
        <v>0</v>
      </c>
      <c r="B2334" s="279">
        <f>'Profits 2016'!B7550</f>
        <v>0</v>
      </c>
      <c r="C2334" s="276">
        <f>'Profits 2016'!H7550</f>
        <v>0</v>
      </c>
      <c r="D2334" s="280">
        <f>'Profits 2016'!K7550</f>
        <v>0</v>
      </c>
      <c r="E2334" s="276">
        <f>'Profits 2016'!L7550</f>
        <v>0</v>
      </c>
      <c r="F2334" s="275">
        <f>'Profits 2016'!P7550</f>
        <v>0</v>
      </c>
      <c r="G2334" s="292">
        <f>'Profits 2016'!N7550-'Profits 2016'!M7550</f>
        <v>0</v>
      </c>
      <c r="H2334" s="331"/>
      <c r="I2334" s="332"/>
      <c r="J2334" s="333"/>
      <c r="K2334" s="333"/>
      <c r="L2334" s="333"/>
      <c r="M2334" s="331"/>
      <c r="N2334" s="334"/>
      <c r="O2334" s="236">
        <f>'Profits 2016'!T7550</f>
        <v>0</v>
      </c>
      <c r="P2334" s="284">
        <f>'Profits 2016'!U7550</f>
        <v>0</v>
      </c>
      <c r="AF2334" s="276">
        <f t="shared" si="239"/>
        <v>0</v>
      </c>
      <c r="AG2334" s="276">
        <f t="shared" si="240"/>
        <v>0</v>
      </c>
      <c r="AH2334" s="276">
        <f t="shared" si="241"/>
        <v>0</v>
      </c>
      <c r="AI2334" s="283" t="e">
        <f t="shared" si="242"/>
        <v>#DIV/0!</v>
      </c>
    </row>
    <row r="2335" spans="1:35" x14ac:dyDescent="0.25">
      <c r="A2335" s="275">
        <f>'Profits 2016'!A7551</f>
        <v>0</v>
      </c>
      <c r="B2335" s="279">
        <f>'Profits 2016'!B7551</f>
        <v>0</v>
      </c>
      <c r="C2335" s="276">
        <f>'Profits 2016'!H7551</f>
        <v>0</v>
      </c>
      <c r="D2335" s="280">
        <f>'Profits 2016'!K7551</f>
        <v>0</v>
      </c>
      <c r="E2335" s="276">
        <f>'Profits 2016'!L7551</f>
        <v>0</v>
      </c>
      <c r="F2335" s="275">
        <f>'Profits 2016'!P7551</f>
        <v>0</v>
      </c>
      <c r="G2335" s="292">
        <f>'Profits 2016'!N7551-'Profits 2016'!M7551</f>
        <v>0</v>
      </c>
      <c r="H2335" s="331"/>
      <c r="I2335" s="332"/>
      <c r="J2335" s="333"/>
      <c r="K2335" s="333"/>
      <c r="L2335" s="333"/>
      <c r="M2335" s="331"/>
      <c r="N2335" s="334"/>
      <c r="O2335" s="236">
        <f>'Profits 2016'!T7551</f>
        <v>0</v>
      </c>
      <c r="P2335" s="284">
        <f>'Profits 2016'!U7551</f>
        <v>0</v>
      </c>
      <c r="AF2335" s="276">
        <f t="shared" si="239"/>
        <v>0</v>
      </c>
      <c r="AG2335" s="276">
        <f t="shared" si="240"/>
        <v>0</v>
      </c>
      <c r="AH2335" s="276">
        <f t="shared" si="241"/>
        <v>0</v>
      </c>
      <c r="AI2335" s="283" t="e">
        <f t="shared" si="242"/>
        <v>#DIV/0!</v>
      </c>
    </row>
    <row r="2336" spans="1:35" x14ac:dyDescent="0.25">
      <c r="A2336" s="275">
        <f>'Profits 2016'!A7552</f>
        <v>0</v>
      </c>
      <c r="B2336" s="279">
        <f>'Profits 2016'!B7552</f>
        <v>0</v>
      </c>
      <c r="C2336" s="276">
        <f>'Profits 2016'!H7552</f>
        <v>0</v>
      </c>
      <c r="D2336" s="280">
        <f>'Profits 2016'!K7552</f>
        <v>0</v>
      </c>
      <c r="E2336" s="276">
        <f>'Profits 2016'!L7552</f>
        <v>0</v>
      </c>
      <c r="F2336" s="275">
        <f>'Profits 2016'!P7552</f>
        <v>0</v>
      </c>
      <c r="G2336" s="292">
        <f>'Profits 2016'!N7552-'Profits 2016'!M7552</f>
        <v>0</v>
      </c>
      <c r="H2336" s="331"/>
      <c r="I2336" s="332"/>
      <c r="J2336" s="333"/>
      <c r="K2336" s="333"/>
      <c r="L2336" s="333"/>
      <c r="M2336" s="331"/>
      <c r="N2336" s="334"/>
      <c r="O2336" s="236">
        <f>'Profits 2016'!T7552</f>
        <v>0</v>
      </c>
      <c r="P2336" s="284">
        <f>'Profits 2016'!U7552</f>
        <v>0</v>
      </c>
      <c r="AF2336" s="276">
        <f t="shared" si="239"/>
        <v>0</v>
      </c>
      <c r="AG2336" s="276">
        <f t="shared" si="240"/>
        <v>0</v>
      </c>
      <c r="AH2336" s="276">
        <f t="shared" si="241"/>
        <v>0</v>
      </c>
      <c r="AI2336" s="283" t="e">
        <f t="shared" si="242"/>
        <v>#DIV/0!</v>
      </c>
    </row>
    <row r="2337" spans="1:35" x14ac:dyDescent="0.25">
      <c r="A2337" s="275">
        <f>'Profits 2016'!A7553</f>
        <v>0</v>
      </c>
      <c r="B2337" s="279">
        <f>'Profits 2016'!B7553</f>
        <v>0</v>
      </c>
      <c r="C2337" s="276">
        <f>'Profits 2016'!H7553</f>
        <v>0</v>
      </c>
      <c r="D2337" s="280">
        <f>'Profits 2016'!K7553</f>
        <v>0</v>
      </c>
      <c r="E2337" s="276">
        <f>'Profits 2016'!L7553</f>
        <v>0</v>
      </c>
      <c r="F2337" s="275">
        <f>'Profits 2016'!P7553</f>
        <v>0</v>
      </c>
      <c r="G2337" s="292">
        <f>'Profits 2016'!N7553-'Profits 2016'!M7553</f>
        <v>0</v>
      </c>
      <c r="H2337" s="331"/>
      <c r="I2337" s="332"/>
      <c r="J2337" s="333"/>
      <c r="K2337" s="333"/>
      <c r="L2337" s="333"/>
      <c r="M2337" s="331"/>
      <c r="N2337" s="334"/>
      <c r="O2337" s="236">
        <f>'Profits 2016'!T7553</f>
        <v>0</v>
      </c>
      <c r="P2337" s="284">
        <f>'Profits 2016'!U7553</f>
        <v>0</v>
      </c>
      <c r="AF2337" s="276">
        <f t="shared" si="239"/>
        <v>0</v>
      </c>
      <c r="AG2337" s="276">
        <f t="shared" si="240"/>
        <v>0</v>
      </c>
      <c r="AH2337" s="276">
        <f t="shared" si="241"/>
        <v>0</v>
      </c>
      <c r="AI2337" s="283" t="e">
        <f t="shared" si="242"/>
        <v>#DIV/0!</v>
      </c>
    </row>
    <row r="2338" spans="1:35" x14ac:dyDescent="0.25">
      <c r="A2338" s="275">
        <f>'Profits 2016'!A7554</f>
        <v>0</v>
      </c>
      <c r="B2338" s="279">
        <f>'Profits 2016'!B7554</f>
        <v>0</v>
      </c>
      <c r="C2338" s="276">
        <f>'Profits 2016'!H7554</f>
        <v>0</v>
      </c>
      <c r="D2338" s="280">
        <f>'Profits 2016'!K7554</f>
        <v>0</v>
      </c>
      <c r="E2338" s="276">
        <f>'Profits 2016'!L7554</f>
        <v>0</v>
      </c>
      <c r="F2338" s="275">
        <f>'Profits 2016'!P7554</f>
        <v>0</v>
      </c>
      <c r="G2338" s="292">
        <f>'Profits 2016'!N7554-'Profits 2016'!M7554</f>
        <v>0</v>
      </c>
      <c r="H2338" s="331"/>
      <c r="I2338" s="332"/>
      <c r="J2338" s="333"/>
      <c r="K2338" s="333"/>
      <c r="L2338" s="333"/>
      <c r="M2338" s="331"/>
      <c r="N2338" s="334"/>
      <c r="O2338" s="236">
        <f>'Profits 2016'!T7554</f>
        <v>0</v>
      </c>
      <c r="P2338" s="284">
        <f>'Profits 2016'!U7554</f>
        <v>0</v>
      </c>
      <c r="AF2338" s="276">
        <f t="shared" si="239"/>
        <v>0</v>
      </c>
      <c r="AG2338" s="276">
        <f t="shared" si="240"/>
        <v>0</v>
      </c>
      <c r="AH2338" s="276">
        <f t="shared" si="241"/>
        <v>0</v>
      </c>
      <c r="AI2338" s="283" t="e">
        <f t="shared" si="242"/>
        <v>#DIV/0!</v>
      </c>
    </row>
    <row r="2339" spans="1:35" x14ac:dyDescent="0.25">
      <c r="A2339" s="275">
        <f>'Profits 2016'!A7555</f>
        <v>0</v>
      </c>
      <c r="B2339" s="279">
        <f>'Profits 2016'!B7555</f>
        <v>0</v>
      </c>
      <c r="C2339" s="276">
        <f>'Profits 2016'!H7555</f>
        <v>0</v>
      </c>
      <c r="D2339" s="280">
        <f>'Profits 2016'!K7555</f>
        <v>0</v>
      </c>
      <c r="E2339" s="276">
        <f>'Profits 2016'!L7555</f>
        <v>0</v>
      </c>
      <c r="F2339" s="275">
        <f>'Profits 2016'!P7555</f>
        <v>0</v>
      </c>
      <c r="G2339" s="292">
        <f>'Profits 2016'!N7555-'Profits 2016'!M7555</f>
        <v>0</v>
      </c>
      <c r="H2339" s="331"/>
      <c r="I2339" s="332"/>
      <c r="J2339" s="333"/>
      <c r="K2339" s="333"/>
      <c r="L2339" s="333"/>
      <c r="M2339" s="331"/>
      <c r="N2339" s="334"/>
      <c r="O2339" s="236">
        <f>'Profits 2016'!T7555</f>
        <v>0</v>
      </c>
      <c r="P2339" s="284">
        <f>'Profits 2016'!U7555</f>
        <v>0</v>
      </c>
      <c r="AF2339" s="276">
        <f t="shared" si="239"/>
        <v>0</v>
      </c>
      <c r="AG2339" s="276">
        <f t="shared" si="240"/>
        <v>0</v>
      </c>
      <c r="AH2339" s="276">
        <f t="shared" si="241"/>
        <v>0</v>
      </c>
      <c r="AI2339" s="283" t="e">
        <f t="shared" si="242"/>
        <v>#DIV/0!</v>
      </c>
    </row>
    <row r="2340" spans="1:35" x14ac:dyDescent="0.25">
      <c r="A2340" s="275">
        <f>'Profits 2016'!A7556</f>
        <v>0</v>
      </c>
      <c r="B2340" s="279">
        <f>'Profits 2016'!B7556</f>
        <v>0</v>
      </c>
      <c r="C2340" s="276">
        <f>'Profits 2016'!H7556</f>
        <v>0</v>
      </c>
      <c r="D2340" s="280">
        <f>'Profits 2016'!K7556</f>
        <v>0</v>
      </c>
      <c r="E2340" s="276">
        <f>'Profits 2016'!L7556</f>
        <v>0</v>
      </c>
      <c r="F2340" s="275">
        <f>'Profits 2016'!P7556</f>
        <v>0</v>
      </c>
      <c r="G2340" s="292">
        <f>'Profits 2016'!N7556-'Profits 2016'!M7556</f>
        <v>0</v>
      </c>
      <c r="H2340" s="331"/>
      <c r="I2340" s="332"/>
      <c r="J2340" s="333"/>
      <c r="K2340" s="333"/>
      <c r="L2340" s="333"/>
      <c r="M2340" s="331"/>
      <c r="N2340" s="334"/>
      <c r="O2340" s="236">
        <f>'Profits 2016'!T7556</f>
        <v>0</v>
      </c>
      <c r="P2340" s="284">
        <f>'Profits 2016'!U7556</f>
        <v>0</v>
      </c>
      <c r="AF2340" s="276">
        <f t="shared" si="239"/>
        <v>0</v>
      </c>
      <c r="AG2340" s="276">
        <f t="shared" si="240"/>
        <v>0</v>
      </c>
      <c r="AH2340" s="276">
        <f t="shared" si="241"/>
        <v>0</v>
      </c>
      <c r="AI2340" s="283" t="e">
        <f t="shared" si="242"/>
        <v>#DIV/0!</v>
      </c>
    </row>
    <row r="2341" spans="1:35" x14ac:dyDescent="0.25">
      <c r="A2341" s="275">
        <f>'Profits 2016'!A7557</f>
        <v>0</v>
      </c>
      <c r="B2341" s="279">
        <f>'Profits 2016'!B7557</f>
        <v>0</v>
      </c>
      <c r="C2341" s="276">
        <f>'Profits 2016'!H7557</f>
        <v>0</v>
      </c>
      <c r="D2341" s="280">
        <f>'Profits 2016'!K7557</f>
        <v>0</v>
      </c>
      <c r="E2341" s="276">
        <f>'Profits 2016'!L7557</f>
        <v>0</v>
      </c>
      <c r="F2341" s="275">
        <f>'Profits 2016'!P7557</f>
        <v>0</v>
      </c>
      <c r="G2341" s="292">
        <f>'Profits 2016'!N7557-'Profits 2016'!M7557</f>
        <v>0</v>
      </c>
      <c r="H2341" s="331"/>
      <c r="I2341" s="332"/>
      <c r="J2341" s="333"/>
      <c r="K2341" s="333"/>
      <c r="L2341" s="333"/>
      <c r="M2341" s="331"/>
      <c r="N2341" s="334"/>
      <c r="O2341" s="236">
        <f>'Profits 2016'!T7557</f>
        <v>0</v>
      </c>
      <c r="P2341" s="284">
        <f>'Profits 2016'!U7557</f>
        <v>0</v>
      </c>
      <c r="AF2341" s="276">
        <f t="shared" si="239"/>
        <v>0</v>
      </c>
      <c r="AG2341" s="276">
        <f t="shared" si="240"/>
        <v>0</v>
      </c>
      <c r="AH2341" s="276">
        <f t="shared" si="241"/>
        <v>0</v>
      </c>
      <c r="AI2341" s="283" t="e">
        <f t="shared" si="242"/>
        <v>#DIV/0!</v>
      </c>
    </row>
    <row r="2342" spans="1:35" x14ac:dyDescent="0.25">
      <c r="A2342" s="275">
        <f>'Profits 2016'!A7558</f>
        <v>0</v>
      </c>
      <c r="B2342" s="279">
        <f>'Profits 2016'!B7558</f>
        <v>0</v>
      </c>
      <c r="C2342" s="276">
        <f>'Profits 2016'!H7558</f>
        <v>0</v>
      </c>
      <c r="D2342" s="280">
        <f>'Profits 2016'!K7558</f>
        <v>0</v>
      </c>
      <c r="E2342" s="276">
        <f>'Profits 2016'!L7558</f>
        <v>0</v>
      </c>
      <c r="F2342" s="275">
        <f>'Profits 2016'!P7558</f>
        <v>0</v>
      </c>
      <c r="G2342" s="292">
        <f>'Profits 2016'!N7558-'Profits 2016'!M7558</f>
        <v>0</v>
      </c>
      <c r="H2342" s="331"/>
      <c r="I2342" s="332"/>
      <c r="J2342" s="333"/>
      <c r="K2342" s="333"/>
      <c r="L2342" s="333"/>
      <c r="M2342" s="331"/>
      <c r="N2342" s="334"/>
      <c r="O2342" s="236">
        <f>'Profits 2016'!T7558</f>
        <v>0</v>
      </c>
      <c r="P2342" s="284">
        <f>'Profits 2016'!U7558</f>
        <v>0</v>
      </c>
      <c r="AF2342" s="276">
        <f t="shared" si="239"/>
        <v>0</v>
      </c>
      <c r="AG2342" s="276">
        <f t="shared" si="240"/>
        <v>0</v>
      </c>
      <c r="AH2342" s="276">
        <f t="shared" si="241"/>
        <v>0</v>
      </c>
      <c r="AI2342" s="283" t="e">
        <f t="shared" si="242"/>
        <v>#DIV/0!</v>
      </c>
    </row>
    <row r="2343" spans="1:35" x14ac:dyDescent="0.25">
      <c r="A2343" s="275">
        <f>'Profits 2016'!A7559</f>
        <v>0</v>
      </c>
      <c r="B2343" s="279">
        <f>'Profits 2016'!B7559</f>
        <v>0</v>
      </c>
      <c r="C2343" s="276">
        <f>'Profits 2016'!H7559</f>
        <v>0</v>
      </c>
      <c r="D2343" s="280">
        <f>'Profits 2016'!K7559</f>
        <v>0</v>
      </c>
      <c r="E2343" s="276">
        <f>'Profits 2016'!L7559</f>
        <v>0</v>
      </c>
      <c r="F2343" s="275">
        <f>'Profits 2016'!P7559</f>
        <v>0</v>
      </c>
      <c r="G2343" s="292">
        <f>'Profits 2016'!N7559-'Profits 2016'!M7559</f>
        <v>0</v>
      </c>
      <c r="H2343" s="331"/>
      <c r="I2343" s="332"/>
      <c r="J2343" s="333"/>
      <c r="K2343" s="333"/>
      <c r="L2343" s="333"/>
      <c r="M2343" s="331"/>
      <c r="N2343" s="334"/>
      <c r="O2343" s="236">
        <f>'Profits 2016'!T7559</f>
        <v>0</v>
      </c>
      <c r="P2343" s="284">
        <f>'Profits 2016'!U7559</f>
        <v>0</v>
      </c>
      <c r="AF2343" s="276">
        <f t="shared" si="239"/>
        <v>0</v>
      </c>
      <c r="AG2343" s="276">
        <f t="shared" si="240"/>
        <v>0</v>
      </c>
      <c r="AH2343" s="276">
        <f t="shared" si="241"/>
        <v>0</v>
      </c>
      <c r="AI2343" s="283" t="e">
        <f t="shared" si="242"/>
        <v>#DIV/0!</v>
      </c>
    </row>
    <row r="2344" spans="1:35" x14ac:dyDescent="0.25">
      <c r="A2344" s="275">
        <f>'Profits 2016'!A7560</f>
        <v>0</v>
      </c>
      <c r="B2344" s="279">
        <f>'Profits 2016'!B7560</f>
        <v>0</v>
      </c>
      <c r="C2344" s="276">
        <f>'Profits 2016'!H7560</f>
        <v>0</v>
      </c>
      <c r="D2344" s="280">
        <f>'Profits 2016'!K7560</f>
        <v>0</v>
      </c>
      <c r="E2344" s="276">
        <f>'Profits 2016'!L7560</f>
        <v>0</v>
      </c>
      <c r="F2344" s="275">
        <f>'Profits 2016'!P7560</f>
        <v>0</v>
      </c>
      <c r="G2344" s="292">
        <f>'Profits 2016'!N7560-'Profits 2016'!M7560</f>
        <v>0</v>
      </c>
      <c r="H2344" s="331"/>
      <c r="I2344" s="332"/>
      <c r="J2344" s="333"/>
      <c r="K2344" s="333"/>
      <c r="L2344" s="333"/>
      <c r="M2344" s="331"/>
      <c r="N2344" s="334"/>
      <c r="O2344" s="236">
        <f>'Profits 2016'!T7560</f>
        <v>0</v>
      </c>
      <c r="P2344" s="284">
        <f>'Profits 2016'!U7560</f>
        <v>0</v>
      </c>
      <c r="AF2344" s="276">
        <f t="shared" si="239"/>
        <v>0</v>
      </c>
      <c r="AG2344" s="276">
        <f t="shared" si="240"/>
        <v>0</v>
      </c>
      <c r="AH2344" s="276">
        <f t="shared" si="241"/>
        <v>0</v>
      </c>
      <c r="AI2344" s="283" t="e">
        <f t="shared" si="242"/>
        <v>#DIV/0!</v>
      </c>
    </row>
    <row r="2345" spans="1:35" x14ac:dyDescent="0.25">
      <c r="A2345" s="275">
        <f>'Profits 2016'!A7561</f>
        <v>0</v>
      </c>
      <c r="B2345" s="279">
        <f>'Profits 2016'!B7561</f>
        <v>0</v>
      </c>
      <c r="C2345" s="276">
        <f>'Profits 2016'!H7561</f>
        <v>0</v>
      </c>
      <c r="D2345" s="280">
        <f>'Profits 2016'!K7561</f>
        <v>0</v>
      </c>
      <c r="E2345" s="276">
        <f>'Profits 2016'!L7561</f>
        <v>0</v>
      </c>
      <c r="F2345" s="275">
        <f>'Profits 2016'!P7561</f>
        <v>0</v>
      </c>
      <c r="G2345" s="292">
        <f>'Profits 2016'!N7561-'Profits 2016'!M7561</f>
        <v>0</v>
      </c>
      <c r="H2345" s="331"/>
      <c r="I2345" s="332"/>
      <c r="J2345" s="333"/>
      <c r="K2345" s="333"/>
      <c r="L2345" s="333"/>
      <c r="M2345" s="331"/>
      <c r="N2345" s="334"/>
      <c r="O2345" s="236">
        <f>'Profits 2016'!T7561</f>
        <v>0</v>
      </c>
      <c r="P2345" s="284">
        <f>'Profits 2016'!U7561</f>
        <v>0</v>
      </c>
      <c r="AF2345" s="276">
        <f t="shared" si="239"/>
        <v>0</v>
      </c>
      <c r="AG2345" s="276">
        <f t="shared" si="240"/>
        <v>0</v>
      </c>
      <c r="AH2345" s="276">
        <f t="shared" si="241"/>
        <v>0</v>
      </c>
      <c r="AI2345" s="283" t="e">
        <f t="shared" si="242"/>
        <v>#DIV/0!</v>
      </c>
    </row>
    <row r="2346" spans="1:35" x14ac:dyDescent="0.25">
      <c r="A2346" s="275">
        <f>'Profits 2016'!A7562</f>
        <v>0</v>
      </c>
      <c r="B2346" s="279">
        <f>'Profits 2016'!B7562</f>
        <v>0</v>
      </c>
      <c r="C2346" s="276">
        <f>'Profits 2016'!H7562</f>
        <v>0</v>
      </c>
      <c r="D2346" s="280">
        <f>'Profits 2016'!K7562</f>
        <v>0</v>
      </c>
      <c r="E2346" s="276">
        <f>'Profits 2016'!L7562</f>
        <v>0</v>
      </c>
      <c r="F2346" s="275">
        <f>'Profits 2016'!P7562</f>
        <v>0</v>
      </c>
      <c r="G2346" s="292">
        <f>'Profits 2016'!N7562-'Profits 2016'!M7562</f>
        <v>0</v>
      </c>
      <c r="H2346" s="331"/>
      <c r="I2346" s="332"/>
      <c r="J2346" s="333"/>
      <c r="K2346" s="333"/>
      <c r="L2346" s="333"/>
      <c r="M2346" s="331"/>
      <c r="N2346" s="334"/>
      <c r="O2346" s="236">
        <f>'Profits 2016'!T7562</f>
        <v>0</v>
      </c>
      <c r="P2346" s="284">
        <f>'Profits 2016'!U7562</f>
        <v>0</v>
      </c>
      <c r="AF2346" s="276">
        <f t="shared" si="239"/>
        <v>0</v>
      </c>
      <c r="AG2346" s="276">
        <f t="shared" si="240"/>
        <v>0</v>
      </c>
      <c r="AH2346" s="276">
        <f t="shared" si="241"/>
        <v>0</v>
      </c>
      <c r="AI2346" s="283" t="e">
        <f t="shared" si="242"/>
        <v>#DIV/0!</v>
      </c>
    </row>
    <row r="2347" spans="1:35" x14ac:dyDescent="0.25">
      <c r="A2347" s="275">
        <f>'Profits 2016'!A7563</f>
        <v>0</v>
      </c>
      <c r="B2347" s="279">
        <f>'Profits 2016'!B7563</f>
        <v>0</v>
      </c>
      <c r="C2347" s="276">
        <f>'Profits 2016'!H7563</f>
        <v>0</v>
      </c>
      <c r="D2347" s="280">
        <f>'Profits 2016'!K7563</f>
        <v>0</v>
      </c>
      <c r="E2347" s="276">
        <f>'Profits 2016'!L7563</f>
        <v>0</v>
      </c>
      <c r="F2347" s="275">
        <f>'Profits 2016'!P7563</f>
        <v>0</v>
      </c>
      <c r="G2347" s="292">
        <f>'Profits 2016'!N7563-'Profits 2016'!M7563</f>
        <v>0</v>
      </c>
      <c r="H2347" s="331"/>
      <c r="I2347" s="332"/>
      <c r="J2347" s="333"/>
      <c r="K2347" s="333"/>
      <c r="L2347" s="333"/>
      <c r="M2347" s="331"/>
      <c r="N2347" s="334"/>
      <c r="O2347" s="236">
        <f>'Profits 2016'!T7563</f>
        <v>0</v>
      </c>
      <c r="P2347" s="284">
        <f>'Profits 2016'!U7563</f>
        <v>0</v>
      </c>
      <c r="AF2347" s="276">
        <f t="shared" si="239"/>
        <v>0</v>
      </c>
      <c r="AG2347" s="276">
        <f t="shared" si="240"/>
        <v>0</v>
      </c>
      <c r="AH2347" s="276">
        <f t="shared" si="241"/>
        <v>0</v>
      </c>
      <c r="AI2347" s="283" t="e">
        <f t="shared" si="242"/>
        <v>#DIV/0!</v>
      </c>
    </row>
    <row r="2348" spans="1:35" x14ac:dyDescent="0.25">
      <c r="A2348" s="275">
        <f>'Profits 2016'!A7564</f>
        <v>0</v>
      </c>
      <c r="B2348" s="279">
        <f>'Profits 2016'!B7564</f>
        <v>0</v>
      </c>
      <c r="C2348" s="276">
        <f>'Profits 2016'!H7564</f>
        <v>0</v>
      </c>
      <c r="D2348" s="280">
        <f>'Profits 2016'!K7564</f>
        <v>0</v>
      </c>
      <c r="E2348" s="276">
        <f>'Profits 2016'!L7564</f>
        <v>0</v>
      </c>
      <c r="F2348" s="275">
        <f>'Profits 2016'!P7564</f>
        <v>0</v>
      </c>
      <c r="G2348" s="292">
        <f>'Profits 2016'!N7564-'Profits 2016'!M7564</f>
        <v>0</v>
      </c>
      <c r="H2348" s="331"/>
      <c r="I2348" s="332"/>
      <c r="J2348" s="333"/>
      <c r="K2348" s="333"/>
      <c r="L2348" s="333"/>
      <c r="M2348" s="331"/>
      <c r="N2348" s="334"/>
      <c r="O2348" s="236">
        <f>'Profits 2016'!T7564</f>
        <v>0</v>
      </c>
      <c r="P2348" s="284">
        <f>'Profits 2016'!U7564</f>
        <v>0</v>
      </c>
      <c r="AF2348" s="276">
        <f t="shared" si="239"/>
        <v>0</v>
      </c>
      <c r="AG2348" s="276">
        <f t="shared" si="240"/>
        <v>0</v>
      </c>
      <c r="AH2348" s="276">
        <f t="shared" si="241"/>
        <v>0</v>
      </c>
      <c r="AI2348" s="283" t="e">
        <f t="shared" si="242"/>
        <v>#DIV/0!</v>
      </c>
    </row>
    <row r="2349" spans="1:35" x14ac:dyDescent="0.25">
      <c r="A2349" s="275">
        <f>'Profits 2016'!A7565</f>
        <v>0</v>
      </c>
      <c r="B2349" s="279">
        <f>'Profits 2016'!B7565</f>
        <v>0</v>
      </c>
      <c r="C2349" s="276">
        <f>'Profits 2016'!H7565</f>
        <v>0</v>
      </c>
      <c r="D2349" s="280">
        <f>'Profits 2016'!K7565</f>
        <v>0</v>
      </c>
      <c r="E2349" s="276">
        <f>'Profits 2016'!L7565</f>
        <v>0</v>
      </c>
      <c r="F2349" s="275">
        <f>'Profits 2016'!P7565</f>
        <v>0</v>
      </c>
      <c r="G2349" s="292">
        <f>'Profits 2016'!N7565-'Profits 2016'!M7565</f>
        <v>0</v>
      </c>
      <c r="H2349" s="331"/>
      <c r="I2349" s="332"/>
      <c r="J2349" s="333"/>
      <c r="K2349" s="333"/>
      <c r="L2349" s="333"/>
      <c r="M2349" s="331"/>
      <c r="N2349" s="334"/>
      <c r="O2349" s="236">
        <f>'Profits 2016'!T7565</f>
        <v>0</v>
      </c>
      <c r="P2349" s="284">
        <f>'Profits 2016'!U7565</f>
        <v>0</v>
      </c>
      <c r="AF2349" s="276">
        <f t="shared" si="239"/>
        <v>0</v>
      </c>
      <c r="AG2349" s="276">
        <f t="shared" si="240"/>
        <v>0</v>
      </c>
      <c r="AH2349" s="276">
        <f t="shared" si="241"/>
        <v>0</v>
      </c>
      <c r="AI2349" s="283" t="e">
        <f t="shared" si="242"/>
        <v>#DIV/0!</v>
      </c>
    </row>
    <row r="2350" spans="1:35" x14ac:dyDescent="0.25">
      <c r="A2350" s="275">
        <f>'Profits 2016'!A7566</f>
        <v>0</v>
      </c>
      <c r="B2350" s="279">
        <f>'Profits 2016'!B7566</f>
        <v>0</v>
      </c>
      <c r="C2350" s="276">
        <f>'Profits 2016'!H7566</f>
        <v>0</v>
      </c>
      <c r="D2350" s="280">
        <f>'Profits 2016'!K7566</f>
        <v>0</v>
      </c>
      <c r="E2350" s="276">
        <f>'Profits 2016'!L7566</f>
        <v>0</v>
      </c>
      <c r="F2350" s="275">
        <f>'Profits 2016'!P7566</f>
        <v>0</v>
      </c>
      <c r="G2350" s="292">
        <f>'Profits 2016'!N7566-'Profits 2016'!M7566</f>
        <v>0</v>
      </c>
      <c r="H2350" s="331"/>
      <c r="I2350" s="332"/>
      <c r="J2350" s="333"/>
      <c r="K2350" s="333"/>
      <c r="L2350" s="333"/>
      <c r="M2350" s="331"/>
      <c r="N2350" s="334"/>
      <c r="O2350" s="236">
        <f>'Profits 2016'!T7566</f>
        <v>0</v>
      </c>
      <c r="P2350" s="284">
        <f>'Profits 2016'!U7566</f>
        <v>0</v>
      </c>
      <c r="AF2350" s="276">
        <f t="shared" si="239"/>
        <v>0</v>
      </c>
      <c r="AG2350" s="276">
        <f t="shared" si="240"/>
        <v>0</v>
      </c>
      <c r="AH2350" s="276">
        <f t="shared" si="241"/>
        <v>0</v>
      </c>
      <c r="AI2350" s="283" t="e">
        <f t="shared" si="242"/>
        <v>#DIV/0!</v>
      </c>
    </row>
    <row r="2351" spans="1:35" x14ac:dyDescent="0.25">
      <c r="A2351" s="275">
        <f>'Profits 2016'!A7567</f>
        <v>0</v>
      </c>
      <c r="B2351" s="279">
        <f>'Profits 2016'!B7567</f>
        <v>0</v>
      </c>
      <c r="C2351" s="276">
        <f>'Profits 2016'!H7567</f>
        <v>0</v>
      </c>
      <c r="D2351" s="280">
        <f>'Profits 2016'!K7567</f>
        <v>0</v>
      </c>
      <c r="E2351" s="276">
        <f>'Profits 2016'!L7567</f>
        <v>0</v>
      </c>
      <c r="F2351" s="275">
        <f>'Profits 2016'!P7567</f>
        <v>0</v>
      </c>
      <c r="G2351" s="292">
        <f>'Profits 2016'!N7567-'Profits 2016'!M7567</f>
        <v>0</v>
      </c>
      <c r="H2351" s="331"/>
      <c r="I2351" s="332"/>
      <c r="J2351" s="333"/>
      <c r="K2351" s="333"/>
      <c r="L2351" s="333"/>
      <c r="M2351" s="331"/>
      <c r="N2351" s="334"/>
      <c r="O2351" s="236">
        <f>'Profits 2016'!T7567</f>
        <v>0</v>
      </c>
      <c r="P2351" s="284">
        <f>'Profits 2016'!U7567</f>
        <v>0</v>
      </c>
      <c r="AF2351" s="276">
        <f t="shared" si="239"/>
        <v>0</v>
      </c>
      <c r="AG2351" s="276">
        <f t="shared" si="240"/>
        <v>0</v>
      </c>
      <c r="AH2351" s="276">
        <f t="shared" si="241"/>
        <v>0</v>
      </c>
      <c r="AI2351" s="283" t="e">
        <f t="shared" si="242"/>
        <v>#DIV/0!</v>
      </c>
    </row>
    <row r="2352" spans="1:35" x14ac:dyDescent="0.25">
      <c r="A2352" s="275">
        <f>'Profits 2016'!A7568</f>
        <v>0</v>
      </c>
      <c r="B2352" s="279">
        <f>'Profits 2016'!B7568</f>
        <v>0</v>
      </c>
      <c r="C2352" s="276">
        <f>'Profits 2016'!H7568</f>
        <v>0</v>
      </c>
      <c r="D2352" s="280">
        <f>'Profits 2016'!K7568</f>
        <v>0</v>
      </c>
      <c r="E2352" s="276">
        <f>'Profits 2016'!L7568</f>
        <v>0</v>
      </c>
      <c r="F2352" s="275">
        <f>'Profits 2016'!P7568</f>
        <v>0</v>
      </c>
      <c r="G2352" s="292">
        <f>'Profits 2016'!N7568-'Profits 2016'!M7568</f>
        <v>0</v>
      </c>
      <c r="H2352" s="331"/>
      <c r="I2352" s="332"/>
      <c r="J2352" s="333"/>
      <c r="K2352" s="333"/>
      <c r="L2352" s="333"/>
      <c r="M2352" s="331"/>
      <c r="N2352" s="334"/>
      <c r="O2352" s="236">
        <f>'Profits 2016'!T7568</f>
        <v>0</v>
      </c>
      <c r="P2352" s="284">
        <f>'Profits 2016'!U7568</f>
        <v>0</v>
      </c>
      <c r="AF2352" s="276">
        <f t="shared" ref="AF2352" si="243">G2352+H2353+R2352+Y2352</f>
        <v>0</v>
      </c>
      <c r="AG2352" s="276">
        <f t="shared" ref="AG2352" si="244">M2352+R2352+Y2352</f>
        <v>0</v>
      </c>
      <c r="AH2352" s="276">
        <f t="shared" ref="AH2352" si="245">D2352-AG2352</f>
        <v>0</v>
      </c>
      <c r="AI2352" s="283" t="e">
        <f t="shared" ref="AI2352" si="246">AH2352/AF2352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C23" sqref="C23"/>
    </sheetView>
  </sheetViews>
  <sheetFormatPr defaultRowHeight="15" x14ac:dyDescent="0.25"/>
  <cols>
    <col min="2" max="2" width="9.28515625" bestFit="1" customWidth="1"/>
    <col min="3" max="3" width="31.42578125" bestFit="1" customWidth="1"/>
    <col min="4" max="4" width="18.85546875" customWidth="1"/>
    <col min="5" max="5" width="47.85546875" bestFit="1" customWidth="1"/>
    <col min="6" max="6" width="29.7109375" customWidth="1"/>
    <col min="7" max="7" width="12.85546875" bestFit="1" customWidth="1"/>
    <col min="8" max="8" width="7.140625" bestFit="1" customWidth="1"/>
    <col min="9" max="9" width="19.42578125" bestFit="1" customWidth="1"/>
  </cols>
  <sheetData>
    <row r="1" spans="1:9" ht="15.75" x14ac:dyDescent="0.25">
      <c r="A1" s="234" t="s">
        <v>0</v>
      </c>
      <c r="B1" s="234" t="s">
        <v>11</v>
      </c>
      <c r="C1" s="234" t="s">
        <v>15947</v>
      </c>
      <c r="D1" s="234" t="s">
        <v>16</v>
      </c>
      <c r="E1" s="234" t="s">
        <v>15948</v>
      </c>
      <c r="F1" s="234" t="s">
        <v>15949</v>
      </c>
      <c r="G1" s="234" t="s">
        <v>15950</v>
      </c>
      <c r="H1" s="234" t="s">
        <v>15951</v>
      </c>
      <c r="I1" s="239" t="s">
        <v>15952</v>
      </c>
    </row>
    <row r="2" spans="1:9" x14ac:dyDescent="0.25">
      <c r="A2" t="s">
        <v>15953</v>
      </c>
      <c r="B2" t="s">
        <v>7593</v>
      </c>
      <c r="C2" s="235" t="s">
        <v>15954</v>
      </c>
      <c r="D2" t="s">
        <v>15955</v>
      </c>
      <c r="E2" t="s">
        <v>15956</v>
      </c>
      <c r="F2">
        <v>1</v>
      </c>
      <c r="H2" t="s">
        <v>15957</v>
      </c>
      <c r="I2" t="s">
        <v>15958</v>
      </c>
    </row>
    <row r="3" spans="1:9" x14ac:dyDescent="0.25">
      <c r="A3" s="401">
        <v>3002519</v>
      </c>
      <c r="B3" t="s">
        <v>7418</v>
      </c>
      <c r="C3" s="235" t="s">
        <v>15959</v>
      </c>
      <c r="E3" t="s">
        <v>15960</v>
      </c>
      <c r="F3">
        <v>1</v>
      </c>
      <c r="H3" t="s">
        <v>15961</v>
      </c>
      <c r="I3" t="s">
        <v>15958</v>
      </c>
    </row>
    <row r="4" spans="1:9" x14ac:dyDescent="0.25">
      <c r="A4" s="238">
        <v>3002454</v>
      </c>
      <c r="B4" t="s">
        <v>15962</v>
      </c>
      <c r="C4" s="235" t="s">
        <v>15963</v>
      </c>
      <c r="E4" t="s">
        <v>15964</v>
      </c>
      <c r="F4" t="s">
        <v>15965</v>
      </c>
      <c r="H4" t="s">
        <v>15961</v>
      </c>
      <c r="I4" t="s">
        <v>15958</v>
      </c>
    </row>
    <row r="5" spans="1:9" ht="60" x14ac:dyDescent="0.25">
      <c r="A5" s="238">
        <v>3002492</v>
      </c>
      <c r="B5" t="s">
        <v>15966</v>
      </c>
      <c r="C5" s="235" t="s">
        <v>15967</v>
      </c>
      <c r="D5" s="236" t="s">
        <v>15968</v>
      </c>
      <c r="E5" t="s">
        <v>15969</v>
      </c>
      <c r="F5">
        <v>1</v>
      </c>
      <c r="G5" t="s">
        <v>15970</v>
      </c>
      <c r="H5" t="s">
        <v>15957</v>
      </c>
      <c r="I5" t="s">
        <v>15958</v>
      </c>
    </row>
    <row r="6" spans="1:9" x14ac:dyDescent="0.25">
      <c r="A6" s="238">
        <v>3002495</v>
      </c>
      <c r="B6" t="s">
        <v>15971</v>
      </c>
      <c r="C6" s="235" t="s">
        <v>15972</v>
      </c>
      <c r="D6" t="s">
        <v>15973</v>
      </c>
      <c r="H6" t="s">
        <v>15974</v>
      </c>
    </row>
    <row r="7" spans="1:9" x14ac:dyDescent="0.25">
      <c r="A7" s="401">
        <v>3002431</v>
      </c>
      <c r="B7" t="s">
        <v>11</v>
      </c>
      <c r="C7" s="235" t="s">
        <v>15975</v>
      </c>
      <c r="D7" t="s">
        <v>15976</v>
      </c>
      <c r="E7" t="s">
        <v>15977</v>
      </c>
      <c r="F7">
        <v>1</v>
      </c>
      <c r="H7" t="s">
        <v>15957</v>
      </c>
      <c r="I7" t="s">
        <v>15978</v>
      </c>
    </row>
    <row r="8" spans="1:9" x14ac:dyDescent="0.25">
      <c r="A8" s="238">
        <v>3002547</v>
      </c>
      <c r="B8" t="s">
        <v>15966</v>
      </c>
      <c r="C8" s="235" t="s">
        <v>15967</v>
      </c>
      <c r="D8" t="s">
        <v>15976</v>
      </c>
      <c r="E8" t="s">
        <v>15979</v>
      </c>
      <c r="F8" t="s">
        <v>15980</v>
      </c>
      <c r="H8" t="s">
        <v>15957</v>
      </c>
      <c r="I8" t="s">
        <v>15981</v>
      </c>
    </row>
    <row r="9" spans="1:9" x14ac:dyDescent="0.25">
      <c r="A9" s="405">
        <v>3002662</v>
      </c>
      <c r="B9" t="s">
        <v>15982</v>
      </c>
      <c r="C9" s="235" t="s">
        <v>15983</v>
      </c>
      <c r="D9" t="s">
        <v>15976</v>
      </c>
      <c r="E9" t="s">
        <v>15984</v>
      </c>
      <c r="F9" t="s">
        <v>15985</v>
      </c>
      <c r="G9" t="s">
        <v>15986</v>
      </c>
      <c r="H9" t="s">
        <v>41</v>
      </c>
      <c r="I9" t="s">
        <v>15987</v>
      </c>
    </row>
    <row r="10" spans="1:9" x14ac:dyDescent="0.25">
      <c r="A10" s="405">
        <v>3002495</v>
      </c>
      <c r="B10" t="s">
        <v>15971</v>
      </c>
      <c r="C10" s="235" t="s">
        <v>15988</v>
      </c>
      <c r="D10" t="s">
        <v>15976</v>
      </c>
      <c r="E10" t="s">
        <v>15989</v>
      </c>
      <c r="F10">
        <v>1</v>
      </c>
    </row>
    <row r="11" spans="1:9" x14ac:dyDescent="0.25">
      <c r="A11" s="405">
        <v>3002688</v>
      </c>
      <c r="B11" t="s">
        <v>15990</v>
      </c>
      <c r="C11" s="235" t="s">
        <v>15991</v>
      </c>
      <c r="I11" t="s">
        <v>15992</v>
      </c>
    </row>
    <row r="12" spans="1:9" x14ac:dyDescent="0.25">
      <c r="A12" s="419">
        <v>3002570</v>
      </c>
      <c r="B12" t="s">
        <v>15990</v>
      </c>
      <c r="C12" t="s">
        <v>15993</v>
      </c>
    </row>
    <row r="13" spans="1:9" x14ac:dyDescent="0.25">
      <c r="A13" s="420"/>
      <c r="C13" s="235" t="s">
        <v>15991</v>
      </c>
    </row>
    <row r="14" spans="1:9" ht="30" x14ac:dyDescent="0.25">
      <c r="A14" s="236" t="s">
        <v>15994</v>
      </c>
      <c r="B14" t="s">
        <v>15971</v>
      </c>
      <c r="C14" t="s">
        <v>15995</v>
      </c>
    </row>
    <row r="15" spans="1:9" x14ac:dyDescent="0.25">
      <c r="A15" s="405">
        <v>3002814</v>
      </c>
      <c r="B15" t="s">
        <v>15996</v>
      </c>
      <c r="C15" t="s">
        <v>15997</v>
      </c>
      <c r="F15" s="235" t="s">
        <v>15998</v>
      </c>
      <c r="I15" s="235" t="s">
        <v>1441</v>
      </c>
    </row>
    <row r="16" spans="1:9" x14ac:dyDescent="0.25">
      <c r="A16" s="405">
        <v>3002846</v>
      </c>
      <c r="B16" t="s">
        <v>15999</v>
      </c>
      <c r="C16" s="235" t="s">
        <v>16000</v>
      </c>
      <c r="H16" t="s">
        <v>15961</v>
      </c>
      <c r="I16" t="s">
        <v>16001</v>
      </c>
    </row>
    <row r="17" spans="1:9" x14ac:dyDescent="0.25">
      <c r="A17" s="405">
        <v>3002823</v>
      </c>
      <c r="B17" t="s">
        <v>16002</v>
      </c>
      <c r="D17" t="s">
        <v>15976</v>
      </c>
      <c r="G17">
        <v>1</v>
      </c>
      <c r="H17" t="s">
        <v>15961</v>
      </c>
    </row>
    <row r="18" spans="1:9" x14ac:dyDescent="0.25">
      <c r="A18" s="419">
        <v>3002849</v>
      </c>
      <c r="B18" t="s">
        <v>16002</v>
      </c>
      <c r="C18" s="235" t="s">
        <v>16003</v>
      </c>
      <c r="D18" t="s">
        <v>16004</v>
      </c>
      <c r="G18">
        <v>1</v>
      </c>
      <c r="H18" t="s">
        <v>15961</v>
      </c>
      <c r="I18" t="s">
        <v>16001</v>
      </c>
    </row>
    <row r="19" spans="1:9" x14ac:dyDescent="0.25">
      <c r="A19" s="420"/>
    </row>
    <row r="20" spans="1:9" x14ac:dyDescent="0.25">
      <c r="A20">
        <v>3002850</v>
      </c>
      <c r="B20" t="s">
        <v>16005</v>
      </c>
      <c r="C20" s="235" t="s">
        <v>16006</v>
      </c>
      <c r="D20" t="s">
        <v>15976</v>
      </c>
      <c r="G20">
        <v>1</v>
      </c>
      <c r="H20" t="s">
        <v>15961</v>
      </c>
      <c r="I20" t="s">
        <v>16001</v>
      </c>
    </row>
    <row r="21" spans="1:9" x14ac:dyDescent="0.25">
      <c r="A21" t="s">
        <v>16007</v>
      </c>
      <c r="B21" t="s">
        <v>16007</v>
      </c>
      <c r="C21" t="s">
        <v>16008</v>
      </c>
    </row>
    <row r="22" spans="1:9" x14ac:dyDescent="0.25">
      <c r="A22">
        <v>3002858</v>
      </c>
      <c r="B22" t="s">
        <v>16009</v>
      </c>
    </row>
    <row r="23" spans="1:9" x14ac:dyDescent="0.25">
      <c r="A23" s="419">
        <v>3003077</v>
      </c>
      <c r="B23" t="s">
        <v>16010</v>
      </c>
      <c r="C23" s="393" t="s">
        <v>16011</v>
      </c>
      <c r="G23">
        <v>1</v>
      </c>
      <c r="H23" t="s">
        <v>15961</v>
      </c>
      <c r="I23" t="s">
        <v>16001</v>
      </c>
    </row>
    <row r="24" spans="1:9" x14ac:dyDescent="0.25">
      <c r="A24" s="420"/>
      <c r="C24" s="394"/>
    </row>
  </sheetData>
  <mergeCells count="3">
    <mergeCell ref="A12:A13"/>
    <mergeCell ref="A18:A19"/>
    <mergeCell ref="A23:A24"/>
  </mergeCells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I15" r:id="rId11"/>
    <hyperlink ref="C16" r:id="rId12"/>
    <hyperlink ref="C13" r:id="rId13"/>
    <hyperlink ref="F15" r:id="rId14"/>
    <hyperlink ref="C18" r:id="rId15"/>
    <hyperlink ref="C20" r:id="rId1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4"/>
  <sheetViews>
    <sheetView workbookViewId="0">
      <selection activeCell="J35" sqref="J35"/>
    </sheetView>
  </sheetViews>
  <sheetFormatPr defaultRowHeight="15" x14ac:dyDescent="0.25"/>
  <cols>
    <col min="1" max="1" width="10.42578125" style="60" bestFit="1" customWidth="1"/>
    <col min="2" max="2" width="8.85546875" style="60" bestFit="1" customWidth="1"/>
    <col min="3" max="3" width="10" style="60" bestFit="1" customWidth="1"/>
    <col min="4" max="4" width="18.140625" style="60" bestFit="1" customWidth="1"/>
    <col min="5" max="5" width="6.7109375" style="60" bestFit="1" customWidth="1"/>
    <col min="6" max="6" width="31" style="60" customWidth="1"/>
    <col min="7" max="7" width="19.5703125" style="60" customWidth="1"/>
    <col min="8" max="8" width="6.7109375" style="60" bestFit="1" customWidth="1"/>
    <col min="9" max="9" width="10.85546875" style="60" bestFit="1" customWidth="1"/>
    <col min="10" max="10" width="19.5703125" style="60" bestFit="1" customWidth="1"/>
    <col min="11" max="11" width="16.85546875" style="60" bestFit="1" customWidth="1"/>
    <col min="12" max="12" width="13" bestFit="1" customWidth="1"/>
  </cols>
  <sheetData>
    <row r="1" spans="1:17" x14ac:dyDescent="0.25">
      <c r="A1" s="67" t="s">
        <v>16012</v>
      </c>
      <c r="B1" s="68" t="s">
        <v>1</v>
      </c>
      <c r="C1" s="69" t="s">
        <v>2</v>
      </c>
      <c r="D1" s="70" t="s">
        <v>3</v>
      </c>
      <c r="E1" s="61" t="s">
        <v>4</v>
      </c>
      <c r="F1" s="71" t="s">
        <v>16013</v>
      </c>
      <c r="G1" s="72" t="s">
        <v>16014</v>
      </c>
      <c r="H1" s="73"/>
      <c r="I1" s="74"/>
      <c r="J1" s="75" t="s">
        <v>7</v>
      </c>
      <c r="K1" s="76" t="s">
        <v>8</v>
      </c>
      <c r="L1" s="53" t="s">
        <v>9</v>
      </c>
      <c r="M1" s="49"/>
      <c r="N1" s="49"/>
      <c r="O1" s="50" t="s">
        <v>10</v>
      </c>
      <c r="P1" s="50" t="s">
        <v>11</v>
      </c>
      <c r="Q1" s="51" t="s">
        <v>12</v>
      </c>
    </row>
    <row r="2" spans="1:17" x14ac:dyDescent="0.25">
      <c r="A2" s="626" t="s">
        <v>16015</v>
      </c>
      <c r="B2" s="627"/>
      <c r="C2" s="627"/>
      <c r="D2" s="627"/>
      <c r="E2" s="627"/>
      <c r="F2" s="627"/>
      <c r="G2" s="627"/>
      <c r="H2" s="627"/>
      <c r="I2" s="627"/>
      <c r="J2" s="628"/>
      <c r="K2" s="628"/>
      <c r="L2" s="627"/>
      <c r="M2" s="627"/>
      <c r="N2" s="627"/>
      <c r="O2" s="627"/>
      <c r="P2" s="627"/>
      <c r="Q2" s="629"/>
    </row>
    <row r="3" spans="1:17" x14ac:dyDescent="0.25">
      <c r="A3" s="628" t="s">
        <v>23</v>
      </c>
      <c r="B3" s="628"/>
      <c r="C3" s="628"/>
      <c r="D3" s="628"/>
      <c r="E3" s="628"/>
      <c r="F3" s="628"/>
      <c r="G3" s="628"/>
      <c r="H3" s="628"/>
      <c r="I3" s="628"/>
      <c r="J3" s="628"/>
      <c r="K3" s="628"/>
      <c r="L3" s="628"/>
      <c r="M3" s="628"/>
      <c r="N3" s="628"/>
      <c r="O3" s="628"/>
      <c r="P3" s="628"/>
      <c r="Q3" s="628"/>
    </row>
    <row r="4" spans="1:17" x14ac:dyDescent="0.25">
      <c r="A4" s="415" t="s">
        <v>16016</v>
      </c>
      <c r="B4" s="77" t="s">
        <v>25</v>
      </c>
      <c r="C4" s="55" t="s">
        <v>26</v>
      </c>
      <c r="D4" s="55" t="s">
        <v>27</v>
      </c>
      <c r="E4" s="54" t="s">
        <v>28</v>
      </c>
      <c r="F4" s="55" t="s">
        <v>29</v>
      </c>
      <c r="G4" s="55" t="s">
        <v>30</v>
      </c>
      <c r="H4" s="55" t="s">
        <v>36</v>
      </c>
      <c r="I4" s="78" t="s">
        <v>16017</v>
      </c>
      <c r="J4" s="78" t="s">
        <v>39</v>
      </c>
      <c r="K4" s="79" t="s">
        <v>16018</v>
      </c>
      <c r="L4" s="52" t="s">
        <v>16</v>
      </c>
      <c r="M4" s="56"/>
      <c r="N4" s="52"/>
      <c r="O4" s="52"/>
      <c r="P4" s="52"/>
      <c r="Q4" s="57"/>
    </row>
    <row r="5" spans="1:17" x14ac:dyDescent="0.25">
      <c r="A5" s="60" t="s">
        <v>16019</v>
      </c>
      <c r="B5" s="62">
        <v>42209</v>
      </c>
      <c r="C5" s="60" t="s">
        <v>16012</v>
      </c>
      <c r="D5" s="60" t="s">
        <v>16020</v>
      </c>
      <c r="E5" s="60">
        <v>175</v>
      </c>
      <c r="F5" s="60" t="s">
        <v>227</v>
      </c>
      <c r="G5" s="63" t="s">
        <v>45</v>
      </c>
      <c r="H5" s="63">
        <v>37.35</v>
      </c>
      <c r="I5" s="60" t="s">
        <v>144</v>
      </c>
      <c r="J5" s="60" t="s">
        <v>16021</v>
      </c>
      <c r="K5" s="64" t="s">
        <v>16022</v>
      </c>
    </row>
    <row r="6" spans="1:17" x14ac:dyDescent="0.25">
      <c r="A6" s="60" t="s">
        <v>16023</v>
      </c>
      <c r="B6" s="62">
        <v>42209</v>
      </c>
      <c r="C6" s="60" t="s">
        <v>16012</v>
      </c>
      <c r="D6" s="60" t="s">
        <v>16024</v>
      </c>
      <c r="E6" s="60">
        <v>350</v>
      </c>
      <c r="F6" s="60" t="s">
        <v>16025</v>
      </c>
      <c r="G6" s="60" t="s">
        <v>45</v>
      </c>
      <c r="I6" s="60" t="s">
        <v>16026</v>
      </c>
    </row>
    <row r="7" spans="1:17" x14ac:dyDescent="0.25">
      <c r="A7" s="60" t="s">
        <v>16027</v>
      </c>
      <c r="B7" s="62">
        <v>42209</v>
      </c>
      <c r="C7" s="60" t="s">
        <v>16012</v>
      </c>
      <c r="D7" s="60" t="s">
        <v>16024</v>
      </c>
      <c r="E7" s="60">
        <v>400</v>
      </c>
      <c r="F7" s="60" t="s">
        <v>16025</v>
      </c>
      <c r="G7" s="60" t="s">
        <v>45</v>
      </c>
      <c r="I7" s="60" t="s">
        <v>16028</v>
      </c>
    </row>
    <row r="8" spans="1:17" x14ac:dyDescent="0.25">
      <c r="A8" s="60" t="s">
        <v>16029</v>
      </c>
      <c r="B8" s="62">
        <v>42212</v>
      </c>
      <c r="C8" s="60" t="s">
        <v>16012</v>
      </c>
      <c r="D8" s="60" t="s">
        <v>16030</v>
      </c>
      <c r="E8" s="60">
        <v>100</v>
      </c>
      <c r="F8" s="60" t="s">
        <v>247</v>
      </c>
      <c r="G8" s="60" t="s">
        <v>45</v>
      </c>
      <c r="H8" s="60">
        <v>54.48</v>
      </c>
      <c r="I8" s="60" t="s">
        <v>144</v>
      </c>
      <c r="J8" s="60" t="s">
        <v>16021</v>
      </c>
      <c r="K8" s="64" t="s">
        <v>16031</v>
      </c>
    </row>
    <row r="9" spans="1:17" x14ac:dyDescent="0.25">
      <c r="A9" s="60" t="s">
        <v>16032</v>
      </c>
      <c r="B9" s="62">
        <v>42205</v>
      </c>
      <c r="C9" s="60" t="s">
        <v>16012</v>
      </c>
      <c r="D9" s="60" t="s">
        <v>16033</v>
      </c>
      <c r="E9" s="60">
        <v>1000</v>
      </c>
      <c r="F9" s="60" t="s">
        <v>16034</v>
      </c>
      <c r="G9" s="60" t="s">
        <v>45</v>
      </c>
      <c r="H9" s="60">
        <v>53.66</v>
      </c>
      <c r="I9" s="60" t="s">
        <v>144</v>
      </c>
      <c r="J9" s="60" t="s">
        <v>16021</v>
      </c>
      <c r="K9" s="64" t="s">
        <v>16035</v>
      </c>
    </row>
    <row r="10" spans="1:17" x14ac:dyDescent="0.25">
      <c r="A10" s="60" t="s">
        <v>16036</v>
      </c>
      <c r="B10" s="62">
        <v>42214</v>
      </c>
      <c r="C10" s="60" t="s">
        <v>16037</v>
      </c>
      <c r="D10" s="60" t="s">
        <v>16038</v>
      </c>
      <c r="E10" s="60">
        <v>250</v>
      </c>
      <c r="F10" s="60" t="s">
        <v>222</v>
      </c>
      <c r="G10" s="60" t="s">
        <v>45</v>
      </c>
      <c r="L10" s="65" t="s">
        <v>16039</v>
      </c>
    </row>
    <row r="11" spans="1:17" x14ac:dyDescent="0.25">
      <c r="A11" s="60" t="s">
        <v>16040</v>
      </c>
      <c r="B11" s="62">
        <v>42222</v>
      </c>
      <c r="C11" s="60" t="s">
        <v>16012</v>
      </c>
      <c r="D11" s="60" t="s">
        <v>16041</v>
      </c>
      <c r="E11" s="60">
        <v>75</v>
      </c>
      <c r="F11" s="60" t="s">
        <v>2199</v>
      </c>
      <c r="G11" s="60" t="s">
        <v>45</v>
      </c>
      <c r="H11" s="60">
        <v>25.71</v>
      </c>
      <c r="I11" s="60" t="s">
        <v>144</v>
      </c>
      <c r="K11" s="64" t="s">
        <v>16042</v>
      </c>
    </row>
    <row r="12" spans="1:17" x14ac:dyDescent="0.25">
      <c r="A12" s="60" t="s">
        <v>16043</v>
      </c>
      <c r="B12" s="62">
        <v>42222</v>
      </c>
      <c r="C12" s="60" t="s">
        <v>16012</v>
      </c>
      <c r="D12" s="60" t="s">
        <v>16044</v>
      </c>
      <c r="E12" s="60">
        <v>50</v>
      </c>
      <c r="F12" s="60" t="s">
        <v>300</v>
      </c>
      <c r="G12" s="60" t="s">
        <v>45</v>
      </c>
      <c r="H12" s="60">
        <v>31.12</v>
      </c>
      <c r="I12" s="60" t="s">
        <v>144</v>
      </c>
      <c r="K12" s="64" t="s">
        <v>16045</v>
      </c>
    </row>
    <row r="13" spans="1:17" x14ac:dyDescent="0.25">
      <c r="A13" s="60" t="s">
        <v>16046</v>
      </c>
      <c r="B13" s="62">
        <v>42229</v>
      </c>
      <c r="C13" s="60" t="s">
        <v>16012</v>
      </c>
      <c r="D13" s="60" t="s">
        <v>16047</v>
      </c>
      <c r="E13" s="60">
        <v>120</v>
      </c>
      <c r="F13" s="60" t="s">
        <v>16048</v>
      </c>
      <c r="G13" s="60" t="s">
        <v>45</v>
      </c>
      <c r="H13" s="60">
        <v>57.12</v>
      </c>
      <c r="I13" s="60" t="s">
        <v>144</v>
      </c>
      <c r="J13" s="60" t="s">
        <v>16021</v>
      </c>
      <c r="K13" s="64" t="s">
        <v>16049</v>
      </c>
      <c r="L13" t="s">
        <v>16050</v>
      </c>
    </row>
    <row r="14" spans="1:17" x14ac:dyDescent="0.25">
      <c r="A14" s="60" t="s">
        <v>16051</v>
      </c>
      <c r="B14" s="62">
        <v>42242</v>
      </c>
      <c r="C14" s="60" t="s">
        <v>16012</v>
      </c>
      <c r="D14" s="60" t="s">
        <v>1251</v>
      </c>
      <c r="E14" s="60">
        <v>3250</v>
      </c>
      <c r="F14" s="60" t="s">
        <v>16052</v>
      </c>
      <c r="G14" s="60" t="s">
        <v>45</v>
      </c>
      <c r="I14" s="60" t="s">
        <v>2846</v>
      </c>
      <c r="J14" s="60" t="s">
        <v>16021</v>
      </c>
    </row>
    <row r="15" spans="1:17" x14ac:dyDescent="0.25">
      <c r="A15" s="60" t="s">
        <v>16053</v>
      </c>
      <c r="B15" s="62">
        <v>42244</v>
      </c>
      <c r="C15" s="60" t="s">
        <v>16054</v>
      </c>
      <c r="D15" s="60" t="s">
        <v>16055</v>
      </c>
      <c r="E15" s="60">
        <v>120</v>
      </c>
      <c r="F15" s="60" t="s">
        <v>16056</v>
      </c>
      <c r="G15" s="60" t="s">
        <v>45</v>
      </c>
      <c r="I15" s="60" t="s">
        <v>46</v>
      </c>
    </row>
    <row r="16" spans="1:17" x14ac:dyDescent="0.25">
      <c r="A16" s="60" t="s">
        <v>16057</v>
      </c>
      <c r="B16" s="62">
        <v>42235</v>
      </c>
      <c r="C16" s="60" t="s">
        <v>16012</v>
      </c>
      <c r="D16" s="60" t="s">
        <v>16058</v>
      </c>
      <c r="E16" s="60">
        <v>100</v>
      </c>
      <c r="F16" s="60" t="s">
        <v>161</v>
      </c>
      <c r="G16" s="60" t="s">
        <v>45</v>
      </c>
      <c r="I16" s="60" t="s">
        <v>144</v>
      </c>
      <c r="L16" t="s">
        <v>16050</v>
      </c>
    </row>
    <row r="17" spans="1:12" x14ac:dyDescent="0.25">
      <c r="A17" s="60" t="s">
        <v>16059</v>
      </c>
      <c r="B17" s="62">
        <v>42247</v>
      </c>
      <c r="C17" s="60" t="s">
        <v>16012</v>
      </c>
      <c r="D17" s="60" t="s">
        <v>16060</v>
      </c>
      <c r="E17" s="60">
        <v>1000</v>
      </c>
      <c r="F17" s="60" t="s">
        <v>5900</v>
      </c>
      <c r="G17" s="60" t="s">
        <v>45</v>
      </c>
      <c r="I17" s="60" t="s">
        <v>66</v>
      </c>
      <c r="J17" s="60" t="s">
        <v>16061</v>
      </c>
      <c r="K17" s="60" t="s">
        <v>16062</v>
      </c>
      <c r="L17" t="s">
        <v>13232</v>
      </c>
    </row>
    <row r="18" spans="1:12" x14ac:dyDescent="0.25">
      <c r="A18" s="60" t="s">
        <v>16063</v>
      </c>
      <c r="B18" s="62">
        <v>42233</v>
      </c>
      <c r="C18" s="60" t="s">
        <v>16012</v>
      </c>
      <c r="D18" s="60" t="s">
        <v>16064</v>
      </c>
      <c r="E18" s="60">
        <v>75</v>
      </c>
      <c r="F18" s="60" t="s">
        <v>227</v>
      </c>
      <c r="G18" s="60" t="s">
        <v>45</v>
      </c>
      <c r="I18" s="60" t="s">
        <v>144</v>
      </c>
      <c r="L18" t="s">
        <v>13232</v>
      </c>
    </row>
    <row r="19" spans="1:12" x14ac:dyDescent="0.25">
      <c r="A19" s="60" t="s">
        <v>16065</v>
      </c>
      <c r="B19" s="62">
        <v>42201</v>
      </c>
      <c r="C19" s="60" t="s">
        <v>16012</v>
      </c>
      <c r="D19" s="60" t="s">
        <v>16066</v>
      </c>
      <c r="E19" s="60">
        <v>250</v>
      </c>
      <c r="F19" s="60" t="s">
        <v>1472</v>
      </c>
      <c r="G19" s="60" t="s">
        <v>45</v>
      </c>
      <c r="I19" s="60" t="s">
        <v>144</v>
      </c>
      <c r="L19" t="s">
        <v>13232</v>
      </c>
    </row>
    <row r="20" spans="1:12" x14ac:dyDescent="0.25">
      <c r="A20" s="60" t="s">
        <v>16067</v>
      </c>
      <c r="B20" s="62">
        <v>42248</v>
      </c>
      <c r="C20" s="60" t="s">
        <v>16012</v>
      </c>
      <c r="D20" s="60" t="s">
        <v>16068</v>
      </c>
      <c r="E20" s="60">
        <v>1000</v>
      </c>
      <c r="F20" s="60" t="s">
        <v>16069</v>
      </c>
      <c r="G20" s="60" t="s">
        <v>45</v>
      </c>
      <c r="I20" s="60" t="s">
        <v>144</v>
      </c>
    </row>
    <row r="21" spans="1:12" x14ac:dyDescent="0.25">
      <c r="A21" s="60" t="s">
        <v>16070</v>
      </c>
      <c r="B21" s="62">
        <v>42264</v>
      </c>
      <c r="C21" s="60" t="s">
        <v>16012</v>
      </c>
      <c r="D21" s="60" t="s">
        <v>16071</v>
      </c>
      <c r="E21" s="60">
        <v>1000</v>
      </c>
      <c r="F21" s="60" t="s">
        <v>1547</v>
      </c>
      <c r="G21" s="60" t="s">
        <v>45</v>
      </c>
      <c r="I21" s="60" t="s">
        <v>144</v>
      </c>
      <c r="J21" s="60" t="s">
        <v>16072</v>
      </c>
      <c r="K21" s="60">
        <v>113.34</v>
      </c>
      <c r="L21" t="s">
        <v>16073</v>
      </c>
    </row>
    <row r="22" spans="1:12" x14ac:dyDescent="0.25">
      <c r="A22" s="60" t="s">
        <v>16074</v>
      </c>
      <c r="B22" s="62">
        <v>42269</v>
      </c>
      <c r="C22" s="60" t="s">
        <v>16012</v>
      </c>
      <c r="D22" s="60" t="s">
        <v>16075</v>
      </c>
      <c r="E22" s="60">
        <v>270</v>
      </c>
      <c r="F22" s="60" t="s">
        <v>16076</v>
      </c>
      <c r="G22" s="60" t="s">
        <v>45</v>
      </c>
      <c r="I22" s="60" t="s">
        <v>1793</v>
      </c>
    </row>
    <row r="23" spans="1:12" x14ac:dyDescent="0.25">
      <c r="A23" s="60" t="s">
        <v>16077</v>
      </c>
      <c r="B23" s="62">
        <v>42300</v>
      </c>
      <c r="C23" s="60" t="s">
        <v>16078</v>
      </c>
      <c r="D23" s="60" t="s">
        <v>16079</v>
      </c>
      <c r="E23" s="60">
        <v>1000</v>
      </c>
      <c r="F23" s="60" t="s">
        <v>824</v>
      </c>
      <c r="G23" s="60" t="s">
        <v>45</v>
      </c>
      <c r="H23" s="60">
        <v>66.12</v>
      </c>
      <c r="I23" s="60" t="s">
        <v>144</v>
      </c>
      <c r="J23" s="60" t="s">
        <v>16080</v>
      </c>
    </row>
    <row r="24" spans="1:12" x14ac:dyDescent="0.25">
      <c r="A24" s="60" t="s">
        <v>16081</v>
      </c>
      <c r="B24" s="62">
        <v>42305</v>
      </c>
      <c r="C24" s="60" t="s">
        <v>16012</v>
      </c>
      <c r="D24" s="60" t="s">
        <v>16082</v>
      </c>
      <c r="E24" s="60">
        <v>125</v>
      </c>
      <c r="F24" s="60" t="s">
        <v>16083</v>
      </c>
      <c r="G24" s="60" t="s">
        <v>45</v>
      </c>
      <c r="H24" s="60">
        <v>54.98</v>
      </c>
      <c r="I24" s="60" t="s">
        <v>144</v>
      </c>
      <c r="J24" s="60" t="s">
        <v>16080</v>
      </c>
      <c r="K24" s="80">
        <v>774886687360</v>
      </c>
    </row>
    <row r="25" spans="1:12" x14ac:dyDescent="0.25">
      <c r="A25" s="60" t="s">
        <v>16084</v>
      </c>
      <c r="B25" s="62">
        <v>42310</v>
      </c>
      <c r="C25" s="60" t="s">
        <v>16012</v>
      </c>
      <c r="D25" s="60" t="s">
        <v>16085</v>
      </c>
      <c r="E25" s="60">
        <v>700</v>
      </c>
      <c r="F25" s="60" t="s">
        <v>16086</v>
      </c>
      <c r="G25" s="60" t="s">
        <v>45</v>
      </c>
      <c r="I25" s="60" t="s">
        <v>46</v>
      </c>
    </row>
    <row r="26" spans="1:12" x14ac:dyDescent="0.25">
      <c r="A26" s="62" t="s">
        <v>16087</v>
      </c>
      <c r="B26" s="62">
        <v>42319</v>
      </c>
      <c r="C26" s="60" t="s">
        <v>16012</v>
      </c>
      <c r="D26" s="60" t="s">
        <v>16088</v>
      </c>
      <c r="E26" s="60">
        <v>250</v>
      </c>
      <c r="F26" s="60" t="s">
        <v>1550</v>
      </c>
      <c r="G26" s="60" t="s">
        <v>45</v>
      </c>
      <c r="H26" s="60">
        <v>15.77</v>
      </c>
      <c r="I26" s="60" t="s">
        <v>144</v>
      </c>
      <c r="J26" s="60" t="s">
        <v>16089</v>
      </c>
      <c r="K26" s="81" t="s">
        <v>16090</v>
      </c>
    </row>
    <row r="27" spans="1:12" x14ac:dyDescent="0.25">
      <c r="A27" s="60">
        <v>1020662</v>
      </c>
      <c r="B27" s="62">
        <v>42320</v>
      </c>
      <c r="C27" s="60" t="s">
        <v>16012</v>
      </c>
      <c r="D27" s="60" t="s">
        <v>16091</v>
      </c>
      <c r="E27" s="60">
        <v>145</v>
      </c>
      <c r="F27" s="60" t="s">
        <v>4726</v>
      </c>
      <c r="G27" s="60" t="s">
        <v>45</v>
      </c>
      <c r="H27" s="60">
        <v>174.58</v>
      </c>
      <c r="I27" s="60" t="s">
        <v>144</v>
      </c>
    </row>
    <row r="28" spans="1:12" x14ac:dyDescent="0.25">
      <c r="A28" s="60" t="s">
        <v>16092</v>
      </c>
      <c r="B28" s="62">
        <v>42325</v>
      </c>
      <c r="C28" s="60" t="s">
        <v>16012</v>
      </c>
      <c r="D28" s="60" t="s">
        <v>16093</v>
      </c>
      <c r="E28" s="60">
        <v>230</v>
      </c>
      <c r="F28" s="60" t="s">
        <v>247</v>
      </c>
      <c r="G28" s="60" t="s">
        <v>45</v>
      </c>
      <c r="I28" s="60" t="s">
        <v>144</v>
      </c>
    </row>
    <row r="29" spans="1:12" x14ac:dyDescent="0.25">
      <c r="A29" s="60" t="s">
        <v>16094</v>
      </c>
      <c r="B29" s="62">
        <v>42327</v>
      </c>
      <c r="C29" s="60" t="s">
        <v>16012</v>
      </c>
      <c r="D29" s="60" t="s">
        <v>16095</v>
      </c>
      <c r="E29" s="60">
        <v>500</v>
      </c>
      <c r="F29" s="60" t="s">
        <v>247</v>
      </c>
      <c r="G29" s="60" t="s">
        <v>45</v>
      </c>
      <c r="H29" s="60">
        <v>134.55000000000001</v>
      </c>
      <c r="I29" s="60" t="s">
        <v>144</v>
      </c>
      <c r="J29" s="60" t="s">
        <v>1494</v>
      </c>
    </row>
    <row r="30" spans="1:12" x14ac:dyDescent="0.25">
      <c r="A30" s="60" t="s">
        <v>16096</v>
      </c>
      <c r="B30" s="62">
        <v>42353</v>
      </c>
      <c r="C30" s="60" t="s">
        <v>16012</v>
      </c>
      <c r="D30" s="60" t="s">
        <v>16097</v>
      </c>
      <c r="E30" s="60">
        <v>325</v>
      </c>
      <c r="F30" s="60" t="s">
        <v>70</v>
      </c>
      <c r="G30" s="60" t="s">
        <v>45</v>
      </c>
      <c r="H30" s="60">
        <v>115.4</v>
      </c>
      <c r="I30" s="60" t="s">
        <v>144</v>
      </c>
    </row>
    <row r="31" spans="1:12" x14ac:dyDescent="0.25">
      <c r="A31" s="60" t="s">
        <v>16098</v>
      </c>
      <c r="B31" s="62">
        <v>42404</v>
      </c>
      <c r="C31" s="60" t="s">
        <v>16012</v>
      </c>
      <c r="D31" s="60" t="s">
        <v>778</v>
      </c>
      <c r="E31" s="60">
        <v>492</v>
      </c>
      <c r="F31" s="60" t="s">
        <v>16099</v>
      </c>
      <c r="G31" s="60" t="s">
        <v>45</v>
      </c>
      <c r="H31" s="60">
        <v>127.47</v>
      </c>
      <c r="I31" s="60" t="s">
        <v>86</v>
      </c>
      <c r="J31" s="60" t="s">
        <v>16100</v>
      </c>
    </row>
    <row r="32" spans="1:12" x14ac:dyDescent="0.25">
      <c r="A32" s="60" t="s">
        <v>16101</v>
      </c>
      <c r="B32" s="62">
        <v>42444</v>
      </c>
      <c r="C32" s="60" t="s">
        <v>16012</v>
      </c>
      <c r="D32" s="60" t="s">
        <v>1521</v>
      </c>
      <c r="E32" s="60">
        <v>50</v>
      </c>
      <c r="F32" s="60" t="s">
        <v>114</v>
      </c>
      <c r="G32" s="60" t="s">
        <v>45</v>
      </c>
    </row>
    <row r="33" spans="1:7" x14ac:dyDescent="0.25">
      <c r="A33" s="60" t="s">
        <v>16102</v>
      </c>
      <c r="B33" s="62">
        <v>42445</v>
      </c>
      <c r="C33" s="60" t="s">
        <v>16012</v>
      </c>
      <c r="D33" s="60" t="s">
        <v>16103</v>
      </c>
      <c r="E33" s="60">
        <v>50</v>
      </c>
      <c r="F33" s="60" t="s">
        <v>114</v>
      </c>
      <c r="G33" s="60" t="s">
        <v>45</v>
      </c>
    </row>
    <row r="34" spans="1:7" x14ac:dyDescent="0.25">
      <c r="A34" s="60" t="s">
        <v>16104</v>
      </c>
      <c r="B34" s="62">
        <v>42445</v>
      </c>
      <c r="C34" s="60" t="s">
        <v>16012</v>
      </c>
      <c r="D34" s="60" t="s">
        <v>16105</v>
      </c>
      <c r="E34" s="60">
        <v>50</v>
      </c>
      <c r="F34" s="60" t="s">
        <v>288</v>
      </c>
      <c r="G34" s="60" t="s">
        <v>45</v>
      </c>
    </row>
  </sheetData>
  <mergeCells count="2">
    <mergeCell ref="A2:Q2"/>
    <mergeCell ref="A3:Q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7"/>
  <sheetViews>
    <sheetView topLeftCell="F6" workbookViewId="0">
      <selection activeCell="C22" sqref="C22"/>
    </sheetView>
  </sheetViews>
  <sheetFormatPr defaultRowHeight="15" x14ac:dyDescent="0.25"/>
  <cols>
    <col min="1" max="1" width="17.140625" customWidth="1"/>
    <col min="6" max="6" width="22" customWidth="1"/>
    <col min="11" max="11" width="20.42578125" customWidth="1"/>
    <col min="16" max="16" width="15.42578125" customWidth="1"/>
    <col min="19" max="19" width="18" customWidth="1"/>
    <col min="21" max="21" width="30.42578125" customWidth="1"/>
  </cols>
  <sheetData>
    <row r="1" spans="1:24" ht="20.25" x14ac:dyDescent="0.3">
      <c r="A1" s="1" t="s">
        <v>16106</v>
      </c>
      <c r="B1" s="2"/>
      <c r="C1" s="2"/>
      <c r="D1" s="2"/>
      <c r="F1" s="1" t="s">
        <v>16107</v>
      </c>
      <c r="G1" s="2"/>
      <c r="H1" s="2"/>
      <c r="I1" s="2"/>
      <c r="K1" s="3" t="s">
        <v>16108</v>
      </c>
      <c r="L1" s="2"/>
      <c r="M1" s="2"/>
      <c r="N1" s="2"/>
      <c r="P1" s="3" t="s">
        <v>16109</v>
      </c>
      <c r="Q1" s="2"/>
      <c r="R1" s="2"/>
      <c r="S1" s="2"/>
      <c r="U1" s="3" t="s">
        <v>16110</v>
      </c>
      <c r="V1" s="2"/>
      <c r="W1" s="2"/>
      <c r="X1" s="2"/>
    </row>
    <row r="2" spans="1:24" x14ac:dyDescent="0.25">
      <c r="A2" s="4" t="s">
        <v>16111</v>
      </c>
      <c r="B2" s="4"/>
      <c r="C2" s="4"/>
      <c r="D2" s="5"/>
      <c r="F2" s="4" t="s">
        <v>16111</v>
      </c>
      <c r="G2" s="4"/>
      <c r="H2" s="4"/>
      <c r="I2" s="5"/>
      <c r="K2" s="4" t="s">
        <v>16111</v>
      </c>
      <c r="L2" s="4"/>
      <c r="M2" s="4"/>
      <c r="N2" s="5"/>
      <c r="P2" s="4" t="s">
        <v>16111</v>
      </c>
      <c r="Q2" s="4"/>
      <c r="R2" s="4"/>
      <c r="S2" s="5"/>
      <c r="U2" s="4" t="s">
        <v>16111</v>
      </c>
      <c r="V2" s="4"/>
      <c r="W2" s="4"/>
      <c r="X2" s="5"/>
    </row>
    <row r="3" spans="1:24" ht="15.75" thickBot="1" x14ac:dyDescent="0.3">
      <c r="C3" s="4"/>
      <c r="D3" s="5"/>
      <c r="H3" s="4"/>
      <c r="I3" s="5"/>
      <c r="M3" s="4"/>
      <c r="N3" s="5"/>
      <c r="R3" s="4"/>
      <c r="S3" s="5"/>
      <c r="W3" s="4"/>
      <c r="X3" s="5"/>
    </row>
    <row r="4" spans="1:24" x14ac:dyDescent="0.25">
      <c r="A4" s="6" t="s">
        <v>16112</v>
      </c>
      <c r="B4" s="7" t="s">
        <v>16113</v>
      </c>
      <c r="C4" s="8" t="s">
        <v>16114</v>
      </c>
      <c r="D4" s="9" t="s">
        <v>16115</v>
      </c>
      <c r="F4" s="6" t="s">
        <v>16112</v>
      </c>
      <c r="G4" s="7" t="s">
        <v>16113</v>
      </c>
      <c r="H4" s="8" t="s">
        <v>16114</v>
      </c>
      <c r="I4" s="9" t="s">
        <v>16115</v>
      </c>
      <c r="K4" s="6" t="s">
        <v>16112</v>
      </c>
      <c r="L4" s="7" t="s">
        <v>16113</v>
      </c>
      <c r="M4" s="8" t="s">
        <v>16114</v>
      </c>
      <c r="N4" s="9" t="s">
        <v>16115</v>
      </c>
      <c r="P4" s="6" t="s">
        <v>16112</v>
      </c>
      <c r="Q4" s="7" t="s">
        <v>16113</v>
      </c>
      <c r="R4" s="8" t="s">
        <v>16114</v>
      </c>
      <c r="S4" s="9" t="s">
        <v>16115</v>
      </c>
      <c r="U4" s="6" t="s">
        <v>16112</v>
      </c>
      <c r="V4" s="7" t="s">
        <v>16113</v>
      </c>
      <c r="W4" s="8" t="s">
        <v>16114</v>
      </c>
      <c r="X4" s="9" t="s">
        <v>16115</v>
      </c>
    </row>
    <row r="5" spans="1:24" ht="15.75" thickBot="1" x14ac:dyDescent="0.3">
      <c r="A5" s="10" t="s">
        <v>16116</v>
      </c>
      <c r="B5" s="11" t="s">
        <v>16117</v>
      </c>
      <c r="C5" s="12" t="s">
        <v>16118</v>
      </c>
      <c r="D5" s="13" t="s">
        <v>15948</v>
      </c>
      <c r="F5" s="10" t="s">
        <v>16116</v>
      </c>
      <c r="G5" s="11" t="s">
        <v>16117</v>
      </c>
      <c r="H5" s="12" t="s">
        <v>16118</v>
      </c>
      <c r="I5" s="13" t="s">
        <v>15948</v>
      </c>
      <c r="K5" s="10" t="s">
        <v>16116</v>
      </c>
      <c r="L5" s="11" t="s">
        <v>16117</v>
      </c>
      <c r="M5" s="12" t="s">
        <v>16118</v>
      </c>
      <c r="N5" s="13" t="s">
        <v>15948</v>
      </c>
      <c r="P5" s="10" t="s">
        <v>16116</v>
      </c>
      <c r="Q5" s="11" t="s">
        <v>16117</v>
      </c>
      <c r="R5" s="12" t="s">
        <v>16118</v>
      </c>
      <c r="S5" s="13" t="s">
        <v>15948</v>
      </c>
      <c r="U5" s="10" t="s">
        <v>16116</v>
      </c>
      <c r="V5" s="11" t="s">
        <v>16117</v>
      </c>
      <c r="W5" s="12" t="s">
        <v>16118</v>
      </c>
      <c r="X5" s="13" t="s">
        <v>15948</v>
      </c>
    </row>
    <row r="6" spans="1:24" x14ac:dyDescent="0.25">
      <c r="A6" s="14"/>
      <c r="B6" s="14"/>
      <c r="C6" s="15" t="s">
        <v>16119</v>
      </c>
      <c r="D6" s="16" t="s">
        <v>16120</v>
      </c>
      <c r="F6" s="14"/>
      <c r="G6" s="14"/>
      <c r="H6" s="15" t="s">
        <v>16119</v>
      </c>
      <c r="I6" s="16" t="s">
        <v>16120</v>
      </c>
      <c r="K6" s="14"/>
      <c r="L6" s="14"/>
      <c r="M6" s="15" t="s">
        <v>16119</v>
      </c>
      <c r="N6" s="16" t="s">
        <v>16120</v>
      </c>
      <c r="P6" s="14"/>
      <c r="Q6" s="14"/>
      <c r="R6" s="15" t="s">
        <v>16119</v>
      </c>
      <c r="S6" s="16" t="s">
        <v>16120</v>
      </c>
      <c r="U6" s="17" t="s">
        <v>16121</v>
      </c>
      <c r="V6" s="14"/>
      <c r="W6" s="15" t="s">
        <v>16119</v>
      </c>
      <c r="X6" s="16" t="s">
        <v>16120</v>
      </c>
    </row>
    <row r="7" spans="1:24" x14ac:dyDescent="0.25">
      <c r="A7" s="18" t="s">
        <v>16122</v>
      </c>
      <c r="B7" s="19">
        <v>8</v>
      </c>
      <c r="C7" s="20"/>
      <c r="D7" s="21">
        <f>IF(C7=" ",0,SUM(C7/1000)*B7)</f>
        <v>0</v>
      </c>
      <c r="F7" s="18" t="s">
        <v>16123</v>
      </c>
      <c r="G7" s="22" t="s">
        <v>16124</v>
      </c>
      <c r="H7" s="20"/>
      <c r="I7" s="21">
        <f>IF(H7=" ",0,SUM(H7/1000)*G7)</f>
        <v>0</v>
      </c>
      <c r="K7" s="18" t="s">
        <v>5287</v>
      </c>
      <c r="L7" s="19">
        <v>61</v>
      </c>
      <c r="M7" s="20">
        <v>500</v>
      </c>
      <c r="N7" s="21">
        <f>IF(M7=" ",0,SUM(M7/1000)*L7)</f>
        <v>30.5</v>
      </c>
      <c r="P7" s="18" t="s">
        <v>16125</v>
      </c>
      <c r="Q7" s="19">
        <v>44</v>
      </c>
      <c r="R7" s="20"/>
      <c r="S7" s="21">
        <f>IF(R7=" ",0,SUM(R7/1000)*Q7)</f>
        <v>0</v>
      </c>
      <c r="U7" s="18" t="s">
        <v>16126</v>
      </c>
      <c r="V7" s="19">
        <v>143</v>
      </c>
      <c r="W7" s="20">
        <v>5000</v>
      </c>
      <c r="X7" s="21">
        <f>IF(W7=" ",0,SUM(W7/1000)*V7)</f>
        <v>715</v>
      </c>
    </row>
    <row r="8" spans="1:24" x14ac:dyDescent="0.25">
      <c r="A8" s="23" t="s">
        <v>16127</v>
      </c>
      <c r="B8" s="24">
        <v>12</v>
      </c>
      <c r="C8" s="20"/>
      <c r="D8" s="21">
        <f>IF(C8=" ",0,SUM(C8/1000)*B8)</f>
        <v>0</v>
      </c>
      <c r="F8" s="23" t="s">
        <v>16128</v>
      </c>
      <c r="G8" s="25" t="s">
        <v>16129</v>
      </c>
      <c r="H8" s="20"/>
      <c r="I8" s="21">
        <f>IF(H8=" ",0,SUM(H8/1000)*G8)</f>
        <v>0</v>
      </c>
      <c r="K8" s="23" t="s">
        <v>824</v>
      </c>
      <c r="L8" s="24">
        <v>71</v>
      </c>
      <c r="M8" s="20"/>
      <c r="N8" s="21">
        <f>IF(M8=" ",0,SUM(M8/1000)*L8)</f>
        <v>0</v>
      </c>
      <c r="P8" s="23" t="s">
        <v>16130</v>
      </c>
      <c r="Q8" s="24">
        <v>63</v>
      </c>
      <c r="R8" s="20"/>
      <c r="S8" s="21">
        <f>IF(R8=" ",0,SUM(R8/1000)*Q8)</f>
        <v>0</v>
      </c>
      <c r="U8" s="23" t="s">
        <v>16131</v>
      </c>
      <c r="V8" s="24">
        <v>203</v>
      </c>
      <c r="W8" s="20">
        <v>300</v>
      </c>
      <c r="X8" s="21">
        <f>IF(W8=" ",0,SUM(W8/1000)*V8)</f>
        <v>60.9</v>
      </c>
    </row>
    <row r="9" spans="1:24" x14ac:dyDescent="0.25">
      <c r="A9" s="26"/>
      <c r="B9" s="27"/>
      <c r="C9" s="28"/>
      <c r="D9" s="29"/>
      <c r="F9" s="18" t="s">
        <v>16132</v>
      </c>
      <c r="G9" s="22" t="s">
        <v>16133</v>
      </c>
      <c r="H9" s="20"/>
      <c r="I9" s="21">
        <f>IF(H9=" ",0,SUM(H9/1000)*G9)</f>
        <v>0</v>
      </c>
      <c r="K9" s="26"/>
      <c r="L9" s="27"/>
      <c r="M9" s="28"/>
      <c r="N9" s="29"/>
      <c r="P9" s="26"/>
      <c r="Q9" s="27"/>
      <c r="R9" s="28"/>
      <c r="S9" s="29"/>
      <c r="U9" s="18" t="s">
        <v>16134</v>
      </c>
      <c r="V9" s="19">
        <v>264</v>
      </c>
      <c r="W9" s="20">
        <v>500</v>
      </c>
      <c r="X9" s="21">
        <f>IF(W9=" ",0,SUM(W9/1000)*V9)</f>
        <v>132</v>
      </c>
    </row>
    <row r="10" spans="1:24" x14ac:dyDescent="0.25">
      <c r="A10" s="18" t="s">
        <v>16135</v>
      </c>
      <c r="B10" s="19">
        <v>16</v>
      </c>
      <c r="C10" s="20"/>
      <c r="D10" s="21">
        <f>IF(C10=" ",0,SUM(C10/1000)*B10)</f>
        <v>0</v>
      </c>
      <c r="F10" s="26"/>
      <c r="G10" s="30"/>
      <c r="H10" s="31"/>
      <c r="I10" s="29"/>
      <c r="K10" s="18" t="s">
        <v>4665</v>
      </c>
      <c r="L10" s="19">
        <v>102</v>
      </c>
      <c r="M10" s="20"/>
      <c r="N10" s="21">
        <f>IF(M10=" ",0,SUM(M10/1000)*L10)</f>
        <v>0</v>
      </c>
      <c r="P10" s="18" t="s">
        <v>16136</v>
      </c>
      <c r="Q10" s="19">
        <v>92</v>
      </c>
      <c r="R10" s="20"/>
      <c r="S10" s="21">
        <f>IF(R10=" ",0,SUM(R10/1000)*Q10)</f>
        <v>0</v>
      </c>
      <c r="U10" s="23" t="s">
        <v>16137</v>
      </c>
      <c r="V10" s="24">
        <v>294</v>
      </c>
      <c r="W10" s="20">
        <v>325</v>
      </c>
      <c r="X10" s="21">
        <f>IF(W10=" ",0,SUM(W10/1000)*V10)</f>
        <v>95.55</v>
      </c>
    </row>
    <row r="11" spans="1:24" x14ac:dyDescent="0.25">
      <c r="A11" s="23" t="s">
        <v>16138</v>
      </c>
      <c r="B11" s="24">
        <v>24</v>
      </c>
      <c r="C11" s="20"/>
      <c r="D11" s="21">
        <f>IF(C11=" ",0,SUM(C11/1000)*B11)</f>
        <v>0</v>
      </c>
      <c r="F11" s="23" t="s">
        <v>16139</v>
      </c>
      <c r="G11" s="25" t="s">
        <v>16124</v>
      </c>
      <c r="H11" s="20"/>
      <c r="I11" s="21">
        <f>IF(H11=" ",0,SUM(H11/1000)*G11)</f>
        <v>0</v>
      </c>
      <c r="K11" s="23" t="s">
        <v>972</v>
      </c>
      <c r="L11" s="24">
        <v>95</v>
      </c>
      <c r="M11" s="20"/>
      <c r="N11" s="21">
        <f>IF(M11=" ",0,SUM(M11/1000)*L11)</f>
        <v>0</v>
      </c>
      <c r="P11" s="23" t="s">
        <v>16140</v>
      </c>
      <c r="Q11" s="24">
        <v>121</v>
      </c>
      <c r="R11" s="44"/>
      <c r="S11" s="21">
        <f t="shared" ref="S11:S12" si="0">IF(R11=" ",0,SUM(R11/1000)*Q11)</f>
        <v>0</v>
      </c>
      <c r="U11" s="18" t="s">
        <v>16141</v>
      </c>
      <c r="V11" s="19">
        <v>408</v>
      </c>
      <c r="W11" s="20">
        <v>225</v>
      </c>
      <c r="X11" s="21">
        <f>IF(W11=" ",0,SUM(W11/1000)*V11)</f>
        <v>91.8</v>
      </c>
    </row>
    <row r="12" spans="1:24" x14ac:dyDescent="0.25">
      <c r="A12" s="18" t="s">
        <v>16142</v>
      </c>
      <c r="B12" s="19">
        <v>37</v>
      </c>
      <c r="C12" s="20"/>
      <c r="D12" s="21">
        <f>IF(C12=" ",0,SUM(C12/1000)*B12)</f>
        <v>0</v>
      </c>
      <c r="F12" s="18" t="s">
        <v>16143</v>
      </c>
      <c r="G12" s="22" t="s">
        <v>16129</v>
      </c>
      <c r="H12" s="20"/>
      <c r="I12" s="21">
        <f>IF(H12=" ",0,SUM(H12/1000)*G12)</f>
        <v>0</v>
      </c>
      <c r="K12" s="18" t="s">
        <v>1472</v>
      </c>
      <c r="L12" s="19">
        <v>115</v>
      </c>
      <c r="M12" s="44"/>
      <c r="N12" s="21">
        <f>IF(M12=" ",0,SUM(M12/1000)*L12)</f>
        <v>0</v>
      </c>
      <c r="P12" s="18" t="s">
        <v>16144</v>
      </c>
      <c r="Q12" s="19">
        <v>146</v>
      </c>
      <c r="R12" s="44"/>
      <c r="S12" s="21">
        <f t="shared" si="0"/>
        <v>0</v>
      </c>
      <c r="U12" s="26"/>
      <c r="V12" s="27"/>
      <c r="W12" s="28"/>
      <c r="X12" s="29"/>
    </row>
    <row r="13" spans="1:24" x14ac:dyDescent="0.25">
      <c r="A13" s="26"/>
      <c r="B13" s="27"/>
      <c r="C13" s="28"/>
      <c r="D13" s="29"/>
      <c r="F13" s="23" t="s">
        <v>16145</v>
      </c>
      <c r="G13" s="25" t="s">
        <v>16133</v>
      </c>
      <c r="H13" s="20"/>
      <c r="I13" s="21">
        <f>IF(H13=" ",0,SUM(H13/1000)*G13)</f>
        <v>0</v>
      </c>
      <c r="K13" s="26"/>
      <c r="L13" s="27"/>
      <c r="M13" s="28"/>
      <c r="N13" s="29"/>
      <c r="P13" s="26"/>
      <c r="Q13" s="27"/>
      <c r="R13" s="28"/>
      <c r="S13" s="29"/>
      <c r="U13" s="23" t="s">
        <v>16146</v>
      </c>
      <c r="V13" s="24">
        <v>502</v>
      </c>
      <c r="W13" s="20">
        <v>250</v>
      </c>
      <c r="X13" s="21">
        <f>IF(W13=" ",0,SUM(W13/1000)*V13)</f>
        <v>125.5</v>
      </c>
    </row>
    <row r="14" spans="1:24" x14ac:dyDescent="0.25">
      <c r="A14" s="23" t="s">
        <v>16147</v>
      </c>
      <c r="B14" s="24">
        <v>16</v>
      </c>
      <c r="C14" s="20"/>
      <c r="D14" s="21">
        <f>IF(C14=" ",0,SUM(C14/1000)*B14)</f>
        <v>0</v>
      </c>
      <c r="F14" s="26"/>
      <c r="G14" s="30"/>
      <c r="H14" s="31"/>
      <c r="I14" s="29"/>
      <c r="K14" s="23" t="s">
        <v>16148</v>
      </c>
      <c r="L14" s="24">
        <v>135</v>
      </c>
      <c r="M14" s="20"/>
      <c r="N14" s="21">
        <f>IF(M14=" ",0,SUM(M14/1000)*L14)</f>
        <v>0</v>
      </c>
      <c r="P14" s="23" t="s">
        <v>16149</v>
      </c>
      <c r="Q14" s="24">
        <v>177</v>
      </c>
      <c r="R14" s="20"/>
      <c r="S14" s="21">
        <f>IF(R14=" ",0,SUM(R14/1000)*Q14)</f>
        <v>0</v>
      </c>
      <c r="U14" s="18" t="s">
        <v>16150</v>
      </c>
      <c r="V14" s="19">
        <v>606</v>
      </c>
      <c r="W14" s="20"/>
      <c r="X14" s="21">
        <f>IF(W14=" ",0,SUM(W14/1000)*V14)</f>
        <v>0</v>
      </c>
    </row>
    <row r="15" spans="1:24" x14ac:dyDescent="0.25">
      <c r="A15" s="18" t="s">
        <v>16151</v>
      </c>
      <c r="B15" s="19">
        <v>25</v>
      </c>
      <c r="C15" s="20">
        <v>500</v>
      </c>
      <c r="D15" s="21">
        <f>IF(C15=" ",0,SUM(C15/1000)*B15)</f>
        <v>12.5</v>
      </c>
      <c r="F15" s="18" t="s">
        <v>16152</v>
      </c>
      <c r="G15" s="22" t="s">
        <v>16153</v>
      </c>
      <c r="H15" s="20"/>
      <c r="I15" s="21">
        <f>IF(H15=" ",0,SUM(H15/1000)*G15)</f>
        <v>0</v>
      </c>
      <c r="K15" s="18" t="s">
        <v>175</v>
      </c>
      <c r="L15" s="19">
        <v>170</v>
      </c>
      <c r="M15" s="20"/>
      <c r="N15" s="21">
        <f>IF(M15=" ",0,SUM(M15/1000)*L15)</f>
        <v>0</v>
      </c>
      <c r="P15" s="18" t="s">
        <v>16154</v>
      </c>
      <c r="Q15" s="19">
        <v>215</v>
      </c>
      <c r="R15" s="20"/>
      <c r="S15" s="21"/>
      <c r="U15" s="23" t="s">
        <v>16155</v>
      </c>
      <c r="V15" s="24">
        <v>725</v>
      </c>
      <c r="W15" s="20">
        <v>400</v>
      </c>
      <c r="X15" s="21">
        <f>IF(W15=" ",0,SUM(W15/1000)*V15)</f>
        <v>290</v>
      </c>
    </row>
    <row r="16" spans="1:24" x14ac:dyDescent="0.25">
      <c r="A16" s="23" t="s">
        <v>16156</v>
      </c>
      <c r="B16" s="24">
        <v>39</v>
      </c>
      <c r="C16" s="20">
        <v>7500</v>
      </c>
      <c r="D16" s="21">
        <f>IF(C16=" ",0,SUM(C16/1000)*B16)</f>
        <v>292.5</v>
      </c>
      <c r="F16" s="23" t="s">
        <v>16157</v>
      </c>
      <c r="G16" s="25" t="s">
        <v>16158</v>
      </c>
      <c r="H16" s="20"/>
      <c r="I16" s="21">
        <f>IF(H16=" ",0,SUM(H16/1000)*G16)</f>
        <v>0</v>
      </c>
      <c r="K16" s="23" t="s">
        <v>323</v>
      </c>
      <c r="L16" s="24">
        <v>205</v>
      </c>
      <c r="M16" s="20"/>
      <c r="N16" s="21">
        <f>IF(M16=" ",0,SUM(M16/1000)*L16)</f>
        <v>0</v>
      </c>
      <c r="P16" s="23" t="s">
        <v>16159</v>
      </c>
      <c r="Q16" s="24">
        <v>263</v>
      </c>
      <c r="R16" s="20"/>
      <c r="S16" s="21">
        <f>IF(R16=" ",0,SUM(R16/1000)*Q16)</f>
        <v>0</v>
      </c>
      <c r="U16" s="26"/>
      <c r="V16" s="27"/>
      <c r="W16" s="31"/>
      <c r="X16" s="29"/>
    </row>
    <row r="17" spans="1:24" x14ac:dyDescent="0.25">
      <c r="A17" s="26"/>
      <c r="B17" s="27"/>
      <c r="C17" s="31"/>
      <c r="D17" s="29"/>
      <c r="F17" s="32"/>
      <c r="G17" s="32"/>
      <c r="H17" s="31"/>
      <c r="I17" s="29"/>
      <c r="K17" s="26"/>
      <c r="L17" s="27"/>
      <c r="M17" s="31"/>
      <c r="N17" s="29"/>
      <c r="P17" s="26"/>
      <c r="Q17" s="27"/>
      <c r="R17" s="31"/>
      <c r="S17" s="29"/>
      <c r="U17" s="18" t="s">
        <v>11723</v>
      </c>
      <c r="V17" s="19">
        <v>828</v>
      </c>
      <c r="W17" s="20">
        <v>300</v>
      </c>
      <c r="X17" s="21">
        <f>IF(W17=" ",0,SUM(W17/1000)*V17)</f>
        <v>248.39999999999998</v>
      </c>
    </row>
    <row r="18" spans="1:24" x14ac:dyDescent="0.25">
      <c r="A18" s="18" t="s">
        <v>16160</v>
      </c>
      <c r="B18" s="19">
        <v>64</v>
      </c>
      <c r="C18" s="20"/>
      <c r="D18" s="21">
        <f t="shared" ref="D18:D23" si="1">IF(C18=" ",0,SUM(C18/1000)*B18)</f>
        <v>0</v>
      </c>
      <c r="F18" s="18" t="s">
        <v>16161</v>
      </c>
      <c r="G18" s="22" t="s">
        <v>16162</v>
      </c>
      <c r="H18" s="20"/>
      <c r="I18" s="21">
        <f>IF(H18=" ",0,SUM(H18/1000)*G18)</f>
        <v>0</v>
      </c>
      <c r="K18" s="18" t="s">
        <v>9984</v>
      </c>
      <c r="L18" s="19">
        <v>195</v>
      </c>
      <c r="M18" s="20"/>
      <c r="N18" s="21">
        <f t="shared" ref="N18:N23" si="2">IF(M18=" ",0,SUM(M18/1000)*L18)</f>
        <v>0</v>
      </c>
      <c r="P18" s="18" t="s">
        <v>16163</v>
      </c>
      <c r="Q18" s="19">
        <v>315</v>
      </c>
      <c r="R18" s="20"/>
      <c r="S18" s="21">
        <f t="shared" ref="S18:S23" si="3">IF(R18=" ",0,SUM(R18/1000)*Q18)</f>
        <v>0</v>
      </c>
      <c r="U18" s="23" t="s">
        <v>16164</v>
      </c>
      <c r="V18" s="24">
        <v>893</v>
      </c>
      <c r="W18" s="20">
        <v>225</v>
      </c>
      <c r="X18" s="21">
        <f>IF(W18=" ",0,SUM(W18/1000)*V18)</f>
        <v>200.92500000000001</v>
      </c>
    </row>
    <row r="19" spans="1:24" x14ac:dyDescent="0.25">
      <c r="A19" s="23" t="s">
        <v>16165</v>
      </c>
      <c r="B19" s="24">
        <v>96</v>
      </c>
      <c r="C19" s="20"/>
      <c r="D19" s="21">
        <f t="shared" si="1"/>
        <v>0</v>
      </c>
      <c r="F19" s="23" t="s">
        <v>16166</v>
      </c>
      <c r="G19" s="25" t="s">
        <v>16167</v>
      </c>
      <c r="H19" s="20"/>
      <c r="I19" s="21">
        <f>IF(H19=" ",0,SUM(H19/1000)*G19)</f>
        <v>0</v>
      </c>
      <c r="K19" s="23" t="s">
        <v>173</v>
      </c>
      <c r="L19" s="24">
        <v>225</v>
      </c>
      <c r="M19" s="20"/>
      <c r="N19" s="21">
        <f t="shared" si="2"/>
        <v>0</v>
      </c>
      <c r="P19" s="23" t="s">
        <v>16168</v>
      </c>
      <c r="Q19" s="24">
        <v>369</v>
      </c>
      <c r="R19" s="20"/>
      <c r="S19" s="21">
        <f t="shared" si="3"/>
        <v>0</v>
      </c>
      <c r="U19" s="18" t="s">
        <v>16169</v>
      </c>
      <c r="V19" s="19">
        <v>1166</v>
      </c>
      <c r="W19" s="20">
        <v>500</v>
      </c>
      <c r="X19" s="21">
        <f>IF(W19=" ",0,SUM(W19/1000)*V19)</f>
        <v>583</v>
      </c>
    </row>
    <row r="20" spans="1:24" x14ac:dyDescent="0.25">
      <c r="A20" s="18" t="s">
        <v>16170</v>
      </c>
      <c r="B20" s="19">
        <v>157</v>
      </c>
      <c r="C20" s="20"/>
      <c r="D20" s="21">
        <f t="shared" si="1"/>
        <v>0</v>
      </c>
      <c r="F20" s="18" t="s">
        <v>16171</v>
      </c>
      <c r="G20" s="22" t="s">
        <v>16153</v>
      </c>
      <c r="H20" s="20"/>
      <c r="I20" s="21">
        <f>IF(H20=" ",0,SUM(H20/1000)*G20)</f>
        <v>0</v>
      </c>
      <c r="K20" s="18" t="s">
        <v>1293</v>
      </c>
      <c r="L20" s="19">
        <v>270</v>
      </c>
      <c r="M20" s="20">
        <v>500</v>
      </c>
      <c r="N20" s="21">
        <f t="shared" si="2"/>
        <v>135</v>
      </c>
      <c r="P20" s="18" t="s">
        <v>16172</v>
      </c>
      <c r="Q20" s="19">
        <v>422</v>
      </c>
      <c r="R20" s="20"/>
      <c r="S20" s="21">
        <f t="shared" si="3"/>
        <v>0</v>
      </c>
      <c r="U20" s="23" t="s">
        <v>16173</v>
      </c>
      <c r="V20" s="24">
        <v>1663</v>
      </c>
      <c r="W20" s="31"/>
      <c r="X20" s="21">
        <f>IF(W20=" ",0,SUM(W20/1000)*V20)</f>
        <v>0</v>
      </c>
    </row>
    <row r="21" spans="1:24" x14ac:dyDescent="0.25">
      <c r="A21" s="23" t="s">
        <v>16174</v>
      </c>
      <c r="B21" s="24">
        <v>203</v>
      </c>
      <c r="C21" s="31"/>
      <c r="D21" s="21">
        <f t="shared" si="1"/>
        <v>0</v>
      </c>
      <c r="F21" s="32"/>
      <c r="G21" s="32"/>
      <c r="H21" s="31"/>
      <c r="I21" s="29" t="s">
        <v>13669</v>
      </c>
      <c r="K21" s="23" t="s">
        <v>16175</v>
      </c>
      <c r="L21" s="24">
        <v>250</v>
      </c>
      <c r="M21" s="31"/>
      <c r="N21" s="21">
        <f t="shared" si="2"/>
        <v>0</v>
      </c>
      <c r="P21" s="23" t="s">
        <v>16176</v>
      </c>
      <c r="Q21" s="24">
        <v>500</v>
      </c>
      <c r="R21" s="31"/>
      <c r="S21" s="21">
        <f t="shared" si="3"/>
        <v>0</v>
      </c>
      <c r="U21" s="18" t="s">
        <v>16177</v>
      </c>
      <c r="V21" s="19">
        <v>2304</v>
      </c>
      <c r="W21" s="20"/>
      <c r="X21" s="21">
        <f>IF(W21=" ",0,SUM(W21/1000)*V21)</f>
        <v>0</v>
      </c>
    </row>
    <row r="22" spans="1:24" x14ac:dyDescent="0.25">
      <c r="A22" s="18" t="s">
        <v>16178</v>
      </c>
      <c r="B22" s="19">
        <v>239</v>
      </c>
      <c r="C22" s="20">
        <v>500</v>
      </c>
      <c r="D22" s="21">
        <f t="shared" si="1"/>
        <v>119.5</v>
      </c>
      <c r="F22" s="23" t="s">
        <v>16179</v>
      </c>
      <c r="G22" s="25" t="s">
        <v>16162</v>
      </c>
      <c r="H22" s="20"/>
      <c r="I22" s="21">
        <f>IF(H22=" ",0,SUM(H22/1000)*G22)</f>
        <v>0</v>
      </c>
      <c r="K22" s="18" t="s">
        <v>590</v>
      </c>
      <c r="L22" s="19">
        <v>290</v>
      </c>
      <c r="M22" s="20">
        <v>100</v>
      </c>
      <c r="N22" s="21">
        <f t="shared" si="2"/>
        <v>29</v>
      </c>
      <c r="P22" s="18" t="s">
        <v>16180</v>
      </c>
      <c r="Q22" s="19">
        <v>580</v>
      </c>
      <c r="R22" s="20"/>
      <c r="S22" s="21">
        <f t="shared" si="3"/>
        <v>0</v>
      </c>
      <c r="U22" s="33" t="s">
        <v>16181</v>
      </c>
      <c r="V22" s="34"/>
      <c r="W22" s="35"/>
      <c r="X22" s="21"/>
    </row>
    <row r="23" spans="1:24" x14ac:dyDescent="0.25">
      <c r="A23" s="23" t="s">
        <v>16182</v>
      </c>
      <c r="B23" s="24">
        <v>306</v>
      </c>
      <c r="C23" s="20"/>
      <c r="D23" s="21">
        <f t="shared" si="1"/>
        <v>0</v>
      </c>
      <c r="F23" s="18" t="s">
        <v>16183</v>
      </c>
      <c r="G23" s="22" t="s">
        <v>16167</v>
      </c>
      <c r="H23" s="20"/>
      <c r="I23" s="21">
        <f>IF(H23=" ",0,SUM(H23/1000)*G23)</f>
        <v>0</v>
      </c>
      <c r="K23" s="23" t="s">
        <v>307</v>
      </c>
      <c r="L23" s="24">
        <v>355</v>
      </c>
      <c r="M23" s="20">
        <v>400</v>
      </c>
      <c r="N23" s="21">
        <f t="shared" si="2"/>
        <v>142</v>
      </c>
      <c r="P23" s="23" t="s">
        <v>16184</v>
      </c>
      <c r="Q23" s="24">
        <v>699</v>
      </c>
      <c r="R23" s="20"/>
      <c r="S23" s="21">
        <f t="shared" si="3"/>
        <v>0</v>
      </c>
      <c r="U23" s="18" t="s">
        <v>16185</v>
      </c>
      <c r="V23" s="19">
        <v>258</v>
      </c>
      <c r="W23" s="20">
        <v>500</v>
      </c>
      <c r="X23" s="21">
        <f>IF(W23=" ",0,SUM(W23/1000)*V23)</f>
        <v>129</v>
      </c>
    </row>
    <row r="24" spans="1:24" x14ac:dyDescent="0.25">
      <c r="A24" s="26"/>
      <c r="B24" s="27"/>
      <c r="C24" s="28"/>
      <c r="D24" s="29"/>
      <c r="F24" s="23" t="s">
        <v>16186</v>
      </c>
      <c r="G24" s="25" t="s">
        <v>16153</v>
      </c>
      <c r="H24" s="20"/>
      <c r="I24" s="21">
        <f>IF(H24=" ",0,SUM(H24/1000)*G24)</f>
        <v>0</v>
      </c>
      <c r="K24" s="26"/>
      <c r="L24" s="27"/>
      <c r="M24" s="28"/>
      <c r="N24" s="29"/>
      <c r="P24" s="26"/>
      <c r="Q24" s="27"/>
      <c r="R24" s="28"/>
      <c r="S24" s="29"/>
      <c r="U24" s="23" t="s">
        <v>16187</v>
      </c>
      <c r="V24" s="24">
        <v>346</v>
      </c>
      <c r="W24" s="20">
        <v>150</v>
      </c>
      <c r="X24" s="21">
        <f>IF(W24=" ",0,SUM(W24/1000)*V24)</f>
        <v>51.9</v>
      </c>
    </row>
    <row r="25" spans="1:24" x14ac:dyDescent="0.25">
      <c r="A25" s="18" t="s">
        <v>16188</v>
      </c>
      <c r="B25" s="19">
        <v>378</v>
      </c>
      <c r="C25" s="20"/>
      <c r="D25" s="21">
        <f>IF(C25=" ",0,SUM(C25/1000)*B25)</f>
        <v>0</v>
      </c>
      <c r="F25" s="32"/>
      <c r="G25" s="32"/>
      <c r="H25" s="31"/>
      <c r="I25" s="29" t="s">
        <v>13669</v>
      </c>
      <c r="K25" s="18" t="s">
        <v>341</v>
      </c>
      <c r="L25" s="19">
        <v>491</v>
      </c>
      <c r="M25" s="20"/>
      <c r="N25" s="21">
        <f>IF(M25=" ",0,SUM(M25/1000)*L25)</f>
        <v>0</v>
      </c>
      <c r="P25" s="18" t="s">
        <v>16189</v>
      </c>
      <c r="Q25" s="19">
        <v>854</v>
      </c>
      <c r="R25" s="20"/>
      <c r="S25" s="21">
        <f>IF(R25=" ",0,SUM(R25/1000)*Q25)</f>
        <v>0</v>
      </c>
      <c r="U25" s="18" t="s">
        <v>16190</v>
      </c>
      <c r="V25" s="19">
        <v>541</v>
      </c>
      <c r="W25" s="20">
        <v>55</v>
      </c>
      <c r="X25" s="21">
        <f>IF(W25=" ",0,SUM(W25/1000)*V25)</f>
        <v>29.754999999999999</v>
      </c>
    </row>
    <row r="26" spans="1:24" x14ac:dyDescent="0.25">
      <c r="A26" s="23" t="s">
        <v>16191</v>
      </c>
      <c r="B26" s="24">
        <v>470</v>
      </c>
      <c r="C26" s="20"/>
      <c r="D26" s="21">
        <f>IF(C26=" ",0,SUM(C26/1000)*B26)</f>
        <v>0</v>
      </c>
      <c r="F26" s="18" t="s">
        <v>16192</v>
      </c>
      <c r="G26" s="22" t="s">
        <v>16193</v>
      </c>
      <c r="H26" s="20"/>
      <c r="I26" s="21">
        <f>IF(H26=" ",0,SUM(H26/1000)*G26)</f>
        <v>0</v>
      </c>
      <c r="K26" s="23" t="s">
        <v>288</v>
      </c>
      <c r="L26" s="24">
        <v>640</v>
      </c>
      <c r="M26" s="20">
        <v>250</v>
      </c>
      <c r="N26" s="21">
        <f>IF(M26=" ",0,SUM(M26/1000)*L26)</f>
        <v>160</v>
      </c>
      <c r="P26" s="23" t="s">
        <v>16194</v>
      </c>
      <c r="Q26" s="24">
        <v>1109</v>
      </c>
      <c r="R26" s="20"/>
      <c r="S26" s="21">
        <f>IF(R26=" ",0,SUM(R26/1000)*Q26)</f>
        <v>0</v>
      </c>
      <c r="U26" s="23" t="s">
        <v>16195</v>
      </c>
      <c r="V26" s="24">
        <v>596</v>
      </c>
      <c r="W26" s="20"/>
      <c r="X26" s="21">
        <f>IF(W26=" ",0,SUM(W26/1000)*V26)</f>
        <v>0</v>
      </c>
    </row>
    <row r="27" spans="1:24" x14ac:dyDescent="0.25">
      <c r="A27" s="18" t="s">
        <v>16196</v>
      </c>
      <c r="B27" s="19">
        <v>584</v>
      </c>
      <c r="C27" s="44"/>
      <c r="D27" s="21">
        <f>IF(C27=" ",0,SUM(C27/1000)*B27)</f>
        <v>0</v>
      </c>
      <c r="F27" s="23" t="s">
        <v>16197</v>
      </c>
      <c r="G27" s="25" t="s">
        <v>16198</v>
      </c>
      <c r="H27" s="20"/>
      <c r="I27" s="21">
        <f>IF(H27=" ",0,SUM(H27/1000)*G27)</f>
        <v>0</v>
      </c>
      <c r="K27" s="18" t="s">
        <v>431</v>
      </c>
      <c r="L27" s="19">
        <v>695</v>
      </c>
      <c r="M27" s="20">
        <v>100</v>
      </c>
      <c r="N27" s="21">
        <f>IF(M27=" ",0,SUM(M27/1000)*L27)</f>
        <v>69.5</v>
      </c>
      <c r="R27" s="4"/>
      <c r="S27" s="5"/>
      <c r="U27" s="18" t="s">
        <v>16199</v>
      </c>
      <c r="V27" s="19">
        <v>664</v>
      </c>
      <c r="W27" s="20">
        <v>130</v>
      </c>
      <c r="X27" s="21">
        <f>IF(W27=" ",0,SUM(W27/1000)*V27)</f>
        <v>86.320000000000007</v>
      </c>
    </row>
    <row r="28" spans="1:24" x14ac:dyDescent="0.25">
      <c r="A28" s="23" t="s">
        <v>16200</v>
      </c>
      <c r="B28" s="24">
        <v>730</v>
      </c>
      <c r="C28" s="20"/>
      <c r="D28" s="21">
        <f>IF(C28=" ",0,SUM(C28/1000)*B28)</f>
        <v>0</v>
      </c>
      <c r="F28" s="18" t="s">
        <v>16201</v>
      </c>
      <c r="G28" s="22" t="s">
        <v>16202</v>
      </c>
      <c r="H28" s="20"/>
      <c r="I28" s="21">
        <f>IF(H28=" ",0,SUM(H28/1000)*G28)</f>
        <v>0</v>
      </c>
      <c r="K28" s="23" t="s">
        <v>161</v>
      </c>
      <c r="L28" s="24">
        <v>850</v>
      </c>
      <c r="M28" s="20">
        <v>250</v>
      </c>
      <c r="N28" s="21">
        <f>IF(M28=" ",0,SUM(M28/1000)*L28)</f>
        <v>212.5</v>
      </c>
      <c r="P28" t="s">
        <v>16203</v>
      </c>
      <c r="S28" s="36">
        <f>SUM(S18:S27)</f>
        <v>0</v>
      </c>
      <c r="U28" s="26"/>
      <c r="V28" s="27"/>
      <c r="W28" s="28"/>
      <c r="X28" s="29"/>
    </row>
    <row r="29" spans="1:24" x14ac:dyDescent="0.25">
      <c r="A29" s="26"/>
      <c r="B29" s="27"/>
      <c r="C29" s="31"/>
      <c r="D29" s="29"/>
      <c r="F29" s="32"/>
      <c r="G29" s="32"/>
      <c r="H29" s="31"/>
      <c r="I29" s="29" t="s">
        <v>13669</v>
      </c>
      <c r="K29" s="26"/>
      <c r="L29" s="27"/>
      <c r="M29" s="31"/>
      <c r="N29" s="29" t="s">
        <v>13669</v>
      </c>
      <c r="U29" s="23" t="s">
        <v>16204</v>
      </c>
      <c r="V29" s="24">
        <v>874</v>
      </c>
      <c r="W29" s="20"/>
      <c r="X29" s="21">
        <f>IF(W29=" ",0,SUM(W29/1000)*V29)</f>
        <v>0</v>
      </c>
    </row>
    <row r="30" spans="1:24" x14ac:dyDescent="0.25">
      <c r="A30" s="18" t="s">
        <v>16205</v>
      </c>
      <c r="B30" s="19">
        <v>870</v>
      </c>
      <c r="C30" s="20"/>
      <c r="D30" s="21">
        <f t="shared" ref="D30:D35" si="4">IF(C30=" ",0,SUM(C30/1000)*B30)</f>
        <v>0</v>
      </c>
      <c r="F30" s="23" t="s">
        <v>16206</v>
      </c>
      <c r="G30" s="25" t="s">
        <v>16162</v>
      </c>
      <c r="H30" s="20"/>
      <c r="I30" s="21">
        <f>IF(H30=" ",0,SUM(H30/1000)*G30)</f>
        <v>0</v>
      </c>
      <c r="K30" s="18" t="s">
        <v>176</v>
      </c>
      <c r="L30" s="19">
        <v>950</v>
      </c>
      <c r="M30" s="20">
        <v>100</v>
      </c>
      <c r="N30" s="21">
        <f>IF(M30=" ",0,SUM(M30/1000)*L30)</f>
        <v>95</v>
      </c>
      <c r="U30" s="18" t="s">
        <v>16207</v>
      </c>
      <c r="V30" s="19">
        <v>979</v>
      </c>
      <c r="W30" s="20">
        <v>150</v>
      </c>
      <c r="X30" s="21">
        <f>IF(W30=" ",0,SUM(W30/1000)*V30)</f>
        <v>146.85</v>
      </c>
    </row>
    <row r="31" spans="1:24" x14ac:dyDescent="0.25">
      <c r="A31" s="23" t="s">
        <v>16208</v>
      </c>
      <c r="B31" s="24">
        <v>1029</v>
      </c>
      <c r="C31" s="20"/>
      <c r="D31" s="21">
        <f t="shared" si="4"/>
        <v>0</v>
      </c>
      <c r="F31" s="18" t="s">
        <v>16209</v>
      </c>
      <c r="G31" s="22" t="s">
        <v>16210</v>
      </c>
      <c r="H31" s="20"/>
      <c r="I31" s="21">
        <f>IF(H31=" ",0,SUM(H31/1000)*G31)</f>
        <v>0</v>
      </c>
      <c r="K31" s="23" t="s">
        <v>300</v>
      </c>
      <c r="L31" s="24">
        <v>1100</v>
      </c>
      <c r="M31" s="20">
        <v>175</v>
      </c>
      <c r="N31" s="21">
        <f>IF(M31=" ",0,SUM(M31/1000)*L31)</f>
        <v>192.5</v>
      </c>
      <c r="U31" s="23" t="s">
        <v>16211</v>
      </c>
      <c r="V31" s="24">
        <v>1066</v>
      </c>
      <c r="W31" s="20"/>
      <c r="X31" s="21">
        <f>IF(W31=" ",0,SUM(W31/1000)*V31)</f>
        <v>0</v>
      </c>
    </row>
    <row r="32" spans="1:24" x14ac:dyDescent="0.25">
      <c r="A32" s="18" t="s">
        <v>16212</v>
      </c>
      <c r="B32" s="19">
        <v>1194</v>
      </c>
      <c r="C32" s="31"/>
      <c r="D32" s="21">
        <f t="shared" si="4"/>
        <v>0</v>
      </c>
      <c r="F32" s="26"/>
      <c r="G32" s="30"/>
      <c r="H32" s="31"/>
      <c r="I32" s="29" t="s">
        <v>13669</v>
      </c>
      <c r="K32" s="18" t="s">
        <v>8717</v>
      </c>
      <c r="L32" s="19">
        <v>1310</v>
      </c>
      <c r="M32" s="31"/>
      <c r="N32" s="21"/>
      <c r="U32" s="26"/>
      <c r="V32" s="27"/>
      <c r="W32" s="31"/>
      <c r="X32" s="29"/>
    </row>
    <row r="33" spans="1:24" x14ac:dyDescent="0.25">
      <c r="A33" s="23" t="s">
        <v>16213</v>
      </c>
      <c r="B33" s="24">
        <v>1355</v>
      </c>
      <c r="C33" s="20"/>
      <c r="D33" s="21">
        <f t="shared" si="4"/>
        <v>0</v>
      </c>
      <c r="F33" s="18" t="s">
        <v>16214</v>
      </c>
      <c r="G33" s="22" t="s">
        <v>16215</v>
      </c>
      <c r="H33" s="20"/>
      <c r="I33" s="21">
        <f>IF(H33=" ",0,SUM(H33/1000)*G33)</f>
        <v>0</v>
      </c>
      <c r="K33" s="23" t="s">
        <v>860</v>
      </c>
      <c r="L33" s="24">
        <v>1590</v>
      </c>
      <c r="M33" s="20">
        <v>100</v>
      </c>
      <c r="N33" s="21">
        <f>IF(M33=" ",0,SUM(M33/1000)*L33)</f>
        <v>159</v>
      </c>
      <c r="U33" s="18" t="s">
        <v>16216</v>
      </c>
      <c r="V33" s="19">
        <v>1544</v>
      </c>
      <c r="W33" s="20">
        <v>350</v>
      </c>
      <c r="X33" s="21">
        <f>IF(W33=" ",0,SUM(W33/1000)*V33)</f>
        <v>540.4</v>
      </c>
    </row>
    <row r="34" spans="1:24" x14ac:dyDescent="0.25">
      <c r="A34" s="18" t="s">
        <v>16217</v>
      </c>
      <c r="B34" s="19">
        <v>1735</v>
      </c>
      <c r="C34" s="20"/>
      <c r="D34" s="21">
        <f t="shared" si="4"/>
        <v>0</v>
      </c>
      <c r="F34" s="23" t="s">
        <v>16218</v>
      </c>
      <c r="G34" s="25" t="s">
        <v>16219</v>
      </c>
      <c r="H34" s="20"/>
      <c r="I34" s="21">
        <f>IF(H34=" ",0,SUM(H34/1000)*G34)</f>
        <v>0</v>
      </c>
      <c r="M34" s="4"/>
      <c r="N34" s="5"/>
      <c r="U34" s="23" t="s">
        <v>16220</v>
      </c>
      <c r="V34" s="24">
        <v>2174</v>
      </c>
      <c r="W34" s="20"/>
      <c r="X34" s="21">
        <f>IF(W34=" ",0,SUM(W34/1000)*V34)</f>
        <v>0</v>
      </c>
    </row>
    <row r="35" spans="1:24" x14ac:dyDescent="0.25">
      <c r="A35" s="23" t="s">
        <v>16221</v>
      </c>
      <c r="B35" s="24">
        <v>1990</v>
      </c>
      <c r="C35" s="44"/>
      <c r="D35" s="21">
        <f t="shared" si="4"/>
        <v>0</v>
      </c>
      <c r="F35" s="18" t="s">
        <v>16222</v>
      </c>
      <c r="G35" s="22" t="s">
        <v>16223</v>
      </c>
      <c r="H35" s="20"/>
      <c r="I35" s="21">
        <f>IF(H35=" ",0,SUM(H35/1000)*G35)</f>
        <v>0</v>
      </c>
      <c r="K35" t="s">
        <v>16203</v>
      </c>
      <c r="N35" s="36">
        <f>SUM(N7:N33)</f>
        <v>1225</v>
      </c>
      <c r="U35" s="18" t="s">
        <v>16224</v>
      </c>
      <c r="V35" s="19">
        <v>2542</v>
      </c>
      <c r="W35" s="20">
        <v>1300</v>
      </c>
      <c r="X35" s="21">
        <f>IF(W35=" ",0,SUM(W35/1000)*V35)</f>
        <v>3304.6</v>
      </c>
    </row>
    <row r="36" spans="1:24" x14ac:dyDescent="0.25">
      <c r="A36" s="18" t="s">
        <v>16225</v>
      </c>
      <c r="B36" s="19">
        <v>2428</v>
      </c>
      <c r="C36" s="20"/>
      <c r="D36" s="21">
        <f>IF(C36=" ",0,SUM(C36/1000)*B36)</f>
        <v>0</v>
      </c>
      <c r="F36" s="23" t="s">
        <v>16226</v>
      </c>
      <c r="G36" s="25" t="s">
        <v>16227</v>
      </c>
      <c r="H36" s="20">
        <v>330</v>
      </c>
      <c r="I36" s="21">
        <f>IF(H36=" ",0,SUM(H36/1000)*G36)</f>
        <v>73.59</v>
      </c>
      <c r="K36" t="s">
        <v>13669</v>
      </c>
      <c r="W36" s="4"/>
      <c r="X36" s="5"/>
    </row>
    <row r="37" spans="1:24" x14ac:dyDescent="0.25">
      <c r="A37" s="23" t="s">
        <v>16228</v>
      </c>
      <c r="B37" s="24">
        <v>3263</v>
      </c>
      <c r="C37" s="20"/>
      <c r="D37" s="21">
        <f>IF(C37=" ",0,SUM(C37/1000)*B37)</f>
        <v>0</v>
      </c>
      <c r="F37" s="18" t="s">
        <v>16229</v>
      </c>
      <c r="G37" s="22" t="s">
        <v>16230</v>
      </c>
      <c r="H37" s="20"/>
      <c r="I37" s="21">
        <f>IF(H37=" ",0,SUM(H37/1000)*G37)</f>
        <v>0</v>
      </c>
      <c r="U37" t="s">
        <v>16203</v>
      </c>
      <c r="X37" s="36">
        <f>SUM(X7:X35)</f>
        <v>6831.9</v>
      </c>
    </row>
    <row r="38" spans="1:24" x14ac:dyDescent="0.25">
      <c r="C38" s="4"/>
      <c r="D38" s="5"/>
      <c r="F38" s="26"/>
      <c r="G38" s="30"/>
      <c r="H38" s="31"/>
      <c r="I38" s="29" t="s">
        <v>13669</v>
      </c>
    </row>
    <row r="39" spans="1:24" x14ac:dyDescent="0.25">
      <c r="A39" t="s">
        <v>16203</v>
      </c>
      <c r="D39" s="36">
        <f>SUM(D7:D37)</f>
        <v>424.5</v>
      </c>
      <c r="F39" s="23" t="s">
        <v>16231</v>
      </c>
      <c r="G39" s="25" t="s">
        <v>16219</v>
      </c>
      <c r="H39" s="20"/>
      <c r="I39" s="21">
        <f>IF(H39=" ",0,SUM(H39/1000)*G39)</f>
        <v>0</v>
      </c>
    </row>
    <row r="40" spans="1:24" x14ac:dyDescent="0.25">
      <c r="F40" s="18" t="s">
        <v>16232</v>
      </c>
      <c r="G40" s="22" t="s">
        <v>16233</v>
      </c>
      <c r="H40" s="20"/>
      <c r="I40" s="21">
        <f>IF(H40=" ",0,SUM(H40/1000)*G40)</f>
        <v>0</v>
      </c>
    </row>
    <row r="41" spans="1:24" x14ac:dyDescent="0.25">
      <c r="F41" s="23" t="s">
        <v>16234</v>
      </c>
      <c r="G41" s="25" t="s">
        <v>16235</v>
      </c>
      <c r="H41" s="20"/>
      <c r="I41" s="21">
        <f>IF(H41=" ",0,SUM(H41/1000)*G41)</f>
        <v>0</v>
      </c>
    </row>
    <row r="42" spans="1:24" x14ac:dyDescent="0.25">
      <c r="D42" s="43"/>
      <c r="F42" s="18" t="s">
        <v>16236</v>
      </c>
      <c r="G42" s="22" t="s">
        <v>16237</v>
      </c>
      <c r="H42" s="20">
        <v>500</v>
      </c>
      <c r="I42" s="21">
        <f>IF(H42=" ",0,SUM(H42/1000)*G42)</f>
        <v>172</v>
      </c>
    </row>
    <row r="43" spans="1:24" x14ac:dyDescent="0.25">
      <c r="F43" s="23" t="s">
        <v>10417</v>
      </c>
      <c r="G43" s="25" t="s">
        <v>16238</v>
      </c>
      <c r="H43" s="20">
        <v>300</v>
      </c>
      <c r="I43" s="21">
        <f>IF(H43=" ",0,SUM(H43/1000)*G43)</f>
        <v>131.1</v>
      </c>
    </row>
    <row r="44" spans="1:24" x14ac:dyDescent="0.25">
      <c r="G44" s="37"/>
      <c r="H44" s="28"/>
      <c r="I44" s="29"/>
    </row>
    <row r="45" spans="1:24" x14ac:dyDescent="0.25">
      <c r="F45" s="23" t="s">
        <v>16239</v>
      </c>
      <c r="G45" s="25" t="s">
        <v>16240</v>
      </c>
      <c r="H45" s="44"/>
      <c r="I45" s="21">
        <f t="shared" ref="I45:I55" si="5">IF(H45=" ",0,SUM(H45/1000)*G45)</f>
        <v>0</v>
      </c>
      <c r="Q45" s="45"/>
    </row>
    <row r="46" spans="1:24" x14ac:dyDescent="0.25">
      <c r="F46" s="18" t="s">
        <v>16241</v>
      </c>
      <c r="G46" s="22" t="s">
        <v>16242</v>
      </c>
      <c r="H46" s="20"/>
      <c r="I46" s="21">
        <f t="shared" si="5"/>
        <v>0</v>
      </c>
    </row>
    <row r="47" spans="1:24" x14ac:dyDescent="0.25">
      <c r="F47" s="23" t="s">
        <v>16243</v>
      </c>
      <c r="G47" s="25" t="s">
        <v>16244</v>
      </c>
      <c r="H47" s="20"/>
      <c r="I47" s="21">
        <f t="shared" si="5"/>
        <v>0</v>
      </c>
    </row>
    <row r="48" spans="1:24" x14ac:dyDescent="0.25">
      <c r="F48" s="18" t="s">
        <v>16245</v>
      </c>
      <c r="G48" s="22" t="s">
        <v>16246</v>
      </c>
      <c r="H48" s="20"/>
      <c r="I48" s="21" t="s">
        <v>13669</v>
      </c>
    </row>
    <row r="49" spans="6:17" x14ac:dyDescent="0.25">
      <c r="F49" s="23" t="s">
        <v>16247</v>
      </c>
      <c r="G49" s="25" t="s">
        <v>16248</v>
      </c>
      <c r="H49" s="20"/>
      <c r="I49" s="21">
        <f t="shared" si="5"/>
        <v>0</v>
      </c>
      <c r="Q49" s="46"/>
    </row>
    <row r="50" spans="6:17" x14ac:dyDescent="0.25">
      <c r="F50" s="38"/>
      <c r="G50" s="39"/>
      <c r="H50" s="28"/>
      <c r="I50" s="29"/>
    </row>
    <row r="51" spans="6:17" x14ac:dyDescent="0.25">
      <c r="F51" s="40" t="s">
        <v>16249</v>
      </c>
      <c r="G51" s="41" t="s">
        <v>16250</v>
      </c>
      <c r="H51" s="20"/>
      <c r="I51" s="21">
        <f t="shared" si="5"/>
        <v>0</v>
      </c>
    </row>
    <row r="52" spans="6:17" x14ac:dyDescent="0.25">
      <c r="F52" s="23" t="s">
        <v>16251</v>
      </c>
      <c r="G52" s="25" t="s">
        <v>16252</v>
      </c>
      <c r="H52" s="20"/>
      <c r="I52" s="21">
        <f t="shared" si="5"/>
        <v>0</v>
      </c>
    </row>
    <row r="53" spans="6:17" x14ac:dyDescent="0.25">
      <c r="F53" s="40" t="s">
        <v>16253</v>
      </c>
      <c r="G53" s="41" t="s">
        <v>16254</v>
      </c>
      <c r="H53" s="20"/>
      <c r="I53" s="21">
        <f t="shared" si="5"/>
        <v>0</v>
      </c>
    </row>
    <row r="54" spans="6:17" x14ac:dyDescent="0.25">
      <c r="F54" s="23" t="s">
        <v>16255</v>
      </c>
      <c r="G54" s="25" t="s">
        <v>16256</v>
      </c>
      <c r="H54" s="20"/>
      <c r="I54" s="21">
        <f t="shared" si="5"/>
        <v>0</v>
      </c>
    </row>
    <row r="55" spans="6:17" x14ac:dyDescent="0.25">
      <c r="F55" s="40" t="s">
        <v>16257</v>
      </c>
      <c r="G55" s="41" t="s">
        <v>16258</v>
      </c>
      <c r="H55" s="20"/>
      <c r="I55" s="21">
        <f t="shared" si="5"/>
        <v>0</v>
      </c>
    </row>
    <row r="56" spans="6:17" x14ac:dyDescent="0.25">
      <c r="F56" s="42"/>
      <c r="G56" s="37"/>
      <c r="H56" s="28"/>
      <c r="I56" s="29"/>
    </row>
    <row r="57" spans="6:17" x14ac:dyDescent="0.25">
      <c r="F57" t="s">
        <v>16203</v>
      </c>
      <c r="I57" s="36">
        <f>SUM(I7:I55)</f>
        <v>376.69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Profits 2016</vt:lpstr>
      <vt:lpstr>Payments</vt:lpstr>
      <vt:lpstr>Shipping Sheet</vt:lpstr>
      <vt:lpstr>RMA's</vt:lpstr>
      <vt:lpstr>Weight Calculator</vt:lpstr>
      <vt:lpstr>Sheet1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Sam's PC</dc:creator>
  <cp:keywords/>
  <dc:description/>
  <cp:lastModifiedBy>Anshul</cp:lastModifiedBy>
  <cp:revision/>
  <dcterms:created xsi:type="dcterms:W3CDTF">2012-01-19T03:25:56Z</dcterms:created>
  <dcterms:modified xsi:type="dcterms:W3CDTF">2018-07-26T19:13:50Z</dcterms:modified>
  <cp:category/>
  <cp:contentStatus/>
</cp:coreProperties>
</file>